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örsättsblad" sheetId="1" r:id="rId4"/>
    <sheet state="visible" name="Lager" sheetId="2" r:id="rId5"/>
    <sheet state="visible" name="Våra Verkstäder" sheetId="3" r:id="rId6"/>
    <sheet state="visible" name="Nykontakt" sheetId="4" r:id="rId7"/>
    <sheet state="visible" name="Tilläggstjänster" sheetId="5" r:id="rId8"/>
    <sheet state="visible" name="Leverantörer" sheetId="6" r:id="rId9"/>
    <sheet state="hidden" name="Lager elsatser" sheetId="7" r:id="rId10"/>
    <sheet state="hidden" name="Lager Takräcke" sheetId="8" r:id="rId11"/>
    <sheet state="hidden" name="Lager LED-ljus" sheetId="9" r:id="rId12"/>
    <sheet state="hidden" name="Företagskunder &amp; Potentiella fö" sheetId="10" r:id="rId13"/>
    <sheet state="hidden" name="Följ upp Leads" sheetId="11" r:id="rId14"/>
    <sheet state="hidden" name="Telefonstat" sheetId="12" r:id="rId15"/>
    <sheet state="hidden" name="Returer från kunder" sheetId="13" r:id="rId16"/>
    <sheet state="visible" name="EAN Codes" sheetId="14" r:id="rId17"/>
    <sheet state="visible" name="OBS Bilmodeller" sheetId="15" r:id="rId18"/>
    <sheet state="hidden" name="Reklamationer" sheetId="16" r:id="rId19"/>
    <sheet state="visible" name="Bilmodeller2018" sheetId="17" r:id="rId20"/>
    <sheet state="visible" name="Bilmodeller2018_pivot" sheetId="18" r:id="rId21"/>
    <sheet state="visible" name="TC - Reg nr söket" sheetId="19" r:id="rId22"/>
    <sheet state="visible" name="Ny lista verkstäder" sheetId="20" r:id="rId23"/>
    <sheet state="visible" name="Verkstäder betyg" sheetId="21" r:id="rId24"/>
  </sheets>
  <definedNames>
    <definedName hidden="1" localSheetId="1" name="_xlnm._FilterDatabase">Lager!$A$2:$AD$5223</definedName>
    <definedName hidden="1" localSheetId="2" name="_xlnm._FilterDatabase">'Våra Verkstäder'!$A$1:$W$381</definedName>
    <definedName hidden="1" localSheetId="5" name="_xlnm._FilterDatabase">'Leverantörer'!$A$1:$AU$1000</definedName>
    <definedName hidden="1" localSheetId="7" name="_xlnm._FilterDatabase">'Lager Takräcke'!$A$1:$BE$1010</definedName>
    <definedName hidden="1" localSheetId="9" name="_xlnm._FilterDatabase">'Företagskunder &amp; Potentiella fö'!$A$1:$AL$1001</definedName>
    <definedName hidden="1" localSheetId="15" name="_xlnm._FilterDatabase">Reklamationer!$A$1:$AE$999</definedName>
    <definedName hidden="1" localSheetId="1" name="Z_F3205733_8974_4886_94C1_119D603F6275_.wvu.FilterData">Lager!$A$2:$AD$5223</definedName>
    <definedName hidden="1" localSheetId="1" name="Z_A37C6A65_95D3_4DB9_B574_2D2C7656ECC0_.wvu.FilterData">Lager!$A$2:$AD$5223</definedName>
    <definedName hidden="1" localSheetId="1" name="Z_3824A306_F64C_4135_A062_D9B81150B40E_.wvu.FilterData">Lager!$A$2:$AD$5223</definedName>
    <definedName hidden="1" localSheetId="1" name="Z_0CCF2AE3_DDE9_4126_87DF_7312917450DA_.wvu.FilterData">Lager!$A$2:$AD$5223</definedName>
    <definedName hidden="1" localSheetId="1" name="Z_B3D5AEE1_E024_436C_9DEA_9586589F516F_.wvu.FilterData">Lager!$A$2:$AD$5223</definedName>
    <definedName hidden="1" localSheetId="1" name="Z_14570B54_C136_4B6D_8D90_EF667E32BB6D_.wvu.FilterData">Lager!$A$2:$AD$5223</definedName>
    <definedName hidden="1" localSheetId="1" name="Z_A28A6F81_EC4C_4B76_B28A_452A2DFDFBEF_.wvu.FilterData">Lager!$A$2:$AD$5223</definedName>
    <definedName hidden="1" localSheetId="1" name="Z_F0EEE251_4F01_4F16_834C_E9848E0213B6_.wvu.FilterData">Lager!$A$2:$AD$5223</definedName>
    <definedName hidden="1" localSheetId="1" name="Z_D9429EBF_F1B3_4B0A_BBE6_5A7EDD26904F_.wvu.FilterData">Lager!$A$2:$AD$5223</definedName>
    <definedName hidden="1" localSheetId="2" name="Z_D639D50D_F16E_46C4_8B84_3CE90BA94453_.wvu.FilterData">'Våra Verkstäder'!$A$1:$AL$987</definedName>
    <definedName hidden="1" localSheetId="1" name="Z_B0C61B0A_3DA9_4AE1_A191_5DF71A8778EA_.wvu.FilterData">Lager!$A$2:$AD$5223</definedName>
    <definedName hidden="1" localSheetId="1" name="Z_9CB77BBD_1DC8_4ACA_B714_9C87103A86B3_.wvu.FilterData">Lager!$A$2:$AD$5223</definedName>
  </definedNames>
  <calcPr/>
  <customWorkbookViews>
    <customWorkbookView activeSheetId="0" maximized="1" windowHeight="0" windowWidth="0" guid="{F3205733-8974-4886-94C1-119D603F6275}" name="Motorvärmare"/>
    <customWorkbookView activeSheetId="0" maximized="1" windowHeight="0" windowWidth="0" guid="{A37C6A65-95D3-4DB9-B574-2D2C7656ECC0}" name="Järfälla"/>
    <customWorkbookView activeSheetId="0" maximized="1" windowHeight="0" windowWidth="0" guid="{3824A306-F64C-4135-A062-D9B81150B40E}" name="Dragkrokar + elsats + div i lager"/>
    <customWorkbookView activeSheetId="0" maximized="1" windowHeight="0" windowWidth="0" guid="{0CCF2AE3-DDE9-4126-87DF-7312917450DA}" name="Dragkrokar i lager"/>
    <customWorkbookView activeSheetId="0" maximized="1" windowHeight="0" windowWidth="0" guid="{B3D5AEE1-E024-436C-9DEA-9586589F516F}" name="Funnits i lager"/>
    <customWorkbookView activeSheetId="0" maximized="1" windowHeight="0" windowWidth="0" guid="{14570B54-C136-4B6D-8D90-EF667E32BB6D}" name="ALLT"/>
    <customWorkbookView activeSheetId="0" maximized="1" windowHeight="0" windowWidth="0" guid="{A28A6F81-EC4C-4B76-B28A-452A2DFDFBEF}" name="Elsatser i verkstäder"/>
    <customWorkbookView activeSheetId="0" maximized="1" windowHeight="0" windowWidth="0" guid="{F0EEE251-4F01-4F16-834C-E9848E0213B6}" name="Filter 3"/>
    <customWorkbookView activeSheetId="0" maximized="1" windowHeight="0" windowWidth="0" guid="{D9429EBF-F1B3-4B0A-BBE6-5A7EDD26904F}" name="På vift"/>
    <customWorkbookView activeSheetId="0" maximized="1" windowHeight="0" windowWidth="0" guid="{D639D50D-F16E-46C4-8B84-3CE90BA94453}" name="Alla verkstäder"/>
    <customWorkbookView activeSheetId="0" maximized="1" windowHeight="0" windowWidth="0" guid="{B0C61B0A-3DA9-4AE1-A191-5DF71A8778EA}" name="Övrigt"/>
    <customWorkbookView activeSheetId="0" maximized="1" windowHeight="0" windowWidth="0" guid="{9CB77BBD-1DC8-4ACA-B714-9C87103A86B3}" name="På kontoret"/>
  </customWorkbookViews>
  <pivotCaches>
    <pivotCache cacheId="0" r:id="rId25"/>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tc={0c10b967-8840-45f0-9962-792c04abacdf}</author>
  </authors>
  <commentList>
    <comment authorId="0" xr:uid="{0c10b967-8840-45f0-9962-792c04abacdf}" ref="A1">
      <text>
        <t xml:space="preserve">[Threaded comment]
 Your version of Excel allows you to read this threaded comment; however, any edits to it will get removed if the file is opened in a newer version of Excel. Learn more: https://go.microsoft.com/fwlink/?linkid=870924
Comment:
	På nätet står adressen som "Fröstorpsgatan 8, 582 73 Linköping", vilken är rätt?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tc={9555d3c8-5d29-4d67-9198-1a657fd9d661}</author>
  </authors>
  <commentList>
    <comment authorId="0" xr:uid="{9555d3c8-5d29-4d67-9198-1a657fd9d661}" ref="E69">
      <text>
        <t xml:space="preserve">[Threaded comment]
 Your version of Excel allows you to read this threaded comment; however, any edits to it will get removed if the file is opened in a newer version of Excel. Learn more: https://go.microsoft.com/fwlink/?linkid=870924
Comment:
	Stämmer detta fortfarande?
</t>
      </text>
    </comment>
  </commentList>
</comments>
</file>

<file path=xl/sharedStrings.xml><?xml version="1.0" encoding="utf-8"?>
<sst xmlns="http://schemas.openxmlformats.org/spreadsheetml/2006/main" count="28853" uniqueCount="9468">
  <si>
    <t>Dokument/Listor</t>
  </si>
  <si>
    <t>Beskrivning</t>
  </si>
  <si>
    <t>Beställningar - huvudfil</t>
  </si>
  <si>
    <t>Orderfilen med alla beställningar</t>
  </si>
  <si>
    <t>Lager "På vift"</t>
  </si>
  <si>
    <t>Dragkrokar mm. som finns "i lager" men inte i Borås - än.. Här ska alla krokar som är extra eller blir över föras in. När någon vara tas härifrån, ska den markeras röd samt skrivas i kolumn P till vilken bil den tas. När en vara legat röd ett tag, sätt ett "x" i kolumn O. Om dragkrokar tas hem till Borås, markera hela raden i gult och skriv i kolumn S.</t>
  </si>
  <si>
    <t>Lager Borås</t>
  </si>
  <si>
    <t>Datum</t>
  </si>
  <si>
    <t>Administration lagret i Borås</t>
  </si>
  <si>
    <t>Verkstad</t>
  </si>
  <si>
    <t>Kommentar</t>
  </si>
  <si>
    <t>Prislista dragkrokar</t>
  </si>
  <si>
    <t>Hur boka?</t>
  </si>
  <si>
    <t>Kontaktperson</t>
  </si>
  <si>
    <t>Adress</t>
  </si>
  <si>
    <t>Namn</t>
  </si>
  <si>
    <t>Postnr</t>
  </si>
  <si>
    <t>Lånebil</t>
  </si>
  <si>
    <t>Ort</t>
  </si>
  <si>
    <t>Telefonnummer</t>
  </si>
  <si>
    <t>E-post</t>
  </si>
  <si>
    <t>Avtal</t>
  </si>
  <si>
    <t>Org-nr</t>
  </si>
  <si>
    <t>Prislista för dragkrokar. Westfalia, Witter, Steinhof och Imiola finns i huvudfliken. Övriga går att hitta i separat blad i filen.</t>
  </si>
  <si>
    <t>Övrigt</t>
  </si>
  <si>
    <t>Prislista ECS</t>
  </si>
  <si>
    <t>Info om verkstad</t>
  </si>
  <si>
    <t>Prislista på elsatser från ECS. Aktuellt lagersaldo hemma finns i kolumn J (Borås) och K ("På vift"-listan)</t>
  </si>
  <si>
    <t>Menabo Application list</t>
  </si>
  <si>
    <t>Ansvarig hos B&amp;J (förslag?)</t>
  </si>
  <si>
    <t>Skrift. Avtal?</t>
  </si>
  <si>
    <t>Rabatt på beställningar</t>
  </si>
  <si>
    <t>Aktuell lista från Menabo med vilka takräcken som passar vilka bilar.</t>
  </si>
  <si>
    <t>Aktuell info, lediga tider mm?</t>
  </si>
  <si>
    <t>Aktiv</t>
  </si>
  <si>
    <t>Verkstadskontakter 1</t>
  </si>
  <si>
    <t>Order Steinhof</t>
  </si>
  <si>
    <t>Verkstadskontakter 2</t>
  </si>
  <si>
    <t>Senast uppdaterade villkor</t>
  </si>
  <si>
    <t>Verkstadskontakter 3</t>
  </si>
  <si>
    <t>Verkstadskontakter 4</t>
  </si>
  <si>
    <t>Begränsningar</t>
  </si>
  <si>
    <t>Kan ta in husbilar</t>
  </si>
  <si>
    <t>2026-01-20
2026-02-03</t>
  </si>
  <si>
    <t>Fil som vi lägger in alla ordrar till Steinhof. Ordrar som läggs innan kl 10.00 skickas samma dag.</t>
  </si>
  <si>
    <t>Kennys Bilverkstad Vemdalen</t>
  </si>
  <si>
    <t>samtal och mail återkommer om mont pris</t>
  </si>
  <si>
    <t>Order Imiola</t>
  </si>
  <si>
    <t>2026-01-21
2026-02-03</t>
  </si>
  <si>
    <t>Mekonomen Årjäng</t>
  </si>
  <si>
    <t>Berners Person - och Transportbilar</t>
  </si>
  <si>
    <t>mailat</t>
  </si>
  <si>
    <t>Car Care Sthlm AB</t>
  </si>
  <si>
    <t>Bilhuset Småland AB</t>
  </si>
  <si>
    <t>1600 kr exkl moms. (Han har fattat det som 1680 kr exkl moms)</t>
  </si>
  <si>
    <t>Fryksdalens Bil AB</t>
  </si>
  <si>
    <t>Mailat</t>
  </si>
  <si>
    <r>
      <rPr/>
      <t>Fil som vi lägger in alla ordrar till Imiola. Lägg även ett mail till Imiola (</t>
    </r>
    <r>
      <rPr>
        <color rgb="FF1155CC"/>
        <u/>
      </rPr>
      <t>office@imiola.pl</t>
    </r>
    <r>
      <rPr/>
      <t>) när order lagts här i, de går inte in och kikar regelbundet som Steinhof.</t>
    </r>
  </si>
  <si>
    <t>Autovision sverige ab</t>
  </si>
  <si>
    <t>Daniel Johansson</t>
  </si>
  <si>
    <t>SKA TILL:</t>
  </si>
  <si>
    <t>Örkroken 2</t>
  </si>
  <si>
    <t>138 40</t>
  </si>
  <si>
    <t>Bromma bilanalys &amp; Bilverkstad AB</t>
  </si>
  <si>
    <t>Älta</t>
  </si>
  <si>
    <t>08-41030038</t>
  </si>
  <si>
    <t>info@carcare-sthlm.se</t>
  </si>
  <si>
    <t>Bil Brodd AB</t>
  </si>
  <si>
    <t>MCS Sverige AB / Dunhoffbil</t>
  </si>
  <si>
    <t>Ljusdals Bilverkstad AB</t>
  </si>
  <si>
    <t>Roberts Verkstad</t>
  </si>
  <si>
    <t>Dannes AutoMotor AB</t>
  </si>
  <si>
    <t>Vinsta Bilservice AB</t>
  </si>
  <si>
    <t>Order Westfalia</t>
  </si>
  <si>
    <t>Via Bilservice AB</t>
  </si>
  <si>
    <t>1€=</t>
  </si>
  <si>
    <t>Säkra Bilar Stockholm AB</t>
  </si>
  <si>
    <t>HRM Bil AB</t>
  </si>
  <si>
    <t>Antal</t>
  </si>
  <si>
    <t>Typ</t>
  </si>
  <si>
    <t>PS Bil och Maskin</t>
  </si>
  <si>
    <t>Fabrikat</t>
  </si>
  <si>
    <t>Artikelnummer</t>
  </si>
  <si>
    <t>Plåtverkstan i Sandviken AB</t>
  </si>
  <si>
    <t>Bil</t>
  </si>
  <si>
    <t xml:space="preserve">Kungsbacka Bilcentrum AB </t>
  </si>
  <si>
    <t>Årsmodell</t>
  </si>
  <si>
    <t>Tobias</t>
  </si>
  <si>
    <t>Var?</t>
  </si>
  <si>
    <r>
      <rPr/>
      <t xml:space="preserve">Ordrar till Westfalia läggs i deras Webshop. Det går även att beställa via mail till </t>
    </r>
    <r>
      <rPr>
        <color rgb="FF1155CC"/>
        <u/>
      </rPr>
      <t>ea-dk-sales@horizonglobal.com</t>
    </r>
    <r>
      <rPr/>
      <t xml:space="preserve"> eller telefon ‭0220-225 41‬</t>
    </r>
  </si>
  <si>
    <t>Nordupplands Bil AB</t>
  </si>
  <si>
    <r>
      <rPr>
        <b/>
        <color rgb="FF000000"/>
      </rPr>
      <t xml:space="preserve">Tillhörde / Ursprung </t>
    </r>
    <r>
      <rPr>
        <b/>
        <color rgb="FF000000"/>
        <u/>
      </rPr>
      <t>Reg.nr</t>
    </r>
  </si>
  <si>
    <t>Nej</t>
  </si>
  <si>
    <t>Hermansson Bil AB</t>
  </si>
  <si>
    <t>Vallentuna Däcktion AB</t>
  </si>
  <si>
    <t>1600 kr exkl moms.</t>
  </si>
  <si>
    <t>Carmatic AB</t>
  </si>
  <si>
    <t>Order Martec</t>
  </si>
  <si>
    <t>Fredrik Faraj</t>
  </si>
  <si>
    <t>Moränvägen 1</t>
  </si>
  <si>
    <t>186 40</t>
  </si>
  <si>
    <t>Vallentuna</t>
  </si>
  <si>
    <t>070-0929723</t>
  </si>
  <si>
    <t>Fastmec AB meka Ludvika</t>
  </si>
  <si>
    <t>vallentunadack@gmail.com</t>
  </si>
  <si>
    <t>telefon,mail återkommer om pris</t>
  </si>
  <si>
    <t>Williams Garage</t>
  </si>
  <si>
    <t>Mailat om prisfråga</t>
  </si>
  <si>
    <t>Sanel</t>
  </si>
  <si>
    <t>BNM Bilverkstad AB</t>
  </si>
  <si>
    <t>Sänkte priset till 2800+m</t>
  </si>
  <si>
    <t>Benon</t>
  </si>
  <si>
    <t>PS Motorsport
070-555 14 46</t>
  </si>
  <si>
    <t>Patrik</t>
  </si>
  <si>
    <r>
      <rPr/>
      <t xml:space="preserve">Ordrar på Autohak eller Brink görs per mail till Martec, </t>
    </r>
    <r>
      <rPr>
        <color rgb="FF1155CC"/>
        <u/>
      </rPr>
      <t>export@martec.pl</t>
    </r>
    <r>
      <rPr/>
      <t>. Martec lägger sedan in ordrarna i denna fil.</t>
    </r>
  </si>
  <si>
    <t>Enarsson bil och plåt</t>
  </si>
  <si>
    <t>Övrigt / Orsak / Skick</t>
  </si>
  <si>
    <t xml:space="preserve">telefon,mail </t>
  </si>
  <si>
    <t>Total bil i Falun</t>
  </si>
  <si>
    <t>EAN Codes</t>
  </si>
  <si>
    <t>VTL Teknik</t>
  </si>
  <si>
    <t>Mailat ,besökt</t>
  </si>
  <si>
    <t>I lagret 181212</t>
  </si>
  <si>
    <t>Morgan</t>
  </si>
  <si>
    <t>Södra Orredsvägen 2</t>
  </si>
  <si>
    <t>Ligga kvar</t>
  </si>
  <si>
    <t>Salabilteknik Q8</t>
  </si>
  <si>
    <t>439 74</t>
  </si>
  <si>
    <t>Fjärås</t>
  </si>
  <si>
    <t>Besökt</t>
  </si>
  <si>
    <t>072-325 56 86</t>
  </si>
  <si>
    <t>Order Umbra Rimorchi</t>
  </si>
  <si>
    <t>Borås</t>
  </si>
  <si>
    <t>Bilkompaniet Sala Volvo</t>
  </si>
  <si>
    <t>Jan</t>
  </si>
  <si>
    <t>Kontoret</t>
  </si>
  <si>
    <t>Nordiska Bilkompaniet AB</t>
  </si>
  <si>
    <t>Leverantör</t>
  </si>
  <si>
    <t>Besökt partner</t>
  </si>
  <si>
    <t>Hozan</t>
  </si>
  <si>
    <t>Kund / Verkstad</t>
  </si>
  <si>
    <t>Bokat upphämtning?</t>
  </si>
  <si>
    <t>Halléns Bilservice AB</t>
  </si>
  <si>
    <t>Norrmans bil Sala</t>
  </si>
  <si>
    <t>KLART ?</t>
  </si>
  <si>
    <t>1600 kr exkl moms</t>
  </si>
  <si>
    <t>Fredrik</t>
  </si>
  <si>
    <t>Kabelvägen 6</t>
  </si>
  <si>
    <t>553 02</t>
  </si>
  <si>
    <t>Jönköping</t>
  </si>
  <si>
    <t>070-285 81 69</t>
  </si>
  <si>
    <r>
      <rPr>
        <b/>
        <color rgb="FF000000"/>
        <u/>
      </rPr>
      <t xml:space="preserve">Tagen till </t>
    </r>
    <r>
      <rPr>
        <b/>
        <color rgb="FF000000"/>
        <u/>
      </rPr>
      <t>Reg.nr</t>
    </r>
    <r>
      <rPr>
        <b/>
        <color rgb="FF000000"/>
        <u/>
      </rPr>
      <t xml:space="preserve"> / Ordernummer</t>
    </r>
  </si>
  <si>
    <t>Sala bilservice</t>
  </si>
  <si>
    <r>
      <rPr/>
      <t xml:space="preserve">Ordrar på Umbra läggs i detta dokumentet. Skicka ett mail till </t>
    </r>
    <r>
      <rPr>
        <color rgb="FF1155CC"/>
        <u/>
      </rPr>
      <t>export@umbrarimorchi.it</t>
    </r>
    <r>
      <rPr/>
      <t xml:space="preserve"> när order lagts. De kikar inte jämnt i denna listan.</t>
    </r>
  </si>
  <si>
    <t>Göm / KLAR ?</t>
  </si>
  <si>
    <t>B&amp;J Skylt skickad 14/11</t>
  </si>
  <si>
    <t>Bjuda in i kalendern och även mail</t>
  </si>
  <si>
    <t>AD Butik i Sala</t>
  </si>
  <si>
    <t>CE Motor</t>
  </si>
  <si>
    <t>Mått på paketet</t>
  </si>
  <si>
    <t>2000 kr exkl moms.
Övr. se ute i kanten</t>
  </si>
  <si>
    <t>Övrigt 2</t>
  </si>
  <si>
    <t>Mekonomen Butik Sala</t>
  </si>
  <si>
    <r>
      <rPr/>
      <t xml:space="preserve">Vill ha bilen </t>
    </r>
    <r>
      <rPr>
        <b/>
      </rPr>
      <t>09.15</t>
    </r>
  </si>
  <si>
    <t>Ta upp som lager 2018</t>
  </si>
  <si>
    <t>På lager 2023-12-31</t>
  </si>
  <si>
    <t>Order Menabo till lagret i Borås - Mall</t>
  </si>
  <si>
    <t>Christian</t>
  </si>
  <si>
    <t>Energivägen 2</t>
  </si>
  <si>
    <t>135 49</t>
  </si>
  <si>
    <t>Inventering 2024-11-30</t>
  </si>
  <si>
    <t>Tyresö</t>
  </si>
  <si>
    <t>08-7703409
Christian 0707-397767</t>
  </si>
  <si>
    <t>Möller bil Sala VW</t>
  </si>
  <si>
    <t>Inköpspris</t>
  </si>
  <si>
    <t>Christian@cemotor.se</t>
  </si>
  <si>
    <t>Till prislistan</t>
  </si>
  <si>
    <t>PA Bil &amp; Motor Karlskoga</t>
  </si>
  <si>
    <t>Ringt/Mailat</t>
  </si>
  <si>
    <t>25 med reg nr nfr489.</t>
  </si>
  <si>
    <t>Sanna</t>
  </si>
  <si>
    <t>Elsatser</t>
  </si>
  <si>
    <t>0586-531 70</t>
  </si>
  <si>
    <t>STARC</t>
  </si>
  <si>
    <t>7-polig</t>
  </si>
  <si>
    <t>Plåt &amp; Mek Fagersta AB</t>
  </si>
  <si>
    <t xml:space="preserve"> </t>
  </si>
  <si>
    <t>Besökt och blir partnerverkstad</t>
  </si>
  <si>
    <t>Alexandar</t>
  </si>
  <si>
    <t>Lager</t>
  </si>
  <si>
    <t xml:space="preserve">
0223 - 211 11</t>
  </si>
  <si>
    <t>Lämna 8.30 på morgonen
Kan inte programmera.</t>
  </si>
  <si>
    <t>Mall för QTY för ordrar från Menabo till Borås</t>
  </si>
  <si>
    <t>Frederik</t>
  </si>
  <si>
    <t>Autocenter i bergslagen AB
BDS</t>
  </si>
  <si>
    <t>besökt</t>
  </si>
  <si>
    <t>0223 14280</t>
  </si>
  <si>
    <t>Bilcity i Fagersta Kia</t>
  </si>
  <si>
    <t>Jobbar ej torsdag eller fredag i verkstaden. 10% ibland.</t>
  </si>
  <si>
    <t>Stefan</t>
  </si>
  <si>
    <t>CRM lista B2B</t>
  </si>
  <si>
    <t>0223 16170</t>
  </si>
  <si>
    <t>Bättre betalt vid fordonsspecifikt. Mer av kunden (i utgångspunkt) vid extra arbete såsom rost mm.</t>
  </si>
  <si>
    <t>Motorforum i Fagersta</t>
  </si>
  <si>
    <t>Luddes Hyresmaskiner</t>
  </si>
  <si>
    <t>besökt smsat 070 3195000</t>
  </si>
  <si>
    <t>Ludde</t>
  </si>
  <si>
    <t>0223 10900</t>
  </si>
  <si>
    <t>S-Service Din Bilverkstad AB</t>
  </si>
  <si>
    <t xml:space="preserve">1610 kr + moms /montering
</t>
  </si>
  <si>
    <t>Savo</t>
  </si>
  <si>
    <t>Fjärestadsvägen 344</t>
  </si>
  <si>
    <t>B2B lista med kunder att jaga samt ev avtal med dem.</t>
  </si>
  <si>
    <t>253 42</t>
  </si>
  <si>
    <t>idrefordonsservice</t>
  </si>
  <si>
    <t>Vallåkra</t>
  </si>
  <si>
    <t>042-99208</t>
  </si>
  <si>
    <t>Våra verkstäder</t>
  </si>
  <si>
    <t>073-061 62 91</t>
  </si>
  <si>
    <r>
      <rPr/>
      <t xml:space="preserve">Lista över våra verkstäder. Avtal mm fylls i här. Är de även kunder så fylls deras avtal in även i </t>
    </r>
    <r>
      <rPr>
        <color rgb="FF1155CC"/>
        <u/>
      </rPr>
      <t>CRM lista B2B</t>
    </r>
  </si>
  <si>
    <t>NK MEK &amp; TUNING AB</t>
  </si>
  <si>
    <t>Lediga tider i verkstäder och elsatser på lager hos dem</t>
  </si>
  <si>
    <t>telefon /mail partner</t>
  </si>
  <si>
    <t xml:space="preserve">
0652-108 88</t>
  </si>
  <si>
    <t>Lista över elsatser i verkstäderna samt om de har stängt, semester mm.</t>
  </si>
  <si>
    <t>Holmbergs Autoservice</t>
  </si>
  <si>
    <t>Kopplingsscheman universalelsatser</t>
  </si>
  <si>
    <t>Markus</t>
  </si>
  <si>
    <t>Industrigatan 10</t>
  </si>
  <si>
    <t>273 35</t>
  </si>
  <si>
    <t>Tomelilla</t>
  </si>
  <si>
    <t>0738-133031</t>
  </si>
  <si>
    <t>Fordonsservice Uppland AB</t>
  </si>
  <si>
    <t>markus@holmbergsautoservice.se</t>
  </si>
  <si>
    <t>Telefon/mail Partner</t>
  </si>
  <si>
    <t>Henrik</t>
  </si>
  <si>
    <t>073 767 03 11</t>
  </si>
  <si>
    <t>Bjuda in i kalendern</t>
  </si>
  <si>
    <t>JHS Bilservice</t>
  </si>
  <si>
    <t>Motorbolaget i Växjö AB
störst på a-traktorer</t>
  </si>
  <si>
    <t>Telefon /mail</t>
  </si>
  <si>
    <t>Dragkrokar</t>
  </si>
  <si>
    <t>0470 - 131 80</t>
  </si>
  <si>
    <t>Kopplingsscheman från JV på olika bilmodeller. (Ej helt klar!) Resterande finns i pärmen.</t>
  </si>
  <si>
    <t>Blandat</t>
  </si>
  <si>
    <t>1800 kr exkl moms.</t>
  </si>
  <si>
    <t>S-kulor</t>
  </si>
  <si>
    <t>Bibeln</t>
  </si>
  <si>
    <r>
      <rPr>
        <b/>
      </rPr>
      <t xml:space="preserve">Vill helst ha bilen 09.00
</t>
    </r>
    <r>
      <rPr/>
      <t>Kan ta 2 bilar per dag.</t>
    </r>
  </si>
  <si>
    <t>2 st silver 1 guld. 2 bultade</t>
  </si>
  <si>
    <t>Bibeln med frågor och svar samt lite policy som vi samlat på oss genom åren.</t>
  </si>
  <si>
    <t>Smista bil mekonomen</t>
  </si>
  <si>
    <t>Jack</t>
  </si>
  <si>
    <t>Jättevägen 4</t>
  </si>
  <si>
    <t>08 55036550</t>
  </si>
  <si>
    <t>Järfälla</t>
  </si>
  <si>
    <t>08-58352820
(JACK) 070-881 67 98</t>
  </si>
  <si>
    <t>jhs.dragkrok@gmail.com</t>
  </si>
  <si>
    <t>Google Drive</t>
  </si>
  <si>
    <t>Autolagret i Sverige AB</t>
  </si>
  <si>
    <t>Mail</t>
  </si>
  <si>
    <t>Delade dokument och bra att ha</t>
  </si>
  <si>
    <t xml:space="preserve"> Fri frakt -10% på dragen</t>
  </si>
  <si>
    <t>Håkan</t>
  </si>
  <si>
    <t xml:space="preserve">
Stockholms Bilmäklare AB</t>
  </si>
  <si>
    <t>Melinas Bilar AB</t>
  </si>
  <si>
    <t>Nöjd med samarbetet, har mycket att göra i verkstaden - boka ca 1.5 vecka fram</t>
  </si>
  <si>
    <t>073-3580954</t>
  </si>
  <si>
    <t>info@melinasbilar.se</t>
  </si>
  <si>
    <t>Ja</t>
  </si>
  <si>
    <t>Highway Performance AB</t>
  </si>
  <si>
    <t>Motornavet</t>
  </si>
  <si>
    <t>telefon ,
kan hjälpa om Åhus inte kan</t>
  </si>
  <si>
    <t>Mattias</t>
  </si>
  <si>
    <t>Nyängsgatan 3</t>
  </si>
  <si>
    <t>Finns i Google drive länkat</t>
  </si>
  <si>
    <t>Niklas</t>
  </si>
  <si>
    <t xml:space="preserve">295 39 </t>
  </si>
  <si>
    <t>Varholmsgatan 12</t>
  </si>
  <si>
    <t>414 74</t>
  </si>
  <si>
    <t>Bromölla</t>
  </si>
  <si>
    <t>Göteborg</t>
  </si>
  <si>
    <t xml:space="preserve"> 0456-25510</t>
  </si>
  <si>
    <t>031-128117</t>
  </si>
  <si>
    <t>info@motornavet.se</t>
  </si>
  <si>
    <t xml:space="preserve"> skoglund.mattias@gmail.com</t>
  </si>
  <si>
    <t>Statistik</t>
  </si>
  <si>
    <t>Försäljning Statistik</t>
  </si>
  <si>
    <t>autohero</t>
  </si>
  <si>
    <t>telefon</t>
  </si>
  <si>
    <t>Tagit en silver 5/9 -17 //TC</t>
  </si>
  <si>
    <t>08 12411420</t>
  </si>
  <si>
    <t>Electro Center i Stenungsund AB - Bosch Car Service</t>
  </si>
  <si>
    <t>414 Industries</t>
  </si>
  <si>
    <t>pris 4658 ink</t>
  </si>
  <si>
    <t>Hantverkaregatan 22, 444 32 Stenungsund</t>
  </si>
  <si>
    <t>0303-840 15</t>
  </si>
  <si>
    <t>info@electrocenter.se</t>
  </si>
  <si>
    <t>Ola</t>
  </si>
  <si>
    <t>ZK-2</t>
  </si>
  <si>
    <t>072-7268393</t>
  </si>
  <si>
    <t>MESSES BILSERVICE AB</t>
  </si>
  <si>
    <t>ola.svalander@gmail.com</t>
  </si>
  <si>
    <t>Adapterkula</t>
  </si>
  <si>
    <t>Ville bli partner</t>
  </si>
  <si>
    <t>Dalvägen 64</t>
  </si>
  <si>
    <t>147 32</t>
  </si>
  <si>
    <t>Tumba</t>
  </si>
  <si>
    <t>info@messes.se</t>
  </si>
  <si>
    <t>Autocloud</t>
  </si>
  <si>
    <t>Telefon</t>
  </si>
  <si>
    <t>Ismo</t>
  </si>
  <si>
    <t>Gjutargatan 32</t>
  </si>
  <si>
    <t xml:space="preserve">781 70 </t>
  </si>
  <si>
    <t>Borlänge</t>
  </si>
  <si>
    <t>0243 226150</t>
  </si>
  <si>
    <t>info@autocloud.se</t>
  </si>
  <si>
    <t>Dokument</t>
  </si>
  <si>
    <t>Fordonshallen Dalarna AB</t>
  </si>
  <si>
    <t>Robin</t>
  </si>
  <si>
    <t>Marknadsföring: Leverantörer</t>
  </si>
  <si>
    <t>Hugo Hedströms väg 6</t>
  </si>
  <si>
    <t>0243-12220</t>
  </si>
  <si>
    <t>info@fordonshallendalarna.se</t>
  </si>
  <si>
    <t>NEJ</t>
  </si>
  <si>
    <t>Bilbutiken dalarna</t>
  </si>
  <si>
    <t>Jimmy</t>
  </si>
  <si>
    <t>Tunavägen 291</t>
  </si>
  <si>
    <t>Tistings Träförädling</t>
  </si>
  <si>
    <t>781 73</t>
  </si>
  <si>
    <t xml:space="preserve">0243-10055
</t>
  </si>
  <si>
    <t>info@bilbutikendalarna.se</t>
  </si>
  <si>
    <t>Oskar</t>
  </si>
  <si>
    <t>LTE Bil AB</t>
  </si>
  <si>
    <t xml:space="preserve">Telefon,mail,besök </t>
  </si>
  <si>
    <t>Elsa</t>
  </si>
  <si>
    <t>Herrgårdsgatan 28</t>
  </si>
  <si>
    <t>0243-23 00 28</t>
  </si>
  <si>
    <t>info@ltebil.se</t>
  </si>
  <si>
    <t>556797-0511</t>
  </si>
  <si>
    <t>ev partner</t>
  </si>
  <si>
    <t>Texter och beskrivningar om våra leverantörer</t>
  </si>
  <si>
    <t>Steinhof</t>
  </si>
  <si>
    <t>A-037</t>
  </si>
  <si>
    <t>Produktblad Monteringspartner</t>
  </si>
  <si>
    <t>Supreme Autoservice</t>
  </si>
  <si>
    <t>Fast</t>
  </si>
  <si>
    <t>JMS Sweden AB</t>
  </si>
  <si>
    <t>2250 kr exkl moms
Fordonsspecifik 800 ex moms extra om den är jobbig.
Extra matarsats 800 ex moms extra.
Udda bilar, lyxbilar diskuteras innan.</t>
  </si>
  <si>
    <t>Telefon, många a-traktorbyggen verkstadspartner återkommer om pris</t>
  </si>
  <si>
    <r>
      <rPr/>
      <t xml:space="preserve">Vill ha bilen 08.00
</t>
    </r>
    <r>
      <rPr>
        <b/>
      </rPr>
      <t>Boka upp 3 timmar i kalendern</t>
    </r>
  </si>
  <si>
    <t>Jacob</t>
  </si>
  <si>
    <t>Ilker</t>
  </si>
  <si>
    <t>,
Industrigatan 12</t>
  </si>
  <si>
    <t>ALFA ROMEO 159 Sedan 2005&gt;
ALFA ROMEO 159 Kombi 2006&gt;</t>
  </si>
  <si>
    <t>Cypressvägen 10</t>
  </si>
  <si>
    <t>732 31</t>
  </si>
  <si>
    <t>213 63</t>
  </si>
  <si>
    <t>2005&gt;</t>
  </si>
  <si>
    <t>Arboga</t>
  </si>
  <si>
    <t>Malmö</t>
  </si>
  <si>
    <t>040-213 580
ILKER: 0736-600974</t>
  </si>
  <si>
    <t>Linköping Speedy</t>
  </si>
  <si>
    <t>072-569 89 70</t>
  </si>
  <si>
    <t>info@supremeauto.se</t>
  </si>
  <si>
    <t>inbox.lev.1690436@arkivplats.se</t>
  </si>
  <si>
    <t>559527-5545</t>
  </si>
  <si>
    <t>Produktblad monteringspartners, hur vi jobbar och fördelningar mm</t>
  </si>
  <si>
    <t>Foaad klarade inte att montera den på OTH308. Ta hem krok. Skickad till HNE833</t>
  </si>
  <si>
    <t>Tågaborgs Bilservice</t>
  </si>
  <si>
    <t>2500 kr exkl moms</t>
  </si>
  <si>
    <t>A-042</t>
  </si>
  <si>
    <t xml:space="preserve">
Öppnar 07.00 och stänger 16.30</t>
  </si>
  <si>
    <t>AV</t>
  </si>
  <si>
    <t>ALFA ROMEO Giulietta Halvkombi 2010&gt;</t>
  </si>
  <si>
    <t>2010&gt;</t>
  </si>
  <si>
    <t>Umeå</t>
  </si>
  <si>
    <t>Jonas och Hacim</t>
  </si>
  <si>
    <t>Florettgatan 7</t>
  </si>
  <si>
    <t>254 67</t>
  </si>
  <si>
    <t>Helsingborg</t>
  </si>
  <si>
    <t>042-201804</t>
  </si>
  <si>
    <t>jonas@tagaborgsbil.com
hacim@tagaborgsbil.com
info@tagaborgsbil.com</t>
  </si>
  <si>
    <t>Pratar med Jonas om att kontrollera dragkrokar innan montering. Bra samtal.
Han nämnde även priser, och var överrens om att det är dumt att ändra något nu i svajig marknad. Men prata till hösten igen om kanske 2000 kr + moms för monteringarna (hans förslag)</t>
  </si>
  <si>
    <t>Motala Bilpartner</t>
  </si>
  <si>
    <t>Tillhörde MXK761 som avbokat. Vänta ev med att ta hem detta draget. Se om kund bokar på.</t>
  </si>
  <si>
    <t>Denis</t>
  </si>
  <si>
    <t>Vintergatan 4</t>
  </si>
  <si>
    <t>591 32</t>
  </si>
  <si>
    <t>Motala</t>
  </si>
  <si>
    <t>0141-55990</t>
  </si>
  <si>
    <t>Motorvärmare</t>
  </si>
  <si>
    <t>DEFA</t>
  </si>
  <si>
    <t>440052</t>
  </si>
  <si>
    <t>Bluetooth Kit</t>
  </si>
  <si>
    <t>Alla bilar. Bluetooth Upgrade Kit</t>
  </si>
  <si>
    <t>Ringa och boka med Sanel</t>
  </si>
  <si>
    <t>E2</t>
  </si>
  <si>
    <t>1600 kr exkl moms
(kan komma att höjas)</t>
  </si>
  <si>
    <t>Vill ha bilen 08.00</t>
  </si>
  <si>
    <t>Förrådsgatan 10</t>
  </si>
  <si>
    <t>542 35</t>
  </si>
  <si>
    <t>Mariestad</t>
  </si>
  <si>
    <t>0737-266323</t>
  </si>
  <si>
    <t>info@williamsgarage.se</t>
  </si>
  <si>
    <t>Mailat och återkommer om prisbild</t>
  </si>
  <si>
    <t xml:space="preserve">Ring innan om tid! </t>
  </si>
  <si>
    <t xml:space="preserve">AB Ystad Meck &amp; Däck </t>
  </si>
  <si>
    <t>Westfalia</t>
  </si>
  <si>
    <t>Avtagbar</t>
  </si>
  <si>
    <t>2000 kr exkl moms.</t>
  </si>
  <si>
    <t>Marcus</t>
  </si>
  <si>
    <t xml:space="preserve">Mässingsgatan 9 </t>
  </si>
  <si>
    <t>Audi A1 2010&gt;</t>
  </si>
  <si>
    <t>271 39</t>
  </si>
  <si>
    <t>Ystad</t>
  </si>
  <si>
    <t>0411-72422</t>
  </si>
  <si>
    <t>verkstad@ystaddack.se</t>
  </si>
  <si>
    <t>D1</t>
  </si>
  <si>
    <t>Nöjd med samarbetet, har mycket att göra i verkstaden - boka ca 2.5 vecka fram och ring före bokning</t>
  </si>
  <si>
    <t>Bjud in i kalendern</t>
  </si>
  <si>
    <t>IM Bilservice</t>
  </si>
  <si>
    <t>Dragkrok: 2400 kr + moms
Motorvärmare: 2000 kr + moms</t>
  </si>
  <si>
    <t>Vill ha bilen 08.00.</t>
  </si>
  <si>
    <t>Issam</t>
  </si>
  <si>
    <t>Kvällsvindsgatan 6</t>
  </si>
  <si>
    <t>652 21</t>
  </si>
  <si>
    <t>Karlstad</t>
  </si>
  <si>
    <t>054-85 68 70</t>
  </si>
  <si>
    <t>imbilservice@boschcarservice.se
samassaad5@gmail.com</t>
  </si>
  <si>
    <t>Fortsätter sammarbetet men tar krokarna ifrån Experten tyvärr efter strul med 3 st leveranser
Boka 1,5 vecka fram</t>
  </si>
  <si>
    <t>Frösö Gummi AB</t>
  </si>
  <si>
    <t>Frösövägen 63</t>
  </si>
  <si>
    <t>832 44</t>
  </si>
  <si>
    <t>FRÖSÖN</t>
  </si>
  <si>
    <t>063-104666</t>
  </si>
  <si>
    <t>Audi A3 , VW Golf , Seat Leon, Skoda</t>
  </si>
  <si>
    <t>2012&gt;</t>
  </si>
  <si>
    <t>Kök</t>
  </si>
  <si>
    <t>HH Bilservice HB</t>
  </si>
  <si>
    <t>176 77</t>
  </si>
  <si>
    <t>08-58352820</t>
  </si>
  <si>
    <t>Bjuda in i kalendern och även mail
maila först och kolla läget</t>
  </si>
  <si>
    <t>Speedy Bilservice Åhus (Åhus Fordonsteknik AB)</t>
  </si>
  <si>
    <t>2500kr exkl moms.</t>
  </si>
  <si>
    <t>Robin och Alex</t>
  </si>
  <si>
    <t>Koriandervägen 4</t>
  </si>
  <si>
    <t>296 41</t>
  </si>
  <si>
    <t>Åhus</t>
  </si>
  <si>
    <t>044-24 00 57</t>
  </si>
  <si>
    <t>ahus@speedybilservice.se</t>
  </si>
  <si>
    <t>Till bil POW788</t>
  </si>
  <si>
    <t>x</t>
  </si>
  <si>
    <t>Kovil</t>
  </si>
  <si>
    <t>fixed</t>
  </si>
  <si>
    <t>Audi A3 (8PA) 5D-Sportback 2WD</t>
  </si>
  <si>
    <t>2004-9/2012</t>
  </si>
  <si>
    <t>Mycket jobb just nu så vi mailar om bokning
Ändrat till 2500+ moms. Snackat även om clipps sats till inredning som går sönder vid demontering, att det framgår till kund att det kostar extra ex 500kr</t>
  </si>
  <si>
    <t>B2</t>
  </si>
  <si>
    <t>Brännlunds Garage</t>
  </si>
  <si>
    <t>Peter</t>
  </si>
  <si>
    <t>Snäppvägen 3</t>
  </si>
  <si>
    <t>802 91</t>
  </si>
  <si>
    <t>Gävle</t>
  </si>
  <si>
    <t>0703-980894</t>
  </si>
  <si>
    <t>info@brannlundsgarage.com</t>
  </si>
  <si>
    <t>Maila och ringa</t>
  </si>
  <si>
    <t>Magnus Snabbservice</t>
  </si>
  <si>
    <t>GOK540</t>
  </si>
  <si>
    <t>Magnus och Daniel</t>
  </si>
  <si>
    <t>Skallebackavägen 20</t>
  </si>
  <si>
    <t>302 41</t>
  </si>
  <si>
    <t>Halmstad</t>
  </si>
  <si>
    <t>035-10 00 55
0733-854120</t>
  </si>
  <si>
    <t>info@magnussnabbservice.se
magnus@magnussnabbservice.se
fredrik@magnussnabbservice.se</t>
  </si>
  <si>
    <t>Pettsons Bilservice</t>
  </si>
  <si>
    <t>AUDI A3 04&gt;13 3d Cab 2008&gt; ej sportback
VW Golf 5 , 5+ , 6 , 6+ , GTI , Cross</t>
  </si>
  <si>
    <t>Agne</t>
  </si>
  <si>
    <t>Västerhejde Gamla Kyrkvägen 8</t>
  </si>
  <si>
    <t>2005-2011
2011&gt;</t>
  </si>
  <si>
    <t>622 61</t>
  </si>
  <si>
    <t>Visby</t>
  </si>
  <si>
    <t>0706-296146</t>
  </si>
  <si>
    <t>Stora rummet</t>
  </si>
  <si>
    <t>Speedy Bilservice Falkenberg</t>
  </si>
  <si>
    <t>2300 kr exkl moms.</t>
  </si>
  <si>
    <t>Vill ha bilen 08.00 helst</t>
  </si>
  <si>
    <t>Andreas</t>
  </si>
  <si>
    <t>Oktanvägen 1c</t>
  </si>
  <si>
    <t>311 32</t>
  </si>
  <si>
    <t>Falkenberg</t>
  </si>
  <si>
    <t>0346-216969
0705-880519</t>
  </si>
  <si>
    <t>falkenberg@speedybilservice.se</t>
  </si>
  <si>
    <t>Bagagematta</t>
  </si>
  <si>
    <t>GJK</t>
  </si>
  <si>
    <t>102030</t>
  </si>
  <si>
    <t>Audi A3 2012 3-dörr</t>
  </si>
  <si>
    <t>12&gt;</t>
  </si>
  <si>
    <t>A4</t>
  </si>
  <si>
    <t>Bil och Maskinteknik AB</t>
  </si>
  <si>
    <t>Magnus, Mikael</t>
  </si>
  <si>
    <t>Ahlmarksvägen 1</t>
  </si>
  <si>
    <t xml:space="preserve">953 36 </t>
  </si>
  <si>
    <t>Haparanda</t>
  </si>
  <si>
    <t>072-2197848</t>
  </si>
  <si>
    <t>34009@okq8bilverkstad.se</t>
  </si>
  <si>
    <t>De jobbar bara en i verkstaden nu, den andra i gruvan. Kör varannan vecka. //TC 3/11</t>
  </si>
  <si>
    <t>Drakängens Bilservice</t>
  </si>
  <si>
    <t>Audi A3 Sportback</t>
  </si>
  <si>
    <t>Robban</t>
  </si>
  <si>
    <t>2004&gt;2013</t>
  </si>
  <si>
    <t>Drakängen Attsjö</t>
  </si>
  <si>
    <t>Lagret</t>
  </si>
  <si>
    <t>Furuby/växjö</t>
  </si>
  <si>
    <t>0704-644547</t>
  </si>
  <si>
    <t>robban300zx@hotmail.com</t>
  </si>
  <si>
    <t>Nöjd med samarbetet, har mycket att göra i verkstaden - boka ca 1.5 vecka fram
sem 26/4 - 2 veckor</t>
  </si>
  <si>
    <t>JV Automontage</t>
  </si>
  <si>
    <t>295 kr (vår egen)</t>
  </si>
  <si>
    <t>1800 kr exkl moms</t>
  </si>
  <si>
    <t>Vill ha bilen 09.15</t>
  </si>
  <si>
    <t>Jesper Vinquist</t>
  </si>
  <si>
    <t>EA Rosengrens gata 27</t>
  </si>
  <si>
    <t>421 32</t>
  </si>
  <si>
    <t>Västra Frölunda</t>
  </si>
  <si>
    <t>0735-180195</t>
  </si>
  <si>
    <t>jesper@jvautomontage.se</t>
  </si>
  <si>
    <t xml:space="preserve">AV </t>
  </si>
  <si>
    <t xml:space="preserve">2012&gt; </t>
  </si>
  <si>
    <t>Speedy Bilservice Karlskrona</t>
  </si>
  <si>
    <t>C3</t>
  </si>
  <si>
    <t>Nikki</t>
  </si>
  <si>
    <t xml:space="preserve">Sunnavägen 99 </t>
  </si>
  <si>
    <t>371 41</t>
  </si>
  <si>
    <t>Karlskrona</t>
  </si>
  <si>
    <t>0455-192 20</t>
  </si>
  <si>
    <t>karlskrona@speedybilservice.se</t>
  </si>
  <si>
    <t>Lägga in i kalendern</t>
  </si>
  <si>
    <t>Äpplekullen Bil &amp; Däckservice</t>
  </si>
  <si>
    <t>Roger (Marcus &amp; Mikael)</t>
  </si>
  <si>
    <t>Ekenleden 1</t>
  </si>
  <si>
    <t>428 36</t>
  </si>
  <si>
    <t>Kållered</t>
  </si>
  <si>
    <t>031-7951000
(0735-361705)</t>
  </si>
  <si>
    <t>info@applekullen.se</t>
  </si>
  <si>
    <t>Eklunds Bil 14/2</t>
  </si>
  <si>
    <t xml:space="preserve">"Nöjd med samarbetet, har mycket att göra i verkstaden - boka ca 2 veckor fram
</t>
  </si>
  <si>
    <t>Skicka info på SMS.</t>
  </si>
  <si>
    <t>Widhedens Bil AB</t>
  </si>
  <si>
    <t>1600 kr exkl moms
10% när han handlar</t>
  </si>
  <si>
    <t>04&gt;13</t>
  </si>
  <si>
    <t>TC</t>
  </si>
  <si>
    <t>Richard</t>
  </si>
  <si>
    <t>Björbäcksvägen 6</t>
  </si>
  <si>
    <t>451 55</t>
  </si>
  <si>
    <t>Uddevalla</t>
  </si>
  <si>
    <t>0763-048909(Widhedens)
0738-219725(Richard)</t>
  </si>
  <si>
    <t>widhedenbil@gmail.com</t>
  </si>
  <si>
    <t>1st Class Bil &amp; Lackering</t>
  </si>
  <si>
    <t>Ivar</t>
  </si>
  <si>
    <t>Skälebol Mossen 1</t>
  </si>
  <si>
    <t xml:space="preserve">464 92 </t>
  </si>
  <si>
    <t>Mellerud</t>
  </si>
  <si>
    <t>0764-14 25 66</t>
  </si>
  <si>
    <t>Ivar.Borresen2022@outlook.com</t>
  </si>
  <si>
    <t>Tagen till KSX869</t>
  </si>
  <si>
    <t>Meddelat 23/1 att han ej 
kan fakturera längre och
därmed inte kan montera.</t>
  </si>
  <si>
    <t>V-063</t>
  </si>
  <si>
    <t xml:space="preserve">Audi A3 Sportback </t>
  </si>
  <si>
    <t>13&gt;</t>
  </si>
  <si>
    <t>A1</t>
  </si>
  <si>
    <t xml:space="preserve">Nybrons Bilservice AB </t>
  </si>
  <si>
    <t>Roger</t>
  </si>
  <si>
    <t>Bergslenagatan 49</t>
  </si>
  <si>
    <t>506 30</t>
  </si>
  <si>
    <t>033-131780</t>
  </si>
  <si>
    <t>info@nybronsbilservice.se</t>
  </si>
  <si>
    <t>Bilverkstan i Sundsvall AB</t>
  </si>
  <si>
    <t>Kent-Ove Nordin</t>
  </si>
  <si>
    <t>Tegelvägen 8B</t>
  </si>
  <si>
    <t>853 50</t>
  </si>
  <si>
    <t>Sundsvall</t>
  </si>
  <si>
    <t>070-330 24 11</t>
  </si>
  <si>
    <t>A-067</t>
  </si>
  <si>
    <t>nordan@bilverkstanisundsvall.se</t>
  </si>
  <si>
    <t>A3</t>
  </si>
  <si>
    <t>Speedy Bilservice Jönköping</t>
  </si>
  <si>
    <t>Ivan</t>
  </si>
  <si>
    <t>Bangårdsgatan 4</t>
  </si>
  <si>
    <t>553 03</t>
  </si>
  <si>
    <t>036-2913000</t>
  </si>
  <si>
    <t>jonkoping@speedybilservice.se</t>
  </si>
  <si>
    <t>Speedy Bilservice Östermalm</t>
  </si>
  <si>
    <r>
      <rPr>
        <strike/>
      </rPr>
      <t xml:space="preserve">1600 kr exkl moms.
</t>
    </r>
    <r>
      <rPr/>
      <t>3000kr + moms ska dem ha //TC</t>
    </r>
  </si>
  <si>
    <t>Gleb</t>
  </si>
  <si>
    <t>Valhallavägen 161
Mitt emot Fältöversten.
T-station 15 m.</t>
  </si>
  <si>
    <t>115 53</t>
  </si>
  <si>
    <t>Stockholm</t>
  </si>
  <si>
    <t>08-662 60 65
0736-974541</t>
  </si>
  <si>
    <t>ostermalm@speedybilservice.se</t>
  </si>
  <si>
    <t>Audi A3 Sportback (8PA</t>
  </si>
  <si>
    <t>Sjömarkens Motor &amp; Aluminium</t>
  </si>
  <si>
    <t>TC Kontor</t>
  </si>
  <si>
    <t>Jonas</t>
  </si>
  <si>
    <t>Göteborgsvägen 25</t>
  </si>
  <si>
    <t>Sjömarken/Borås</t>
  </si>
  <si>
    <t>070-9296019</t>
  </si>
  <si>
    <t>info@aluminiumiboras.se</t>
  </si>
  <si>
    <t>"""Nöjd med samarbetet, har lagomt att göra i verkstaden - boka ca 1,5 veckor fram
"</t>
  </si>
  <si>
    <t>Maila och ev SMS:a han</t>
  </si>
  <si>
    <t>Skarstad Bilverkstad //
Daniel Bergendahl</t>
  </si>
  <si>
    <t>Vill ha bilen kl 10.00
och Tisdagar, andra dagar får vi ringa om</t>
  </si>
  <si>
    <t>Daniel</t>
  </si>
  <si>
    <t>Basegården 11 Skarstad</t>
  </si>
  <si>
    <t>Vara</t>
  </si>
  <si>
    <t>0707-589796</t>
  </si>
  <si>
    <t>turbomani1@hotmail.com</t>
  </si>
  <si>
    <t>KER358</t>
  </si>
  <si>
    <t>Skäggetorps Bilverkstad</t>
  </si>
  <si>
    <t>Foaad Daniel</t>
  </si>
  <si>
    <t>Skäggetorp Centrum 8</t>
  </si>
  <si>
    <t>586 44</t>
  </si>
  <si>
    <t>Linköping</t>
  </si>
  <si>
    <t>Audi A3 Sportback (8PA)</t>
  </si>
  <si>
    <t>013-17 16 18
076-225 09 11</t>
  </si>
  <si>
    <t>foaad_daniel@hotmail.com</t>
  </si>
  <si>
    <t>B3</t>
  </si>
  <si>
    <t>Speedy Bilservice Tagene</t>
  </si>
  <si>
    <t>Karlsbogårdsgatan 2 (samma hus som Besikta)</t>
  </si>
  <si>
    <t xml:space="preserve">425 37 </t>
  </si>
  <si>
    <t>Hising Kärra</t>
  </si>
  <si>
    <t>031-57 11 99</t>
  </si>
  <si>
    <t>Bilhuset I Kalmar</t>
  </si>
  <si>
    <t>Tror han heter Mikael</t>
  </si>
  <si>
    <t>Trångsundsvägen 4</t>
  </si>
  <si>
    <t>392 39</t>
  </si>
  <si>
    <t>MRS451</t>
  </si>
  <si>
    <t>Kalmar</t>
  </si>
  <si>
    <t>0480-273 10
073-9800717</t>
  </si>
  <si>
    <t>Bilhusetikalmar@hotmail.com</t>
  </si>
  <si>
    <t>Audi A3 Sportback / Sedan / Golf 7 / Golf Sportswan / Seat Leon Halvkombi / kombi / Skoda Octavia kombi / Halvkombi</t>
  </si>
  <si>
    <t>Bilverkstadscenter i Jönköping AB</t>
  </si>
  <si>
    <t>Samer (&amp; Sara)</t>
  </si>
  <si>
    <t>Grossistgatan 3</t>
  </si>
  <si>
    <t>070-285 81 69
Sara 0707-363239</t>
  </si>
  <si>
    <t>bilverkstadcenter@gmail.com</t>
  </si>
  <si>
    <t>Viamotor Borlänge</t>
  </si>
  <si>
    <t>Elias (0243-204533)</t>
  </si>
  <si>
    <t xml:space="preserve">781 72 </t>
  </si>
  <si>
    <t>0243-175 50</t>
  </si>
  <si>
    <t>Info@viamotor.se</t>
  </si>
  <si>
    <t>Ringa</t>
  </si>
  <si>
    <t xml:space="preserve">Audi A3 Vw GOLF V </t>
  </si>
  <si>
    <t>CULO autoservice</t>
  </si>
  <si>
    <t>2003&gt;2013</t>
  </si>
  <si>
    <t>Ulf</t>
  </si>
  <si>
    <t>Förrådsgatan 5</t>
  </si>
  <si>
    <t>575 36</t>
  </si>
  <si>
    <t>Eksjö</t>
  </si>
  <si>
    <t>072-5890987</t>
  </si>
  <si>
    <t>culoautoservice@gmail.com</t>
  </si>
  <si>
    <t>Ring och Maila
SMS:a innan om tider</t>
  </si>
  <si>
    <t>Speedy Bilservice Linköping / Fikratsson Bil AB</t>
  </si>
  <si>
    <t>Ja, 200kr (e-bil)</t>
  </si>
  <si>
    <t>2100kr exkl moms.
Ring om fs elsats</t>
  </si>
  <si>
    <t>Lämna bilen kl 09.00 på morgonen
Vet inte om de kan programmera."</t>
  </si>
  <si>
    <t>Martin</t>
  </si>
  <si>
    <t>Gillbergagatan 23</t>
  </si>
  <si>
    <t>582 73</t>
  </si>
  <si>
    <t>013-707 72
0723-609520</t>
  </si>
  <si>
    <t>tornby@speedybilservice.se</t>
  </si>
  <si>
    <t>Speedy Bilservice Eskilstuna</t>
  </si>
  <si>
    <t>2800 kr exkl moms för dragkrokar
motorvärmare 3500+m</t>
  </si>
  <si>
    <t>Nikita eller Elvir</t>
  </si>
  <si>
    <t>Mått Johanssons Väg 14</t>
  </si>
  <si>
    <t>633 46</t>
  </si>
  <si>
    <t>Eskilstuna</t>
  </si>
  <si>
    <t>016-5423828</t>
  </si>
  <si>
    <t>eskilstuna@speedybilservice.se</t>
  </si>
  <si>
    <t>Audi A3, Audi Q2, Skoda Octavia, Seat Leon, 
VW Golf, VW T-Roc M FL</t>
  </si>
  <si>
    <t>B1</t>
  </si>
  <si>
    <t>Samtal och mailat om lägre priser övk 2800+m drag</t>
  </si>
  <si>
    <t>Maila SMS:a innan om tider</t>
  </si>
  <si>
    <t>Gunnarssons Serviceteknik</t>
  </si>
  <si>
    <t>Tyvär ingen lånebil</t>
  </si>
  <si>
    <t>Anders Gunnarsson</t>
  </si>
  <si>
    <t>Storgatan 205 Säbylund</t>
  </si>
  <si>
    <t>655 95</t>
  </si>
  <si>
    <t>Väse</t>
  </si>
  <si>
    <t>0706-051194</t>
  </si>
  <si>
    <t>info.gunnarssonsst@gmail.com
(Privat a67gunnarsson@gmail.com)</t>
  </si>
  <si>
    <t>"Karlstad"</t>
  </si>
  <si>
    <t>Speedy Bilservice Örebro</t>
  </si>
  <si>
    <t>OJG369</t>
  </si>
  <si>
    <t>Dragkrok 2000 kr exkl moms.
Motorvärmare 1600 kr exkl moms.
Lånebil 250 kr</t>
  </si>
  <si>
    <t>Monir</t>
  </si>
  <si>
    <t>Radiatorvägen 5</t>
  </si>
  <si>
    <t>702 27</t>
  </si>
  <si>
    <t>Örebro</t>
  </si>
  <si>
    <t>0704-566702
019-25 42 10</t>
  </si>
  <si>
    <t>orebro@speedybilservice.se</t>
  </si>
  <si>
    <t>Audi A3, VW Golf HB</t>
  </si>
  <si>
    <t>Mailat nya priser till kund 161201 //TC</t>
  </si>
  <si>
    <t>AD Bilverkstad B-Bus &amp; Kuma Bilservice AB</t>
  </si>
  <si>
    <t>Mathias</t>
  </si>
  <si>
    <t>Faktorsgatan 14</t>
  </si>
  <si>
    <t>461 37</t>
  </si>
  <si>
    <t>Trollhättan</t>
  </si>
  <si>
    <t>0520-400581
070-723 69 17</t>
  </si>
  <si>
    <t>b-bus.kuma@live.com</t>
  </si>
  <si>
    <t>Tagen till VF97777</t>
  </si>
  <si>
    <t>Speedy Bilservice Västerås</t>
  </si>
  <si>
    <t>03&gt;13</t>
  </si>
  <si>
    <t>1850 kr exkl moms.</t>
  </si>
  <si>
    <t>Marius</t>
  </si>
  <si>
    <t>Strömledningsgatan 3</t>
  </si>
  <si>
    <t>721 37</t>
  </si>
  <si>
    <t>Västerås</t>
  </si>
  <si>
    <t>021-81 14 35
(Marius)0729-005752</t>
  </si>
  <si>
    <t>vasteras@speedybilservice.se</t>
  </si>
  <si>
    <t>Maila innan vi bokar in tid</t>
  </si>
  <si>
    <t>S.A Performance cars AB</t>
  </si>
  <si>
    <t>KTZ082</t>
  </si>
  <si>
    <t>2050 kr + moms
10% rabatt och fri frakt</t>
  </si>
  <si>
    <t>Vill ha bilen 09.00</t>
  </si>
  <si>
    <t>Adel Hassoun
Toni Kimbrell</t>
  </si>
  <si>
    <t>Bälinge-Svista 45</t>
  </si>
  <si>
    <t>755 93</t>
  </si>
  <si>
    <t>Uppsala</t>
  </si>
  <si>
    <t>018-444 01 92
018-444 01 94</t>
  </si>
  <si>
    <r>
      <rPr>
        <color rgb="FFFF0000"/>
      </rPr>
      <t>adel@saperformance.se</t>
    </r>
    <r>
      <rPr/>
      <t xml:space="preserve">
saperformance@autoexperten.se</t>
    </r>
  </si>
  <si>
    <t>Elsats</t>
  </si>
  <si>
    <t>Westfalia 305406300107</t>
  </si>
  <si>
    <t>7-pol</t>
  </si>
  <si>
    <t>559375-0242</t>
  </si>
  <si>
    <t>Audi A3, VW Golf, Seat Leon, Skoda Octavia - passar många</t>
  </si>
  <si>
    <t>Ringde,inget svar.Mailat dom,återkommer sen meddelar dom.</t>
  </si>
  <si>
    <t>Bilvårdshuset i Gävle</t>
  </si>
  <si>
    <t>Abbas</t>
  </si>
  <si>
    <t>Kanalvägen 1</t>
  </si>
  <si>
    <t>803 09</t>
  </si>
  <si>
    <t>076-2180910</t>
  </si>
  <si>
    <t>abbas5008@hotmail.com</t>
  </si>
  <si>
    <t>Finns hos Halléns</t>
  </si>
  <si>
    <t>Autoservice AB</t>
  </si>
  <si>
    <t>Långsandsvägen 2B</t>
  </si>
  <si>
    <t>814 93</t>
  </si>
  <si>
    <t>Skutskär/gävle</t>
  </si>
  <si>
    <t>070-4324555(Henrik)
026-600 832</t>
  </si>
  <si>
    <t>Audi A4</t>
  </si>
  <si>
    <t>revtechswe@gmail.com</t>
  </si>
  <si>
    <t>2015&gt;</t>
  </si>
  <si>
    <t>Bjuda in och även mail i kalendern</t>
  </si>
  <si>
    <t>Mekonomen Bilverkstad Sundsvall / Haga Bilteknik AB</t>
  </si>
  <si>
    <t>Gratis</t>
  </si>
  <si>
    <t>Kenny</t>
  </si>
  <si>
    <t>Hagavägen 76</t>
  </si>
  <si>
    <t>856 44</t>
  </si>
  <si>
    <t>060-15 92 65
0706-624509</t>
  </si>
  <si>
    <t>hagabilteknik@gmail.com
Sundsvallnorr@mekonomenbilverkstad.se</t>
  </si>
  <si>
    <t>Witter</t>
  </si>
  <si>
    <t>AD44AQ</t>
  </si>
  <si>
    <t>2005&gt;2008</t>
  </si>
  <si>
    <t>Äpplekullen</t>
  </si>
  <si>
    <t>Maila</t>
  </si>
  <si>
    <t>4Car</t>
  </si>
  <si>
    <t>Dragkrokar 2240 kr exkl moms.
Värmare 2240 kr exkl moms</t>
  </si>
  <si>
    <t>Vill ha bilen 08.00
0706-655510 (Marcus)</t>
  </si>
  <si>
    <t>Magnus och Markus</t>
  </si>
  <si>
    <t>Tillhörde Xwe033 som avbokat monteringen.</t>
  </si>
  <si>
    <t>Sandbäcksgatan 15</t>
  </si>
  <si>
    <t>906 20</t>
  </si>
  <si>
    <t>090-701400</t>
  </si>
  <si>
    <t xml:space="preserve"> info@4car.se</t>
  </si>
  <si>
    <t xml:space="preserve">Audi A4 </t>
  </si>
  <si>
    <t>Sikeå Bil &amp; Rep</t>
  </si>
  <si>
    <t>Joakim</t>
  </si>
  <si>
    <t xml:space="preserve">Sikeå 53 </t>
  </si>
  <si>
    <t>915 93</t>
  </si>
  <si>
    <t>Robertsfors</t>
  </si>
  <si>
    <t xml:space="preserve">0934-30070 </t>
  </si>
  <si>
    <t xml:space="preserve">info@sikeabilrep.se </t>
  </si>
  <si>
    <t>Piteå Bilverkstad</t>
  </si>
  <si>
    <t>tagen till XUS797</t>
  </si>
  <si>
    <r>
      <rPr>
        <strike/>
      </rPr>
      <t>1920</t>
    </r>
    <r>
      <rPr/>
      <t xml:space="preserve"> </t>
    </r>
    <r>
      <rPr>
        <color rgb="FF783F04"/>
      </rPr>
      <t>3000k</t>
    </r>
    <r>
      <rPr/>
      <t>r exkl moms
Motorvärmare 1500 kr + moms
10% rabatt</t>
    </r>
  </si>
  <si>
    <t>Vill ha bilen kl 08.00</t>
  </si>
  <si>
    <t>Nötögrundsvägen 175</t>
  </si>
  <si>
    <t>941 41</t>
  </si>
  <si>
    <t>Piteå</t>
  </si>
  <si>
    <t>0706-806565</t>
  </si>
  <si>
    <t>A-053</t>
  </si>
  <si>
    <t>piteabilverkstad@gmail.com</t>
  </si>
  <si>
    <t>Audi A4 , Allroad, sedan m fl</t>
  </si>
  <si>
    <t>2016&gt;</t>
  </si>
  <si>
    <t>AutoTuning i Norden AB</t>
  </si>
  <si>
    <r>
      <rPr/>
      <t xml:space="preserve">NEJ. </t>
    </r>
    <r>
      <rPr>
        <b/>
      </rPr>
      <t>Kan hämta bil i Sundsvall alt. skjutsa kunden.</t>
    </r>
  </si>
  <si>
    <t>1800 kr exkl moms Drag och motorvärmare</t>
  </si>
  <si>
    <t>Dennis</t>
  </si>
  <si>
    <t>Gubbyn 591, Besöksadress: Byn 186</t>
  </si>
  <si>
    <t>841 96</t>
  </si>
  <si>
    <t>Förslag tilläggstjäster</t>
  </si>
  <si>
    <t>Erikslund/Sundsvall</t>
  </si>
  <si>
    <t>072-1732470</t>
  </si>
  <si>
    <t>dennis@autotuning.nu</t>
  </si>
  <si>
    <t>Prisförslag mot kund</t>
  </si>
  <si>
    <t>Fakturerat belopp</t>
  </si>
  <si>
    <t>Org.nr 559152-0126</t>
  </si>
  <si>
    <t>Peters bil &amp; båtverkstad</t>
  </si>
  <si>
    <t>JA. 200 kr</t>
  </si>
  <si>
    <t>1800 kr exkl moms Drag, motorvärmare och LED-ramper</t>
  </si>
  <si>
    <t>VÄSSBY NORDLID 4</t>
  </si>
  <si>
    <t>452 92</t>
  </si>
  <si>
    <t>Strömstad</t>
  </si>
  <si>
    <t>073-9523011</t>
  </si>
  <si>
    <t>mellqvist1@hotmail.com</t>
  </si>
  <si>
    <t>PJP624</t>
  </si>
  <si>
    <t>Org.nr: 650825-4890-00001</t>
  </si>
  <si>
    <t>Audi A4 (8K/B8) SDN/AVANT '08-</t>
  </si>
  <si>
    <t>2008-</t>
  </si>
  <si>
    <t>E1</t>
  </si>
  <si>
    <t xml:space="preserve">Segersjö Bilservice AB </t>
  </si>
  <si>
    <t>JA, 195 kr + drivmedel</t>
  </si>
  <si>
    <t>1800 kr exkl moms Drag och motorvärmare. Kan programmera(inga inga prisuppgifter än)</t>
  </si>
  <si>
    <t>Vill ha bilen kl 08.00, har ett inkasst för att lämna nyckeln utanför öppet tider.</t>
  </si>
  <si>
    <t>Michael och Benny</t>
  </si>
  <si>
    <t>Drottningvägen 12</t>
  </si>
  <si>
    <t>Michael: 070-2830873
Verkstaden: 08-530 363 63</t>
  </si>
  <si>
    <t>segersjo@mekopartner.se</t>
  </si>
  <si>
    <t>NPL779</t>
  </si>
  <si>
    <t>Speedy Bilservice Skövde</t>
  </si>
  <si>
    <t>1800 kr exkl moms Drag och motorvärmare. (LED-ramper).  Kan programmera Autel 480 kr exkl moms.</t>
  </si>
  <si>
    <t>Vill ha bilen kl 07.30-08.00, har ett inkasst för att lämna nyckeln utanför öppet tider.</t>
  </si>
  <si>
    <t>Johannes</t>
  </si>
  <si>
    <t>Magasinsgatan 4</t>
  </si>
  <si>
    <t xml:space="preserve">541 34 </t>
  </si>
  <si>
    <t>Skövde</t>
  </si>
  <si>
    <t>Johannes: 073-1504118
Verkstaden: 0500272080</t>
  </si>
  <si>
    <t>skovde@speedybilservice.se</t>
  </si>
  <si>
    <t>supplier_number</t>
  </si>
  <si>
    <t>organisation_number</t>
  </si>
  <si>
    <t>name</t>
  </si>
  <si>
    <t>invoice_address</t>
  </si>
  <si>
    <t>Melvin Bilverkstad</t>
  </si>
  <si>
    <t>invoice_address2</t>
  </si>
  <si>
    <t>invoice_zip_code</t>
  </si>
  <si>
    <t xml:space="preserve">2520 kr exkl moms. EJ montering av motorvärmare eller programmering.
</t>
  </si>
  <si>
    <t>Vill ha bilen kl 09.00</t>
  </si>
  <si>
    <t>invoice_city</t>
  </si>
  <si>
    <t>Melvin</t>
  </si>
  <si>
    <t>Franska vägen 23</t>
  </si>
  <si>
    <t>invoice_country_code</t>
  </si>
  <si>
    <t>invoice_country</t>
  </si>
  <si>
    <t>0480-20900
0768-091839</t>
  </si>
  <si>
    <t>info@melvinbilverkstad.se</t>
  </si>
  <si>
    <t>Bör avtal finnas ?</t>
  </si>
  <si>
    <t>Till LWO919</t>
  </si>
  <si>
    <t>Sendify AB</t>
  </si>
  <si>
    <t>Volrat Thamsgatan 4</t>
  </si>
  <si>
    <t>witter</t>
  </si>
  <si>
    <t>SE</t>
  </si>
  <si>
    <t>Sverige</t>
  </si>
  <si>
    <t>2000 kr exkl moms Drag och motorvärmare. Kan programmera(fråga om pris).</t>
  </si>
  <si>
    <t>AD55Q</t>
  </si>
  <si>
    <t>Kanalvägen 1-3</t>
  </si>
  <si>
    <t>Vertical</t>
  </si>
  <si>
    <t>026-600525 
Abbas Mobil:076-2180910</t>
  </si>
  <si>
    <t>info@bilvardshuset.se</t>
  </si>
  <si>
    <t>MARTEC Automotive Sp. z o.o.</t>
  </si>
  <si>
    <t>AUDI A4 (B9) Sdn/Avant 2016-</t>
  </si>
  <si>
    <t>al. M.B Fatimskiej 16</t>
  </si>
  <si>
    <t>2016-</t>
  </si>
  <si>
    <t>33-100</t>
  </si>
  <si>
    <t>Tarnów</t>
  </si>
  <si>
    <t>PL</t>
  </si>
  <si>
    <t>Poland</t>
  </si>
  <si>
    <t xml:space="preserve">https://www.bilvardshuset.se/
</t>
  </si>
  <si>
    <t>Przemysłowa 27A</t>
  </si>
  <si>
    <t>Tarnow</t>
  </si>
  <si>
    <t>Bertelshofer GmbH</t>
  </si>
  <si>
    <t>Glockenbecherstraße 6</t>
  </si>
  <si>
    <t>Weichering</t>
  </si>
  <si>
    <t>DE</t>
  </si>
  <si>
    <t>Germany</t>
  </si>
  <si>
    <t>UPS AB</t>
  </si>
  <si>
    <t>Elektronikhöjden 6</t>
  </si>
  <si>
    <t>JÄRFÄLLA</t>
  </si>
  <si>
    <t>Speedy Bilservice Mjölby</t>
  </si>
  <si>
    <t>Ja, 200 kr + tanka för det man kör</t>
  </si>
  <si>
    <t>YTP188</t>
  </si>
  <si>
    <t>2100 kr exkl moms.
Ring om spec elsats</t>
  </si>
  <si>
    <t>Folksam</t>
  </si>
  <si>
    <t>Box 53300</t>
  </si>
  <si>
    <t>Albacksvägen 6</t>
  </si>
  <si>
    <t>595 50</t>
  </si>
  <si>
    <t>Mjölby</t>
  </si>
  <si>
    <t>0142-60 59 00
0723-609520</t>
  </si>
  <si>
    <t>mjolby@speedybilservice.se</t>
  </si>
  <si>
    <t>Reservdelshörnan i Sisjön AB</t>
  </si>
  <si>
    <t>Sörbyvägen 29</t>
  </si>
  <si>
    <t>Audi A4 (kaross B7)</t>
  </si>
  <si>
    <t>HJÄLTEBY</t>
  </si>
  <si>
    <t>2004&gt;2008</t>
  </si>
  <si>
    <t>Telia Sverige</t>
  </si>
  <si>
    <t>FARSTA</t>
  </si>
  <si>
    <t>MEKIAN Bilverkstad</t>
  </si>
  <si>
    <t>2000kr exkl moms.</t>
  </si>
  <si>
    <t>Kosrat</t>
  </si>
  <si>
    <t>Nytorpsvägen 2A</t>
  </si>
  <si>
    <t>TELE2 FÖRETAG</t>
  </si>
  <si>
    <t xml:space="preserve">183 53 </t>
  </si>
  <si>
    <t>Box 62</t>
  </si>
  <si>
    <t>Täby</t>
  </si>
  <si>
    <t>08-768 45 70</t>
  </si>
  <si>
    <t>KISTA</t>
  </si>
  <si>
    <t>info@mekian.com</t>
  </si>
  <si>
    <t>Tistings Träförädling AB</t>
  </si>
  <si>
    <t>Sågbacken 6</t>
  </si>
  <si>
    <t>VRETSTORP</t>
  </si>
  <si>
    <t>Ring in bokningen (de första gångerna)</t>
  </si>
  <si>
    <t>No.</t>
  </si>
  <si>
    <t>Njutångers Bil &amp; Allservice AB
Hudiksvall</t>
  </si>
  <si>
    <t>Ja (Betala bensin</t>
  </si>
  <si>
    <t>tagen till AEB410</t>
  </si>
  <si>
    <t>HA Transport AB</t>
  </si>
  <si>
    <t>Tillverkare</t>
  </si>
  <si>
    <t>Växthusvägen 3</t>
  </si>
  <si>
    <r>
      <rPr>
        <strike/>
      </rPr>
      <t>1800 kr</t>
    </r>
    <r>
      <rPr/>
      <t xml:space="preserve"> 2200 kr exkl moms Drag och motorvärmare.</t>
    </r>
  </si>
  <si>
    <t>7-/13-pol</t>
  </si>
  <si>
    <t>Vill ha bilen kl 08.00
Mån till torsdag helst ej fredagar</t>
  </si>
  <si>
    <t>UDDEVALLA</t>
  </si>
  <si>
    <t>Lars</t>
  </si>
  <si>
    <t>Bilmodell</t>
  </si>
  <si>
    <t>Barnängsvägen 10</t>
  </si>
  <si>
    <t>Njutånger</t>
  </si>
  <si>
    <t>073-817 74 48</t>
  </si>
  <si>
    <t>njutangersbil@gmail.com</t>
  </si>
  <si>
    <t>Ok?</t>
  </si>
  <si>
    <t>Till Borås</t>
  </si>
  <si>
    <t>Audi A4 / A5</t>
  </si>
  <si>
    <t>2007&gt;2016</t>
  </si>
  <si>
    <t>Bilcentrum i Umeå AB</t>
  </si>
  <si>
    <t>Norra Obbolavägen 114</t>
  </si>
  <si>
    <t>HL kontor</t>
  </si>
  <si>
    <t>UMEÅ</t>
  </si>
  <si>
    <t>Kungälvs Bil &amp; Motorservice AB</t>
  </si>
  <si>
    <t>Spånga Bensin &amp; Service Handelsbolag</t>
  </si>
  <si>
    <t>1900 kr exkl moms
Programmering 400 kr exkl moms.</t>
  </si>
  <si>
    <t>Täbylundsvägen 63</t>
  </si>
  <si>
    <t xml:space="preserve">Vill ha bilen kl 09.00, vill kunden ställa bilen tidigare så kan dem ställa bilen andra sidan gatan och lämna nyckeln i brevlådan som alternativ. </t>
  </si>
  <si>
    <t>SPÅNGA</t>
  </si>
  <si>
    <t>Erich Jaeger</t>
  </si>
  <si>
    <t>För bilar utan REC box</t>
  </si>
  <si>
    <t>Josef</t>
  </si>
  <si>
    <t>Kit 721999</t>
  </si>
  <si>
    <t>Bultgatan 19</t>
  </si>
  <si>
    <t>Ford C-Max, Focus</t>
  </si>
  <si>
    <t>442 40</t>
  </si>
  <si>
    <t>Kungälv</t>
  </si>
  <si>
    <t>Verkstad: 0303-37 99 12
Josef: 0764-218218</t>
  </si>
  <si>
    <t>Monoflex Nordic AB</t>
  </si>
  <si>
    <t>info@kungalvsbil.se</t>
  </si>
  <si>
    <t>Box 14</t>
  </si>
  <si>
    <t>HALLSTAHAMMAR</t>
  </si>
  <si>
    <t xml:space="preserve">7-pol </t>
  </si>
  <si>
    <t>Kia Optima Kombi</t>
  </si>
  <si>
    <t>Äpplekullens Bil &amp; Däckservice</t>
  </si>
  <si>
    <t>Brink</t>
  </si>
  <si>
    <t>KÅLLERED</t>
  </si>
  <si>
    <t>13-Pol</t>
  </si>
  <si>
    <t>Land Rover Discovery 3, sport</t>
  </si>
  <si>
    <t>OK</t>
  </si>
  <si>
    <t>PowerCar Service AB</t>
  </si>
  <si>
    <t>Volvo V40 S40</t>
  </si>
  <si>
    <t>2500 kr inkl moms</t>
  </si>
  <si>
    <t>Öppnar 08.00</t>
  </si>
  <si>
    <t>Doktorsvägen 4</t>
  </si>
  <si>
    <t>Tagen till usu289</t>
  </si>
  <si>
    <t>08-91 52 65
08-7229670
Niklas: 070-7995265, 
0735-141201 (privata)</t>
  </si>
  <si>
    <t>Nets Sweden AB</t>
  </si>
  <si>
    <t>niklas@powercar.se</t>
  </si>
  <si>
    <t>Box 778</t>
  </si>
  <si>
    <t>NACKA</t>
  </si>
  <si>
    <t>GM</t>
  </si>
  <si>
    <t>Opel Astra Halv och Kombi</t>
  </si>
  <si>
    <t>2011?</t>
  </si>
  <si>
    <t>Svenska Handelsbanken AB</t>
  </si>
  <si>
    <t>Ford S-Max, Galaxy Mondeo</t>
  </si>
  <si>
    <t>2006&gt;</t>
  </si>
  <si>
    <t>Tagen till gyx769</t>
  </si>
  <si>
    <t>STOCKHOLM</t>
  </si>
  <si>
    <t>Linköpings Bilvaruhus AB</t>
  </si>
  <si>
    <t>nej</t>
  </si>
  <si>
    <t>2000 kr + moms
Drag och motorvärmare.
Mer betalt när det är jobbiga monteringar.</t>
  </si>
  <si>
    <t>5008, 3008</t>
  </si>
  <si>
    <t>Blocket / Svea Ekonomi</t>
  </si>
  <si>
    <t>Haidar
Vugar</t>
  </si>
  <si>
    <t>OBS- denna elsats är för icke förberedda bilar. /FP</t>
  </si>
  <si>
    <t>Rönögatan 12</t>
  </si>
  <si>
    <t>Linköping
Sweden</t>
  </si>
  <si>
    <t>A-074</t>
  </si>
  <si>
    <t>0728-333366</t>
  </si>
  <si>
    <t>haidar.jaber@linkopingsbilvaruhus.se</t>
  </si>
  <si>
    <t>Audi A4 A5</t>
  </si>
  <si>
    <t>DIBS Payment Services AB</t>
  </si>
  <si>
    <t>Kia Optima</t>
  </si>
  <si>
    <t>07&gt;</t>
  </si>
  <si>
    <t>Box 165</t>
  </si>
  <si>
    <t>D2</t>
  </si>
  <si>
    <t>559266-1465</t>
  </si>
  <si>
    <t>Radio 88</t>
  </si>
  <si>
    <t>Royne Nilsson, Box 140</t>
  </si>
  <si>
    <t>FRILLESÅS</t>
  </si>
  <si>
    <t>Kia Soul</t>
  </si>
  <si>
    <t>2009&gt;</t>
  </si>
  <si>
    <t>Transportstyrelsen</t>
  </si>
  <si>
    <t>36180-16</t>
  </si>
  <si>
    <t>Kia Ceed HB Kombi</t>
  </si>
  <si>
    <t>Bjuda in i kalendern och även mail eller sms</t>
  </si>
  <si>
    <t>Manos Bilservice &amp; Lack</t>
  </si>
  <si>
    <t>PKJ652</t>
  </si>
  <si>
    <r>
      <rPr>
        <b/>
      </rPr>
      <t>Lånebil</t>
    </r>
    <r>
      <rPr/>
      <t xml:space="preserve"> 250 kr. </t>
    </r>
    <r>
      <rPr>
        <b/>
        <color rgb="FFFF0000"/>
      </rPr>
      <t>Vi lägger på detta på priset till kunden.</t>
    </r>
  </si>
  <si>
    <t>1800 kr + moms. Drag och motorvärmare</t>
  </si>
  <si>
    <t>Svensk Betalningskontroll AB</t>
  </si>
  <si>
    <t>Box 9085</t>
  </si>
  <si>
    <t>Johnny och Sirop 
(ägare)</t>
  </si>
  <si>
    <t>Kia Ceed halvkombi , Kia Pro Ceed</t>
  </si>
  <si>
    <t>Rudu 6</t>
  </si>
  <si>
    <t>GÖTEBORG</t>
  </si>
  <si>
    <t>2007&gt;</t>
  </si>
  <si>
    <t>Huskvarna</t>
  </si>
  <si>
    <t>Audi A4 Avant / Audi A5</t>
  </si>
  <si>
    <t>0765-607551</t>
  </si>
  <si>
    <t>2007&gt;2015</t>
  </si>
  <si>
    <t>manosservice@gmail.com</t>
  </si>
  <si>
    <t>Watling Engineers LTD.</t>
  </si>
  <si>
    <t>88 Park Street Village</t>
  </si>
  <si>
    <t>Kia Niro Hybrid</t>
  </si>
  <si>
    <t>AL2 2LR</t>
  </si>
  <si>
    <t>2016.09&gt;2017.10</t>
  </si>
  <si>
    <t>Herts</t>
  </si>
  <si>
    <t>930130-1934</t>
  </si>
  <si>
    <t>GB</t>
  </si>
  <si>
    <t>United Kingdom</t>
  </si>
  <si>
    <t xml:space="preserve">3008,5008 Opel Grandland </t>
  </si>
  <si>
    <t>Textalk AB</t>
  </si>
  <si>
    <t>Krokslätts Fabriker 12</t>
  </si>
  <si>
    <t>Johnny och Sirup 
(ägare)</t>
  </si>
  <si>
    <t>MÖLNDAL</t>
  </si>
  <si>
    <t>BMW X5 X6</t>
  </si>
  <si>
    <t>fram till årsmodell -11/2013</t>
  </si>
  <si>
    <t>Tagen till SPK169</t>
  </si>
  <si>
    <t>City Network Hosting AB</t>
  </si>
  <si>
    <t>Borgmästaregatan 18</t>
  </si>
  <si>
    <t xml:space="preserve">AD48BQ  </t>
  </si>
  <si>
    <t>KARLSKRONA</t>
  </si>
  <si>
    <t>Gästrike Autoservice AB</t>
  </si>
  <si>
    <t xml:space="preserve">Kia Ceed </t>
  </si>
  <si>
    <t>2018&gt;</t>
  </si>
  <si>
    <t xml:space="preserve">2400 kr + moms. Drag och motorvärmare
Basservice 1995kr
AC-service 1995kr
Hjulinst 1275 kr 
Vi har 15% per tillägg som vi drar av på deras montering </t>
  </si>
  <si>
    <t>Audi A4 B8
Sedan, estate 6.2008-.2015</t>
  </si>
  <si>
    <t>2008-.2015</t>
  </si>
  <si>
    <t>Fordonsteknik Jönköping AB</t>
  </si>
  <si>
    <t>Antingen här eller i Tyresö eller tagen??</t>
  </si>
  <si>
    <t>Fredriksrovägen 8</t>
  </si>
  <si>
    <t>Herkulesvägen 16</t>
  </si>
  <si>
    <t>Furuvik</t>
  </si>
  <si>
    <t>JÖNKÖPING</t>
  </si>
  <si>
    <t>026-600 832</t>
  </si>
  <si>
    <t>Till AMU52L</t>
  </si>
  <si>
    <t>Fortnox Aktiebolag</t>
  </si>
  <si>
    <t>Box 427</t>
  </si>
  <si>
    <t>VÄXJÖ</t>
  </si>
  <si>
    <r>
      <rPr>
        <b/>
        <color rgb="FF000000"/>
      </rPr>
      <t>"""""""</t>
    </r>
    <r>
      <rPr>
        <b/>
        <color rgb="FFFF0000"/>
      </rPr>
      <t>Nöjd med samarbetet, har lagomt att göra i verkstaden - boka ca 1,5 veckor fram</t>
    </r>
    <r>
      <rPr>
        <b/>
        <color rgb="FF000000"/>
      </rPr>
      <t xml:space="preserve">
"""</t>
    </r>
  </si>
  <si>
    <t>Kia Ceed</t>
  </si>
  <si>
    <t>VÄSTERHEJDE GAMLA KYRKVÄGEN 8</t>
  </si>
  <si>
    <t>VISBY</t>
  </si>
  <si>
    <t>Tillhörde LYK081</t>
  </si>
  <si>
    <t>Bjuda in i kalendern och även mail
maila ALLTID från Partner mailen</t>
  </si>
  <si>
    <t>Imotor</t>
  </si>
  <si>
    <t>GWZ48N</t>
  </si>
  <si>
    <t>200kr per dag+bränsle betalas direkt till verkstaden</t>
  </si>
  <si>
    <t>Berglunds Montage</t>
  </si>
  <si>
    <t>2000kr + moms. Drag och motorvärmare</t>
  </si>
  <si>
    <t>Hagagatan 6 F</t>
  </si>
  <si>
    <t>Serbaz</t>
  </si>
  <si>
    <t>Orsa</t>
  </si>
  <si>
    <t>Tagenevägen 14A</t>
  </si>
  <si>
    <t>Hisings backa</t>
  </si>
  <si>
    <t>010-1676866
0707967230
0700 686766</t>
  </si>
  <si>
    <t>service@imotor.se</t>
  </si>
  <si>
    <t>Volvo S60, XC60</t>
  </si>
  <si>
    <t>A-075</t>
  </si>
  <si>
    <t>skickad till JHB017</t>
  </si>
  <si>
    <t>559300-0887</t>
  </si>
  <si>
    <t>Möllerstrand Service AB</t>
  </si>
  <si>
    <t>Vidkärrsgatan 28</t>
  </si>
  <si>
    <t>Audi A4 kombi</t>
  </si>
  <si>
    <t>Jaeger</t>
  </si>
  <si>
    <t>Volvo 850, V70 mfl</t>
  </si>
  <si>
    <t>93-00</t>
  </si>
  <si>
    <t>Modifinder AB</t>
  </si>
  <si>
    <t>Stortorget 27</t>
  </si>
  <si>
    <t>Daniels Bilverkstad</t>
  </si>
  <si>
    <t xml:space="preserve">2200 kr exkl moms
</t>
  </si>
  <si>
    <t>Volvo XC90 S90 V90</t>
  </si>
  <si>
    <t>Lindaregatan 13</t>
  </si>
  <si>
    <t>Ödåkra</t>
  </si>
  <si>
    <t>070-4301541</t>
  </si>
  <si>
    <t>MALMÖ</t>
  </si>
  <si>
    <t>daniels.bilverkstad@gmail.com</t>
  </si>
  <si>
    <t>13-pol</t>
  </si>
  <si>
    <t>Motornavet Göteborg AB</t>
  </si>
  <si>
    <t>Audi,Golf,Seat mfl</t>
  </si>
  <si>
    <r>
      <rPr>
        <b/>
        <color rgb="FF000000"/>
      </rPr>
      <t>"""""""""""""""</t>
    </r>
    <r>
      <rPr>
        <b/>
        <color rgb="FFFF0000"/>
      </rPr>
      <t>Nöjd med samarbetet, har lagomt att göra i verkstaden - boka ca 1,5 veckor fram höjde till 2200+m</t>
    </r>
    <r>
      <rPr>
        <b/>
        <color rgb="FF000000"/>
      </rPr>
      <t xml:space="preserve">
"""""""</t>
    </r>
  </si>
  <si>
    <t>Ok</t>
  </si>
  <si>
    <t>FedEx</t>
  </si>
  <si>
    <t>ECS</t>
  </si>
  <si>
    <t>Box 94</t>
  </si>
  <si>
    <r>
      <rPr/>
      <t xml:space="preserve">Bjuda in i kalendern </t>
    </r>
    <r>
      <rPr>
        <b/>
      </rPr>
      <t>och även mail</t>
    </r>
  </si>
  <si>
    <t>Point 58 Bildepån (CarOx AB)</t>
  </si>
  <si>
    <t>STOCKHOLM-ARLANDA</t>
  </si>
  <si>
    <t>KI-132DX</t>
  </si>
  <si>
    <t>Kia flera modeller</t>
  </si>
  <si>
    <t>Öppnar kl 09.00 men man kan lämna bilen innan och lägga nyckel i brevinkast. Helst kl 09.00</t>
  </si>
  <si>
    <t>Lasse
Direkt 070-3450706</t>
  </si>
  <si>
    <t>Smålandsvägen 3</t>
  </si>
  <si>
    <t>611 56</t>
  </si>
  <si>
    <t>NYKÖPING</t>
  </si>
  <si>
    <t>010-455 04 40</t>
  </si>
  <si>
    <t>info@carox.se</t>
  </si>
  <si>
    <t>Point 58 (CarOx AB)
Smålandsvägen 3
611 56 NYKÖPING
Telefon 010-455 04 40</t>
  </si>
  <si>
    <t>Supreme Autoservice i Malmö AB</t>
  </si>
  <si>
    <t>08&gt;</t>
  </si>
  <si>
    <t>ZEM906</t>
  </si>
  <si>
    <t xml:space="preserve">Lasse </t>
  </si>
  <si>
    <t>EM Motor AB</t>
  </si>
  <si>
    <t>Karl Johansg. 146</t>
  </si>
  <si>
    <t>Samppas Custom Garage AB</t>
  </si>
  <si>
    <t>2895kr exkl moms för nyare bilar</t>
  </si>
  <si>
    <t>Sammi</t>
  </si>
  <si>
    <t>Göteborgsvägen 102</t>
  </si>
  <si>
    <t>445 55</t>
  </si>
  <si>
    <t>Surte</t>
  </si>
  <si>
    <t>Femmans Bil AB</t>
  </si>
  <si>
    <t>0703-795062</t>
  </si>
  <si>
    <t>Pappersbruksallé 20</t>
  </si>
  <si>
    <t>samppascustom@gmail.com</t>
  </si>
  <si>
    <t>ÖREBRO</t>
  </si>
  <si>
    <t>Mitsubishi Outlander</t>
  </si>
  <si>
    <t>Ligger snart hos Tågaborg. Ev fel på denna elsatsen, ev inte. =) //TC 20/4</t>
  </si>
  <si>
    <t>M12 Bil AB</t>
  </si>
  <si>
    <t>Mätarvägen 23</t>
  </si>
  <si>
    <t>KUNGSÄNGEN</t>
  </si>
  <si>
    <t>BW-028-D1</t>
  </si>
  <si>
    <t>BMW, massa modeller</t>
  </si>
  <si>
    <t>2013&gt;</t>
  </si>
  <si>
    <t>Standard</t>
  </si>
  <si>
    <t>559454-6490</t>
  </si>
  <si>
    <t>EQuality Fönster AB</t>
  </si>
  <si>
    <t>Korsvägen 32</t>
  </si>
  <si>
    <t>HALMSTAD</t>
  </si>
  <si>
    <t>Audi A4 Kombi</t>
  </si>
  <si>
    <t>2008&gt;2015</t>
  </si>
  <si>
    <t>---</t>
  </si>
  <si>
    <t>Aotoexperten Nödinge</t>
  </si>
  <si>
    <t>2000 kr exkl moms
2895kr exkl moms för nyare bilar</t>
  </si>
  <si>
    <t>Unifaun AB</t>
  </si>
  <si>
    <t>Box 2326</t>
  </si>
  <si>
    <t>Nödingevägen 2</t>
  </si>
  <si>
    <t>449 31</t>
  </si>
  <si>
    <t>Nödinge</t>
  </si>
  <si>
    <t>0703-795062
Martin 076 3931360</t>
  </si>
  <si>
    <t>110/251/00567</t>
  </si>
  <si>
    <t>M&amp;L Automobile</t>
  </si>
  <si>
    <t>Delitzscher Str. 51</t>
  </si>
  <si>
    <t>D-06112</t>
  </si>
  <si>
    <t>Halle</t>
  </si>
  <si>
    <t>Motor och Bilservice i Dalarna AB</t>
  </si>
  <si>
    <t>Felparkering Transportstyrelsen</t>
  </si>
  <si>
    <t>2000+moms drag Motorvärmare+komfort sats 2000+moms
Ring honom om bilen är nyare än 2021 om han kan ta åt sig.</t>
  </si>
  <si>
    <t>AC</t>
  </si>
  <si>
    <t>158247-37619-1 (rameder)</t>
  </si>
  <si>
    <t>Lennart Rönn Bil Aktiebolag</t>
  </si>
  <si>
    <t>Box 46</t>
  </si>
  <si>
    <t>Kia Rio 2017&gt;</t>
  </si>
  <si>
    <t>2017&gt;</t>
  </si>
  <si>
    <t>TYRESÖ</t>
  </si>
  <si>
    <t>Ligger hos Äpplekullen</t>
  </si>
  <si>
    <t>Yasir</t>
  </si>
  <si>
    <t>AUDI A4 Kombi 2008-2016
AUDI A4 Sedan 2008-2016</t>
  </si>
  <si>
    <t>Mästargatan 2</t>
  </si>
  <si>
    <t>Mekonomen Högsbo AB</t>
  </si>
  <si>
    <t>2008-2016</t>
  </si>
  <si>
    <t>Box 19542</t>
  </si>
  <si>
    <t>076 3903110</t>
  </si>
  <si>
    <t>info@motorbilservice.se</t>
  </si>
  <si>
    <t>Kia Niro 2016&gt;</t>
  </si>
  <si>
    <t>Retur från MTB62R</t>
  </si>
  <si>
    <t>559222-3183</t>
  </si>
  <si>
    <t>Sandgren Electronics AB</t>
  </si>
  <si>
    <t>box 12271</t>
  </si>
  <si>
    <t>22 och nyare bilar ringer vi och kollar om han klarar av att göra</t>
  </si>
  <si>
    <t>Bocaj &amp; Partner Förvaltning</t>
  </si>
  <si>
    <t>KNIPPLAGATAN 10</t>
  </si>
  <si>
    <t>Peugeot 3008 2016&gt;
Peugeot 5008 2017&gt;
Opel Grandland X 2014
Citroen C5 Aircross 2019&gt;</t>
  </si>
  <si>
    <t>Endast för förberedda bilar.</t>
  </si>
  <si>
    <t>Ser orörd ut</t>
  </si>
  <si>
    <r>
      <rPr>
        <b val="0"/>
      </rPr>
      <t>Bjuda in i kalendern och även mai</t>
    </r>
    <r>
      <rPr>
        <b/>
      </rPr>
      <t>l</t>
    </r>
  </si>
  <si>
    <t xml:space="preserve">Tillhörde SYX800, passade inte bilen. </t>
  </si>
  <si>
    <t>DHS Bilservice AB</t>
  </si>
  <si>
    <t>drag 7pol 2500+m. 13 pol och bilspec 4000+m</t>
  </si>
  <si>
    <t>Öppnar kl 09:00</t>
  </si>
  <si>
    <t>Stephan</t>
  </si>
  <si>
    <t>Mr Tuning</t>
  </si>
  <si>
    <t>Hejargränd 2</t>
  </si>
  <si>
    <t>VW190H1</t>
  </si>
  <si>
    <t>Box 106</t>
  </si>
  <si>
    <t>Autohak</t>
  </si>
  <si>
    <t>VW, Skoda, Audi massa modeller</t>
  </si>
  <si>
    <t>A23</t>
  </si>
  <si>
    <t>Höör</t>
  </si>
  <si>
    <t xml:space="preserve">721 33 </t>
  </si>
  <si>
    <t>2011&gt;</t>
  </si>
  <si>
    <t>021-35 35 58</t>
  </si>
  <si>
    <t>AUDI A4 Kombi 2008&gt;2016
AUDI A4 Sedan 2007&gt;2016
AUDI A5 2007&gt;2015</t>
  </si>
  <si>
    <t>stephan@dhsbil.se</t>
  </si>
  <si>
    <t>2008&gt;2016</t>
  </si>
  <si>
    <t>Ansta Bildemont AB</t>
  </si>
  <si>
    <t>556637-0960</t>
  </si>
  <si>
    <t>Ansta</t>
  </si>
  <si>
    <t>VW190B1</t>
  </si>
  <si>
    <t>VÄSTERÅS</t>
  </si>
  <si>
    <t>Preventia Finans AB</t>
  </si>
  <si>
    <t>Box 24022</t>
  </si>
  <si>
    <t>AU068H1</t>
  </si>
  <si>
    <t>Audi massa modeller</t>
  </si>
  <si>
    <t xml:space="preserve">Autoval I Sundsvall
</t>
  </si>
  <si>
    <t>Drag 3000+moms
Motorvärmare 2500+moms</t>
  </si>
  <si>
    <t>Öppnar kl 07:00</t>
  </si>
  <si>
    <t>Handelsbanken Finans / Ecster</t>
  </si>
  <si>
    <t>Östermovägen 48</t>
  </si>
  <si>
    <t>854 62</t>
  </si>
  <si>
    <t xml:space="preserve">060 15 46 10 </t>
  </si>
  <si>
    <t>AU068B1</t>
  </si>
  <si>
    <t>mattias.lindstrom@autoval.se
Efakt.5565286548@cogidocs.net</t>
  </si>
  <si>
    <t>556528-6548</t>
  </si>
  <si>
    <t>Svensk Adressändring AB</t>
  </si>
  <si>
    <t>Drottninggatan 82,1tr</t>
  </si>
  <si>
    <t>Beställt dubbelt till JNP012 // Tagen från Järfälla till MTD099</t>
  </si>
  <si>
    <t>Jaguar F-pace 06/17 &gt;&gt;
Range Rover Velar 06/17 &gt;&gt;</t>
  </si>
  <si>
    <t>Umbra</t>
  </si>
  <si>
    <t>Ferro autocar</t>
  </si>
  <si>
    <t>GÖTEBORG ENERGI DIN EL AB</t>
  </si>
  <si>
    <t>02028/C</t>
  </si>
  <si>
    <t>Box 53</t>
  </si>
  <si>
    <t>Drag 2500 + moms</t>
  </si>
  <si>
    <t>Öppnar kl 08:00</t>
  </si>
  <si>
    <t>Feramez Askeri</t>
  </si>
  <si>
    <t>Fagerstagatan 9</t>
  </si>
  <si>
    <t>163 53</t>
  </si>
  <si>
    <t>AUDI A4 Kombi 2008&gt;2016
AUDI A4 Sedan 2007&gt;2016
AUDI A5 2007&gt;2015
AUDI A5 Cab 2009&gt;</t>
  </si>
  <si>
    <t>Lunda</t>
  </si>
  <si>
    <t>073 736 30 69</t>
  </si>
  <si>
    <t>Volvo V60 2010&gt;</t>
  </si>
  <si>
    <t>kia.faramarz.a@gmail.com</t>
  </si>
  <si>
    <t>Tror den har gott till PDK036</t>
  </si>
  <si>
    <t>Conrad Elektronik Norden AB</t>
  </si>
  <si>
    <t>Skeppsgatan 19  6tr</t>
  </si>
  <si>
    <t>650321-4436</t>
  </si>
  <si>
    <t>PostNord Sverige AB</t>
  </si>
  <si>
    <t>Kia</t>
  </si>
  <si>
    <t>Affärsområde Mail &amp; Communications</t>
  </si>
  <si>
    <t>Speedy Linköping</t>
  </si>
  <si>
    <t>mail</t>
  </si>
  <si>
    <t>Fordonslogistik sverige AB</t>
  </si>
  <si>
    <t>3000 + moms</t>
  </si>
  <si>
    <t>GÖTEBORG ENERGI AB</t>
  </si>
  <si>
    <t>Västermalmsvägen 5</t>
  </si>
  <si>
    <t xml:space="preserve">791 77 </t>
  </si>
  <si>
    <t>Falun</t>
  </si>
  <si>
    <t>023 22888
070 0262250</t>
  </si>
  <si>
    <t>Info@fordonslogistik.se</t>
  </si>
  <si>
    <t>7-spec</t>
  </si>
  <si>
    <t>320165300107</t>
  </si>
  <si>
    <t>559235-7320</t>
  </si>
  <si>
    <t>Transportstyrelsen Fordonsskatt</t>
  </si>
  <si>
    <t>Volvo S90 / V90 2016&gt;</t>
  </si>
  <si>
    <t>Hyllan</t>
  </si>
  <si>
    <t xml:space="preserve">Nöjd med samarbetet, har lagomt att göra i verkstaden - boka ca 1,5 veckor fram 
</t>
  </si>
  <si>
    <t>Tillhörde förmodligen CNK069. SKICKAS TILL GCH094</t>
  </si>
  <si>
    <t>Göteborgs stads parkeringsaktiebolag</t>
  </si>
  <si>
    <t>Box 7174</t>
  </si>
  <si>
    <t>Bilverkstadcenter i Jönköping AB</t>
  </si>
  <si>
    <t>2000+m
pragramering 1250+m
motorvärmare 2000+m</t>
  </si>
  <si>
    <t>Öppnar kl 08:00-18.00</t>
  </si>
  <si>
    <t>Samer</t>
  </si>
  <si>
    <t xml:space="preserve">Audi A4 kombi- sedan A5 Coupe </t>
  </si>
  <si>
    <t xml:space="preserve">Jönköping </t>
  </si>
  <si>
    <t>Dentxpress AB</t>
  </si>
  <si>
    <t>036 - 18 61 09 
070 - 2858169</t>
  </si>
  <si>
    <t>Björkvägen 2 A</t>
  </si>
  <si>
    <t>559107-3662</t>
  </si>
  <si>
    <t>mail + ring</t>
  </si>
  <si>
    <t>OKQ8 Vikingstad verkstad</t>
  </si>
  <si>
    <t>2500 + moms</t>
  </si>
  <si>
    <t>å</t>
  </si>
  <si>
    <t>Baktiyar Gulahmadov</t>
  </si>
  <si>
    <t>Åstorpsgatan 2</t>
  </si>
  <si>
    <t>583 72</t>
  </si>
  <si>
    <t>Vikingstad</t>
  </si>
  <si>
    <t>0701445444
0765774107 privat</t>
  </si>
  <si>
    <t>bggryningbil2023@gmail.com</t>
  </si>
  <si>
    <t>Kungsstens Byggvaruhus Aktiebolag</t>
  </si>
  <si>
    <t>Fotögatan 10</t>
  </si>
  <si>
    <t>Tagen till order RMR295 22/1</t>
  </si>
  <si>
    <t>Kalender</t>
  </si>
  <si>
    <t>Varit hos Bergendahl men ser bra ut, aldrig inkopplat</t>
  </si>
  <si>
    <t>TB-CJ Industriradio i Mjölby Aktiebolag</t>
  </si>
  <si>
    <t>Office Depot</t>
  </si>
  <si>
    <t>2000kr + moms</t>
  </si>
  <si>
    <t>Box 3132</t>
  </si>
  <si>
    <t xml:space="preserve">Huljegatan 11, </t>
  </si>
  <si>
    <t>SOLNA</t>
  </si>
  <si>
    <t>595 94</t>
  </si>
  <si>
    <t xml:space="preserve">Audi A4 sedan </t>
  </si>
  <si>
    <t>07&gt;16</t>
  </si>
  <si>
    <t>0730435435
0814218400</t>
  </si>
  <si>
    <t>info@tbcj.se</t>
  </si>
  <si>
    <t>A2</t>
  </si>
  <si>
    <t>556369-1814</t>
  </si>
  <si>
    <t>Abbos</t>
  </si>
  <si>
    <t>DRAKÄNGEN BILSERVICE AB</t>
  </si>
  <si>
    <t>c/o  Robert Helen</t>
  </si>
  <si>
    <t>Attsjö Drakängen 1</t>
  </si>
  <si>
    <t>mail/Ring</t>
  </si>
  <si>
    <t>RH BILMEK</t>
  </si>
  <si>
    <t>FURUBY</t>
  </si>
  <si>
    <t>Hllan</t>
  </si>
  <si>
    <t>3000+moms
Montera endast specifika elsatser</t>
  </si>
  <si>
    <t>Öppnar 07,00-17,00</t>
  </si>
  <si>
    <t>Vasaloppsvägen 228</t>
  </si>
  <si>
    <t xml:space="preserve">792 94 </t>
  </si>
  <si>
    <t>Mora</t>
  </si>
  <si>
    <t>0250-310 22</t>
  </si>
  <si>
    <t>info@rhbilmek.se</t>
  </si>
  <si>
    <t>559418-7394</t>
  </si>
  <si>
    <t>VALLÅKRA</t>
  </si>
  <si>
    <t>BMW</t>
  </si>
  <si>
    <t>Tagen till Ola, MRB908</t>
  </si>
  <si>
    <t>Grossistgatan 5</t>
  </si>
  <si>
    <t>Sommarstängt 29,30,31</t>
  </si>
  <si>
    <t>Maila/Ring</t>
  </si>
  <si>
    <t>Karlskrona bilmekaniska AB</t>
  </si>
  <si>
    <t>Ring</t>
  </si>
  <si>
    <t>02028/VM</t>
  </si>
  <si>
    <t>Norre Park Hotel Aktiebolag</t>
  </si>
  <si>
    <t>Norra vägen 7</t>
  </si>
  <si>
    <t>AUDI A4 Sedan 2007&gt;2016
AUDI A4 Kombi 2008&gt;2016
AUDI A5 2007&gt;2015</t>
  </si>
  <si>
    <t>Marholmen Bygg</t>
  </si>
  <si>
    <t>Marholmsvägen 119</t>
  </si>
  <si>
    <t>Askim</t>
  </si>
  <si>
    <t>07:00 - 17:00</t>
  </si>
  <si>
    <t>Nick</t>
  </si>
  <si>
    <t xml:space="preserve"> Ronnebyvägen 5</t>
  </si>
  <si>
    <t>371 45</t>
  </si>
  <si>
    <t>0455-38 31 30</t>
  </si>
  <si>
    <t>skonstavik@mekonomenbilverkstad.se</t>
  </si>
  <si>
    <t>Skellefteå Kraft</t>
  </si>
  <si>
    <t>Kanalgatan 71</t>
  </si>
  <si>
    <t>SKELLEFTEÅ</t>
  </si>
  <si>
    <t>UK  Umbra Rimorchi</t>
  </si>
  <si>
    <t>1417 DAVENPORT HOUSE</t>
  </si>
  <si>
    <t>261 Bolton Road</t>
  </si>
  <si>
    <t>BL8 2NZ</t>
  </si>
  <si>
    <t>Greater Manchester</t>
  </si>
  <si>
    <t>Meca/Alvar Jacobsson AB</t>
  </si>
  <si>
    <t>4174 ink moms</t>
  </si>
  <si>
    <t>07:00 – 16:00</t>
  </si>
  <si>
    <t>Dannevall Servicecenter AB</t>
  </si>
  <si>
    <t>Jordbrovägen 6</t>
  </si>
  <si>
    <t>Tyra Lundgrens Väg 26</t>
  </si>
  <si>
    <t>668 32</t>
  </si>
  <si>
    <t>Ed</t>
  </si>
  <si>
    <t xml:space="preserve"> 0534-10442</t>
  </si>
  <si>
    <t>GUSTAVSBERG</t>
  </si>
  <si>
    <t xml:space="preserve"> verkstad@ajacobsson.se</t>
  </si>
  <si>
    <t>Tillhörde LYK081, nu inköpt av TNN488. TNN488 lämnade tillbaka draget strax efter att han hämtat det. //TC 6/4. Nu skickat till LMD135. 19/8 FP</t>
  </si>
  <si>
    <t>556156-4658</t>
  </si>
  <si>
    <t>Adact Revisorer &amp; Konsulter AB</t>
  </si>
  <si>
    <t>Odinsgatan 11</t>
  </si>
  <si>
    <t>AH</t>
  </si>
  <si>
    <t>Maila/Ring
vill bli inbjuden i vår mail?</t>
  </si>
  <si>
    <t>Speedy /Proauto 
bilverkstad 
Gävle</t>
  </si>
  <si>
    <t>Audi A4 sedan och kombi
Audi A5 coupe och sportback</t>
  </si>
  <si>
    <t>Holmgrens Bil i Göteborg AB</t>
  </si>
  <si>
    <t>Femvägsskälet 4</t>
  </si>
  <si>
    <t>3800+moms
Motvärm
3000+moms</t>
  </si>
  <si>
    <t>VÄSTRA FRÖLUNDA</t>
  </si>
  <si>
    <t>08:00 - 17:00</t>
  </si>
  <si>
    <t>Morhaf Tarcha</t>
  </si>
  <si>
    <t>Kryddstigen 33</t>
  </si>
  <si>
    <t>802 92</t>
  </si>
  <si>
    <t>026-280 59 79</t>
  </si>
  <si>
    <t>info@hjulteam.se</t>
  </si>
  <si>
    <t>559515-4294</t>
  </si>
  <si>
    <t>Ring/ Maila</t>
  </si>
  <si>
    <t>Eklunds Bil Aktiebolag</t>
  </si>
  <si>
    <t>Carpros Verkstad AB</t>
  </si>
  <si>
    <t>Smidesgatan 2</t>
  </si>
  <si>
    <t>3000+m</t>
  </si>
  <si>
    <t>08:00-17:00</t>
  </si>
  <si>
    <t>Christina</t>
  </si>
  <si>
    <t>Karlsbogårdsgatan 7</t>
  </si>
  <si>
    <t xml:space="preserve">Hisings kärra </t>
  </si>
  <si>
    <t>031-876100
0735001378</t>
  </si>
  <si>
    <t>christina@carpros.se</t>
  </si>
  <si>
    <t>559178-0373</t>
  </si>
  <si>
    <t>Dannevall - Avida Finans AB</t>
  </si>
  <si>
    <t>Box 38101</t>
  </si>
  <si>
    <t>CNK069 som bytte till Westfalia istället. Kommit hit, se ny rad.</t>
  </si>
  <si>
    <t>2025 -09-24</t>
  </si>
  <si>
    <t>Mobil &amp; Marin montage Sverige AB</t>
  </si>
  <si>
    <t>2500+moms</t>
  </si>
  <si>
    <t>Piteå Bilverkstad AB</t>
  </si>
  <si>
    <t>GULLBERNAVÄGEN 20</t>
  </si>
  <si>
    <t>PITEÅ</t>
  </si>
  <si>
    <t>Audi A4, A5</t>
  </si>
  <si>
    <t>371 47</t>
  </si>
  <si>
    <t>0708-39 00 80</t>
  </si>
  <si>
    <t>lasse@mobilmontage.com</t>
  </si>
  <si>
    <t>Småföretagarnas Medlemstjänst AB</t>
  </si>
  <si>
    <t>Box 9076</t>
  </si>
  <si>
    <t>556971-6979</t>
  </si>
  <si>
    <t>Speedy Bilservice Älta</t>
  </si>
  <si>
    <t>2000+ moms</t>
  </si>
  <si>
    <t>Box 2043</t>
  </si>
  <si>
    <t>Måndag: 07:30 – 17:00
Fredag:  07:30 -- 15:00</t>
  </si>
  <si>
    <t>Peo
Daniel</t>
  </si>
  <si>
    <t>Grustagsvägen 6</t>
  </si>
  <si>
    <t>08-410 300 38</t>
  </si>
  <si>
    <t>bilverkstan@outlook.com</t>
  </si>
  <si>
    <t>Till bil MDX016</t>
  </si>
  <si>
    <t>559213-7623</t>
  </si>
  <si>
    <t>Allt i Skyltar Aktiebolag</t>
  </si>
  <si>
    <t>Box 8983</t>
  </si>
  <si>
    <t>Daniel och Peo</t>
  </si>
  <si>
    <t>Njutångers Bil &amp; Allservice AB</t>
  </si>
  <si>
    <t>2995 kr + moms</t>
  </si>
  <si>
    <t>08:00-18:00</t>
  </si>
  <si>
    <t>Mechanum Sverige AB</t>
  </si>
  <si>
    <t>Benjamins Väg 12</t>
  </si>
  <si>
    <t>PARTILLE</t>
  </si>
  <si>
    <t>073-8177448</t>
  </si>
  <si>
    <t>Audi A4, A5 4d, kombi, Coupe, Sportback</t>
  </si>
  <si>
    <t>2007&gt;2017</t>
  </si>
  <si>
    <t>Watt Heating AB</t>
  </si>
  <si>
    <t>Grävmaskinsvägen 23</t>
  </si>
  <si>
    <t>ESLÖV</t>
  </si>
  <si>
    <t>Fordonsteknik i Vadstena AB</t>
  </si>
  <si>
    <t>Pilgrimsvägen 8</t>
  </si>
  <si>
    <t>VADSTENA</t>
  </si>
  <si>
    <t>Ring /Maila</t>
  </si>
  <si>
    <t>ES Bilservice AB</t>
  </si>
  <si>
    <t>2700 + moms
ej elbilar</t>
  </si>
  <si>
    <t>Emil</t>
  </si>
  <si>
    <t>Fabriksgatan 9</t>
  </si>
  <si>
    <t>775 54</t>
  </si>
  <si>
    <t>Krylbo</t>
  </si>
  <si>
    <t>079-351 01 22</t>
  </si>
  <si>
    <t>info@esbilservice.se</t>
  </si>
  <si>
    <t>559424-3015</t>
  </si>
  <si>
    <t>Stenvretsvägen 17</t>
  </si>
  <si>
    <t>SKUTSKÄR</t>
  </si>
  <si>
    <t>GGY323</t>
  </si>
  <si>
    <t>Auto-David Bilvård &amp; Bilverkstad AB</t>
  </si>
  <si>
    <t>IM Bilservice i Karlstad AB</t>
  </si>
  <si>
    <t>David</t>
  </si>
  <si>
    <t>Nattvindsgatan 9</t>
  </si>
  <si>
    <t>Göteborgsvägen 7</t>
  </si>
  <si>
    <t>443 30</t>
  </si>
  <si>
    <t>KARLSTAD</t>
  </si>
  <si>
    <t>Lerum</t>
  </si>
  <si>
    <t>076-2827279</t>
  </si>
  <si>
    <t>Audi A4, Audi A5 alla</t>
  </si>
  <si>
    <t>mokdad79@yahoo.se</t>
  </si>
  <si>
    <t>559217-6977</t>
  </si>
  <si>
    <t>Micromel</t>
  </si>
  <si>
    <t>Nowy Olszowiec 72</t>
  </si>
  <si>
    <t>97-217</t>
  </si>
  <si>
    <t>Lubochnia</t>
  </si>
  <si>
    <t>R-Sport Avesta Meca</t>
  </si>
  <si>
    <t>Speedy Örebro Bilservice AB</t>
  </si>
  <si>
    <t>Ring,maila</t>
  </si>
  <si>
    <t>07.00-16.00</t>
  </si>
  <si>
    <t>Högboleden 26,</t>
  </si>
  <si>
    <t xml:space="preserve">774 63 </t>
  </si>
  <si>
    <t>Avesta</t>
  </si>
  <si>
    <t xml:space="preserve"> 022 65 16 00</t>
  </si>
  <si>
    <t>lars.nilsson@mecabilservice.se</t>
  </si>
  <si>
    <t>Speedy autoserviec, Radiatorvägen 5</t>
  </si>
  <si>
    <t>Tesat</t>
  </si>
  <si>
    <t>Ludowa Str. 13</t>
  </si>
  <si>
    <t>51-503</t>
  </si>
  <si>
    <t>Wroclaw</t>
  </si>
  <si>
    <t>2800kr exkl moms Drag och motorvärmare</t>
  </si>
  <si>
    <t>Tagen till PYN261</t>
  </si>
  <si>
    <t>Stångjärnsgatan 7</t>
  </si>
  <si>
    <t>0723 934000</t>
  </si>
  <si>
    <t>HH Bilservice Handelsbolag</t>
  </si>
  <si>
    <t>holmen@mekopartner.se</t>
  </si>
  <si>
    <t>Butik Inreda 24 AB</t>
  </si>
  <si>
    <t>Norra Långgatan 16</t>
  </si>
  <si>
    <t>KALMAR</t>
  </si>
  <si>
    <t>Vool AB</t>
  </si>
  <si>
    <t>ENERGIGATAN 7</t>
  </si>
  <si>
    <t>KUNGSBACKA</t>
  </si>
  <si>
    <t>Försäkringsaktiebolaget Skandia</t>
  </si>
  <si>
    <t>Skandia Försäkring (publ)</t>
  </si>
  <si>
    <t>Tagen till Mrz262</t>
  </si>
  <si>
    <t>559553-9502</t>
  </si>
  <si>
    <t>Förhandlade priser feb 26, nöjd med samarbetet</t>
  </si>
  <si>
    <t>Upplands bildemontering AB</t>
  </si>
  <si>
    <t>Möllerswärdsgatan 8</t>
  </si>
  <si>
    <t>Aktiebolaget Burträsk Gummiverkstad</t>
  </si>
  <si>
    <t>UPPSALA</t>
  </si>
  <si>
    <t>07:30 - 16:30
Fre 07:00 - 16:30</t>
  </si>
  <si>
    <t>Erik</t>
  </si>
  <si>
    <t>Sundbrogatan 25,</t>
  </si>
  <si>
    <t>937 31</t>
  </si>
  <si>
    <t>Burträsk</t>
  </si>
  <si>
    <t>0914 10106</t>
  </si>
  <si>
    <t>gummi@burtrask.com</t>
  </si>
  <si>
    <t>S.S. Bilbehör Aktiebolag</t>
  </si>
  <si>
    <t>Datavägen 63</t>
  </si>
  <si>
    <t>ASKIM</t>
  </si>
  <si>
    <t>Ring
maila</t>
  </si>
  <si>
    <t>Mekonomen
AC &amp; Däckcenter i Rättvik AB</t>
  </si>
  <si>
    <t>Motala Bilpartner AB</t>
  </si>
  <si>
    <t>07:00-16:30
Fredag
07:00 - 14:00</t>
  </si>
  <si>
    <t>Björn</t>
  </si>
  <si>
    <t>Filarvägen 11</t>
  </si>
  <si>
    <t>Till bil NTS310</t>
  </si>
  <si>
    <t>795 32</t>
  </si>
  <si>
    <t>MOTALA</t>
  </si>
  <si>
    <t>Rättvik</t>
  </si>
  <si>
    <t>0248-13 000</t>
  </si>
  <si>
    <t>bjorn@acdackcenter.se</t>
  </si>
  <si>
    <t>559078-8435</t>
  </si>
  <si>
    <t>Mullsjö Autocenter AB</t>
  </si>
  <si>
    <t>2400 +moms</t>
  </si>
  <si>
    <t>First Vision i Malmö AB</t>
  </si>
  <si>
    <t>Skomakaregatan 12</t>
  </si>
  <si>
    <t xml:space="preserve">Mike </t>
  </si>
  <si>
    <t>Garverigatan 4</t>
  </si>
  <si>
    <t>565 33</t>
  </si>
  <si>
    <t>Mullsjö</t>
  </si>
  <si>
    <t>0761-990079</t>
  </si>
  <si>
    <t>Info@mullsjoautocenter.se</t>
  </si>
  <si>
    <t>Audi A6</t>
  </si>
  <si>
    <t>2005&gt;2011</t>
  </si>
  <si>
    <t>Skandia Tjänstegrupp liv</t>
  </si>
  <si>
    <t>Ring /maila</t>
  </si>
  <si>
    <t>Hille Bensin och Service</t>
  </si>
  <si>
    <t>Loopia Hosting AB</t>
  </si>
  <si>
    <t>Thomas Gyllenskepp</t>
  </si>
  <si>
    <t>Lindhagensgatan 126 5TR</t>
  </si>
  <si>
    <t>Hillevägen 38</t>
  </si>
  <si>
    <t>0702346808</t>
  </si>
  <si>
    <t>hille@mecaverkstad.se</t>
  </si>
  <si>
    <t>AJ Produkter Aktiebolag</t>
  </si>
  <si>
    <t>AutoDeal Sweden AB</t>
  </si>
  <si>
    <t>2500-3500+ moms</t>
  </si>
  <si>
    <t>10.00-18.00</t>
  </si>
  <si>
    <t>Fjärilsgatan 50</t>
  </si>
  <si>
    <t>613 61</t>
  </si>
  <si>
    <t>Norrköping</t>
  </si>
  <si>
    <t>011 14 0166</t>
  </si>
  <si>
    <t>info@autodealsweden.se</t>
  </si>
  <si>
    <t>Kults Motor AB</t>
  </si>
  <si>
    <t>Storsjöstråket 13</t>
  </si>
  <si>
    <t>Fri frakt - 10 % på dragen</t>
  </si>
  <si>
    <t>ÖSTERSUND</t>
  </si>
  <si>
    <t>JP China Trade Int´l Co Ltd</t>
  </si>
  <si>
    <t>Ring/maila</t>
  </si>
  <si>
    <t>A-088</t>
  </si>
  <si>
    <t>1005 Jincheng Centre</t>
  </si>
  <si>
    <t>AUDI A6</t>
  </si>
  <si>
    <t>Tongzhou district</t>
  </si>
  <si>
    <t>2800 + moms 
kan ej koda in
Kan få in Husbilar
Maila om pris</t>
  </si>
  <si>
    <t>Beijing</t>
  </si>
  <si>
    <t>08:00 - 17,00</t>
  </si>
  <si>
    <t>CN</t>
  </si>
  <si>
    <t>Fridhemsgatan 7</t>
  </si>
  <si>
    <t>China</t>
  </si>
  <si>
    <t xml:space="preserve">733 39 </t>
  </si>
  <si>
    <t>Sala</t>
  </si>
  <si>
    <t>0224 - 100 45
076 5568035</t>
  </si>
  <si>
    <t xml:space="preserve">	hozan@nbkab.se</t>
  </si>
  <si>
    <t xml:space="preserve"> 559103-0381</t>
  </si>
  <si>
    <t>Tonerlagret Sverige AB</t>
  </si>
  <si>
    <t>Ingenjörsgatan 5</t>
  </si>
  <si>
    <t>2500 inkl moms
3000 inkl moms 4 år och äldre bil
3000 inkl moms för motorvärmare</t>
  </si>
  <si>
    <t>Bergslagsvägen 13</t>
  </si>
  <si>
    <t>737 32</t>
  </si>
  <si>
    <t>Fagersta</t>
  </si>
  <si>
    <t>0223 - 211 11
072 8330668</t>
  </si>
  <si>
    <t>platochmek@adbilverkstad.se</t>
  </si>
  <si>
    <t>AK Mobilkonsult Aktiebolag / Ditec</t>
  </si>
  <si>
    <t>Pumpvägen 1B</t>
  </si>
  <si>
    <t>559503-2656</t>
  </si>
  <si>
    <t>Ring Maila</t>
  </si>
  <si>
    <t>PA Bil &amp; Motor</t>
  </si>
  <si>
    <t>Mån-tors  07:00-16:30
Fredag  07:00-13:00</t>
  </si>
  <si>
    <t>Värmlandsvägen 29</t>
  </si>
  <si>
    <t>691 34</t>
  </si>
  <si>
    <t>Karlskoga</t>
  </si>
  <si>
    <t>verkstaden@pabil.se</t>
  </si>
  <si>
    <t>559064-1733</t>
  </si>
  <si>
    <t>Ulricehamns Auto AB</t>
  </si>
  <si>
    <t>Karlsnäsvägen 4</t>
  </si>
  <si>
    <t>ULRICEHAMN</t>
  </si>
  <si>
    <t>AT Tuning</t>
  </si>
  <si>
    <t>1800 + moms liten bil
2200 + moms mellan
2500 + moms suv+</t>
  </si>
  <si>
    <t>DLT Bil &amp; Släp KB</t>
  </si>
  <si>
    <t>JMJ052</t>
  </si>
  <si>
    <t>Tahir</t>
  </si>
  <si>
    <t>Stenlidsvägen 27</t>
  </si>
  <si>
    <t>Eckens Väg 22</t>
  </si>
  <si>
    <t>433 33</t>
  </si>
  <si>
    <t>Partille</t>
  </si>
  <si>
    <t>ALINGSÅS</t>
  </si>
  <si>
    <t>073 625 98 82</t>
  </si>
  <si>
    <t>info@ak-exhaust.se</t>
  </si>
  <si>
    <t>Oscar</t>
  </si>
  <si>
    <t>C2</t>
  </si>
  <si>
    <t>Klarna / FrostyCool</t>
  </si>
  <si>
    <t>Eklanda Hage 8 Lgh 1002</t>
  </si>
  <si>
    <t>Idre Fordonsservice</t>
  </si>
  <si>
    <t>3000 kr Inkl för drag</t>
  </si>
  <si>
    <t>Tagen till BWE757</t>
  </si>
  <si>
    <t>Pär</t>
  </si>
  <si>
    <t>Ljunghemsvägen 35</t>
  </si>
  <si>
    <t>790 91</t>
  </si>
  <si>
    <t>Idre</t>
  </si>
  <si>
    <t>Your Eden Städservice AB</t>
  </si>
  <si>
    <t>0253-205 55
073-061 62 91</t>
  </si>
  <si>
    <t>Bronsfyndsgatan 31</t>
  </si>
  <si>
    <t>idrefordonsservice@outlook.com</t>
  </si>
  <si>
    <t>A-089/1</t>
  </si>
  <si>
    <t>Tomtvägen 3</t>
  </si>
  <si>
    <t>3000 kr Inkl för drag
motorvärmare ring</t>
  </si>
  <si>
    <t>TOMELILLA</t>
  </si>
  <si>
    <t>Lastbilsgatan 6D</t>
  </si>
  <si>
    <t>754 54</t>
  </si>
  <si>
    <t>info@fordonsserviceuppland.se</t>
  </si>
  <si>
    <t>2800 kr inkl för drag
monterar ej motorv</t>
  </si>
  <si>
    <t>Mån–fre kl 07–16</t>
  </si>
  <si>
    <t>Strandvägen 12</t>
  </si>
  <si>
    <t>824 96</t>
  </si>
  <si>
    <t>Stocka</t>
  </si>
  <si>
    <t>Trafikförsäkringsföreningen</t>
  </si>
  <si>
    <t>Tillhörde Aukea. Tagen till LWF694</t>
  </si>
  <si>
    <t>Karlavägen 108</t>
  </si>
  <si>
    <t>Box 24035</t>
  </si>
  <si>
    <t xml:space="preserve">
info@​nkmekotuning.​se</t>
  </si>
  <si>
    <t>Lindorff Sverige AB</t>
  </si>
  <si>
    <t>SMS / Mail</t>
  </si>
  <si>
    <t>Mi Fordonsteknik Örebro</t>
  </si>
  <si>
    <t>2200kr + moms</t>
  </si>
  <si>
    <t>Mån–fre kl 08–17</t>
  </si>
  <si>
    <t>Verkstadssgatan 8</t>
  </si>
  <si>
    <t>0764244363</t>
  </si>
  <si>
    <t>BMW Originalförsäkring</t>
  </si>
  <si>
    <r>
      <rPr>
        <color rgb="FF1155CC"/>
        <u/>
      </rPr>
      <t>info@miteknik.se</t>
    </r>
  </si>
  <si>
    <t>JSD78L</t>
  </si>
  <si>
    <t>AD43AS</t>
  </si>
  <si>
    <t>Maserfrakt Distribution Aktiebolag</t>
  </si>
  <si>
    <t>Box 740</t>
  </si>
  <si>
    <t>BORLÄNGE</t>
  </si>
  <si>
    <t>Audi A6 (C6/4F) SDN &amp; Avant</t>
  </si>
  <si>
    <t>2004-2/2011</t>
  </si>
  <si>
    <t>Östens Bil Traktor Maskinservice</t>
  </si>
  <si>
    <t>Rommevägen 136</t>
  </si>
  <si>
    <t>Vallåkra 9/5</t>
  </si>
  <si>
    <t>Anhængertræk Reperation</t>
  </si>
  <si>
    <t>Reparation kula: 95 euro + frakt</t>
  </si>
  <si>
    <t>Endast reparation av dragkrokar</t>
  </si>
  <si>
    <t>Henrik Carlsen</t>
  </si>
  <si>
    <t>Nyrupvej 69</t>
  </si>
  <si>
    <t>DK-4180</t>
  </si>
  <si>
    <t>AD51Q</t>
  </si>
  <si>
    <t>Magno Bilskadecenter AB</t>
  </si>
  <si>
    <t>Sorö</t>
  </si>
  <si>
    <t>004522335174</t>
  </si>
  <si>
    <t>Malmsjögatan 4</t>
  </si>
  <si>
    <t>hcarlsen@hcarlsen.dk</t>
  </si>
  <si>
    <t>Audi A6 (C7/4G) SDN&amp;AVANT 03/11-</t>
  </si>
  <si>
    <t>03/2011-</t>
  </si>
  <si>
    <t>Mail / telefon</t>
  </si>
  <si>
    <t>Arlanda Bilgalleri AB</t>
  </si>
  <si>
    <t>Skylttext i Helsingborg</t>
  </si>
  <si>
    <t>1250kr + moms / h</t>
  </si>
  <si>
    <t>Att: Dekalkungen</t>
  </si>
  <si>
    <t>Markus Svantesson</t>
  </si>
  <si>
    <t>Servogatan 18</t>
  </si>
  <si>
    <t>HELSINGBORG</t>
  </si>
  <si>
    <t>Arlandastad</t>
  </si>
  <si>
    <t>08-503 532 20</t>
  </si>
  <si>
    <t>arlanda@bilgalleri.se</t>
  </si>
  <si>
    <t xml:space="preserve">tagen till FPs polare WLK924. </t>
  </si>
  <si>
    <t>10125LA</t>
  </si>
  <si>
    <t>Tågaborgs Bilservice AB</t>
  </si>
  <si>
    <t>Svensk Bilvård Bilverkstad - AD Bilverkstad</t>
  </si>
  <si>
    <t>?</t>
  </si>
  <si>
    <t>Ring och få ett pris</t>
  </si>
  <si>
    <t xml:space="preserve">Mån-fre kl 07.00-17.00 </t>
  </si>
  <si>
    <t>Silogatan 1</t>
  </si>
  <si>
    <t xml:space="preserve">784 63 </t>
  </si>
  <si>
    <t>0243-23 30 00</t>
  </si>
  <si>
    <t>borlange@svenskbilvard.se</t>
  </si>
  <si>
    <t>Fri frakt</t>
  </si>
  <si>
    <t>hittapunktse AB</t>
  </si>
  <si>
    <t>Drottninggatan 95A</t>
  </si>
  <si>
    <t>Tagen till NAR983</t>
  </si>
  <si>
    <t>A-098</t>
  </si>
  <si>
    <t>Audi A6 / A7</t>
  </si>
  <si>
    <t xml:space="preserve">Lager </t>
  </si>
  <si>
    <t>Transport Trading Reservdelar DP AB</t>
  </si>
  <si>
    <t>Jägarvallsvägen 6E</t>
  </si>
  <si>
    <t>LINKÖPING</t>
  </si>
  <si>
    <t>Z.P.H.U. HAK-POL</t>
  </si>
  <si>
    <t>Audi A6 / A7 Quattro S-line</t>
  </si>
  <si>
    <t>Kazimierza Wielkiego 34/7</t>
  </si>
  <si>
    <t>96-200</t>
  </si>
  <si>
    <t>Rawa Mazowiecka</t>
  </si>
  <si>
    <t>44% rabatt på prislista</t>
  </si>
  <si>
    <t>ABR</t>
  </si>
  <si>
    <t>Box 7078</t>
  </si>
  <si>
    <t>Hittar ej detta draget. Ligger inte på sin plats. //TC 11/4 -17</t>
  </si>
  <si>
    <t>SUNDBYBERG</t>
  </si>
  <si>
    <t>Audi A6 A7</t>
  </si>
  <si>
    <t>Svensk Bilåtervinning AB / Fortus</t>
  </si>
  <si>
    <t>Industrivägen 8</t>
  </si>
  <si>
    <t>ODENSBACKEN</t>
  </si>
  <si>
    <t>yfk524</t>
  </si>
  <si>
    <t>Larmkonsult Tomas Ottosson</t>
  </si>
  <si>
    <t>Byamansvägen 8</t>
  </si>
  <si>
    <t>A 28V</t>
  </si>
  <si>
    <t>Audi A6 Allroad</t>
  </si>
  <si>
    <t>2006&gt;2012</t>
  </si>
  <si>
    <t>Guangzhou Youstar Technology co Ltd</t>
  </si>
  <si>
    <t>inkClub AB</t>
  </si>
  <si>
    <t>Box 1644</t>
  </si>
  <si>
    <t>Finns kula på annat ställe.</t>
  </si>
  <si>
    <t>Tagen till Fhn614</t>
  </si>
  <si>
    <t>Ulf Ekholm</t>
  </si>
  <si>
    <t>EKSJÖ</t>
  </si>
  <si>
    <t>Audi A6 Avant</t>
  </si>
  <si>
    <t>IT00176860351</t>
  </si>
  <si>
    <t>Menabo</t>
  </si>
  <si>
    <t>UNICREDIT SPA</t>
  </si>
  <si>
    <t>Via 8 Marzo n. 3 Z.I</t>
  </si>
  <si>
    <t>CAVRIAGO</t>
  </si>
  <si>
    <t>IT</t>
  </si>
  <si>
    <t>Italy</t>
  </si>
  <si>
    <t>Tagen till NJX713</t>
  </si>
  <si>
    <t>Alingsås Bildelar AB</t>
  </si>
  <si>
    <t>Sävelundsgatan 7</t>
  </si>
  <si>
    <t xml:space="preserve">Audi A6 avant, A7 Sportback </t>
  </si>
  <si>
    <t>11&gt;</t>
  </si>
  <si>
    <t>Onmediagroup Sverige AB</t>
  </si>
  <si>
    <t>Kristallen</t>
  </si>
  <si>
    <t>Däckcenter Vallentuna AB</t>
  </si>
  <si>
    <t>Audi A6 Kombi</t>
  </si>
  <si>
    <t>Linda Kassis, Funäsgatan 38 Lgh 1002</t>
  </si>
  <si>
    <t>VÄLLINGBY</t>
  </si>
  <si>
    <t>0908304-1</t>
  </si>
  <si>
    <t>Kovil Oy</t>
  </si>
  <si>
    <t>Kund hoppat av. Krasniqi reg nr MXJ698</t>
  </si>
  <si>
    <t>Taitajantie 2</t>
  </si>
  <si>
    <t>Savonlinna</t>
  </si>
  <si>
    <t>FI</t>
  </si>
  <si>
    <t>Finland</t>
  </si>
  <si>
    <t>Audi A6 kombi</t>
  </si>
  <si>
    <t>LOOPIA AKTIEBOLAG</t>
  </si>
  <si>
    <t>Kopparbergsvägen 8, våning 8</t>
  </si>
  <si>
    <t>Fått denna dragkrok av Steinhof för att testa på Avant-modellen. Måste ta bilder under monteringen och skicka ner. Dragkrok avsedd till att monteras på motornavet</t>
  </si>
  <si>
    <t>Nya Allbilskroten i Norrköping AB</t>
  </si>
  <si>
    <t>Kommendantvägen 8</t>
  </si>
  <si>
    <t>NORRKÖPING</t>
  </si>
  <si>
    <t>A-082</t>
  </si>
  <si>
    <t>1997&gt;2005</t>
  </si>
  <si>
    <t>Batteri Recond Trading i Sverige AB</t>
  </si>
  <si>
    <t>Järnmalmsgatan 1</t>
  </si>
  <si>
    <t>UC Alla Bolag AB</t>
  </si>
  <si>
    <t>Westfalia-Automotive Denmark ApS</t>
  </si>
  <si>
    <t>Nordensvej 15 B</t>
  </si>
  <si>
    <t>DK-7000</t>
  </si>
  <si>
    <t>Fredricia</t>
  </si>
  <si>
    <t>50% rabatt på prislista</t>
  </si>
  <si>
    <t>MEKSTER AB</t>
  </si>
  <si>
    <t>HPR385</t>
  </si>
  <si>
    <t xml:space="preserve">AD51S </t>
  </si>
  <si>
    <t>Rollsbo Billackering AB</t>
  </si>
  <si>
    <t>Rollsbovägen 48</t>
  </si>
  <si>
    <t>AUDI A6 kombi / sedan 2011&gt;2015</t>
  </si>
  <si>
    <t xml:space="preserve">2011-2015 </t>
  </si>
  <si>
    <t>KUNGÄLV</t>
  </si>
  <si>
    <t>Euro Parking</t>
  </si>
  <si>
    <t>Rameder. Anhängerkupplungen und Autoteile GmbH</t>
  </si>
  <si>
    <t>Am Eichberg Flauer 1</t>
  </si>
  <si>
    <t>Leutenberg</t>
  </si>
  <si>
    <t>Mud888</t>
  </si>
  <si>
    <t>Imiola</t>
  </si>
  <si>
    <t>KG Knutsson Aktiebolag</t>
  </si>
  <si>
    <t>A/012</t>
  </si>
  <si>
    <t>Hammarbacken 8</t>
  </si>
  <si>
    <t>SOLLENTUNA</t>
  </si>
  <si>
    <t>AUDI A6 KOMBI 2004&gt;2011</t>
  </si>
  <si>
    <t>2004&gt;2011</t>
  </si>
  <si>
    <t>Swerock Hk</t>
  </si>
  <si>
    <t>Box 1281</t>
  </si>
  <si>
    <t>ÄNGELHOLM</t>
  </si>
  <si>
    <t>Ingent AB</t>
  </si>
  <si>
    <t>c/o Johannes Hedlund, Transistorgatan 33</t>
  </si>
  <si>
    <t>AD51S</t>
  </si>
  <si>
    <t>Ryds Bilglas AB</t>
  </si>
  <si>
    <t>Box 1104</t>
  </si>
  <si>
    <t>AUDI A6 Kombi 2011&gt;</t>
  </si>
  <si>
    <t>HUDDINGE</t>
  </si>
  <si>
    <t>Apcoa</t>
  </si>
  <si>
    <t>Box 47024</t>
  </si>
  <si>
    <t>Walters Bildelar AB</t>
  </si>
  <si>
    <t>Skogstorp</t>
  </si>
  <si>
    <t>FALKENBERG</t>
  </si>
  <si>
    <t>Rollup-Kungen AB</t>
  </si>
  <si>
    <t>AD56Q</t>
  </si>
  <si>
    <t>Pilvägen 8A</t>
  </si>
  <si>
    <t>KARLSHAMN</t>
  </si>
  <si>
    <t>AUDI A6 Kombi 2015&gt;
AUDI A6 Sedan 2016&gt;</t>
  </si>
  <si>
    <t>arvato Finance AB</t>
  </si>
  <si>
    <t>Box 1143</t>
  </si>
  <si>
    <t>VARBERG</t>
  </si>
  <si>
    <t>WHEELZONE AB Speedy Jönköping</t>
  </si>
  <si>
    <t>KXZ975</t>
  </si>
  <si>
    <t>Kloma AB</t>
  </si>
  <si>
    <t>Fordonsgatan 5</t>
  </si>
  <si>
    <t>02021/C</t>
  </si>
  <si>
    <t>VARA</t>
  </si>
  <si>
    <t>Audi A6 kombi/sedan</t>
  </si>
  <si>
    <t>Expresstransport TMB AB</t>
  </si>
  <si>
    <t>Kruthusgatan 4</t>
  </si>
  <si>
    <t>HUSKVARNA</t>
  </si>
  <si>
    <t>Tillhörde WDM896 som bytte till Westfalia istället. Kommit hit, se ny rad.</t>
  </si>
  <si>
    <t>Gringo Nordic Coffee Roasters AB</t>
  </si>
  <si>
    <t>AUDI A6 Sedan 1997&gt;2004
AUDI A6 Kombi 1998&gt;2005</t>
  </si>
  <si>
    <t>Galwin Bildelar AB</t>
  </si>
  <si>
    <t>Meteorologvägen 2</t>
  </si>
  <si>
    <t>Tillhörde WDM896. Saknar handtaget. Lägg dit ett sådant
Tagen till RUB171 - 15/12 FP</t>
  </si>
  <si>
    <t>Bring Parcels AB</t>
  </si>
  <si>
    <t>Bordsvägen 3</t>
  </si>
  <si>
    <t>AUDI A6 Sedan 2011&gt; (och kombi)</t>
  </si>
  <si>
    <t>2011&gt;2017</t>
  </si>
  <si>
    <t>C1</t>
  </si>
  <si>
    <t>Triopart International AB</t>
  </si>
  <si>
    <t>Göstakrog 4</t>
  </si>
  <si>
    <t>SÄFFLE</t>
  </si>
  <si>
    <t>Towing Electrics Limited</t>
  </si>
  <si>
    <t>Är till JV DLT550</t>
  </si>
  <si>
    <t>Unit 3L, Moss Ind Estate</t>
  </si>
  <si>
    <t>Woodbine St East</t>
  </si>
  <si>
    <t>OL16 5LB</t>
  </si>
  <si>
    <t>Rochdale</t>
  </si>
  <si>
    <t>A-099</t>
  </si>
  <si>
    <t>Audi A6 sedan/kombi/ A7 m fl</t>
  </si>
  <si>
    <t>SLR Recond</t>
  </si>
  <si>
    <t>Badhusgatan 53</t>
  </si>
  <si>
    <t>Mickson Företagsreklam Aktiebolag</t>
  </si>
  <si>
    <t>Vegagatan 19</t>
  </si>
  <si>
    <t>BORÅS</t>
  </si>
  <si>
    <t>Kund hämtat här 170505 //TC</t>
  </si>
  <si>
    <t>Bil &amp; Maskinteknik i Haparanda AB</t>
  </si>
  <si>
    <t>Vojakkala 143</t>
  </si>
  <si>
    <t>Audi A6, Audi A7</t>
  </si>
  <si>
    <t>HAPARANDA</t>
  </si>
  <si>
    <t>Henrikson Import &amp; Export Aktiebolag</t>
  </si>
  <si>
    <t>Varholmsgatan 2</t>
  </si>
  <si>
    <t>Tillhörde SRF290 som avbokades. tagen till RXH770</t>
  </si>
  <si>
    <t>AD52AQ</t>
  </si>
  <si>
    <t>Audi Q3</t>
  </si>
  <si>
    <t>MARIESTAD</t>
  </si>
  <si>
    <t>Mjuk Biltvätt Sverige AB</t>
  </si>
  <si>
    <t>Södra Hamngatan 23</t>
  </si>
  <si>
    <t>Nybrons bilservice AB</t>
  </si>
  <si>
    <t>Evedalsgatan 3 C</t>
  </si>
  <si>
    <t>WAD52Q</t>
  </si>
  <si>
    <t>Audi Q3 2011-</t>
  </si>
  <si>
    <t>2011-</t>
  </si>
  <si>
    <t>Verkstan i Sundsvall AB</t>
  </si>
  <si>
    <t>SUNDSVALL</t>
  </si>
  <si>
    <t>ECS Electronics B.V</t>
  </si>
  <si>
    <t>Moerlaken 3</t>
  </si>
  <si>
    <t>Industrieterrein De Krogten 3522</t>
  </si>
  <si>
    <t>4825 AR</t>
  </si>
  <si>
    <t>Breda</t>
  </si>
  <si>
    <t>NL</t>
  </si>
  <si>
    <t>Netherlands</t>
  </si>
  <si>
    <t>Till OWP380</t>
  </si>
  <si>
    <t>60% rabatt</t>
  </si>
  <si>
    <t>WAD49AQ</t>
  </si>
  <si>
    <t>Audi Q5 2008-</t>
  </si>
  <si>
    <t>Moderna Försäkringar, Fil Till Tryg Forsikring A/S Danmark</t>
  </si>
  <si>
    <t>Box 2251</t>
  </si>
  <si>
    <t>UC Affärsfakta AB</t>
  </si>
  <si>
    <t>Årstaängsvägen 21B</t>
  </si>
  <si>
    <t>Tagen till Äpple, OMY541</t>
  </si>
  <si>
    <t>Nickis bilverkstad AB</t>
  </si>
  <si>
    <t>Tagen till FNC416</t>
  </si>
  <si>
    <t>Sunnavägen 99</t>
  </si>
  <si>
    <t>Harchuk Consulting AB / Speedy Västerås</t>
  </si>
  <si>
    <t>A-106</t>
  </si>
  <si>
    <t>AUDI Q5 2008&gt;</t>
  </si>
  <si>
    <t>2008&gt;</t>
  </si>
  <si>
    <t>GH Däck och Motor AB / Speedy Östermalm</t>
  </si>
  <si>
    <t>Valhallavägen 161</t>
  </si>
  <si>
    <t>Toveks Auktioner AB</t>
  </si>
  <si>
    <t>Box 158</t>
  </si>
  <si>
    <t>ÄTRAN</t>
  </si>
  <si>
    <t>Tagen till BT16856</t>
  </si>
  <si>
    <t>Collector Bank AB</t>
  </si>
  <si>
    <t>Östersväg 2</t>
  </si>
  <si>
    <t>LANDVETTER</t>
  </si>
  <si>
    <t>Bilhuset i Kalmar AB</t>
  </si>
  <si>
    <t>Speedy Bilservice Eskilstuna / GH Motor Eskilstuna AB</t>
  </si>
  <si>
    <t>ESKILSTUNA</t>
  </si>
  <si>
    <t>DK25996496</t>
  </si>
  <si>
    <t>Dansk Anhængertræk GDW A/S</t>
  </si>
  <si>
    <t>JERNBANEGADE 14</t>
  </si>
  <si>
    <t>DK</t>
  </si>
  <si>
    <t>Denmark</t>
  </si>
  <si>
    <t>OEP055</t>
  </si>
  <si>
    <t>Skäggetorps Bilservice</t>
  </si>
  <si>
    <t>A-094</t>
  </si>
  <si>
    <t>Sunneskärs Båtsällskap</t>
  </si>
  <si>
    <t>C/O Katalin Löfström</t>
  </si>
  <si>
    <t>Apx Automotive AB</t>
  </si>
  <si>
    <t>koriandervägen 4</t>
  </si>
  <si>
    <t>ÅHUS</t>
  </si>
  <si>
    <t>Tillhörde TRG198 som blev dubbelbeställd. tagen till HUZ220</t>
  </si>
  <si>
    <t>A-106 + SMP-4pe</t>
  </si>
  <si>
    <t>Audi Q5, Porsche Macan</t>
  </si>
  <si>
    <t>Schmiedmann Sverige AB</t>
  </si>
  <si>
    <t>Gunnesgårdsvägen 25</t>
  </si>
  <si>
    <t>FJÄRÅS</t>
  </si>
  <si>
    <t>GUNNAR ANDERSSON Bud och Transport</t>
  </si>
  <si>
    <t>Garnisonsvägen 27 LGH 1501</t>
  </si>
  <si>
    <t>Tillhörde ordern för WYY053 som avbokat. (vi kunde ändå inte ta den)</t>
  </si>
  <si>
    <t>Torvalla Bil Sätra AB</t>
  </si>
  <si>
    <t>Box 2095</t>
  </si>
  <si>
    <t>SKÄRHOLMEN</t>
  </si>
  <si>
    <t>Golvmattor premium</t>
  </si>
  <si>
    <t>Audi Q7</t>
  </si>
  <si>
    <t>VIAMOTOR AB / Borlänge</t>
  </si>
  <si>
    <t>PS Payment Services AB</t>
  </si>
  <si>
    <t>Krokslätts Fabriker 30</t>
  </si>
  <si>
    <t>Retur CS dubbelbeställt</t>
  </si>
  <si>
    <t>Bosal</t>
  </si>
  <si>
    <t>029-743</t>
  </si>
  <si>
    <t>Audi Q7, VW Touareg</t>
  </si>
  <si>
    <t>Umbra Rimorchi Italy</t>
  </si>
  <si>
    <t>Via C. Pizzoni 37/39</t>
  </si>
  <si>
    <t>D3</t>
  </si>
  <si>
    <t>Perugia</t>
  </si>
  <si>
    <t>NW Snabbservice AB</t>
  </si>
  <si>
    <t>Marius Motors AB - Speedy Bilservice Västerås</t>
  </si>
  <si>
    <t>Bilteknik West AB / Speedy Falkenberg</t>
  </si>
  <si>
    <t>Oktanvägen 1C</t>
  </si>
  <si>
    <t>Audi, Vw ,Seat Skoda</t>
  </si>
  <si>
    <t>Landvetter Bilverkstad AB</t>
  </si>
  <si>
    <t>Östra Eskilsbyvägen 220</t>
  </si>
  <si>
    <t>B-Bus &amp; Kuman BilserviCe AB</t>
  </si>
  <si>
    <t>TROLLHÄTTAN</t>
  </si>
  <si>
    <t>AIRBRAKE TECHNOLOGY CO LIMITED</t>
  </si>
  <si>
    <t>Bockenheimer Landstr. 24</t>
  </si>
  <si>
    <t>Frankfurt</t>
  </si>
  <si>
    <t>Tagen till WXJ041</t>
  </si>
  <si>
    <t>Gamla Furuviksvägen 23</t>
  </si>
  <si>
    <t>Länsförsäkringar Göteborg &amp; Bohus Län</t>
  </si>
  <si>
    <t>WarmUp Bluetooth</t>
  </si>
  <si>
    <t>Lilla Bommen 8</t>
  </si>
  <si>
    <t>Bluetooth WarmUp 1400, alla bilar</t>
  </si>
  <si>
    <t>Länsförsäkringar Företags före</t>
  </si>
  <si>
    <t>AB Ystad Meck &amp; Däck</t>
  </si>
  <si>
    <t>Mässingsgatan 9</t>
  </si>
  <si>
    <t>YSTAD</t>
  </si>
  <si>
    <t>Tagen till SKF125</t>
  </si>
  <si>
    <t>Haga bilteknik AB</t>
  </si>
  <si>
    <t>Haga v 76</t>
  </si>
  <si>
    <t>BM44Q</t>
  </si>
  <si>
    <t>Sikeå Bil &amp; Rep AB</t>
  </si>
  <si>
    <t>Sikeå 123</t>
  </si>
  <si>
    <t>ROBERTSFORS</t>
  </si>
  <si>
    <t>CE Motor KB</t>
  </si>
  <si>
    <t>ENERGIVÄGEN 2 C</t>
  </si>
  <si>
    <t>Tagen till NTX810</t>
  </si>
  <si>
    <t>Valla Bildemontering Aktiebolag</t>
  </si>
  <si>
    <t>B-045</t>
  </si>
  <si>
    <t>VALLA</t>
  </si>
  <si>
    <t>BMW 1 och 3</t>
  </si>
  <si>
    <t>05&gt;</t>
  </si>
  <si>
    <t>DHL Freight (Sweden) AB</t>
  </si>
  <si>
    <t>Gustav Iii:S Boulevard 18</t>
  </si>
  <si>
    <t>HITTAR INTE????</t>
  </si>
  <si>
    <t>Bilvårdshuset Näringen AB</t>
  </si>
  <si>
    <t>GÄVLE</t>
  </si>
  <si>
    <t>BMW 1 och 3 serie</t>
  </si>
  <si>
    <t>Atracco AB</t>
  </si>
  <si>
    <t>Druveforsvägen 32</t>
  </si>
  <si>
    <t>Aluminium i Borås AB</t>
  </si>
  <si>
    <t>SJÖMARKEN</t>
  </si>
  <si>
    <t>RNU990</t>
  </si>
  <si>
    <t>MOTORHUSET SVISTA HB / Uppsala</t>
  </si>
  <si>
    <t>Bälinge-Svista 1 : 15</t>
  </si>
  <si>
    <t>B-046</t>
  </si>
  <si>
    <t>BMW 1- och 3-serie</t>
  </si>
  <si>
    <t>05&gt;12</t>
  </si>
  <si>
    <t>Lowell Sverige AB</t>
  </si>
  <si>
    <t>Ekebäck Motor AB</t>
  </si>
  <si>
    <t>Fotögatan 4</t>
  </si>
  <si>
    <t>SEB AB</t>
  </si>
  <si>
    <t>BMW 1-serie</t>
  </si>
  <si>
    <t>06&gt;13</t>
  </si>
  <si>
    <t>BRConsult Børre Rosenkilde</t>
  </si>
  <si>
    <t>Halvdan Svartes Gate 14</t>
  </si>
  <si>
    <t>HØNEFOSS</t>
  </si>
  <si>
    <t>NO</t>
  </si>
  <si>
    <t>Norway</t>
  </si>
  <si>
    <t>Stockholms Elbolag AB / Invoice Finance AB</t>
  </si>
  <si>
    <t>Box 36</t>
  </si>
  <si>
    <t>LÖDDEKÖPINGE</t>
  </si>
  <si>
    <t>Tagen till Äpplekullen CXN154</t>
  </si>
  <si>
    <t>Euro Finans AB / Converdiant</t>
  </si>
  <si>
    <t>Sveavägen 166 PLAN 4</t>
  </si>
  <si>
    <t xml:space="preserve">BMW 1-serie </t>
  </si>
  <si>
    <t>ESB50500685</t>
  </si>
  <si>
    <t>ENGANCHES Y REMOLQUES ARAGON SL</t>
  </si>
  <si>
    <t>Pol. Ind. Malpica, calle B, no 77</t>
  </si>
  <si>
    <t>Zaragoza</t>
  </si>
  <si>
    <t>ES</t>
  </si>
  <si>
    <t>Spain</t>
  </si>
  <si>
    <t>60% rabatt på prislista</t>
  </si>
  <si>
    <t>Bishop´s Motors Company LTD</t>
  </si>
  <si>
    <t>3 Holly Close</t>
  </si>
  <si>
    <t>GL8 8FS</t>
  </si>
  <si>
    <t>Tetbury</t>
  </si>
  <si>
    <t>Tagen till FFN760</t>
  </si>
  <si>
    <t>BMW 1-serie / 3-serie</t>
  </si>
  <si>
    <t>VÄSE</t>
  </si>
  <si>
    <t>SEB Kort Bank AB</t>
  </si>
  <si>
    <t>Palmung Mellin Högsbo KB</t>
  </si>
  <si>
    <t>Gustaf Dalénsgatan 19</t>
  </si>
  <si>
    <t>BMW 1-serie 04-11, BMW 3-serie 05-12</t>
  </si>
  <si>
    <t>6 mån löpande uppsägningstid</t>
  </si>
  <si>
    <t>1st Class Lackering</t>
  </si>
  <si>
    <t>C/O Ivar Börresen</t>
  </si>
  <si>
    <t>MELLERUD</t>
  </si>
  <si>
    <t>Tillhörde DN47329 som åkte från första tiden och dök sedan aldrig upp andra tiden.</t>
  </si>
  <si>
    <t>Tagen till MPY229</t>
  </si>
  <si>
    <t>Macsupport Aktiebolag</t>
  </si>
  <si>
    <t>Box 47145</t>
  </si>
  <si>
    <t>Av</t>
  </si>
  <si>
    <t>BMW 1-serie 3</t>
  </si>
  <si>
    <t>MB SERVICE AB</t>
  </si>
  <si>
    <t>Fjärrviksvägen 25</t>
  </si>
  <si>
    <t>Fikratsson Bil AB</t>
  </si>
  <si>
    <t>Gillbergagatan 25</t>
  </si>
  <si>
    <t>Expresspack Sweden AB</t>
  </si>
  <si>
    <t>Vevgatan 1</t>
  </si>
  <si>
    <t>SvarDirekt AB</t>
  </si>
  <si>
    <t>Stora torget 2</t>
  </si>
  <si>
    <t>KISA</t>
  </si>
  <si>
    <t>BMW 1-serie Halvkombi 2004&gt;2011</t>
  </si>
  <si>
    <t>Intrum Sverige AB</t>
  </si>
  <si>
    <t>Wootemple AB</t>
  </si>
  <si>
    <t>Hagtornsvägen 12</t>
  </si>
  <si>
    <t>Mariefred</t>
  </si>
  <si>
    <t>Tillhörde DUG326 som avbokat. OBS, kund bokat på igen! //TC TYDLIGEN SKICKAT TILL BILSTUDION I KUNGSBACKA. //TC</t>
  </si>
  <si>
    <t>Websupport</t>
  </si>
  <si>
    <t>Kopparbergsvägen 8 H</t>
  </si>
  <si>
    <t>BMW 1-serie Halvkombi 2004&gt;2011
BMW 1-serie Coupe 2007&gt;2012
BMW 3-serie Kombi 2005&gt;2012
BMW 3-serie Sedan 2005&gt;2012</t>
  </si>
  <si>
    <t>2004&gt;</t>
  </si>
  <si>
    <t>Jörgen Engström / Lindbäcks Bilservice i Älvsbyn AB</t>
  </si>
  <si>
    <t>Widheden Bil AB</t>
  </si>
  <si>
    <t>Asplundsgatan 7</t>
  </si>
  <si>
    <t>Felskickad krok till ULE481. paket bokat till oss 23/6</t>
  </si>
  <si>
    <t>DHL Express (Sweden) AB</t>
  </si>
  <si>
    <t>06026/1C</t>
  </si>
  <si>
    <t>Västberga Allé 37</t>
  </si>
  <si>
    <t>BMW 1-serie Halvkombi 2004&gt;2011
BMW 3-serie Sedan 2005&gt;2012</t>
  </si>
  <si>
    <t>HÄGERSTEN</t>
  </si>
  <si>
    <t>Borås Bildemontering AB</t>
  </si>
  <si>
    <t>Handvävargatan 2</t>
  </si>
  <si>
    <t>BRÄMHULT</t>
  </si>
  <si>
    <t>Klarna Bank AB</t>
  </si>
  <si>
    <t>Adolfsbergsvägen 6</t>
  </si>
  <si>
    <t>Retur från Robertino Jirjis Tagenj till hag931</t>
  </si>
  <si>
    <t>Resultat Finans i Skandinavien AB / Tågaborgs Bilservice</t>
  </si>
  <si>
    <t>BMW 1-serie Halvkombi 2004&gt;2011
BMW 3-serie Sedan E90
BMW 3-serie Sedan E91</t>
  </si>
  <si>
    <t>2004-2011
2005-2011</t>
  </si>
  <si>
    <t>Inly Technology AB</t>
  </si>
  <si>
    <t>Linnégatan 44</t>
  </si>
  <si>
    <t>My Trendy iPhone</t>
  </si>
  <si>
    <t>JHS dragkrok, ligger hos dem. Vi får köpa tillbaka detta draget om vi vill använda det. //TC 16/8</t>
  </si>
  <si>
    <t>STATISTISKA CENTRALBYRÅN</t>
  </si>
  <si>
    <t>B-072 + SMP-3</t>
  </si>
  <si>
    <t>BMW 1-serie Halvkombi 2011&gt;</t>
  </si>
  <si>
    <t>Human Habit / Svea Ekonomi AB</t>
  </si>
  <si>
    <t>Bilåtervinning i Tibro AB / Fortus</t>
  </si>
  <si>
    <t>Värsåsvägen 42</t>
  </si>
  <si>
    <t>TIBRO</t>
  </si>
  <si>
    <t>NZJ168</t>
  </si>
  <si>
    <t>Fortus International Finance AB</t>
  </si>
  <si>
    <t>Falkenbergsgatan 3</t>
  </si>
  <si>
    <t>BM37Q</t>
  </si>
  <si>
    <t>PF Jones (Diesel Services)</t>
  </si>
  <si>
    <t>Nuttall Street Old Trafford</t>
  </si>
  <si>
    <t>M169JA</t>
  </si>
  <si>
    <t>Manchester</t>
  </si>
  <si>
    <t>Solid Bilvård i Örebro AB</t>
  </si>
  <si>
    <t>Peters Bil &amp; Båtverkstad</t>
  </si>
  <si>
    <t>G &amp; U Sko/Nyckelservice AB</t>
  </si>
  <si>
    <t>Traktorvägen 1-3</t>
  </si>
  <si>
    <t>LUND</t>
  </si>
  <si>
    <t>Tillhörde ZBO446 Till PNH084</t>
  </si>
  <si>
    <t>100x40x25, 19 kg // Bokat frakt 14/10 //TC</t>
  </si>
  <si>
    <t>Melvin Bil Verkstad Kalmar AB</t>
  </si>
  <si>
    <t>Franska Vägen 23</t>
  </si>
  <si>
    <t>Segersjö Bilservice AB</t>
  </si>
  <si>
    <t>GRÖNBIL WEBHANDEL SVERIGE AB</t>
  </si>
  <si>
    <t>Högsbovägen 5</t>
  </si>
  <si>
    <t>Ytterby</t>
  </si>
  <si>
    <t>Tagen till ORN829</t>
  </si>
  <si>
    <t>B/021</t>
  </si>
  <si>
    <t>BMW 1-serie, 2-serie, 3-serie m fl</t>
  </si>
  <si>
    <t>Cramo AB</t>
  </si>
  <si>
    <t>Depå Mölndal 56431</t>
  </si>
  <si>
    <t>Solna</t>
  </si>
  <si>
    <t>NISO TECH AB</t>
  </si>
  <si>
    <t>Inkl ECS 7-pol uni, tagen till Ljd453</t>
  </si>
  <si>
    <t>Plogvägen 3</t>
  </si>
  <si>
    <t>GRÄSTORP</t>
  </si>
  <si>
    <t>BMW 1-serie, BMW 3-serie</t>
  </si>
  <si>
    <t>Svea Inkasso Aktiebolag</t>
  </si>
  <si>
    <t>S.ENT AB</t>
  </si>
  <si>
    <t>Ljf112</t>
  </si>
  <si>
    <t>Joe's Garage AB</t>
  </si>
  <si>
    <t>Märkesv 3</t>
  </si>
  <si>
    <t>Furulund</t>
  </si>
  <si>
    <t>Supreme</t>
  </si>
  <si>
    <t>Till kund</t>
  </si>
  <si>
    <t>Becko Bil AB / Speedy Bilservice Mjölby</t>
  </si>
  <si>
    <t>SCHENKER AB</t>
  </si>
  <si>
    <t>Kungälvs Bil och Motorservice AB</t>
  </si>
  <si>
    <t>Verkar ha varit en extra krok till MDJ992. Denna raden var
vit innan jag ändrade den. Står ju att kroken är hos Supreme 
fortfarande. E den hemma eller e den hos Supreme?</t>
  </si>
  <si>
    <t>MEKIAN Bilverkstad AB</t>
  </si>
  <si>
    <t>BMW 1, 2, 3, 4 alla + Mini Clubman m fl</t>
  </si>
  <si>
    <t>S.A PERFORMANCE CARS AB</t>
  </si>
  <si>
    <t>BÄLINGE-SVISTA 45</t>
  </si>
  <si>
    <t>BYW811</t>
  </si>
  <si>
    <t>Svedea AB</t>
  </si>
  <si>
    <t>Box 3489</t>
  </si>
  <si>
    <t>Westaflia 303460</t>
  </si>
  <si>
    <t>BMW 1, 3 5</t>
  </si>
  <si>
    <t>VATTENFALL KUNDSERVICE AB</t>
  </si>
  <si>
    <t>Head of Search Sverige AB</t>
  </si>
  <si>
    <t>Hyllie Boulevard 2</t>
  </si>
  <si>
    <t>BMW 1, 3-serie</t>
  </si>
  <si>
    <t>Lars Nordin, Barnängsvägen 10</t>
  </si>
  <si>
    <t>2005&gt;2012</t>
  </si>
  <si>
    <t>NJUTÅNGER</t>
  </si>
  <si>
    <t>InterMail Sverige AB</t>
  </si>
  <si>
    <t>Energigatan 10 B</t>
  </si>
  <si>
    <t>Hittade inte denna 8/7 FP // Tagen till MEK434 tydligen. //TC</t>
  </si>
  <si>
    <t>Bilföretaget Linköping AB</t>
  </si>
  <si>
    <t>BMW 1, 3, 4, 5 -serie, X1, X3 m fl</t>
  </si>
  <si>
    <t>Gesällgatan 8</t>
  </si>
  <si>
    <t>&gt;2014/09</t>
  </si>
  <si>
    <t>Qred Factoring AB</t>
  </si>
  <si>
    <t>Tagen till TXO107</t>
  </si>
  <si>
    <t>CENSEO TECH AB</t>
  </si>
  <si>
    <t>&gt;2014</t>
  </si>
  <si>
    <t>POWERCAR SERVICE AB</t>
  </si>
  <si>
    <t>Franord Consulting AB</t>
  </si>
  <si>
    <t>Nabbevägen 18</t>
  </si>
  <si>
    <t>2014&gt;</t>
  </si>
  <si>
    <t>AJR CAR RECOND SVERIGE AB</t>
  </si>
  <si>
    <t>Olof Asklunds Gata 25</t>
  </si>
  <si>
    <t>V Frölunda</t>
  </si>
  <si>
    <t>KFR902</t>
  </si>
  <si>
    <t>Manos bil &amp; mc verkstad</t>
  </si>
  <si>
    <t>COLLECTOR INKASSO AB KLIENTMEDEL</t>
  </si>
  <si>
    <t>Avizion Finans AB</t>
  </si>
  <si>
    <t>VIMMERBY BILDEMONTERING AB</t>
  </si>
  <si>
    <t>Aspectum Inkasso AB</t>
  </si>
  <si>
    <t>GLASRIKETS BILDEMONTERING AB</t>
  </si>
  <si>
    <t>YXM017 // Tagen till JV Automontage</t>
  </si>
  <si>
    <t>Daniels Bilservice</t>
  </si>
  <si>
    <t>D2I Financial Services AB</t>
  </si>
  <si>
    <t>GRUSTAGSVÄGEN 5  1TR</t>
  </si>
  <si>
    <t>ÄLTA</t>
  </si>
  <si>
    <t>Tagen till JV Automontage</t>
  </si>
  <si>
    <t>Imotor Göteborg AB</t>
  </si>
  <si>
    <t>Tagenevägen 14a</t>
  </si>
  <si>
    <t>HISINGS BACKA</t>
  </si>
  <si>
    <t>Mr Tuning AB</t>
  </si>
  <si>
    <t>DDO240</t>
  </si>
  <si>
    <t>CarOx AB</t>
  </si>
  <si>
    <t>Nyköping</t>
  </si>
  <si>
    <t>WURTH SVENSKA AB</t>
  </si>
  <si>
    <t>Box 1705</t>
  </si>
  <si>
    <t>Åhus Fordonsteknik AB</t>
  </si>
  <si>
    <t>c/o Kiwi Redovisning &amp; Konsult AB, Maskinvägen 1</t>
  </si>
  <si>
    <t>MLY234</t>
  </si>
  <si>
    <t xml:space="preserve">AC </t>
  </si>
  <si>
    <t>BMW 1, 3, 5, 7 både nya och gamla modellen</t>
  </si>
  <si>
    <t>Westfalia 303352300113</t>
  </si>
  <si>
    <t>BMW 1, 3, 5, X1, X3 etc. Byt kartong bara innan vi skickar</t>
  </si>
  <si>
    <t>Monoflex303460300113</t>
  </si>
  <si>
    <t xml:space="preserve">BMW 1/3/5 Serie </t>
  </si>
  <si>
    <t>BMW 2-serie / Mini Clubman</t>
  </si>
  <si>
    <t>Tagen till SMW234</t>
  </si>
  <si>
    <t>B-081</t>
  </si>
  <si>
    <t>BMW 2-serie Active Tourer / Mini Clubman</t>
  </si>
  <si>
    <t>Krok tagen till JV, YHF994</t>
  </si>
  <si>
    <t>BMW 2-serien F46</t>
  </si>
  <si>
    <t>Tagen till YBX593</t>
  </si>
  <si>
    <t>WBM44Q</t>
  </si>
  <si>
    <t>BMW 2-SRJ &amp;</t>
  </si>
  <si>
    <t>2014-</t>
  </si>
  <si>
    <t>Malmö UMO941</t>
  </si>
  <si>
    <t>BMW 3 &amp; 4</t>
  </si>
  <si>
    <t>Monoflex</t>
  </si>
  <si>
    <t>Felbeställt drag till Ilker, tillhör AUE543</t>
  </si>
  <si>
    <t>Bmw 3 GT (F34)</t>
  </si>
  <si>
    <t>SJK560</t>
  </si>
  <si>
    <t>B-044</t>
  </si>
  <si>
    <t>BMW 3 serie Kombi</t>
  </si>
  <si>
    <t>Till CTF103</t>
  </si>
  <si>
    <t>Mässkrok</t>
  </si>
  <si>
    <t>Bmw 3 Touring</t>
  </si>
  <si>
    <t>2004&gt;2012</t>
  </si>
  <si>
    <t>BM38AQ</t>
  </si>
  <si>
    <t>BMW 3-4-serie sedan/kombi F30 F31</t>
  </si>
  <si>
    <t>Golvet</t>
  </si>
  <si>
    <t>Tagen till GKW629</t>
  </si>
  <si>
    <t>Bmw 3-serie</t>
  </si>
  <si>
    <t>2005&gt;2013</t>
  </si>
  <si>
    <t>HTZ238</t>
  </si>
  <si>
    <t>BMW 3-serie</t>
  </si>
  <si>
    <t>Ligger inte på sin plats men bör finnas. Var packad för att skickas men avbokades. //TC 1/8</t>
  </si>
  <si>
    <t>Tagen till Hle361</t>
  </si>
  <si>
    <t>Till bil FAE661</t>
  </si>
  <si>
    <t>Tagen till NLC225</t>
  </si>
  <si>
    <t>BMW 3-serie 1-Serie 05&gt;</t>
  </si>
  <si>
    <t>Skickas till Börje HHF212</t>
  </si>
  <si>
    <t>FUN376</t>
  </si>
  <si>
    <t>B-043</t>
  </si>
  <si>
    <t>BMW 3-serie 2012&gt;</t>
  </si>
  <si>
    <t>Pris rek €</t>
  </si>
  <si>
    <t>Pris inköp €</t>
  </si>
  <si>
    <t>inventering 190823</t>
  </si>
  <si>
    <t>Order 190823</t>
  </si>
  <si>
    <t>Totalt efter beställning</t>
  </si>
  <si>
    <t>Inventering 191028</t>
  </si>
  <si>
    <t>Antal sålda</t>
  </si>
  <si>
    <t>dag247</t>
  </si>
  <si>
    <t>Beställa hem</t>
  </si>
  <si>
    <t>BMW 3-serie alla, 1-serie Halvkombi</t>
  </si>
  <si>
    <t>Inventering 191202</t>
  </si>
  <si>
    <t>Inventering 191219</t>
  </si>
  <si>
    <t>Beställa hem Pall 1</t>
  </si>
  <si>
    <t>Inventering 20-01-08</t>
  </si>
  <si>
    <t>Totalt efter beställning 1</t>
  </si>
  <si>
    <t>Beställ hem</t>
  </si>
  <si>
    <t>Inventering 200204</t>
  </si>
  <si>
    <t>Total efter beställning</t>
  </si>
  <si>
    <t>Tagen till MFM171 18/12-17 FP</t>
  </si>
  <si>
    <t>Inventering 200302</t>
  </si>
  <si>
    <t>Inventering 200415</t>
  </si>
  <si>
    <t>Inventering 200601</t>
  </si>
  <si>
    <t>Beställt 2020-07-01</t>
  </si>
  <si>
    <t>Inventering 2020-07-13</t>
  </si>
  <si>
    <t>Beställt 2020-07-14</t>
  </si>
  <si>
    <t>Inventering 2020-08-25</t>
  </si>
  <si>
    <t>Beställt 2020-08-25</t>
  </si>
  <si>
    <t>Inventering 2020-09-16</t>
  </si>
  <si>
    <t>303320600001</t>
  </si>
  <si>
    <t>Inventering 2020-10-23</t>
  </si>
  <si>
    <t>Inventering</t>
  </si>
  <si>
    <t>Antal Sålda</t>
  </si>
  <si>
    <t>BMW 1-serie Halvkombi 2011&gt; F20</t>
  </si>
  <si>
    <t>Totalt antal beställt</t>
  </si>
  <si>
    <t>DELTA ALU M SILVER</t>
  </si>
  <si>
    <t>Tillhörde NCF154. Tagen till FLM510</t>
  </si>
  <si>
    <t>000095400000</t>
  </si>
  <si>
    <t>BMW 3-serie Coupe/Cab</t>
  </si>
  <si>
    <t>Tagen till EOW295 22/8-18 FP</t>
  </si>
  <si>
    <t xml:space="preserve">BMW 3-serie E90, E91 sedan  </t>
  </si>
  <si>
    <t xml:space="preserve">Lagret </t>
  </si>
  <si>
    <t>Kan ej hitta denna, måste vara skickad //TC</t>
  </si>
  <si>
    <t>BMW 3-serie F30 , F31</t>
  </si>
  <si>
    <t>Bmw 3-serie F30, F31</t>
  </si>
  <si>
    <t>GNT728</t>
  </si>
  <si>
    <t>BMW 3-serie F30/F31</t>
  </si>
  <si>
    <t>B 26V</t>
  </si>
  <si>
    <t>BMW 3-serie GT</t>
  </si>
  <si>
    <t xml:space="preserve">BMW 3-serie kombi </t>
  </si>
  <si>
    <t>Tillhör SRA971 som bokat av</t>
  </si>
  <si>
    <t>BMW 3-serie kombi F31</t>
  </si>
  <si>
    <t>Tillhörde NJS656 som avbokat</t>
  </si>
  <si>
    <t>Dragkrok</t>
  </si>
  <si>
    <t>06022/C</t>
  </si>
  <si>
    <t>BMW 3-serie Compact 2001&gt;2005</t>
  </si>
  <si>
    <t>2001&gt;2005</t>
  </si>
  <si>
    <t>BMW 3-serie, 1-serie E90, E91, E87 etc</t>
  </si>
  <si>
    <t>Alternativt artikelnummer?</t>
  </si>
  <si>
    <t>Från</t>
  </si>
  <si>
    <t>Rak / Curved</t>
  </si>
  <si>
    <t>Mottaget</t>
  </si>
  <si>
    <t>BarCode</t>
  </si>
  <si>
    <t>Driftspänning</t>
  </si>
  <si>
    <t>Styrka</t>
  </si>
  <si>
    <t>DELTA ALU L SILVER</t>
  </si>
  <si>
    <t>Längd</t>
  </si>
  <si>
    <t>Antal LED-lampor</t>
  </si>
  <si>
    <t>Chip</t>
  </si>
  <si>
    <t>Material</t>
  </si>
  <si>
    <t>Lins</t>
  </si>
  <si>
    <t>Stråle</t>
  </si>
  <si>
    <t>000095500000</t>
  </si>
  <si>
    <t>Vattentålighetsklassificering</t>
  </si>
  <si>
    <t>Färg</t>
  </si>
  <si>
    <t>Färgtemperatur</t>
  </si>
  <si>
    <t>Livstid</t>
  </si>
  <si>
    <t>B-065</t>
  </si>
  <si>
    <t>BMW 5 serie F10/F11</t>
  </si>
  <si>
    <t>10&gt;</t>
  </si>
  <si>
    <t>MK-02A-120K3</t>
  </si>
  <si>
    <t>MK2120</t>
  </si>
  <si>
    <t>Tyskland</t>
  </si>
  <si>
    <t>Rak</t>
  </si>
  <si>
    <t>Vecka 49</t>
  </si>
  <si>
    <t>10-30V (DC)</t>
  </si>
  <si>
    <t>120W</t>
  </si>
  <si>
    <t>56 cm</t>
  </si>
  <si>
    <t>Epistar</t>
  </si>
  <si>
    <t>Aluminium</t>
  </si>
  <si>
    <t>PC</t>
  </si>
  <si>
    <t>Riktad/Spridd</t>
  </si>
  <si>
    <t>IP 67</t>
  </si>
  <si>
    <t>Svart</t>
  </si>
  <si>
    <t>ca 6000 K</t>
  </si>
  <si>
    <t>ca 30 000 timmar</t>
  </si>
  <si>
    <t>MK-01A-126K3</t>
  </si>
  <si>
    <t>MK2060</t>
  </si>
  <si>
    <t>Vecka 51</t>
  </si>
  <si>
    <t>Beställt dessa??</t>
  </si>
  <si>
    <t>126W</t>
  </si>
  <si>
    <t>51 cm</t>
  </si>
  <si>
    <t>Cree</t>
  </si>
  <si>
    <t>Motornavet 19/4 -17</t>
  </si>
  <si>
    <t>BMW 5 Series kombi F11</t>
  </si>
  <si>
    <t>MK-02C-120K3</t>
  </si>
  <si>
    <t>Curved</t>
  </si>
  <si>
    <t>MK-03S-018K3</t>
  </si>
  <si>
    <t>Kina</t>
  </si>
  <si>
    <t>MK-03S-090K3</t>
  </si>
  <si>
    <t>MK-01A-018K4</t>
  </si>
  <si>
    <t>MK-01A-018K3</t>
  </si>
  <si>
    <t xml:space="preserve">Norrmannen som aldrig dök upp trots tre ombokningar. Ska faktureras. Reg nr står på draget. </t>
  </si>
  <si>
    <t>Bmw 5 Touring (F11)</t>
  </si>
  <si>
    <t>Tagen till YEB917</t>
  </si>
  <si>
    <t>B-064</t>
  </si>
  <si>
    <t xml:space="preserve">BMW 5-serie (F11) Kombi </t>
  </si>
  <si>
    <t xml:space="preserve">2010&gt;2017 </t>
  </si>
  <si>
    <t>Tagen till DN94779</t>
  </si>
  <si>
    <t>DLFIX201FP</t>
  </si>
  <si>
    <t>000104900000</t>
  </si>
  <si>
    <t>Tagen till FWP558</t>
  </si>
  <si>
    <t>BMW 5-serie E60 / E61</t>
  </si>
  <si>
    <t>03&gt;10</t>
  </si>
  <si>
    <t>Wjl006</t>
  </si>
  <si>
    <t>BM38Q</t>
  </si>
  <si>
    <t>BMW 3-serie Sedan 2012&gt;
BMW 3-serie Kombi 2012&gt;</t>
  </si>
  <si>
    <t>John Brundin</t>
  </si>
  <si>
    <t>Drag varit monterat på OGE420 men kund fick inte till det sista (idiot). Han fick ett Westfalia istället. Detta draget bör nog monteras av oss då det varit monterat på bil innan.</t>
  </si>
  <si>
    <t>BM35AU</t>
  </si>
  <si>
    <t>bmw 5-serie F10 F11 2010&gt;</t>
  </si>
  <si>
    <t>DLFIX202FP</t>
  </si>
  <si>
    <t>BMW 5-serie F10, F11</t>
  </si>
  <si>
    <t>2009&gt;2016</t>
  </si>
  <si>
    <t>DLFIX203FP</t>
  </si>
  <si>
    <t>000105900000</t>
  </si>
  <si>
    <t>Till UHL902</t>
  </si>
  <si>
    <t>BM46</t>
  </si>
  <si>
    <t>BMW 5-serie kombi</t>
  </si>
  <si>
    <t>JV 8/5</t>
  </si>
  <si>
    <t>BMW 5-serie Kombi 2010&gt;2017</t>
  </si>
  <si>
    <t>Till ptu523</t>
  </si>
  <si>
    <t>2011&gt;2018</t>
  </si>
  <si>
    <t>Tillhört CBN125 // Tagen till KFR902</t>
  </si>
  <si>
    <t>B-055</t>
  </si>
  <si>
    <t>BMW 5-serie E60, E61</t>
  </si>
  <si>
    <t>DLFIX204FP</t>
  </si>
  <si>
    <t>000106000000</t>
  </si>
  <si>
    <t xml:space="preserve">Ta hem denna /FP 20/11 Tillhörde DME566. Tagen till USL239 </t>
  </si>
  <si>
    <t>BM35AQ</t>
  </si>
  <si>
    <t>Vertiklat</t>
  </si>
  <si>
    <t>2010-2017</t>
  </si>
  <si>
    <t>DLFIX205FP</t>
  </si>
  <si>
    <t>000106100000</t>
  </si>
  <si>
    <t>JV som fick en avbokning. OK / Inlagd två gånger, samma som nr 980 //TC</t>
  </si>
  <si>
    <t>BMW 5-serie Sedan/Kombi</t>
  </si>
  <si>
    <t>Tillhörde ordern HHX962, se om han monterat eller inte. Strulade vid bokningen.</t>
  </si>
  <si>
    <t>WBM35AQ</t>
  </si>
  <si>
    <t>BMW 5-SRJ.(F10/11) Sdn&amp;Tour.</t>
  </si>
  <si>
    <t>JV Automontage 20/4 CS</t>
  </si>
  <si>
    <t>Culo Autoservice</t>
  </si>
  <si>
    <t>DLFIX206FP</t>
  </si>
  <si>
    <t>000106200000</t>
  </si>
  <si>
    <t>POR282 - råkat beställa 2 krokar till Culo av misstag. Ta hem denna.</t>
  </si>
  <si>
    <t>Till Martin Nettéus</t>
  </si>
  <si>
    <t>B-079</t>
  </si>
  <si>
    <t>BMW 7-serie 2008&gt;2015</t>
  </si>
  <si>
    <t>Växjö</t>
  </si>
  <si>
    <t>Tillhörde TOR460 som fick kalla fötter</t>
  </si>
  <si>
    <t xml:space="preserve">BM24CQ </t>
  </si>
  <si>
    <t>BMW E91, E90</t>
  </si>
  <si>
    <t>DLFIX208FP</t>
  </si>
  <si>
    <t>000106600000</t>
  </si>
  <si>
    <t>Tillhör LNU142. Tagen Jeo881</t>
  </si>
  <si>
    <t>BMW F30 / F31 3-serie</t>
  </si>
  <si>
    <t>Tagen till Hfb562</t>
  </si>
  <si>
    <t>B-051</t>
  </si>
  <si>
    <t>BMW X1</t>
  </si>
  <si>
    <t>09&gt;</t>
  </si>
  <si>
    <t>DLFIX209FP</t>
  </si>
  <si>
    <t>000106700000</t>
  </si>
  <si>
    <t>Roar Mathisen. Ska monteras Motornavet 25/7 -17</t>
  </si>
  <si>
    <t>Bmw X1 (E84)</t>
  </si>
  <si>
    <t>2009&gt;2015</t>
  </si>
  <si>
    <t>Tagen till KZN003</t>
  </si>
  <si>
    <t>DLKIT02G</t>
  </si>
  <si>
    <t>000096400000</t>
  </si>
  <si>
    <t>WNB158</t>
  </si>
  <si>
    <t>BMW X1 09-15</t>
  </si>
  <si>
    <t>Kulan till BM35AQ</t>
  </si>
  <si>
    <t>hyllan</t>
  </si>
  <si>
    <t>DLKIT03G</t>
  </si>
  <si>
    <t>000096500000</t>
  </si>
  <si>
    <t>FINNS HEMMA PÅ HYLLAN</t>
  </si>
  <si>
    <t>06030/C</t>
  </si>
  <si>
    <t>BMW X1 2009&gt;2015</t>
  </si>
  <si>
    <t>Tillhörde OLM126 som bokade av. Draget försenat. //TC</t>
  </si>
  <si>
    <t>Mailat Robban om mått 1/9 //HL mailat igen den 2/11</t>
  </si>
  <si>
    <t>Konaktperson</t>
  </si>
  <si>
    <t>Typ av företag</t>
  </si>
  <si>
    <t>Omsättning TKR</t>
  </si>
  <si>
    <t>303372600001</t>
  </si>
  <si>
    <t>BMW X1, 2-serie, F48 Mini Clubman mf</t>
  </si>
  <si>
    <t>Kund/potentiell kund</t>
  </si>
  <si>
    <t>Besök, datum</t>
  </si>
  <si>
    <t>Övrigt 1</t>
  </si>
  <si>
    <t>DLKIT06G</t>
  </si>
  <si>
    <t>Övrigt 3</t>
  </si>
  <si>
    <t>Utskick 16-12-01</t>
  </si>
  <si>
    <t>Utskick 17-04-01</t>
  </si>
  <si>
    <t>B-066</t>
  </si>
  <si>
    <t>BMW X3</t>
  </si>
  <si>
    <t>Larssons Bil i Kalmar AB</t>
  </si>
  <si>
    <t xml:space="preserve"> Kalmar</t>
  </si>
  <si>
    <t>verkstad@larssonsbil.com</t>
  </si>
  <si>
    <t>Potentiell Kund</t>
  </si>
  <si>
    <t>Bagagerumsmattor</t>
  </si>
  <si>
    <t>Bagagerumsmatta</t>
  </si>
  <si>
    <t xml:space="preserve">BMW X3 </t>
  </si>
  <si>
    <t>Speedy bilservice</t>
  </si>
  <si>
    <t>Cederströms slinga, Eurostop     195 61</t>
  </si>
  <si>
    <t>08-59121688</t>
  </si>
  <si>
    <t>E3</t>
  </si>
  <si>
    <t>Kund</t>
  </si>
  <si>
    <t>Kent Skoog Bilservice AB - MECA</t>
  </si>
  <si>
    <t>ARLÖV</t>
  </si>
  <si>
    <t>kent@kentskoog.se</t>
  </si>
  <si>
    <t>DLKIT07G</t>
  </si>
  <si>
    <t>DLR238</t>
  </si>
  <si>
    <t>Min bil Bandhagen</t>
  </si>
  <si>
    <t>06032/F</t>
  </si>
  <si>
    <t>Bandhagen</t>
  </si>
  <si>
    <t>bandhagen@minbil.se</t>
  </si>
  <si>
    <t>BMW X3 , BMW X4</t>
  </si>
  <si>
    <t>Rågsvedsvägen 6</t>
  </si>
  <si>
    <t>BANDHAGEN</t>
  </si>
  <si>
    <t>08-99 23 80</t>
  </si>
  <si>
    <t>Blentarps Däck o Mek AB</t>
  </si>
  <si>
    <t>Blentarp</t>
  </si>
  <si>
    <t>dackmek@telia.com</t>
  </si>
  <si>
    <t>Finnvedens Autolack &amp; Karosseri AB</t>
  </si>
  <si>
    <t>BMW X3 &amp; X4</t>
  </si>
  <si>
    <t>BOR</t>
  </si>
  <si>
    <t>finnvedensautolack@telia.com</t>
  </si>
  <si>
    <t>Bilpunkten</t>
  </si>
  <si>
    <t>ss@bilpunktenboras.se</t>
  </si>
  <si>
    <t>DLKIT08G</t>
  </si>
  <si>
    <t>000097000000</t>
  </si>
  <si>
    <t>Glada Bilen</t>
  </si>
  <si>
    <r>
      <rPr>
        <color rgb="FFFF0000"/>
      </rPr>
      <t>JV's krok denna som han har fått över. Behöver vi en så finns denna att tillgå (</t>
    </r>
    <r>
      <rPr>
        <color rgb="FFFF0000"/>
      </rPr>
      <t>OBS INTE VÅRAN DRAGKROK</t>
    </r>
    <r>
      <rPr>
        <color rgb="FFFF0000"/>
      </rPr>
      <t>) //TC 171214</t>
    </r>
  </si>
  <si>
    <t>kontakt@gladabilen.se</t>
  </si>
  <si>
    <t>Blivit kund</t>
  </si>
  <si>
    <t>BM36Q</t>
  </si>
  <si>
    <t>BMW X3 2010&gt;</t>
  </si>
  <si>
    <t>LH Larsson Bilverkstad</t>
  </si>
  <si>
    <t>larssons.bilverkstad@adbilverkstad.se</t>
  </si>
  <si>
    <t>Nybrons Bilservice</t>
  </si>
  <si>
    <t>Tagen till kund med reg nr BT31403</t>
  </si>
  <si>
    <t>B-067</t>
  </si>
  <si>
    <t>BMW X3 F25</t>
  </si>
  <si>
    <t>Grahns bil &amp; service</t>
  </si>
  <si>
    <t>DLKIT10G</t>
  </si>
  <si>
    <t>Broby</t>
  </si>
  <si>
    <t>000097200000</t>
  </si>
  <si>
    <t>anders.andersson@grahnsbilar.se</t>
  </si>
  <si>
    <t>BMW X3 X4</t>
  </si>
  <si>
    <t>Automek Bromma</t>
  </si>
  <si>
    <t>Bromma</t>
  </si>
  <si>
    <t>info@automekbromma.se</t>
  </si>
  <si>
    <t xml:space="preserve">Bmw X3, X4 </t>
  </si>
  <si>
    <t>Bromma däck &amp; bilservice AB</t>
  </si>
  <si>
    <t>brommadack@gmail.com</t>
  </si>
  <si>
    <t>B-060</t>
  </si>
  <si>
    <t>BMW X5</t>
  </si>
  <si>
    <t>≈2015</t>
  </si>
  <si>
    <t>Axma Bil AB</t>
  </si>
  <si>
    <t>Jattes bil &amp; Motor</t>
  </si>
  <si>
    <t>Båstad</t>
  </si>
  <si>
    <t>jattesbil.motor@gmail.com</t>
  </si>
  <si>
    <t>Bokat upphämtning 3/5 //TC</t>
  </si>
  <si>
    <t>Dalsjöfors Bilverkstad</t>
  </si>
  <si>
    <t>DLKIT13G</t>
  </si>
  <si>
    <t>B-061</t>
  </si>
  <si>
    <t>Dalsjöfors</t>
  </si>
  <si>
    <t>dalsjoforsbilverkstad@autoexperten.se</t>
  </si>
  <si>
    <t>Danderyds Bilverkstad</t>
  </si>
  <si>
    <t>Danderyd</t>
  </si>
  <si>
    <t>Info@danderydsbilverkstad.se</t>
  </si>
  <si>
    <t>Degeberga Servicestation</t>
  </si>
  <si>
    <t>Degeberga</t>
  </si>
  <si>
    <t>degeberga@adbilverkstad.se</t>
  </si>
  <si>
    <t>B 14A</t>
  </si>
  <si>
    <t>00&gt;07</t>
  </si>
  <si>
    <t>Aise 4 U Bilverkstad</t>
  </si>
  <si>
    <t>info@aisbilanddack.se</t>
  </si>
  <si>
    <t>DLKIT17G</t>
  </si>
  <si>
    <t>000097900000</t>
  </si>
  <si>
    <t>BRAB Autoservice - Autoexperten</t>
  </si>
  <si>
    <t>031-730 32 46</t>
  </si>
  <si>
    <t>Carlyft Sweden AB</t>
  </si>
  <si>
    <t>BMW X5, X6</t>
  </si>
  <si>
    <t>2007-2014</t>
  </si>
  <si>
    <t>FP</t>
  </si>
  <si>
    <t>Höglund Motorsport AB</t>
  </si>
  <si>
    <t>info@hoglundmotorsport.se</t>
  </si>
  <si>
    <t>Varit hos JV Auto. Komplett och snygg, orörd. //Tagen till SPK169</t>
  </si>
  <si>
    <t>Autodena AB - ServiceCenter</t>
  </si>
  <si>
    <t>info@autodena.se</t>
  </si>
  <si>
    <t>Sture Nilssons Bil AB</t>
  </si>
  <si>
    <t>Hammenhög</t>
  </si>
  <si>
    <t>0414-44 08 25</t>
  </si>
  <si>
    <t>Curt</t>
  </si>
  <si>
    <t>Cadillac cts- 2008a</t>
  </si>
  <si>
    <t>Min bil Haninge</t>
  </si>
  <si>
    <t>Haninge</t>
  </si>
  <si>
    <t>haninge@minbil.se</t>
  </si>
  <si>
    <t>OBS! USA drag</t>
  </si>
  <si>
    <t>Autoteknik H Holmqvist AB,</t>
  </si>
  <si>
    <t>ab.autoteknik@telia.com</t>
  </si>
  <si>
    <t>CANCEL THE ORDER</t>
  </si>
  <si>
    <t>Jarls Bilservice</t>
  </si>
  <si>
    <t>info@jarlsbilservice.com</t>
  </si>
  <si>
    <t>Kinch Bil AB Toyota Center</t>
  </si>
  <si>
    <t>info@toyotahelsingborg.se</t>
  </si>
  <si>
    <t>DLKIT19G</t>
  </si>
  <si>
    <t>000098100000</t>
  </si>
  <si>
    <t>C-264</t>
  </si>
  <si>
    <t xml:space="preserve">Chervolet Cruze kombi </t>
  </si>
  <si>
    <t>Gåsebäcksvägen 12</t>
  </si>
  <si>
    <t>042-13 25 50</t>
  </si>
  <si>
    <t>Västra Berga Rostskyddshall AB - AD Bilverkstad</t>
  </si>
  <si>
    <t>svenskbilvard@hotmail.com</t>
  </si>
  <si>
    <t>Skickad till IM Bilservice 13/11</t>
  </si>
  <si>
    <t>B-063</t>
  </si>
  <si>
    <t>Biltronic OKQ8 Bilverkstad Bäckebol</t>
  </si>
  <si>
    <t>BMW X6</t>
  </si>
  <si>
    <t>Hisings Backa</t>
  </si>
  <si>
    <t>2008-2014</t>
  </si>
  <si>
    <t>031-52 65 25</t>
  </si>
  <si>
    <t>BVV Autoservice</t>
  </si>
  <si>
    <t>info@bvvbil.se</t>
  </si>
  <si>
    <t>C-274</t>
  </si>
  <si>
    <t>CHEVROLET Nubira Kombi 2005&gt;
Daewoo Lacetti</t>
  </si>
  <si>
    <t>Familjebilar i Göteborg AB</t>
  </si>
  <si>
    <t>rickard.fagefors@familjebilar.se</t>
  </si>
  <si>
    <t>Tagen till FHJ292</t>
  </si>
  <si>
    <t>Chrysler 300C / Dodge Magnum</t>
  </si>
  <si>
    <t>04&gt;11</t>
  </si>
  <si>
    <t>DLKIT27G</t>
  </si>
  <si>
    <t>000098900000</t>
  </si>
  <si>
    <t>Tagen till XWF908</t>
  </si>
  <si>
    <t>CH45</t>
  </si>
  <si>
    <t xml:space="preserve">Chrysler Grand Voyager </t>
  </si>
  <si>
    <t>Bil &amp; motorteknink</t>
  </si>
  <si>
    <t>Huddinge</t>
  </si>
  <si>
    <t>info@bilmotorteknik.se</t>
  </si>
  <si>
    <t>Björkholmsvägen 17</t>
  </si>
  <si>
    <t>08-7110820</t>
  </si>
  <si>
    <t>Västberga allé 50</t>
  </si>
  <si>
    <t>C-200/1</t>
  </si>
  <si>
    <t>08-191313</t>
  </si>
  <si>
    <t>Chrysler Voyager / Grand Voyager</t>
  </si>
  <si>
    <t>01&gt;08</t>
  </si>
  <si>
    <t xml:space="preserve">Elsa Brändströms gata 201  129 52 </t>
  </si>
  <si>
    <t>Hägersten</t>
  </si>
  <si>
    <t>DLKIT29G</t>
  </si>
  <si>
    <t>000099100000</t>
  </si>
  <si>
    <t>OBS! SAKNAR KULA</t>
  </si>
  <si>
    <t>Dahlqvists Bil AB - Hässleholm</t>
  </si>
  <si>
    <t>Hässleholm</t>
  </si>
  <si>
    <t>0451-74 55 50</t>
  </si>
  <si>
    <t>CH 45</t>
  </si>
  <si>
    <t>fast</t>
  </si>
  <si>
    <t>Chrysler Voyager och Grand Voyager, ej Stow n go</t>
  </si>
  <si>
    <t>2001&gt;2008</t>
  </si>
  <si>
    <t>Höganäs Bilservice AB</t>
  </si>
  <si>
    <t>Höganäs</t>
  </si>
  <si>
    <t>info@hoganas-bilservice.se</t>
  </si>
  <si>
    <t>06055/F</t>
  </si>
  <si>
    <t>Höja Bil &amp; Motor AB</t>
  </si>
  <si>
    <t>Chrysler, Lancia Grand Voyager</t>
  </si>
  <si>
    <t>hoja@boschcarservice.se</t>
  </si>
  <si>
    <t>Motordepån AB - MECA</t>
  </si>
  <si>
    <t>motordepan@motordepan.se</t>
  </si>
  <si>
    <t>Takräcke</t>
  </si>
  <si>
    <t>DLFIX205FP + 000095300000 + PROFILE KIT L</t>
  </si>
  <si>
    <t>Datavägen 10</t>
  </si>
  <si>
    <t>08-12140410</t>
  </si>
  <si>
    <t>Citroen / Peugeot</t>
  </si>
  <si>
    <t>DLKIT31G</t>
  </si>
  <si>
    <t>Asarums Motorservice</t>
  </si>
  <si>
    <t>Stillmansväg 4</t>
  </si>
  <si>
    <t>Karlshamn</t>
  </si>
  <si>
    <t>0454-32 02 19</t>
  </si>
  <si>
    <t>Automotor i Karlstad Bil Service AB</t>
  </si>
  <si>
    <t>automotor.karlstad@hotmail.com</t>
  </si>
  <si>
    <t>C-023</t>
  </si>
  <si>
    <t>Citroen Berlingo</t>
  </si>
  <si>
    <t>Autopulsen</t>
  </si>
  <si>
    <t>DLKIT36G</t>
  </si>
  <si>
    <t>Kristianstad</t>
  </si>
  <si>
    <t>044-213101</t>
  </si>
  <si>
    <t>000099800000</t>
  </si>
  <si>
    <t>Förmodligen dubblett</t>
  </si>
  <si>
    <t>Citroen BERLINGO</t>
  </si>
  <si>
    <t>OKQ8 Bilverkstad Kungsbacka</t>
  </si>
  <si>
    <t>Kungsbacka</t>
  </si>
  <si>
    <t>37947@station.okq8.se</t>
  </si>
  <si>
    <t>Kund som avbokat, GZJ913</t>
  </si>
  <si>
    <t>Madsens Autoteknik</t>
  </si>
  <si>
    <t>29045/VM</t>
  </si>
  <si>
    <t>Laholm</t>
  </si>
  <si>
    <t>0430 - 122 40</t>
  </si>
  <si>
    <t>Kinch Bil Landskrona</t>
  </si>
  <si>
    <t>Landskrona</t>
  </si>
  <si>
    <t>info@toyotalandskrona.se</t>
  </si>
  <si>
    <t>GHH413</t>
  </si>
  <si>
    <t>Mårtenssons Bil AB</t>
  </si>
  <si>
    <t>0418 - 561 50</t>
  </si>
  <si>
    <t>Citroen Berlingo / Peugeot Partner</t>
  </si>
  <si>
    <t>Tommy bilverkstad</t>
  </si>
  <si>
    <t>0418-23791</t>
  </si>
  <si>
    <t>Sjöbergs Bilverkstad AB</t>
  </si>
  <si>
    <t>Lekeryd</t>
  </si>
  <si>
    <t>sjobergs.bilverkstad@telia.com</t>
  </si>
  <si>
    <t>Fröjds Motor AB</t>
  </si>
  <si>
    <t>Lessebo</t>
  </si>
  <si>
    <t>sven-olof@frojdsmotor.se (VD)</t>
  </si>
  <si>
    <t>Tagen till UPR562</t>
  </si>
  <si>
    <t>CS Kontor</t>
  </si>
  <si>
    <t>A. Engmans Bilservice AB</t>
  </si>
  <si>
    <t>Lidköping</t>
  </si>
  <si>
    <t>engmansbilservice@telia.com</t>
  </si>
  <si>
    <t>Bil Allt</t>
  </si>
  <si>
    <t>bilallt@telia.com</t>
  </si>
  <si>
    <t>Till RWC884</t>
  </si>
  <si>
    <t>C-021</t>
  </si>
  <si>
    <t>CITROEN Berlingo 1996&gt;2008
PEUGEOT Partner 1996&gt;2008</t>
  </si>
  <si>
    <t>Ingavr Ivarssons Bilverkstad</t>
  </si>
  <si>
    <t>bilverkstad@ingvarivarsson.se</t>
  </si>
  <si>
    <t>DLKIT38G</t>
  </si>
  <si>
    <t>000100000000</t>
  </si>
  <si>
    <t>Lidbil</t>
  </si>
  <si>
    <t>mikael.karlsson2@lidbil.se</t>
  </si>
  <si>
    <t>Tillhörde HXA187. tagen till XDW226</t>
  </si>
  <si>
    <t>Lidköpings biltjänst</t>
  </si>
  <si>
    <t>C/029</t>
  </si>
  <si>
    <t>tony@biltjanst.se</t>
  </si>
  <si>
    <t>CITROEN Berlingo 2008&gt;</t>
  </si>
  <si>
    <t>Lidköpings Fordonsteknik AB</t>
  </si>
  <si>
    <t>johan@fordonsteknik.eu</t>
  </si>
  <si>
    <t>Lovene Bil o Lantbruks Service/Autoexperten</t>
  </si>
  <si>
    <t>info@lovenebil.se</t>
  </si>
  <si>
    <t>Tagen till YYH232</t>
  </si>
  <si>
    <t>29045/C</t>
  </si>
  <si>
    <t>DLKIT39G</t>
  </si>
  <si>
    <t>CITROEN Berlingo 2008&gt;
Peugeot Partner 2008&gt;</t>
  </si>
  <si>
    <t>Pers verkstad</t>
  </si>
  <si>
    <t>laga@persverkstad.se</t>
  </si>
  <si>
    <t>BR Hörlings Bilservice AB / Meca</t>
  </si>
  <si>
    <t>Jägarvallsvägen 6</t>
  </si>
  <si>
    <t>horlings@telia.com</t>
  </si>
  <si>
    <t>Tornby Bilteknik</t>
  </si>
  <si>
    <t>ows047</t>
  </si>
  <si>
    <t>Vigfastgatan 3A</t>
  </si>
  <si>
    <t>Bokad upphämtning måndagen den 6/4 //HL</t>
  </si>
  <si>
    <t>info@tornbybilteknik.com</t>
  </si>
  <si>
    <t>CITROEN Berlingo 2008&gt; / Peugeot Partner 2008&gt;</t>
  </si>
  <si>
    <t>AB LOMMA BILVERKSTAD</t>
  </si>
  <si>
    <t>Lomma</t>
  </si>
  <si>
    <t>lommabilverkstad@telia.com</t>
  </si>
  <si>
    <t>DLKIT41G</t>
  </si>
  <si>
    <t>Bilverkstad</t>
  </si>
  <si>
    <t>000100300000</t>
  </si>
  <si>
    <t>Annedalsvägen 9</t>
  </si>
  <si>
    <t>046-14 22 20</t>
  </si>
  <si>
    <t>Passade inte nya Opel Combo. Tillhört ZMP398. // Skickad direkt från SLR Rekond till NDJ277</t>
  </si>
  <si>
    <t>Dennis &amp; Stefans Bilservice AB</t>
  </si>
  <si>
    <t>dsbilservice@telia.com</t>
  </si>
  <si>
    <t>CITROEN Berlingo 2008&gt;, Peugeot Partner 2008&gt;</t>
  </si>
  <si>
    <t>HelaBilen</t>
  </si>
  <si>
    <t>info@helabilen.se</t>
  </si>
  <si>
    <t>Mekodelar Sverige AB</t>
  </si>
  <si>
    <t>040-93 96 99</t>
  </si>
  <si>
    <t>Tillhörde AAN624 som bokat av.</t>
  </si>
  <si>
    <t>MMC Malmö AB</t>
  </si>
  <si>
    <t>DLKIT48G</t>
  </si>
  <si>
    <t>000101700000</t>
  </si>
  <si>
    <t>ho@mmcmalmo.se hl@mmcmalmo.se</t>
  </si>
  <si>
    <t>C/036</t>
  </si>
  <si>
    <t>Citroen Berlingo LWB</t>
  </si>
  <si>
    <t>Cypressvägen 10 A</t>
  </si>
  <si>
    <t>040-22 40 40</t>
  </si>
  <si>
    <t>Vianor - Malmö Eriksfältsgatan</t>
  </si>
  <si>
    <t>malmo50@vianor.com</t>
  </si>
  <si>
    <t>YWY068</t>
  </si>
  <si>
    <t>Annasbilar AB</t>
  </si>
  <si>
    <t>Kyrkvägen 3
66060 Molkom</t>
  </si>
  <si>
    <t>660 60</t>
  </si>
  <si>
    <t>Molkom</t>
  </si>
  <si>
    <t>annasbilar@gmail.com</t>
  </si>
  <si>
    <t>Rezaw</t>
  </si>
  <si>
    <t>Bilhandlare</t>
  </si>
  <si>
    <t>102711</t>
  </si>
  <si>
    <t>Fri frakt, oavsett mail, telefon eller nätet //TC</t>
  </si>
  <si>
    <t>CHEVROLET Captiva 2006&gt;2013</t>
  </si>
  <si>
    <t>2006&gt;2013</t>
  </si>
  <si>
    <t>DLKIT49G</t>
  </si>
  <si>
    <t>000105300000</t>
  </si>
  <si>
    <t>S.A Bil &amp; Maskin</t>
  </si>
  <si>
    <t>Munka ljungby</t>
  </si>
  <si>
    <t>sabilomaskin@adbilverkstad.se</t>
  </si>
  <si>
    <t>Tillhörde CES700 som kommit i retur.</t>
  </si>
  <si>
    <t>Tage Johansson Bil</t>
  </si>
  <si>
    <t>Citroen Berlingo, Peugeot Partner</t>
  </si>
  <si>
    <t>Målsryd</t>
  </si>
  <si>
    <t xml:space="preserve">nfo@tagejohanssonbil.se </t>
  </si>
  <si>
    <t>67 234</t>
  </si>
  <si>
    <t>Bo &amp; Jimmy Bilservice AB</t>
  </si>
  <si>
    <t>Mölndal</t>
  </si>
  <si>
    <t>bayerische@telia.com</t>
  </si>
  <si>
    <t>Tagen till MTP374</t>
  </si>
  <si>
    <t>CITROEN Berlingo, Peugeot Partner, Opel Combo</t>
  </si>
  <si>
    <t>Leif Fredriksson</t>
  </si>
  <si>
    <t>Carpros Verkstad</t>
  </si>
  <si>
    <t>Info@carpros.se</t>
  </si>
  <si>
    <t>Södra Ågatan 20B</t>
  </si>
  <si>
    <t>031-270430</t>
  </si>
  <si>
    <t>YBS739 // Ska ha levererats till oss. Men kan inte hitta det //TC 3/3</t>
  </si>
  <si>
    <t>Leif återkommer med måtten på paketen //HL</t>
  </si>
  <si>
    <t>DLKIT62G</t>
  </si>
  <si>
    <t>S-464</t>
  </si>
  <si>
    <t>ALFA ROMEO 146 Halvkombi 1995&gt;2001</t>
  </si>
  <si>
    <t>Bil &amp; maskinexperten</t>
  </si>
  <si>
    <t>Mölnlycke</t>
  </si>
  <si>
    <t>info@bil-maskinexperten.se</t>
  </si>
  <si>
    <t>MLS Bil &amp; Däck</t>
  </si>
  <si>
    <t>Mölnycke</t>
  </si>
  <si>
    <t>Tillhörde NPZ799 som gjort en no show!</t>
  </si>
  <si>
    <t>info@mls.se</t>
  </si>
  <si>
    <t>07050/C</t>
  </si>
  <si>
    <t>CITROEN C3 Halvkombi 2016&gt;</t>
  </si>
  <si>
    <t>Vattenverksvägen 4</t>
  </si>
  <si>
    <t>08-718 37 20</t>
  </si>
  <si>
    <t>FOOT KIT DELT A ALU</t>
  </si>
  <si>
    <t>000095300000</t>
  </si>
  <si>
    <t>Auto Svärtinge</t>
  </si>
  <si>
    <t>Kiselgatan 27</t>
  </si>
  <si>
    <t>602 23</t>
  </si>
  <si>
    <t>Malmö?</t>
  </si>
  <si>
    <t>011-100183
0730-401096</t>
  </si>
  <si>
    <t>Mujo</t>
  </si>
  <si>
    <t>10% rabatt, fri frakt</t>
  </si>
  <si>
    <t>Meddelat rabatt 161201 //TC</t>
  </si>
  <si>
    <t>Höglandets Bilservice AB</t>
  </si>
  <si>
    <t>Dragkrok till BX12729 borde finnas kvar i Malmö, Dansken avbokade. Osäker på om den finns ändå //TC 22/9</t>
  </si>
  <si>
    <t>Nässjö</t>
  </si>
  <si>
    <t>07048/C</t>
  </si>
  <si>
    <t xml:space="preserve"> 0380-198 00</t>
  </si>
  <si>
    <t>Citroen C4 Cactus</t>
  </si>
  <si>
    <t>Preem Nässjö</t>
  </si>
  <si>
    <t>0380-148 90</t>
  </si>
  <si>
    <t>Till bil SXY275</t>
  </si>
  <si>
    <t>Autoservice Europa</t>
  </si>
  <si>
    <t>031-443040</t>
  </si>
  <si>
    <t>P/040</t>
  </si>
  <si>
    <t>Citroen C3 III HB 2016&gt;
PEUGEOT 208 Halvkombi 2012&gt;</t>
  </si>
  <si>
    <t>2016&gt;
2012&gt;</t>
  </si>
  <si>
    <t>Nya Skara Bilverkstad</t>
  </si>
  <si>
    <t>Skara</t>
  </si>
  <si>
    <t>Simon@skarabil.com</t>
  </si>
  <si>
    <t>Behöver torkas av om det ska till privatperson. /FW Tagen till RGG146</t>
  </si>
  <si>
    <t>C-026</t>
  </si>
  <si>
    <t>CITROEN C4 Coupe 2004&gt;2010</t>
  </si>
  <si>
    <t>2004&gt;2010</t>
  </si>
  <si>
    <t>Skara Autoservice</t>
  </si>
  <si>
    <t>toni@skaraautoservice.se</t>
  </si>
  <si>
    <t>Björkholm Bil AB</t>
  </si>
  <si>
    <t>0500-49 34 00</t>
  </si>
  <si>
    <t>Citroen C4 Grand Picasso II</t>
  </si>
  <si>
    <t>Lindströms Bilel &amp; Diesel - Bosch Car Service</t>
  </si>
  <si>
    <t>info@lindstromsbilel.com</t>
  </si>
  <si>
    <t>Vianor - Skövde</t>
  </si>
  <si>
    <t>0771-16 33 33 (ett nr till alla verkstäder)</t>
  </si>
  <si>
    <t>07047/F</t>
  </si>
  <si>
    <t>Citroen C4 PICASSO</t>
  </si>
  <si>
    <t>Min bil Sollentuna</t>
  </si>
  <si>
    <t>Sollentuna</t>
  </si>
  <si>
    <t>sollentuna@minbil.se</t>
  </si>
  <si>
    <t>Till bil LTG928</t>
  </si>
  <si>
    <t>Västra Vägen 13</t>
  </si>
  <si>
    <t>08-730 11 75</t>
  </si>
  <si>
    <t>07041/C</t>
  </si>
  <si>
    <t>Citroen C4 Picasso 
Peugeot 5008 2010&gt;</t>
  </si>
  <si>
    <t>2006&gt;2011
2010&gt;</t>
  </si>
  <si>
    <t>Autohallen AB</t>
  </si>
  <si>
    <t>444 31</t>
  </si>
  <si>
    <t>Stenungsund</t>
  </si>
  <si>
    <t>tommy.autohallen.se</t>
  </si>
  <si>
    <t>efw955</t>
  </si>
  <si>
    <t>07047/VM</t>
  </si>
  <si>
    <t>CITROEN C4 Picasso 2013&gt;</t>
  </si>
  <si>
    <t>Leopard</t>
  </si>
  <si>
    <t>000088700000</t>
  </si>
  <si>
    <t>JST944</t>
  </si>
  <si>
    <t>C-041</t>
  </si>
  <si>
    <t>Brav AB - BDS</t>
  </si>
  <si>
    <t>Citroen C4 Picasso, Grand Picasso</t>
  </si>
  <si>
    <t>info@bds.se</t>
  </si>
  <si>
    <t>Geting Däck &amp; Bilservice</t>
  </si>
  <si>
    <t xml:space="preserve">  info@geting-bilservice.se</t>
  </si>
  <si>
    <t>wra848</t>
  </si>
  <si>
    <t>Citroen C4, Peugeot 307, 308 ej kombi</t>
  </si>
  <si>
    <t>2001&gt;2011</t>
  </si>
  <si>
    <t>Kihlströms Bilverkstad AB</t>
  </si>
  <si>
    <t>info@kihlströms.se</t>
  </si>
  <si>
    <t>KW Bilservice</t>
  </si>
  <si>
    <t xml:space="preserve"> info@kwbilservice.se</t>
  </si>
  <si>
    <t>Tagen till ACB489</t>
  </si>
  <si>
    <t>Auto-Hak</t>
  </si>
  <si>
    <t>P 35A</t>
  </si>
  <si>
    <t>Citroen C5</t>
  </si>
  <si>
    <t>ServiceSpecialisten</t>
  </si>
  <si>
    <t>info@servicespecialisten.se</t>
  </si>
  <si>
    <t>Leopard L</t>
  </si>
  <si>
    <t>000088600000</t>
  </si>
  <si>
    <t>Tagen till OYF029</t>
  </si>
  <si>
    <t>Citroen C5 2008&gt; , Peugeot 407 2004&gt;</t>
  </si>
  <si>
    <t>08&gt; och 04&gt;</t>
  </si>
  <si>
    <t>08-662 40 45</t>
  </si>
  <si>
    <t>Östgötagatan 70</t>
  </si>
  <si>
    <t>08-7021900</t>
  </si>
  <si>
    <t>Saknas sidogrejer</t>
  </si>
  <si>
    <t>Horisontell</t>
  </si>
  <si>
    <t>Vanadis G Bilservice</t>
  </si>
  <si>
    <t>CITROEN C4 Cactus 2014&gt;</t>
  </si>
  <si>
    <t>info@vanadisgummi.se</t>
  </si>
  <si>
    <t>Solna bilteknik</t>
  </si>
  <si>
    <t>Sundbyberg</t>
  </si>
  <si>
    <t>08-7357100</t>
  </si>
  <si>
    <t>info@solnabilteknik.se</t>
  </si>
  <si>
    <t>Tillhör YGR207, Finns ej i Järfälla</t>
  </si>
  <si>
    <t>C-036</t>
  </si>
  <si>
    <t>One Stop Auto</t>
  </si>
  <si>
    <t>Svedala</t>
  </si>
  <si>
    <t xml:space="preserve">Citroen C5 Halvkombi </t>
  </si>
  <si>
    <t>info@onestopauto.se</t>
  </si>
  <si>
    <t>Bromés Autoservice AB</t>
  </si>
  <si>
    <t>Sävsjö</t>
  </si>
  <si>
    <t>info@bromesautoservice.se</t>
  </si>
  <si>
    <t>Torekovs Bilverkstad</t>
  </si>
  <si>
    <t>Citroen C5 III Break (TD_)</t>
  </si>
  <si>
    <t>Torekov</t>
  </si>
  <si>
    <t>info@torekovsbilverkstad.se</t>
  </si>
  <si>
    <t>3 003</t>
  </si>
  <si>
    <t>Däckstallet AB</t>
  </si>
  <si>
    <t>Trekanten</t>
  </si>
  <si>
    <t>info@dackstallet.com</t>
  </si>
  <si>
    <t>Extra drag som vi fick att ta sidojärnen ifrån. Så dessa saknas.</t>
  </si>
  <si>
    <t>C-040</t>
  </si>
  <si>
    <t>B-Bus &amp; Kuman Bilservice AB</t>
  </si>
  <si>
    <t>Citroen C5 Kombi</t>
  </si>
  <si>
    <t xml:space="preserve"> b-bus.kuma@live.com</t>
  </si>
  <si>
    <t>Vet ej, Ola skulle
kolla 31/5-18 FP</t>
  </si>
  <si>
    <t>Roos Engineering</t>
  </si>
  <si>
    <t>Sherman</t>
  </si>
  <si>
    <t>info@roosengineering.se</t>
  </si>
  <si>
    <t>000095900000</t>
  </si>
  <si>
    <t>P30A</t>
  </si>
  <si>
    <t>CITROEN C5 Kombi 2004&gt;2008</t>
  </si>
  <si>
    <t>Welanders Bilverkstad AB</t>
  </si>
  <si>
    <t>welanders.bilverkstad@tele2.se</t>
  </si>
  <si>
    <t>Myggdalsvägen 2</t>
  </si>
  <si>
    <t>08-7420809</t>
  </si>
  <si>
    <t>avtagbar</t>
  </si>
  <si>
    <t xml:space="preserve">Citroen C5 sedan/kombi, Peugeot 407 </t>
  </si>
  <si>
    <t>JSK Autoservice AB - Peugeot</t>
  </si>
  <si>
    <t>jsk@taby.peugeot.se</t>
  </si>
  <si>
    <t>Kemistvägen 16</t>
  </si>
  <si>
    <t>TÄBY</t>
  </si>
  <si>
    <t>-------</t>
  </si>
  <si>
    <t>08-792 30 90</t>
  </si>
  <si>
    <r>
      <rPr>
        <color rgb="FFFF0000"/>
      </rPr>
      <t xml:space="preserve">Citroen DS5 </t>
    </r>
    <r>
      <rPr>
        <b/>
        <color rgb="FFFF0000"/>
      </rPr>
      <t>(ej Hybrid)</t>
    </r>
  </si>
  <si>
    <t>BDS Qstar</t>
  </si>
  <si>
    <t>Töreboda</t>
  </si>
  <si>
    <t>info@qstartoreboda.se</t>
  </si>
  <si>
    <t>R 24</t>
  </si>
  <si>
    <t>Citroen Jumper, Fiat Ducato, Peugeot Boxer</t>
  </si>
  <si>
    <t>1999&gt;2006</t>
  </si>
  <si>
    <t>Sherman XL</t>
  </si>
  <si>
    <t>000094700000</t>
  </si>
  <si>
    <t>Tommies Bilservice AB</t>
  </si>
  <si>
    <t xml:space="preserve">Citroen C5 5d </t>
  </si>
  <si>
    <t>Spikvägen 8</t>
  </si>
  <si>
    <t>Bergströms Bilverkstad</t>
  </si>
  <si>
    <t>0726-713242</t>
  </si>
  <si>
    <t>SAKNAR KULA</t>
  </si>
  <si>
    <t>Västerslätt Bilservice</t>
  </si>
  <si>
    <t>kontakt@vbilservice.se</t>
  </si>
  <si>
    <t>Citron C4 PICASSO
Peugeot 5008 2010&gt;</t>
  </si>
  <si>
    <t>Vadstena Fordonsteknik</t>
  </si>
  <si>
    <t>Vadstena</t>
  </si>
  <si>
    <t>info@vadstenafordonsteknik.se</t>
  </si>
  <si>
    <t>D-015</t>
  </si>
  <si>
    <t>Dacia Duster</t>
  </si>
  <si>
    <t>Min bil Vallentuna</t>
  </si>
  <si>
    <t>vallentuna@minbil.se</t>
  </si>
  <si>
    <t>Tiger Black</t>
  </si>
  <si>
    <t>000085900000</t>
  </si>
  <si>
    <t>S-Service Din bilverkstad AB</t>
  </si>
  <si>
    <t>info@s-service.se</t>
  </si>
  <si>
    <t>D-014</t>
  </si>
  <si>
    <t>Ströms Bil</t>
  </si>
  <si>
    <t>stefan.stromsbil@telia.com</t>
  </si>
  <si>
    <t>Tagen till CNE094</t>
  </si>
  <si>
    <t>Martins Autocenter AB</t>
  </si>
  <si>
    <t>Vårby</t>
  </si>
  <si>
    <t>martins-autocenter@outlook.com</t>
  </si>
  <si>
    <t>Jämtlandsgatan 153</t>
  </si>
  <si>
    <t>Vällingby</t>
  </si>
  <si>
    <t>08-377 505</t>
  </si>
  <si>
    <t>Tagen till REN240</t>
  </si>
  <si>
    <t>Tiger Black XL</t>
  </si>
  <si>
    <t>000086000000</t>
  </si>
  <si>
    <t>IA Bil</t>
  </si>
  <si>
    <t>2010&gt;2013</t>
  </si>
  <si>
    <t xml:space="preserve">Vänersborg  </t>
  </si>
  <si>
    <t>verkstad@iabil.se</t>
  </si>
  <si>
    <t>J Bilstrup motor &amp; verkstad</t>
  </si>
  <si>
    <t>info@jonasmotorverkstad.se</t>
  </si>
  <si>
    <t>NDS041</t>
  </si>
  <si>
    <t>Kjellssons Servicecenter</t>
  </si>
  <si>
    <t>reservdelar@kjellssons.se</t>
  </si>
  <si>
    <t>DACIA Duster 2013&gt;</t>
  </si>
  <si>
    <t>Z Motor AB</t>
  </si>
  <si>
    <t>martin@zmotor.se</t>
  </si>
  <si>
    <t>Tillhörde NDS041 som vi skickade fel till. skickas till MRY852</t>
  </si>
  <si>
    <t>021-81 14 34</t>
  </si>
  <si>
    <t>DACIA Duster 2013&gt; inkl facelift 2018&gt;</t>
  </si>
  <si>
    <t>Arnels Bil</t>
  </si>
  <si>
    <t>031-494941</t>
  </si>
  <si>
    <t>Lince</t>
  </si>
  <si>
    <t>Saknar Kula!!! Tagen till HGD67B</t>
  </si>
  <si>
    <t>Lundgrens Bil AB</t>
  </si>
  <si>
    <t>info@lundgrensbil.se</t>
  </si>
  <si>
    <t>G/007</t>
  </si>
  <si>
    <t>Dacia Lodgy</t>
  </si>
  <si>
    <t>Autoservice Åhus AB - Bosch Car Service</t>
  </si>
  <si>
    <t>per@autoserviceahus.se</t>
  </si>
  <si>
    <t>Turessons AB</t>
  </si>
  <si>
    <t>Årjäng</t>
  </si>
  <si>
    <t>info@turessons.se</t>
  </si>
  <si>
    <t>Lince XL</t>
  </si>
  <si>
    <t>000088800000</t>
  </si>
  <si>
    <t>Tillhörde OGR128 // OBS, denna har nog skickats till Supreme felaktigt från IM Bilservice //TC 10/7</t>
  </si>
  <si>
    <t>Delta FIXING KIT: DLKIT02G + FEET KIT 
Cod.Art. 000095300000 + PROFILE KIT: L</t>
  </si>
  <si>
    <t>Fordonsteknik AB</t>
  </si>
  <si>
    <t>Älmhult</t>
  </si>
  <si>
    <t>info@lpautoteknik.se</t>
  </si>
  <si>
    <t>Autoexperten Prolegro Däck &amp; Motor AB</t>
  </si>
  <si>
    <t>prolegro@autoexperten.se</t>
  </si>
  <si>
    <t>Varit hos Lennart Heikenström</t>
  </si>
  <si>
    <t>Bjäre Släp &amp; Bil AB - Bosch Car Service</t>
  </si>
  <si>
    <t xml:space="preserve">ELSATS 13 POL BMW </t>
  </si>
  <si>
    <t>Ängelholm</t>
  </si>
  <si>
    <t>0431-833 00</t>
  </si>
  <si>
    <t>Åkes Bilverkstad - AD Verkstad</t>
  </si>
  <si>
    <t>akes.bilverkstad@adbilverkstad.se</t>
  </si>
  <si>
    <t>AD Bilverkstad - Yrkesakuten</t>
  </si>
  <si>
    <t>yrkesakuten@adbilverkstad.se</t>
  </si>
  <si>
    <t>Aspholmens Bil &amp; Dieselteknik AB</t>
  </si>
  <si>
    <t>info@bilverkstadorebro.se</t>
  </si>
  <si>
    <t>2003&gt;2014</t>
  </si>
  <si>
    <t>SMB i Örebro AB</t>
  </si>
  <si>
    <t>019-121211, 0705263841</t>
  </si>
  <si>
    <t>Elsats SAAB 9-5 Kombi</t>
  </si>
  <si>
    <t>019-25 42 10</t>
  </si>
  <si>
    <t>20% rabatt + frakt (med undatag för justering).
Ej rabatt på tillägg för elsatser</t>
  </si>
  <si>
    <t>Tillhörde JDG137 som avbokat</t>
  </si>
  <si>
    <t>Extra motplatta/distans Saab-drag</t>
  </si>
  <si>
    <t>Örebro Bilservice</t>
  </si>
  <si>
    <t>orebrobilservice@yahoo.se</t>
  </si>
  <si>
    <t>TBM Performance</t>
  </si>
  <si>
    <t>Örsjö</t>
  </si>
  <si>
    <t>kontakt@tbmperformance.se</t>
  </si>
  <si>
    <t>J-067</t>
  </si>
  <si>
    <t>Fiat 500X / Jeep Renegade, Jeep Compass</t>
  </si>
  <si>
    <t>Motus bilverstad</t>
  </si>
  <si>
    <t>info@motusbilverkstad.se</t>
  </si>
  <si>
    <t>Jackson</t>
  </si>
  <si>
    <t>F-068</t>
  </si>
  <si>
    <t>Fiat Doblo</t>
  </si>
  <si>
    <t>Rays Bilservice AB</t>
  </si>
  <si>
    <t>Svensebergsvägen 1</t>
  </si>
  <si>
    <t xml:space="preserve">451 55 </t>
  </si>
  <si>
    <t>citroen@raysbilservice.se</t>
  </si>
  <si>
    <t>Osköna</t>
  </si>
  <si>
    <t>R 50</t>
  </si>
  <si>
    <t>FIAT Doblo Cargo WorkUp 2011&gt;</t>
  </si>
  <si>
    <t xml:space="preserve">Västkust Garage AB </t>
  </si>
  <si>
    <t>Hovhultsvägen 6</t>
  </si>
  <si>
    <t>451 70</t>
  </si>
  <si>
    <t>Skulle ev vara intresserad av montera till oss</t>
  </si>
  <si>
    <t>Elsats WH-1 med modul finns i kartongen. Tagen till Nandor Toth 30/10</t>
  </si>
  <si>
    <t>R 50 + WH1-PRO</t>
  </si>
  <si>
    <t>Landvetter Bil</t>
  </si>
  <si>
    <t>Nores Bilverkstad</t>
  </si>
  <si>
    <t>Jackson XL</t>
  </si>
  <si>
    <t>Skalbanksvägen 6A</t>
  </si>
  <si>
    <t>HL</t>
  </si>
  <si>
    <t xml:space="preserve"> 451 55</t>
  </si>
  <si>
    <t>Bett Ola att plocka med sig denna kroken hem. Var felbeställd till YUS617</t>
  </si>
  <si>
    <t>Enligt Ronny så har dom inget liggande hos dom 3/12 //HL</t>
  </si>
  <si>
    <t>yencor1977@hotmail.com</t>
  </si>
  <si>
    <t>patrik.linno@gmail.com</t>
  </si>
  <si>
    <t>C/018</t>
  </si>
  <si>
    <t>ketto.avila@gmail.com</t>
  </si>
  <si>
    <t>Fiat Ducato / Jumper / Boxer L1 L2 L3</t>
  </si>
  <si>
    <t>06&gt;</t>
  </si>
  <si>
    <t>larsson.ramkvist@outlook.com</t>
  </si>
  <si>
    <t>josefkapasi@hotmail.com</t>
  </si>
  <si>
    <t>ola.johansson@rivexpress.se</t>
  </si>
  <si>
    <t>Bergs Bilservice i Uddevalla AB</t>
  </si>
  <si>
    <t>Björbäcksvägen 1</t>
  </si>
  <si>
    <t>kimbeligantol1996@gmail.com</t>
  </si>
  <si>
    <t>Ville inte montera till oss</t>
  </si>
  <si>
    <t>william.humes@falun.se</t>
  </si>
  <si>
    <t>bigganlarsson@live.com</t>
  </si>
  <si>
    <t>Köpte 2 drag av oss på plats</t>
  </si>
  <si>
    <t>hasjoberg@gmail.com</t>
  </si>
  <si>
    <t>Svenssons Bilverkstad</t>
  </si>
  <si>
    <t>Torpvägen</t>
  </si>
  <si>
    <t>Till Bil HBF566</t>
  </si>
  <si>
    <t>451 98</t>
  </si>
  <si>
    <t>Fiat Ducato L1, L2. L3, L4, L5</t>
  </si>
  <si>
    <t>joawag65@gmail.com</t>
  </si>
  <si>
    <t>Milans Bil &amp; Däck Service</t>
  </si>
  <si>
    <t>joelj@live.se</t>
  </si>
  <si>
    <t>Fasserödsvägen 2</t>
  </si>
  <si>
    <t>elmirlindov@gmail.com</t>
  </si>
  <si>
    <t>451 62</t>
  </si>
  <si>
    <t>bjorn.norlin@hotmail.com</t>
  </si>
  <si>
    <t>lovade att höra av sig, inte mycket förfågningar av drag</t>
  </si>
  <si>
    <t>matsjagerud@hotmail.com</t>
  </si>
  <si>
    <t>Summa</t>
  </si>
  <si>
    <t>hans.waglof@outlook.com</t>
  </si>
  <si>
    <t>bjorn.burmeister@hotmail.com</t>
  </si>
  <si>
    <t>jesper@asphill.com</t>
  </si>
  <si>
    <t>Bergsgården Bil &amp; Släpvagncenter AB</t>
  </si>
  <si>
    <t>Koppersbergsvägen 2</t>
  </si>
  <si>
    <t>451 50</t>
  </si>
  <si>
    <t>magnus.03692138@telia.com</t>
  </si>
  <si>
    <t>Är det en Witter eller en Imiola de fick över?</t>
  </si>
  <si>
    <t>chrille1966@gmail.com</t>
  </si>
  <si>
    <t>michaelsvensson@tele2.se</t>
  </si>
  <si>
    <t>apek.h@hotmail.com</t>
  </si>
  <si>
    <t>elin_axel@hotmail.com</t>
  </si>
  <si>
    <t>F-064</t>
  </si>
  <si>
    <t>stefanhedin64@gmail.com</t>
  </si>
  <si>
    <t>luis_rods@hotmail.com</t>
  </si>
  <si>
    <t>Fiat Ducato, Citroen jumper, Peugeot boxer</t>
  </si>
  <si>
    <t>Benny Jarnedal Bilservice AB</t>
  </si>
  <si>
    <t>Skalbanksvägen 4</t>
  </si>
  <si>
    <t>adej_@hotmail.com</t>
  </si>
  <si>
    <t>sapphoo_@hotmail.com</t>
  </si>
  <si>
    <t>christer.neanro@elektroskandia.se</t>
  </si>
  <si>
    <t>kjonsson84@gmail.com</t>
  </si>
  <si>
    <t>palle.win@gmail.com</t>
  </si>
  <si>
    <t>jeanette_robertsson@yahoo.se</t>
  </si>
  <si>
    <t>Restenäs Bil &amp; Bildelar AB</t>
  </si>
  <si>
    <t>Restenäs 165</t>
  </si>
  <si>
    <t xml:space="preserve"> 459 30</t>
  </si>
  <si>
    <t>Ljungskile</t>
  </si>
  <si>
    <t>nääää</t>
  </si>
  <si>
    <t xml:space="preserve">Fiat Freemont </t>
  </si>
  <si>
    <t>robert.nymo@afconsult.com</t>
  </si>
  <si>
    <t>Däck &amp; Fordonsservice AB</t>
  </si>
  <si>
    <t>Bakeröd 350</t>
  </si>
  <si>
    <t>patrikviggen@karlstad.se</t>
  </si>
  <si>
    <t>459 91</t>
  </si>
  <si>
    <t>lundberg.emil1990@gmail.com</t>
  </si>
  <si>
    <t>Nja</t>
  </si>
  <si>
    <t>alexander@cederschiold.com</t>
  </si>
  <si>
    <t>peter.ylisuvanto@gmail.com</t>
  </si>
  <si>
    <t>janali_22@icloud.com</t>
  </si>
  <si>
    <t>Björks Bilservice, AB</t>
  </si>
  <si>
    <t>Uddevallavägen 16</t>
  </si>
  <si>
    <t>459 30</t>
  </si>
  <si>
    <t>Bilcity Stenungsund AB</t>
  </si>
  <si>
    <t>Stenunge väg 11</t>
  </si>
  <si>
    <t>vet ej</t>
  </si>
  <si>
    <t>F-074</t>
  </si>
  <si>
    <t>15&gt;</t>
  </si>
  <si>
    <t xml:space="preserve">Vallentuna </t>
  </si>
  <si>
    <t>Speedy Bilservice Mölndal</t>
  </si>
  <si>
    <t>431 35</t>
  </si>
  <si>
    <t>Stressade</t>
  </si>
  <si>
    <t>Tagen till GUO832. Kund hämtade själv i verkstan i Vallentuna.</t>
  </si>
  <si>
    <t>Toltorpsdalens Bilservice</t>
  </si>
  <si>
    <t>Argongatan 2</t>
  </si>
  <si>
    <t>Skid och Cykelhållare</t>
  </si>
  <si>
    <t>431 53</t>
  </si>
  <si>
    <t>Toltorpsdalens@gmail.com</t>
  </si>
  <si>
    <t>fick 3 min men verka vara lite intresserad</t>
  </si>
  <si>
    <t>Fiat Freemont ,Dodge Journey</t>
  </si>
  <si>
    <t>Hamo Bilservice</t>
  </si>
  <si>
    <t>Argongatan 8</t>
  </si>
  <si>
    <t>Verka inte gå så bra ( inte så bra svenska9</t>
  </si>
  <si>
    <t>Iceberg</t>
  </si>
  <si>
    <t>000071800000</t>
  </si>
  <si>
    <t>Speedy Bilservice Åbro</t>
  </si>
  <si>
    <t>Argongatan 2A</t>
  </si>
  <si>
    <t>Kände till oss, ev värt att besöka igen</t>
  </si>
  <si>
    <t>Kommit fran Mats Berger i Höör. Men det vet vi inget om ;)</t>
  </si>
  <si>
    <t>F-154</t>
  </si>
  <si>
    <t>Speedy Bilservice Högsbo</t>
  </si>
  <si>
    <t>E A Rosengrens gata 13</t>
  </si>
  <si>
    <t>Fiat Tipo Halvkombi</t>
  </si>
  <si>
    <t>421 31</t>
  </si>
  <si>
    <t>Kommer ej ihåg</t>
  </si>
  <si>
    <t>Audi Göteborg</t>
  </si>
  <si>
    <t>Jolengatan  21</t>
  </si>
  <si>
    <t>431 49</t>
  </si>
  <si>
    <t>trevliga</t>
  </si>
  <si>
    <t>Frozen Plus</t>
  </si>
  <si>
    <t>000079100000</t>
  </si>
  <si>
    <t>Tagen till MJK827</t>
  </si>
  <si>
    <t>Förenade Bil i Göteborg AB</t>
  </si>
  <si>
    <t>Arnegårdsgatan  4</t>
  </si>
  <si>
    <t>"Vi säljer premium bilar"</t>
  </si>
  <si>
    <t>F-148</t>
  </si>
  <si>
    <t>CITROEN Jumpy 2007&gt;
FIAT Scudo 2007&gt;2016
PEUGEOT Expert 2007&gt;
TOYOTA Proace 2012&gt;2016</t>
  </si>
  <si>
    <t>CarAuto</t>
  </si>
  <si>
    <t>Silver Ice</t>
  </si>
  <si>
    <t>Bäckstensgatan  11  F</t>
  </si>
  <si>
    <t>000014700000</t>
  </si>
  <si>
    <t>Info i brevlådan</t>
  </si>
  <si>
    <t>Upphämtad krok av Steinhof idag 21/10-20. 
Felskickad krok som skulle nekas av Morgan verkar ha 
levererats. Ta hem eller be Steinhof plocka upp det? 
Tillhörde ordern mtf318</t>
  </si>
  <si>
    <t>Åbyäng Bilaktiebolag</t>
  </si>
  <si>
    <t>Baazgatan  1</t>
  </si>
  <si>
    <t xml:space="preserve">431 61 </t>
  </si>
  <si>
    <t>m_malmskold@yahoo.se</t>
  </si>
  <si>
    <t>Skumma bilhandlare</t>
  </si>
  <si>
    <t>F-156</t>
  </si>
  <si>
    <t>Acocagua</t>
  </si>
  <si>
    <t>000008500000</t>
  </si>
  <si>
    <t>Fiat Tipo Kombi</t>
  </si>
  <si>
    <t>Göteborgs Metro Bil AB</t>
  </si>
  <si>
    <t>Göteborgsvägen  40</t>
  </si>
  <si>
    <t>431 30</t>
  </si>
  <si>
    <t>Himalaya</t>
  </si>
  <si>
    <t>000007800000</t>
  </si>
  <si>
    <t>Bilhuset i Frölunda</t>
  </si>
  <si>
    <t>Klangfärgsgatan 12</t>
  </si>
  <si>
    <t>426 52</t>
  </si>
  <si>
    <t>Klassisk bilhandlare</t>
  </si>
  <si>
    <t>Tagen till UUA655</t>
  </si>
  <si>
    <t>Ford Focus C-max / Grand C-max</t>
  </si>
  <si>
    <t>2010.12&gt;</t>
  </si>
  <si>
    <t>Holmgrens Bil</t>
  </si>
  <si>
    <t>Femvägsskälet 1</t>
  </si>
  <si>
    <t xml:space="preserve">421 50 </t>
  </si>
  <si>
    <t>Paratade nog med fel person</t>
  </si>
  <si>
    <t>Lås 30 st typ</t>
  </si>
  <si>
    <t>Västsvenska Bil AB</t>
  </si>
  <si>
    <t>Reningsverksgatan 12</t>
  </si>
  <si>
    <t>421 47</t>
  </si>
  <si>
    <t>Tror han hette Mattias, trevlig men stressad och lite ointresserad</t>
  </si>
  <si>
    <t>Monteras hos Motornavet på XWX778</t>
  </si>
  <si>
    <t>Juza</t>
  </si>
  <si>
    <t>000081000000</t>
  </si>
  <si>
    <t>Autotec bilförsäljning AB</t>
  </si>
  <si>
    <t>Ekonomivägen 3</t>
  </si>
  <si>
    <t>436 33</t>
  </si>
  <si>
    <t>F-249</t>
  </si>
  <si>
    <t>Njaaa</t>
  </si>
  <si>
    <t>Ford Focus Halvkombi</t>
  </si>
  <si>
    <t>Yelo</t>
  </si>
  <si>
    <t>Skickad i januari</t>
  </si>
  <si>
    <t>5S BIL AB</t>
  </si>
  <si>
    <t>Askims Verkstadsväg 1</t>
  </si>
  <si>
    <t>marcus.lindkvist24@gmail.com</t>
  </si>
  <si>
    <t>436 34</t>
  </si>
  <si>
    <t>pellespersson@hotmail.com</t>
  </si>
  <si>
    <t>ann-sofie.grahn@hotmail.com</t>
  </si>
  <si>
    <t>Ford FOCUS III</t>
  </si>
  <si>
    <t>dieter_hofer@hotmail.com</t>
  </si>
  <si>
    <t>kvn73@hotmail.com</t>
  </si>
  <si>
    <t>sven_hoglund@hotmail.com</t>
  </si>
  <si>
    <t>Lexus Göteborg</t>
  </si>
  <si>
    <t>rnegårdsgatan 4</t>
  </si>
  <si>
    <t>Jättetrevliga men okuninga</t>
  </si>
  <si>
    <t>NEZ614</t>
  </si>
  <si>
    <t>Spareparts</t>
  </si>
  <si>
    <t xml:space="preserve">Ford FOCUS III kombi, </t>
  </si>
  <si>
    <t>Skoda Center Göteborg</t>
  </si>
  <si>
    <t>Arnegårdsgatan 14</t>
  </si>
  <si>
    <t>Trevliga</t>
  </si>
  <si>
    <t>Lock Tiger/Leopard/Delta</t>
  </si>
  <si>
    <t>000084800000</t>
  </si>
  <si>
    <t>Hedin Bil FORD</t>
  </si>
  <si>
    <t>Jolengatan 15</t>
  </si>
  <si>
    <t>DLT Alingsås 7/8 FP</t>
  </si>
  <si>
    <t>T-Screws (Mixed)</t>
  </si>
  <si>
    <t>000110100000</t>
  </si>
  <si>
    <t>14080/F</t>
  </si>
  <si>
    <t>Ford Focus Kombi</t>
  </si>
  <si>
    <t>Per-Olof Silvudden</t>
  </si>
  <si>
    <t>Werksta Göteborg Torslanda</t>
  </si>
  <si>
    <t>Flygmotorsvägen 2</t>
  </si>
  <si>
    <t>423 37</t>
  </si>
  <si>
    <t>Torslanda</t>
  </si>
  <si>
    <t>Felskickad krok, kha059</t>
  </si>
  <si>
    <t>F-238</t>
  </si>
  <si>
    <t>Ford Focus kombi</t>
  </si>
  <si>
    <t>F-240</t>
  </si>
  <si>
    <t xml:space="preserve">Ford Focus Kombi </t>
  </si>
  <si>
    <t>Skickad till Kults Motor 24/8 -17</t>
  </si>
  <si>
    <t>MECA Torslanda Bilservice AB</t>
  </si>
  <si>
    <t>Nordhagsvägen 18</t>
  </si>
  <si>
    <t>423 34</t>
  </si>
  <si>
    <t>F-287</t>
  </si>
  <si>
    <t>AD Bilverkstad TD Bilservice AB</t>
  </si>
  <si>
    <t>FORD Fiesta Halvkombi 2017&gt;</t>
  </si>
  <si>
    <t>Flygfältsgatan 9</t>
  </si>
  <si>
    <t>Lager Golv</t>
  </si>
  <si>
    <t>Lagga Däck &amp; Bilservice AB</t>
  </si>
  <si>
    <t>Flygmotorsvägen 1</t>
  </si>
  <si>
    <t>Tillhörde BEN25E som avbokade. Bultar saknas</t>
  </si>
  <si>
    <t>Mekonomen Bilverkstad -Torslanda/Bulycke</t>
  </si>
  <si>
    <t>F-291</t>
  </si>
  <si>
    <t>Bulyckevägen 3</t>
  </si>
  <si>
    <t>418 78</t>
  </si>
  <si>
    <t>Ford Focus 5d halvkombi</t>
  </si>
  <si>
    <t>Kamux - Linköping</t>
  </si>
  <si>
    <t>Grytstorpsgatan 8</t>
  </si>
  <si>
    <t>013-13 30 90</t>
  </si>
  <si>
    <t>Kaveh.Moazzez@kamux.se
linkoping@kamux.se</t>
  </si>
  <si>
    <t>Kaveh Moazzez</t>
  </si>
  <si>
    <t>Mailat 28/2-20</t>
  </si>
  <si>
    <t>FORD Focus Kombi 2011&gt;</t>
  </si>
  <si>
    <t xml:space="preserve">Bilkoncept i Malmö </t>
  </si>
  <si>
    <t>Aspögatan 3</t>
  </si>
  <si>
    <t>211 24</t>
  </si>
  <si>
    <t>040 - 29 50 91</t>
  </si>
  <si>
    <t>info@bilkoncept.se</t>
  </si>
  <si>
    <t>NTZ376</t>
  </si>
  <si>
    <t>E/047</t>
  </si>
  <si>
    <t>Björklidens Bil &amp; Sport AB</t>
  </si>
  <si>
    <t>Björkliden 4</t>
  </si>
  <si>
    <t>245 91</t>
  </si>
  <si>
    <t>Staffanstorp</t>
  </si>
  <si>
    <t xml:space="preserve">046 – 25 82 20 </t>
  </si>
  <si>
    <t xml:space="preserve">bjorklidens.b@telia.com </t>
  </si>
  <si>
    <t>Rikard Ask</t>
  </si>
  <si>
    <t>OUW644 som bokade av. Såld till Mkt165</t>
  </si>
  <si>
    <t>Kamux</t>
  </si>
  <si>
    <t>Mailat Peter om detta</t>
  </si>
  <si>
    <t>Axel.Dahlin@kamux.se</t>
  </si>
  <si>
    <t>Axel Dahlin</t>
  </si>
  <si>
    <t>Inköpschef: Järfälla</t>
  </si>
  <si>
    <t>Ford Focus Halvkombi 2018&gt;</t>
  </si>
  <si>
    <t>Carl.Sundstrom@kamux.se</t>
  </si>
  <si>
    <t>Carl Sundström</t>
  </si>
  <si>
    <t>Inköpare: Järfälla</t>
  </si>
  <si>
    <t>Siyar.Ayranci@kamux.se</t>
  </si>
  <si>
    <t>Siyar Ayranci</t>
  </si>
  <si>
    <t>Carl.Brentberg@kamux.se</t>
  </si>
  <si>
    <t>Carl Brentberg</t>
  </si>
  <si>
    <t>Ingen hittar den här kroken. Varken Ola, vi eller Landvetter Bil</t>
  </si>
  <si>
    <t>2011-2018</t>
  </si>
  <si>
    <t>Marlene.Ekstrom@kamux.se</t>
  </si>
  <si>
    <t>Marlene Ekström</t>
  </si>
  <si>
    <t>Inköpare: Helsingborg</t>
  </si>
  <si>
    <t>Philip.Halabi@kamux.se</t>
  </si>
  <si>
    <t>Philip Halabi</t>
  </si>
  <si>
    <t>Lagerkrok på väg hem från Steinhof //TC 13/2</t>
  </si>
  <si>
    <t>F151S</t>
  </si>
  <si>
    <t>Ford Focus Wagon (MK3) 2011-&amp;2015-</t>
  </si>
  <si>
    <t>Joakim.Norman@kamux.se</t>
  </si>
  <si>
    <t>Joakim Norman</t>
  </si>
  <si>
    <t>Inköpare: Karlstad</t>
  </si>
  <si>
    <t>Christoffer.Thell@kamux.se</t>
  </si>
  <si>
    <t>Christoffer Thell</t>
  </si>
  <si>
    <t>F-203</t>
  </si>
  <si>
    <t>Ford Galaxy / S-max</t>
  </si>
  <si>
    <t>nödutgång</t>
  </si>
  <si>
    <t>Petri.Jaukka@kamux.se</t>
  </si>
  <si>
    <t>Petri Jaukka</t>
  </si>
  <si>
    <t>F165As</t>
  </si>
  <si>
    <t>FORD Kuga 2008&gt;2013, 2013&gt;</t>
  </si>
  <si>
    <t>2008&gt;2013
2013&gt;</t>
  </si>
  <si>
    <t>Kamux - Borlänge</t>
  </si>
  <si>
    <t>Gjutargatan 42</t>
  </si>
  <si>
    <t>borlange@kamux.se
Jeremias.Heikkinen@kamux.se</t>
  </si>
  <si>
    <t>Jeremias Heikkinen</t>
  </si>
  <si>
    <t>Butikschef</t>
  </si>
  <si>
    <t>Tillhörde OAS327, Tagen till EAY752</t>
  </si>
  <si>
    <t xml:space="preserve">Thule </t>
  </si>
  <si>
    <t>Ford Kuga nya modelen</t>
  </si>
  <si>
    <t>Bil &amp; MC Staffanstorp</t>
  </si>
  <si>
    <t>Malmövägen 31</t>
  </si>
  <si>
    <t>245 31</t>
  </si>
  <si>
    <t>046-25 50 91</t>
  </si>
  <si>
    <t>info@bilomc.com  johan.magnusson@bilomc.com</t>
  </si>
  <si>
    <t>Göran Olssson, Verkstad. Johan Magnusson Försäljning</t>
  </si>
  <si>
    <t>Bilhandlare + Verkstad</t>
  </si>
  <si>
    <t>Till NXG045</t>
  </si>
  <si>
    <t>Kamux - Borås</t>
  </si>
  <si>
    <t>Gånghestersvägen 134</t>
  </si>
  <si>
    <t>boras@kamux.se
Thomas.Celik@kamux.se</t>
  </si>
  <si>
    <t>Thomas Celik</t>
  </si>
  <si>
    <t>F-274</t>
  </si>
  <si>
    <t xml:space="preserve">Ford Mondeo 4d / 5d / kombi </t>
  </si>
  <si>
    <t>F-273</t>
  </si>
  <si>
    <t>Krok som varit försvunnen hos PostNord, men tydligen dykt upp..</t>
  </si>
  <si>
    <t>AC 132807</t>
  </si>
  <si>
    <t>Kamux - Gävle</t>
  </si>
  <si>
    <t>Skolgången 3</t>
  </si>
  <si>
    <t>Ford Mondeo IV</t>
  </si>
  <si>
    <t>gavle@kamux.se
Mikael.Lindman@kamux.se</t>
  </si>
  <si>
    <t>2006 &gt;</t>
  </si>
  <si>
    <t>Mikael Lindman</t>
  </si>
  <si>
    <t>Blennows Bil AB</t>
  </si>
  <si>
    <t>Ford MONDEO IV Turnier</t>
  </si>
  <si>
    <t>Norrgatan 5</t>
  </si>
  <si>
    <t>274 37</t>
  </si>
  <si>
    <t>Skurup</t>
  </si>
  <si>
    <t>0411-400 97​</t>
  </si>
  <si>
    <t>alexander@blennowsbil.se   service@blennowsbil.se</t>
  </si>
  <si>
    <t>Alexander Blennow</t>
  </si>
  <si>
    <t>Till JBK720</t>
  </si>
  <si>
    <t>Kamux - Halmstad</t>
  </si>
  <si>
    <t>Kundvägen 12</t>
  </si>
  <si>
    <t>halmstad@kamux.se
Thom.Ericsson@kamux.se</t>
  </si>
  <si>
    <t>Thom Ericsson</t>
  </si>
  <si>
    <t>F-271</t>
  </si>
  <si>
    <t>Ford Mondeo kombi</t>
  </si>
  <si>
    <t>Kamux - Helsingborg</t>
  </si>
  <si>
    <t>Garnisonsgatan 6B</t>
  </si>
  <si>
    <t>254 66</t>
  </si>
  <si>
    <t>helsingborg@kamux.se
Milan.Filipovic@kamux.se</t>
  </si>
  <si>
    <t>Milan Filipovic</t>
  </si>
  <si>
    <r>
      <rPr>
        <color rgb="FFFF0000"/>
      </rPr>
      <t xml:space="preserve">Tillhörde PMC266. </t>
    </r>
    <r>
      <rPr>
        <color rgb="FF000000"/>
      </rPr>
      <t>Nu monteras på FXB831</t>
    </r>
  </si>
  <si>
    <t>Finnns en LS-1 med i kartongen</t>
  </si>
  <si>
    <t>Avtagbar Horisontel</t>
  </si>
  <si>
    <t>Kamux - Jönköping Personbilar</t>
  </si>
  <si>
    <t xml:space="preserve">Ford Mondeo Kombi </t>
  </si>
  <si>
    <t>Porfyrvägen 2</t>
  </si>
  <si>
    <t>jonkoping@kamux.se
Dino.Islamovic@kamux.se</t>
  </si>
  <si>
    <t>Dino Islamovic</t>
  </si>
  <si>
    <t>Nilssons Bilcenter</t>
  </si>
  <si>
    <t>Propellervägen 12</t>
  </si>
  <si>
    <t>224 78</t>
  </si>
  <si>
    <t>Lund</t>
  </si>
  <si>
    <t>046-540 80 87</t>
  </si>
  <si>
    <t>Från S-service</t>
  </si>
  <si>
    <t>info@nilssonsbilcenter.se</t>
  </si>
  <si>
    <t>Peter Rosenlund</t>
  </si>
  <si>
    <t>Reservdelar</t>
  </si>
  <si>
    <t xml:space="preserve">Ford Mondeo kombi, sedan, halvkombi , Galaxy, S-Max m fl. </t>
  </si>
  <si>
    <t>Bilhuset i Lund</t>
  </si>
  <si>
    <t>Kalkstensvägen 20</t>
  </si>
  <si>
    <t>046-122620</t>
  </si>
  <si>
    <t>lars.fredricson@bilhusetlund.se</t>
  </si>
  <si>
    <t>Lars Fredricson</t>
  </si>
  <si>
    <t>Försäljare</t>
  </si>
  <si>
    <t>14095/C</t>
  </si>
  <si>
    <t>Ford Mondeo Kombi/Sedan</t>
  </si>
  <si>
    <t>Ford Mondeo sedan / halvkombi</t>
  </si>
  <si>
    <t>07&gt;14</t>
  </si>
  <si>
    <t>Ola, NSG768</t>
  </si>
  <si>
    <t>E/049</t>
  </si>
  <si>
    <t>Ford Transit Custom</t>
  </si>
  <si>
    <t xml:space="preserve">Felskickad krok till SBW764. Ta hem detta. //TC </t>
  </si>
  <si>
    <t>Fått av kunden: 110*50*35cm, kroken nu tagen till MTC901, 30/6 FW</t>
  </si>
  <si>
    <t>F-304</t>
  </si>
  <si>
    <t>Ford Transit Skåp / Buss</t>
  </si>
  <si>
    <t>Lågprisbilar P Wulff AB</t>
  </si>
  <si>
    <t>Skiffervägen 1</t>
  </si>
  <si>
    <t>046-370073</t>
  </si>
  <si>
    <t xml:space="preserve">info@pwullf.com </t>
  </si>
  <si>
    <t>F-217</t>
  </si>
  <si>
    <t xml:space="preserve">Fast </t>
  </si>
  <si>
    <t>FORD Focus Kombi 19&gt;</t>
  </si>
  <si>
    <t>2019&gt;</t>
  </si>
  <si>
    <t>Mailat 28/2-20, gick inte</t>
  </si>
  <si>
    <t>RJA05X</t>
  </si>
  <si>
    <t>Y 36</t>
  </si>
  <si>
    <t>Honda Accord 4d/kombi</t>
  </si>
  <si>
    <t>imiola</t>
  </si>
  <si>
    <t>H/022</t>
  </si>
  <si>
    <t>HONDA Accord Kombi 2008&gt;</t>
  </si>
  <si>
    <t>Autopartner Lund AB</t>
  </si>
  <si>
    <t>Södra vägen 3</t>
  </si>
  <si>
    <t>223 55</t>
  </si>
  <si>
    <t>046-12 08 80</t>
  </si>
  <si>
    <t>info@autopartnerilund.se</t>
  </si>
  <si>
    <t>AKO483</t>
  </si>
  <si>
    <t>H-059</t>
  </si>
  <si>
    <t>Honda Civic</t>
  </si>
  <si>
    <t>Till TKC965</t>
  </si>
  <si>
    <t>H-031</t>
  </si>
  <si>
    <t>2006&gt;2011</t>
  </si>
  <si>
    <t>Tillhörde FPO871 som vi krånglade med. Skickad till Ilker PTO080</t>
  </si>
  <si>
    <t>109,40, 35 20KG</t>
  </si>
  <si>
    <t>E/025</t>
  </si>
  <si>
    <t>BF Bilar Åkarp AB</t>
  </si>
  <si>
    <t>FORD Focus Kombi 1998&gt;2005</t>
  </si>
  <si>
    <t>Alnarpsvägen 52</t>
  </si>
  <si>
    <t>1998&gt;2005</t>
  </si>
  <si>
    <t>232 53</t>
  </si>
  <si>
    <t>Åkarp</t>
  </si>
  <si>
    <t xml:space="preserve">040 – 461080 </t>
  </si>
  <si>
    <t>christian.weinelin@bfbilar.se</t>
  </si>
  <si>
    <t>Christian Weinelin</t>
  </si>
  <si>
    <t>H/027</t>
  </si>
  <si>
    <t>Bilhuset Syd</t>
  </si>
  <si>
    <t>Truckvägen 6</t>
  </si>
  <si>
    <t>231 63</t>
  </si>
  <si>
    <t>Honda Civic 5dr halvkombi</t>
  </si>
  <si>
    <t>Trelleborg</t>
  </si>
  <si>
    <t>010-200 80 87</t>
  </si>
  <si>
    <t>kontakt@bilhusetsyd.se</t>
  </si>
  <si>
    <t>Tillhörde MZT260 som vi beställt fel till. //TC. Tagen REK456</t>
  </si>
  <si>
    <t>Eozon Klimator &amp; Bilservice AB</t>
  </si>
  <si>
    <t>Lavettvägen 14</t>
  </si>
  <si>
    <t>231 66</t>
  </si>
  <si>
    <t xml:space="preserve">Honda Civic Kombi </t>
  </si>
  <si>
    <t>0410-12980</t>
  </si>
  <si>
    <t>eozon@telia.com</t>
  </si>
  <si>
    <t>Bil-Larsson i Trelleborg (Honda)</t>
  </si>
  <si>
    <t>V. Vallgatan 5</t>
  </si>
  <si>
    <t>231 64</t>
  </si>
  <si>
    <t>0410-153 80</t>
  </si>
  <si>
    <t>mail@billarsson.se</t>
  </si>
  <si>
    <t>F151Q</t>
  </si>
  <si>
    <t>0410-153 87</t>
  </si>
  <si>
    <t>roger@billarsson.se</t>
  </si>
  <si>
    <t>Bilkonsultensyd AB</t>
  </si>
  <si>
    <t>Dalaslingan 1</t>
  </si>
  <si>
    <t>Tillhörde BKO005 som bokat av</t>
  </si>
  <si>
    <t>231 32</t>
  </si>
  <si>
    <t>Jack kan ha lånat kontakthållare + bultar för ACS från det här draget till ett AV Steinhof. Nya sådana delar är beställda från Steinhof. Inte säker på att det är detta draget dock men bör vara ///TC 19/10</t>
  </si>
  <si>
    <t>christer@bilkonsultensyd.se</t>
  </si>
  <si>
    <t>Christer Zulawinski</t>
  </si>
  <si>
    <t>H-057</t>
  </si>
  <si>
    <t>HONDA CR-V 2007&gt;2012</t>
  </si>
  <si>
    <t>2007&gt;2012</t>
  </si>
  <si>
    <t>Kamux - Jönköping Transportbilar</t>
  </si>
  <si>
    <t>jonkoping.trpt@kamux.se
Dino.Islamovic@kamux.se</t>
  </si>
  <si>
    <t>GKZ685</t>
  </si>
  <si>
    <t>Kamux - Karlskrona</t>
  </si>
  <si>
    <t>Gullbernavägen 14</t>
  </si>
  <si>
    <t>karlskrona@kamux.se
Niklas.Berg@kamux.se</t>
  </si>
  <si>
    <t>Niklas Berg</t>
  </si>
  <si>
    <t>HN69AS</t>
  </si>
  <si>
    <t>HONDA CR-V IV, 12-</t>
  </si>
  <si>
    <t>Kamux - Karlstad</t>
  </si>
  <si>
    <t>Blockgatan 7</t>
  </si>
  <si>
    <t>karlstad@kamux.se
Marcus.Uulas@kamux.se</t>
  </si>
  <si>
    <t>Marcus Uulas</t>
  </si>
  <si>
    <t>Kamux - Norrköping</t>
  </si>
  <si>
    <t>Koppargatan 1</t>
  </si>
  <si>
    <t xml:space="preserve">HONDA CR-V IV, 12-, </t>
  </si>
  <si>
    <t>norrkoping@kamux.se
Rafael.Edwardsson@kamux.se</t>
  </si>
  <si>
    <t>Rafael Edwardsson</t>
  </si>
  <si>
    <t>Kamux - Norrtälje</t>
  </si>
  <si>
    <t>August Strindbergs Gata 15</t>
  </si>
  <si>
    <t>761 46</t>
  </si>
  <si>
    <t>Norrtälje</t>
  </si>
  <si>
    <t>norrtalje@kamux.se
Björn.Lundkvist@kamux.se</t>
  </si>
  <si>
    <t>Björn Lundkvist</t>
  </si>
  <si>
    <t>Ta hem. Tillhört idioten Ali Mehdi med reg nr TJD497 // Tagen till HGK188</t>
  </si>
  <si>
    <t>Bokad upphämtning den 19/8 //HL</t>
  </si>
  <si>
    <t>Honda CRV</t>
  </si>
  <si>
    <t>Kamux - Örebro</t>
  </si>
  <si>
    <t>Varuvägen 1</t>
  </si>
  <si>
    <t>orebro@kamux.se
Felix.Marmborg@kamux.se</t>
  </si>
  <si>
    <t>Felix Marmborg</t>
  </si>
  <si>
    <t>Mailat 3/4-20</t>
  </si>
  <si>
    <t>Alans Bil i Tomelilla AB</t>
  </si>
  <si>
    <t>Tryde 1918</t>
  </si>
  <si>
    <t>273 97</t>
  </si>
  <si>
    <t>0417-102 50</t>
  </si>
  <si>
    <t>info@alansbil.se</t>
  </si>
  <si>
    <t>Kamux - Stockholm, Järfälla</t>
  </si>
  <si>
    <t>Girovägen 7</t>
  </si>
  <si>
    <t>jarfalla@kamux.se
Oscar.Helmersson@kamux.se</t>
  </si>
  <si>
    <t>Oscar Helmersson</t>
  </si>
  <si>
    <t>46-8241</t>
  </si>
  <si>
    <t xml:space="preserve">Hyundai I 40 CW 2010&gt; </t>
  </si>
  <si>
    <t>Garaget</t>
  </si>
  <si>
    <t>Kamux - Uppsala</t>
  </si>
  <si>
    <t>Bolandsgatan 17</t>
  </si>
  <si>
    <t>753 23</t>
  </si>
  <si>
    <t>uppsala@kamux.se
Wilhelm.Kilander@kamux.se</t>
  </si>
  <si>
    <t>Wilhelm Kilander</t>
  </si>
  <si>
    <t>Kamux - Varberg</t>
  </si>
  <si>
    <t>Härdgatan 39</t>
  </si>
  <si>
    <t>432 32</t>
  </si>
  <si>
    <t>Varberg</t>
  </si>
  <si>
    <t>varberg@kamux.se</t>
  </si>
  <si>
    <t>F-305</t>
  </si>
  <si>
    <t xml:space="preserve">Ford Transit Tourneo Courier </t>
  </si>
  <si>
    <t>Otto Olssons Bil AB</t>
  </si>
  <si>
    <t>Nygatan 35</t>
  </si>
  <si>
    <t>273 36</t>
  </si>
  <si>
    <t>0417 – 78 100</t>
  </si>
  <si>
    <t>forsaljning@ottobilab.se</t>
  </si>
  <si>
    <t>Mailat 19/3-20</t>
  </si>
  <si>
    <t>Kamux - Västerås</t>
  </si>
  <si>
    <t>Hällagatan 6</t>
  </si>
  <si>
    <t>721 34</t>
  </si>
  <si>
    <t>vasteras@kamux.se
Admir.Alic@kamux.se</t>
  </si>
  <si>
    <t>Admir Alic</t>
  </si>
  <si>
    <t>J 65A</t>
  </si>
  <si>
    <t>Hyundai i30 halvkombi</t>
  </si>
  <si>
    <t>Ringqvists Meck &amp; Däck</t>
  </si>
  <si>
    <t>Klintgatan 4</t>
  </si>
  <si>
    <t>273 32</t>
  </si>
  <si>
    <t>0417-101 16</t>
  </si>
  <si>
    <t>ringqvist@autoexperten.se</t>
  </si>
  <si>
    <t>H-245</t>
  </si>
  <si>
    <t>Hyundai i30 kombi</t>
  </si>
  <si>
    <t>2008&gt;2012</t>
  </si>
  <si>
    <t>Kamux - Växjö</t>
  </si>
  <si>
    <t>Smedjegatan 2</t>
  </si>
  <si>
    <t>vaxjo@kamux.se</t>
  </si>
  <si>
    <t>vaxjo@kamux.se
Andreas.Holmqvist@kamux.se</t>
  </si>
  <si>
    <t>Andreas Holmqvist</t>
  </si>
  <si>
    <t>Gärsnäs Bil AB</t>
  </si>
  <si>
    <t>Malmövägen 75</t>
  </si>
  <si>
    <t xml:space="preserve">272 61 </t>
  </si>
  <si>
    <t>Tillhörde ordern för gpz526, felskickat drag. Kund lämnar av det i Järfälla. Se om vi ska ta hem det till oss eller ta Patrycja på detta när hon är tillbaka</t>
  </si>
  <si>
    <t>Gärsnäs</t>
  </si>
  <si>
    <t>0414-287 70</t>
  </si>
  <si>
    <t>Drag ej upphämtat, kolla detta med Faraj. DHL: 6403460113</t>
  </si>
  <si>
    <t>bengt@garsnasbil.se</t>
  </si>
  <si>
    <t>Tagen till MGZ864</t>
  </si>
  <si>
    <t>08&gt;12</t>
  </si>
  <si>
    <t>Wä Bil AB</t>
  </si>
  <si>
    <t>Estrids väg 23 A</t>
  </si>
  <si>
    <t>291 65</t>
  </si>
  <si>
    <t>044-24 57 08</t>
  </si>
  <si>
    <t>reservdelar@wabil.se</t>
  </si>
  <si>
    <t>Jörgen Persson</t>
  </si>
  <si>
    <t>Målad på av kund, ser sådär ut. 2 kollin. Saknar även skruvar och bultar. Om det måste skickas så passade H-057s bultar hyffsat</t>
  </si>
  <si>
    <t>044-24 57 10</t>
  </si>
  <si>
    <t>redrik.ranehammar@wabil.se</t>
  </si>
  <si>
    <t>Fredrik Ranehammar</t>
  </si>
  <si>
    <t>Försäljningschef</t>
  </si>
  <si>
    <t>J 67V</t>
  </si>
  <si>
    <t>Hyundai I30 kombi</t>
  </si>
  <si>
    <t>REALMEC AB</t>
  </si>
  <si>
    <t>Deltavägen 17</t>
  </si>
  <si>
    <t>352 45</t>
  </si>
  <si>
    <t>0470-19908</t>
  </si>
  <si>
    <t>info@realmec.se</t>
  </si>
  <si>
    <t>Biltec AB</t>
  </si>
  <si>
    <t>Smedjegatan 22</t>
  </si>
  <si>
    <t>352 46</t>
  </si>
  <si>
    <t>0470-400 65</t>
  </si>
  <si>
    <t>info@biltec.se</t>
  </si>
  <si>
    <t>Atracco Auto</t>
  </si>
  <si>
    <t>Ljungadalsgatan 6</t>
  </si>
  <si>
    <t>0470 – 77 11 00</t>
  </si>
  <si>
    <t>verkstad.vxo@atracco.se</t>
  </si>
  <si>
    <t>Autocenter J&amp;C AB</t>
  </si>
  <si>
    <t>Slöjdgatan 3</t>
  </si>
  <si>
    <t>0470-26622</t>
  </si>
  <si>
    <t>jan@autocenterab.se</t>
  </si>
  <si>
    <t>Hyundai i40 (VF) Wagon 2011-</t>
  </si>
  <si>
    <t>Mickes Motor AB</t>
  </si>
  <si>
    <t>Hjalmar Petris väg 57-59</t>
  </si>
  <si>
    <t xml:space="preserve">352 46 </t>
  </si>
  <si>
    <t>0470-70 08 80</t>
  </si>
  <si>
    <t>info@mickesmotor.se</t>
  </si>
  <si>
    <t>Tagen till GCR233</t>
  </si>
  <si>
    <t>Bilanpassarna i Växjö AB</t>
  </si>
  <si>
    <t>J 60</t>
  </si>
  <si>
    <t>0470-36 000</t>
  </si>
  <si>
    <t>johan@bilanpassarna.se</t>
  </si>
  <si>
    <t>Hyundai ix35, Kia Sportage</t>
  </si>
  <si>
    <t>Johan Calmernäs VD/Säljare</t>
  </si>
  <si>
    <t>Bygger om bilar</t>
  </si>
  <si>
    <t>AB Kronobergs Bilaffär</t>
  </si>
  <si>
    <t>Hejaregatan 6</t>
  </si>
  <si>
    <t xml:space="preserve">0470 – 71 91 00 </t>
  </si>
  <si>
    <t xml:space="preserve">info@kronobergsbil.se </t>
  </si>
  <si>
    <t>J 55</t>
  </si>
  <si>
    <t>Hyundai Matrix</t>
  </si>
  <si>
    <t>2001&gt;2010</t>
  </si>
  <si>
    <t>Södra Ringvägen 2</t>
  </si>
  <si>
    <t>343 34</t>
  </si>
  <si>
    <t xml:space="preserve">0476 – 488 40 </t>
  </si>
  <si>
    <t>amadeus.persson@kronobergsbil.se</t>
  </si>
  <si>
    <t>Tillhörde TZU336 men idioten hoppade av. Roger tog emot den av misstag.//
Oklart om den finns kvar där, tagit hem det som fanns 181121 //TC</t>
  </si>
  <si>
    <t>GJK Premium</t>
  </si>
  <si>
    <t>Bolmstadsvägen 36</t>
  </si>
  <si>
    <t>341 35</t>
  </si>
  <si>
    <t>Ljungby</t>
  </si>
  <si>
    <t xml:space="preserve">0372 – 252 40 </t>
  </si>
  <si>
    <t>kontakt.ljungby@kronobergsbil.se</t>
  </si>
  <si>
    <t>Hyundai Santa Fe</t>
  </si>
  <si>
    <t>2012-2018</t>
  </si>
  <si>
    <t>Motorsport AB</t>
  </si>
  <si>
    <t>Verkstadsgatan 11</t>
  </si>
  <si>
    <t>350 46</t>
  </si>
  <si>
    <t>0470-45120</t>
  </si>
  <si>
    <t>reservdelar@motorsport-bs.se</t>
  </si>
  <si>
    <t>Johan Ericsson  Reservdelar</t>
  </si>
  <si>
    <t>Bilhandlare/Verkstad</t>
  </si>
  <si>
    <t>yjl807</t>
  </si>
  <si>
    <t>H-061</t>
  </si>
  <si>
    <t>Honda Civic 4D</t>
  </si>
  <si>
    <t>MobilMec AB Bilspecialisten i Växjö</t>
  </si>
  <si>
    <t>Östregårdsgatan 51</t>
  </si>
  <si>
    <t>352 41</t>
  </si>
  <si>
    <t>0470 - 46 221</t>
  </si>
  <si>
    <t>info@mobilmec.se</t>
  </si>
  <si>
    <t>Meca Skellefteå</t>
  </si>
  <si>
    <t>Tjärnvägen 1</t>
  </si>
  <si>
    <t>Tagit kontakthållaren från detta draget till Örebro. Sorry! //TC // Även tagit kulan till Bil och Maskin i Alvesta, sorry igen! //TC</t>
  </si>
  <si>
    <t>931 61</t>
  </si>
  <si>
    <t>Skellefteå</t>
  </si>
  <si>
    <t>076-3060276</t>
  </si>
  <si>
    <t>Jon.Ohlund@meca.se</t>
  </si>
  <si>
    <t>Jon</t>
  </si>
  <si>
    <t>H-280</t>
  </si>
  <si>
    <t>Hyundai Tucson Kia Sportage</t>
  </si>
  <si>
    <t>Prata med i telefon, supertrevilg blev eld och lågor när han fick se och höra vad vi hade och sälja. Handlat en gång av oss innan, volvo-drag från England</t>
  </si>
  <si>
    <t>Jager XF och Jaguar XE, senare modell</t>
  </si>
  <si>
    <t>OBS! Står dock 747020 på kartongen hos Supreme! Tillhörde WOB049 som blev fel. //TC 20/9</t>
  </si>
  <si>
    <t>GDW</t>
  </si>
  <si>
    <t>Jaguar S-type</t>
  </si>
  <si>
    <t>1999&gt;</t>
  </si>
  <si>
    <t>Tagen till TDJ637</t>
  </si>
  <si>
    <t>H/013</t>
  </si>
  <si>
    <t>Fast S-kula</t>
  </si>
  <si>
    <t>HONDA CR-V 2002&gt;2006</t>
  </si>
  <si>
    <t>2002&gt;2006</t>
  </si>
  <si>
    <t>Tillhörde XKL131 som inte "beställt en S-kula". Tillhör URL765</t>
  </si>
  <si>
    <t>J-065</t>
  </si>
  <si>
    <t>Jeep Cherokee</t>
  </si>
  <si>
    <t>14&gt;</t>
  </si>
  <si>
    <t>Eksjö Fordonsförsäljning</t>
  </si>
  <si>
    <t>KW Cars 7/2, hämtar här</t>
  </si>
  <si>
    <t>J-064</t>
  </si>
  <si>
    <t xml:space="preserve">Jeep Cherokee </t>
  </si>
  <si>
    <t>JP01</t>
  </si>
  <si>
    <t>JEEP Cherokee 1997&gt;2001</t>
  </si>
  <si>
    <t>Se om Martec kan ta hem denna igen eller om vi ska ta hem den till oss</t>
  </si>
  <si>
    <t>J-057</t>
  </si>
  <si>
    <t>Jeep Grand Cherokee</t>
  </si>
  <si>
    <t>Hittar ej! Tagit hem en extra för KW Cars //TC</t>
  </si>
  <si>
    <t xml:space="preserve">Jeep Grand Cherokee </t>
  </si>
  <si>
    <t>KW Cars 17/8</t>
  </si>
  <si>
    <t>KW Cars 4/4</t>
  </si>
  <si>
    <t>J-063</t>
  </si>
  <si>
    <t>Jeep Grand Cherokee Summit</t>
  </si>
  <si>
    <t>J-068</t>
  </si>
  <si>
    <t>Jeep Renegade (except Trailhawk)</t>
  </si>
  <si>
    <t>Jeep Renegade / Fiat 500X</t>
  </si>
  <si>
    <t>Jeep Renegade, Fiat 500X</t>
  </si>
  <si>
    <t>49-6174</t>
  </si>
  <si>
    <t>Jeep Wrangler</t>
  </si>
  <si>
    <t>KW Cars 12/12 -16</t>
  </si>
  <si>
    <t>J-071</t>
  </si>
  <si>
    <t>Jeep Wrangler JK</t>
  </si>
  <si>
    <t>K-057</t>
  </si>
  <si>
    <t>Kia Carens</t>
  </si>
  <si>
    <t>NXG106</t>
  </si>
  <si>
    <t>KA40S</t>
  </si>
  <si>
    <t>Kia Carens 2013-</t>
  </si>
  <si>
    <t>2013-</t>
  </si>
  <si>
    <t xml:space="preserve">Kia CEE`D Sportswagon (JD), Inkl. GT-Line </t>
  </si>
  <si>
    <t>Krok som "försvunnit" med DHL, kom fram ändå. Regnr var till Ilker YBF997. //TC</t>
  </si>
  <si>
    <t>K-064</t>
  </si>
  <si>
    <t>T 65</t>
  </si>
  <si>
    <t>Kia Ceed 3/5d (ej kombi)</t>
  </si>
  <si>
    <t xml:space="preserve">Skickad till Leif Ekman 22/4 </t>
  </si>
  <si>
    <t>T 65A</t>
  </si>
  <si>
    <t>Kia Ceed 5d Hatchback (ej kombi)</t>
  </si>
  <si>
    <t>Thule</t>
  </si>
  <si>
    <t>Kia Ceed GT/ Hyundai i30</t>
  </si>
  <si>
    <t>K-056</t>
  </si>
  <si>
    <t>Kia Ceed Halvkombi</t>
  </si>
  <si>
    <t>Saknar kula och hus, kolla om det saknas nåt mer.</t>
  </si>
  <si>
    <t>K-055</t>
  </si>
  <si>
    <t xml:space="preserve">Kia Ceed Halvkombi </t>
  </si>
  <si>
    <t>Tagen till ONY695</t>
  </si>
  <si>
    <t>KIA Ceed Halvkombi 2012&gt;</t>
  </si>
  <si>
    <t>Krok passade inte SPO852, GT-line</t>
  </si>
  <si>
    <t>K/043</t>
  </si>
  <si>
    <t>KIA Ceed Halvkombi 2012&gt; (ej GT-line)</t>
  </si>
  <si>
    <t>Gunnar Stranne</t>
  </si>
  <si>
    <t>Fel drag till OYR784. Plocka hem på något vänster //TC Skickad till Speedy Limhamn /FP</t>
  </si>
  <si>
    <t>44-2283-3</t>
  </si>
  <si>
    <t xml:space="preserve">Kia Ceed halvkombi, Kia Ceed kombi </t>
  </si>
  <si>
    <t>K-060</t>
  </si>
  <si>
    <t>Kia Ceed kombi</t>
  </si>
  <si>
    <t>Ta hem? //TC</t>
  </si>
  <si>
    <t>K-063</t>
  </si>
  <si>
    <t>Kia Ceed Kombi</t>
  </si>
  <si>
    <t>Skickas till Josef 19/3 CS</t>
  </si>
  <si>
    <t>Tagen till GXL757</t>
  </si>
  <si>
    <t>Tagen till PRY507</t>
  </si>
  <si>
    <t>K-059</t>
  </si>
  <si>
    <t>Tagen till LTU334</t>
  </si>
  <si>
    <t>PUY180</t>
  </si>
  <si>
    <t>PFK394</t>
  </si>
  <si>
    <t>NLA149</t>
  </si>
  <si>
    <t>Fmf535</t>
  </si>
  <si>
    <t>T80A</t>
  </si>
  <si>
    <t>hnj974</t>
  </si>
  <si>
    <t>ESP763</t>
  </si>
  <si>
    <t>OOU169</t>
  </si>
  <si>
    <t>Tagen till Ysm975</t>
  </si>
  <si>
    <t>2012&gt;2018</t>
  </si>
  <si>
    <t>BJM646</t>
  </si>
  <si>
    <t>Henrik Josefsson</t>
  </si>
  <si>
    <t>PKY053</t>
  </si>
  <si>
    <t>MTE370</t>
  </si>
  <si>
    <t>Till MBG739</t>
  </si>
  <si>
    <t>stj 176</t>
  </si>
  <si>
    <t>Sfz99</t>
  </si>
  <si>
    <t>yed017</t>
  </si>
  <si>
    <t>PUW413</t>
  </si>
  <si>
    <t>AHZ83P</t>
  </si>
  <si>
    <t>KSU539</t>
  </si>
  <si>
    <t>T80</t>
  </si>
  <si>
    <t>OJF724</t>
  </si>
  <si>
    <t>CPN04J</t>
  </si>
  <si>
    <t>xsk802</t>
  </si>
  <si>
    <t>JLF319</t>
  </si>
  <si>
    <t>Lcu601</t>
  </si>
  <si>
    <t>sportputte@hotmail.com</t>
  </si>
  <si>
    <t>MBE185</t>
  </si>
  <si>
    <t>Clm010</t>
  </si>
  <si>
    <t>EFM930</t>
  </si>
  <si>
    <t>DYJ178</t>
  </si>
  <si>
    <t xml:space="preserve">Kia Ceed kombi </t>
  </si>
  <si>
    <t>DLW963</t>
  </si>
  <si>
    <t>HZL902</t>
  </si>
  <si>
    <t>Torben Carlsen</t>
  </si>
  <si>
    <t>FSY174</t>
  </si>
  <si>
    <t>GMY340</t>
  </si>
  <si>
    <t xml:space="preserve"> JWB493</t>
  </si>
  <si>
    <t xml:space="preserve">Kia Ceed Kombi </t>
  </si>
  <si>
    <t>Morten Överbye</t>
  </si>
  <si>
    <t>OTY030</t>
  </si>
  <si>
    <t>Bjb989</t>
  </si>
  <si>
    <t>OJA672</t>
  </si>
  <si>
    <t>BS21127</t>
  </si>
  <si>
    <t>Tagen till Josefs Bilservice, PFP571</t>
  </si>
  <si>
    <t>Kia Ceed Kombi (inkl GT-line), Hyundai I30 kombi</t>
  </si>
  <si>
    <t>Tagen till BXX092</t>
  </si>
  <si>
    <t>TDA981 Ola</t>
  </si>
  <si>
    <t>Tagen till pwx464</t>
  </si>
  <si>
    <t>Kia Ceed Kombi / Hyundai i30 Kombi</t>
  </si>
  <si>
    <t>Malmö 11/5</t>
  </si>
  <si>
    <t>Ev Ola-krok 28/5</t>
  </si>
  <si>
    <t>Malmö 18/5</t>
  </si>
  <si>
    <t>Tagen till HBD202</t>
  </si>
  <si>
    <t>19114/F</t>
  </si>
  <si>
    <t>Till speedy FTW420</t>
  </si>
  <si>
    <t>K-003</t>
  </si>
  <si>
    <t>Kia Ceed Kombi 07&gt;</t>
  </si>
  <si>
    <t>K/023</t>
  </si>
  <si>
    <t>KIA Ceed Kombi 2007&gt;2012</t>
  </si>
  <si>
    <t>NXD095</t>
  </si>
  <si>
    <t>KIA Ceed Kombi 2012&gt;</t>
  </si>
  <si>
    <t>Bilverkstan i Sundsvall</t>
  </si>
  <si>
    <t>80x36x24
20 kg
Eller är denna tillbaka eftersom måtten står här ovan? Tror
dock inte det. Den var inte lilamarkerad innan. Jag gjorde
det nu. 5/7 FP</t>
  </si>
  <si>
    <t>Tillhörde EFX395 som bokat av. Varit i Vara - ska finnas här.</t>
  </si>
  <si>
    <t>Felskickad krok till UOS869</t>
  </si>
  <si>
    <t>Golvmattor</t>
  </si>
  <si>
    <t>Retur från Bohlin // Tagen till DAR336</t>
  </si>
  <si>
    <t>KIA Ceed Kombi 2012&gt; inkl GT</t>
  </si>
  <si>
    <t>Tagen till NWH432</t>
  </si>
  <si>
    <t>KIA Ceed Kombi 2012&gt;2018</t>
  </si>
  <si>
    <t>12&gt;18</t>
  </si>
  <si>
    <t>T80V</t>
  </si>
  <si>
    <t>Kia Ceed Kombi 2019&gt;</t>
  </si>
  <si>
    <t>SGD546</t>
  </si>
  <si>
    <t>Till ZSN110</t>
  </si>
  <si>
    <t>DAT85E</t>
  </si>
  <si>
    <t>Tagen till RKD029</t>
  </si>
  <si>
    <t>EXP75T</t>
  </si>
  <si>
    <t>Monoflex 44.2001</t>
  </si>
  <si>
    <t xml:space="preserve">Kia Ceed Kombi frånkoppling PDC </t>
  </si>
  <si>
    <t>10/2009-08/2012</t>
  </si>
  <si>
    <t>KIA Ceed Kombi GT-Line 2012&gt;</t>
  </si>
  <si>
    <t>2012&gt;2016</t>
  </si>
  <si>
    <t>EFX395</t>
  </si>
  <si>
    <t>RRB480</t>
  </si>
  <si>
    <t>Tagen till FSP389</t>
  </si>
  <si>
    <t>2012&gt;2019</t>
  </si>
  <si>
    <t>Tagen till FZR852</t>
  </si>
  <si>
    <t>45020/F</t>
  </si>
  <si>
    <t>Hyundai i20</t>
  </si>
  <si>
    <t>2009&gt;2014</t>
  </si>
  <si>
    <t>Tagen till BTD329</t>
  </si>
  <si>
    <t>Kia Ceed Kombi Ink GT</t>
  </si>
  <si>
    <t>Ligger ej på sin plats, skickad?</t>
  </si>
  <si>
    <t>Skickad 4/7 -17</t>
  </si>
  <si>
    <t>Kia Ceed kombi inkl GT line</t>
  </si>
  <si>
    <t>Reserverad till UYN901 5/7 CS</t>
  </si>
  <si>
    <t>Kia Ceed kombi inkl GT-line</t>
  </si>
  <si>
    <t>Tillhörde LUK915 som avbokade.</t>
  </si>
  <si>
    <t>Skickat detta direkt till kund 13/9 //TC</t>
  </si>
  <si>
    <t>Kia Ceed kombi inkl GT-Line</t>
  </si>
  <si>
    <t>Kia Ceed SW</t>
  </si>
  <si>
    <t>Tagen till OBA664</t>
  </si>
  <si>
    <t>Står vid dörren</t>
  </si>
  <si>
    <t>Tagen till UHG898</t>
  </si>
  <si>
    <t xml:space="preserve">Kia Ceed SW / HB </t>
  </si>
  <si>
    <t>Tagen till mkj960</t>
  </si>
  <si>
    <t>Kia Ceed SW / kombi</t>
  </si>
  <si>
    <t>07&gt;12</t>
  </si>
  <si>
    <t>T 80V</t>
  </si>
  <si>
    <t>Kia Ceed SW / kombi inkl GT-line</t>
  </si>
  <si>
    <t>Tagen till TYH486</t>
  </si>
  <si>
    <t xml:space="preserve">Kia Ceed SW GT, Hyundai I30 kombi </t>
  </si>
  <si>
    <t>Josefs Bilservice, SND281</t>
  </si>
  <si>
    <t>T-74V</t>
  </si>
  <si>
    <t>Kia Niro</t>
  </si>
  <si>
    <t>K-072</t>
  </si>
  <si>
    <t>Tagen till: ZEU839</t>
  </si>
  <si>
    <t>K-071</t>
  </si>
  <si>
    <t>Till bil DKW64S</t>
  </si>
  <si>
    <t>Mee717</t>
  </si>
  <si>
    <t>Tagen till YXM288</t>
  </si>
  <si>
    <t>YUZ731</t>
  </si>
  <si>
    <t>K-036</t>
  </si>
  <si>
    <t>HYUNDAI Santa Fe 2012&gt; Kia Sorento</t>
  </si>
  <si>
    <t>Tagen till ppm172. 7/12 - FP</t>
  </si>
  <si>
    <t>K-067</t>
  </si>
  <si>
    <t>Tagen till HJK790</t>
  </si>
  <si>
    <t>K-068</t>
  </si>
  <si>
    <t>Hittar inte? //TC 4/2</t>
  </si>
  <si>
    <t>Kia Optima Kombi 2016&gt;</t>
  </si>
  <si>
    <t>oex040</t>
  </si>
  <si>
    <t>2270T60</t>
  </si>
  <si>
    <t>Kia Optima Kombi 2016&gt; Inkl Hybrid och GT-Line</t>
  </si>
  <si>
    <t>JZS574</t>
  </si>
  <si>
    <t>Tagen till MYT31N</t>
  </si>
  <si>
    <t>YOZ999</t>
  </si>
  <si>
    <t>Tagen till SYG96T</t>
  </si>
  <si>
    <t>Tagen till UDJ17R</t>
  </si>
  <si>
    <t>Witter/Westfalia</t>
  </si>
  <si>
    <t>323150
J17AQ</t>
  </si>
  <si>
    <t>Jaguar XE, XF 2015&gt;</t>
  </si>
  <si>
    <t>Kontakthållare saknas. Kula finns och bultar använder man 
dem som håller krockbalken. Ligger hållaren hos Ilker eller ska
vi beställa hem? Kanske har vi nåt liggande? Draget varit hos 
Supreme och kom tillbaka idag. /FP 18/10
// Kontakthållare finns //TC 11/9</t>
  </si>
  <si>
    <t>JP 01</t>
  </si>
  <si>
    <t>1997-2001</t>
  </si>
  <si>
    <t>Kia Optima Kombi 2016&gt; inkl Plug-in</t>
  </si>
  <si>
    <t>PLG070</t>
  </si>
  <si>
    <t>Tagen till ENJ899</t>
  </si>
  <si>
    <t>3451156000001</t>
  </si>
  <si>
    <t>Nu tagen till OKC497 29/9 FP.</t>
  </si>
  <si>
    <t>Kia OPTIMA Sportswagon,</t>
  </si>
  <si>
    <t>Till bil ADX829</t>
  </si>
  <si>
    <t>KA44S</t>
  </si>
  <si>
    <t>Kia Optima SW 2016-</t>
  </si>
  <si>
    <t>Tagen till KLN077</t>
  </si>
  <si>
    <t>K-050</t>
  </si>
  <si>
    <t>Kia Rio</t>
  </si>
  <si>
    <t>Saknas kula ACS 2030, beställ hem. Beställt hem ACS 2030
Kroken tagen till AJZ117</t>
  </si>
  <si>
    <t>Kia Niro 2016&gt;2019</t>
  </si>
  <si>
    <t>2016&gt;2019</t>
  </si>
  <si>
    <t>Fordonsprogrammet/Tegelbruksskolan</t>
  </si>
  <si>
    <t>Tillhörde WYL39L som blev fel.</t>
  </si>
  <si>
    <t>Mailat Dick om måtten 19/1 //HL</t>
  </si>
  <si>
    <t xml:space="preserve"> Bokad DHL 20/1 //HL</t>
  </si>
  <si>
    <t>100745</t>
  </si>
  <si>
    <t>Kia Optima -16</t>
  </si>
  <si>
    <t>Felbeställt av CS</t>
  </si>
  <si>
    <t>T59</t>
  </si>
  <si>
    <t>Kia Sorento (XM)</t>
  </si>
  <si>
    <t>2009&gt;2013</t>
  </si>
  <si>
    <t>116x35x29 21 kg</t>
  </si>
  <si>
    <t>K-039</t>
  </si>
  <si>
    <t>KIA Sorento 2015&gt;</t>
  </si>
  <si>
    <t>Tagen till GOY789</t>
  </si>
  <si>
    <t>KIA Sorento 2015&gt;2018</t>
  </si>
  <si>
    <t>2015&gt;2018</t>
  </si>
  <si>
    <t xml:space="preserve">Tagen till JXU947
</t>
  </si>
  <si>
    <t xml:space="preserve">Kia Soul </t>
  </si>
  <si>
    <t>EEU370</t>
  </si>
  <si>
    <t>T63</t>
  </si>
  <si>
    <t>Kia Soul, 5dr</t>
  </si>
  <si>
    <t>2011&gt;2014</t>
  </si>
  <si>
    <t>MAJ141</t>
  </si>
  <si>
    <t>19111/F</t>
  </si>
  <si>
    <t>Kia Sportage</t>
  </si>
  <si>
    <t>K-028</t>
  </si>
  <si>
    <t>T72</t>
  </si>
  <si>
    <t>15-</t>
  </si>
  <si>
    <t>Sidojärnen saknades, tog från det avtagbara nr 89. //TC</t>
  </si>
  <si>
    <t>T72V</t>
  </si>
  <si>
    <t>BKY446 Ola 29/5</t>
  </si>
  <si>
    <t>Tagen till HWW243</t>
  </si>
  <si>
    <t>2011&gt;2016</t>
  </si>
  <si>
    <t>Viktoria Johanssons krok</t>
  </si>
  <si>
    <t>K/062</t>
  </si>
  <si>
    <t>KIA Sportage</t>
  </si>
  <si>
    <t>Till YLD071</t>
  </si>
  <si>
    <t>2015/09&gt;</t>
  </si>
  <si>
    <t>Tagen till LHW970</t>
  </si>
  <si>
    <t>Hylla</t>
  </si>
  <si>
    <t>K-029</t>
  </si>
  <si>
    <t>2010&gt;2015</t>
  </si>
  <si>
    <t>Tagen till MZD392</t>
  </si>
  <si>
    <t xml:space="preserve">Kia Sportage </t>
  </si>
  <si>
    <t>Till Josef LDW713</t>
  </si>
  <si>
    <t>44-8268, 345087</t>
  </si>
  <si>
    <t>Skickat till Äpplekullen 11/4 //TC</t>
  </si>
  <si>
    <t>Tagen till Jozsefs, SLN876</t>
  </si>
  <si>
    <t>AC 191107</t>
  </si>
  <si>
    <t xml:space="preserve">2010 &gt; </t>
  </si>
  <si>
    <t>048-343</t>
  </si>
  <si>
    <t>Tagen till CSY683</t>
  </si>
  <si>
    <t>Kia Sportage / Hyundai Tucson</t>
  </si>
  <si>
    <t>KIA Sportage 2010&gt;2015</t>
  </si>
  <si>
    <t>2010-2015</t>
  </si>
  <si>
    <t>Tagen till TRU972 (MIsstänker att denna kroken var avsedd för denna bilen, inte lager) //TC</t>
  </si>
  <si>
    <t>KIA Sportage 2016&gt;2018</t>
  </si>
  <si>
    <t>2016&gt;2018</t>
  </si>
  <si>
    <t>Bengtsfors Bilteknik</t>
  </si>
  <si>
    <t>Felskickad krok till PXO881, ta hem! //TC Tagit till PJW008</t>
  </si>
  <si>
    <t>Speedy Jönköping</t>
  </si>
  <si>
    <t>Krok passade inte bilen. EET336</t>
  </si>
  <si>
    <t>Finns inga drag kvar hos dom!</t>
  </si>
  <si>
    <t>029-441</t>
  </si>
  <si>
    <t>Kia Sportage, Hyundai IX35</t>
  </si>
  <si>
    <t>Kia Sportage, Hyundai Tucson</t>
  </si>
  <si>
    <t>Alla, antal</t>
  </si>
  <si>
    <t>Missade, antal</t>
  </si>
  <si>
    <t>Vidarekopp, antal</t>
  </si>
  <si>
    <t>Besvarade, antal</t>
  </si>
  <si>
    <t>Antal Försäljning</t>
  </si>
  <si>
    <t>Antal Support</t>
  </si>
  <si>
    <t>Antal sälj telefon</t>
  </si>
  <si>
    <t>Tagen till OAY832</t>
  </si>
  <si>
    <t>Procentuell del besvarade</t>
  </si>
  <si>
    <t>Procentuell del missade</t>
  </si>
  <si>
    <t xml:space="preserve">Kia Sportage, Hyundai Tucson </t>
  </si>
  <si>
    <t>Procentuell del vidarekopplade</t>
  </si>
  <si>
    <t>Andel Försäljning</t>
  </si>
  <si>
    <t>Andel Support</t>
  </si>
  <si>
    <t>Andel sälj/säljsamtal</t>
  </si>
  <si>
    <t>Till Ola, YEB051</t>
  </si>
  <si>
    <t>Kula 4-bultad</t>
  </si>
  <si>
    <t>L-111</t>
  </si>
  <si>
    <t>Land Rover / Range Rover</t>
  </si>
  <si>
    <t>Campanellos drag, elsats fasttejpad</t>
  </si>
  <si>
    <t>L-102</t>
  </si>
  <si>
    <t>Land Rover Freelander 2</t>
  </si>
  <si>
    <t>Rails</t>
  </si>
  <si>
    <t>LEOPARD L</t>
  </si>
  <si>
    <t>Ett räcke till lagret på väg tillsammans med Lås för Delta som ska skickas till kund. //TC 7/3</t>
  </si>
  <si>
    <t>Tagen till RPY522</t>
  </si>
  <si>
    <t>L-166</t>
  </si>
  <si>
    <t>Lexus NX 300</t>
  </si>
  <si>
    <t>Till bil BAU828</t>
  </si>
  <si>
    <t>317131600001</t>
  </si>
  <si>
    <t>AUDI A3 Halvkombi 2012&gt;
AUDI Q2 2017&gt;
SEAT Leon Halvkombi 2012&gt;
SEAT Leon Kombi 2013&gt;
SKODA Octavia Halvkombi 2013&gt;
SKODA Octavia Kombi 2013&gt;
Volkswagen Golf VII Halvkombi 2012&gt;</t>
  </si>
  <si>
    <t>2012-</t>
  </si>
  <si>
    <t>Dragkrok som inte passade till NBN535 pga S-line // Tagen till DUZ107</t>
  </si>
  <si>
    <t>Mazda 323</t>
  </si>
  <si>
    <t>98&gt;03</t>
  </si>
  <si>
    <t>Tagen till JNL145</t>
  </si>
  <si>
    <t>22007/F</t>
  </si>
  <si>
    <t>Mazda 6</t>
  </si>
  <si>
    <t>2012 &gt;</t>
  </si>
  <si>
    <t>Tagen till Lef309</t>
  </si>
  <si>
    <t>M-042</t>
  </si>
  <si>
    <t>Mazda 6 kombi</t>
  </si>
  <si>
    <t>Saknar bultar och muttrar för kula. Var tvungen att ta dessa till Torslanda Cykel //TC</t>
  </si>
  <si>
    <t>M-043</t>
  </si>
  <si>
    <t xml:space="preserve">Mazda 6 kombi </t>
  </si>
  <si>
    <t>Mazda CX-3</t>
  </si>
  <si>
    <t>Tagen till PLE263</t>
  </si>
  <si>
    <t>BFJ606</t>
  </si>
  <si>
    <t>K-069</t>
  </si>
  <si>
    <t>Kia Rio Halvkombi 2017&gt;</t>
  </si>
  <si>
    <t>Mazda CX-5</t>
  </si>
  <si>
    <t>Ska monteras äpplekullen 22/8 -17</t>
  </si>
  <si>
    <t>Spec Witter</t>
  </si>
  <si>
    <t>33167C</t>
  </si>
  <si>
    <t>Mazda CX-5 (KE) 2012-</t>
  </si>
  <si>
    <t>Till YMY289</t>
  </si>
  <si>
    <t>Hak-Pol</t>
  </si>
  <si>
    <t>X/023</t>
  </si>
  <si>
    <t>MAZDA CX-5 2012&gt;</t>
  </si>
  <si>
    <t>Tagen till ETH219</t>
  </si>
  <si>
    <t>23052/VM</t>
  </si>
  <si>
    <t>MB A, B CLA</t>
  </si>
  <si>
    <t>Tagen till MCO459</t>
  </si>
  <si>
    <t>Monoflex 313398300107</t>
  </si>
  <si>
    <t>MB A/B klass</t>
  </si>
  <si>
    <t xml:space="preserve">MB C-klass W204 S204 C204 </t>
  </si>
  <si>
    <t>Tagen till NWX547. FP 10/12</t>
  </si>
  <si>
    <t xml:space="preserve">MB C-klass W205 S205 C205 </t>
  </si>
  <si>
    <t>Tagen ZET014</t>
  </si>
  <si>
    <t>M-116</t>
  </si>
  <si>
    <t xml:space="preserve">MB E-klass Kombi </t>
  </si>
  <si>
    <t>Tagen till EYT337</t>
  </si>
  <si>
    <t>Mercedes A och B klass</t>
  </si>
  <si>
    <t>Tagit draget till Malmö, JTH113</t>
  </si>
  <si>
    <t>M-098</t>
  </si>
  <si>
    <t>MERCEDES B-CLASS -10.</t>
  </si>
  <si>
    <r>
      <rPr>
        <color rgb="FF000000"/>
      </rPr>
      <t>skickad till XBA372 27/6 FP</t>
    </r>
    <r>
      <rPr>
        <color rgb="FFFF0000"/>
      </rPr>
      <t>. Gasbil som ej gick att montera på /CS</t>
    </r>
  </si>
  <si>
    <t>Finns där, Daniel ringt 28/1 //TC</t>
  </si>
  <si>
    <t>Mercedes Benz E-klass Sedan 2009- m. packbox</t>
  </si>
  <si>
    <t>M-134</t>
  </si>
  <si>
    <t>Mercedes C-klass</t>
  </si>
  <si>
    <t>M-135</t>
  </si>
  <si>
    <t>2007&gt;2014</t>
  </si>
  <si>
    <t>Till bil DRA632</t>
  </si>
  <si>
    <t>Mercedes C-KLASS</t>
  </si>
  <si>
    <t>OPW879</t>
  </si>
  <si>
    <t>Kan inte hitta detta draget //TC 22/7</t>
  </si>
  <si>
    <t>Tagen till HAC204</t>
  </si>
  <si>
    <t>Spec witter</t>
  </si>
  <si>
    <t>Mercedes C-klass (S/W204) SDN/STW</t>
  </si>
  <si>
    <t>2007-</t>
  </si>
  <si>
    <t>Tagen till Cpd192</t>
  </si>
  <si>
    <t>Tagen till NSE374</t>
  </si>
  <si>
    <t>Tagen till MOD803</t>
  </si>
  <si>
    <t>23046/F</t>
  </si>
  <si>
    <t>Mercedes C-klass kombi</t>
  </si>
  <si>
    <t xml:space="preserve">Tagit hem extra </t>
  </si>
  <si>
    <t>Mercedes C-klass Kombi</t>
  </si>
  <si>
    <t>Skickad 10/4 till Bilhallen i Hagfors</t>
  </si>
  <si>
    <t>Skickad 13/6</t>
  </si>
  <si>
    <t xml:space="preserve">Mercedes C-klass kombi </t>
  </si>
  <si>
    <t>07.08 - 14.08</t>
  </si>
  <si>
    <t>Tillhörde order för LCE393, 21/9</t>
  </si>
  <si>
    <t>M-113</t>
  </si>
  <si>
    <t>Mercedes C-klass Kombi ,sedan</t>
  </si>
  <si>
    <t>MR42BQ</t>
  </si>
  <si>
    <t>MERCEDES C-klass Kombi 2007&gt;2014
MERCEDES C-klass Sedan 2007&gt;2014</t>
  </si>
  <si>
    <t>Tagen till FZZ632</t>
  </si>
  <si>
    <t>1776T30</t>
  </si>
  <si>
    <t>Mercedes C-klass kombi AMG-paket</t>
  </si>
  <si>
    <t>07&gt;15</t>
  </si>
  <si>
    <t>Mercedes C-klass kombi/sedan</t>
  </si>
  <si>
    <t>R Lunds motor har fått denna kroken. Vill egentligen skicka tillbaka den men sagt nej, sagt däremot att om vi får en förfrågan på denna kroken så kan den skickas från honom //TC 8/3 (obs, tror att det denna han har. Beställdes i november och skickades från oss. LDP147</t>
  </si>
  <si>
    <t>Mercedes C-klass S/W 205</t>
  </si>
  <si>
    <t>T63A</t>
  </si>
  <si>
    <t>Tagen till LSY588</t>
  </si>
  <si>
    <t>Krok som vi skickat fel till NCH059, tagen till BJD286 29/9 FP</t>
  </si>
  <si>
    <t>23046/VM</t>
  </si>
  <si>
    <t>Mercedes C-klass W204 / S204 AMG-paket</t>
  </si>
  <si>
    <t>S-Service</t>
  </si>
  <si>
    <t>Ta hem / FP</t>
  </si>
  <si>
    <t xml:space="preserve">Mercedes C-klass W204 S204 C204 </t>
  </si>
  <si>
    <t>Finns LS1 med i paketen</t>
  </si>
  <si>
    <t>Mercedes C-klass W205 / S205</t>
  </si>
  <si>
    <t>Mercedes CLA</t>
  </si>
  <si>
    <t>Tillhörde NOK477</t>
  </si>
  <si>
    <t>Detta draget tror jag inte finns hos dem //TC</t>
  </si>
  <si>
    <t>M-106 (acs 6004)</t>
  </si>
  <si>
    <t>MERCEDES CLA Coupe 2013&gt;</t>
  </si>
  <si>
    <t>Tagen till KXS531</t>
  </si>
  <si>
    <t>M-106</t>
  </si>
  <si>
    <t>MERCEDES CLA Sedan 2013&gt;</t>
  </si>
  <si>
    <t>Verkstan i Sundsvall</t>
  </si>
  <si>
    <t>Tillhörde Mcy604 som det sket sig med tider</t>
  </si>
  <si>
    <t>Mercedes CLA, Mercedes GLA</t>
  </si>
  <si>
    <t>Stulen från Taberg... tagen till NV70305</t>
  </si>
  <si>
    <t>M-110</t>
  </si>
  <si>
    <t>Mercedes E Cupe -92 W124</t>
  </si>
  <si>
    <t>Tagen till NWT758</t>
  </si>
  <si>
    <t>Horisontel</t>
  </si>
  <si>
    <t>Mercedes E-Class kombi</t>
  </si>
  <si>
    <t>Kontakthållare saknas. FP 8/4-19. Tagen till MJJ056. 4/6-20</t>
  </si>
  <si>
    <t>M-126</t>
  </si>
  <si>
    <t>Mercedes E-Klasa (4D, W211)</t>
  </si>
  <si>
    <t>03/2002 - 02/2009</t>
  </si>
  <si>
    <t>Saknas höger sidojärn, mailat och påminnt Steinhof om denna så sent som 3/8 //TC
Mailat Patrycja om hon vet om sidojärnet skickats eller inte //TC 27/1</t>
  </si>
  <si>
    <t>Mercedes E-KLASS (W211)</t>
  </si>
  <si>
    <t>2002&gt;2009</t>
  </si>
  <si>
    <t>WRN321</t>
  </si>
  <si>
    <t>Mercedes E-KLASS (W212)</t>
  </si>
  <si>
    <t>TC kontor</t>
  </si>
  <si>
    <t>Tagen till NF47915</t>
  </si>
  <si>
    <t>13-polig</t>
  </si>
  <si>
    <t>Mercedes E-klass C-klass GLK CLS 2009&gt;</t>
  </si>
  <si>
    <t>Hak-pol</t>
  </si>
  <si>
    <t>M/041</t>
  </si>
  <si>
    <t>Mercedes E-klass kombi</t>
  </si>
  <si>
    <t>2003&gt;2010</t>
  </si>
  <si>
    <t>M-120</t>
  </si>
  <si>
    <t>Mercedes E-klass Kombi 2003&gt;2009</t>
  </si>
  <si>
    <t>2003&gt;2009</t>
  </si>
  <si>
    <t>Saknar hus till kula ACS-6004, Hus ditlagt från nr 894.
Draget nu taget till BEK888 4/9 FP</t>
  </si>
  <si>
    <t>Lånat ACS Huset till PSR230</t>
  </si>
  <si>
    <t>M-115</t>
  </si>
  <si>
    <t>Mercedes E-klass kombi S-212</t>
  </si>
  <si>
    <t>Mercedes E-klass kombi S212</t>
  </si>
  <si>
    <t>Per Carlsson LBE873</t>
  </si>
  <si>
    <t>2009&gt;2017</t>
  </si>
  <si>
    <t>Retur från idioten med fläkten. yce820. skickad nu till EOR284</t>
  </si>
  <si>
    <t>MR46Q</t>
  </si>
  <si>
    <t>Mercedes E-klass sedan 4d</t>
  </si>
  <si>
    <t>Jönköping Bilverkstadcenter</t>
  </si>
  <si>
    <t>Tillhört Mbm076 Guiseppe Damianich som inte dök upp. Ta hem!</t>
  </si>
  <si>
    <t>M-117</t>
  </si>
  <si>
    <t>Mercedes E-klass Sedan W212</t>
  </si>
  <si>
    <r>
      <rPr/>
      <t xml:space="preserve">YFU224. </t>
    </r>
    <r>
      <rPr>
        <color rgb="FFFF0000"/>
      </rPr>
      <t>Tillhörde ordern för SCY425 som vi inte fick till monteringen av. Saknar Bultar och muttrar</t>
    </r>
  </si>
  <si>
    <t>M-127</t>
  </si>
  <si>
    <t xml:space="preserve">Mercedes E-klass W211 4d </t>
  </si>
  <si>
    <t>D 43</t>
  </si>
  <si>
    <t>Mercedes E-klass W212, passar bara sedan</t>
  </si>
  <si>
    <t>Försvunnen eller skickad? Kunde inte hitta den när vi letade 31/3 -17 //TC</t>
  </si>
  <si>
    <t>Värmare</t>
  </si>
  <si>
    <t>470066</t>
  </si>
  <si>
    <t>Komfortsats DEFA</t>
  </si>
  <si>
    <t>Mercedes ML</t>
  </si>
  <si>
    <t>M-111</t>
  </si>
  <si>
    <t>Mercedes W202</t>
  </si>
  <si>
    <t>93&gt;00</t>
  </si>
  <si>
    <t>Letat efter den. Tror den är borta. 27/11 FP, TC</t>
  </si>
  <si>
    <t>D 29</t>
  </si>
  <si>
    <t>Mercedes W203 Sedan / Kombi</t>
  </si>
  <si>
    <t>Mercedes W204, S204, C207, W212, S212, GLK</t>
  </si>
  <si>
    <t>Tagen till lxg968</t>
  </si>
  <si>
    <t>AC 232613</t>
  </si>
  <si>
    <t>M-140</t>
  </si>
  <si>
    <t>Mercedes W205</t>
  </si>
  <si>
    <t>Dragkrok till en sedan. Passade inte bilen. Tkj710</t>
  </si>
  <si>
    <t xml:space="preserve">Mercedes W205, S205, C-klass </t>
  </si>
  <si>
    <t>Bosal Oris (OE)</t>
  </si>
  <si>
    <t>(original MB)</t>
  </si>
  <si>
    <t>L-104</t>
  </si>
  <si>
    <t>Land Rover Discovery Sport 2015&gt;
Utan reservhjul eller balja för detta.</t>
  </si>
  <si>
    <t>Antingen tillbaka till Patrycja, Morgan får stå för frakterna. Eller ska han behålla den, men vi har den i lagerlistan? // Mått från Morgan, L 137 B 50 H 32 cm, 30,1 kg Tagen till ETS130 // Passade inte ETS130. Borde finnas kvar i Järfälla //TC 21/10</t>
  </si>
  <si>
    <t>11001/F</t>
  </si>
  <si>
    <t>Mini Cooper 2006&gt;2014</t>
  </si>
  <si>
    <t>2006&gt;2014</t>
  </si>
  <si>
    <t>Tagen till HKC219</t>
  </si>
  <si>
    <t>Mini Cooper Clubman R55 / R56</t>
  </si>
  <si>
    <t>Mini Countryman</t>
  </si>
  <si>
    <t>&gt;16</t>
  </si>
  <si>
    <t>Mini countryman</t>
  </si>
  <si>
    <t>MINI COUNTRYMAN (R60)</t>
  </si>
  <si>
    <t>2010&gt;2016</t>
  </si>
  <si>
    <t>Mini Countryman 2016&gt;, BMW 2-serie</t>
  </si>
  <si>
    <t>"Fidelity System AB
// Mika Hanski"</t>
  </si>
  <si>
    <t>11003/C</t>
  </si>
  <si>
    <t>Mini Countryman ej S/SD</t>
  </si>
  <si>
    <t>Tillhörde order för NOC370. Passade inte då bilen var en S // 
Oklart om detta draget finns hos dem, tömde det som fanns 181121 //TC</t>
  </si>
  <si>
    <t>Finns nog inte.</t>
  </si>
  <si>
    <t>Mini Countryman m fl.</t>
  </si>
  <si>
    <t>Tagen till LSO084</t>
  </si>
  <si>
    <t>Mini Countryman R60</t>
  </si>
  <si>
    <t>Umbra Rimorchi</t>
  </si>
  <si>
    <t>11001/C</t>
  </si>
  <si>
    <t xml:space="preserve">Mini One / Cooper </t>
  </si>
  <si>
    <t>2006/11 &gt;</t>
  </si>
  <si>
    <t>Tagen till DTN880</t>
  </si>
  <si>
    <t>M-302</t>
  </si>
  <si>
    <t>MItsubishi ASX</t>
  </si>
  <si>
    <t>Monoflex 37.2242</t>
  </si>
  <si>
    <t xml:space="preserve">Mitsubishi ASX </t>
  </si>
  <si>
    <t>MITSUBISHI ASX 2010&gt;</t>
  </si>
  <si>
    <t>OBS! Måste tvättas av innan skicka   Till bil HWK186</t>
  </si>
  <si>
    <t>Mitsubishi ASX 2010&gt;</t>
  </si>
  <si>
    <t>Tagen till ALM445</t>
  </si>
  <si>
    <t>Mitsubishi OUTLANDER</t>
  </si>
  <si>
    <t>M-357</t>
  </si>
  <si>
    <t>411701</t>
  </si>
  <si>
    <t>Massa bilar t ex Volvo, MB, Opel, Renault,
Jeep, Saab m fl.</t>
  </si>
  <si>
    <t>Y/029</t>
  </si>
  <si>
    <t>MITSUBISHI Outlander 2012&gt;
passar ej PHEV hybrid</t>
  </si>
  <si>
    <t>JCO568</t>
  </si>
  <si>
    <t>Mitsubishi OUTLANDER III</t>
  </si>
  <si>
    <t>Savo  /Dainius Stasiunas</t>
  </si>
  <si>
    <t>V 71</t>
  </si>
  <si>
    <t>NISSAN Juke 2010&gt;</t>
  </si>
  <si>
    <t>Dubbelskickad krok till Grs550. Försökte stoppa men gick ej.</t>
  </si>
  <si>
    <t>N-057</t>
  </si>
  <si>
    <t xml:space="preserve">Nissan Micra 3/5d </t>
  </si>
  <si>
    <t>2003-2010</t>
  </si>
  <si>
    <t>N-065</t>
  </si>
  <si>
    <t>Nissan Note</t>
  </si>
  <si>
    <t>343088</t>
  </si>
  <si>
    <t xml:space="preserve">Mazda CX-3 (DK), </t>
  </si>
  <si>
    <t>Tagen till YGM264, 8/1 -FP</t>
  </si>
  <si>
    <t>Nissan Primera</t>
  </si>
  <si>
    <t>2002&gt;</t>
  </si>
  <si>
    <t>26029/F</t>
  </si>
  <si>
    <t>Nissan Qashqai</t>
  </si>
  <si>
    <t>Tagen till Bilstudion 13/12-17</t>
  </si>
  <si>
    <t>N-097</t>
  </si>
  <si>
    <t>NISSAN Qashqai</t>
  </si>
  <si>
    <t>Culo Eksjö</t>
  </si>
  <si>
    <t>Tillhörde Ytu912 som bokat av</t>
  </si>
  <si>
    <t>Imiola / Hakpol</t>
  </si>
  <si>
    <t>N/032</t>
  </si>
  <si>
    <t>Till bil CXK318</t>
  </si>
  <si>
    <t>NOE973</t>
  </si>
  <si>
    <t>2006&gt;2018</t>
  </si>
  <si>
    <t>LOH225</t>
  </si>
  <si>
    <t>DT144AS</t>
  </si>
  <si>
    <t>Speedy Västerås</t>
  </si>
  <si>
    <t>OBS! DERAS DRAG, INTE VÅRAT. Lagt in den här ifall det kommer någon kund som vill ha. Kreditera Västerås för detta draget i så fall. Tillhörde COC569 //TC</t>
  </si>
  <si>
    <t>N-094</t>
  </si>
  <si>
    <t xml:space="preserve">Nissan Qashqai </t>
  </si>
  <si>
    <t>07&gt;13</t>
  </si>
  <si>
    <t>WDT144S</t>
  </si>
  <si>
    <t>Nissan Qashqai (J10&amp;J11) 2007-</t>
  </si>
  <si>
    <t>Till  Fredrik Nylund</t>
  </si>
  <si>
    <t>NISSAN Qashqai 2007&gt;2013</t>
  </si>
  <si>
    <t>2007&gt;2013</t>
  </si>
  <si>
    <t>RDF413</t>
  </si>
  <si>
    <t>N-096</t>
  </si>
  <si>
    <t>NISSAN Qashqai 2013&gt;</t>
  </si>
  <si>
    <t>Till bil LSO257</t>
  </si>
  <si>
    <t>26029/VM</t>
  </si>
  <si>
    <t>Tagen till cna800</t>
  </si>
  <si>
    <t>Tagen till LMJ304</t>
  </si>
  <si>
    <t>Ta hem denna. Jag har tydligen sagt vid beställning att den passar AdBlue... //TC // Skickad till Järfälla tydligen enligt Supreme //TC 29/7</t>
  </si>
  <si>
    <t>Reservkrok som vi beställde till PRB676. Tagen till AOJ684</t>
  </si>
  <si>
    <t>2013&gt;2018/11</t>
  </si>
  <si>
    <t>SKF546</t>
  </si>
  <si>
    <t>Mercedes C-klass sedan</t>
  </si>
  <si>
    <t>Balk separat. Bultar, kula mm i en kartong bredvid.</t>
  </si>
  <si>
    <t>V 80</t>
  </si>
  <si>
    <t>Nissan Qashqai 2018.11&gt;
passar ej facelift 2017&gt;2018.11</t>
  </si>
  <si>
    <t>2018.11&gt;</t>
  </si>
  <si>
    <t>Josefs Bilservice - hämta hem</t>
  </si>
  <si>
    <t>Till bil WHB71A</t>
  </si>
  <si>
    <t>MERCEDES C-klass Sedan 2014&gt;</t>
  </si>
  <si>
    <t>Kan sakna skruvar och bultar //TC 11/9</t>
  </si>
  <si>
    <t>M-139</t>
  </si>
  <si>
    <t>MERCEDES GLA 2014&gt;</t>
  </si>
  <si>
    <t>Kroken nu komplett. 8/10-20 FP</t>
  </si>
  <si>
    <t>NISSAN Qashqai II, 14-</t>
  </si>
  <si>
    <t>Tillhörde PHX469 som avbokat monteringen. Nu skickad till dtc267</t>
  </si>
  <si>
    <t>BM31Q</t>
  </si>
  <si>
    <t>MINI Clubman 2007&gt;2015</t>
  </si>
  <si>
    <t>2007-2015</t>
  </si>
  <si>
    <t>40660C</t>
  </si>
  <si>
    <t>Opel Astra (J) Sportstourer</t>
  </si>
  <si>
    <t>2010-</t>
  </si>
  <si>
    <t>FED244</t>
  </si>
  <si>
    <t>Opel Astra 10&gt;  Chevorelt Cruze 2009+</t>
  </si>
  <si>
    <t>Lagt frakt hit på en krok som Monir haft ståendes jättelänge. Han tror att detta är artikelnumret. //TC 14/12
Här i kommer även överbliven del efter motorvärmarmontering på GZM397 /// Tagen till MPR827</t>
  </si>
  <si>
    <t>13polig</t>
  </si>
  <si>
    <t xml:space="preserve">Opel Astra 5d / kombi m fl. </t>
  </si>
  <si>
    <t>11004/VM</t>
  </si>
  <si>
    <t>Mini Cooper / Mini One</t>
  </si>
  <si>
    <t>Plocka upp hos kund, felskick. Han har företagsadress att ge oss. /FW 27/4 // Kund med OHJ250 avbokade monteringen. Plocka hem igen //TC 27/5</t>
  </si>
  <si>
    <t>Mailat Jonas om detta 4/11 men är ganska säker att den inte ligger hos dom 9/11</t>
  </si>
  <si>
    <t>O/040</t>
  </si>
  <si>
    <t>OPEL Astra J Kombi 2010&gt;2016</t>
  </si>
  <si>
    <t>Tillhörde order NUT268 som avbokat. //TC</t>
  </si>
  <si>
    <t>O-101</t>
  </si>
  <si>
    <t>Opel Astra K kombi</t>
  </si>
  <si>
    <t>Tillhörde ordern till Constructio Huskomponenter AB // Bultar 
och drag måste kontrolleras så att allt finns innan vi skickar, låg
löst i paketet. Tagit kula från detta draget //TC. Kroken tagen 
till YSE844. 18/3 FP</t>
  </si>
  <si>
    <t>Opel Astra K Kombi 2016&gt;</t>
  </si>
  <si>
    <t>Opel Astra Kombi</t>
  </si>
  <si>
    <t>Opel Astra kombi</t>
  </si>
  <si>
    <t>28065/C</t>
  </si>
  <si>
    <t xml:space="preserve">Avtagbar </t>
  </si>
  <si>
    <t>Opel astra Kombi K</t>
  </si>
  <si>
    <t>Till bil YJO060</t>
  </si>
  <si>
    <t>OPEL Corsa D 2006&gt;</t>
  </si>
  <si>
    <t>Till JGC015</t>
  </si>
  <si>
    <t>O-128</t>
  </si>
  <si>
    <t>Opel Corsa halvkombi</t>
  </si>
  <si>
    <t>FP Tagen till PPO381</t>
  </si>
  <si>
    <t>24021/C</t>
  </si>
  <si>
    <t>MITSUBISHI Outlander 2012&gt;</t>
  </si>
  <si>
    <t>ViaMotor Borlänge</t>
  </si>
  <si>
    <t>Felskickad krok till RCO797. Umbra ska skicka länk på att plocka upp detta draget. Är det gjort? //TC 27/5</t>
  </si>
  <si>
    <t>O-148</t>
  </si>
  <si>
    <t>Opel Insignia kombi</t>
  </si>
  <si>
    <t>O-149</t>
  </si>
  <si>
    <t>OPEL Insignia Kombi 4WD 2008&gt;2014</t>
  </si>
  <si>
    <t>Skickad till MAR185 28/1-19 FP</t>
  </si>
  <si>
    <t>G108Q</t>
  </si>
  <si>
    <t>OPEL Insignia Sedan 2008&gt;
OPEL Insignia Kombi 2008&gt;2017</t>
  </si>
  <si>
    <t>Tillhörde OBP179 som returnerade draget. // Tagen till LBL260</t>
  </si>
  <si>
    <t>28058/VM</t>
  </si>
  <si>
    <t>2008&gt;2017</t>
  </si>
  <si>
    <t>Xly842</t>
  </si>
  <si>
    <t>AC 274007</t>
  </si>
  <si>
    <t>Opel Insignia, Saab 9-5, Astra, Zafira, Meriva, Chevrolet Orlando, Aveo, Cruze</t>
  </si>
  <si>
    <t>Skickat till Mikael Andersson 7/6 med Pacsoft</t>
  </si>
  <si>
    <t>O-165</t>
  </si>
  <si>
    <t>OPEL Mokka 2012&gt;
CHEVROLET Trax 2013&gt;</t>
  </si>
  <si>
    <t>Tillhörde JFF348 // Rogers kund vill ha det igen, så kört bort. //TC 19/3</t>
  </si>
  <si>
    <t>spec witter</t>
  </si>
  <si>
    <t>40303A</t>
  </si>
  <si>
    <t>Fixed flange</t>
  </si>
  <si>
    <t>Opel Vivaro B/Ren.Trafic 2014-</t>
  </si>
  <si>
    <t>Tagen till ALX112</t>
  </si>
  <si>
    <t>NER287</t>
  </si>
  <si>
    <t>BOSAL</t>
  </si>
  <si>
    <t>Peugeot 2008 2013&gt;</t>
  </si>
  <si>
    <t>Tagen till YKN268</t>
  </si>
  <si>
    <t>NISSAN Note 2006&gt;2013</t>
  </si>
  <si>
    <t>P-020</t>
  </si>
  <si>
    <t>Peugeot 208</t>
  </si>
  <si>
    <t>Verkar ha varit en extra krok till DST991</t>
  </si>
  <si>
    <t>Mailat Ilker om detta 22/11 //HL</t>
  </si>
  <si>
    <t>Ringt Ilker om detta och dom har inget liggade hos dom 26/11 //HL</t>
  </si>
  <si>
    <t>DT144Q</t>
  </si>
  <si>
    <t>Tillhörde Xyw980 som bokade av. Vi skickade fel krok först, en Tagen till NXX805</t>
  </si>
  <si>
    <t>Aragon</t>
  </si>
  <si>
    <t>E6700DV</t>
  </si>
  <si>
    <t>AUDI A3, Audi A3 Cabrio 2003&gt;2017
VW Golf V , VI , VII, VIII 2003-2021
VW Golf Plus 2003-
Skoda Yeti 2009-
Seat Leon , Seat Leon ST 2013-
Skoda Octavia IV 2020-</t>
  </si>
  <si>
    <t>2003&gt;</t>
  </si>
  <si>
    <t>Rapid</t>
  </si>
  <si>
    <t>Felbeställd till ZCH581. FInns hos Rapid. Skicka till Borås</t>
  </si>
  <si>
    <t>Skickad till Helsingborg 13/9</t>
  </si>
  <si>
    <t>P-062</t>
  </si>
  <si>
    <t>Peugeot 3008</t>
  </si>
  <si>
    <t xml:space="preserve">YNJ012 Finns ej hos Peter </t>
  </si>
  <si>
    <t xml:space="preserve">Peugeot 3008 </t>
  </si>
  <si>
    <t>16&gt;</t>
  </si>
  <si>
    <t>pzr874</t>
  </si>
  <si>
    <t>P-054</t>
  </si>
  <si>
    <t>V80</t>
  </si>
  <si>
    <t>Från Eskilstuna. Tagen till ULN77S</t>
  </si>
  <si>
    <t>P-063</t>
  </si>
  <si>
    <t>Peugeot 3008 2017&gt;</t>
  </si>
  <si>
    <t>Tillhörde LUJ81B, passade inte hybrid-modellen // Tagen till CHJ43H som ska monteras i Kållered</t>
  </si>
  <si>
    <t>Peugeot 3008 II</t>
  </si>
  <si>
    <t>YXE852</t>
  </si>
  <si>
    <t>P-034</t>
  </si>
  <si>
    <t>Peugeot 307 kombi</t>
  </si>
  <si>
    <t>2002&gt;2008</t>
  </si>
  <si>
    <t xml:space="preserve">Peugeot 307 kombi </t>
  </si>
  <si>
    <t>Tagen till MKE723</t>
  </si>
  <si>
    <t>Kula</t>
  </si>
  <si>
    <t>Peugeot 308 5d och många flera</t>
  </si>
  <si>
    <t>29043/F</t>
  </si>
  <si>
    <t>Peugeot 308 halvkombi</t>
  </si>
  <si>
    <t>≈2010</t>
  </si>
  <si>
    <t>Krok försenad till Ilker så han var tvungen att ta en från annat håll. Tillhörde ordern för KDY005</t>
  </si>
  <si>
    <t>P/021</t>
  </si>
  <si>
    <t>PEUGEOT 308 Halvkombi 2007&gt;2014
PEUGEOT 307 Halvkombi 2001-2007</t>
  </si>
  <si>
    <t>Helsingborg - ta hem</t>
  </si>
  <si>
    <t>Krok som var felbeställd. /FW 14/5
Blev skickad till BNX902</t>
  </si>
  <si>
    <t xml:space="preserve">C53AS  </t>
  </si>
  <si>
    <t>PEUGEOT 308 Halvkombi 2013&gt;</t>
  </si>
  <si>
    <t>Tagen till asd770</t>
  </si>
  <si>
    <t>29044/F</t>
  </si>
  <si>
    <t>Peugeot 308 kombi</t>
  </si>
  <si>
    <t>Tanto Untungs krok som hamnade på avvvägar. Reg nr EYP935</t>
  </si>
  <si>
    <t>Saknar en distansbricka!!</t>
  </si>
  <si>
    <t>P-056</t>
  </si>
  <si>
    <t>Peugeot 308 Kombi</t>
  </si>
  <si>
    <t>Från Äpplekullen // Tagen till Jeje Mobil</t>
  </si>
  <si>
    <t>PEUGEOT 308 Kombi -15</t>
  </si>
  <si>
    <t>Peugeot 308 kombi / 308 halvkombi / Citroen C4 picasso / citroen C4 grand picasso</t>
  </si>
  <si>
    <t>Montera helst denna</t>
  </si>
  <si>
    <t>Monterad på Helene Engerbys bil</t>
  </si>
  <si>
    <t>F 46A</t>
  </si>
  <si>
    <t>PEUGEOT 308 Kombi 2014&gt;</t>
  </si>
  <si>
    <t>Peugeot 308 SW</t>
  </si>
  <si>
    <t>Retur från CBY175 /CS</t>
  </si>
  <si>
    <t>Peugeot 407 sedan/kombi</t>
  </si>
  <si>
    <t>P-013</t>
  </si>
  <si>
    <t>Peugeot 5008 2017&gt;</t>
  </si>
  <si>
    <t>F 48A - kula</t>
  </si>
  <si>
    <t>Peugeot 5008 II</t>
  </si>
  <si>
    <t>Blev fel till YNT958. Balken verkar vara en fast (ev Steinhof). Ska tas hem tillsammans med en spec-elsats //TC</t>
  </si>
  <si>
    <t>042-441</t>
  </si>
  <si>
    <t>Peugeot 5008, Citroen C4 Picasso</t>
  </si>
  <si>
    <t>P-049</t>
  </si>
  <si>
    <t>Peugeot 508</t>
  </si>
  <si>
    <t>29047/VM</t>
  </si>
  <si>
    <t>Peugeot 508 Kombi</t>
  </si>
  <si>
    <t>Levererad 28/6</t>
  </si>
  <si>
    <t>P-048</t>
  </si>
  <si>
    <t>Peugeot 508 kombi</t>
  </si>
  <si>
    <t>MAL542</t>
  </si>
  <si>
    <t>051-373</t>
  </si>
  <si>
    <t>Peugeot 508 Kombi / Sedan</t>
  </si>
  <si>
    <t>Tagit draget till order för lup472 27/12</t>
  </si>
  <si>
    <t>F 40</t>
  </si>
  <si>
    <t>Peugeot 508 kombi 10&gt;</t>
  </si>
  <si>
    <t>F40A</t>
  </si>
  <si>
    <t>PEUGEOT 508 Kombi 2011&gt;</t>
  </si>
  <si>
    <t>LRS582</t>
  </si>
  <si>
    <t>Thule Brink</t>
  </si>
  <si>
    <t>PEUGEOT 508 Kombi ev GT-Line</t>
  </si>
  <si>
    <t>Retur XZT033 - Passade ej Gt-Line hävdade en kund i Ronneby.</t>
  </si>
  <si>
    <t>Peugeot 508 kombi GT, RX m fl.</t>
  </si>
  <si>
    <t>P-046</t>
  </si>
  <si>
    <t>Peugeot 508 sedan</t>
  </si>
  <si>
    <t>1 st</t>
  </si>
  <si>
    <t xml:space="preserve">Bosal </t>
  </si>
  <si>
    <t xml:space="preserve">Peugeot 508 Sedan/kombi </t>
  </si>
  <si>
    <t>Autohouse 21/2 -17</t>
  </si>
  <si>
    <t>PEUGEOT 508 SW Estate</t>
  </si>
  <si>
    <t>Peugeot 508, passar även GT-line</t>
  </si>
  <si>
    <t>Tel nr</t>
  </si>
  <si>
    <t>Email</t>
  </si>
  <si>
    <t>Till:</t>
  </si>
  <si>
    <t>748611, 721999</t>
  </si>
  <si>
    <t>YYH940</t>
  </si>
  <si>
    <t>Magnus Fredriksson, Auto Bilvård</t>
  </si>
  <si>
    <t>0733-141613</t>
  </si>
  <si>
    <t>mankan.f83@gmail.com</t>
  </si>
  <si>
    <t>Hit</t>
  </si>
  <si>
    <t>Inkommen 25/1 HL</t>
  </si>
  <si>
    <t>E0408CV</t>
  </si>
  <si>
    <t>LS-2</t>
  </si>
  <si>
    <t>YZN203</t>
  </si>
  <si>
    <t>Kjell Mannberg</t>
  </si>
  <si>
    <t>Audi A8 2018&gt;</t>
  </si>
  <si>
    <t>070-3641599</t>
  </si>
  <si>
    <t>kjell.mannberg@gmail.com</t>
  </si>
  <si>
    <t>Inkommen 10/1/CS</t>
  </si>
  <si>
    <t>T-parts / Tobias Olofsson</t>
  </si>
  <si>
    <t>0703-101373</t>
  </si>
  <si>
    <t>tobias@t-parts.se</t>
  </si>
  <si>
    <t>Se mail</t>
  </si>
  <si>
    <t>Inkommen 30/1/HL</t>
  </si>
  <si>
    <t>Tillhörde KBM31E som det sket sig med.</t>
  </si>
  <si>
    <t>BJO068</t>
  </si>
  <si>
    <t>Michael Marberg</t>
  </si>
  <si>
    <t>0723-222929</t>
  </si>
  <si>
    <t>micma02@hotmail.com</t>
  </si>
  <si>
    <t>Fel namn på paketen, kund kunde inte hämta ut och vill makulera sin order. Ska läggas in i lager när den kommer i retur./ CS 12/1</t>
  </si>
  <si>
    <t>Inkom 1/2 CS</t>
  </si>
  <si>
    <t>LS-1</t>
  </si>
  <si>
    <t>BOT182</t>
  </si>
  <si>
    <t>Henrik Carlgren</t>
  </si>
  <si>
    <t>070-3022092</t>
  </si>
  <si>
    <t>henrik.carlgren@live.se</t>
  </si>
  <si>
    <t>Mailat om mått 1/11</t>
  </si>
  <si>
    <t>Inkommen 18/1/CS</t>
  </si>
  <si>
    <t>Modul</t>
  </si>
  <si>
    <t>Yua253</t>
  </si>
  <si>
    <t>Skärgårdens Måleri Värmdö AB</t>
  </si>
  <si>
    <t>0709-223000</t>
  </si>
  <si>
    <t>djurhamnsmaleri@telia.com</t>
  </si>
  <si>
    <t>Kund ska skickas oss måtten på paketet eller skicka paketet till oss. //TC 5/2</t>
  </si>
  <si>
    <t>Erich Jaeger 736941</t>
  </si>
  <si>
    <t xml:space="preserve">Westfalia </t>
  </si>
  <si>
    <t>Peugeot Citroen 307, 308, 407, 3008, 5008, 807, Partner, C4 Picasso, C8, C5 m fl.</t>
  </si>
  <si>
    <t>Fast Westfalia dragkrok</t>
  </si>
  <si>
    <t>Gpp279</t>
  </si>
  <si>
    <t>Kund ångra sig inom 14 dagar får dock stå för frakt ut 486kr / 14/2 CS</t>
  </si>
  <si>
    <t xml:space="preserve">Menabo </t>
  </si>
  <si>
    <t>NHT357</t>
  </si>
  <si>
    <t>Allen Palm, vi har skickat fel takräke till kund efter pratat med honom, han retunerar hit och nya är på väg / 20/2 CS</t>
  </si>
  <si>
    <t>02031/F</t>
  </si>
  <si>
    <t>KSF513</t>
  </si>
  <si>
    <t>Ole Halse</t>
  </si>
  <si>
    <t>0709-489071</t>
  </si>
  <si>
    <t>ole.halse@live.se</t>
  </si>
  <si>
    <t>Kund hör av sig så snart han bytt dragen men kan dröja några veckor. / 21/2 CS</t>
  </si>
  <si>
    <t>Fredrik Bernström fått fel krok vet ej vad han fått, kund har fått rätt krok nu och vi inväntar retur av fel krok, då vet vi vad det är. / CS 22/2</t>
  </si>
  <si>
    <t>F/023</t>
  </si>
  <si>
    <t>Defa</t>
  </si>
  <si>
    <t>Relä</t>
  </si>
  <si>
    <t>JDB190</t>
  </si>
  <si>
    <t>Ricardo Olivares</t>
  </si>
  <si>
    <t>Peugeot Expert, Citroen Jumpy</t>
  </si>
  <si>
    <t>Rundan 46
14645 Tullinge</t>
  </si>
  <si>
    <t>0703-445523</t>
  </si>
  <si>
    <t>ricardo.figueroa79@gmail.com</t>
  </si>
  <si>
    <t>Hit, kund ombesörjer frakt. Lägg sedan detta i Defa WarmUp Kit, DEF 471280</t>
  </si>
  <si>
    <t>Mailat kund om han fått iväg det till oss //TC 18/4</t>
  </si>
  <si>
    <t>Kommit i retur 24/4 //TC</t>
  </si>
  <si>
    <t>SMP3</t>
  </si>
  <si>
    <t>DZC785</t>
  </si>
  <si>
    <t>Jonas Wallinder</t>
  </si>
  <si>
    <t>Golv mattor Premium</t>
  </si>
  <si>
    <t>Volvo V60 Kombi 2010&gt;</t>
  </si>
  <si>
    <t>NSO931 // Tagen till NXE131</t>
  </si>
  <si>
    <t>Per Forsberg</t>
  </si>
  <si>
    <t>Kund har beställt fel. Vi skickar kredit och lägger in i lager när kund retunerat det till oss 7/3 CS</t>
  </si>
  <si>
    <t>Peuugeot Partner / Citroen Berlingo</t>
  </si>
  <si>
    <t>Allen Palm, vi har åter skickat fel takräke till kund efter pratat med honom, han retunerar hit och nya är leverarade / 12/3 CS</t>
  </si>
  <si>
    <t>SMP-3</t>
  </si>
  <si>
    <t>LBJ974</t>
  </si>
  <si>
    <t>Tommy Persson</t>
  </si>
  <si>
    <t>Apelvägen 20
13835 Älta  LEVADRESS: Focus Neon
Tommy Persson
Instrumentvägen 11
12609 Hägersten</t>
  </si>
  <si>
    <t>070-8556901</t>
  </si>
  <si>
    <t>tommy–@hotmail.com</t>
  </si>
  <si>
    <t>Beställt en 7-spec istället. Fakturera 500 kr om den inte kommer tillbaka //TC</t>
  </si>
  <si>
    <t>HITTAR EJ</t>
  </si>
  <si>
    <t>APO762</t>
  </si>
  <si>
    <t>Mona Hoff</t>
  </si>
  <si>
    <t>Order  242228 / kund har fått fel matta, ny är på väg och denna returneras och ska krediteras.</t>
  </si>
  <si>
    <t>V-292</t>
  </si>
  <si>
    <t>RBM963</t>
  </si>
  <si>
    <t xml:space="preserve">Obai Abbas </t>
  </si>
  <si>
    <t>Kund ångra sig och vill ha avtagbar istället 3/4 CS</t>
  </si>
  <si>
    <t>OJP663</t>
  </si>
  <si>
    <t>Mattan passa inte, CS beställt fel då hon missuppfatta Motors, kund returnerar till kontoret 19/4 CS</t>
  </si>
  <si>
    <t>Beställt två till YPA090 av någon anledning. // Tagen till BRE293</t>
  </si>
  <si>
    <t>LNH684</t>
  </si>
  <si>
    <t>Ante Larsson</t>
  </si>
  <si>
    <t>Range Rover Evoque</t>
  </si>
  <si>
    <t>Beställt spec-elsats. Ska skicka tillbaka smp-3</t>
  </si>
  <si>
    <t>Kommit 16/5 CS</t>
  </si>
  <si>
    <t>Liten amerkansk kula</t>
  </si>
  <si>
    <t>Henry Erixon</t>
  </si>
  <si>
    <t>Fått den lilla när det är stora som han ska ha. Skickat ny kula till honom. ger oss sedan måtten på paketet för retur. //TC 1/6</t>
  </si>
  <si>
    <t>WCA824</t>
  </si>
  <si>
    <t>Arkenklo</t>
  </si>
  <si>
    <t>Elsats ej skickad till kund. Dem har skickat en adapter istället. Bett om kredit. //TC 1/6</t>
  </si>
  <si>
    <t>Sheramn</t>
  </si>
  <si>
    <t>Skickat till Danis Bilshop 27/11-17 FP</t>
  </si>
  <si>
    <t>XL 000094700000</t>
  </si>
  <si>
    <t>NEX336</t>
  </si>
  <si>
    <t>Olaf Möllenhoff</t>
  </si>
  <si>
    <t>Passa ej bett om upphämtning 2/7 CS</t>
  </si>
  <si>
    <t>Range Rover Sport -07</t>
  </si>
  <si>
    <t>Kommit 5/7 CS</t>
  </si>
  <si>
    <t>PUP430</t>
  </si>
  <si>
    <t>Bashkim Zeka</t>
  </si>
  <si>
    <t>Missförstånd med kund, skickat tillbaka / CS</t>
  </si>
  <si>
    <t>CBY175</t>
  </si>
  <si>
    <t>Mikael Ahl</t>
  </si>
  <si>
    <t>Fel matta pga kund uppget fel sort. Ny matta skickad och faktura löst, ska bara in i lager när den kommer./ CS</t>
  </si>
  <si>
    <t>UGR758</t>
  </si>
  <si>
    <t>VW Polo - 04</t>
  </si>
  <si>
    <t>Bil &amp; Motorservice i Västerort</t>
  </si>
  <si>
    <t>Original / Thule</t>
  </si>
  <si>
    <t>Kund vill inte ha krogen då den blev leverarad försent.</t>
  </si>
  <si>
    <t>Range Rover Sport / Land Rover Discovery</t>
  </si>
  <si>
    <t>W/031</t>
  </si>
  <si>
    <t>Volkswagen Touareg 2002&gt;2014</t>
  </si>
  <si>
    <t>Leif Grefalk</t>
  </si>
  <si>
    <t>Kund ångra sig och vill avbeställa, bett kund att inte ta emot paketet alls. 16/4 CS</t>
  </si>
  <si>
    <t>Behöver sätta i en skruv.</t>
  </si>
  <si>
    <t>314407600001</t>
  </si>
  <si>
    <t xml:space="preserve">Opel Astra J Kombi </t>
  </si>
  <si>
    <t>R-017</t>
  </si>
  <si>
    <t>Renault Captur</t>
  </si>
  <si>
    <t>R-016</t>
  </si>
  <si>
    <t xml:space="preserve">Renault Captur </t>
  </si>
  <si>
    <t>R-022</t>
  </si>
  <si>
    <t>Renault Clio 3d och 5d</t>
  </si>
  <si>
    <t>Renault Clio III</t>
  </si>
  <si>
    <t>2006&gt;20012</t>
  </si>
  <si>
    <t>Felbeställt till kund</t>
  </si>
  <si>
    <t>R-029</t>
  </si>
  <si>
    <t>Renault Clio kombi</t>
  </si>
  <si>
    <t>Felskickad dragkrok, tillhörde GJO227. Nu skickad UNR631</t>
  </si>
  <si>
    <t>RENAULT Clio Kombi 2013&gt;</t>
  </si>
  <si>
    <t>BWK065</t>
  </si>
  <si>
    <t>RN114S</t>
  </si>
  <si>
    <t>Renault KADJAR</t>
  </si>
  <si>
    <t>PRJ329 // Tagen till NFB075</t>
  </si>
  <si>
    <t>R-068</t>
  </si>
  <si>
    <t>Renault Kadjar</t>
  </si>
  <si>
    <t xml:space="preserve">Renault Kadjar </t>
  </si>
  <si>
    <t>E 65V</t>
  </si>
  <si>
    <t>Opel Insignia (grand Sport) kombi</t>
  </si>
  <si>
    <t>Saknar kula, tagen till OTY022, kula beställd 27/1 från Steinhof // Kula tillsammans med draget nu //TC</t>
  </si>
  <si>
    <t>31095/SF</t>
  </si>
  <si>
    <t>RENAULT Master Skåp/Buss 2010&gt;</t>
  </si>
  <si>
    <t>Bilhuset i Taberg AB</t>
  </si>
  <si>
    <t>Tillhörde BJN170. Umbra skickat annat drag.....</t>
  </si>
  <si>
    <t>Kan vara så att Umbra plockat upp detta drag?</t>
  </si>
  <si>
    <t>29049/VM</t>
  </si>
  <si>
    <t>PEUGEOT 2008 2013&gt;</t>
  </si>
  <si>
    <t>Tagen till YTG771</t>
  </si>
  <si>
    <t>R-108</t>
  </si>
  <si>
    <t>Renault Megane halvkombi / scenic / Grand Scenic</t>
  </si>
  <si>
    <t>Till RAH540</t>
  </si>
  <si>
    <t>R-112</t>
  </si>
  <si>
    <t>RENAULT Megane Halvkombi 2008&gt;2015</t>
  </si>
  <si>
    <r>
      <rPr/>
      <t xml:space="preserve">Tillhörde LBW827, fel krok som skickades. </t>
    </r>
    <r>
      <rPr>
        <color rgb="FFFF0000"/>
      </rPr>
      <t>Saknas Bultar och muttrar</t>
    </r>
  </si>
  <si>
    <t>MZX427</t>
  </si>
  <si>
    <t>PEUGEOT 208 Halvkombi 2012&gt;</t>
  </si>
  <si>
    <t>Kula ACS 3000/6000 saknas - beställ denna</t>
  </si>
  <si>
    <t xml:space="preserve">Renault MEGANE IV (B9A/M_), </t>
  </si>
  <si>
    <t xml:space="preserve">2015.11 - </t>
  </si>
  <si>
    <t xml:space="preserve"> till RHL747 // Passade inte bilen. Ta hem! // Tagen till AFD880</t>
  </si>
  <si>
    <t>R-103</t>
  </si>
  <si>
    <t>Renault Megane Kombi</t>
  </si>
  <si>
    <t>Felskick som tillhörde NWL366. Skickad direkt fr Supreme till kund Christer Ström 27/7. FP</t>
  </si>
  <si>
    <t xml:space="preserve">Renault Megane kombi </t>
  </si>
  <si>
    <t xml:space="preserve">Renault MÉGANE kombi </t>
  </si>
  <si>
    <t>Ligger i Älta tillhörde YJU453, Avbokad pga att vi omboka och kund bekräftade aldrig. 8/5 CS</t>
  </si>
  <si>
    <t>Culo</t>
  </si>
  <si>
    <t>Något att ta hem eller be Ulf att kasta det?</t>
  </si>
  <si>
    <t>Culo kan göra vad han vill med denna</t>
  </si>
  <si>
    <t>S-014</t>
  </si>
  <si>
    <t>Saab 9-3 (YS3F), 4D / Cabrio</t>
  </si>
  <si>
    <t>2002&gt;2012</t>
  </si>
  <si>
    <t>Saab 9-3 kombi</t>
  </si>
  <si>
    <t>Jonas Fransson, HAD346</t>
  </si>
  <si>
    <t>29046/C</t>
  </si>
  <si>
    <t>PEUGEOT 3008 2009&gt;2017</t>
  </si>
  <si>
    <t>Hos kund Tobias Karlsson. Ta hem. Reg nr LPO961</t>
  </si>
  <si>
    <t>Mailat kunden 20/1 //HL</t>
  </si>
  <si>
    <t>SAAB 9-3 Kombi 2005&gt;</t>
  </si>
  <si>
    <t>Dubbelbeställd till DBD910</t>
  </si>
  <si>
    <t>Krok som blev fel till TTP549</t>
  </si>
  <si>
    <t>SB29CS</t>
  </si>
  <si>
    <t>Saab 9-3 SEDAN/ESTATE 2005-</t>
  </si>
  <si>
    <t>2002-</t>
  </si>
  <si>
    <t>Tagen till: XZL570</t>
  </si>
  <si>
    <t>049-173</t>
  </si>
  <si>
    <t>Saab 9-5 4d, nya modellen</t>
  </si>
  <si>
    <t>S-010</t>
  </si>
  <si>
    <t xml:space="preserve">Tagen till KXP643. </t>
  </si>
  <si>
    <t>SAAB 9-5 Kombi</t>
  </si>
  <si>
    <t>98&gt;10</t>
  </si>
  <si>
    <t>SC47</t>
  </si>
  <si>
    <t>Seat Altea XL</t>
  </si>
  <si>
    <t>Extra krok som vi beställde för montering av Atteviks. Första kroken kom fram. Denna blev över. //TC</t>
  </si>
  <si>
    <t>306216</t>
  </si>
  <si>
    <t>Peugeot Boxer, Fiat Ducato</t>
  </si>
  <si>
    <t>Gammal</t>
  </si>
  <si>
    <t>CFE363</t>
  </si>
  <si>
    <t>R-064</t>
  </si>
  <si>
    <t>Renault Master Flak Box Pickup, Opel Movano Flak Box Pickup</t>
  </si>
  <si>
    <t>H11</t>
  </si>
  <si>
    <t>Skoda Felicia Pickup</t>
  </si>
  <si>
    <t>1996&gt;</t>
  </si>
  <si>
    <t>Tagit kulan och kontakthållaren härifrån. Kulan till ett drag vi chansade på skulle passa Seat Ateca -17, Kund borrat lite och haft sig, men kula behövde han en längre. //TC</t>
  </si>
  <si>
    <t>Prof Svar</t>
  </si>
  <si>
    <t>TMB PS 022</t>
  </si>
  <si>
    <t>Skoda Octavia 2, Superb 2, Scout, 4x4</t>
  </si>
  <si>
    <t>2005&gt;, 2010&gt;</t>
  </si>
  <si>
    <t xml:space="preserve">SKODA Octavia Halvkombi </t>
  </si>
  <si>
    <t>Kund avbokat drag.</t>
  </si>
  <si>
    <t xml:space="preserve">Skoda Octavia Superb alla </t>
  </si>
  <si>
    <t>2004&gt;2015</t>
  </si>
  <si>
    <t>AC 360807</t>
  </si>
  <si>
    <t>Skoda Octavia, Superb</t>
  </si>
  <si>
    <t>2004 &gt;</t>
  </si>
  <si>
    <t>S-348</t>
  </si>
  <si>
    <t xml:space="preserve">Skoda Superb kombi </t>
  </si>
  <si>
    <t>Tagen till KYO383</t>
  </si>
  <si>
    <t>4 st</t>
  </si>
  <si>
    <t>Starc 13-polig uni</t>
  </si>
  <si>
    <t>För 13-pol</t>
  </si>
  <si>
    <t>strömmatnings-kit x4</t>
  </si>
  <si>
    <t>Hyundai</t>
  </si>
  <si>
    <t>Modell</t>
  </si>
  <si>
    <t>OBS</t>
  </si>
  <si>
    <t>Ev lösning</t>
  </si>
  <si>
    <t>S-370</t>
  </si>
  <si>
    <t>Subaru Forester</t>
  </si>
  <si>
    <t>Volvo</t>
  </si>
  <si>
    <t>V70</t>
  </si>
  <si>
    <t>alla</t>
  </si>
  <si>
    <t>Bromsljus sitter i bakluckan. Se till att luckan är stängd eller låset låst när man mäter fram signal för canbusanpassade elsatser.</t>
  </si>
  <si>
    <t>V60</t>
  </si>
  <si>
    <t>Audi</t>
  </si>
  <si>
    <t>Q5</t>
  </si>
  <si>
    <t>Alla</t>
  </si>
  <si>
    <t>Q3</t>
  </si>
  <si>
    <t>OET392</t>
  </si>
  <si>
    <t>Peugeot</t>
  </si>
  <si>
    <t>508 kombi</t>
  </si>
  <si>
    <t>GT-Line??? Man kan misstänka det på motorbeteckningen 2.2 HDI</t>
  </si>
  <si>
    <t>Bosal krok finns till denna. Avtagbar</t>
  </si>
  <si>
    <t>i30</t>
  </si>
  <si>
    <t>38-8194</t>
  </si>
  <si>
    <t>Backsensorer? Kör på avtagbar.</t>
  </si>
  <si>
    <t>Subaru FORESTER</t>
  </si>
  <si>
    <t>2008.01&gt;</t>
  </si>
  <si>
    <t>Suzuki</t>
  </si>
  <si>
    <t>Swift</t>
  </si>
  <si>
    <t>Mitusubishi</t>
  </si>
  <si>
    <t>Outlander</t>
  </si>
  <si>
    <t>Bagagelucke-problemet. Dessa bilarna har oftast tvådelad lucka bak. Den undre luckan fälls ner och lägger sig på kulan. Så denna bilen måste ha ett avtagbart drag.</t>
  </si>
  <si>
    <t>38-8290</t>
  </si>
  <si>
    <t>SU26AU</t>
  </si>
  <si>
    <t>Subaru Legacy Sedan</t>
  </si>
  <si>
    <t>SU41S</t>
  </si>
  <si>
    <t>Subaru Outback</t>
  </si>
  <si>
    <t>JV</t>
  </si>
  <si>
    <t>Subaru Outback, Forester, XV</t>
  </si>
  <si>
    <t>SU43S</t>
  </si>
  <si>
    <t>Subaru XV</t>
  </si>
  <si>
    <t>Tagen till Yyd711</t>
  </si>
  <si>
    <t>SUBARU XV 2018&gt;</t>
  </si>
  <si>
    <t>RZG75J</t>
  </si>
  <si>
    <t>S-397</t>
  </si>
  <si>
    <t>Subaru XV, gamla</t>
  </si>
  <si>
    <t>Till bil ptl790</t>
  </si>
  <si>
    <t>Renault Master, Opel Movano, Nissan NV400</t>
  </si>
  <si>
    <t>Retur från Taberg</t>
  </si>
  <si>
    <t>S-420</t>
  </si>
  <si>
    <r>
      <rPr>
        <color rgb="FFFF0000"/>
      </rPr>
      <t xml:space="preserve">SUZUKI Ignis 2016&gt; </t>
    </r>
    <r>
      <rPr>
        <b/>
        <color rgb="FFFF0000"/>
      </rPr>
      <t>2WD</t>
    </r>
  </si>
  <si>
    <t>Olas hylla</t>
  </si>
  <si>
    <t>Retur Steinhof</t>
  </si>
  <si>
    <t>036-584</t>
  </si>
  <si>
    <t>Suzuki Splash / Opel Agila</t>
  </si>
  <si>
    <t>S-389</t>
  </si>
  <si>
    <t>Suzuki SX4 -15</t>
  </si>
  <si>
    <t xml:space="preserve">SUZUKI SX4 S-Cross </t>
  </si>
  <si>
    <t>Tagen till kjy005</t>
  </si>
  <si>
    <t>31107/C</t>
  </si>
  <si>
    <t>Renault Megane Halvkombi 2016&gt;</t>
  </si>
  <si>
    <t>Passade inte på RHL747. Ta hem!</t>
  </si>
  <si>
    <t>Mailat om måtten 25/11 //HL</t>
  </si>
  <si>
    <t>Suzuki Vitara</t>
  </si>
  <si>
    <t>37027/C</t>
  </si>
  <si>
    <t>Suzuki Vitara, Suzuki SX4 S-cross</t>
  </si>
  <si>
    <t>Tillhörde FRB014 som det strulade till sig med. OBS! Bultpåse öppen, kolla igenom innan vi skickar! // taget till OHH14E</t>
  </si>
  <si>
    <t>TOYOTA Auris Hybrid Kombi 2013&gt;</t>
  </si>
  <si>
    <t>Östermalm</t>
  </si>
  <si>
    <t>T/037</t>
  </si>
  <si>
    <t>Toyota Avensis</t>
  </si>
  <si>
    <t>Tillhörde GRX367 som bokade av.</t>
  </si>
  <si>
    <t>Tagen till EBL192</t>
  </si>
  <si>
    <t>Toyota Avensis (T27) Kombi 09-</t>
  </si>
  <si>
    <t>Tagen till WAD908</t>
  </si>
  <si>
    <t>Kört bort denna till MEL401 //TC 4/4</t>
  </si>
  <si>
    <t>Toyota Avensis Kombi</t>
  </si>
  <si>
    <t>T-098</t>
  </si>
  <si>
    <t>Toyota Avensis kombi</t>
  </si>
  <si>
    <t xml:space="preserve">Toyota Avensis Kombi </t>
  </si>
  <si>
    <t>Saknas kula! Beställt 11/3. FP. Krok tagen till YWM531</t>
  </si>
  <si>
    <t>O 20</t>
  </si>
  <si>
    <t>98-03</t>
  </si>
  <si>
    <t>Tagit kulan från detta draget till KW Cars 10/7. Kula saknas med andra ord. //TC Verkar tagen till RPE440</t>
  </si>
  <si>
    <t>TY158AQ</t>
  </si>
  <si>
    <t>TOYOTA Avensis Kombi 2009&gt;</t>
  </si>
  <si>
    <t>Kru181</t>
  </si>
  <si>
    <t>T-099</t>
  </si>
  <si>
    <t>Tagen till RHF281</t>
  </si>
  <si>
    <t>Tagen till CTM702</t>
  </si>
  <si>
    <t>Toyota Avensis Sedan</t>
  </si>
  <si>
    <t>ABX070</t>
  </si>
  <si>
    <t>T-096</t>
  </si>
  <si>
    <t>Toyota Avensis sedan, Toyota Auris</t>
  </si>
  <si>
    <t>TY189Q</t>
  </si>
  <si>
    <t>Toyota C-HR  (2016-)</t>
  </si>
  <si>
    <t>Tagit till bil PFZ407</t>
  </si>
  <si>
    <t>T-126</t>
  </si>
  <si>
    <t>Toyota Corolla (3/5D) (E12</t>
  </si>
  <si>
    <t>Auto-hak</t>
  </si>
  <si>
    <t>O 06</t>
  </si>
  <si>
    <t>TOYOTA Corolla Halvkombi 3 dr 1997&gt;2001</t>
  </si>
  <si>
    <t>1997&gt;2001</t>
  </si>
  <si>
    <t>Tagen till HZZ306</t>
  </si>
  <si>
    <t>T-116</t>
  </si>
  <si>
    <t>TOYOTA Corolla Halvkombi 4/5dr</t>
  </si>
  <si>
    <t>T-124</t>
  </si>
  <si>
    <t>Toyota Corolla verso 04-09</t>
  </si>
  <si>
    <t>Nils Göran Foldéus, Järfälla 15/12</t>
  </si>
  <si>
    <t>S-kulor x5</t>
  </si>
  <si>
    <t>S-kula</t>
  </si>
  <si>
    <t xml:space="preserve">Toyota Landcruiser </t>
  </si>
  <si>
    <t>(Förmodligen samma som nr 515)</t>
  </si>
  <si>
    <t>342137600001</t>
  </si>
  <si>
    <t>Tillhör EOU476</t>
  </si>
  <si>
    <t>Mailat Monir om måtten 2/11 //HL</t>
  </si>
  <si>
    <t>T-194</t>
  </si>
  <si>
    <t>Toyota RAV-4 -15</t>
  </si>
  <si>
    <t>Tagen till RXR015</t>
  </si>
  <si>
    <t>T-189</t>
  </si>
  <si>
    <t>Toyota Rav-4, för bilar med reservhjul på bakluckan</t>
  </si>
  <si>
    <t>TOYOTA Urban Cruiser 4WD</t>
  </si>
  <si>
    <t xml:space="preserve"> 2009&gt;</t>
  </si>
  <si>
    <t>Jörgen Svedbom</t>
  </si>
  <si>
    <t>Order för GLX110 //TC 9/5</t>
  </si>
  <si>
    <t>T-210</t>
  </si>
  <si>
    <t>Toyota Verso</t>
  </si>
  <si>
    <t>IM Bilservice?</t>
  </si>
  <si>
    <t>Denna kroken är försvunnen med UPS, Mailat Patrycja om att kreditera oss för det. Lagt in den här ifall Issam råkar ta emot skiten. //TC</t>
  </si>
  <si>
    <t>Krok till Motornavet, monteras åt Bilselect. 9/2</t>
  </si>
  <si>
    <t>OBS, LIGGER EJ PÅ E1, MÄRKT OM! //TC</t>
  </si>
  <si>
    <t>TOYOTA Verso 2009&gt;</t>
  </si>
  <si>
    <t>Tagen till RJD804</t>
  </si>
  <si>
    <t>Volkswagen CC , Passat</t>
  </si>
  <si>
    <t>Tagen till ACX487</t>
  </si>
  <si>
    <t>V-058</t>
  </si>
  <si>
    <t xml:space="preserve">Volkswagen Golf Plus Halvkombi </t>
  </si>
  <si>
    <t>Tagen till LWS533</t>
  </si>
  <si>
    <t>VW81Q</t>
  </si>
  <si>
    <t>VOLKSWAGEN Golf VII Kombi 2013&gt;</t>
  </si>
  <si>
    <t>Tillhörde AFE62H som blev fel</t>
  </si>
  <si>
    <t>324047</t>
  </si>
  <si>
    <t>SAAB 9-3 Sedan 2002&gt;</t>
  </si>
  <si>
    <t>Saknar bultar och muttrar, beställa hem? Ta hem denna. Kund avbokat. WAN584</t>
  </si>
  <si>
    <t>Tagen till ONR381</t>
  </si>
  <si>
    <t>13-8017</t>
  </si>
  <si>
    <t xml:space="preserve">Volvo 850, S70, V70 </t>
  </si>
  <si>
    <t>1992&gt;</t>
  </si>
  <si>
    <t>V/007</t>
  </si>
  <si>
    <t>Volvo 850, V70, S70, C70</t>
  </si>
  <si>
    <t>1992&gt;2001</t>
  </si>
  <si>
    <t>Tillhörde order för GHD201 Ringt Dennis, han återkommer med mått mm 19/10 HL // Tagen till OCW968</t>
  </si>
  <si>
    <t>Dennis kommer förbi och lämnar den efter jobbet någon dag eller om vi möter upp honom. Ska höras i V.47 om något //TC</t>
  </si>
  <si>
    <t>L 22A</t>
  </si>
  <si>
    <t>Volvo C30</t>
  </si>
  <si>
    <t>Saknar kontakthållare samt skruv, fjäder, brickor och bult till denna</t>
  </si>
  <si>
    <t>Volvo C70</t>
  </si>
  <si>
    <t>Kommer från Halléns</t>
  </si>
  <si>
    <t>L 15</t>
  </si>
  <si>
    <t xml:space="preserve">Volvo S40, V40 </t>
  </si>
  <si>
    <t>2000-2004</t>
  </si>
  <si>
    <t>L 15A</t>
  </si>
  <si>
    <t>Micke Svullos drag</t>
  </si>
  <si>
    <t>Volvo S40/V50 2004-2014</t>
  </si>
  <si>
    <t>2004-</t>
  </si>
  <si>
    <t>Tagen till: JTR323</t>
  </si>
  <si>
    <t>LGH620</t>
  </si>
  <si>
    <t>OBS! Hittar ej //TC 27/7</t>
  </si>
  <si>
    <t>V-293</t>
  </si>
  <si>
    <t>Volvo S60</t>
  </si>
  <si>
    <t>Tagen till ODS271</t>
  </si>
  <si>
    <t>Volvo S60 / V60</t>
  </si>
  <si>
    <t>Tagen till Ramek FNO224</t>
  </si>
  <si>
    <t>L 26</t>
  </si>
  <si>
    <t>Saknar kula</t>
  </si>
  <si>
    <t>VOLVO S60 2000&gt;2010</t>
  </si>
  <si>
    <t>2000&gt;2010</t>
  </si>
  <si>
    <t>Tillhörde WXH910</t>
  </si>
  <si>
    <t>Volvo S60 V60</t>
  </si>
  <si>
    <t>Eksjö Motorcentrum 9/5</t>
  </si>
  <si>
    <t>WVL49S</t>
  </si>
  <si>
    <t>Volvo S60&amp;V60 11/2010-</t>
  </si>
  <si>
    <t>LAH340</t>
  </si>
  <si>
    <t>Imiola Hakpol</t>
  </si>
  <si>
    <t>V/011</t>
  </si>
  <si>
    <t>VOLVO S80 1998&gt;2006</t>
  </si>
  <si>
    <t>1998&gt;2006</t>
  </si>
  <si>
    <t>Till bil WNF736</t>
  </si>
  <si>
    <t>Tillhörde ordern för TFG750, kund får det inte att stämma. (förmodligen lite kass passform på draget och kunden känslig och petig)</t>
  </si>
  <si>
    <t>V-311</t>
  </si>
  <si>
    <t>Volvo S90 / V90</t>
  </si>
  <si>
    <t>Tagit till JV 28/2 //TC</t>
  </si>
  <si>
    <t>33025/F</t>
  </si>
  <si>
    <t>Seat Arona 2017&gt;</t>
  </si>
  <si>
    <t>2017-</t>
  </si>
  <si>
    <t>RRW85Z, montering blev ej utförd. // Tagit distanserna, fyra stycken + bultar för den fasta kuldelen till ett annat drag. //TC 16/10</t>
  </si>
  <si>
    <t>Volvo S90, V90</t>
  </si>
  <si>
    <t>Till bil UOE792</t>
  </si>
  <si>
    <t>317060</t>
  </si>
  <si>
    <t xml:space="preserve">Skoda Fabia kombi, sedan, praktik </t>
  </si>
  <si>
    <t>2000&gt;2008</t>
  </si>
  <si>
    <t>Hörnet</t>
  </si>
  <si>
    <t>Saknas bultar och muttrar. Saknas ev kula, ligger kanske i 
blandhyllan</t>
  </si>
  <si>
    <t>V-296</t>
  </si>
  <si>
    <t>Volvo V-70</t>
  </si>
  <si>
    <t>Tagen till: HWG478</t>
  </si>
  <si>
    <t>V-280</t>
  </si>
  <si>
    <t>Volvo V40</t>
  </si>
  <si>
    <t>44015/VM</t>
  </si>
  <si>
    <t>Till bil SMT804</t>
  </si>
  <si>
    <t>Tillhörde DP65705 som sket sig.</t>
  </si>
  <si>
    <t xml:space="preserve">Volvo V40 </t>
  </si>
  <si>
    <t>Till bil FZP016</t>
  </si>
  <si>
    <t>VOLVO V40 2012&gt;</t>
  </si>
  <si>
    <t>Annasbilar</t>
  </si>
  <si>
    <t>Felbeställd krok till MHC966. T skickad till THN588</t>
  </si>
  <si>
    <t>VL51AS</t>
  </si>
  <si>
    <t>GEC07B</t>
  </si>
  <si>
    <t>Volvo V50</t>
  </si>
  <si>
    <t>Torslanda Bilförsäljning 11/9</t>
  </si>
  <si>
    <t>V-282</t>
  </si>
  <si>
    <t>Volvo V50 / S40</t>
  </si>
  <si>
    <t>Tagen till ABE850</t>
  </si>
  <si>
    <t>V-283</t>
  </si>
  <si>
    <t>Skickad till Växjö 27/3</t>
  </si>
  <si>
    <t>VOLVO V50 2003&gt;</t>
  </si>
  <si>
    <t>Inlagd av</t>
  </si>
  <si>
    <t>Står ej nummer på draget. TRY057</t>
  </si>
  <si>
    <t>Datum Beställt/Monterat</t>
  </si>
  <si>
    <t>Reg nr</t>
  </si>
  <si>
    <t>Orsak Reklamation</t>
  </si>
  <si>
    <t>Montering var?</t>
  </si>
  <si>
    <t>Åtgärd</t>
  </si>
  <si>
    <t>Klar?</t>
  </si>
  <si>
    <t>Skickad till Umeå ERD242</t>
  </si>
  <si>
    <t>Helen Tainio</t>
  </si>
  <si>
    <t>KGU944</t>
  </si>
  <si>
    <t>B-072</t>
  </si>
  <si>
    <t>KIA Carens</t>
  </si>
  <si>
    <t>PDC fungerar ej</t>
  </si>
  <si>
    <t>Laga PDC</t>
  </si>
  <si>
    <t>Jönköping, Samer</t>
  </si>
  <si>
    <t>massa grejer</t>
  </si>
  <si>
    <t>Ingen ström alls till släpet helt plötsligt. Dem vill komma till Örebro och ta bort allt. Sagt till dem att kolla hängsäkringen, då borde allt komma igång. Pratat med Therese 3/6, 0733-647677</t>
  </si>
  <si>
    <t>Pratat med Willy 8/6. Han var ganska lugn men inte helt överrens om ingen kompensation. Förslagsvis ger vi 500 kr i kompensation för körningen, så lugnar dem ner sig. Han hade inte hittat hängsäkringen i helgen, bad honom att leta fram denna. Måste vara säkringen som är trasig.</t>
  </si>
  <si>
    <t>Pratat lugnt och sansat med Willy. Han betalar in orignalfakturan. Ta tillbaka inkassot. Skicka en bagagerumsmatta till honom som kompensation. Eventuellt är det glapp in i boxen, han tror att han löst det själv. Men återkommer det i framtiden så får han slå oss en signal. //TC 22/12</t>
  </si>
  <si>
    <t>Satt inkassot på hold till mitten av Januari. Preventia ska säga till kund att han måste betala in innan årsskiftet. //TC 22/12</t>
  </si>
  <si>
    <t>Tillhörde RHH039 som bokat av // Tagen till YLG070</t>
  </si>
  <si>
    <t xml:space="preserve">Stefan Dantanus </t>
  </si>
  <si>
    <t>Mailat om måtten 16/3</t>
  </si>
  <si>
    <t>AKA921</t>
  </si>
  <si>
    <t>OPEL Insignia</t>
  </si>
  <si>
    <t>Lång lista, se mail</t>
  </si>
  <si>
    <t>Femmans</t>
  </si>
  <si>
    <t>Se lista</t>
  </si>
  <si>
    <t>VL48Q</t>
  </si>
  <si>
    <t>Åtgärdslista skickad till kund och verkstad</t>
  </si>
  <si>
    <t>Fuad tagit hem plastdel</t>
  </si>
  <si>
    <t>Kund ska höra av sig när han har tid att komma till verkstaden</t>
  </si>
  <si>
    <t>3/6: Inbokad hos Femmans 17/6 kl 10. Mailat Fuad och lagt in i kalendern. Åtgärdslista finns på mailen.</t>
  </si>
  <si>
    <r>
      <rPr>
        <color rgb="FFFF0000"/>
      </rPr>
      <t xml:space="preserve">Volvo V50 </t>
    </r>
    <r>
      <rPr>
        <b/>
        <color rgb="FFFF0000"/>
      </rPr>
      <t>C70</t>
    </r>
    <r>
      <rPr>
        <color rgb="FFFF0000"/>
      </rPr>
      <t xml:space="preserve"> S40</t>
    </r>
  </si>
  <si>
    <t>Ingen verkstad som kommer ihåg hur dem gjorde med styrsignalerna till bakluckan tyvärr... Kollat med dem som monterat på liknande bil. //TC</t>
  </si>
  <si>
    <t>Christoffer Sörman</t>
  </si>
  <si>
    <t>Lrr270</t>
  </si>
  <si>
    <t>SKODA Superb</t>
  </si>
  <si>
    <t>Drag felmonterat, elsats fungerar ej</t>
  </si>
  <si>
    <t>M12</t>
  </si>
  <si>
    <t>se mail</t>
  </si>
  <si>
    <t>Dragkrok åtgärdad hos M12</t>
  </si>
  <si>
    <t>Varit hos Dannevall för koll av elsats. Inget fel på montaget av elsatsen. Lyckades inte programmera elsatsen</t>
  </si>
  <si>
    <t>Inte fått programmerat in elsatsen än. Mailat honom monteringsanvisningarna igen. Vill ha någon form av kompensation, och att M12 ska få stå för denna. Framförallt de 250 kr för lånebilen som han betalat. Skicka även upp ett WF kulskydd till honom.</t>
  </si>
  <si>
    <t>Krediterat 1000 kr för merkostnader han haft för 3 besök i verkstad //TC 13/10</t>
  </si>
  <si>
    <t>Sörman ringde 18/10. M12 har inte kopplat in den fordonsspecifika elsatsen utan en universal elsats. Paneler i bagaget är trasiga och snabblimmade efter att dem slitits loss. Scothlocks har inte använts utan kablarna till lamporna har skalats av in till kopparn och sedan tvinats ihop med kablarna till elsatsen.</t>
  </si>
  <si>
    <t xml:space="preserve">Volvo V50, S40 </t>
  </si>
  <si>
    <t>Sörman har lämnat in bilen till Opelverkstad som börjat laga paneler bak. Lampsatserna behöver bytas pga kablarna som är avskalade sitter fast i lamporna. Han uppskattar sina kostnader redan till 12000-13000 kr redan och då är inte allt klart än. Plus all restid han haft till olika verkstäder. Sörman är advokat.... Jag blir så trött... Verkar som att han kan tänka sig att ta alla kostnader mot att inte betala fakturan. //TC 18/10</t>
  </si>
  <si>
    <t>Vi stryker fakturan och skiljs som "ganska goda ovänner". Han ordnar med resten av elektroniken. Det enda han möjligtvis skulle kunna komma tillbaka om är om dragkroken är åt helvete ditsatt men det händer förmodligen inte. //TC 24/10</t>
  </si>
  <si>
    <t>Björn Ericson</t>
  </si>
  <si>
    <t>PTM858</t>
  </si>
  <si>
    <t>Nödutgång</t>
  </si>
  <si>
    <t>Strul vid monteringen plastlist gick sönder</t>
  </si>
  <si>
    <t>Saman skulle fixa ny list, kunden vill inte betala förrän det är fixat. Faktura Nr 152142 finns på mailen.</t>
  </si>
  <si>
    <t>Kund ringde, 070-2440720. List inte åtgärdad ännu. 13/6. Vägrar betala innan det är åtgärdat. Verkstaden ska ha beställt hem grejer men kund har tröttnat på att ringa dem.</t>
  </si>
  <si>
    <t>Påminnt Saman 14/6. Han väntar fortfarande på listen. Erkände dock att han inte legat på, men skulle ta tag i det. //TC</t>
  </si>
  <si>
    <t>SMSat Saman 1/8 och kollat status</t>
  </si>
  <si>
    <t>Är hos Saman 4/8 och får det fixat, saman ringde. //TC</t>
  </si>
  <si>
    <t>EJ KLAR! Inbokad Järfälla den 3/1 för att visa upp sin bil så kan Fredrik F beställa ny list till han.</t>
  </si>
  <si>
    <t>Frederik fick Artnr på listen av Faraj, ska kolla priset 17/1 //HL</t>
  </si>
  <si>
    <t>Skickad 12/6</t>
  </si>
  <si>
    <t>List bytt och allt klart igår, kunden betalar fakturan idag. //TC 26/1</t>
  </si>
  <si>
    <t>VOLVO V50, S40 2004&gt;</t>
  </si>
  <si>
    <t>Uppsala Motorhuset</t>
  </si>
  <si>
    <t>Peter Lindqvist</t>
  </si>
  <si>
    <t>fog light and reverse light dosn't work SMP-4</t>
  </si>
  <si>
    <t>Skicka ny modul</t>
  </si>
  <si>
    <t>Steinhof får skicka ny modul</t>
  </si>
  <si>
    <t>Steinhof skickat ny modul 1/6, dpd 13399600037287</t>
  </si>
  <si>
    <t>Tillhörde PEK623 som var felskickad.</t>
  </si>
  <si>
    <t>Nichlas Johnson</t>
  </si>
  <si>
    <t>HJK506</t>
  </si>
  <si>
    <t>Volvo V60</t>
  </si>
  <si>
    <t>PEUGEOT 508</t>
  </si>
  <si>
    <t>Urskärning ur kofångare helt fel, bilder finns i mail</t>
  </si>
  <si>
    <t>Laga eller ny kofångare</t>
  </si>
  <si>
    <t>Niklas har fått info, tittat på det och återkommer till kund med åtgärd.</t>
  </si>
  <si>
    <t>Pratat med Motornavet 21/6, kund har kontakten själv med en firma på ringön som ska fixa kofångaren.</t>
  </si>
  <si>
    <t>Mailat Motornavet 1/8 om status på reklamationen //TC</t>
  </si>
  <si>
    <t>Kund vill ha kompensation på fakturan istället för laga kofångaren. Niklas vill att vi tar diskutionen. Erbjud 2000 kr i kompensation.</t>
  </si>
  <si>
    <t>FP försökt att nå kund under V.34 och V35, inget svar</t>
  </si>
  <si>
    <t>FP erbjudit 2000 kr + 500 kr i kompensation. Kund ska återkomma //TC</t>
  </si>
  <si>
    <t>Kund OK med 2500 kr och en flärp. Kommer in till Motornavet och betalar när vi får flärpen.</t>
  </si>
  <si>
    <t>Gör kredit på 2500 kr på hans faktura</t>
  </si>
  <si>
    <t>Fakturera motornavet 2500 kr inkl moms</t>
  </si>
  <si>
    <t>Kredit gjord och fakturerad Motornavet //TC 7/12</t>
  </si>
  <si>
    <t>Hittade inte 20/11 FP // FP tagit till KCE070</t>
  </si>
  <si>
    <t>Bilab Kungälv AB</t>
  </si>
  <si>
    <t>LWB567</t>
  </si>
  <si>
    <t xml:space="preserve">AUDI A 6 </t>
  </si>
  <si>
    <t>Kofångare ej rätt monterad tillbaka, orsakat lackskador på bagagelucka och kofångare</t>
  </si>
  <si>
    <t>Lackering</t>
  </si>
  <si>
    <t>Gett mailet till Motornavet och dem får lösa det</t>
  </si>
  <si>
    <t>Niklas har kontakt med Bilab, kollade med honom 26/5</t>
  </si>
  <si>
    <t>Pratat med Niklas 21/6. Niklas sagt ok till Bilab att lämna in bilen för lackering och skicka räkningen</t>
  </si>
  <si>
    <t>Inte hört något mer, samt monteringen betald. Avslutar reklamationen 1/8 //TC</t>
  </si>
  <si>
    <t>Niklas fått faktura på det.</t>
  </si>
  <si>
    <t>Karl Arne Martinelle</t>
  </si>
  <si>
    <t>NLB189</t>
  </si>
  <si>
    <t>MERCEDES C-CLASS T-Model (S203</t>
  </si>
  <si>
    <t>Påse med bultar och skruv trasig</t>
  </si>
  <si>
    <t>Skicka ny påse</t>
  </si>
  <si>
    <t>Tagen till Volvo V60 -15, Drakängen</t>
  </si>
  <si>
    <t>Maila Patrycja 17/5 att skicka en ny påse</t>
  </si>
  <si>
    <t>Kund ringde 2/6 och undrade var påsen tagit vägen</t>
  </si>
  <si>
    <t>Påminnt Patrycja 2/6</t>
  </si>
  <si>
    <t>DPD 13399600025524
Fel nummer...
Mailat om det.</t>
  </si>
  <si>
    <t>Patrycja skickar en ny påse 2/6, förmodligen borta hos PostNord</t>
  </si>
  <si>
    <t>Lars Wennerbäck</t>
  </si>
  <si>
    <t>HEY086</t>
  </si>
  <si>
    <t>HONDA CR-V IV</t>
  </si>
  <si>
    <t>Kula sitter för nära kofångare, monterat hos Äpplekullen. Kund skickat bilder</t>
  </si>
  <si>
    <t>Ny kula?</t>
  </si>
  <si>
    <t>Mailat Patrycja två gånger, senast 24/5</t>
  </si>
  <si>
    <t>Fått svar att det är rätt längd på kulan och det borde vara 6cm.</t>
  </si>
  <si>
    <t>Bett Patrycja att skicka upp en längre kula</t>
  </si>
  <si>
    <t>Tagen till MLN990</t>
  </si>
  <si>
    <t>Mailat Patrycja igen 30/5, inget händer</t>
  </si>
  <si>
    <t>Patrycja skickar en kula som är 35mm längre, garantin på draget försvinner. 6/6</t>
  </si>
  <si>
    <t>Ring kund 9/6, kulan borde ha kommit</t>
  </si>
  <si>
    <t>Mailat kunden 10/6 att han är välkommen förbi när som att byta kulan. Den finns på plats sedan 9/6. Kom inte fram på telefon</t>
  </si>
  <si>
    <t>Fredrik Granåsen</t>
  </si>
  <si>
    <t>HXH052</t>
  </si>
  <si>
    <t>TOYOTA Avensis II,</t>
  </si>
  <si>
    <t>Dragkrok från Autohak passar ej vid montering M12</t>
  </si>
  <si>
    <t>Mailat Martec om draget, deras tekniker kollar på det. Återkom sedan till kund</t>
  </si>
  <si>
    <t>Påminnt saman om att skicka bild på etiketten på dragkroken</t>
  </si>
  <si>
    <t>Hittat felet! Saman har försökt att montera fel krok. Har en O 20 sedan tidigare liggandes, inte använt sig av O 56 som han ska ha hos sig och är till denna bilen.</t>
  </si>
  <si>
    <t>Ring Saman 1/6 och meddela</t>
  </si>
  <si>
    <t>Inbokad 16/6 hos Saman</t>
  </si>
  <si>
    <t>JImmy Leander</t>
  </si>
  <si>
    <t>Bosalkrok som gått sönder</t>
  </si>
  <si>
    <t>BHF tar den för reparation, ok på mail</t>
  </si>
  <si>
    <t>Mailat BHF 160524</t>
  </si>
  <si>
    <t>Bosal tar kroken tillbaka till sig för reparation, ok enligt mail 160524</t>
  </si>
  <si>
    <t>Upphämtning bokad till 25-27 maj, reparation tar ca 4-6 veckor</t>
  </si>
  <si>
    <t>Kund frågat om det går att senarelägga det till efter semestern, mailat BHF 25/5</t>
  </si>
  <si>
    <t>Fått OK på mail av BHF att dem kan lösa detta efter semestern istället. Kund får höra av sig.</t>
  </si>
  <si>
    <t>Andreas Kraft</t>
  </si>
  <si>
    <t>Skickat fel elsats</t>
  </si>
  <si>
    <t>Skickat ny från Monoflex 24/5</t>
  </si>
  <si>
    <t>Gör pacsoft etikett och maila den till honom.</t>
  </si>
  <si>
    <t>Skickat ettikett</t>
  </si>
  <si>
    <t>JV Automontage 28/6 -17</t>
  </si>
  <si>
    <t>Mikael Evstrand</t>
  </si>
  <si>
    <t>Enkel elsats fungerar inte, slår ut bakljus och felkoder i bil, typ ABS. Bokat själv hos Fuad för inkoppling av el.</t>
  </si>
  <si>
    <t>Femmans Bil - Kund bokat själv</t>
  </si>
  <si>
    <t>Bilen har dioderlysen bak. Behövs nog elsats med modul. (ASX historien hos Motornavet)</t>
  </si>
  <si>
    <t>Kolla med Fuad om han kan byta ut elsatsen till en med modul och släcka felkoder - bör hjälpa</t>
  </si>
  <si>
    <t>Aktiveringsrelä för bromsljus är det som strular enligt Fuad</t>
  </si>
  <si>
    <t>Fuad byter elsatsen och nollar felkoder, Henrik ringt kund 26/5 Kund bokar med Fuad</t>
  </si>
  <si>
    <t>30/5 Fuad lyckades inte att släcka felkoder och få igång ljusen enligt kund. Elsats bytt. Måste prata ihop oss hur vi går vidare.</t>
  </si>
  <si>
    <t>Inbokad hos Speedy Bilservice 3/6. Förmodligen aktiveringsrelät till bromsljuset som är kasst.</t>
  </si>
  <si>
    <t>Speedy ringde 9/6, har bilen inne. Någon form av kortslutning har orsakat fel i elektroniklådan. Speedy löser det med en kabel och hängsäkring. Lagt 2-3 timmar redan, + någon till. Sa att det landade på 2000 kr, eller om vi skickar en dragkrok eller nåt. Speedy tror inte att det är släpet, utan att det har med den första elsatsen att göra. Dock inte säker.</t>
  </si>
  <si>
    <t>Niclas Rosen</t>
  </si>
  <si>
    <t>Fått ett vertikalt hus till Steinhofdraget när det ska vara horisontellt. Montering i Helsingborg</t>
  </si>
  <si>
    <t>Patrycja får skicka nytt hus och drag</t>
  </si>
  <si>
    <t>Bett Patrycja 25/5 att skicka ner ett horisontellt drag. Gör klart monteringen förutom huset. Kunden får komma tillbaka</t>
  </si>
  <si>
    <t>Mailat &amp; Skypeat Patrycja igen 30/5, inget händer</t>
  </si>
  <si>
    <t>Patrycja skickar ny kula och hus 2/6</t>
  </si>
  <si>
    <t>Kulan ligger för leverans 9/6, kund ringer till Savo kl 15 och får till det på eftermiddagen.</t>
  </si>
  <si>
    <t>Bo Andersson</t>
  </si>
  <si>
    <t>JNO663</t>
  </si>
  <si>
    <t>Spec-elsats fungerar inte med bilen</t>
  </si>
  <si>
    <t>Umeå Bilcentrum</t>
  </si>
  <si>
    <t>Monterar en Starc istället, kommer att stänga av PDC</t>
  </si>
  <si>
    <t>OK med kund 27/6</t>
  </si>
  <si>
    <t>Umeå fakturerar 1000 kr för byte av elsats</t>
  </si>
  <si>
    <t>Johnny Perlheden</t>
  </si>
  <si>
    <t>Lamporna plötsligt slutat att fungera</t>
  </si>
  <si>
    <t xml:space="preserve">Säkringen? </t>
  </si>
  <si>
    <t>Mailat kund och bett honom att kolla säkringen</t>
  </si>
  <si>
    <t>Inget hört 30/5, säkert löst sig.</t>
  </si>
  <si>
    <t>Patrik Tallbom</t>
  </si>
  <si>
    <t>USD203</t>
  </si>
  <si>
    <t>AUDI A 4 Avant</t>
  </si>
  <si>
    <t>Elsats levererar bara 6-8V</t>
  </si>
  <si>
    <t>Inlagd i beställningsfilen 30/5</t>
  </si>
  <si>
    <t>Reklamation på modul gjord till Christina 30/5</t>
  </si>
  <si>
    <t>Påminnt Christina 8/6....</t>
  </si>
  <si>
    <t>Christina skickar ut en ny modul 8/6.</t>
  </si>
  <si>
    <t>Tillhörde NTH167, fel drag monterades. Hon fick ett Steinhof när hon beställt ett Westfalia</t>
  </si>
  <si>
    <t>Jonathan Andersson</t>
  </si>
  <si>
    <t>GEC819</t>
  </si>
  <si>
    <t>FORD Mondeo IV</t>
  </si>
  <si>
    <t>PDC Stänger inte av sig och matning ligger konstant på.</t>
  </si>
  <si>
    <t>Inget, helt enligt avtalat och montering</t>
  </si>
  <si>
    <t>Kund kontaktat Äpplekullen och dem kan flytta matningen. Sa även till kund att det finns en funktion i elsatsen som stänger av PDC, han ska även be Äpplekullen att montera dit denna. Pratat med kund 3/6</t>
  </si>
  <si>
    <t>Bilcenter i Norrköping AB / Torbjörn</t>
  </si>
  <si>
    <t>HST093</t>
  </si>
  <si>
    <t>JAGUAR X-Type</t>
  </si>
  <si>
    <t>Plastpluggen levererades i tre delar</t>
  </si>
  <si>
    <t>Eventuellt är denna samma som nr 126</t>
  </si>
  <si>
    <t>Skicka ny plugg</t>
  </si>
  <si>
    <t>Mailat Viv att skicka ny plugg till kund</t>
  </si>
  <si>
    <t>Även kulan är skadad. Låsaxeln är krökt och går ej att använda. Mailat Viv om att även skicka kula. 30/5</t>
  </si>
  <si>
    <t>Viv bråkar om anmälan gjorts på paketet, svara upp henne</t>
  </si>
  <si>
    <t>Thule skickar ingen ny utan den gamla i retur. Priset på en ny är 125£, dock är den restad i både england och Holland. Viv har ingen idé hur vi löser det...</t>
  </si>
  <si>
    <t xml:space="preserve">Volvo V60 </t>
  </si>
  <si>
    <t>Mailat Viv om det bara går att skicka låset, så kan kund byta det.</t>
  </si>
  <si>
    <t>Viv skickar nytt lås och plastplugg på måndag 6/6</t>
  </si>
  <si>
    <t>Inte hört något mer 19/7, avslutar //TC</t>
  </si>
  <si>
    <t>Björn Ljunghager</t>
  </si>
  <si>
    <t>MBT807</t>
  </si>
  <si>
    <t>TOYOTA Verso</t>
  </si>
  <si>
    <t xml:space="preserve">Blinkers funkar ej </t>
  </si>
  <si>
    <t>Bad han kontakta verkstaden</t>
  </si>
  <si>
    <t>Inte hört något mer 14/6, ser det som löst. //TC</t>
  </si>
  <si>
    <t>MNL892</t>
  </si>
  <si>
    <t>44022/VM</t>
  </si>
  <si>
    <t>Volvo V60 -15</t>
  </si>
  <si>
    <t>Linus Bremer</t>
  </si>
  <si>
    <t>LFX940</t>
  </si>
  <si>
    <t>VOLVO V50</t>
  </si>
  <si>
    <t>Bromsljus fungerar ej, har även fått nån beläggning på lacken hela bilen</t>
  </si>
  <si>
    <t>Halléns</t>
  </si>
  <si>
    <t>Klassisk volvo fel med bajljuset? Ordna till lacken</t>
  </si>
  <si>
    <t>Ringt Fredrik på Halléns, kund kan komma förbi när som.</t>
  </si>
  <si>
    <t>Henrik sagt till kund att boka en tid hos verkstaden direkt.</t>
  </si>
  <si>
    <t>Skickat upp en Starc-elsats från oss. En som kommit i retur från Hatab som extra om det skulle vara galet med modulen.</t>
  </si>
  <si>
    <t>Inte hört något 8/6, bör vara uträtt</t>
  </si>
  <si>
    <t>Sven Samuelsson</t>
  </si>
  <si>
    <t>KZC749</t>
  </si>
  <si>
    <t>VOLKSWAGEN Golf Plus II</t>
  </si>
  <si>
    <t>Fel krok, passar inte</t>
  </si>
  <si>
    <t>Tagen till Bpr595</t>
  </si>
  <si>
    <t>Skicka rätt krok</t>
  </si>
  <si>
    <t>Fått en K 49, Golf V/IV kombi. Rätt krok skickad 1/6 från Monoflex</t>
  </si>
  <si>
    <t>L26</t>
  </si>
  <si>
    <t>Volvo V60 / S60</t>
  </si>
  <si>
    <t>Pär Edén</t>
  </si>
  <si>
    <t>AEK184</t>
  </si>
  <si>
    <t>HYUNDAI i40</t>
  </si>
  <si>
    <t>Paketet försvunnit, står som "levererat"</t>
  </si>
  <si>
    <t>Skicka ny krok</t>
  </si>
  <si>
    <t>Paketet står som levererat. Dock har kunden inte tagit emot något paket</t>
  </si>
  <si>
    <t>Kontaktat PostNord, bett om signatur</t>
  </si>
  <si>
    <t>PostNord har ingen signatur och tror att paketet är borta. Dem ber oss att göra en reklamation på paketet. 13399600037086</t>
  </si>
  <si>
    <t>Patrycja skickar ett nytt drag utan kostnad 21/6.</t>
  </si>
  <si>
    <t>Nytt drag levererat 29/6</t>
  </si>
  <si>
    <t>John Nielsen</t>
  </si>
  <si>
    <t>LHH685</t>
  </si>
  <si>
    <t>2010&gt;2018</t>
  </si>
  <si>
    <t>VOLVO V 50</t>
  </si>
  <si>
    <t>Paketet fastnat i Tarnow</t>
  </si>
  <si>
    <t>Mailat Patrycja 23/6</t>
  </si>
  <si>
    <t>Paketet levererat 28/6</t>
  </si>
  <si>
    <t>Amir Bilajbegovic</t>
  </si>
  <si>
    <t>KWX069</t>
  </si>
  <si>
    <t>TOYOTA Avensis III</t>
  </si>
  <si>
    <t>Tagen till BGT283</t>
  </si>
  <si>
    <t>Saknades delar i försändelsen. Paketet skadat</t>
  </si>
  <si>
    <t>Skicka delar, kund gjort anmälan att paketet var trasigt vid leverans.</t>
  </si>
  <si>
    <t>Kund mailar monteringsanvisning och spec på grejer som saknades vid leverans</t>
  </si>
  <si>
    <t>Inte hört något mer 19/7, avslutar</t>
  </si>
  <si>
    <t>Per Samuelsson</t>
  </si>
  <si>
    <t>CWF819</t>
  </si>
  <si>
    <t>BMW 3-serie E91</t>
  </si>
  <si>
    <t>PDC stänger inte av sig per automatik</t>
  </si>
  <si>
    <t>Tagen till BKJ724</t>
  </si>
  <si>
    <t>jada jada jada med Jallu
Elsats stänger inte av sig längre. Gjorde förr. Funktionen borttagen av okänd anledning.</t>
  </si>
  <si>
    <t>Går ej att ordna, kund vill ha kompensation 500 kr.</t>
  </si>
  <si>
    <t>Ta kompensationsdelen med Monoflex. Ändrad information om elsats.</t>
  </si>
  <si>
    <t>Gått med på 500 kr och utbetalt det i V.41 //TC</t>
  </si>
  <si>
    <t>Jonny Johansson</t>
  </si>
  <si>
    <t>GAF331</t>
  </si>
  <si>
    <t>MITSUBISHI ASX</t>
  </si>
  <si>
    <t>Skruvar och bultar saknades</t>
  </si>
  <si>
    <t>Skicka nya</t>
  </si>
  <si>
    <t>Skadat paket, anmälan gjord till PostNord av kunden</t>
  </si>
  <si>
    <t>Mailat Patrycja att skicka nytt 21/6</t>
  </si>
  <si>
    <t>Tagen till OCZ867</t>
  </si>
  <si>
    <t>Rainer Koczy</t>
  </si>
  <si>
    <t>KSG425</t>
  </si>
  <si>
    <t>CITROEN C 5 II</t>
  </si>
  <si>
    <t>"EGR ventilen, gaspedalen reglaget och datorn som styr motorn var tvungen att bytas"</t>
  </si>
  <si>
    <t>Kund önskar kompensation på 3000 kr</t>
  </si>
  <si>
    <t>Svarat upp på kunden mail 12/7 att det inte kan ha med elsatsen att göra. //TC</t>
  </si>
  <si>
    <t>Kund är otrevlig och dum i huvudet. Har plockat ut elsatsen och vill att vi tar tillbaka den och krediterar elsatsen. Sagt OK till det och lite extra. Krediterat kund 800 kr.</t>
  </si>
  <si>
    <t>Gör utbetalning på 800 kr till kund när vi får kontonummer</t>
  </si>
  <si>
    <t>Nordea 3300 531025 2779</t>
  </si>
  <si>
    <t>Kredit utbetald 31/8</t>
  </si>
  <si>
    <t>LZU428</t>
  </si>
  <si>
    <t xml:space="preserve">Anders Jacobsson </t>
  </si>
  <si>
    <t>MYB688</t>
  </si>
  <si>
    <t>BMW 1-Serie (F2*)</t>
  </si>
  <si>
    <t>Avstängning av PDC fungerar ej som utlovat</t>
  </si>
  <si>
    <t>Bokat in sig själv hos Motornavet 14/7</t>
  </si>
  <si>
    <t>Fel elsats monterad, SMP-3 istället för starc. Dock går ej Starc heller. PDC-enhet inte separerad utan går med allt annat</t>
  </si>
  <si>
    <t>Kreditera 1000 kr som han lagt till för att få denna funktionen //TC 14/7</t>
  </si>
  <si>
    <t>Reza Talebi</t>
  </si>
  <si>
    <t xml:space="preserve">FNK516 </t>
  </si>
  <si>
    <t>MERCEDES B-CLASS (W246</t>
  </si>
  <si>
    <t>Felkod tänt för baklamporna, dem beter sig konstigt iom detta</t>
  </si>
  <si>
    <t>DGG451</t>
  </si>
  <si>
    <t>Släck felkoder</t>
  </si>
  <si>
    <t>Motornavet ska kontakta kund när Niklas är tillbaka med datorn.</t>
  </si>
  <si>
    <t>Kund ringt 20/7 och undrat vad som sker? Lämnar bilen på service på fredag. Ber dem att släcka felkoderna då med. //TC</t>
  </si>
  <si>
    <t>Inte hört något mer 6/10. AVSLUTAR //TC</t>
  </si>
  <si>
    <t>Lindén i Göteborg</t>
  </si>
  <si>
    <t xml:space="preserve">XYC802 </t>
  </si>
  <si>
    <t>Smuts i bilen (Olja, märke efter skruvmejsel i taket)</t>
  </si>
  <si>
    <t>HL har bett om bilder att visa för verkstaden, självklart får dem komma och få detta fixat</t>
  </si>
  <si>
    <t>HL ringer och påminner 19/7</t>
  </si>
  <si>
    <t>Fanns inga biler att få tag i....</t>
  </si>
  <si>
    <t>JLZ329</t>
  </si>
  <si>
    <t>André Säll</t>
  </si>
  <si>
    <t>VL49AQ</t>
  </si>
  <si>
    <t>TKX579</t>
  </si>
  <si>
    <t>CHRYSLER Voyager/Grand Voyager III</t>
  </si>
  <si>
    <t>VOLVO V60 / S60</t>
  </si>
  <si>
    <t>Får inte draget från Steinhof att passa alls. Menar på att han köpt Autohak</t>
  </si>
  <si>
    <t>2010&gt;2019</t>
  </si>
  <si>
    <t>Skicka Autohak CH 45</t>
  </si>
  <si>
    <t>Ta hem den gamla kroken. HL ordnar med detta 18/7</t>
  </si>
  <si>
    <t>Krok kommit tillbaka //HL 23/8</t>
  </si>
  <si>
    <t>Nils Erik Nilsson</t>
  </si>
  <si>
    <t>AGB502</t>
  </si>
  <si>
    <t>PEUGEOT Expert II, 07-</t>
  </si>
  <si>
    <t>Släpper igenom ström på vänster blinkers</t>
  </si>
  <si>
    <t>Tagen till LDR994</t>
  </si>
  <si>
    <t>Skicka ny SMP-3 modul, lägg med retursedel för hans modul</t>
  </si>
  <si>
    <t>Kund övertygad om att det är fel på modulen... Testa modulen när den kommer tillbaka och faktura frakter om det inte är något fel på den.</t>
  </si>
  <si>
    <t>Skickat ny SMP-3 modul med retursedel</t>
  </si>
  <si>
    <t>Fått modulen, var är den?</t>
  </si>
  <si>
    <t xml:space="preserve">Volvo V60 / S60 </t>
  </si>
  <si>
    <t>Martin Chandorkar</t>
  </si>
  <si>
    <t>XTP639</t>
  </si>
  <si>
    <t>HYUNDAI Tucson III</t>
  </si>
  <si>
    <t>Fått fel krok. Beställt Westfalia, fått Steinhof</t>
  </si>
  <si>
    <t>Skicka ny krok från Westfalia</t>
  </si>
  <si>
    <t>Gick med på 800 kr avdrag på priset och behåller Steinhof-kroken</t>
  </si>
  <si>
    <t>44017/F (44022/F)</t>
  </si>
  <si>
    <t>Fredrik Vester</t>
  </si>
  <si>
    <t>Volvo V60 / Volvo S60</t>
  </si>
  <si>
    <t>LZG587</t>
  </si>
  <si>
    <t>VOLKSWAGEN Passat VII Variant (365)</t>
  </si>
  <si>
    <t>Allt ljus slockar någon sekund efter att bromsljuset aktiveras. SMP-3 elsats</t>
  </si>
  <si>
    <t>Skicka ny SMP-3 modul</t>
  </si>
  <si>
    <t>Tror att det är felkopplat, gett honom lite tips. Kan skicka ner en modul till kund om han skickar upp den felaktiga.</t>
  </si>
  <si>
    <t>Skickat modul 22/7 //TC</t>
  </si>
  <si>
    <t>Gör reklamation på detta till Steinhof om det visar sig vara modulen.</t>
  </si>
  <si>
    <t>Fått modul tillbaka från kund. Avslutar ärendet</t>
  </si>
  <si>
    <t>Leif Wahlstedt</t>
  </si>
  <si>
    <t>ooc946</t>
  </si>
  <si>
    <t>SKODA Fabia III</t>
  </si>
  <si>
    <t>Tagen till LZB350</t>
  </si>
  <si>
    <t>höger blinkers börjat lysa konstant</t>
  </si>
  <si>
    <t>Ny WH1 modul</t>
  </si>
  <si>
    <t>Skickat ny WH1-modul till kund</t>
  </si>
  <si>
    <t>Gör reklamation på detta till Martec</t>
  </si>
  <si>
    <t>Allt kom igång igen vid byte av modul enligt mail 25/7. Gör reklamation på modulen.</t>
  </si>
  <si>
    <t>Maximilian Biermann</t>
  </si>
  <si>
    <t>YCO076</t>
  </si>
  <si>
    <t>Fel dragkrok monterades. Fast monterades när avtagbar beställts</t>
  </si>
  <si>
    <t>Byt krok</t>
  </si>
  <si>
    <t>Tagit hem extra tillsammans med två elsatser som ska till Robert Klein</t>
  </si>
  <si>
    <t>Fel krok har beställts. Beställt en avtagbar nu. Kund inbokad den 29/7 för byte</t>
  </si>
  <si>
    <t>Dragkrok bytts</t>
  </si>
  <si>
    <t>V/033</t>
  </si>
  <si>
    <t>VOLVO V60 2010&gt;</t>
  </si>
  <si>
    <t>Robert Gunnarsson Michael</t>
  </si>
  <si>
    <t>tnj111</t>
  </si>
  <si>
    <t>TOYOTA Corolla Verso, 02-09</t>
  </si>
  <si>
    <t>Fått fel dragkrok skickat till sig.</t>
  </si>
  <si>
    <t>Skicka rätt</t>
  </si>
  <si>
    <t>Kund tar med sig fel dragkrok till GBG fredag 22/7, lägg då en ny beställning på rätt krok. Autohak O 50</t>
  </si>
  <si>
    <t>Fått dragkrok i retur 27/7</t>
  </si>
  <si>
    <t>Christer Lindén</t>
  </si>
  <si>
    <t>CEO291</t>
  </si>
  <si>
    <t>VOLVO V 70 III</t>
  </si>
  <si>
    <t>Blinkers beter sig konstigt på bilen</t>
  </si>
  <si>
    <t>Koppla rätt</t>
  </si>
  <si>
    <t>Kund inbokad 22/7 för åtgärd hos Motornavet.</t>
  </si>
  <si>
    <t>Säkring som hade gått har jag för mig att Serbas sa. Så allt ok</t>
  </si>
  <si>
    <t>Tagen till LXZ724</t>
  </si>
  <si>
    <t>Martin Agrér</t>
  </si>
  <si>
    <t>JRE004</t>
  </si>
  <si>
    <t>TOYOTA Avensis III, 09</t>
  </si>
  <si>
    <t>inget bakljus eller dimljus efter montering</t>
  </si>
  <si>
    <t>Åtgärda</t>
  </si>
  <si>
    <t>Kund bokat in tid själv med Äpplekullen, kolla så att det blivit åtgärdat efter semestern.</t>
  </si>
  <si>
    <t>Tauno Määttä</t>
  </si>
  <si>
    <t>CAC817</t>
  </si>
  <si>
    <t>Fel krok, passar inte. Kund har 3dr</t>
  </si>
  <si>
    <t>Tagen till ATL557</t>
  </si>
  <si>
    <t>Står fel på meca... Mailat kund 1/8 om hur vi gör med nya och gamla dragkroken. //TC</t>
  </si>
  <si>
    <t>Artur Andreasson</t>
  </si>
  <si>
    <t>GYM170</t>
  </si>
  <si>
    <t>MERCEDES CLA-CLASS</t>
  </si>
  <si>
    <t>Batteriet töms på två dagar</t>
  </si>
  <si>
    <t>Ska göra uppdatering av mjukvaran den 8/8</t>
  </si>
  <si>
    <t>Pratat med Serbas och Niklas om det och dem tror att det kan vara en lampa, mailat kund om detta. 2/8</t>
  </si>
  <si>
    <t>JEL827</t>
  </si>
  <si>
    <t>Fått div mail från kund.</t>
  </si>
  <si>
    <t>Försökt nå kund 24/8 //TC</t>
  </si>
  <si>
    <t>Inbokad hos Motornavet 26/8 för uppdatering av mjukvara samt felsökning på varför batteriet töms så fort.</t>
  </si>
  <si>
    <t>Bilen går ej ner i vila, förmodligen pga elsatsen. Programmering gick ej att göra. Kund åkte iväg med elsats inkopplad, men visat honom var man drar säkringen. Återkom till kunden när uppdatering till Autocoden finns.</t>
  </si>
  <si>
    <t>Kund mailat 5/10 om att mycket fungerar, inte allt. Återkom när vi fått svar av Daniel om ny programvara finns //TC</t>
  </si>
  <si>
    <t>Ingen ny programvara finns V.41. Får återkomma till kund när ny mjukvara finns. //TC 14/10</t>
  </si>
  <si>
    <t>Stefan på Monoflex har pratat med Artur och luskat. Om kunden laddar batteriet helt så fungerar eco-driven och allt annat. Efter någon dag så slutar det att fungera. Stefans teori är att batteriet kan vara paj, bör funktionstestas ev bytas. Det kanske löser alla problem. //TC 25/1</t>
  </si>
  <si>
    <t>Pratat med Artur, han hör av sig förmodligen i V.10 för att göra en rekond på batteriet. Se om det löser problemet. //TC 27/2</t>
  </si>
  <si>
    <t>Artur inbokad 9/3 kl 10 för rekond av batteriet, Motornavet kollar även så att generatorn laddar som den ska. //TC 7/3</t>
  </si>
  <si>
    <t>Batteriet såg okej ut och generatorn laddade som det skulle. Kund menar ändå på att batteriet är kass.  Förslag så byter vi batteriet åt honom. Löser det inte problemet så får kund stå för kostnaden. Löser det problemet så får verkstaden göra det. //TC 21/3</t>
  </si>
  <si>
    <t>Försökt nå kund 21/3, ring igen //TC</t>
  </si>
  <si>
    <t>Artur svänger förbi Mercedes och kollar om ett batteri kan gå på garantin, ringer tillbaka till mig sedan. //TC 21/3</t>
  </si>
  <si>
    <t>Tagen till NZG738</t>
  </si>
  <si>
    <t>Patrik Nyman</t>
  </si>
  <si>
    <t>LYP948</t>
  </si>
  <si>
    <t>Strul vid monteringen, HL bör veta mer</t>
  </si>
  <si>
    <t>Blivit lovad 500 kr i kompensation av HL eller FP, krediterat detta 28/7 //TC</t>
  </si>
  <si>
    <t>Hisham Cheikh Hussein</t>
  </si>
  <si>
    <t>LWN827</t>
  </si>
  <si>
    <t xml:space="preserve">AUDI A 4 Avant </t>
  </si>
  <si>
    <t>"nederkanten av båda baklyktor hade det bildats sprickor och vid hjulhuset på höger sida så sticker bakskärmen ut"</t>
  </si>
  <si>
    <t>Kund skickat bilder på mailen</t>
  </si>
  <si>
    <t>Kontakta Äpple och boka in kunden</t>
  </si>
  <si>
    <t>Markus tar gärna bilen i början av nästa vecka istället för denna. Mailat kund om det. Kund ok och droppar in i början av V.32</t>
  </si>
  <si>
    <t>Inte hört något mer 24/8, avslutar reklamationen //TC</t>
  </si>
  <si>
    <t>Tagen till UTD973</t>
  </si>
  <si>
    <t>Jonas Sjödahl</t>
  </si>
  <si>
    <t>DZO166</t>
  </si>
  <si>
    <t>BMW 3-Serie (E9*),</t>
  </si>
  <si>
    <t>fattas 1skruv i kofångaren, elkabeln är feldragen så den hänger ner och syns. plus att sista upphängningen till avgassystemet är inte insatt så det hänger löst</t>
  </si>
  <si>
    <t>Berglunds</t>
  </si>
  <si>
    <t>Robin får göra om</t>
  </si>
  <si>
    <t>Ring Robin om denna!</t>
  </si>
  <si>
    <t>Bett Robin att ringa upp kunden 2/8</t>
  </si>
  <si>
    <t>Robin ringt upp kunden och kunden löser det själv, plötsligt så var det inga konstigheter. Underligt efter så argt mail.... Avslutar reklamationen, inte hört något mer 24/8 //TC</t>
  </si>
  <si>
    <t>Tagen till BXZ770</t>
  </si>
  <si>
    <t>Joakim Gustafsson</t>
  </si>
  <si>
    <t>BBP136</t>
  </si>
  <si>
    <t>BMW 5-Serie (E6*)</t>
  </si>
  <si>
    <t>W 27</t>
  </si>
  <si>
    <t>"blinkersen på släpet blinkar ibland långsamt och ibland snabbare om vartannat medans bilens blinkers funkar normalt hela tiden"</t>
  </si>
  <si>
    <t>Byte av modul</t>
  </si>
  <si>
    <t>SUZUKI SX4 Sedan 2007&gt;</t>
  </si>
  <si>
    <t>Skicka upp en ny modul 3990017, om denna löser problemet, ta hem den trasiga modulen.</t>
  </si>
  <si>
    <t>Mailat Monoflex om att skicka en ny 2/8 //TC</t>
  </si>
  <si>
    <t>Påminnt Monoflex att skicka modulen, vet ej om dem gjort det tidigare. //TC 30/8</t>
  </si>
  <si>
    <t>Monoflex skickat modulen, återkoppla med kund. Samt skicka modul till Monoflex //TC 30/8</t>
  </si>
  <si>
    <t>Kund ej testat modulen, ringer oss när han gjort det. //TC 30/8</t>
  </si>
  <si>
    <t>Får inte ordning på monteringen av elsats. Kommer till Motornavet 20/9, så får dem lösa det. //TC 19/9</t>
  </si>
  <si>
    <t>Kund betalt 1000 kr med kort hos Motornavet 20/9. Så förmodligen ingenting som var fel på modulen. //TC 10/10</t>
  </si>
  <si>
    <t>Torbjörn svensson</t>
  </si>
  <si>
    <t>Adr893</t>
  </si>
  <si>
    <t>CITROEN C 4 Grand Picasso I, 07-13</t>
  </si>
  <si>
    <t>Kulan inte rund, samt inte centrerad.....</t>
  </si>
  <si>
    <t>Bet kund att maila över serienummer, kolla sedan med Monoflex om det finns några felaktigheter registrerade. Kan vara en rumänsk kula..</t>
  </si>
  <si>
    <t>OBS! Passar till sedan-modellen.</t>
  </si>
  <si>
    <t>Pratat med Jallu, omöjligt att kulorna inte stämmer. Alla svarvas på samma sätt.</t>
  </si>
  <si>
    <t>Mailat kunden om Jallus svar 2/8 //TC</t>
  </si>
  <si>
    <t>Kund ger sig inte... Pratat och mailat med Jallu, han skickar ut en ny kula och tar tillbaka den felaktiga. 2/8</t>
  </si>
  <si>
    <t>VOLVO V60 2010&gt;2018</t>
  </si>
  <si>
    <t>2010-2018</t>
  </si>
  <si>
    <t>Federico Dell’Anna</t>
  </si>
  <si>
    <t>EPZ369</t>
  </si>
  <si>
    <t>FORD Focus III, 11-</t>
  </si>
  <si>
    <t>Framljusen på bilen har slocknat</t>
  </si>
  <si>
    <t>Inget, gett nr till Halléns</t>
  </si>
  <si>
    <t>Gett numret till Hallens tillsammans med att jag inte tror att det har med dragkroksmonteringen att göra....</t>
  </si>
  <si>
    <t>Ett drag för mycket beställt till Rk56317 // Tagen till BT82689</t>
  </si>
  <si>
    <t>Line Spangenberg</t>
  </si>
  <si>
    <t>T/059</t>
  </si>
  <si>
    <t>AX16606</t>
  </si>
  <si>
    <t>TOYOTA Land Cruiser J200 2008&gt;</t>
  </si>
  <si>
    <t>Problem med nummerplåtsbelysningen</t>
  </si>
  <si>
    <t>Gett kund numret till Savo, ring även Savo om detta.</t>
  </si>
  <si>
    <t>Pratat med Savo, matningen inte tagen från lamporna. Savo tror att en lampa kan ha gått sönder.</t>
  </si>
  <si>
    <t>Daniel Vrangsinn</t>
  </si>
  <si>
    <t>JUW550</t>
  </si>
  <si>
    <t>VOLKSWAGEN Beetle I, 98-11</t>
  </si>
  <si>
    <t>Volvo V60 S60</t>
  </si>
  <si>
    <t>"Når jeg blinker høyre er alt normalt.
Nødlysene blinker også i normal hastighet.
Altså - blink til venstre = dubbel hastighet
blink til høyre = Normal hastighet
nødlys - normal hastighet på begge sider"</t>
  </si>
  <si>
    <t>Gör om gör rätt</t>
  </si>
  <si>
    <t>Mailat kund 3/8 om han kan komma förbi i nästa vecka.</t>
  </si>
  <si>
    <t>Tror att det är löst. Inte hört något mer. //TC 14/10</t>
  </si>
  <si>
    <t>Robert Wikgren</t>
  </si>
  <si>
    <t>KGC618</t>
  </si>
  <si>
    <t>Westfalia 320543300113</t>
  </si>
  <si>
    <t>AUDI A 6 (4G), 11-</t>
  </si>
  <si>
    <t>Volvo V60 V70 XC70 S60 m fl</t>
  </si>
  <si>
    <t>Vet ej, någon hos oss har pratat med Dannevall om byte av modul</t>
  </si>
  <si>
    <t>senaste</t>
  </si>
  <si>
    <t>Dannevall</t>
  </si>
  <si>
    <t>Byt modul (??)</t>
  </si>
  <si>
    <t>Skickat upp ny WH1 modul 1/9. Någon har missat att göra detta innan //TC</t>
  </si>
  <si>
    <t>Var inte WH1. Utan en Starc-modul... Pratade med Linn senast och hon menade på att dem monterar alltid elsatsen som är med i paketet. Det gjorde dem inte denna gången. Skickar upp en Starc-elsats. //TC 6/9</t>
  </si>
  <si>
    <t>Mailat Monoflex om ny modul. Skicka upp den gamla om den är felaktig.</t>
  </si>
  <si>
    <t>Kund bytt modul hos Dannevall. Allt fungerar enligt dem.</t>
  </si>
  <si>
    <t>Kund menar på att det inte fungerar på hans släp ändå. HL bett kund kolla säkringar och testa med ett annat släp. Han ska även ringa Dannevall och få tips om var säkringen satt. //TC 14/10</t>
  </si>
  <si>
    <t>Inte hört något 17/1, avslutar. //TC</t>
  </si>
  <si>
    <t>Magnus Pettersson</t>
  </si>
  <si>
    <t>RMK767</t>
  </si>
  <si>
    <t>PEUGEOT Boxer, 07-</t>
  </si>
  <si>
    <t>Promet med att blinkers blinkar snabbt på bilen. Ej kopplat in släp</t>
  </si>
  <si>
    <t>Fått problem med att blinkers blinkar snabbt på bilen utan att släp varit kopplat. Kund har problem med bromsljuset tidigare. Dannevall hade uppmärksammat något galet på bilen, och meddelat kund detta. Kolla vad det var. Kund bortrest en veckan, återkommer till oss. //TC</t>
  </si>
  <si>
    <t>Inte hört något mer. AVSLUTAR //TC</t>
  </si>
  <si>
    <t>Volvo V60, S60</t>
  </si>
  <si>
    <t>Mikael Danielsson</t>
  </si>
  <si>
    <t>OEM489</t>
  </si>
  <si>
    <t>VOLKSWAGEN Polo V (6R)</t>
  </si>
  <si>
    <t>Kom hem efter monteringen och ingenting lyste på släpet. Har provat att sätta ljuset i manuellt läge med.</t>
  </si>
  <si>
    <t>Kund ska resa bort ett par veckor och kontaktar Robin för åtgärd när han är tillbaka.</t>
  </si>
  <si>
    <t>Båda bröderna hade samma fel. Ena bilen vet jag inte var något konstigt med enligt Robin, mail finns. Vet ej om det var denna dock men dem hade samma problem. Kanske samma släp? AVSLUTAR då jag inte hört något mer. //TC 14/10</t>
  </si>
  <si>
    <t>Pär Östberg</t>
  </si>
  <si>
    <t>nhm662</t>
  </si>
  <si>
    <t>KIA Cee'd II, 12-</t>
  </si>
  <si>
    <t>Skicka ny dragkrok</t>
  </si>
  <si>
    <t>Ny krok skickad från Steinhof 30/8.</t>
  </si>
  <si>
    <t>Steinhof tar hem den gamla dragkroken. K-063</t>
  </si>
  <si>
    <t>Christoffer Gustafsson</t>
  </si>
  <si>
    <t>EAM555</t>
  </si>
  <si>
    <t>VOLVO XC 70 III, 08-</t>
  </si>
  <si>
    <t>Femmans fått fel elsats</t>
  </si>
  <si>
    <t>Byt ut elsatsen</t>
  </si>
  <si>
    <t>Monoflex har skickat fel elsat till verkstad. Verkstad inte sett detta förrän allt var klart.</t>
  </si>
  <si>
    <t>Jallu skickar ny elsats till verkstad. Vill inte ha tillbaka den felaktiga. Emir bokar in ny tid med kunden för byte av elsats.</t>
  </si>
  <si>
    <t>Kund behåller 7-spec elsats ändå. Krediterat 600 kr på faktura. //TC 30/8</t>
  </si>
  <si>
    <t>Ta hem 13-pol elsats som Jallu skickade.</t>
  </si>
  <si>
    <t>Tomas Daxman</t>
  </si>
  <si>
    <t>PMJ256</t>
  </si>
  <si>
    <t>DACIA Duster,</t>
  </si>
  <si>
    <t>Skicka ny</t>
  </si>
  <si>
    <t>Kund fått fel först. Sen fått Steinhof rätt krok. Beställt Autohak och vill definitivt ha detta.</t>
  </si>
  <si>
    <t>Kund grinig för att fel märke skickats. Vill att vi tar tillbaka kroken och krediterar köpet.</t>
  </si>
  <si>
    <t>Ta hem dragkroken, mått 100x35x35. Tomas Daxman 
Sjögatan 2b
613 33 Oxelösund</t>
  </si>
  <si>
    <t>Retur lagd och fraktsedel skickad till kund 8/9 //HL</t>
  </si>
  <si>
    <t>Krok kommit i retur? Ja 12/9</t>
  </si>
  <si>
    <t>Krediterat köpet 12/9 //TC</t>
  </si>
  <si>
    <t>Torbjörn Rossander</t>
  </si>
  <si>
    <t>CDW930</t>
  </si>
  <si>
    <t>TOYOTA Avensis III,</t>
  </si>
  <si>
    <t>En 7-polig kontakt blev monterad fast kunden hade beställt en 13-polig</t>
  </si>
  <si>
    <t>S-srevice</t>
  </si>
  <si>
    <t>Byta elsats</t>
  </si>
  <si>
    <t>Bokat in kund 9/9 för att byta ut elsatsen till en 13-polig //HL</t>
  </si>
  <si>
    <t>UAJ533</t>
  </si>
  <si>
    <t>BMW 3-Serie (E9*)</t>
  </si>
  <si>
    <t>Modulen har krånglat för DLT`s kund ca en vecka efter den har blivit monterat hos han.</t>
  </si>
  <si>
    <t>Byte Modul</t>
  </si>
  <si>
    <t>Beställt en ny modul 6/9</t>
  </si>
  <si>
    <t>Skicka upp modul till Monoflex?</t>
  </si>
  <si>
    <t>Volvo V70</t>
  </si>
  <si>
    <t>HL har skickat upp denna till Monoflex från kontoret. //TC 14/10</t>
  </si>
  <si>
    <t>Per-Anders Danielsson</t>
  </si>
  <si>
    <t>LOW718</t>
  </si>
  <si>
    <t>RENAULT Mégane III, 09-16</t>
  </si>
  <si>
    <t>Ingen ström alls i kontakten!? Samma problem som sin bror har på sin Polo!</t>
  </si>
  <si>
    <t>Berglund</t>
  </si>
  <si>
    <t xml:space="preserve">Kunden har provat ringa Robin men ej fått tag i han, Mailat Robin att han MÅSTE höra av sig till han </t>
  </si>
  <si>
    <t>Robin ska ringa kund, mailade 7/9 om det. //TC</t>
  </si>
  <si>
    <t>Kund var hos Robin 8/9. Trasig hängsäkring tydligen enligt mail. Allt ordnat och kunder var nöjd enligt Robin. //TC 8/9</t>
  </si>
  <si>
    <t>KULA SAKNAS</t>
  </si>
  <si>
    <t>L 20A</t>
  </si>
  <si>
    <t>Pontus Isacson</t>
  </si>
  <si>
    <t>KMJ802</t>
  </si>
  <si>
    <t>AUDI A 3 Sportback (8V), 13-</t>
  </si>
  <si>
    <t>Fått fel matta, fått till en 3-dörr ska ha 5- dörr</t>
  </si>
  <si>
    <t>Frederik har pratat med kunden och GJK 9/9</t>
  </si>
  <si>
    <t>Ny matta skickad samt returfraktsedel skickat till kund 13/9</t>
  </si>
  <si>
    <t>Lars Hartmann</t>
  </si>
  <si>
    <t>DUF621</t>
  </si>
  <si>
    <t>BMW 5-Serie (F1*)</t>
  </si>
  <si>
    <t>Fel kula förmodligen. Ser helt galet ut.</t>
  </si>
  <si>
    <t>Steinhof får skicka ny rätt kula</t>
  </si>
  <si>
    <t>Patrycja skickar rätt kula. Meddela henne om vart den ska skickas. Bett Ilker att fråga kunden om han vill ha den till sig eller till verkstaden. //TC 7/9</t>
  </si>
  <si>
    <t>Meddelat Patrycja att skicka kulan till verkstaden. //TC 8/9</t>
  </si>
  <si>
    <t>Här i ligger även två extra plastpluggar, skicka en av dessa tillsammans med en sprint (ligger på TCs skrivbord) till Peter Corneliussen</t>
  </si>
  <si>
    <t>Stefan Ragnehed</t>
  </si>
  <si>
    <t>MNX440</t>
  </si>
  <si>
    <t>Har problem med elsatsen (13-polig STARC) modulen piper, slutar pipa när han trycker på bromsen. När lyset är tänt så har han 8 volt ut på blinkers. Mudulfel?</t>
  </si>
  <si>
    <t>Ny modul</t>
  </si>
  <si>
    <t>Skickat ny modul från Monoflex 9/9 // HL</t>
  </si>
  <si>
    <t>Beställde en fodonspecifik elsats.</t>
  </si>
  <si>
    <t>Johnny Linden</t>
  </si>
  <si>
    <t>ONW358</t>
  </si>
  <si>
    <t>Skickat fast drag när han skulle haft avtagbart från lagret.</t>
  </si>
  <si>
    <t>Fått en Westfalia-krok istället, allt löst</t>
  </si>
  <si>
    <t>Ta hem dragkrok från kund. Hallsta Bilvård
Videvägen 4, 734 38 Hallstammar</t>
  </si>
  <si>
    <t>Lagt bokningoch skickat fraktsedel till kund. Upphämtning måndag. //TC 8/9</t>
  </si>
  <si>
    <t>Kommer med en elsats från Steinhof, lagerkrok. //TC 1/2</t>
  </si>
  <si>
    <t>Per Göran Blomgren</t>
  </si>
  <si>
    <t>YDD917</t>
  </si>
  <si>
    <t>OPEL</t>
  </si>
  <si>
    <t>Allt är släckt. Inget lyser. Testat med sin cykelhållare. Hållaren fungerar på annan bil.</t>
  </si>
  <si>
    <t>Säkringen hel? Ljuset på i manuellt läge? Mailat kund att kolla detta. //TC 7/9</t>
  </si>
  <si>
    <t>Testat med ljuset i olika lägen. Inget fungerar. //TC</t>
  </si>
  <si>
    <t>Svarat upp kund att han får vända sig till Femmans för åtgärd. Vi kan inte skicka honom någon annanstans. //TC 7/9</t>
  </si>
  <si>
    <t>Fuad garanterar att allt fungerarde på hans ljusramp när han lämnade ut bilen. Säger att kunden får komma tillbaka.</t>
  </si>
  <si>
    <t>Pratat med kunden. Han ska kolla säkringarna till modulen, om dem är hela och sitter på plats. Hör av sig och berättar hur det gick //TC 8/9</t>
  </si>
  <si>
    <t>Säkringen som hade gått. Går när släp är ikopplat. Bett kund att prova med ny säkring när inget är ikopplat. Och sedan prova med ett annat släp. //TC 8/9</t>
  </si>
  <si>
    <t>Kunden cykelhållare som sköt säkringen. Ingen åtgärd med andra ord. //TC 9/9</t>
  </si>
  <si>
    <t>SMP3 fasttejpad på, kom från Autocenter</t>
  </si>
  <si>
    <t>Glenn Ljung</t>
  </si>
  <si>
    <t>XTJ410</t>
  </si>
  <si>
    <t>MERCEDES C-CLASS (W203)</t>
  </si>
  <si>
    <t xml:space="preserve">Extremt sur och oskön kund!! Huset var tydligen lite snett, slår på ett par mm </t>
  </si>
  <si>
    <t>Hjälper han monteringen</t>
  </si>
  <si>
    <t xml:space="preserve">Inbokad hoss äpplekullen 12/9 Roger skulle hjälpa han (Grattis) </t>
  </si>
  <si>
    <t>RZF035</t>
  </si>
  <si>
    <t>Siw Haugli</t>
  </si>
  <si>
    <t>BFJ519</t>
  </si>
  <si>
    <t>AUDI Q 7 (4L), 06-15</t>
  </si>
  <si>
    <t>Bakluckan öppnar sig bara till hälften elektriskt</t>
  </si>
  <si>
    <t>Bett Siw att ringa till Robin direkt för tid //TC 14/9</t>
  </si>
  <si>
    <t xml:space="preserve">2007&gt;2010 </t>
  </si>
  <si>
    <t xml:space="preserve">Mathias Fjeldemyr </t>
  </si>
  <si>
    <t>OYB974</t>
  </si>
  <si>
    <t>Vredet till kroken är skadat, söderslaget vid leverans? Paketet var helt enligt Robban.</t>
  </si>
  <si>
    <t>Skickar ny kula  till kunden direkt</t>
  </si>
  <si>
    <t>Frederik beställer nytt av Steinhof // 14/9</t>
  </si>
  <si>
    <t>Joakim Mellberg</t>
  </si>
  <si>
    <t>Tagen till POA550</t>
  </si>
  <si>
    <t>FEX249</t>
  </si>
  <si>
    <t>CHRYSLER 300 C Touring</t>
  </si>
  <si>
    <t>Glapp i modul. När kund knackar på den så kommer den igång.</t>
  </si>
  <si>
    <t>Mailat om han tror att det räcker att byta modulen eller om det kan vara glapp utanför modulen. //TC 19/9</t>
  </si>
  <si>
    <t>Skicka upp en ny modul till kund, han byter själv. Kolla så att det är WH1-modulen han har. Ska vara. //TC 26/9</t>
  </si>
  <si>
    <t>Skickat WH1-modul 27/9 //TC</t>
  </si>
  <si>
    <t>Följ upp om modulen löste problemet. Ta hem den tidigare i såna fall och reklamera //TC 27/9</t>
  </si>
  <si>
    <t xml:space="preserve">Tony Olsson </t>
  </si>
  <si>
    <t>LRT427</t>
  </si>
  <si>
    <t>PEUGEOT 3008</t>
  </si>
  <si>
    <t>Ström in i modul ok men ingen ut ifrån modulen?</t>
  </si>
  <si>
    <t>Bad kunden att gå igenom kopplingen samt kolla jordningen, ev byte av modul // HL 26/9</t>
  </si>
  <si>
    <t>Kunden har med hjälp av en mekaniker gått igenom alla kopplingar modul är död. skickar en ny modul till kunden</t>
  </si>
  <si>
    <t>Beställt en modul av monoflex// 29/9 HL</t>
  </si>
  <si>
    <t>Inte hört något 14/10, även kollat med HL //TC</t>
  </si>
  <si>
    <t>Eklunds 11/5</t>
  </si>
  <si>
    <t>Olof Persson</t>
  </si>
  <si>
    <t>XDH783</t>
  </si>
  <si>
    <t>PORSCHE Cayenne, 03-10</t>
  </si>
  <si>
    <t>Elektroniken fungerar inte</t>
  </si>
  <si>
    <t>Leksand</t>
  </si>
  <si>
    <t>Det har inte fungerat för kund någongång tidigare. Bromsljus ligger på hela tiden, allt annat är dött.</t>
  </si>
  <si>
    <t>Skicka upp elsats till Robin.</t>
  </si>
  <si>
    <t>Kund ringer när han vet att han kan åka förbi Mora, kör från Malung</t>
  </si>
  <si>
    <t>Skickat elsats till Robin och bokat in kunden den 3/10 kl 11 hos Robin</t>
  </si>
  <si>
    <t>Robin fick inte till monteringen av elsats. VAD NU??</t>
  </si>
  <si>
    <t>Pratat med Robin 24/10. Robin sagt till kund att han förmodligen får byta ut hela elsatsen och att han är välkommen för detta. Kund lite tjurig på sms så bett Robin att slå honom en signal istället. //TC 24/10</t>
  </si>
  <si>
    <t>Kommit överrens med Olof om att han någon kväll eller helg åker upp till Robin. Robin kör sedan ner dem till stan för lite pizza &amp; bowling. Robin tar tag i monteringen direkt och kör sedan ner till stan igen. Kund återkommer om vilken dag som passar honom. //TC 18/11</t>
  </si>
  <si>
    <t>Olof försökte boka in fredag 25/11, Robin kunde inte. //TC 22/11</t>
  </si>
  <si>
    <t>Skiter i Robin. HL skickat upp elsats till kund. Vi lämnar 1000 kr i installationsbidrag. //TC 23/2</t>
  </si>
  <si>
    <t>Kontonummer?</t>
  </si>
  <si>
    <t>Björn Carlsson</t>
  </si>
  <si>
    <t>Saab 9-3 sportkombi -08</t>
  </si>
  <si>
    <t>Färg bortskavd</t>
  </si>
  <si>
    <t>Skicka bättringsfärg</t>
  </si>
  <si>
    <t>Finns bilder i mailen. Idiot till kund</t>
  </si>
  <si>
    <t>Bättringsfärg skickad 4/10</t>
  </si>
  <si>
    <t>Patrick Bengtsson</t>
  </si>
  <si>
    <t>MZD317</t>
  </si>
  <si>
    <t>NISSAN Qashqai II</t>
  </si>
  <si>
    <t>Kabel legat mot avgasröret, bränt kablen. Bilen inlämnad till Hedin för felsökning.</t>
  </si>
  <si>
    <t>Ola kontaktar kunden och bokar in han //HL 30/9</t>
  </si>
  <si>
    <t>Volvo v70</t>
  </si>
  <si>
    <t>Fredrik Arvidsson</t>
  </si>
  <si>
    <t>LCC123</t>
  </si>
  <si>
    <t>RENAULT Mégane Halvkombi -11</t>
  </si>
  <si>
    <t>Montering klar kl 18, för sent enligt kund... Samt att kablaget inte isolerat hela vägen</t>
  </si>
  <si>
    <t>Hallens</t>
  </si>
  <si>
    <t>Erbjudit kund att komma tillbaka till verkstaden och få kablaget isolerat hela vägen. Kompensation för tid, nej. Vi har inte lovat någon tid. //TC</t>
  </si>
  <si>
    <t>Kund bestider fakturan 6/10 //TC</t>
  </si>
  <si>
    <t>DRA KUKEN TILL TINGSRÄTTEN //TC</t>
  </si>
  <si>
    <t>Kund ok med kompensation på 500 kr. Betala ut detta. Frågat om kontonummer. Vill även att kablaget isoleras hela vägen. Kund får höra av sig om när //TC 12/10</t>
  </si>
  <si>
    <t>Länsförsäkringar
9022 8464740</t>
  </si>
  <si>
    <t>Utbetalt 12/10 //TC</t>
  </si>
  <si>
    <t>Tagen till KWH939</t>
  </si>
  <si>
    <t>Emil Andersson</t>
  </si>
  <si>
    <t>nfc514</t>
  </si>
  <si>
    <t>VW Passat kombi -13</t>
  </si>
  <si>
    <t>Hålet är dock onödigt stort, felplacerat och med fula ojämna kanter. Dragkroken ligger mot plasten så att plasten buktar. Fotmärken på tröskeln.</t>
  </si>
  <si>
    <t>Försökt att nå kunden 10/10, klickad. //TC</t>
  </si>
  <si>
    <t>Pratat med kunden. Fotavtryck och skjuts uträtt. Bara utskärningen kvar. Mailat Femmans för en kommentar //TC 10/10</t>
  </si>
  <si>
    <t>Nu är utskärningen OK men fotavtrycket har gett repor. Erbjudit honom antingen bagagerumsmatta, universala stänkskydd eller att vi kommer förbi och polerar bort det nästa gång som vi har vägarna förbi. Han skulle återkomma (förmodligen prata med frugan) //TC 10/10</t>
  </si>
  <si>
    <t>Fått på SMS: "Jag är nöjd med att få en bagagerumsmatta i gummi. Tack för den gesten iallafall. 
Emil" så - skicka matta //TC</t>
  </si>
  <si>
    <t>Fler grejer har dykt upp. Kofångare sitter inte på sin plats och det har blivit skador på kofångare och bagagelucka. Kund får ta detta med Femmans bil. Gett honom Emirs nummer</t>
  </si>
  <si>
    <t>Kund var hos Femmans lör 22/10. Inte nöjd med resultatet. Femmans har pollerat bort det mesta. Det dem inte fått bort är repor som inte åstadkommits av dem. Erbjudit ändå att lacka om kofångare. Ringt kund, inget svar //TC 24/10</t>
  </si>
  <si>
    <t>Efter massa tjaffs så står vårt erbjudande som att: Kund får lämna in bilen till oss för lackering av kofångare. Han får milersättning för sista resan. Han ska fundera</t>
  </si>
  <si>
    <t>Emir löser lånebil. SMSat Emil om när dem vill komma till verkstaden (en vecka bort i tiden minst). //TC 31/10</t>
  </si>
  <si>
    <t>Emil OK om han får 800 kr. Pratat med Emir om detta. Emir återkommer //TC 1/11</t>
  </si>
  <si>
    <t>Betala ut 800 kr till Emil //TC 1/11
Forex Bank
9420
319 909 3</t>
  </si>
  <si>
    <t>Börjar nu igen. Bett honom dra åt helvette. //TC 11/4</t>
  </si>
  <si>
    <t>Jörgen Hilcén</t>
  </si>
  <si>
    <t>NWB705</t>
  </si>
  <si>
    <t>Hatab</t>
  </si>
  <si>
    <t>Kund haft problem med elen. inte fungerat.</t>
  </si>
  <si>
    <t>Kund kommit ner till Motornavet och fått det åtgärdat. Hatab har kopplat matning på jorden....</t>
  </si>
  <si>
    <t>Håkan Fridolf</t>
  </si>
  <si>
    <t>CFL178</t>
  </si>
  <si>
    <t>MERCEDES C-klass Kombi 07&gt;14</t>
  </si>
  <si>
    <t>Fått fel elsats från Monoflex. Fel på deras hemsida</t>
  </si>
  <si>
    <t>Skicka ny elsats</t>
  </si>
  <si>
    <t>Beställt ny rätt elsats, 313 210 300 107 av Christina 12/10. Hon gör avvikelse på den. Mailar oss returhandlingar //TC</t>
  </si>
  <si>
    <t>Kenneth erkänner att felet ligger hos dem och att om kunden har någon faktura från verkstad ”som är rimlig” så tar dom den. Om kunden däremot monterat själv så blir det svårt för dem</t>
  </si>
  <si>
    <t>Kommit 15/5</t>
  </si>
  <si>
    <t>Kund monterat rätt elsats och skickat tillbaka den felaktiga. Montering kostade 400 kr, ta upp kompensation med Kenneth. //TC 27/10</t>
  </si>
  <si>
    <t>Ringde Kenneth 27/10 men han var i telefonkonferens //TC</t>
  </si>
  <si>
    <t>Kompensation OK med Monoflex. Kund har dock inget kvitto, då blir det inget... //TC</t>
  </si>
  <si>
    <t>V-299</t>
  </si>
  <si>
    <t>Avtagbar AH</t>
  </si>
  <si>
    <t>00-07</t>
  </si>
  <si>
    <t>Eklunds / marcus</t>
  </si>
  <si>
    <t>TZS998</t>
  </si>
  <si>
    <t>Fiat Freemont</t>
  </si>
  <si>
    <t xml:space="preserve">Eklunds monterade draget och elsatsen allt funkade men kunden ringde och sa att nu var det strömlöst. Han har lämnat in bilen på en Meca verkstad då han ej bor i Göteborg. Verkstaden tror att det är modulen som är trasig </t>
  </si>
  <si>
    <t>Eklunds ville ha hjälp med att ringa till Meca, Tomas 0709-242724 och förklara //HL14/10</t>
  </si>
  <si>
    <t>Tagen till XCS972 14/5 FP</t>
  </si>
  <si>
    <t>Versktadskille Hans Olof, 0670-291107</t>
  </si>
  <si>
    <t>Folkes Bilservice
Näsviken 100
83592 Strömsund
Att: Hans Olof TZS998</t>
  </si>
  <si>
    <t>Beställt modul av Christina 14/10. Återkoppla sedan till henne när Hans Olov har återkopplat. //TC</t>
  </si>
  <si>
    <t>Inte hört något 18/11 och inte betalt något för modulen. Avslutar ärendet. //TC 18/11</t>
  </si>
  <si>
    <t>Jonas de Korostenski</t>
  </si>
  <si>
    <t>OLL700</t>
  </si>
  <si>
    <t>Volvo C30 -07</t>
  </si>
  <si>
    <t>Elektroniken fungerar inte, lyser inte alls.</t>
  </si>
  <si>
    <t>HH Bilservice</t>
  </si>
  <si>
    <t>Bett kund att kontakta verkstaden. Flyttat förfallodatum 10 dagar. //TC 17/10</t>
  </si>
  <si>
    <t>Inte hört något 18/11. Avslutar ärendet //TC 18/11</t>
  </si>
  <si>
    <t>Autocity Motors Fastigheter i Löddeköpinge AB</t>
  </si>
  <si>
    <t>MPS206</t>
  </si>
  <si>
    <t>Renault megan Kombi</t>
  </si>
  <si>
    <t>Elsats saknas vid leverans, paketet sönder</t>
  </si>
  <si>
    <t>Skickar en ny elsats från kontoret 17/10, Tobias mailar Steinhof om kreditering av elsatsen</t>
  </si>
  <si>
    <t>XCO675</t>
  </si>
  <si>
    <t>L 20</t>
  </si>
  <si>
    <t>Per Landin</t>
  </si>
  <si>
    <t>GYE141</t>
  </si>
  <si>
    <t>MB E-klass kombi W212</t>
  </si>
  <si>
    <t>Monterat en 7-polig men det var beställ en 13-polig</t>
  </si>
  <si>
    <t>inbokad den 21/10 för byta från 7 till 13-polig</t>
  </si>
  <si>
    <t>V-298</t>
  </si>
  <si>
    <t>2000-2007</t>
  </si>
  <si>
    <t>Jan-Ove Brännvall</t>
  </si>
  <si>
    <t>NWF085</t>
  </si>
  <si>
    <t>Mercedes E-klass -12 sedan -12</t>
  </si>
  <si>
    <t>Elen funkar ej. Har varit hos Dannevall och dom kollat igenom allt, kopplingarna verka vara rätt dom är ganska säkra på att det är modulen.</t>
  </si>
  <si>
    <t>kunden skickar modul till oss, Monoflex skickar en ny direkt till kunden. 20/10 //HL</t>
  </si>
  <si>
    <t>Kund är hos Dannevall idag 1/11. Patrik får svagström på alla poler, bett honom att testa med släp/testramp eller kolla position/bromsljuskopplingarna. //TC 1/11</t>
  </si>
  <si>
    <t>Elsatsen fungerar inte med bilen. Dannevall får inte till det även om dem har provat allt. Skicka en SMP och ta kredit av Monoflex på Starc-elsatsen. //TC 1/11</t>
  </si>
  <si>
    <t>Dannevall har skickat fakturan till oss på uppmaning från kund. Inte ok. Vi har bett Dannevall att kreditera denna och skicka faktura till kund. Vi har inte haft med monteringen att göra. Dannevall krediterat fakturan. //TC 8/11</t>
  </si>
  <si>
    <t>Fått starc-elsats tillbaka (två moduler) //TC 9/11</t>
  </si>
  <si>
    <t>Kund ringt 11/11 och tycker att vi ska betala fakturan från Dannevall. Sagt till kund att vi inte kan ta en faktura på monteringen då det varit en kass montering från början. Han får vända sig till M12 bil och vi ställer gärna upp med bevisning eller liknande om så behövs. Kund menar på att det är fel på elsatsen, men då två moduler testats och ingen fungerar så sa jag att det är väldigt långsökt, speciellt när man vet att M12 inte gjort ett bra jobb (inte använt scotchlocks och blinkers lyser när han bromsar osv.). //TC 11/11</t>
  </si>
  <si>
    <t>Inget mer att göra, inte hört något heller.. //TC 18/11</t>
  </si>
  <si>
    <t>Tillhörde order för RMJ207. Saknar ev kula. // Tagen till SGL833</t>
  </si>
  <si>
    <t>Jeppes Bil och Maskin</t>
  </si>
  <si>
    <t>BDX377</t>
  </si>
  <si>
    <t>Saab 9-3 -08 kombi</t>
  </si>
  <si>
    <t>Kunden hävdar att det är modulen som är sönder!? Har följet anvisningarn till punkt och prickar, testat olika jordpunkter mm</t>
  </si>
  <si>
    <t>Ny modul monoflex</t>
  </si>
  <si>
    <t>Fick tydligen rätt på elsatsen!!?? Lämnar modulen som Monoflex skickade här 24/10</t>
  </si>
  <si>
    <t>LTH482</t>
  </si>
  <si>
    <t>Fredrik Liljenberg</t>
  </si>
  <si>
    <t>TZA335</t>
  </si>
  <si>
    <t>Honda CRV -03</t>
  </si>
  <si>
    <t>1999&gt;2007</t>
  </si>
  <si>
    <t xml:space="preserve">Dåligt svetsad, på en sida kundan man se att det var hål i draget, Kunden fixade det själv. Bet om att få bilder på draget.   Kunden väldugt nöjd med oss, bra service och vi är trevliga. </t>
  </si>
  <si>
    <t>Så fort vi fått bilderna så får vi kolla vad vi kan göra på fakturan.</t>
  </si>
  <si>
    <t>Gett kunden kompensation. Fick ett drag av Steinhof. //TC</t>
  </si>
  <si>
    <t>Hittade inte denna 19/12. FP</t>
  </si>
  <si>
    <t>Alexander Simenstad Schou</t>
  </si>
  <si>
    <t xml:space="preserve">BMW 5-serie Sedan 10&gt; </t>
  </si>
  <si>
    <t>Fått fel dragkrok från Monoflex. Vi har beställt en 303398. Fått en 303368</t>
  </si>
  <si>
    <t>VOLVO V70</t>
  </si>
  <si>
    <t>Fått fel dragkrok från Monoflex. Vi har beställt en 303398. Fått en 303368. Mailat Monoflex detta. //TC 24/10</t>
  </si>
  <si>
    <t>Kund varit nere i Göteborg och bytt dragkrok samt fått den monterad till ett kanonpris 2500 kr. //TC</t>
  </si>
  <si>
    <t>Mikael Gärdeman Grek</t>
  </si>
  <si>
    <t>OFJ303</t>
  </si>
  <si>
    <t>Mazda CX-5 -16</t>
  </si>
  <si>
    <t xml:space="preserve">Vid montering så har det blivit små sprickor på insidan av skyddspanelerna vid bakljuset, kunden stod med under hela monteringen och det var han som upptäckte det </t>
  </si>
  <si>
    <t>Mora 4/10</t>
  </si>
  <si>
    <t>Se mail från Robin</t>
  </si>
  <si>
    <t xml:space="preserve">Volvo V70 </t>
  </si>
  <si>
    <t>Bett Robin att ringa upp kunden och ha en dialog med honom. Försöka med nånting. Han ska ringa tillbaka när han pratat med kunden. //TC 27/10</t>
  </si>
  <si>
    <t>Bett Robin igen att ringa till kunden då kunden skickat surt mail. Robin höll på att kolla med försäkring och grejer men Robin lovade att han skulle ringa honom IDAG. /TC 1/11</t>
  </si>
  <si>
    <t>Pratat med Robin idag och han hade kontakt med kund för ett par dagar sedan och skulle prata med honom idag igen (!?) //TC 18/11</t>
  </si>
  <si>
    <t>Ringt och sms:at Robin! Bett han ta kontakt med oss! 17/1 //HL</t>
  </si>
  <si>
    <t>Ringt flera ggr, mailat och sms:at. Han svarar inte. 25/1 / FP.</t>
  </si>
  <si>
    <t>Pratat med Mikael 10/2 ska åter komma till honom</t>
  </si>
  <si>
    <t>Pratat med Mikael, erbjöd han 2000kr i kompensation men han sa nej till det, tyckte vi kunden strycka hela fakturan helt och hållet. Plast delarna ligger på 1000-2000 kr st, återkommer till han om ev få det fixat på verkstad i Borläng 7/3 HL</t>
  </si>
  <si>
    <t>Ordnat med delar och verkstad. HL meddelat kunden detta. Östens Bil Traktor Maskinservice, 0243-23 40 45 / FP</t>
  </si>
  <si>
    <t>Kollat med Eklunds om delar är på G, kommer om ett par dagar, dem ringer. //TC 6/4</t>
  </si>
  <si>
    <t xml:space="preserve">Kollat med Patrik på Eklunds igen. Fortfarande inte kommit. Kommer ev v 19 men tror inte det. Maila reservdelar@eklunds.se i v 19 // FP 20/4 </t>
  </si>
  <si>
    <t>Delar kommit hit. Jagat kunden flera ggr på telefon och mail. Svarar han inte senast 23/8 så mailar vi igen att vi kommer fakturera honom oavsett. / FP 21/8</t>
  </si>
  <si>
    <t>Pratat med kund. Bestämde 26/9 men lämnar dagen innan på Östens Bil &amp; Traktor i Borlänge. Utbyte av plastpaneler.</t>
  </si>
  <si>
    <t>Plastpaneler bytta och klart.</t>
  </si>
  <si>
    <t>Lillemor Johansen</t>
  </si>
  <si>
    <t>NLU785</t>
  </si>
  <si>
    <t>Mercedes W204 C-klass 4d</t>
  </si>
  <si>
    <t xml:space="preserve">Har fått för sig att efter man monterat dragkroken så har det varit svårt att stänga bageluckan på bilen. </t>
  </si>
  <si>
    <t>Motornavet 12/5</t>
  </si>
  <si>
    <t>Har bett henne köra inom motornavet så har dom lovat (ola) att kolla på det. Nöjd , inga sura miner från henne.</t>
  </si>
  <si>
    <t>Bagageluckan fixad hos Motornavet 17/11 //TC</t>
  </si>
  <si>
    <t>Sten-Åke Sanberg</t>
  </si>
  <si>
    <t>13-8019</t>
  </si>
  <si>
    <t>Volvo V70 / S60</t>
  </si>
  <si>
    <t>Slavko Smitran</t>
  </si>
  <si>
    <t>ETE806</t>
  </si>
  <si>
    <t>VW Crafter skåp -12</t>
  </si>
  <si>
    <t>Steinhof lovad FP att draget V-033 skulle passa 85 cm men det var 100cm! Steinhof har lovat att hämta upp draget hos kunden.</t>
  </si>
  <si>
    <t xml:space="preserve">Beställde en Westfalia iställt med bra rabatt, men hörde av sig 2016-10-31 och gnällde om att han då måste köpa nytt fotsteg så ha avbeställde ordern </t>
  </si>
  <si>
    <t>Volvo V70 / S80</t>
  </si>
  <si>
    <t>Bo Weideskog</t>
  </si>
  <si>
    <t>2016-10-10 / 18/10</t>
  </si>
  <si>
    <t>YBW641</t>
  </si>
  <si>
    <t>Mitsubishi ASX -15</t>
  </si>
  <si>
    <t>Var ej nöjd men genomföringen, grader på hålen samt ej tättade, några sladdar låg löst.</t>
  </si>
  <si>
    <t>Gör om gör rätt...</t>
  </si>
  <si>
    <t>Har pratat med Fredrik (Järfälla) han kunde tänka sig att köra hem till kunden och åtgärda det hela. 01/11</t>
  </si>
  <si>
    <t>Pratat med kunden. Fredrik har varit hos honom och fixat genomföringen. Kund inte helt nöjd med släpper det och betalar fakturan. //TC 25/11</t>
  </si>
  <si>
    <t>Leif Eriksson</t>
  </si>
  <si>
    <t>UBT826</t>
  </si>
  <si>
    <t>Jaguar x-type 2002</t>
  </si>
  <si>
    <t>Växellådan rasat när kund åkt från verkstaden. Menar på att det har med dragkroksmonteringen att göra och att felet är vårt. Bilen kvar i verkstaden.</t>
  </si>
  <si>
    <t>Robban Bilservice</t>
  </si>
  <si>
    <t>Kund har ringt till Joe's Garage som sagt att det kan ha med dragkroksmonteringen att göra. TC ringt till Joe's Garage och pratat med Anders Billing som berättat att det är ett vanligt bekymmer att växellådorna rasar på tidiga modeller av X-Type. Anders skulle kolla runt med vem kunden kan ha talat med och återkomma. //TC 4/11</t>
  </si>
  <si>
    <t>Anders  på Joe´s Garage ringde och sa att han hittat killen hos dem som sagt att "det kan vara dragkrokens fel" men det stämmer inte. Han berättade att det även har funnits ett utbytesprogram för dessa växellådorna.</t>
  </si>
  <si>
    <t>Ringt kunden och sagt att vi inte tar på oss någonting då det är ett välkänt bekymmer med hans växellåda. Sagt att vi behöver få betalt för dragkrok och arbete, men att vi kan flytta fakturadatum 10 dagar om han vill bevisa att vi har orsakat skadan. Han ska kontakta Joe´s Garage och håller oss uppdaterade. //TC 4/11</t>
  </si>
  <si>
    <t>Kund har inte hört av sig något mer. Säkerligen fått info från Joe's Garage att det inte är vårt fel. //TC 18/11</t>
  </si>
  <si>
    <t>Volvo V70 / XC70</t>
  </si>
  <si>
    <t>Anton Linde</t>
  </si>
  <si>
    <t>LCB310</t>
  </si>
  <si>
    <t>Volvo C30 -11</t>
  </si>
  <si>
    <t>Elen funkar ej, Problem med elen, ingenting fungerar. Bett honom att kolla hängsäkringen //TC 27/9. Säkringen verka var ok, har själv varit i kontakt med M12 men fått kalla handen.</t>
  </si>
  <si>
    <t>Boka upp han på en tid i Järfälla för att gå igenom elen, verkstaden ringer oss om vad som kan ha gått galet i värsta fall byta ut elsatsen men förmodligen är det ett lätt fel att åtgärda</t>
  </si>
  <si>
    <t>Inbokad i Järfälla 29/11. Lämnar bilen dagen innan. //TC 17/11</t>
  </si>
  <si>
    <t>Elsats ej bytt men strömmatning gjord korrekt. Var kopplad på en lampa av M12, nu är det kopplat på batteriet. //TC 29/11</t>
  </si>
  <si>
    <t>Krok i retur från Marco Hallgren, Dky585</t>
  </si>
  <si>
    <t>Mr No Name, 0728-788770</t>
  </si>
  <si>
    <t>Volvo S40 -05</t>
  </si>
  <si>
    <t>Matttan passar inte alls. Se mail skickat till GJK 14/11</t>
  </si>
  <si>
    <t>VOLVO V70 2000&gt;2007</t>
  </si>
  <si>
    <t>2000&gt;2007</t>
  </si>
  <si>
    <t>Kund har betalt 595 kr, vill ha en ny matta. Håll kontakten. Mailat GJK 14/11 om vad vi ska göra. //TC</t>
  </si>
  <si>
    <t>Krediterat kund för mattan. Han var här på plats. //TC 16/11</t>
  </si>
  <si>
    <t>Mikael Söderlund</t>
  </si>
  <si>
    <t>MXG855</t>
  </si>
  <si>
    <t>VW Passat kombi från 2013</t>
  </si>
  <si>
    <t>"Bilen har efter installation börjat klaga på att bakluckan är öppen. Både stillastående och vid färd. Luckan är så stängd den kan vara. 
Även larmet har börjat gå på grund av detta och sensorn för fotöppning av luckan."</t>
  </si>
  <si>
    <t>Tillhör TCH705</t>
  </si>
  <si>
    <t>Mailat kund att kontakta verkstad direkt. Även mailat Daniel om att kunden kommer ringa eller om han kan ringa. //TC 30/11</t>
  </si>
  <si>
    <t>Daniel pratat med kunden. Det har inget med monteringen att göra. Inte så att luckan tar i utan det är låskistan som är kass. Daniel berättat för kunden att det är vanligt att dem ger upp. (vi har även bytt på våran ju). Så allt verkar cool. //TC 30/11</t>
  </si>
  <si>
    <t>Kund bytt lås och problemet kvarstår. Allt fungerar fysiskt enligt kund. Den stänger helt. Däremot så hade han en teori om att det kan vara glapp eller kabelbrott till motorn som spänner. Inbokad hos Älta på fredag 21/12 kl 8 för att kolla bara kablaget. //TC 21/12</t>
  </si>
  <si>
    <t>Inte hört något, status? //TC 10/1</t>
  </si>
  <si>
    <t>Pratat med Daniel, dom kollade igenom kablarna den 21/12 allt var som det skulle. 17/1 //HL</t>
  </si>
  <si>
    <t>VOLVO V70 2007&gt;</t>
  </si>
  <si>
    <t>Kund betalt 25/11 och inte hört något mer. Avslutar reklamationen. //TC</t>
  </si>
  <si>
    <t>Alvar Jacobsson AB</t>
  </si>
  <si>
    <t>AS21385</t>
  </si>
  <si>
    <t>VOLVO V70 07&gt;</t>
  </si>
  <si>
    <t>Positionsljus plötsligt börjat lysa när bilen är avstängd, även om positionsljus kopplas ur. Har fungerat förut.</t>
  </si>
  <si>
    <t>Skickat modul. Bett om återkoppling och ev modul tillbaka om det löste problemet. //TC</t>
  </si>
  <si>
    <t>Tagen till BOJ205</t>
  </si>
  <si>
    <t>Dhasir Alabass</t>
  </si>
  <si>
    <t>FDU348</t>
  </si>
  <si>
    <t>Volvo V50 -09</t>
  </si>
  <si>
    <t>Baklamporna fungerar ej när släp är kopplat. Fungerat tidigare</t>
  </si>
  <si>
    <t>Kund ringt HL. Emir hade lagt ifrån sig allt när kund ringt till dem.</t>
  </si>
  <si>
    <t>Pratat med Emir och dem kollar på det. Sagt till Emir att om det har med kunden handhavande att göra, säkring eller liknande så ta betalt av kund. Kund välkommen när som under veckan. //TC 5/12</t>
  </si>
  <si>
    <t>Tagen till SEJ105 tydligen.</t>
  </si>
  <si>
    <t>Kund fått det åtgärdat hos Speedy. Strömmatningen dragen under baksätet och kommit i kläm/gått av. Speedy ordnat detta i V.49. //TC</t>
  </si>
  <si>
    <t>V/015</t>
  </si>
  <si>
    <t>Tim Fäder</t>
  </si>
  <si>
    <t>GHE409</t>
  </si>
  <si>
    <t>Kia Sportage -15</t>
  </si>
  <si>
    <t>Problem med backsensorer + kofångare</t>
  </si>
  <si>
    <t>FP Mailat Halléns om att dem ska kontakta kunden.</t>
  </si>
  <si>
    <t>Ringt Fredrik och bett honom att ringa idag. Han skulle ringa idag till kunden och säga att han var sjuk under förra veckan. //TC 12/12</t>
  </si>
  <si>
    <t>Fredrik har talat med honom. Kunden jobbade i sälen denna vecka. Så vi skulle bestämma en tid på måndag när han vet sit arbetschemma.</t>
  </si>
  <si>
    <t>Tagen till CDH973</t>
  </si>
  <si>
    <t>Känns som Fredrik glömt bort kunden helt och hållet? Vidarbefodrat ett mail ifrån Tim till Fredrik så han får lösa det 17/1 HL</t>
  </si>
  <si>
    <t>Fått grinigt mail från Kunden, ringt Fredrik och sagt åt honom att ringa upp kunden direkt! //TC</t>
  </si>
  <si>
    <t>Mailat Fredrik om status 1/2 HL</t>
  </si>
  <si>
    <t>Verka vara fixat enligt Fredrik Hallen Avslutat 8/3 HL</t>
  </si>
  <si>
    <t>Daniel Feldt</t>
  </si>
  <si>
    <t>KYP998</t>
  </si>
  <si>
    <t>AUDI A4 Kombi 2008&gt;2016</t>
  </si>
  <si>
    <t>Trasigt vred på kula.</t>
  </si>
  <si>
    <t>Patrycja får skicka nytt</t>
  </si>
  <si>
    <t>Mailat Patrycja om att skicka ny kula. //TC 28/12</t>
  </si>
  <si>
    <t>Patrycja skickar ett nytt. //TC 29/12</t>
  </si>
  <si>
    <t>Tagen till DNN657</t>
  </si>
  <si>
    <t>V-297</t>
  </si>
  <si>
    <t>David Herke</t>
  </si>
  <si>
    <t>FUE186</t>
  </si>
  <si>
    <t>Bromsljus fungerar ej.</t>
  </si>
  <si>
    <t>Låter som att det är klassiska V70-problemet med bakluckan öppen.</t>
  </si>
  <si>
    <t>HL ringer till kunden och kollar lite.</t>
  </si>
  <si>
    <t>Kunden är på semester, återkommer efter det och åker upp till verkstaden för åtgärd. //HL 31/1</t>
  </si>
  <si>
    <t>Har ej hört något från kunden! Avslutar reklamationen 8/3 HL</t>
  </si>
  <si>
    <t>Tagen till NEB759 tydligen</t>
  </si>
  <si>
    <t>Kjell Axelsson</t>
  </si>
  <si>
    <t>HTH412</t>
  </si>
  <si>
    <t>Kia Sportage Special Edition -15</t>
  </si>
  <si>
    <t>Problem med backsensorer. Inte direkt men efter några veckor.</t>
  </si>
  <si>
    <t>Bett kund och Fredrik att ta kontakt med varandra för lösning. Förmodligen glapp i kontakten till någon av sensorerna. //TC</t>
  </si>
  <si>
    <t>Lämnar bilen den 9/2 hos Fredrik för åtgärd.</t>
  </si>
  <si>
    <t>Fick mail av kunden 20/2. Backsensor som lossnat, Fredrik Jpg fixat.</t>
  </si>
  <si>
    <t>Tagen till FUT609</t>
  </si>
  <si>
    <t>Motorhuset / Auto club i Uppsala</t>
  </si>
  <si>
    <t>WPR037</t>
  </si>
  <si>
    <t>Ford Focus kombi -10</t>
  </si>
  <si>
    <t>Kund menar på att dragkrok inte passar.</t>
  </si>
  <si>
    <t>Pratat med Jallu och förmodligen fästjärnen för dragbalken som dem inte lossat. Men Monoflex tar tillbaka draget och kikar på det. Ring sedan Motorhuset och se hur vi ska göra. Dubbelkolla reg.nr på bilen med. //TC 9/2</t>
  </si>
  <si>
    <t>Christina ordnar med retursedel, VB sedan till kund. //Tc 9/2</t>
  </si>
  <si>
    <t>Skickat returhandlingar till adel@motorhusetab.se 10/2 //TC</t>
  </si>
  <si>
    <t>Stefan på Monoflex har gått igenom kroken. Allt OK. Ringt Adel och meddelat detta. Han menar ändå på att den är fel. Ska dubbelkolla reg.nr och meddela om han vill ha en Steinhof-krok istället. Sagt att om han inte tar någon så vill inte jag stå för frakterna. //TC 7/3</t>
  </si>
  <si>
    <t>Adel ska ringa tillbaka</t>
  </si>
  <si>
    <t>Tagen till CEU638</t>
  </si>
  <si>
    <t>Jonas Johansson</t>
  </si>
  <si>
    <t>UOH203</t>
  </si>
  <si>
    <t>Sidojärn saknas vid leveransen</t>
  </si>
  <si>
    <t>Skicka två sidojärn till kund</t>
  </si>
  <si>
    <t>Ena sidojärnet har vi här, andra beställt av Patrycja idag. Skicka bägge när det kommer till oss //TC 13/2</t>
  </si>
  <si>
    <t>Skickat nytt komplett drag till kund. tagit hem v. sidojärn. Ta sedan hem ej komplett krok från kund.</t>
  </si>
  <si>
    <t>Dragkrok levererad. Har vi tagit hem den första?</t>
  </si>
  <si>
    <t>Tagen till LPX073</t>
  </si>
  <si>
    <t>Patrick Vesterlund</t>
  </si>
  <si>
    <t>DUJ185</t>
  </si>
  <si>
    <t>JEEP Cherokee -15</t>
  </si>
  <si>
    <t>Batteriet varnar och bilen går ner i "battery save mode". Elektriska bakluckan fungerar inte med knappen. Dock med fjärrkontrollen.</t>
  </si>
  <si>
    <t>Kund har kört 45-60 minuter med bilen. Varningen slocknar inte även efter att han kört. Läget går in direkt när han startar bilen. Startar han inte så går det inte in förrän efter 5 minuter. Inga problem med att starta</t>
  </si>
  <si>
    <t>Kan det vara så att batteriet är kass? Batteriet tar inte emot laddning? Generator problem?</t>
  </si>
  <si>
    <t>Daniel har kopplat in batteriladdare medans dem monterade, så teorin fallerade... //TC 15/2</t>
  </si>
  <si>
    <t>Daniel bokar in kunden för felsökning. Ska prova att dra säkringarna för elsatsen, kolla om modulen drar ström när bilen är avstängd, kontrollera om batteriet är friskt, nolla felkoder. Se om problemet kommer tillbaka när elsatsen inte är inkopplad. //TC 15/2</t>
  </si>
  <si>
    <t>"Dom hittade ett el-fel på bilen under servicen som går på bilens garanti, nånting med generatorn tror jag.
Det hade troligen inte upptäcks om vi inte monterat dragkroken.
Troligen löser detta problemet, återkommer när jag får tillbaks bilen i slutet på veckan." Mail 21/2 //TC</t>
  </si>
  <si>
    <t>Tagen till SMP395</t>
  </si>
  <si>
    <t>Jonas Uebel</t>
  </si>
  <si>
    <t>AET633</t>
  </si>
  <si>
    <t>Audi A6 sedan -07</t>
  </si>
  <si>
    <t>Saknas bult, muttrar mm</t>
  </si>
  <si>
    <t>Beställer nya bultar ifrån Steinhof skickas direkt till kund</t>
  </si>
  <si>
    <t>Beställt bultsats ifrån Stenhof 16/2 HL</t>
  </si>
  <si>
    <t>Sylve Andersson</t>
  </si>
  <si>
    <t>RWX947</t>
  </si>
  <si>
    <t>Renault Grand Scenic -14</t>
  </si>
  <si>
    <t>Sidojärnen stämmer in överrens med hålen i bilen.</t>
  </si>
  <si>
    <t>Mailat Patrycja om problemet. Ta tag i detta på måndag. //TC 17/2</t>
  </si>
  <si>
    <t>Påminnt Patrycja igen. Inte fått något svar sedan "ok"... //TC 20/3</t>
  </si>
  <si>
    <t>Sidojärn skickas i V.12, var inte klara i produktion. Bett PA att ringa kund. //TC 21/3</t>
  </si>
  <si>
    <t>Frågat Patrycja om status 5/4 //TC</t>
  </si>
  <si>
    <t>Nya sidojärn levererade till kund. 29/3 //TC 6/4</t>
  </si>
  <si>
    <t>Inte hört något mer, förmodligen passade det. Avslutar ärendet //TC 2/6</t>
  </si>
  <si>
    <t>Caroline Hoppstadius</t>
  </si>
  <si>
    <t>DEY703</t>
  </si>
  <si>
    <t>VOLKSWAGEN Golf V/VI Kombi 07&gt;13</t>
  </si>
  <si>
    <t>DPH782</t>
  </si>
  <si>
    <t>STARC modul som piper och lever jävel</t>
  </si>
  <si>
    <t xml:space="preserve">Bett Monoflex skicka ny till kund, kunden skickar den gammla moduel till Monoflex </t>
  </si>
  <si>
    <t>Bad kunden ringa suporten på Monoflex då det verka som den nya modueln inte funkade 13/3 HL</t>
  </si>
  <si>
    <t>Ok med denna enligt HL //TC 20/3</t>
  </si>
  <si>
    <t>Morgan Svensson</t>
  </si>
  <si>
    <t>AWT044</t>
  </si>
  <si>
    <t>Toyota RAV 4, -14</t>
  </si>
  <si>
    <t>Airbag lampa tänd, elbacklucka gick ej att stänga 0ch ev Lackskador</t>
  </si>
  <si>
    <t>Lamporna släckta på verkstaden OK. gällande ev lackskador så hade verkstaden lovat fixa det enligt kunden. Kunden inte riktigt nöjd bad han återkoppla till verkstaden då dom lovat att fixa lacken.</t>
  </si>
  <si>
    <t>Issam polerat hela bilen. Kunden inte nöjd ändå tydligen... //TC 20/3</t>
  </si>
  <si>
    <t>Allt är åtgärdat på bilen. Kunden känner själv att det är utagerat mot IM Bilservice, men skulle inte vilja rekommendera dem jadajadajada. Vi skickar upp golvmattor till kund som plåster på såret för alla extra besök och de 2000 kr som han lagt på rekond på bilen. //TC 21/3</t>
  </si>
  <si>
    <t>Har ytterligare grej... Ljus dimras ner och pulserar i takt med tex blinkers. Skulle vilja få det kontrollerat men inte av IM Bilservice. Föreslagit att han kan kika förbi Örebro när han har vägarna förbi. Återkommer till oss när han kan tänka sig att åka åt det hållet. //TC 3/4</t>
  </si>
  <si>
    <t>"Nu har kontakten slutat funka helt. Inget ljus alls. Vid bromsning eller blinkers användning, larmar bilen för att backluckan är öppen. Hittar ingen säkring som är trasig." Frågat kund om hängsäkring är hel, även om vi ska boka in för genomgång. //TC 12/6</t>
  </si>
  <si>
    <t>Kund vill ev ha 13-pol fordonsspecifik elsats m. extra matare istället. Sagt strax under 4000 kr, kund kan tänka sig att betala 3000 kr för detta. Kolla med Issam //TC 13/6</t>
  </si>
  <si>
    <t>Måndag 26/6 kl 17</t>
  </si>
  <si>
    <t>Kund fått elsats monterad. Klagade igen på skador på lacken. Kund betalt till slut. Grinig som fan för det med... Sälj inget mer till denna kunden tack.
//TC</t>
  </si>
  <si>
    <t>Richard Aztor</t>
  </si>
  <si>
    <t>MEY111</t>
  </si>
  <si>
    <t>BMW 5-Serie kombi -12</t>
  </si>
  <si>
    <t>Trasig kula i försändelsen</t>
  </si>
  <si>
    <t>Vredet på kulan trasigt vid leverans. Klassiska felet. Frågat kund om han vill ha ny kula eller om han vill köpa ett Westfalia istället för 3395 kr inkl moms. //TC 20/3</t>
  </si>
  <si>
    <t>Patrycja ordnar med upphämtning av dragkroken //TC 21/3</t>
  </si>
  <si>
    <t>Tagen till Nordiska Bilhuset 15/8</t>
  </si>
  <si>
    <t>Lars Rönnqvist eller Gästrike Autoservice</t>
  </si>
  <si>
    <t>Benni Andersen</t>
  </si>
  <si>
    <t>MNH443</t>
  </si>
  <si>
    <t>MERCEDES C-CLASS -10 Sedan</t>
  </si>
  <si>
    <t>Skicka ner ACS 6002 från oss. Ta hem en kula från Steinhof</t>
  </si>
  <si>
    <t>Patrycja skickar en ny kula till oss. //TC 21/3</t>
  </si>
  <si>
    <t>Jimmy Vahviala</t>
  </si>
  <si>
    <t>uof598</t>
  </si>
  <si>
    <t>Mercedes Benz E-klass Sedan</t>
  </si>
  <si>
    <t>Patrycja får skicka ny kula</t>
  </si>
  <si>
    <t>Mailat Patrycja om att skicka en ny kula till kunden. //TC 27/3</t>
  </si>
  <si>
    <t>Patrycja skickat kula 3/4 //TC</t>
  </si>
  <si>
    <t>Anders Bergman</t>
  </si>
  <si>
    <t>Seat Ateca -17</t>
  </si>
  <si>
    <t>Kulan är för kort. Behöver en som är 6 cm längre.</t>
  </si>
  <si>
    <t>Skicka en längre kula till kunden</t>
  </si>
  <si>
    <t>Vi har chansat lite på draget. Tydligen passar det inte. Kan vara bra att veta! Mailat kund om vilka mått det är på hans kula idag. //TC 27/3</t>
  </si>
  <si>
    <t>Skickat ny kula till honom från lagret. Han blev supernöjd. Kul med lite händiga gubbar! Får behålla den första kulan till sin traktor. //TC 5/4</t>
  </si>
  <si>
    <t>Peugeot 3008 -12</t>
  </si>
  <si>
    <t>Modulen levererar ingenting ut trots att matningen och alla funktioner är ok.</t>
  </si>
  <si>
    <t>Skicka upp en ny modul.</t>
  </si>
  <si>
    <t>Skicka upp en ny modul till kunden. Bett honom att kolla alla kontakter så att det inte glappar.</t>
  </si>
  <si>
    <t>Kunden ska återkoppla hur det löste problemet. //TC 28/3</t>
  </si>
  <si>
    <t>Tillhörde mum458, kund en idiot och var tvungen att ha Steinhof. Bett kund att lämna av det hos Revtech. //TC 23/7. Tagen till GRU915, /FP 25/8</t>
  </si>
  <si>
    <t>Markus Jellinek</t>
  </si>
  <si>
    <t>DTC765</t>
  </si>
  <si>
    <t>BMW X3 -2012</t>
  </si>
  <si>
    <t>Elsatsen drar tjuvström</t>
  </si>
  <si>
    <t>43041</t>
  </si>
  <si>
    <t>Varit hos Speedy och fått allt genomgånget. Monir menar på att det är kopplat precis efter monteringsanvisningen. //TC</t>
  </si>
  <si>
    <t>Pratat med Stephan på Monoflex om vad det kan vara. Skillnad på USA-modellen mot eu? On Call systemet, kan det spöka? //TC 27/3</t>
  </si>
  <si>
    <t>Kollat och påminnt Stephan, han har inte hört något än... //TC 31/3</t>
  </si>
  <si>
    <r>
      <rPr/>
      <t xml:space="preserve">VOLKSWAGEN Passat Kombi 1997&gt;2005
SKODA Superb Sedan 2002&gt;2008
VOLKSWAGEN Passat Sedan 1996&gt;2005
</t>
    </r>
    <r>
      <rPr>
        <b/>
      </rPr>
      <t>Ej 4x4</t>
    </r>
  </si>
  <si>
    <t>Han vägrar att komma tillbaka till Monir. Han är nöjd om vi tar kostnaden för den nya elsatsen och krediterar den monteringsdelen. Dvs han får betala 3795 kr + 995 kr = 4790 
7295 kr + 1215 kr - 4790 kr = 3720 kr att kreditera //TC</t>
  </si>
  <si>
    <t>Krediterat och klart //TC 6/2</t>
  </si>
  <si>
    <t>Magnus Bengtsson</t>
  </si>
  <si>
    <t>XSD998</t>
  </si>
  <si>
    <t>MERCEDES CLS Coupe 2004&gt;2010</t>
  </si>
  <si>
    <t>Saknas delar vid leverans. BHF</t>
  </si>
  <si>
    <t>Mailat om att skicka dessa delar, se mail. //TC 3/4</t>
  </si>
  <si>
    <t>BHF skickat delar till kund 4/4 //TC</t>
  </si>
  <si>
    <t>Tillhörde LLT806 som blev fel. Mått på paketet 50x110x30, 17 kg</t>
  </si>
  <si>
    <t>Viktor Lassila</t>
  </si>
  <si>
    <t>Csm222</t>
  </si>
  <si>
    <t>CITROEN C8 02&gt;</t>
  </si>
  <si>
    <t>Starcmodul som slutat att fungera. Skickar ut 9V oavsett. Se mail</t>
  </si>
  <si>
    <t>Skicka upp ny modul till kund. Ta hit för att se om det är en garanti.</t>
  </si>
  <si>
    <t>Fakturera 300 kr för modulen. Kreditera om det är en garantisak.</t>
  </si>
  <si>
    <t>Volvo V70 2WD/AWD</t>
  </si>
  <si>
    <t>Blev det en garantisak?</t>
  </si>
  <si>
    <t>Ja, krediterat kund. //TC</t>
  </si>
  <si>
    <t>Susanne Lundgren</t>
  </si>
  <si>
    <t>PRH615</t>
  </si>
  <si>
    <t>Nissan qasqhai -17</t>
  </si>
  <si>
    <t>Fått lackskador på bilen</t>
  </si>
  <si>
    <t>Ordna till det</t>
  </si>
  <si>
    <t>Kund har visat upp bilen och bokat in fredag 7/4 för åtgärd. //TC 5/4</t>
  </si>
  <si>
    <t>Kund börjar springa hos Hedin och vill avboka tiden samt att vi betalar. Glöm det, hon får komma tillbaka. //TC 5/4</t>
  </si>
  <si>
    <t>Lämnat in bilen 7/4 hos Motornavet, Ola bokat in. Ola spårlöst försvunnen....
Det är många smårepor på den mattaplastdelen, 1 på kofångaren. Känns inte som att det kommer från monteringen då dem även är på delar som inte har kontakt med golvet. Möjligtvis om det är knän eller liknande som kan ha gjort det. Vet ej vad vi ska göra... Känner att det ligger på Motornavet att lösa detta.</t>
  </si>
  <si>
    <t>Tagen till Askimsbil AB R-S cityilvård 8/3</t>
  </si>
  <si>
    <t>Pratat med Susanne i Telefon och hon hämtar bilen idag så ska vi prata med verkstaden på måndag och återkomma till henne. Hon propsar mycket på att vi bara har ett försök till att få det åtgärdat och att lösningen är att byta delen där nere samt lacka om kofångare. Jag vet inte.... övriga skicket på bilen är fint, finns inget att anmärka på allmänskicket alls.
Vad gör vi? //TC</t>
  </si>
  <si>
    <t>Inte hört något 30/10. Avslutar ärendet. //TC</t>
  </si>
  <si>
    <t>Allan Makowski</t>
  </si>
  <si>
    <t>LBS343</t>
  </si>
  <si>
    <t>Volvo C70 -11</t>
  </si>
  <si>
    <t>Kula fungerar ej, "aldrig använt den" Även besiktningsman fick inte fast den.</t>
  </si>
  <si>
    <t>Sagt till kund att han får skicka ner den, så får jag kolla på det. //TC 10/4</t>
  </si>
  <si>
    <t>Inget fel på kulan. Skickat tillbaka det. //TC 20/4</t>
  </si>
  <si>
    <t>Tagen till Daniel Strågefors Örebro</t>
  </si>
  <si>
    <t>Lennart Blom</t>
  </si>
  <si>
    <t>WFY431</t>
  </si>
  <si>
    <t>BMW 3-serie (E91) kombi -10</t>
  </si>
  <si>
    <t>Haft problem hos Halléns, fått åka tillbaka, vill ha kompensation</t>
  </si>
  <si>
    <t>HL lovat att återkomma till honom. Vi får göra detta nu</t>
  </si>
  <si>
    <t>Inte hört något mer 30/10. Avslutar ärendet //TC</t>
  </si>
  <si>
    <t>Tagen till Martinez bilservice</t>
  </si>
  <si>
    <t>Erik Dalerå</t>
  </si>
  <si>
    <t>Volvo V70 Kombi 2007-</t>
  </si>
  <si>
    <t>DDF528</t>
  </si>
  <si>
    <t>Krok såg ut att ha varit använd. Han köpte om det var transportskadat, men det trodde han inte att dessa märken var från. Undrar om kompensation. Lovat att kolla med Westfalia om han skickar oss bilder.</t>
  </si>
  <si>
    <t>Vänta på bilder från kund. Se vad vi kan göra. //TC</t>
  </si>
  <si>
    <t>Lite smårepor bara från Transport. Kund ok med detta. Ett plastlock är beställt direkt till kund, skickas i V.19 //TC</t>
  </si>
  <si>
    <t>Linda Olsson</t>
  </si>
  <si>
    <t>DTA227</t>
  </si>
  <si>
    <t>Tillhörde MPD072 som returnerade paketet</t>
  </si>
  <si>
    <t>BMW 3-Serie sedan -10</t>
  </si>
  <si>
    <t>STARC modul som piper och lever jävel, har varit hos Äpplekullen och dom kontatterat att det är modulen</t>
  </si>
  <si>
    <t>Beställt ny modul skickas direkt till Äpplekullen. HL</t>
  </si>
  <si>
    <t>Inte hört något mer 171109, avslutar ärendet. Förmodligen löst.</t>
  </si>
  <si>
    <t xml:space="preserve">Volvo V70, S60 </t>
  </si>
  <si>
    <t>Oskar Arestål</t>
  </si>
  <si>
    <t>TMC833</t>
  </si>
  <si>
    <t>Skoda Superb Kombi</t>
  </si>
  <si>
    <t>Kortslutning någonstans</t>
  </si>
  <si>
    <t>Bett kund att höra av sig till verkstaden direkt istället, låter som kortslutning eller felkopplat någonstans. //TC 2/5</t>
  </si>
  <si>
    <t>Inte hört något mer. Förmodligen löst sig. Avslutar denna //TC 31/5</t>
  </si>
  <si>
    <t>Jack Gergi</t>
  </si>
  <si>
    <t>BPB127</t>
  </si>
  <si>
    <t>Inget kommer ut på bromsljuset, alla signaler in ok. Säker på att boxen är trasig</t>
  </si>
  <si>
    <t>Skicka ny SMP3 modul till kund. Fakturera 300 kr + frakt. Gör kredit om det blir godkänd reklamation. //TC 4/5</t>
  </si>
  <si>
    <t>Volvo V70, Volvo XC70 mm</t>
  </si>
  <si>
    <t>Kund som slarvat, skicka ej modul! =)</t>
  </si>
  <si>
    <t>Joakim Bergendorff</t>
  </si>
  <si>
    <t>OUW714</t>
  </si>
  <si>
    <t>Hyundai i40 Kombi -16</t>
  </si>
  <si>
    <t>Modulen trasig. Allt fungerade vid montering, efter ett par veckor så lyser allt konstant.</t>
  </si>
  <si>
    <t>Skicka upp en LS1 eller LS1-mini modul till verkstaden, så byter dem och ser om det hjälper.
Mekonomen Mantorp
Magasinsvägen 36
59018 Mantorp
Märk: OUW714
//TC 4/5"</t>
  </si>
  <si>
    <t>Skickat LS1-modul 9/5 //TC</t>
  </si>
  <si>
    <t>Ny modul hjälpte inte. Fortfarande samma problem. När Mekonomen testar på sitt släp så funkar det, testar dem på kunden släp fungerar det inte. Testar dem en annan bil med kundens släp så fungerar släpet... Jag vet e fan... Ring Jimmy på Mekonomen i Vårgårda och se vad han tycker. //TC</t>
  </si>
  <si>
    <t>Sven Mårtensson</t>
  </si>
  <si>
    <t>MZL726</t>
  </si>
  <si>
    <t>PDC Fungerar ej och Autoparkering likaså.</t>
  </si>
  <si>
    <t>Problem med backvarnare och autoparkering, pratat med Faraj och han har sagt till kund att nolla felkoder, återkommer om detta löser problemet. //TC 8/5</t>
  </si>
  <si>
    <t>Det löste inte problemet, misstänker att PDC inte kopplats in ordentligt, därav problemet. Fick tydligen en massa felkoder hos Mercedes som jag snackade bort med. Kund kolla om han kan lossa lite på kofångaren själv och se om den sitter i. //TC 9/5</t>
  </si>
  <si>
    <t>Tomas Ramström</t>
  </si>
  <si>
    <t>CBM090</t>
  </si>
  <si>
    <t>HYUNDAI i20 2009&gt;2014</t>
  </si>
  <si>
    <t>Draget passade inte. Sidojärnen för korta. FP</t>
  </si>
  <si>
    <t>Vi har skickat ett Umbra istället. 20/4. FP</t>
  </si>
  <si>
    <t>Bett Patrycja plocka upp kroken och kreditera. Är det gjort?? / FP</t>
  </si>
  <si>
    <t>Stefan Svanberg</t>
  </si>
  <si>
    <t>YJE443</t>
  </si>
  <si>
    <t>Citroen C3 -17 Halvkombi</t>
  </si>
  <si>
    <t>Ljuset beter sig konstigt på bilen, även när den är avstängd. PDC piper hela tiden när han backar.</t>
  </si>
  <si>
    <t>Erich Jaeger 736885</t>
  </si>
  <si>
    <t>Lyset börjar lysa på bilen plötsligt, inte släp inkopplat. Bilen har bara på och av läge på ljuset, inget automatiskt lyse. Plötsligt en natt började det att lysa på bilen. Har inte skett innan monteringen av dragkrok. Sagt till kund att prova om släpet fungerar. Dra sedan ut säkringen till modulen för att se vad som händer. Han testar detta och återkopplar. //TC 16/5</t>
  </si>
  <si>
    <t>Volvo V70, XC60, Volvo XC70</t>
  </si>
  <si>
    <t>2011/05 &gt;</t>
  </si>
  <si>
    <t>Efter en kvart tänds belysningen i bilen, sedan slocknar det. Bett kund att koppla ur modulen (hittar inte säkringen) samt ta bort hatten på kulan eller släppa på bultarna för att se hur mycket som saknas för att sensorerna inte ska se något. //TC 17/5</t>
  </si>
  <si>
    <t>2800 kr om byte till avtagbar dragkrok. Kund åker ner till Robban 23/5. Robban går igenom elen, vad som kan vara felet. Strömmatningen? Allt funkar ju på släpet... Robban kollar även om det är så att det går att sätta en annan fast kula på draget, för att lösa PDC-problemet. Mailat Robban på vad som sagts och gjorts. //TC 17/5</t>
  </si>
  <si>
    <t>Robban satte dit en kula som var 2 cm lägre tillhörande M-032, då slutade det att pipa. Kund ok med detta. Verkar även som han har fått ordning på el-problemet. //TC 23/5</t>
  </si>
  <si>
    <t>Jan West</t>
  </si>
  <si>
    <t>OHG779</t>
  </si>
  <si>
    <t>Peugeot 3008 16&gt;</t>
  </si>
  <si>
    <t xml:space="preserve">"Väldigt avancerad elektronik i denna bilen enligt kund"
Inte använt draget förrän i juli. Bilens elektronik och elsatsen fungerar inte som den ska. Se romaner från kund. </t>
  </si>
  <si>
    <t>Vi ska montera en fordonsspecifik istället plus programmera den.</t>
  </si>
  <si>
    <t>Fel elsats beställd. Beställt ny elsats. Tobbe och Faraj ska ev montera denna på plats i Norrtälje samt ta bort den gamla. Ring Jan West och kolla att detta är ok.</t>
  </si>
  <si>
    <t>Tobbe och Faraj bytt elsatsen på plats. Tagit bort den gamla. Ev tjafsar han om programmering.</t>
  </si>
  <si>
    <t>Monoflex 13.2020</t>
  </si>
  <si>
    <t>Volvo V70, XC70, S60 m fl</t>
  </si>
  <si>
    <t>2004&gt;2007</t>
  </si>
  <si>
    <t>Arne Kihlberg</t>
  </si>
  <si>
    <t>PSX690</t>
  </si>
  <si>
    <t>JEEP Grand Cherokee (WL), 11-15</t>
  </si>
  <si>
    <t>Kulan är för stor så inga släpkärror går på.</t>
  </si>
  <si>
    <t>Ulricehamn</t>
  </si>
  <si>
    <t>Vi ska montera ny kula hos Ulricehamn-verkstaden. Beställt kulan av Patrycja 21/9. FP</t>
  </si>
  <si>
    <t>Ringt kunden och kulan byts 28/9. Måste betala. Skicka påminnelse. FP</t>
  </si>
  <si>
    <t>Robert Ahlström</t>
  </si>
  <si>
    <t>Hittar ej //TC 16/5</t>
  </si>
  <si>
    <t>YHJ334</t>
  </si>
  <si>
    <t>Kia Venga -16</t>
  </si>
  <si>
    <t>Bilen plötsligt stannat. Åtgärdat detta hos annan verkstad då han inte trodde att det hade med dragkroksmonteringen att göra</t>
  </si>
  <si>
    <t>V-310</t>
  </si>
  <si>
    <t>Kunden gjort ARN anmälan</t>
  </si>
  <si>
    <t>Bett Faraj att förhandla med kunden. Försökte men kunden vet inte vad det kommer att sluta på, så vill se vad ARN säger... //TC 28/9</t>
  </si>
  <si>
    <t>Kommit överrens med Robert om 2800 kr i kompensation. Han är nöjd och dragit tillbaka ARN-anmälan. //TC</t>
  </si>
  <si>
    <t>Volvo V90</t>
  </si>
  <si>
    <t>Nicklas Paimensalo</t>
  </si>
  <si>
    <t>nhp842</t>
  </si>
  <si>
    <t>Hyndai i20</t>
  </si>
  <si>
    <t>Skavd kula efter frakt.</t>
  </si>
  <si>
    <t>Fått ny kula av Steinhof</t>
  </si>
  <si>
    <t>Till bil GPM87K</t>
  </si>
  <si>
    <t>Carl Engström</t>
  </si>
  <si>
    <t>WFT513</t>
  </si>
  <si>
    <t>Jaguar X-Type kombi 2004</t>
  </si>
  <si>
    <t>SMP-3 modul som tydligen inte funkar?</t>
  </si>
  <si>
    <t>051-563</t>
  </si>
  <si>
    <t>Skickar ny modul till kunden 2017-10-04</t>
  </si>
  <si>
    <t>Volvo V90 / S90</t>
  </si>
  <si>
    <t>Ej hört nåt så den är nog klar 22/11 HL</t>
  </si>
  <si>
    <t>Bil &amp; Maskin i Alvesta AB/ Malin</t>
  </si>
  <si>
    <t>PRZ783</t>
  </si>
  <si>
    <t>VW Golf Plus -11</t>
  </si>
  <si>
    <t>Modul 300210300107 strular. När man knackar på den så lyser det starkare/svagare om positionljuset. Bromsljus fungerar ibland. Blinkers OK</t>
  </si>
  <si>
    <t>Pratat med Kenneth. Han ska höra med WF Tyskland om problemet. Skickar ny modul och vill ev titta på den gamla.</t>
  </si>
  <si>
    <t>Kolla om det är en godkänd reklamation eller om ny modul ska faktureras.</t>
  </si>
  <si>
    <t>Reklamation godkänd. Allt ok.</t>
  </si>
  <si>
    <t xml:space="preserve">Volvo V90 / S90 </t>
  </si>
  <si>
    <t>Sven Karlberg</t>
  </si>
  <si>
    <t>GBK034</t>
  </si>
  <si>
    <t>Volvo V60 Cross Country -17</t>
  </si>
  <si>
    <t>Lös kofångare och lös del till PDC</t>
  </si>
  <si>
    <t>Ja, av Bilia</t>
  </si>
  <si>
    <t>Varit hos motornavet 14/6. Efter någon vecka hade kofångaren hoppat ut lite. Då tryckte han tillbaka den bara. Sedan hoppade den loss igen. Han gjorde likadant. Han trodde inte att det hade med dragkroksmonteringen att göra.
Hade bilen inne på Volvo via sitt service-avtal. Dem rättade till detta och fästa även upp nån PDC-grej som hängde löst.
Han hade fått betala 700 kr och blev rekommenderad att av Bilia att höra av sig till oss.</t>
  </si>
  <si>
    <t>Kund får 2 st däckskiften som kompensation. Ola har sagt ja till detta.</t>
  </si>
  <si>
    <t>Carl-Johan Cederwall</t>
  </si>
  <si>
    <t>VL54Q</t>
  </si>
  <si>
    <t>ETX019</t>
  </si>
  <si>
    <t>Volvo V90 / S90 2016&gt;</t>
  </si>
  <si>
    <t>Kia Ceed SW 2007&gt;2012</t>
  </si>
  <si>
    <t>Allt har funkat. Nu lyser inte samtliga lampor på släpet</t>
  </si>
  <si>
    <t>Bett honom att slå Ola en signal för åtgärd</t>
  </si>
  <si>
    <t>Inbokad för åtgärd med Ola 18/10 kl 8. Lämnar här på kontoret. //TC 17/10</t>
  </si>
  <si>
    <t>Kolla med Ola vad som var problemet.</t>
  </si>
  <si>
    <t>Elsatsen är fixad. Ola bytte ut den. //TC</t>
  </si>
  <si>
    <t>Tagen till YJX92L</t>
  </si>
  <si>
    <t>Jonas Sternerson</t>
  </si>
  <si>
    <t>LBF148</t>
  </si>
  <si>
    <t>VW Touran -13</t>
  </si>
  <si>
    <t>13-spec elsats lyckades Ola inte montera. Satt dit en SMP-3 istället. H.Blinkers vill inte fungera för honom nu.</t>
  </si>
  <si>
    <t>Åtgärda blinkers, alternativt ge det ett nytt försök med den fordonsspecifika</t>
  </si>
  <si>
    <t>Kolla med Ola vad som hänt. Ola ska ha ringt till kunden för lösning.</t>
  </si>
  <si>
    <t>Ola har kontakt med kunden. Kollat med honom 15/11 //TC</t>
  </si>
  <si>
    <t>Kund inte betalt än. SMSat Ola att ta tag i honom. //TC 11/12</t>
  </si>
  <si>
    <t>Stefan Ekström</t>
  </si>
  <si>
    <t>OSR15E</t>
  </si>
  <si>
    <t>OJW572</t>
  </si>
  <si>
    <t>BMW 1-serien halvkombi (F20) -17</t>
  </si>
  <si>
    <t>Dragkrok passar ej, B38-motor-problemet</t>
  </si>
  <si>
    <t>Vad gör vi??
Roger tror att det räcker att svetsa loss och montera dit kontakthållar-järnet på annat sätt. Alternativt sätta dit ett annat drag?</t>
  </si>
  <si>
    <t>Kund kommer tillbaka så gör Roger om järnet. Kund återkommer med tid som passar honom, lämnar kl 9 och hämtar 13-14.</t>
  </si>
  <si>
    <t>Volvo V90 / Volvo S90</t>
  </si>
  <si>
    <t>Inbokad den 24/11 hos Roger för åtgärd. Roger svetsar till något fäste så att det blir bra.</t>
  </si>
  <si>
    <t>Roger svetsade till ett fästa, blev bra! Kund nöjd. //TC 24/11</t>
  </si>
  <si>
    <t>Kund har problem med att något skramlar, bett honom att kontakta Roger för åtgärd. //TC 4/4</t>
  </si>
  <si>
    <t>Elisabeth Jansson</t>
  </si>
  <si>
    <t>ONO237</t>
  </si>
  <si>
    <t>Mini Cooper</t>
  </si>
  <si>
    <t>Kofångare sitter ej som den ska. Problem med dimljuset samt radion.</t>
  </si>
  <si>
    <t>Inbokad och Faraj i Vallentuna 22/11 kl 09.00, han löser det //TC</t>
  </si>
  <si>
    <t>Kofångaren satt som den skulle. Bara att dem hade varit tvugna att såga i kofångaren så något fäste behövdes ta bort. Faraj stripade fast det lite bättre. Lampan fungerade inte pga att glödlampan inte satt på sin plats. Faraj ordnade detta med. Radion fungerar. //TC 22/11</t>
  </si>
  <si>
    <t>Kund ringde om kompensation. Sa till henne att det egentligen inte utgår någon körersättning då det inte var något fel på monteringen. Kund höll inte med och jag sa att jag skulle prata med mina kollegor om vi kunde göra ett undantag, men det först på måndag. Kund ville ha svar idag så jag sa nej. Hon bad oss sedan att DRA ÅT HELVETTE och kallade oss både det ena och andra. Så ingen kompensation till denna damen. // TC 24/11</t>
  </si>
  <si>
    <t>Zandra Jansson</t>
  </si>
  <si>
    <t>TXL542</t>
  </si>
  <si>
    <t>Bröderna i verkstaden krockade med bilen.</t>
  </si>
  <si>
    <t>Faraj löser något. Bett kund om bilder på skadan, fått dem?</t>
  </si>
  <si>
    <t xml:space="preserve">Pratat med Faraj, han ska ta reda på datum ledigt hos lacken och pris. Återkommer idag eller senast i morgon. Räknas med 1, kanske två dagar. Lånebil finns, (dock ej om hon ska ha hund med sig) //TC </t>
  </si>
  <si>
    <t>Lackaren vill ha den i två dagar, så 2-3 dagar med dragkrok. Tisdag nästa vecka bra dag för lackeraren, men det kvittar. 500 kr för handtaget. 2000-2500 kr för att laga skadan. //TC 21/11</t>
  </si>
  <si>
    <t>Försökt att nå kund flertalet gånger, både jag och FP. Inget svar? //TC 5/12</t>
  </si>
  <si>
    <t>Allt fixat. Faraj fakturerar HH Bilservice för skadereparationen. Vi tar ena handtaget enligt ök. Hon betalar det andra handtaget + lite extra arbete som hon bett Faraj om direkt till honom.</t>
  </si>
  <si>
    <t>Anders Söderberg</t>
  </si>
  <si>
    <t>AZM215</t>
  </si>
  <si>
    <t>Volvo V90 2016&gt;</t>
  </si>
  <si>
    <t>KIA Sorento II, 10-15</t>
  </si>
  <si>
    <t>Bilmodeller 2018</t>
  </si>
  <si>
    <t>Backkamera och PDC fungerar inte</t>
  </si>
  <si>
    <t>Hitta någon dag att byta bil med honom i Uddevalla. Gör om gör rätt</t>
  </si>
  <si>
    <t>KD är en kuk och lämnar bilen till Mekonomen. Vi betalar tydligen. Allt löste sig med två timmar arbete.</t>
  </si>
  <si>
    <t>Betala ut pengar, 3500 kr
Swedbank 8368-3 994 842 001-4</t>
  </si>
  <si>
    <t>Utbetalning gjord 20/11 //TC</t>
  </si>
  <si>
    <t>Mikael Malmelöv</t>
  </si>
  <si>
    <t>ASX309</t>
  </si>
  <si>
    <t>BMW 3-serie halvkombi GT -14 M-Sport (F34)</t>
  </si>
  <si>
    <t>Tagen till KXA89M</t>
  </si>
  <si>
    <t>Umbra skickat en fast dragkrok istället för av, verkstaden kollade inte utan monterade den fasta kroken!</t>
  </si>
  <si>
    <t>Beställer en AV Westfalia så får Piteå byta ut draget (tydligen en strulig kund med tiderna enligt Peter)</t>
  </si>
  <si>
    <t>Motos</t>
  </si>
  <si>
    <t>Försökt nå kund 29/11, inget svar. Skickat sms //TC</t>
  </si>
  <si>
    <t>Kund behåller det fasta draget. Krediterat det avtagbara draget. //TC 5/12</t>
  </si>
  <si>
    <t>Markus Johansson</t>
  </si>
  <si>
    <t>OFS320</t>
  </si>
  <si>
    <t>Kia Ceed sw GT-Line -16</t>
  </si>
  <si>
    <t>Ljuset på bilen har slutat av fungera efter att kund kopplade släp i november.</t>
  </si>
  <si>
    <t xml:space="preserve">Volvo C70 2006&gt;
VOLVO V50 2003&gt; </t>
  </si>
  <si>
    <t>Varit hos Samer och felsökt. Bakljus blinkar inte på bilen…
Vatten i kontaktstycket. Kopplar samer ur elsatsen, så funkar ljuset på bilen igen.
Det finns ström in i modulen, men inte ut. Andra har inte haft problem med samma släp.
Elsats Erich Jaeger 748683</t>
  </si>
  <si>
    <t>Varit kontakt med Erich-Jaeger, dem skickar två nya moduler till oss. Skicka upp dessa till Jönköping och boka in kunden. Be även Samer att byta kontaktstycket. //TC 15/11</t>
  </si>
  <si>
    <t>Skickat upp nya moduler till Samer, han kontaktar kund och bokar in omgående. //TC 21/11</t>
  </si>
  <si>
    <t>Samer bytt modulerna. Strulade fortfarande. Men sedan klippte han en kabel och då fungerade det. Kortslutning eller något pga vatten förmodligen. Samer skulle även byte kontaktstycket där nere. //TC 24/11</t>
  </si>
  <si>
    <t>Tillhörde DWK176 som aldrig dök upp.</t>
  </si>
  <si>
    <t>Volvo V90 CC</t>
  </si>
  <si>
    <t>Nicholas Major</t>
  </si>
  <si>
    <t>HYZ532</t>
  </si>
  <si>
    <t>VW Golf Kombi -09</t>
  </si>
  <si>
    <t>Sprucket lock till kontakten</t>
  </si>
  <si>
    <t>Ola ska kika på det 24/11. Meddelat Ola att avgöra själv om det är en garanti-sak eller inte. Om inte få kunden betala. //TC 21/11</t>
  </si>
  <si>
    <t>Var egentligen ingen garantisak, men Ola löste det snabbt och ville inte ha något för det. gemensamma vänner eller nåt har jag för mig. //TC</t>
  </si>
  <si>
    <t>Tagen till OHK012</t>
  </si>
  <si>
    <t>Thomas Eriksson</t>
  </si>
  <si>
    <t>SNW969</t>
  </si>
  <si>
    <t>Fiat Ducato -01</t>
  </si>
  <si>
    <t>Fått nedlag i besiktningen på att draget inte satt monterat ordentligt. Samt att han var tvungen att reg.besikta draget med.</t>
  </si>
  <si>
    <t>Svarat upp på mailet om att han inte behöver reg.besiktiga draget. //TC 4/12</t>
  </si>
  <si>
    <t>Kund inbokad hos Faraj 7/12 för att kolla på monteringen. //TC 6/12</t>
  </si>
  <si>
    <t>Tagen till Ymm713</t>
  </si>
  <si>
    <t xml:space="preserve">Volvo V90 CC </t>
  </si>
  <si>
    <t>Görgen Johansson</t>
  </si>
  <si>
    <t>law436</t>
  </si>
  <si>
    <t>FORD Focus Kombi 2005&gt;2011</t>
  </si>
  <si>
    <t>Problem med höger blinkers på bilen, den fungerar en stund, sedan lägger den av.</t>
  </si>
  <si>
    <t>Fått en ny LS-1 modul av mig. Det bör lösa bekymret.</t>
  </si>
  <si>
    <t>Ska lämna tillbaka en modul till oss på måndag 11/12  //TC</t>
  </si>
  <si>
    <t>YRM901</t>
  </si>
  <si>
    <t>Volvo V90, S90</t>
  </si>
  <si>
    <t xml:space="preserve">
Ingolf Andersen</t>
  </si>
  <si>
    <t>Volvo V70 -01</t>
  </si>
  <si>
    <t>YXT836 30/1 -19 FP</t>
  </si>
  <si>
    <t xml:space="preserve">Första kroken fastnat. Kom fram ändå plus 2 krokar till. Skumt? </t>
  </si>
  <si>
    <t>Bett kunden neka dessa två. FP</t>
  </si>
  <si>
    <t>PEUGEOT 3008 2009&gt;
OBS! 2017-modell</t>
  </si>
  <si>
    <t>Problem med att programera in elsats.</t>
  </si>
  <si>
    <t>Kund beställt av oss, monterat hos någon och sedan försökt programmera hos Peugeot. Peugeot "ser inte" elsatsen säger dem.</t>
  </si>
  <si>
    <t>Tagen till ZBG689</t>
  </si>
  <si>
    <t>Tagit hem en till elsats. Skicka upp modul mot faktura, kund får sedan skicka tillbaka modul. //TC 12/12</t>
  </si>
  <si>
    <t>Kund ringt och undrar hur vi går vidare om ny modul inte löser problemet. Bett honom att kolla om han har några signaler bak i kontakten. Om vi ska lösa det så har jag förslagit att sätta dit en 13-pol universal elsats. //TC 12/12</t>
  </si>
  <si>
    <t>INTERNT: Förslag på lösning. Bokar in kund hos Faraj, han kollar snabbt om något är fel kopplat, ser allt rätt ut, sätt i en canbusanpassad elsats. Hittar han något fel, kontakta kund och ta beslut då. ?</t>
  </si>
  <si>
    <t>Boka in kund hos Faraj för lösning enligt tidigare. //TC 3/12</t>
  </si>
  <si>
    <t>Volvo V90, XC90, S90, XC90</t>
  </si>
  <si>
    <t>Inbokad hos Faraj 23/1 kl 9 //TC 10/1</t>
  </si>
  <si>
    <t>Therese Tainio</t>
  </si>
  <si>
    <t>NEO177</t>
  </si>
  <si>
    <t>Kia Ceed kombi 12&gt;</t>
  </si>
  <si>
    <t>Elsatsen slutat att fungera, endast bromsljuset funkar</t>
  </si>
  <si>
    <t>HITTAR EJ DENNA //TC 28/2</t>
  </si>
  <si>
    <t>Femmans bil</t>
  </si>
  <si>
    <t>inbokad hos speedy Örebro, genomgång av elen samt ev byte modul, SMP-3 och en STARC modul skickat till Speedy</t>
  </si>
  <si>
    <t>Monir Byt ut hela elsatsen, tydligen så var kontaktstycket full av vatten 31/1 //HL</t>
  </si>
  <si>
    <t>V-284</t>
  </si>
  <si>
    <t>Volvo XC60</t>
  </si>
  <si>
    <t>Kent Andersson</t>
  </si>
  <si>
    <t>BDO640</t>
  </si>
  <si>
    <t>Husbil Rapido 992M -2008</t>
  </si>
  <si>
    <t>Hävdar att den inte passar. Säger också att han varit tvungen att byta in den pga bilfel och förlorat 35.000 kr samt att den nya husbilen kostade 100.000 kr mer. Draget passar inte pga att baljan och/eller det s k garaget bak är i vägen. 17/1 FP</t>
  </si>
  <si>
    <t>Skickat bilder till kund via SMS. Han ska bekräfta att det är en sådan bil han har. 17/1</t>
  </si>
  <si>
    <t>CS 8/1-18</t>
  </si>
  <si>
    <t>Fredrik Hambert</t>
  </si>
  <si>
    <t>UXM246</t>
  </si>
  <si>
    <t>Kula trasig</t>
  </si>
  <si>
    <t>OLA 17/5</t>
  </si>
  <si>
    <t>Guidat kund på telefon, får inte kulan att fungera. Bett kund att skicka mått på kula så får vi ta hit den och kolla på den. //TC 17/1</t>
  </si>
  <si>
    <t>Hämta upp på
ADB Safegate
Djurhagegatan 19
21376 Malmö
0725-569398
15x29x40
5 kg</t>
  </si>
  <si>
    <t>Bokat upphämtning av paketet 26/2 till oss. Kolla på kulan och gå igenom den. Fungerar den som den ska? //TC 23/2</t>
  </si>
  <si>
    <t>Lennart Bengtsson</t>
  </si>
  <si>
    <t>Skickad till Bilhallen i Hagfors, KRN477</t>
  </si>
  <si>
    <t>DSZ194</t>
  </si>
  <si>
    <t>Porsche Cayenne</t>
  </si>
  <si>
    <t>Fel kula från Steinhof</t>
  </si>
  <si>
    <t>Ny kula skickad</t>
  </si>
  <si>
    <t>Bett Patrycja att skicka rätt till oss, skicka sedan till kund //TC 19/1</t>
  </si>
  <si>
    <t>Ringt kunden 2/2 att kulan finns på plats</t>
  </si>
  <si>
    <t>Peter Markstedt</t>
  </si>
  <si>
    <t>MKF624</t>
  </si>
  <si>
    <t>Peugeot 308 kombi -16</t>
  </si>
  <si>
    <t>Låsmeknismen krånglar för kund. Redan rostigt till och med.</t>
  </si>
  <si>
    <t>Skicka nya delar</t>
  </si>
  <si>
    <t>Mailat Umbra om att skicka nya delar till kund. //TC 29/1</t>
  </si>
  <si>
    <t>Umbra skickar delar till oss, skicka sedan till kund //TC 28/2</t>
  </si>
  <si>
    <t>Åsa Sundquist</t>
  </si>
  <si>
    <t>HZS930</t>
  </si>
  <si>
    <t>PEUGEOT 308 Kombi -09</t>
  </si>
  <si>
    <t>Blinkers och bromsljus funkar ej, även blinkers på bilen funkar inte då släpet är inkopplat</t>
  </si>
  <si>
    <t>Ringer en vecka innan hon kommer ner til Gbg så får Ola kolla på det</t>
  </si>
  <si>
    <t>Kunden känner inte för att ta sig ner till Gbg då det är 50 mil fram och tillbaka. Har kollat med Fredrik Faraj så han kan hjälpa henne och lösa problemet, hon betalar Fredrik för jobbet, skulle det va helt åt helvetet så bjuder vi på en ny elsats men hon får betala jobbet själv hos Faraj. Hon är inbokad i Vallentuna den 28/2 kl 08.00</t>
  </si>
  <si>
    <t>CS</t>
  </si>
  <si>
    <t>Muhamed Vitija</t>
  </si>
  <si>
    <t>GGR177</t>
  </si>
  <si>
    <t>Audi Q3 -14</t>
  </si>
  <si>
    <t>Kund har fått en utskärning han inte godkänner; han har inte sagt att han har s-line paket men har det</t>
  </si>
  <si>
    <t>Vet ej än</t>
  </si>
  <si>
    <t>Skickat till Äpple 11/4 //TC</t>
  </si>
  <si>
    <t>VL47AU</t>
  </si>
  <si>
    <t>Mirko Dandic</t>
  </si>
  <si>
    <t>ETY651</t>
  </si>
  <si>
    <t>VW Passat Kombi -15 (B8)</t>
  </si>
  <si>
    <t>Utskärning förskräklig</t>
  </si>
  <si>
    <t>Samer får lösa det</t>
  </si>
  <si>
    <t>Samer har pratat med kunden. Han kommer till Samer lördag 28/4 för åtgärd. //TC 26/4</t>
  </si>
  <si>
    <t>Samer säger att han ska beställa ny kofångare och lacka den. Sagt till honom att ringa kunden och berätta att allt är lugnt. //TC 8/5</t>
  </si>
  <si>
    <t>Samer ringt och sagt att det är löst //TC 28/5</t>
  </si>
  <si>
    <t>Skickat 6/7 till Malmö</t>
  </si>
  <si>
    <t>L21</t>
  </si>
  <si>
    <t>COUNTA av Bilmodeller 2018</t>
  </si>
  <si>
    <t>VOLVO XC90 2003&gt;2015</t>
  </si>
  <si>
    <t>Kund hämtat 23/1</t>
  </si>
  <si>
    <t>V-285</t>
  </si>
  <si>
    <t>VOLVO XC70 2000&gt;2007</t>
  </si>
  <si>
    <t>ALFA ROMEO 145 Halvkombi 1994&gt;2001</t>
  </si>
  <si>
    <t>VOLVO XC70 2007&gt;</t>
  </si>
  <si>
    <t>VOLVO XC60 2008&gt;</t>
  </si>
  <si>
    <t>ALFA ROMEO 147 Halvkombi 2001&gt;2009</t>
  </si>
  <si>
    <t>ALFA ROMEO 156 Kombi 2000&gt;2006</t>
  </si>
  <si>
    <t>ALFA ROMEO 156 Sedan 1997&gt;2003</t>
  </si>
  <si>
    <t>ALFA ROMEO 156 Sport/Crosswagon 2004&gt;2007</t>
  </si>
  <si>
    <t>Reserverad JV/16/1 CS</t>
  </si>
  <si>
    <t>VOLVO S60 2010&gt;</t>
  </si>
  <si>
    <t>ALFA ROMEO 159 Kombi 2006&gt;</t>
  </si>
  <si>
    <t>VOLVO S40 2000&gt;2004</t>
  </si>
  <si>
    <t>ALFA ROMEO 159 Sedan 2005&gt;</t>
  </si>
  <si>
    <t>VOLVO S40 2004&gt;</t>
  </si>
  <si>
    <t>ALFA ROMEO 166 Sedan 1998&gt;2007</t>
  </si>
  <si>
    <t>VOLKSWAGEN Touran 2015&gt;</t>
  </si>
  <si>
    <t>Alfa Romeo Giulia 2016&gt;</t>
  </si>
  <si>
    <t>VOLKSWAGEN T5 Buss/Skåp 2003&gt;</t>
  </si>
  <si>
    <t>VOLKSWAGEN Polo Halvkombi 2001&gt;2010</t>
  </si>
  <si>
    <t>ALFA ROMEO GT Coupe 2004&gt;</t>
  </si>
  <si>
    <t>VOLKSWAGEN Polo Halvkombi 2010&gt;2014</t>
  </si>
  <si>
    <t>Alfa Romeo Mito 2008&gt;</t>
  </si>
  <si>
    <t>VOLKSWAGEN Passat Sedan 1996&gt;2005</t>
  </si>
  <si>
    <t>ALFA ROMEO Mito Halvkombi 2008&gt;</t>
  </si>
  <si>
    <t>Tagen till Per Sahlström PGZ567</t>
  </si>
  <si>
    <t>VOLKSWAGEN Passat Sedan 2005&gt;2010</t>
  </si>
  <si>
    <t>Alfa Romeo Stelvio 2016&gt;</t>
  </si>
  <si>
    <t>VOLKSWAGEN Passat Sedan 2010&gt;2014</t>
  </si>
  <si>
    <t>AUDI 100 Kombi 1991&gt;1994</t>
  </si>
  <si>
    <t>VOLKSWAGEN Golf V/VI Kombi 2007&gt;2013</t>
  </si>
  <si>
    <t>AUDI 100 Sedan 1990&gt;1994</t>
  </si>
  <si>
    <t>AUDI 80 Cab 1989&gt;1993</t>
  </si>
  <si>
    <t>VOLKSWAGEN Fox 2005&gt;</t>
  </si>
  <si>
    <t>AUDI 80 Cab 1994&gt;2000</t>
  </si>
  <si>
    <t>VOLKSWAGEN Caddy 2004&gt;</t>
  </si>
  <si>
    <t>AUDI 80 Kombi 1991&gt;1995</t>
  </si>
  <si>
    <t>VOLKSWAGEN Bora Sedan 1998&gt;2005</t>
  </si>
  <si>
    <t>AUDI 80 Sedan 1986&gt;1991</t>
  </si>
  <si>
    <t>Tagen till BHZ793</t>
  </si>
  <si>
    <t>VOLKSWAGEN Amarok 2010&gt;</t>
  </si>
  <si>
    <t>AUDI 80 Sedan 1991&gt;1994</t>
  </si>
  <si>
    <t>TOYOTA Yaris Verso 1999&gt;2006</t>
  </si>
  <si>
    <t>AUDI A1 2010&gt;</t>
  </si>
  <si>
    <t>TOYOTA Yaris Halvkombi 1999&gt;2005</t>
  </si>
  <si>
    <t>Audi A1 Sportback 2012&gt;</t>
  </si>
  <si>
    <t>TOYOTA Yaris Halvkombi 2011&gt;2014</t>
  </si>
  <si>
    <t>AUDI A2 2000&gt;2005</t>
  </si>
  <si>
    <t>AUDI A3 Cab 2008&gt;</t>
  </si>
  <si>
    <t>TOYOTA Urban Cruiser 2009&gt;</t>
  </si>
  <si>
    <t>AUDI A3 Cab 2008&gt;2012</t>
  </si>
  <si>
    <t>TOYOTA RAV4 1994&gt;2000</t>
  </si>
  <si>
    <t>AUDI A3 Halvkombi 1996&gt;2003</t>
  </si>
  <si>
    <t>TOYOTA RAV4 2000&gt;2006</t>
  </si>
  <si>
    <t>Tagen till Autoimprove i Berghem 23/8</t>
  </si>
  <si>
    <t>AUDI A3 Halvkombi 2003&gt;2012</t>
  </si>
  <si>
    <t>TOYOTA RAV4 2006&gt;2013</t>
  </si>
  <si>
    <t>AUDI A3 Halvkombi 2012&gt;</t>
  </si>
  <si>
    <t>TOYOTA RAV4 2013&gt;</t>
  </si>
  <si>
    <t>AUDI A3 Sedan 2013&gt;</t>
  </si>
  <si>
    <t>TOYOTA Land Cruiser J100/150 2003&gt;</t>
  </si>
  <si>
    <t>AUDI A3 Sportback 2004&gt;2012</t>
  </si>
  <si>
    <t>TOYOTA Land Cruiser J9 1996&gt;2002</t>
  </si>
  <si>
    <t>AUDI A3 Sportback 2012&gt;</t>
  </si>
  <si>
    <t>TOYOTA Hi-Lux 1998&gt;2005</t>
  </si>
  <si>
    <t>AUDI A4 Allroad 2016&gt;</t>
  </si>
  <si>
    <t>TOYOTA Hi-Lux 2005&gt;2010</t>
  </si>
  <si>
    <t>AUDI A4 Cab 2002&gt;2005</t>
  </si>
  <si>
    <t>TOYOTA Corolla Verso 2002&gt;2004</t>
  </si>
  <si>
    <t>AUDI A4 Cab 2005&gt;</t>
  </si>
  <si>
    <t>TOYOTA Corolla Verso 2004&gt;2009</t>
  </si>
  <si>
    <t>AUDI A4 Kombi 1996&gt;2001</t>
  </si>
  <si>
    <t>TOYOTA Corolla Kombi 2002&gt;2007</t>
  </si>
  <si>
    <t>AUDI A4 Kombi 2001&gt;2004</t>
  </si>
  <si>
    <t>TOYOTA Corolla Halvkombi 2002&gt;2007</t>
  </si>
  <si>
    <t>AUDI A4 Kombi 2004&gt;2008</t>
  </si>
  <si>
    <t>TOYOTA Carina Kombi 1993&gt;1998</t>
  </si>
  <si>
    <t>TOYOTA Avensis Kombi 2003&gt;2008</t>
  </si>
  <si>
    <t>AUDI A4 Kombi 2016&gt;</t>
  </si>
  <si>
    <t>TOYOTA Avensis Halvkombi 2003&gt;2009</t>
  </si>
  <si>
    <t>AUDI A4 Sedan 1994&gt;2000</t>
  </si>
  <si>
    <t>Tagen till YJW743</t>
  </si>
  <si>
    <t>SUZUKI Vitara 1988&gt;1998</t>
  </si>
  <si>
    <t>AUDI A4 Sedan 2000&gt;2004</t>
  </si>
  <si>
    <t>SUZUKI Vitara 1998&gt;2005</t>
  </si>
  <si>
    <t>AUDI A4 Sedan 2004&gt;2007</t>
  </si>
  <si>
    <t>SUZUKI SX4 S-Cross 2013&gt;</t>
  </si>
  <si>
    <t>AUDI A4 Sedan 2007&gt;2016</t>
  </si>
  <si>
    <t>SUZUKI Swift Halvkombi 2005&gt;2010</t>
  </si>
  <si>
    <t>Audi A4 Sedan 2016&gt;</t>
  </si>
  <si>
    <t>SUZUKI Swift Halvkombi 2010&gt;</t>
  </si>
  <si>
    <t>AUDI A5 2007&gt;2015</t>
  </si>
  <si>
    <t>SUZUKI Liana Kombi 2001&gt;</t>
  </si>
  <si>
    <t>AUDI A5 Cab 2009&gt;</t>
  </si>
  <si>
    <t>SUZUKI Jimny 1998&gt;</t>
  </si>
  <si>
    <t>AUDI A6 Allroad 2000&gt;2006</t>
  </si>
  <si>
    <t>SUZUKI Ignis 2000&gt;2003</t>
  </si>
  <si>
    <t>AUDI A6 Allroad 2006&gt;2012</t>
  </si>
  <si>
    <t>Tagen till PNC788</t>
  </si>
  <si>
    <t>SUZUKI Ignis 2003&gt;</t>
  </si>
  <si>
    <t>AUDI A6 Allroad 2012&gt;</t>
  </si>
  <si>
    <t>SUZUKI Grand Vitara 1998&gt;2005</t>
  </si>
  <si>
    <t>AUDI A6 Kombi 1994&gt;1998</t>
  </si>
  <si>
    <t>SUZUKI Grand Vitara 2005&gt;2010</t>
  </si>
  <si>
    <t>AUDI A6 Kombi 1998&gt;2005</t>
  </si>
  <si>
    <t>SUZUKI Grand Vitara 2010&gt;</t>
  </si>
  <si>
    <t>AUDI A6 Kombi 2005&gt;2011</t>
  </si>
  <si>
    <t>SUZUKI Baleno Sedan 1995&gt;2002</t>
  </si>
  <si>
    <t>SUZUKI Alto 2002&gt;2005</t>
  </si>
  <si>
    <t>AUDI A6 Sedan 1994&gt;1997</t>
  </si>
  <si>
    <t>SUBARU XV 2012&gt;</t>
  </si>
  <si>
    <t>AUDI A6 Sedan 1997&gt;2004</t>
  </si>
  <si>
    <t>SUBARU Legacy Outback 2004&gt;2009</t>
  </si>
  <si>
    <t>AUDI A6 Sedan 2004&gt;2011</t>
  </si>
  <si>
    <t>SUBARU Justy 2003&gt;2007</t>
  </si>
  <si>
    <t>AUDI A6 Sedan 2011&gt;</t>
  </si>
  <si>
    <t>Till bil DCC500</t>
  </si>
  <si>
    <t>SUBARU Impreza Sedan 1992&gt;1997</t>
  </si>
  <si>
    <t>AUDI A7 2010&gt;</t>
  </si>
  <si>
    <t>SUBARU Forester 1997&gt;2008</t>
  </si>
  <si>
    <t>AUDI A8 Sedan 1994&gt;2002</t>
  </si>
  <si>
    <t>SUBARU Forester 2008&gt;2013</t>
  </si>
  <si>
    <t>AUDI A8 Sedan 2002&gt;2010</t>
  </si>
  <si>
    <t>Ssangyong Tivoli 2015&gt;</t>
  </si>
  <si>
    <t>AUDI A8 Sedan 2010&gt;</t>
  </si>
  <si>
    <t>Ssangyong Kyron 2005&gt;</t>
  </si>
  <si>
    <t>AUDI Q2 2017&gt;</t>
  </si>
  <si>
    <t>Ssangyong Korando 2010&gt;</t>
  </si>
  <si>
    <t>AUDI Q3 2011&gt;</t>
  </si>
  <si>
    <t>Ssangyong Actyon 2006&gt;</t>
  </si>
  <si>
    <t>SMART Forfour 2004&gt;2006</t>
  </si>
  <si>
    <t>PDS546</t>
  </si>
  <si>
    <t>AUDI Q7 2006&gt;2015</t>
  </si>
  <si>
    <t>SKODA Superb Sedan 2002&gt;2008</t>
  </si>
  <si>
    <t>AUDI Q7 2015&gt;</t>
  </si>
  <si>
    <t>SKODA Superb Sedan 2008&gt;2015</t>
  </si>
  <si>
    <t>AUDI TT Coupe/Cab 2006&gt;</t>
  </si>
  <si>
    <t>SKODA Roomster Van 2006&gt;2010</t>
  </si>
  <si>
    <t>BMW 1-serie Cab 2008&gt;</t>
  </si>
  <si>
    <t>SKODA Rapid 2012&gt;</t>
  </si>
  <si>
    <t>BMW 1-serie Coupe 2007&gt;2012</t>
  </si>
  <si>
    <t>SKODA Octavia Kombi 4x4 1998&gt;2004</t>
  </si>
  <si>
    <t>SKODA Octavia Kombi 2005&gt;2013</t>
  </si>
  <si>
    <t>SKODA Octavia Kombi 2013&gt;</t>
  </si>
  <si>
    <t>BMW 2-Serie Active Tourer 2014&gt;</t>
  </si>
  <si>
    <t>SKODA Felicia Kombi 1995&gt;2001</t>
  </si>
  <si>
    <t>BMW 2-serie Coupe 2013&gt;</t>
  </si>
  <si>
    <t>Till Per Martin Hellström Bilservice AB 11/1-19</t>
  </si>
  <si>
    <t>SKODA Felicia Halvkombi 1994&gt;2001</t>
  </si>
  <si>
    <t>BMW 2-serie Gran Tourer 2015&gt;</t>
  </si>
  <si>
    <t>SKODA Fabia Kombi 2000&gt;2007</t>
  </si>
  <si>
    <t>BMW 3-serie Cab 1992&gt;2000</t>
  </si>
  <si>
    <t>SKODA Fabia Kombi 2007&gt;2014</t>
  </si>
  <si>
    <t>BMW 3-serie Cab 2000&gt;2007</t>
  </si>
  <si>
    <t>SEAT Toledo Sedan 1999&gt;2004</t>
  </si>
  <si>
    <t>BMW 3-serie Cab 2007&gt;</t>
  </si>
  <si>
    <t>SEAT Leon Halvkombi 1999&gt;2005</t>
  </si>
  <si>
    <t>BMW 3-serie Compact 1994&gt;2001</t>
  </si>
  <si>
    <t>SEAT Ibiza Kombi 2010&gt;</t>
  </si>
  <si>
    <t>SEAT Ibiza 2002&gt;2008</t>
  </si>
  <si>
    <t>BMW 3-serie Coupe 1992&gt;1999</t>
  </si>
  <si>
    <t>SEAT Exeo 2009&gt;</t>
  </si>
  <si>
    <t>BMW 3-serie Coupe 1999&gt;2006</t>
  </si>
  <si>
    <t>SEAT Cordoba Sedan 1996&gt;2003</t>
  </si>
  <si>
    <t>BMW 3-serie Coupe 2006&gt;</t>
  </si>
  <si>
    <t>SEAT Cordoba Sedan 2003&gt;</t>
  </si>
  <si>
    <t>BMW 3-serie GT 2013&gt;</t>
  </si>
  <si>
    <t>SEAT Cordoba Kombi 1997&gt;2003</t>
  </si>
  <si>
    <t>BMW 3-serie Kombi 1987&gt;1994</t>
  </si>
  <si>
    <t>SEAT Arosa Halvkombi 1997&gt;2004</t>
  </si>
  <si>
    <t>BMW 3-serie Kombi 1995&gt;1999</t>
  </si>
  <si>
    <t>SEAT Altea XL/Freetrack 2006&gt;</t>
  </si>
  <si>
    <t>BMW 3-serie Kombi 1999&gt;2005</t>
  </si>
  <si>
    <t>SEAT Altea Halvkombi 2004&gt;</t>
  </si>
  <si>
    <t>BMW 3-serie Kombi 2005&gt;2012</t>
  </si>
  <si>
    <t>SEAT Alhambra 1996&gt;2000</t>
  </si>
  <si>
    <t>BMW 3-serie Kombi 2012&gt;</t>
  </si>
  <si>
    <t>SEAT Alhambra 2000&gt;2010</t>
  </si>
  <si>
    <t>BMW 3-serie Sedan 1982&gt;1990</t>
  </si>
  <si>
    <t>SEAT Alhambra 2010&gt;</t>
  </si>
  <si>
    <t>BMW 3-serie Sedan 1990&gt;1997</t>
  </si>
  <si>
    <t>ROVER 200 Halvkombi 1995&gt;2000</t>
  </si>
  <si>
    <t>BMW 3-serie Sedan 1998&gt;2005</t>
  </si>
  <si>
    <t>RENAULT Twingo 1993&gt;2007</t>
  </si>
  <si>
    <t>BMW 3-serie Sedan 2005&gt;2012</t>
  </si>
  <si>
    <t>RENAULT Twingo 2007&gt;</t>
  </si>
  <si>
    <t>BMW 3-serie Sedan 2012&gt;</t>
  </si>
  <si>
    <t>RENAULT Modus 2004&gt;2008</t>
  </si>
  <si>
    <t>BMW 4-serie Cab 2014&gt;</t>
  </si>
  <si>
    <t>RENAULT Megane Sedan 1996&gt;2003</t>
  </si>
  <si>
    <t>BMW 4-Serie Coupe 2013&gt;</t>
  </si>
  <si>
    <t>Volvo XC60 08&gt;</t>
  </si>
  <si>
    <t>RENAULT Megane Sedan 2003&gt;</t>
  </si>
  <si>
    <t>BMW 4-serie Grand Coupe 2014&gt;</t>
  </si>
  <si>
    <t>RENAULT Megane Scenic 4x4 2000&gt;2003</t>
  </si>
  <si>
    <t>BMW 5-serie GT 2009&gt;2013</t>
  </si>
  <si>
    <t>RENAULT Megane Scenic 1997&gt;2003</t>
  </si>
  <si>
    <t>BMW 5-serie GT 2013&gt;</t>
  </si>
  <si>
    <t>RENAULT Megane Kombi 1999&gt;2003</t>
  </si>
  <si>
    <t>BMW 5-serie Kombi 1991&gt;1997</t>
  </si>
  <si>
    <t>RENAULT Megane Kombi 2009&gt;2016</t>
  </si>
  <si>
    <t>BMW 5-serie Kombi 1997&gt;2004</t>
  </si>
  <si>
    <t>RENAULT Megane Halvkombi 1995&gt;1999</t>
  </si>
  <si>
    <t>BMW 5-serie Kombi 2004&gt;2010</t>
  </si>
  <si>
    <t>RENAULT Megane Halvkombi 2002&gt;2008</t>
  </si>
  <si>
    <t>BMW 5-serie Kombi 2017&gt;</t>
  </si>
  <si>
    <t>RENAULT Megane Coach 1995&gt;1999</t>
  </si>
  <si>
    <t>BMW 5-serie Sedan 1988&gt;1995</t>
  </si>
  <si>
    <t>RENAULT Laguna I Kombi 1995&gt;2001</t>
  </si>
  <si>
    <t>BMW 5-serie Sedan 1995&gt;2003</t>
  </si>
  <si>
    <t>RENAULT Laguna II Kombi 2001&gt;2007</t>
  </si>
  <si>
    <t>BMW 5-serie Sedan 2003&gt;2010</t>
  </si>
  <si>
    <t>RENAULT Laguna III Kombi 2007&gt;</t>
  </si>
  <si>
    <t>BMW 5-serie Sedan 2010&gt;2017</t>
  </si>
  <si>
    <t>RENAULT Laguna II Halvkombi 2001&gt;2007</t>
  </si>
  <si>
    <t>BMW 5-serie Sedan 2017&gt;</t>
  </si>
  <si>
    <t>RENAULT Laguna III Halvkombi 2007&gt;</t>
  </si>
  <si>
    <t>BMW 6-serie Cab/Coupe 2004&gt;2011</t>
  </si>
  <si>
    <t>RENAULT Koleos 2008&gt;2016</t>
  </si>
  <si>
    <t>BMW 7-serie 1986&gt;1994</t>
  </si>
  <si>
    <t>RENAULT Kangoo 1997&gt;2008</t>
  </si>
  <si>
    <t>BMW 7-Serie 1994&gt;2001</t>
  </si>
  <si>
    <t>RENAULT Kadjar 2015&gt;</t>
  </si>
  <si>
    <t>BMW 7-serie 2001&gt;2005</t>
  </si>
  <si>
    <t>RENAULT Grand Scenic 2004&gt;2009</t>
  </si>
  <si>
    <t>BMW 7-serie 2005&gt;2008</t>
  </si>
  <si>
    <t>RENAULT Grand Scenic 2009&gt;2016</t>
  </si>
  <si>
    <t>Skäggetorp blev över = ta hem, skickad till Ramek Bil JHB017</t>
  </si>
  <si>
    <t>RENAULT Grand Espace 2002&gt;</t>
  </si>
  <si>
    <t>RENAULT Espace 1996&gt;2002</t>
  </si>
  <si>
    <t>BMW X1 2015&gt;</t>
  </si>
  <si>
    <t>RENAULT Espace 2002&gt;2014</t>
  </si>
  <si>
    <t>BMW X3 2004&gt;2010</t>
  </si>
  <si>
    <t>RENAULT Clio Kombi 2008&gt;2013</t>
  </si>
  <si>
    <t>RENAULT Clio Halvkombi 1998&gt;2005</t>
  </si>
  <si>
    <t>BMW X4 2014&gt;</t>
  </si>
  <si>
    <t>RENAULT Clio Halvkombi 2005&gt;2012</t>
  </si>
  <si>
    <t>BMW X5 2000&gt;2007</t>
  </si>
  <si>
    <t>RENAULT Clio Halvkombi 2012&gt;</t>
  </si>
  <si>
    <t>BMW X5 2007&gt;2013</t>
  </si>
  <si>
    <t>RENAULT Captur 2013&gt;</t>
  </si>
  <si>
    <t>BMW X5 2013&gt;</t>
  </si>
  <si>
    <t>RANGE ROVER Evoque 2011&gt;</t>
  </si>
  <si>
    <t>BMW X6 2008&gt;2014</t>
  </si>
  <si>
    <t>PEUGEOT 508 Sedan 2011&gt;</t>
  </si>
  <si>
    <t>BMW X6 2014&gt;</t>
  </si>
  <si>
    <t>BMW Z4 2003&gt;2009</t>
  </si>
  <si>
    <t>PEUGEOT 407 Sedan 2004&gt;2008</t>
  </si>
  <si>
    <t>BMW Z4 2009&gt;</t>
  </si>
  <si>
    <t>Tagen till PGC954</t>
  </si>
  <si>
    <t>PEUGEOT 406 Sedan 1995&gt;2004</t>
  </si>
  <si>
    <t>CADILLAC BLS Kombi 2007&gt;</t>
  </si>
  <si>
    <t>PEUGEOT 406 Kombi 1997&gt;2004</t>
  </si>
  <si>
    <t>CADILLAC BLS Sedan 2006&gt;</t>
  </si>
  <si>
    <t>PEUGEOT 308 Kombi 2008&gt;2014</t>
  </si>
  <si>
    <t>CADILLAC SRX 2004&gt;2010</t>
  </si>
  <si>
    <t>CHEVROLET Alero Sedan 1998&gt;</t>
  </si>
  <si>
    <t>PEUGEOT 307 Kombi 2002&gt;</t>
  </si>
  <si>
    <t>CHEVROLET Aveo Halvkombi 2008&gt;2011</t>
  </si>
  <si>
    <t>PEUGEOT 307 Halvkombi 2001&gt;2007</t>
  </si>
  <si>
    <t>CHEVROLET Aveo Halvkombi 2011&gt;</t>
  </si>
  <si>
    <t>PEUGEOT 306 Kombi 1997&gt;2002</t>
  </si>
  <si>
    <t>CHEVROLET Aveo Sedan 2006&gt;2011</t>
  </si>
  <si>
    <t>CHEVROLET Aveo Sedan 2011&gt;</t>
  </si>
  <si>
    <t>PEUGEOT 207 Kombi 2007&gt;</t>
  </si>
  <si>
    <t>CHEVROLET Blazer/Suburban 1992&gt;1994</t>
  </si>
  <si>
    <t>PEUGEOT 207 Halvkombi 2006&gt;</t>
  </si>
  <si>
    <t>PEUGEOT 206 Kombi 2002&gt;2006</t>
  </si>
  <si>
    <t>CHEVROLET Captiva 2013&gt;</t>
  </si>
  <si>
    <t>PEUGEOT 206 Halvkombi 1998&gt;</t>
  </si>
  <si>
    <t>CHEVROLET Cruze Halvkombi 2011&gt;</t>
  </si>
  <si>
    <t>CHEVROLET Cruze Kombi 2012&gt;</t>
  </si>
  <si>
    <t>CHEVROLET Cruze Sedan 2009&gt;</t>
  </si>
  <si>
    <t>Till bil KNM366</t>
  </si>
  <si>
    <t>OPEL Zafira Van 1999&gt;2005</t>
  </si>
  <si>
    <t>CHEVROLET Epica 2006&gt;</t>
  </si>
  <si>
    <t>V/017</t>
  </si>
  <si>
    <t>OPEL Zafira Van 2005&gt;</t>
  </si>
  <si>
    <t>CHEVROLET Equinox 2005&gt;</t>
  </si>
  <si>
    <t>OPEL Zafira C Tourer 2012&gt;</t>
  </si>
  <si>
    <t>CHEVROLET Kalos 2005&gt;</t>
  </si>
  <si>
    <t>OPEL Vectra B Kombi 1996&gt;2003</t>
  </si>
  <si>
    <t>CHEVROLET Lacetti Halvkombi 2004&gt;</t>
  </si>
  <si>
    <t>OPEL Vectra C Kombi 2003&gt;2008</t>
  </si>
  <si>
    <t>CHEVROLET Lacetti Kombi 2004&gt;</t>
  </si>
  <si>
    <t>OPEL Vectra B Halvkombi 1995&gt;2002</t>
  </si>
  <si>
    <t>CHEVROLET Lacetti Sedan 2004&gt;</t>
  </si>
  <si>
    <t>Tagen till PLR640</t>
  </si>
  <si>
    <t>OPEL Vectra C Halvkombi 2002&gt;2008</t>
  </si>
  <si>
    <t>CHEVROLET Lanos 1997&gt;2004</t>
  </si>
  <si>
    <t>OPEL Signum Kombi 2003&gt;</t>
  </si>
  <si>
    <t>CHEVROLET Malibu 2012&gt;</t>
  </si>
  <si>
    <t>OPEL Omega B Sedan 1994&gt;2003</t>
  </si>
  <si>
    <t>CHEVROLET Matiz 2005&gt;</t>
  </si>
  <si>
    <t>OPEL Omega B Kombi 1994&gt;2003</t>
  </si>
  <si>
    <t>CHEVROLET Nubira Kombi 2005&gt;</t>
  </si>
  <si>
    <t>OPEL Meriva 2003&gt;2010</t>
  </si>
  <si>
    <t>CHEVROLET Nubira Sedan 1998&gt;2005</t>
  </si>
  <si>
    <t>OPEL Meriva 2010&gt;</t>
  </si>
  <si>
    <t>CHEVROLET Nubira Sedan 2005&gt;</t>
  </si>
  <si>
    <t>OPEL Insignia Sedan 2008&gt;</t>
  </si>
  <si>
    <t>CHEVROLET Orlando 2011&gt;</t>
  </si>
  <si>
    <t>OPEL Frontera 1991&gt;1998</t>
  </si>
  <si>
    <t>CHEVROLET Pick Up 1988&gt;1999</t>
  </si>
  <si>
    <t>Tagen till ADS049</t>
  </si>
  <si>
    <t>OPEL Frontera 1998&gt;2003</t>
  </si>
  <si>
    <t>CHEVROLET Rezzo 2005&gt;</t>
  </si>
  <si>
    <t>OPEL Corsa C 2000&gt;2006</t>
  </si>
  <si>
    <t>CHEVROLET Tacuma 2001&gt;</t>
  </si>
  <si>
    <t>OPEL Combo B 1994&gt;2002</t>
  </si>
  <si>
    <t>CHEVROLET Tahoe 2000&gt;</t>
  </si>
  <si>
    <t>OPEL Astra G Kombi 1998&gt;2004</t>
  </si>
  <si>
    <t>CHEVROLET Trans Sport Van 1996&gt;</t>
  </si>
  <si>
    <t>CHEVROLET Trax 2013&gt;</t>
  </si>
  <si>
    <t>OPEL Astra H Halvkombi 2004&gt;2009</t>
  </si>
  <si>
    <t>CHEVROLET Uplander 2007&gt;</t>
  </si>
  <si>
    <t>OPEL Astra J Halvkombi 2009&gt;2015</t>
  </si>
  <si>
    <t>CHEVROLET Van 1996&gt;</t>
  </si>
  <si>
    <t>OPEL Astra K Halvkombi 2015&gt;</t>
  </si>
  <si>
    <t>CHRYSLER 300C 2004&gt;2011</t>
  </si>
  <si>
    <t>OPEL Astra G Coupe 2000&gt;2005</t>
  </si>
  <si>
    <t>CHRYSLER 300C 2011&gt;</t>
  </si>
  <si>
    <t>OPEL Antara 2006&gt;2011</t>
  </si>
  <si>
    <t>CHRYSLER 300M 1998&gt;2004</t>
  </si>
  <si>
    <t>OPEL Agila 2000&gt;2002</t>
  </si>
  <si>
    <t>CHRYSLER Grand Voyager 1991&gt;1995</t>
  </si>
  <si>
    <t>Tagen i reserv till YOK158 pga försening med UPS. Blev den använd? /FP 29/10</t>
  </si>
  <si>
    <t>OPEL Agila 2002&gt;2008</t>
  </si>
  <si>
    <t>CHRYSLER Grand Voyager 1995&gt;2001</t>
  </si>
  <si>
    <t>NISSAN X-Trail 2001&gt;2007</t>
  </si>
  <si>
    <t>CHRYSLER Grand Voyager 2001&gt;2008</t>
  </si>
  <si>
    <t>NISSAN X-Trail 2007&gt;2014</t>
  </si>
  <si>
    <t>CHRYSLER Grand Voyager 2008&gt;</t>
  </si>
  <si>
    <t>NISSAN X-Trail 2014&gt;2017</t>
  </si>
  <si>
    <t>CHRYSLER Neon 1999&gt;</t>
  </si>
  <si>
    <t>CHRYSLER PT Cruiser 2000&gt;</t>
  </si>
  <si>
    <t>NISSAN Primera Kombi 2002&gt;</t>
  </si>
  <si>
    <t>CHRYSLER PT Cruiser Cab 2004&gt;</t>
  </si>
  <si>
    <t>NISSAN Primastar 2003&gt;2014</t>
  </si>
  <si>
    <t>CHRYSLER Sebring 2007&gt;</t>
  </si>
  <si>
    <t>NISSAN Pathfinder 2005&gt;</t>
  </si>
  <si>
    <t>CHRYSLER Stratus 1995&gt;2001</t>
  </si>
  <si>
    <t>CHRYSLER Voyager 1991&gt;1995</t>
  </si>
  <si>
    <t>NISSAN Navara 2005&gt;2016</t>
  </si>
  <si>
    <t>CHRYSLER Voyager 1995&gt;2001</t>
  </si>
  <si>
    <t>NISSAN Navara 2016&gt;</t>
  </si>
  <si>
    <t>CHRYSLER Voyager 2001&gt;2008</t>
  </si>
  <si>
    <t>Tagen till DNM462</t>
  </si>
  <si>
    <t>NISSAN Micra 2003&gt;2010</t>
  </si>
  <si>
    <t>CHRYSLER Voyager Stow´n Go 2004&gt;2008</t>
  </si>
  <si>
    <t>NISSAN King Cab 2002&gt;</t>
  </si>
  <si>
    <t>B-073</t>
  </si>
  <si>
    <t>CITROEN AX 1986&gt;1998</t>
  </si>
  <si>
    <t>Rasmus Borrman</t>
  </si>
  <si>
    <t>CITROEN Berlingo 1996&gt;2008</t>
  </si>
  <si>
    <t>NISSAN Almera Tino 2000&gt;2007</t>
  </si>
  <si>
    <t>NISSAN Almera Halvkombi 2000&gt;2006</t>
  </si>
  <si>
    <t>CITROEN Berlingo First 2008&gt;</t>
  </si>
  <si>
    <t>MITSUBISHI Space Star 1999&gt;2013</t>
  </si>
  <si>
    <t>CITROEN Berlingo L2 2008&gt;</t>
  </si>
  <si>
    <t>MITSUBISHI Pajero Pinin 1999&gt;2005</t>
  </si>
  <si>
    <t>CITROEN BX/Berline 1983&gt;1993</t>
  </si>
  <si>
    <t>Felskickat drag till Ltz370, kund lämnar i Borås 25-26/5 //TC</t>
  </si>
  <si>
    <t>MITSUBISHI Pajero 1990&gt;2000</t>
  </si>
  <si>
    <t>CITROEN C-Crosser 2007&gt;</t>
  </si>
  <si>
    <t>V-294</t>
  </si>
  <si>
    <t>Volvo XC70</t>
  </si>
  <si>
    <t>MITSUBISHI Pajero 2000&gt;2007</t>
  </si>
  <si>
    <t>CITROEN C-Elysee 2012&gt;</t>
  </si>
  <si>
    <t>MITSUBISHI Outlander 2003&gt;2007</t>
  </si>
  <si>
    <t>CITROEN C1 2005&gt;2014</t>
  </si>
  <si>
    <t>CITROEN C2 Halvkombi 2003&gt;</t>
  </si>
  <si>
    <t>MITSUBISHI L200 Pick-Up 1996&gt;2006</t>
  </si>
  <si>
    <t>CITROEN C25 1984&gt;1994</t>
  </si>
  <si>
    <t>MITSUBISHI L200 Pick-Up 2010&gt;2015</t>
  </si>
  <si>
    <t>CITROEN C3 Cab 2003&gt;2012</t>
  </si>
  <si>
    <t>MITSUBISHI Colt Halvkombi 5dr 2004&gt;2008</t>
  </si>
  <si>
    <t>CITROEN C3 Cab 2013&gt;</t>
  </si>
  <si>
    <t>MINI Clubman 2007&gt;2010</t>
  </si>
  <si>
    <t>CITROEN C3 Halvkombi 2002&gt;2009</t>
  </si>
  <si>
    <t>Robert Rosen</t>
  </si>
  <si>
    <t>MERCEDES Vito/Viano 1996&gt;2003</t>
  </si>
  <si>
    <t>CITROEN C3 Halvkombi 2010&gt;</t>
  </si>
  <si>
    <t>MERCEDES Vito/Viano 2003&gt;2014</t>
  </si>
  <si>
    <t>CITROEN C3 Picasso 2009&gt;</t>
  </si>
  <si>
    <t>MERCEDES Sprinter 1995&gt;2006</t>
  </si>
  <si>
    <t>CITROEN C4 Aircross 2012&gt;</t>
  </si>
  <si>
    <t>MERCEDES GLK 2008&gt;</t>
  </si>
  <si>
    <t>MERCEDES GLC 2015&gt;</t>
  </si>
  <si>
    <t>CITROEN C4 Coupe 2010&gt;</t>
  </si>
  <si>
    <t>MERCEDES E-klass Sedan 1995&gt;2002</t>
  </si>
  <si>
    <t>CITROEN C4 Grand Picasso 2006&gt;2013</t>
  </si>
  <si>
    <t>V/020</t>
  </si>
  <si>
    <t>MERCEDES E-klass Sedan 2002&gt;2009</t>
  </si>
  <si>
    <t>CITROEN C4 Grand Picasso 2013&gt;</t>
  </si>
  <si>
    <t>MERCEDES E-klass Sedan 2009&gt;2016</t>
  </si>
  <si>
    <t>CITROEN C4 Halvkombi 2004&gt;2010</t>
  </si>
  <si>
    <t>MERCEDES E-klass Kombi 1996&gt;2003</t>
  </si>
  <si>
    <t>CITROEN C4 Halvkombi 2010&gt;</t>
  </si>
  <si>
    <t>MERCEDES E-klass Kombi 2003&gt;2009</t>
  </si>
  <si>
    <t>CITROEN C4 Picasso 2006&gt;2013</t>
  </si>
  <si>
    <t>MERCEDES E-klass Cab 2010&gt;</t>
  </si>
  <si>
    <t>MERCEDES C-klass CLK Coupe 2002&gt;</t>
  </si>
  <si>
    <t>CITROEN C5 Halvkombi 2001&gt;2004</t>
  </si>
  <si>
    <t>NAN308</t>
  </si>
  <si>
    <t>CITROEN C5 Halvkombi 2004&gt;2008</t>
  </si>
  <si>
    <t>MERCEDES Citan 2012&gt;</t>
  </si>
  <si>
    <t>CITROEN C5 Kombi 2001&gt;2004</t>
  </si>
  <si>
    <t>MERCEDES C-klass Sedan 2000&gt;2007</t>
  </si>
  <si>
    <t>MERCEDES C-klass Sedan 2007&gt;2014</t>
  </si>
  <si>
    <t>CITROEN C5 Kombi 2008&gt;</t>
  </si>
  <si>
    <t>CITROEN C5 Sedan 2004&gt;2008</t>
  </si>
  <si>
    <t>MERCEDES C-klass Kombi 1996&gt;2001</t>
  </si>
  <si>
    <t>CITROEN C5 Sedan 2008&gt;</t>
  </si>
  <si>
    <t>MERCEDES C-klass Kombi 2001&gt;2007</t>
  </si>
  <si>
    <t>CITROEN C8 2002&gt;</t>
  </si>
  <si>
    <t>MERCEDES A-klass 1997&gt;2004</t>
  </si>
  <si>
    <t>CITROEN C8 2002&gt;2014</t>
  </si>
  <si>
    <t>MERCEDES A-klass 2004&gt;2012</t>
  </si>
  <si>
    <t>CITROEN DS3 Halvkombi 2010&gt;</t>
  </si>
  <si>
    <t>LWN523</t>
  </si>
  <si>
    <t>MERCEDES A-klass 2012&gt;</t>
  </si>
  <si>
    <t>CITROEN DS4 Halvkombi 2011&gt;</t>
  </si>
  <si>
    <t>CITROEN DS5 Halvkombi 2012&gt;</t>
  </si>
  <si>
    <t>MAZDA CX-3 2015&gt;</t>
  </si>
  <si>
    <t>CITROEN Evasion 1994&gt;2002</t>
  </si>
  <si>
    <t>MAZDA 6 Sedan 2013&gt;</t>
  </si>
  <si>
    <t>CITROEN Jumper (Flak) 2006&gt;</t>
  </si>
  <si>
    <t>MAZDA 6 Kombi 2002&gt;2008</t>
  </si>
  <si>
    <t>CITROEN Jumper (Skåp) 2006&gt;</t>
  </si>
  <si>
    <t>MAZDA 6 Kombi 2008&gt;2013</t>
  </si>
  <si>
    <t>CITROEN Jumper 1994&gt;2006</t>
  </si>
  <si>
    <t>MAZDA 3 Halvkombi 2003&gt;2009</t>
  </si>
  <si>
    <t>CITROEN Jumpy 1994&gt;2007</t>
  </si>
  <si>
    <t>MAZDA 3 Halvkombi 2009&gt;2013</t>
  </si>
  <si>
    <t>Tagen till KJU288</t>
  </si>
  <si>
    <t>CITROEN Jumpy 2007&gt;</t>
  </si>
  <si>
    <t>MAZDA 2 Van 2002&gt;2007</t>
  </si>
  <si>
    <t>CITROEN Nemo 2008&gt;</t>
  </si>
  <si>
    <t>MAZDA 2 Halvkombi 2007&gt;2015</t>
  </si>
  <si>
    <t>CITROEN Pluriel 2003&gt;</t>
  </si>
  <si>
    <t>LAND ROVER Freelander 1998&gt;2007</t>
  </si>
  <si>
    <t>CITROEN Saxo Halvkombi 1996&gt;2003</t>
  </si>
  <si>
    <t>LAND ROVER Freelander 2007&gt;</t>
  </si>
  <si>
    <t>CITROËN Spacetourer 2016&gt;</t>
  </si>
  <si>
    <t>LAND ROVER Discovery 1998&gt;2004</t>
  </si>
  <si>
    <t>CITROEN Xantia Halvkombi 1995&gt;2001</t>
  </si>
  <si>
    <t>LAND ROVER Defender 1998&gt;</t>
  </si>
  <si>
    <t>CITROEN XM Halvkombi 1989&gt;2001</t>
  </si>
  <si>
    <t>LANCIA Thesis 2002&gt;</t>
  </si>
  <si>
    <t>CITROEN XM Sedan 1990&gt;2000</t>
  </si>
  <si>
    <t>LANCIA Musa 2004&gt;</t>
  </si>
  <si>
    <t>CITROEN Xsara Halvkombi 1997&gt;2005</t>
  </si>
  <si>
    <t>Till bil LWL207</t>
  </si>
  <si>
    <t>LANCIA Lybra 1999&gt;</t>
  </si>
  <si>
    <t>CITROEN Xsara Kombi 1997&gt;2005</t>
  </si>
  <si>
    <t>LADA Niva 76&gt;</t>
  </si>
  <si>
    <t>CITROEN Xsara Picasso 2000&gt;2004</t>
  </si>
  <si>
    <t>CITROEN Xsara Picasso 2004&gt;</t>
  </si>
  <si>
    <t>KIA Soul 2009&gt;2012</t>
  </si>
  <si>
    <t>CITROEN ZX 1991&gt;1997</t>
  </si>
  <si>
    <t>KIA Sorento 2006&gt;2009</t>
  </si>
  <si>
    <t>DACIA Dokker 2012&gt;</t>
  </si>
  <si>
    <t>KIA Sorento 2009&gt;2012</t>
  </si>
  <si>
    <t>DACIA Dokker Stepway 2015&gt;</t>
  </si>
  <si>
    <t>KIA Picanto Halvkombi 2004&gt;2011</t>
  </si>
  <si>
    <t>DACIA Duster 2010&gt;2013</t>
  </si>
  <si>
    <t>KIA Picanto Halvkombi 2011&gt;</t>
  </si>
  <si>
    <t>Tagen till TJR768</t>
  </si>
  <si>
    <t>KIA K2500/2700 2004&gt;</t>
  </si>
  <si>
    <t>DACIA Lodgy 2012&gt;</t>
  </si>
  <si>
    <t>DACIA Lodgy Stepway 2016&gt;</t>
  </si>
  <si>
    <t>V-306</t>
  </si>
  <si>
    <t>Volvo XC90</t>
  </si>
  <si>
    <t>KIA Carnival 1999&gt;2006</t>
  </si>
  <si>
    <t>DACIA Logan Kombi 2007&gt;</t>
  </si>
  <si>
    <t>KIA Carens 2006&gt;2013</t>
  </si>
  <si>
    <t>DACIA Logan Kombi 2007&gt;2013</t>
  </si>
  <si>
    <t>KIA Carens 2013&gt;</t>
  </si>
  <si>
    <t>DACIA Logan Kombi 2013&gt;</t>
  </si>
  <si>
    <t>JEEP Wrangler 2007&gt;</t>
  </si>
  <si>
    <t>DACIA Logan Pick Up 2007&gt;2013</t>
  </si>
  <si>
    <t>JEEP Grand Cherokee 1993&gt;1999</t>
  </si>
  <si>
    <t>DACIA Logan Pick Up 2013&gt;</t>
  </si>
  <si>
    <t>JEEP Grand Cherokee 1999&gt;2005</t>
  </si>
  <si>
    <t>DACIA Logan Sedan 2004&gt;2012</t>
  </si>
  <si>
    <t>JEEP Compass 2011&gt;2017</t>
  </si>
  <si>
    <t>DACIA Logan Sedan 2013&gt;</t>
  </si>
  <si>
    <t>JEEP Commander 2006&gt;</t>
  </si>
  <si>
    <t>Till YJD320</t>
  </si>
  <si>
    <t>DACIA Sandero Halvkombi 2008&gt;2013</t>
  </si>
  <si>
    <t>JEEP Cherokee 2008&gt;2014</t>
  </si>
  <si>
    <t>DACIA Sandero Halvkombi 2013&gt;</t>
  </si>
  <si>
    <t>V-300</t>
  </si>
  <si>
    <t>JEEP Cherokee 2014&gt;</t>
  </si>
  <si>
    <t>02&gt;15</t>
  </si>
  <si>
    <t>DACIA Sandero Stepway 2008&gt;2012</t>
  </si>
  <si>
    <t>ISUZU D Max 2004&gt;2012</t>
  </si>
  <si>
    <t>DACIA Sandero Stepway 2013&gt;</t>
  </si>
  <si>
    <t>ISUZU D Max 2012&gt;</t>
  </si>
  <si>
    <t>DAEWOO Kalos 2002&gt;</t>
  </si>
  <si>
    <t>HYUNDAI Tucson 2004&gt;2010</t>
  </si>
  <si>
    <t>DAEWOO Lanos Halvkombi 1997&gt;2004</t>
  </si>
  <si>
    <t>HYUNDAI Tucson 2015&gt;</t>
  </si>
  <si>
    <t>DAEWOO Nubira Kombi 1999&gt;2004</t>
  </si>
  <si>
    <t>HYUNDAI Terracan 2001&gt;2007</t>
  </si>
  <si>
    <t>DAEWOO Nubira Kombi 2004&gt;2011</t>
  </si>
  <si>
    <t>HYUNDAI Santa Fe 2001&gt;2006</t>
  </si>
  <si>
    <t>Krok hittades 5/10-16 på gården utanför kontoret.</t>
  </si>
  <si>
    <t>DAEWOO Nubira Sedan 2003&gt;2013</t>
  </si>
  <si>
    <t>HYUNDAI Santa Fe 2006&gt;2012</t>
  </si>
  <si>
    <t>DAEWOO Tacuma 2000&gt;2009</t>
  </si>
  <si>
    <t>13-8022</t>
  </si>
  <si>
    <t>HYUNDAI Santa Fe 2012&gt;</t>
  </si>
  <si>
    <t>DAIHATSU Cuore 2007&gt;</t>
  </si>
  <si>
    <t>HYUNDAI Matrix 2001&gt;2010</t>
  </si>
  <si>
    <t>DAIHATSU Feroza 1988&gt;1997</t>
  </si>
  <si>
    <t>HYUNDAI Lantra 1996&gt;2000</t>
  </si>
  <si>
    <t>DAIHATSU Gran Move 1996&gt;2003</t>
  </si>
  <si>
    <t>HYUNDAI ix35 2010&gt;</t>
  </si>
  <si>
    <t>DAIHATSU Hi Jet 1994&gt;</t>
  </si>
  <si>
    <t>HYUNDAI ix20 2010&gt;</t>
  </si>
  <si>
    <t>DAIHATSU Materia 2007&gt;</t>
  </si>
  <si>
    <t>HYUNDAI i40 Kombi 2011&gt;</t>
  </si>
  <si>
    <t>DAIHATSU Sirion 1998&gt;2004</t>
  </si>
  <si>
    <t>HYUNDAI i30 Kombi 2008&gt;2012</t>
  </si>
  <si>
    <t>DAIHATSU Sirion 2005&gt;</t>
  </si>
  <si>
    <t>HYUNDAI i30 Kombi 2012&gt;2017</t>
  </si>
  <si>
    <t>DAIHATSU Terios 1997&gt;2006</t>
  </si>
  <si>
    <t>HYUNDAI i30 Halvkombi 2008&gt;2012</t>
  </si>
  <si>
    <t>DAIHATSU Terios 2006&gt;</t>
  </si>
  <si>
    <t>DAIHATSU YRV 2001&gt;2006</t>
  </si>
  <si>
    <t>Erich Jaeger 748410</t>
  </si>
  <si>
    <t>HYUNDAI i10 2008&gt;2013</t>
  </si>
  <si>
    <t>DODGE Avenger 2007&gt;</t>
  </si>
  <si>
    <t>04&gt;15</t>
  </si>
  <si>
    <t>HYUNDAI H1 2000&gt;2008</t>
  </si>
  <si>
    <t>DODGE Caliber 2006&gt;</t>
  </si>
  <si>
    <t>HYUNDAI H1 2008&gt;</t>
  </si>
  <si>
    <t>Dodge Caravan 1991&gt;1995</t>
  </si>
  <si>
    <t>HYUNDAI Grand Santa Fe 2014&gt;</t>
  </si>
  <si>
    <t>Dodge Grand Caravan 1991&gt;1995</t>
  </si>
  <si>
    <t>HYUNDAI Getz 2002&gt;2005</t>
  </si>
  <si>
    <t>DODGE Journey 2008&gt;</t>
  </si>
  <si>
    <t>HYUNDAI Getz 2005&gt;2009</t>
  </si>
  <si>
    <t>DODGE Magnum 2004&gt;</t>
  </si>
  <si>
    <t>HYUNDAI Galloper 1998&gt;2003</t>
  </si>
  <si>
    <t>Dodge Mini Ram 1991&gt;1995</t>
  </si>
  <si>
    <t>HYUNDAI Atos 1998&gt;</t>
  </si>
  <si>
    <t>DODGE Nitro 2007&gt;</t>
  </si>
  <si>
    <t>HYUNDAI Accent 2000&gt;2006</t>
  </si>
  <si>
    <t>FIAT 500 Cab 2007&gt;</t>
  </si>
  <si>
    <t xml:space="preserve">Volvo XC90 2015&gt; </t>
  </si>
  <si>
    <t>HONDA HR-V 1999&gt;2001</t>
  </si>
  <si>
    <t>FIAT 500 Halvkombi 2007&gt;</t>
  </si>
  <si>
    <t>HONDA HR-V 2001&gt;2015</t>
  </si>
  <si>
    <t>FIAT 500L 2012&gt;</t>
  </si>
  <si>
    <t>HONDA CR-V 1997&gt;2002</t>
  </si>
  <si>
    <t>FIAT 500L Trekking 2012&gt;</t>
  </si>
  <si>
    <t>FIAT 500X 2014&gt;</t>
  </si>
  <si>
    <t>FIAT Albea 2001&gt;2010</t>
  </si>
  <si>
    <t>HONDA CR-V 2012&gt;</t>
  </si>
  <si>
    <t>FIAT Brava 1995&gt;2001</t>
  </si>
  <si>
    <t>HONDA Civic 3 dr Halvkombi 2001&gt;2006</t>
  </si>
  <si>
    <t>FIAT Bravo 1995&gt;2001</t>
  </si>
  <si>
    <t xml:space="preserve">Steinhof </t>
  </si>
  <si>
    <t>HONDA Civic 5 dr Halvkombi 2001&gt;2006</t>
  </si>
  <si>
    <t>FIAT Bravo 2007&gt;</t>
  </si>
  <si>
    <t>Volvo S90/V90 2016&gt;</t>
  </si>
  <si>
    <t>FORD Transit/Tourneo Connect 2002&gt;2014</t>
  </si>
  <si>
    <t>FIAT Croma 2005&gt;</t>
  </si>
  <si>
    <t>FORD Transit/Tourneo Connect 2014&gt;</t>
  </si>
  <si>
    <t>FIAT Doblo 2001&gt;2009</t>
  </si>
  <si>
    <t>FORD Transit/Tourneo 2000&gt;2012 (Skåp)</t>
  </si>
  <si>
    <t>FIAT Doblo 2010&gt;</t>
  </si>
  <si>
    <t>FORD S-Max 2006&gt;2015</t>
  </si>
  <si>
    <t>FORD Mondeo Sedan 2007&gt;2014</t>
  </si>
  <si>
    <t>FIAT Doblo CNG 2010&gt;</t>
  </si>
  <si>
    <t>FORD Mondeo Kombi 1993&gt;2000</t>
  </si>
  <si>
    <t>FIAT Ducato (Flak) 1984&gt;1994</t>
  </si>
  <si>
    <t>FORD Mondeo Kombi 2001&gt;2007</t>
  </si>
  <si>
    <t>Tillhörde ZAP72M som bokade av i verkstan.</t>
  </si>
  <si>
    <t>FIAT Ducato (Flak) 1994&gt;2006</t>
  </si>
  <si>
    <t>Mailat Västerås om måtten 2/11 //HL</t>
  </si>
  <si>
    <t>FORD Mondeo Kombi 2007&gt;2014</t>
  </si>
  <si>
    <t>FIAT Ducato (Flak) 2006&gt;</t>
  </si>
  <si>
    <t>FORD Mondeo Halvkombi 1996&gt;2000</t>
  </si>
  <si>
    <t>FIAT Ducato 1984&gt;1994</t>
  </si>
  <si>
    <t>FORD Mondeo Halvkombi 2000&gt;2007</t>
  </si>
  <si>
    <t>FIAT Ducato 1994&gt;2006</t>
  </si>
  <si>
    <t>024-301</t>
  </si>
  <si>
    <t>FORD Mondeo Halvkombi 2007&gt;2014</t>
  </si>
  <si>
    <t>VW Beetle</t>
  </si>
  <si>
    <t>FIAT Ducato 2006&gt;</t>
  </si>
  <si>
    <t>1998-2011</t>
  </si>
  <si>
    <t>FORD Mondeo Halvkombi 2014&gt;</t>
  </si>
  <si>
    <t>FIAT Fiorino 1994&gt;2008</t>
  </si>
  <si>
    <t>FORD Maverick 1993&gt;2001</t>
  </si>
  <si>
    <t>FIAT Fiorino/Qubo 2008&gt;</t>
  </si>
  <si>
    <t>FORD Kuga 2008&gt;2013</t>
  </si>
  <si>
    <t>FIAT Freemont 2011&gt;</t>
  </si>
  <si>
    <t>FORD Galaxy 1995&gt;2000</t>
  </si>
  <si>
    <t>FIAT Fullback (Pick-up) 2016&gt;</t>
  </si>
  <si>
    <t>FORD Galaxy 2000&gt;2006</t>
  </si>
  <si>
    <t>FIAT Grande Punto 2005&gt;</t>
  </si>
  <si>
    <t>FORD Galaxy 2006&gt;2015</t>
  </si>
  <si>
    <t>FIAT Idea 2004&gt;</t>
  </si>
  <si>
    <t>FORD Galaxy 2015&gt;</t>
  </si>
  <si>
    <t>FIAT Linea 2007&gt;</t>
  </si>
  <si>
    <t>V-028</t>
  </si>
  <si>
    <t>FORD Fusion 2002&gt;</t>
  </si>
  <si>
    <t>VW Caddy</t>
  </si>
  <si>
    <t>FIAT Marea Kombi 1996&gt;2002</t>
  </si>
  <si>
    <t>Eklunds Bil</t>
  </si>
  <si>
    <t>FORD Focus Kombi 1999&gt;2005</t>
  </si>
  <si>
    <t>FIAT Marea Sedan 1996&gt;2001</t>
  </si>
  <si>
    <t>FIAT Multipla 1999&gt;2004</t>
  </si>
  <si>
    <t>FIAT Multipla 2004&gt;</t>
  </si>
  <si>
    <t>FORD Focus Halvkombi 1998&gt;2004</t>
  </si>
  <si>
    <t>FIAT Palio 1998&gt;2003</t>
  </si>
  <si>
    <t>FORD Fiesta Halvkombi 1996&gt;2002</t>
  </si>
  <si>
    <t>FIAT Palio 2003&gt;</t>
  </si>
  <si>
    <t>FORD Fiesta Halvkombi 2002&gt;2008</t>
  </si>
  <si>
    <t>FIAT Panda 4x2 CNG 2007&gt;2012</t>
  </si>
  <si>
    <t>FORD Fiesta Halvkombi 2008&gt;2012</t>
  </si>
  <si>
    <t>Tillhörde ordern för MGN868</t>
  </si>
  <si>
    <t>FIAT Panda 4x4 2004&gt;2012</t>
  </si>
  <si>
    <t>Eklunds har ej kvar detta draget, HL ringt och kollat 171205. Finns det här? Vad gör vi? //TC</t>
  </si>
  <si>
    <t>FORD Ecosport 2014&gt;</t>
  </si>
  <si>
    <t>FIAT Panda 4x4 2012&gt;</t>
  </si>
  <si>
    <t>FORD C-Max 2010&gt;</t>
  </si>
  <si>
    <t>FIAT Panda Climbing 2012&gt;</t>
  </si>
  <si>
    <t>FORD B-Max 2012&gt;</t>
  </si>
  <si>
    <t>FIAT Panda Halvkombi 1980&gt;2003</t>
  </si>
  <si>
    <t>FIAT Strada 1999&gt;</t>
  </si>
  <si>
    <t>FIAT Panda Halvkombi 2003&gt;2012</t>
  </si>
  <si>
    <t>FIAT Stilo Halvkombi 2001&gt;2007</t>
  </si>
  <si>
    <t>FIAT Panda Halvkombi 2012&gt;</t>
  </si>
  <si>
    <t>FIAT Stilo Kombi 2002&gt;</t>
  </si>
  <si>
    <t>FIAT Punto 2011&gt;</t>
  </si>
  <si>
    <t>FIAT Sedici 2006&gt;</t>
  </si>
  <si>
    <t>FIAT Punto Cab 1993&gt;1999</t>
  </si>
  <si>
    <t>FIAT Punto Halvkombi 1993&gt;1999</t>
  </si>
  <si>
    <t>FIAT Punto Evo 2009&gt;</t>
  </si>
  <si>
    <t>FIAT Punto Grande 2006&gt;</t>
  </si>
  <si>
    <t>FIAT Punto Halvkombi 1999&gt;2005</t>
  </si>
  <si>
    <t>FIAT Scudo 1996&gt;2007</t>
  </si>
  <si>
    <t>Tagen till wrs888</t>
  </si>
  <si>
    <t>FIAT Scudo 2007&gt;2016</t>
  </si>
  <si>
    <t>FIAT Scudo 2016&gt;</t>
  </si>
  <si>
    <t>FIAT Seicento 1998&gt;2010</t>
  </si>
  <si>
    <t>Fiat Talento 2016&gt;</t>
  </si>
  <si>
    <t>Fiat Tipo Halvkombi 2016&gt;</t>
  </si>
  <si>
    <t>PWW418</t>
  </si>
  <si>
    <t>Fiat Tipo Kombi 2016&gt;</t>
  </si>
  <si>
    <t>037-271</t>
  </si>
  <si>
    <t>FIAT Tipo Sedan 2016&gt;</t>
  </si>
  <si>
    <t xml:space="preserve">VW Caddy </t>
  </si>
  <si>
    <t>FIAT Ulysse 1994&gt;2002</t>
  </si>
  <si>
    <t>FIAT Ulysse 2002&gt;</t>
  </si>
  <si>
    <t>FIAT Uno 1983&gt;2002</t>
  </si>
  <si>
    <t>FORD Cougar 1998&gt;2002</t>
  </si>
  <si>
    <t>VW51AS/56324</t>
  </si>
  <si>
    <t>VW Caddy (2K) 2004-2008</t>
  </si>
  <si>
    <t>Ford Edge 2016&gt;</t>
  </si>
  <si>
    <t>FORD Escort Bolero 1995&gt;1999</t>
  </si>
  <si>
    <t>FORD Escort Bolero 1999&gt;</t>
  </si>
  <si>
    <t>FORD Escort Express 1990&gt;</t>
  </si>
  <si>
    <t>FORD Escort Kombi 1990&gt;1999</t>
  </si>
  <si>
    <t>FORD Escort Sedan 1995&gt;</t>
  </si>
  <si>
    <t>LSL033</t>
  </si>
  <si>
    <t>FORD Explorer 2001&gt;2005</t>
  </si>
  <si>
    <t>FORD Explorer 2011&gt;2015</t>
  </si>
  <si>
    <t>VW caddy / Skoda Felicia Pick Up</t>
  </si>
  <si>
    <t>Ford Explorer 2016&gt;</t>
  </si>
  <si>
    <t>FORD F150 Pick Up 1998&gt;2003</t>
  </si>
  <si>
    <t>FORD F150 Pick Up 2004&gt;</t>
  </si>
  <si>
    <t>FORD Fiesta Courier 1996&gt;2002</t>
  </si>
  <si>
    <t>FORD Fiesta Halvkombi 1989&gt;1995</t>
  </si>
  <si>
    <t>Saknar kula och kontakthållare</t>
  </si>
  <si>
    <t>W/027</t>
  </si>
  <si>
    <t>VW Caddy 04&gt;</t>
  </si>
  <si>
    <t>FORD Focus C-Max 2003&gt;2010</t>
  </si>
  <si>
    <t>04-</t>
  </si>
  <si>
    <t>FORD Focus Cab 2003&gt;</t>
  </si>
  <si>
    <t>FORD Focus Halvkombi 2004&gt;2011</t>
  </si>
  <si>
    <t>FORD Focus Halvkombi 2011&gt;</t>
  </si>
  <si>
    <t>Tagen till NYJ362</t>
  </si>
  <si>
    <t>43062/F</t>
  </si>
  <si>
    <t>VW Caddy 2004&gt;</t>
  </si>
  <si>
    <t>FORD Focus Sedan 1999&gt;2005</t>
  </si>
  <si>
    <t>FORD Focus Sedan 2005&gt;2011</t>
  </si>
  <si>
    <t>FORD Focus Sedan 2011&gt;</t>
  </si>
  <si>
    <t>Tillhörde MNH979, vi skickat dubbelt</t>
  </si>
  <si>
    <t>V-032</t>
  </si>
  <si>
    <t>VW Crafter, Sprinter 2</t>
  </si>
  <si>
    <t>FORD Grand C-Max 2010&gt;</t>
  </si>
  <si>
    <t>FORD Ka 2009&gt;</t>
  </si>
  <si>
    <t xml:space="preserve">VW Golf </t>
  </si>
  <si>
    <t>FORD Kuga 2013&gt;</t>
  </si>
  <si>
    <t>FORD Maverick 2004&gt;</t>
  </si>
  <si>
    <t>VW Golf / Audi A3 Halvkombi</t>
  </si>
  <si>
    <t>KW Cars</t>
  </si>
  <si>
    <t>FORD Mondeo Halvkombi 1993&gt;1996</t>
  </si>
  <si>
    <t>Skickad till Piteå 12/5</t>
  </si>
  <si>
    <t>V-067</t>
  </si>
  <si>
    <t>VW Golf 7 Sportsvan</t>
  </si>
  <si>
    <t>FORD Mondeo Kombi 2014&gt;</t>
  </si>
  <si>
    <t>FORD Mondeo Sedan 1993&gt;1996</t>
  </si>
  <si>
    <t>FORD Mondeo Sedan 1996&gt;2000</t>
  </si>
  <si>
    <t>Kund beställt fel krok, returnerar det till oss. Ska ha plockat ut fordonsspecifik elsats. MNR266</t>
  </si>
  <si>
    <t>FORD Mondeo Sedan 2000&gt;2007</t>
  </si>
  <si>
    <t>VW49BS</t>
  </si>
  <si>
    <t>FORD Mondeo Sedan 2014&gt;</t>
  </si>
  <si>
    <t>VW Golf halvkombi</t>
  </si>
  <si>
    <t>FORD Ranger 1999&gt;2006</t>
  </si>
  <si>
    <t>FORD Ranger 2007&gt;2011</t>
  </si>
  <si>
    <t>FORD Ranger 2012&gt;</t>
  </si>
  <si>
    <t>FORD S-Max 2006&gt;</t>
  </si>
  <si>
    <t>Tillhörde BR78326 som avbokat. Nu tagen till ott920</t>
  </si>
  <si>
    <t>Ford S-Max 2015&gt;</t>
  </si>
  <si>
    <t>FORD Scorpio Kombi 1992&gt;2000</t>
  </si>
  <si>
    <t>VW Golf halvkombi -13</t>
  </si>
  <si>
    <t>08&gt;13</t>
  </si>
  <si>
    <t>FORD Sierra Kombi 1992&gt;1993</t>
  </si>
  <si>
    <t>FORD Transit/Tourneo 1966&gt;1985</t>
  </si>
  <si>
    <t>FORD Transit/Tourneo 1985&gt;1991</t>
  </si>
  <si>
    <t>FORD Transit/Tourneo 1985&gt;1991 (Flak)</t>
  </si>
  <si>
    <t>FORD Transit/Tourneo 1991&gt;2000</t>
  </si>
  <si>
    <t>Bokat upphämtning 6/11 -17</t>
  </si>
  <si>
    <t>FORD Transit/Tourneo 1991&gt;2000 (Flak)</t>
  </si>
  <si>
    <t>FORD Transit/Tourneo 2000&gt;2012 (Flak)</t>
  </si>
  <si>
    <t>FORD Transit/Tourneo 2012&gt;</t>
  </si>
  <si>
    <t>FORD Transit/Tourneo Courier 2014&gt;</t>
  </si>
  <si>
    <t>FORD Windstar 1998&gt;2003</t>
  </si>
  <si>
    <t>HONDA Accord Coupe 1998&gt;2003</t>
  </si>
  <si>
    <t>HONDA Accord Halvkombi 1998&gt;2002</t>
  </si>
  <si>
    <t>HONDA Accord Kombi 1994&gt;1996</t>
  </si>
  <si>
    <t>Endast drag utan kula Till LTR279</t>
  </si>
  <si>
    <t>HONDA Accord Kombi 2003&gt;2008</t>
  </si>
  <si>
    <t>VW Golf Kombi</t>
  </si>
  <si>
    <t>HONDA Accord Sedan 1993&gt;1998</t>
  </si>
  <si>
    <t>HONDA Accord Sedan 1998&gt;2002</t>
  </si>
  <si>
    <t>HONDA Accord Sedan 2003&gt;2008</t>
  </si>
  <si>
    <t>HONDA Accord Sedan 2008&gt;2015</t>
  </si>
  <si>
    <t>HONDA Civic 3 dr Halvkombi 1992&gt;2001</t>
  </si>
  <si>
    <t>Bilhuset i Kalmar</t>
  </si>
  <si>
    <t>HONDA Civic 5 dr Halvkombi 1992&gt;2001</t>
  </si>
  <si>
    <t>HONDA Civic 5 dr Halvkombi 2006&gt;2011</t>
  </si>
  <si>
    <t>Tillhörde OTB783, kund behövde den inte. Kunden behöll den fasta.</t>
  </si>
  <si>
    <t>HONDA Civic 5 dr Halvkombi 2012&gt;2016</t>
  </si>
  <si>
    <t>Volkswagen Passat CC 2012&gt;</t>
  </si>
  <si>
    <t>Honda Civic Halvkombi 2017&gt;</t>
  </si>
  <si>
    <t>VW Golf och Golf Plus 2003&gt;2012</t>
  </si>
  <si>
    <t>2003&gt;2012</t>
  </si>
  <si>
    <t>HONDA Civic Kombi 1998&gt;2001</t>
  </si>
  <si>
    <t>Opel Astra K Halvkombi 2015&gt;</t>
  </si>
  <si>
    <t>HONDA Civic Kombi 2014&gt;</t>
  </si>
  <si>
    <t>HONDA Civic Sedan 2006&gt;2011</t>
  </si>
  <si>
    <t>Range Rover Sport 2013&gt;</t>
  </si>
  <si>
    <t>HONDA Civic Sedan 2012&gt;</t>
  </si>
  <si>
    <t>V-072</t>
  </si>
  <si>
    <t>VW Golf V / VI kombi samt VW Jetta</t>
  </si>
  <si>
    <t>Volvo C70 1998&gt;2005</t>
  </si>
  <si>
    <t>HONDA FR-V 2005&gt;</t>
  </si>
  <si>
    <t>VOLVO C70 1998&gt;2005</t>
  </si>
  <si>
    <t>Kia Optima Sedan 2016&gt;</t>
  </si>
  <si>
    <t>Tillhörde MDS176. 58x35x110, 20 kg // Tagen till MWW556</t>
  </si>
  <si>
    <t>HONDA HR-V 2015&gt;</t>
  </si>
  <si>
    <t>VW GOLF V Variant</t>
  </si>
  <si>
    <t>HONDA Jazz 2002&gt;2008</t>
  </si>
  <si>
    <t>HONDA Jazz 2008&gt;2011</t>
  </si>
  <si>
    <t>BMW 2-serie Active Tourer 2014&gt;</t>
  </si>
  <si>
    <t>HONDA Jazz 2011&gt;2015</t>
  </si>
  <si>
    <t>HONDA Jazz 2015&gt;</t>
  </si>
  <si>
    <t>Porsche Cayenne 2010&gt;</t>
  </si>
  <si>
    <t>HONDA Logo 1999&gt;2001</t>
  </si>
  <si>
    <t>Porsche Cayenne 2002&gt;2010</t>
  </si>
  <si>
    <t>HONDA Shuttle 1995&gt;2001</t>
  </si>
  <si>
    <t>NGP977</t>
  </si>
  <si>
    <t>HONDA Stream 2001&gt;</t>
  </si>
  <si>
    <t>HUMMER H2 2003&gt;</t>
  </si>
  <si>
    <t>Fiat Fullback (Pick-up) 2016&gt;</t>
  </si>
  <si>
    <t>HYUNDAI Accent 1994&gt;1999</t>
  </si>
  <si>
    <t>VW Golf Variant (5G) VII 2013-</t>
  </si>
  <si>
    <t>HYUNDAI Accent 2006&gt;</t>
  </si>
  <si>
    <t>HYUNDAI Elantra 2000&gt;2006</t>
  </si>
  <si>
    <t>HYUNDAI Elantra 2011&gt;2015</t>
  </si>
  <si>
    <t>Hyundai Elantra 2016&gt;</t>
  </si>
  <si>
    <t>Tagen till Örebro, EPG534</t>
  </si>
  <si>
    <t>Jaguar X-Type Sedan 2002&gt;</t>
  </si>
  <si>
    <t>AC 429913</t>
  </si>
  <si>
    <t>VW Golf, Golf Plus, Passat, Tiguan, Touran, Octavia, Leon, Jetta</t>
  </si>
  <si>
    <t xml:space="preserve">typ 2004 &gt; </t>
  </si>
  <si>
    <t>Jaguar X-Type Kombi 2004&gt;</t>
  </si>
  <si>
    <t>HYUNDAI H-100 1993&gt;1996</t>
  </si>
  <si>
    <t>HYUNDAI H-100 1996&gt;</t>
  </si>
  <si>
    <t>Jaguar XF Sedan 2008&gt;2011</t>
  </si>
  <si>
    <t>Jaguar XF Sedan 2011&gt;</t>
  </si>
  <si>
    <t>HYUNDAI H300 2008&gt;</t>
  </si>
  <si>
    <t>Bosal 035-528</t>
  </si>
  <si>
    <t>VW Golf, Touran, Passat, Caddy, Tiguan, Octavia, Leon m fl.</t>
  </si>
  <si>
    <t>HYUNDAI H350 2015&gt;</t>
  </si>
  <si>
    <t>typ 2004-2012</t>
  </si>
  <si>
    <t>Jaguar XF Kombi 2011&gt;</t>
  </si>
  <si>
    <t>HYUNDAI i10 2014&gt;</t>
  </si>
  <si>
    <t>Jaguar XE 2015&gt;</t>
  </si>
  <si>
    <t>HYUNDAI i20 2014&gt;</t>
  </si>
  <si>
    <t>HYUNDAI i30 Coupe 2013&gt;</t>
  </si>
  <si>
    <t>VW Passat</t>
  </si>
  <si>
    <t>2010&gt;2014</t>
  </si>
  <si>
    <t>HYUNDAI i30 Halvkombi 2012&gt;2017</t>
  </si>
  <si>
    <t>Hyundai i30 Halvkombi 2017&gt;</t>
  </si>
  <si>
    <t>Volvo C70 2006&gt;</t>
  </si>
  <si>
    <t>Mini Clubman 2015&gt;</t>
  </si>
  <si>
    <t>Hyundai i30 Kombi 2017&gt;</t>
  </si>
  <si>
    <t>2005&gt;2014</t>
  </si>
  <si>
    <t>HYUNDAI i40 Sedan 2011&gt;</t>
  </si>
  <si>
    <t>Mini Countryman 2010&gt;2016</t>
  </si>
  <si>
    <t>HYUNDAI ix55 2008&gt;</t>
  </si>
  <si>
    <t>Hyundai Kona 2017&gt;</t>
  </si>
  <si>
    <t>Mini Cooper 2014&gt;</t>
  </si>
  <si>
    <t>HYUNDAI Pony 1990&gt;1994</t>
  </si>
  <si>
    <t>HYUNDAI Pony 1995&gt;1999</t>
  </si>
  <si>
    <t>Mini Clubman 2010&gt;2015</t>
  </si>
  <si>
    <t>Mercedes S-klass Sedan 2005&gt;2013</t>
  </si>
  <si>
    <t>HYUNDAI Santamo 1999&gt;</t>
  </si>
  <si>
    <t>HYUNDAI Sonata 2001&gt;2005</t>
  </si>
  <si>
    <t>LNZ382</t>
  </si>
  <si>
    <t>HYUNDAI Sonata 2005&gt;2012</t>
  </si>
  <si>
    <t>Tesla Model S 2012&gt;</t>
  </si>
  <si>
    <t>VW73AS</t>
  </si>
  <si>
    <t>VW Passat B7, B8 kombi/sedan</t>
  </si>
  <si>
    <t>Lexus RX400h 2005&gt;2009</t>
  </si>
  <si>
    <t>2006&gt;2015</t>
  </si>
  <si>
    <t>HYUNDAI Trajet 2000&gt;</t>
  </si>
  <si>
    <t>Volvo S90 2016&gt;</t>
  </si>
  <si>
    <t>INFINITY EX 2012&gt;</t>
  </si>
  <si>
    <t>INFINITY FX 2003&gt;2008</t>
  </si>
  <si>
    <t>INFINITY FX 2009&gt;</t>
  </si>
  <si>
    <t>Tagen till Bdf248 i december</t>
  </si>
  <si>
    <t>Volvo V60 Cross Country 2015&gt;</t>
  </si>
  <si>
    <t>VW Passat B8 (3C/3G5) Sedan &amp; Kombi</t>
  </si>
  <si>
    <t>2015-</t>
  </si>
  <si>
    <t>IVECO Daily 1989&gt;1999</t>
  </si>
  <si>
    <t>Volvo S60 Cross Country 2015&gt;</t>
  </si>
  <si>
    <t>IVECO Daily 1999&gt;2014</t>
  </si>
  <si>
    <t>IVECO Daily 2014&gt;</t>
  </si>
  <si>
    <t>Volkswagen Arteon 2017&gt;</t>
  </si>
  <si>
    <t>IVECO Massif 2008&gt;</t>
  </si>
  <si>
    <t>Tagen till Ola, 8/3, KJS826</t>
  </si>
  <si>
    <t>JAGUAR S-Type 1999&gt;2008</t>
  </si>
  <si>
    <t>JAGUAR Sedan XF 2008&gt;2011</t>
  </si>
  <si>
    <t>Volkswagen Tiguan 2016&gt;</t>
  </si>
  <si>
    <t>JAGUAR X 400 Kombi 2004&gt;</t>
  </si>
  <si>
    <t>JAGUAR X 400 Sedan 2001&gt;</t>
  </si>
  <si>
    <t>Toyota RAV4 2013&gt;</t>
  </si>
  <si>
    <t>Toyota Hi-Lux 2016&gt;</t>
  </si>
  <si>
    <t>Tagen till Ola, YPX600</t>
  </si>
  <si>
    <t>Toyota C-HR 2016&gt;</t>
  </si>
  <si>
    <t>VW Passat kombi</t>
  </si>
  <si>
    <t>Toyota Yaris Halvkombi 2014&gt;</t>
  </si>
  <si>
    <t>JAGUAR XJ 6 1987&gt;1995</t>
  </si>
  <si>
    <t>Suzuki Baleno Halvkombi 2016&gt;</t>
  </si>
  <si>
    <t>JEEP Cherokee 1988&gt;1997</t>
  </si>
  <si>
    <t>Skoda Kodiaq 2016&gt;</t>
  </si>
  <si>
    <t>JEEP Cherokee 2001&gt;2008</t>
  </si>
  <si>
    <t>JEEP Cherokee 2008&gt;</t>
  </si>
  <si>
    <t>Renault Megane Grand Coupe 2017&gt;</t>
  </si>
  <si>
    <t>Motornavet, tillhörde RCJ344 som avbokat.</t>
  </si>
  <si>
    <t>JEEP Cherokee Longitude/Limited 2014&gt;</t>
  </si>
  <si>
    <t>44015/F</t>
  </si>
  <si>
    <t>Renault Koleos 2017&gt;</t>
  </si>
  <si>
    <t>JEEP Cherokee Trailhawk/Offroad 2014&gt;</t>
  </si>
  <si>
    <t>JEEP Compass 2006&gt;2011</t>
  </si>
  <si>
    <t>Renault Talisman Kombi 2016&gt;</t>
  </si>
  <si>
    <t>Jeep Compass 2017&gt;</t>
  </si>
  <si>
    <t>Renault Talisman Sedan 2016&gt;</t>
  </si>
  <si>
    <t>Renault Megane Scenic 2016&gt;</t>
  </si>
  <si>
    <t>JEEP Grand Cherokee 2005&gt;2011</t>
  </si>
  <si>
    <t>V-148</t>
  </si>
  <si>
    <t>JEEP Grand Cherokee 2011&gt;</t>
  </si>
  <si>
    <t>VW Passat Kombi / Skoda Supeb Kombi</t>
  </si>
  <si>
    <t>JEEP Grand Cherokee Summit 2011&gt;</t>
  </si>
  <si>
    <t>JEEP Patriot 2007&gt;2011</t>
  </si>
  <si>
    <t>Renault Megane Kombi 2016&gt;</t>
  </si>
  <si>
    <t>JEEP Patriot 2011&gt;</t>
  </si>
  <si>
    <t>JEEP Renegade/Trailhawk 2014&gt;</t>
  </si>
  <si>
    <t>JEEP Wrangler 1988&gt;1996</t>
  </si>
  <si>
    <t>JEEP Wrangler 1996&gt;2007</t>
  </si>
  <si>
    <t>KIA Carens 2000&gt;2006</t>
  </si>
  <si>
    <t>Renault Grand Scenic 2016&gt;</t>
  </si>
  <si>
    <t>Kia Carnival 2006&gt;</t>
  </si>
  <si>
    <t>Till KXG843</t>
  </si>
  <si>
    <t>KIA Ceed Halvkombi 2006&gt;2012</t>
  </si>
  <si>
    <t>Peugeot 308 CC 2009&gt;</t>
  </si>
  <si>
    <t>Tågaborg</t>
  </si>
  <si>
    <t>Opel Grandland X 2017&gt;</t>
  </si>
  <si>
    <t>KIA Cerato Halvkombi 2004&gt;</t>
  </si>
  <si>
    <t>KIA Cerato Sedan 2004&gt;</t>
  </si>
  <si>
    <t>KIA Clarus Kombi 1998&gt;2001</t>
  </si>
  <si>
    <t>Opel Insignia Kombi 2017&gt;</t>
  </si>
  <si>
    <t>KIA Clarus Sedan 99-2001&gt;</t>
  </si>
  <si>
    <t>KIA Joice 2000&gt;</t>
  </si>
  <si>
    <t>KIA Magentis Sedan 2001&gt;2006</t>
  </si>
  <si>
    <t>Felbeställt drag till V-282 (kunden gav fel reg.nr eller nåt)</t>
  </si>
  <si>
    <t>Nissan X-Trail 2017&gt;</t>
  </si>
  <si>
    <t>KIA Magentis Sedan 2006&gt;2011</t>
  </si>
  <si>
    <t>VW73AQ</t>
  </si>
  <si>
    <t>VW Passat Kombi 2005&gt;2010
VW Passat Kombi 2010&gt;2014
VW Passat Sedan 2005&gt;2010
VW Passat Sedan 2010&gt;2014</t>
  </si>
  <si>
    <t>KIA Opirus Sedan 2003&gt;2006</t>
  </si>
  <si>
    <t>2005&gt;2015</t>
  </si>
  <si>
    <t>Nissan Micra 2017&gt;</t>
  </si>
  <si>
    <t>KIA Optima Sedan 2012&gt;2016</t>
  </si>
  <si>
    <t>Mercedes CLA Shooting Break 2015&gt;</t>
  </si>
  <si>
    <t>Tagen till lox172</t>
  </si>
  <si>
    <t>KIA Pregio 1997&gt;</t>
  </si>
  <si>
    <t>56050/56053</t>
  </si>
  <si>
    <t>VW Passat Sdn/Variant (3C/B7) 2006-2015</t>
  </si>
  <si>
    <t>KIA ProCeed 2008&gt;2013</t>
  </si>
  <si>
    <t>Mercedes GLE 2015&gt;</t>
  </si>
  <si>
    <t>KIA ProCeed 2013&gt;</t>
  </si>
  <si>
    <t>KIA Rio Halvkombi 2000&gt;2005</t>
  </si>
  <si>
    <t>Mercedes GLC 2015&gt;</t>
  </si>
  <si>
    <t>KIA Rio Halvkombi 2005&gt;2009</t>
  </si>
  <si>
    <t>Tagen till MTA366</t>
  </si>
  <si>
    <t>KIA Rio Halvkombi 2009&gt;2011</t>
  </si>
  <si>
    <t>Mercedes C-klass Coupe 2011&gt;2015</t>
  </si>
  <si>
    <t>KIA Rio Halvkombi 2011&gt;2017</t>
  </si>
  <si>
    <t>Mercedes E-klass Coupe 2009&gt;</t>
  </si>
  <si>
    <t>KIA Rio Sedan 2005&gt;2009</t>
  </si>
  <si>
    <t>KIA Rio Sedan 2013&gt;</t>
  </si>
  <si>
    <t>Tagen till EME722</t>
  </si>
  <si>
    <t>Mercedes E-klass cab 2010&gt;</t>
  </si>
  <si>
    <t>KIA Sephia 1998&gt;2001</t>
  </si>
  <si>
    <t>KIA Shuma 1998&gt;2001</t>
  </si>
  <si>
    <t>Mazda 3 Sedan 2013&gt;</t>
  </si>
  <si>
    <t>VW PASSAT, CC</t>
  </si>
  <si>
    <t>KIA Sorento 2002&gt;2006</t>
  </si>
  <si>
    <t>Kia Stonic 2017&gt;</t>
  </si>
  <si>
    <t>KIA Sorento 2012&gt;2015</t>
  </si>
  <si>
    <t>MSD333</t>
  </si>
  <si>
    <t>KIA Soul 2012&gt;2014</t>
  </si>
  <si>
    <t>VW Passat, CC, Variant, Alltrack m fl</t>
  </si>
  <si>
    <t>Kia Soul 2014&gt;</t>
  </si>
  <si>
    <t>KIA Sportage 1994&gt;2004</t>
  </si>
  <si>
    <t>KIA Sportage 2004&gt;2010</t>
  </si>
  <si>
    <t>KIA Sportage 2016&gt;</t>
  </si>
  <si>
    <t>KIA Venga 2010&gt;</t>
  </si>
  <si>
    <t>VW Polo</t>
  </si>
  <si>
    <t>LADA 2110/2111 1999&gt;</t>
  </si>
  <si>
    <t>LADA 2112 Halvkombi 2001&gt;</t>
  </si>
  <si>
    <t>LADA Kalina Halvkombi 2007&gt;</t>
  </si>
  <si>
    <t>LADA Kalina Sedan/Kombi 2004&gt;</t>
  </si>
  <si>
    <t>Tillhörde ZCX770, fel krok</t>
  </si>
  <si>
    <t>LADA Priora Halvkombi 2008&gt;</t>
  </si>
  <si>
    <t>Har kollat med Ulf han har inget drag hos sig // HL</t>
  </si>
  <si>
    <t>Hyundai i30 Kombi 2012&gt;2017</t>
  </si>
  <si>
    <t>LADA Priora Kombi 2008&gt;</t>
  </si>
  <si>
    <t>LADA Priora Sedan 2008&gt;</t>
  </si>
  <si>
    <t>LANCIA Delta 1993&gt;1995</t>
  </si>
  <si>
    <t>LANCIA Delta 2008&gt;</t>
  </si>
  <si>
    <t>LANCIA Kappa 1994&gt;2001</t>
  </si>
  <si>
    <t>Tagen till sfg386</t>
  </si>
  <si>
    <t>LANCIA Phedra 2002&gt;</t>
  </si>
  <si>
    <t xml:space="preserve">VW Polo </t>
  </si>
  <si>
    <t>09&gt;17</t>
  </si>
  <si>
    <t>LANCIA Voyager 2011&gt;</t>
  </si>
  <si>
    <t>LANCIA Ypsilon 1996&gt;2003</t>
  </si>
  <si>
    <t>LANCIA Zeta 1995&gt;2002</t>
  </si>
  <si>
    <t>LNT993</t>
  </si>
  <si>
    <t>Land Rover Discovery 2004&gt;2009</t>
  </si>
  <si>
    <t>Land Rover Discovery 2009&gt;</t>
  </si>
  <si>
    <t>Land Rover Discovery Sport 2015&gt;</t>
  </si>
  <si>
    <t>PRF134</t>
  </si>
  <si>
    <t>LEXUS IS 220/250 2005&gt;</t>
  </si>
  <si>
    <t>VW POLO (6R, 6C)</t>
  </si>
  <si>
    <t>LEXUS LX 570 2008&gt;</t>
  </si>
  <si>
    <t>Fiat 500L Trekking 2012&gt;</t>
  </si>
  <si>
    <t>LEXUS NX 300h 2014&gt;</t>
  </si>
  <si>
    <t>LEXUS RX300 2000&gt;2003</t>
  </si>
  <si>
    <t>LEXUS RX300 2003&gt;2009</t>
  </si>
  <si>
    <t>VW Polo, alla</t>
  </si>
  <si>
    <t>LEXUS RX350 2009&gt;</t>
  </si>
  <si>
    <t>LEXUS RX450h 2009&gt;</t>
  </si>
  <si>
    <t>MAZDA 121 Halvkombi 96-03</t>
  </si>
  <si>
    <t>Audi A4 Kombi 2016&gt;</t>
  </si>
  <si>
    <t>MAZDA 2 Halvkombi 2015&gt;</t>
  </si>
  <si>
    <t xml:space="preserve">VW Sharan </t>
  </si>
  <si>
    <t>MAZDA 3 Halvkombi 2013&gt;</t>
  </si>
  <si>
    <t>MAZDA 3 Sedan 2003&gt;2009</t>
  </si>
  <si>
    <t>MAZDA 3 Sedan 2009&gt;2013</t>
  </si>
  <si>
    <t>MAZDA 323 5 dr Halvkombi 1998&gt;2003</t>
  </si>
  <si>
    <t>MAZDA 323 Kombi 1986&gt;1993</t>
  </si>
  <si>
    <t>FPK132</t>
  </si>
  <si>
    <t>MAZDA 323 Kombi 1998&gt;2004</t>
  </si>
  <si>
    <t>320134300113</t>
  </si>
  <si>
    <t>MAZDA 323 Sedan 1994&gt;1996</t>
  </si>
  <si>
    <t>Ramek Bil</t>
  </si>
  <si>
    <t>MAZDA 323 Sedan 1996&gt;1998</t>
  </si>
  <si>
    <t>TOYOTA Hi-Lux 2010&gt;2015</t>
  </si>
  <si>
    <t>MAZDA 323 Sedan 1998&gt;2003</t>
  </si>
  <si>
    <t>Volkswagen Touran 2015&gt;</t>
  </si>
  <si>
    <t>MAZDA 5 Van 2005&gt;2010</t>
  </si>
  <si>
    <t>MAZDA 5 Van 2010&gt;</t>
  </si>
  <si>
    <t>Montera dragkrok Mariestad</t>
  </si>
  <si>
    <t>MAZDA 6 Halvkombi 2002&gt;2008</t>
  </si>
  <si>
    <t>Ta hem från Ramek. Passade ej. /Såld till PDK036</t>
  </si>
  <si>
    <t>Montera dragkrok Ulricehamn</t>
  </si>
  <si>
    <t>MAZDA 6 Halvkombi 2008&gt;2013</t>
  </si>
  <si>
    <t>V-117</t>
  </si>
  <si>
    <t>VW Sharan, Seat Alhambra, Ford Galaxy 00-06</t>
  </si>
  <si>
    <t>RENAULT Talisman Sedan 2016&gt;</t>
  </si>
  <si>
    <t>MAZDA 6 Kombi 2013&gt;</t>
  </si>
  <si>
    <t>RENAULT Talisman Kombi 2016&gt;</t>
  </si>
  <si>
    <t>MAZDA 6 Sedan 2002&gt;2008</t>
  </si>
  <si>
    <t>MAZDA 6 Sedan 2008&gt;2013</t>
  </si>
  <si>
    <t>Tillhörde WFA394 som bokat av monteringen. Kommit hit. Se ny rad</t>
  </si>
  <si>
    <t>Montera dragkrok Trelleborg</t>
  </si>
  <si>
    <t>MAZDA 626 Halvkombi 1991&gt;1997</t>
  </si>
  <si>
    <t>VW T5</t>
  </si>
  <si>
    <t>Montera dragkrok Hässleholm</t>
  </si>
  <si>
    <t>MAZDA 626 Halvkombi 1997&gt;2002</t>
  </si>
  <si>
    <t>Montera dragkrok Ängelholm</t>
  </si>
  <si>
    <t>MAZDA 626 Kombi 1998&gt;2002</t>
  </si>
  <si>
    <t>Montera dragkrok Landskrona</t>
  </si>
  <si>
    <t>MAZDA 626 Sedan 1987&gt;1991</t>
  </si>
  <si>
    <t>Montera dragkrok Kristianstad</t>
  </si>
  <si>
    <t>MAZDA 626 Sedan 1997&gt;2002</t>
  </si>
  <si>
    <t>V-155</t>
  </si>
  <si>
    <t>Montera dragkrok Lund</t>
  </si>
  <si>
    <t>MAZDA BT-50 2007&gt;2012</t>
  </si>
  <si>
    <t>VW Tiguan</t>
  </si>
  <si>
    <t>VOLVO S90 2016&gt;</t>
  </si>
  <si>
    <t>MAZDA BT-50 2012&gt;</t>
  </si>
  <si>
    <t>VOLVO V90 2016&gt;</t>
  </si>
  <si>
    <t>SKODA Fabia Halvkombi 1999&gt;2007</t>
  </si>
  <si>
    <t>MAZDA CX-7 2007&gt;</t>
  </si>
  <si>
    <t>SUBARU Legacy Kombi 2009&gt;</t>
  </si>
  <si>
    <t>MAZDA Demio 1998&gt;2000</t>
  </si>
  <si>
    <t>MAZDA Demio 2000&gt;2003</t>
  </si>
  <si>
    <t>V-127</t>
  </si>
  <si>
    <t>AUDI A4 Sedan 2016&gt;</t>
  </si>
  <si>
    <t>MAZDA E 1984&gt;</t>
  </si>
  <si>
    <t>MAZDA MPV 5/7 sits 1999&gt;2005</t>
  </si>
  <si>
    <t>Nissan Leaf 2010&gt;</t>
  </si>
  <si>
    <t>MAZDA MPV 6 sits 2003&gt;</t>
  </si>
  <si>
    <t>KIA Niro 2016&gt;</t>
  </si>
  <si>
    <t>MAZDA Pick Up 1999&gt;2006</t>
  </si>
  <si>
    <t>MAZDA Pick Up 2007&gt;</t>
  </si>
  <si>
    <t>MAZDA Premacy 1999&gt;2005</t>
  </si>
  <si>
    <t>PEUGEOT 508 Kombi 2011&gt; GT-Line</t>
  </si>
  <si>
    <t>Skickad till Umeå 27/11</t>
  </si>
  <si>
    <t>MAZDA Tribute 2004&gt;</t>
  </si>
  <si>
    <t>BMW 2-Serie Gran Tourer 2015&gt;</t>
  </si>
  <si>
    <t>MAZDA Xedos 1992&gt;1999</t>
  </si>
  <si>
    <t>VOLVO XC90 2015&gt;</t>
  </si>
  <si>
    <t>MERCEDES 190 Sedan 1988&gt;1993</t>
  </si>
  <si>
    <t>MERCEDES 200-400 Cab 1985&gt;1998</t>
  </si>
  <si>
    <t>MERCEDES 200-400 Coupe 1985&gt;1995</t>
  </si>
  <si>
    <t>MERCEDES 200-400 Kombi 1986&gt;1996</t>
  </si>
  <si>
    <t>MERCEDES 200-400 Sedan 1985&gt;1995</t>
  </si>
  <si>
    <t>MERCEDES 207-410D 77&gt;1996</t>
  </si>
  <si>
    <t>MERCEDES 300SL-500SL 1989&gt;1999</t>
  </si>
  <si>
    <t xml:space="preserve">VW Tiguan </t>
  </si>
  <si>
    <t>MERCEDES B-klass 2005&gt;2011</t>
  </si>
  <si>
    <t>MERCEDES B-klass 2011&gt;</t>
  </si>
  <si>
    <t>MERCEDES C-klass CLC Coupe 2008&gt;</t>
  </si>
  <si>
    <t>MERCEDES C-klass CLK Cab 2003&gt;</t>
  </si>
  <si>
    <t>Tagen till OSH344</t>
  </si>
  <si>
    <t>MERCEDES C-klass Coupe 2002&gt;2008</t>
  </si>
  <si>
    <t>VOLVO V60 Cross Country 2015&gt;</t>
  </si>
  <si>
    <t>VW Tiguan (samma som Audi Q3) se uppe</t>
  </si>
  <si>
    <t>MERCEDES C-klass Coupe 2015&gt;</t>
  </si>
  <si>
    <t>MERCEDES C-klass Coupe/Cab 1997&gt;2002</t>
  </si>
  <si>
    <t>MERCEDES C-klass Kombi 2007&gt;2014</t>
  </si>
  <si>
    <t>MERCEDES C-klass Kombi 2014&gt;</t>
  </si>
  <si>
    <t>MERCEDES C-klass Kombi AMG 2007&gt;2014</t>
  </si>
  <si>
    <t>VOLVO V40 2000&gt;2004</t>
  </si>
  <si>
    <t>MERCEDES C-klass Sedan 1993&gt;2000</t>
  </si>
  <si>
    <t>VOLVO V40 1996&gt;2000</t>
  </si>
  <si>
    <t>MERCEDES C-klass Sedan 2007&gt;2014 AMG</t>
  </si>
  <si>
    <t>OBS! Hittar ej denna //TC 13/4</t>
  </si>
  <si>
    <t>VOLVO S80 2006&gt;</t>
  </si>
  <si>
    <t>VW Tiguan 2007&gt;2016</t>
  </si>
  <si>
    <t>VOLVO S60 Cross Country 2015&gt;</t>
  </si>
  <si>
    <t>MERCEDES CLS Coupe 2011&gt;</t>
  </si>
  <si>
    <t>MERCEDES CLS Shooting Brake 2012&gt;</t>
  </si>
  <si>
    <t>MERCEDES E-klass Coupe 1985&gt;1995</t>
  </si>
  <si>
    <t>MERCEDES E-klass Kombi 1985&gt;1995</t>
  </si>
  <si>
    <t>Satt redan drag på bilen, EFH325 // Tagen till KXZ310</t>
  </si>
  <si>
    <t>VW Touran (1T) '03-2015</t>
  </si>
  <si>
    <t>2003-2015</t>
  </si>
  <si>
    <t>MERCEDES E-klass Kombi 2009&gt;</t>
  </si>
  <si>
    <t>MERCEDES E-klass Sedan 1985&gt;1995</t>
  </si>
  <si>
    <t>VOLVO S40 1996&gt;2000</t>
  </si>
  <si>
    <t>VOLVO C30 2006&gt;</t>
  </si>
  <si>
    <t>MERCEDES E-klass Sedan 2009&gt;</t>
  </si>
  <si>
    <t>VOLVO 850/V70 1992&gt;2000</t>
  </si>
  <si>
    <t>Bredd över 50! 67 bred. Tagen till KAA942</t>
  </si>
  <si>
    <t>MERCEDES E-klass Sedan 2016&gt;</t>
  </si>
  <si>
    <t>VOLVO 200-400 Kombi 1986&gt;1996</t>
  </si>
  <si>
    <t>MERCEDES G-klass 1989&gt;2006</t>
  </si>
  <si>
    <t>MERCEDES G-klass 2006&gt;</t>
  </si>
  <si>
    <t>Volkswagen Vento Sedan 1991&gt;1997</t>
  </si>
  <si>
    <t>VW Transporter</t>
  </si>
  <si>
    <t>MERCEDES GL 2009&gt;2012</t>
  </si>
  <si>
    <t>VOLKSWAGEN Vento Sedan 1991&gt;1997</t>
  </si>
  <si>
    <t>MERCEDES GL 2012&gt;</t>
  </si>
  <si>
    <t>Volkswagen UP 2012&gt;</t>
  </si>
  <si>
    <t>Volkswagen Touran 2003&gt;2015</t>
  </si>
  <si>
    <t>MERCEDES GLS 2016&gt;</t>
  </si>
  <si>
    <t>MERCEDES M-klass 1998&gt;2005</t>
  </si>
  <si>
    <t>MERCEDES M-klass 2005&gt;2011</t>
  </si>
  <si>
    <t>Tillhörde fye188, kund avbokat</t>
  </si>
  <si>
    <t>VOLKSWAGEN Tiguan 2016&gt;</t>
  </si>
  <si>
    <t>MERCEDES M-klass 2011&gt;</t>
  </si>
  <si>
    <t>MERCEDES MB80/100 1988&gt;</t>
  </si>
  <si>
    <t>VOLKSWAGEN Tiguan 2007&gt;2016</t>
  </si>
  <si>
    <t>MERCEDES R-klass 2006&gt;</t>
  </si>
  <si>
    <t>VW Transporter , Caravelle</t>
  </si>
  <si>
    <t>MERCEDES S-klass Sedan 1991&gt;1998</t>
  </si>
  <si>
    <t>Volkswagen Tiguan 2007&gt;2016</t>
  </si>
  <si>
    <t>MERCEDES S-klass Sedan 1998&gt;2005</t>
  </si>
  <si>
    <t>Volkswagen T6 Buss/Skåp 2015&gt;</t>
  </si>
  <si>
    <t>MERCEDES Sprinter (Flak) 1995&gt;2006</t>
  </si>
  <si>
    <t>Volkswagen T4 Skåp/Buss 1996&gt;2003</t>
  </si>
  <si>
    <t>MERCEDES Sprinter 3,5t (Flak) 2006&gt;</t>
  </si>
  <si>
    <t>VOLKSWAGEN T4 Skåp/Buss 1996&gt;2003</t>
  </si>
  <si>
    <t>MERCEDES Sprinter 3,5t 2006&gt;</t>
  </si>
  <si>
    <t>DRAGET LIGGER HOS SUPREME! //FP 25/4. Skickad till Morgan 28/5 reg nr PCS783</t>
  </si>
  <si>
    <t>MERCEDES Sprinter 5,0t 2006&gt;</t>
  </si>
  <si>
    <t>Volkswagen T4 Skåp/Buss 1990&gt;1995</t>
  </si>
  <si>
    <t>MERCEDES T2 508-814 Skåp/Buss/Flak 1986&gt;1996</t>
  </si>
  <si>
    <t>56325A</t>
  </si>
  <si>
    <t>VOLKSWAGEN T4 Flak 1990&gt;2003</t>
  </si>
  <si>
    <t>VW Transporter (T5) 2003-</t>
  </si>
  <si>
    <t>MERCEDES Vaneo 2002&gt;</t>
  </si>
  <si>
    <t>VOLKSWAGEN Sharan 2010&gt;</t>
  </si>
  <si>
    <t>Volkswagen Sharan 2010&gt;</t>
  </si>
  <si>
    <t>MERCEDES Vito/Viano 2014&gt;</t>
  </si>
  <si>
    <t>VOLKSWAGEN Sharan 2000&gt;2010</t>
  </si>
  <si>
    <t>VOLKSWAGEN Sharan 1995&gt;2000</t>
  </si>
  <si>
    <t>MINI Cooper 2001&gt;2006</t>
  </si>
  <si>
    <t>Tagen till JLB743</t>
  </si>
  <si>
    <t>VOLKSWAGEN Polo Sedan 1995&gt;2003</t>
  </si>
  <si>
    <t>VW Transporter T5, T6</t>
  </si>
  <si>
    <t>VOLKSWAGEN Polo Kombi 1997&gt;2003</t>
  </si>
  <si>
    <t>Volkswagen Polo Halvkombi 2010&gt;2014</t>
  </si>
  <si>
    <t>MITSUBISHI Carisma Halvkombi 1995&gt;2006</t>
  </si>
  <si>
    <t>MITSUBISHI Carisma Sedan 1996&gt;2006</t>
  </si>
  <si>
    <t>Volkswagen Polo Halvkombi 2001&gt;2010</t>
  </si>
  <si>
    <t>MITSUBISHI Colt CJO Halvkombi 1996&gt;2005</t>
  </si>
  <si>
    <t>VOLKSWAGEN Polo Halvkombi 1999&gt;2001</t>
  </si>
  <si>
    <t>MITSUBISHI Colt Halvkombi 3dr 2005&gt;2008</t>
  </si>
  <si>
    <t>VOLKSWAGEN Polo Halvkombi 1994&gt;1999</t>
  </si>
  <si>
    <t>PZS642</t>
  </si>
  <si>
    <t>MITSUBISHI Colt Halvkombi 5dr 2008&gt;2013</t>
  </si>
  <si>
    <t>Volkswagen Passat Sedan 2014&gt;</t>
  </si>
  <si>
    <t>MITSUBISHI Galant 1988&gt;1992</t>
  </si>
  <si>
    <t>MITSUBISHI Galant 1992&gt;2004</t>
  </si>
  <si>
    <t>VW, Audi, Skoda mfl</t>
  </si>
  <si>
    <t>MITSUBISHI Grandis 2004&gt;</t>
  </si>
  <si>
    <t>Volkswagen Passat Sedan 2010&gt;2014</t>
  </si>
  <si>
    <t>MITSUBISHI L200 Pick-Up 2006&gt;2010</t>
  </si>
  <si>
    <t>Volkswagen Passat Sedan 2005&gt;2010</t>
  </si>
  <si>
    <t>MITSUBISHI L200 Pick-Up 2015&gt;</t>
  </si>
  <si>
    <t>MITSUBISHI Lancer 1992&gt;2003</t>
  </si>
  <si>
    <t>MITSUBISHI Lancer 2003&gt;2008</t>
  </si>
  <si>
    <t>Volkswagen Passat Kombi 2014&gt;</t>
  </si>
  <si>
    <t>MITSUBISHI Lancer 2008&gt;</t>
  </si>
  <si>
    <t>VOLKSWAGEN Passat Kombi 2010&gt;2014</t>
  </si>
  <si>
    <t>MITSUBISHI Outlander 2007&gt;2012</t>
  </si>
  <si>
    <r>
      <rPr/>
      <t xml:space="preserve">Kund köpt denna av oss och vi skulle monterat den. Råkat montera en 13-pol universal istället. </t>
    </r>
    <r>
      <rPr>
        <color rgb="FFFF0000"/>
      </rPr>
      <t>Ta ev hem denna. Kolla med TC först</t>
    </r>
  </si>
  <si>
    <t>Volkswagen Passat Kombi 2010&gt;2014</t>
  </si>
  <si>
    <t>Witter elsats 7-pol</t>
  </si>
  <si>
    <t>VOLKSWAGEN Passat Kombi 2005&gt;2010</t>
  </si>
  <si>
    <t>Volkswagen Passat Kombi 2005&gt;2010</t>
  </si>
  <si>
    <t>MITSUBISHI Pajero 2007&gt;</t>
  </si>
  <si>
    <t>VOLKSWAGEN Passat Kombi 1997&gt;2005</t>
  </si>
  <si>
    <t>MITSUBISHI Pajero Sport 1998&gt;</t>
  </si>
  <si>
    <t>VOLKSWAGEN Passat Alltrack 2015&gt;</t>
  </si>
  <si>
    <t>MITSUBISHI Space Gear 1995&gt;1999</t>
  </si>
  <si>
    <t>9/11 monterades bilen i Jkpg. Elsats fr kungen.</t>
  </si>
  <si>
    <t>MITSUBISHI Space Runner 1991&gt;1999</t>
  </si>
  <si>
    <t>VOLKSWAGEN Lupo 1998&gt;2005</t>
  </si>
  <si>
    <t>MITSUBISHI Space Runner 1999&gt;2001</t>
  </si>
  <si>
    <t>VOLKSWAGEN Jetta Sedan 2011&gt;</t>
  </si>
  <si>
    <t>MITSUBISHI Space Wagon 1992&gt;1998</t>
  </si>
  <si>
    <t>MITSUBISHI Space Wagon 1998&gt;2004</t>
  </si>
  <si>
    <t>Volkswagen Jetta Sedan 2011&gt;</t>
  </si>
  <si>
    <t>Tagen till ONA470</t>
  </si>
  <si>
    <t>Montera dragkrok - Göteborg</t>
  </si>
  <si>
    <t>VOLKSWAGEN Jetta Sedan 2005&gt;2010</t>
  </si>
  <si>
    <t>Montera dragkrok Gävle</t>
  </si>
  <si>
    <t>Volkswagen Golf VII Sportsvan 2014&gt;</t>
  </si>
  <si>
    <t>Montera dragkrok Göteborg</t>
  </si>
  <si>
    <t>Montera dragkrok Haparanda</t>
  </si>
  <si>
    <t>Volkswagen Golf Plus Halvkombi 2005&gt;</t>
  </si>
  <si>
    <t>Montera dragkrok Helsingborg</t>
  </si>
  <si>
    <t>Volkswagen Golf VII Kombi 2013&gt;</t>
  </si>
  <si>
    <t>Montera dragkrok Jönköping</t>
  </si>
  <si>
    <t>NXZ488 Vallåkra</t>
  </si>
  <si>
    <t>Montera dragkrok Karlstad</t>
  </si>
  <si>
    <t>Volkswagen Golf IV Kombi 1999&gt;2006</t>
  </si>
  <si>
    <t>VOLKSWAGEN Golf III Kombi 1993&gt;1999</t>
  </si>
  <si>
    <t>Montera dragkrok Kungsbacka</t>
  </si>
  <si>
    <t>Volkswagen Golf VII Halvkombi 2012&gt;</t>
  </si>
  <si>
    <t>Montera dragkrok Malmö</t>
  </si>
  <si>
    <t>JJS098 Malmö</t>
  </si>
  <si>
    <t>Volkswagen Golf VI Halvkombi 2008&gt;2012</t>
  </si>
  <si>
    <t>Volkswagen Golf V Halvkombi 2003&gt;2008</t>
  </si>
  <si>
    <t>Montera dragkrok Piteå</t>
  </si>
  <si>
    <t>VOLKSWAGEN Golf IV Halvkombi 1997&gt;2003 4x4</t>
  </si>
  <si>
    <t>Montera dragkrok Stockholm</t>
  </si>
  <si>
    <t>Volkswagen Golf IV Halvkombi 1997&gt;2003</t>
  </si>
  <si>
    <t>Montera dragkrok Uddevalla</t>
  </si>
  <si>
    <t>VOLKSWAGEN Golf III Halvkombi 1991&gt;1997</t>
  </si>
  <si>
    <t>Tagen till YXY564</t>
  </si>
  <si>
    <t>Montera dragkrok Umeå</t>
  </si>
  <si>
    <t>Montera dragkrok Vara</t>
  </si>
  <si>
    <t>Montera dragkrok Växjö</t>
  </si>
  <si>
    <t>Montera dragkrok Örebro</t>
  </si>
  <si>
    <t>Volkswagen Crafter Skåp/Buss 2006&gt;</t>
  </si>
  <si>
    <t>NISSAN Almera Halvkombi 1995&gt;2000</t>
  </si>
  <si>
    <t>Volkswagen Crafter Flak 2006&gt;</t>
  </si>
  <si>
    <t>Volkswagen Caddy 2004&gt;</t>
  </si>
  <si>
    <t>NISSAN Almera Sedan 2000&gt;2006</t>
  </si>
  <si>
    <t>Tagen till TGW024</t>
  </si>
  <si>
    <t>NISSAN Almera Sedan 95&lt;00</t>
  </si>
  <si>
    <t>VOLKSWAGEN Caddy 1996&gt;2004</t>
  </si>
  <si>
    <t>Volkswagen Caddy 1996&gt;2004</t>
  </si>
  <si>
    <t>NISSAN Cabstar 2006&gt;</t>
  </si>
  <si>
    <t>Volkswagen Bora Sedan 1998&gt;2005</t>
  </si>
  <si>
    <t>NISSAN Double Cab 2002&gt;</t>
  </si>
  <si>
    <t>NISSAN Interstar Van 2002&gt;2010</t>
  </si>
  <si>
    <t>Volkswagen Bora Kombi 1999&gt;2005</t>
  </si>
  <si>
    <t>NISSAN Juke 4WD 2010&gt;</t>
  </si>
  <si>
    <t>Tagen till ofm194</t>
  </si>
  <si>
    <t>VOLKSWAGEN Beetle 1967&gt;1984</t>
  </si>
  <si>
    <t>NISSAN Kubistar 2002&gt;</t>
  </si>
  <si>
    <t>NISSAN Kubistar 4x4 2002&gt;</t>
  </si>
  <si>
    <t>TOYOTA Yaris Halvkombi 2014&gt;</t>
  </si>
  <si>
    <t>NISSAN Micra 1992&gt;2003</t>
  </si>
  <si>
    <t>Tagen till Bilstudion Sverige AB 15/8</t>
  </si>
  <si>
    <t>TOYOTA Yaris Halvkombi 2006&gt;2011</t>
  </si>
  <si>
    <t>NISSAN Murano 2005&gt;2008</t>
  </si>
  <si>
    <t>NISSAN Murano 2008&gt;</t>
  </si>
  <si>
    <t>NISSAN Navara 2005&gt;</t>
  </si>
  <si>
    <t>TOYOTA Verso S 2011&gt;</t>
  </si>
  <si>
    <t>Tagen till RZO354</t>
  </si>
  <si>
    <t>TOYOTA Starlet 1990&gt;1999</t>
  </si>
  <si>
    <t>NISSAN Note 2013&gt;</t>
  </si>
  <si>
    <t>TOYOTA RAV4 m. reservhjul 2006&gt;2008</t>
  </si>
  <si>
    <t>NISSAN Note DIG-S 2014&gt;</t>
  </si>
  <si>
    <t>NISSAN NP300 2008&gt;</t>
  </si>
  <si>
    <t>NISSAN NV200 2009&gt;</t>
  </si>
  <si>
    <t>NISSAN NV400 2010&gt;</t>
  </si>
  <si>
    <t>NISSAN Patrol 1998&gt;2004</t>
  </si>
  <si>
    <t>Tagen till DSE023</t>
  </si>
  <si>
    <t>NISSAN Patrol 2004&gt;</t>
  </si>
  <si>
    <t>TOYOTA Proace 2016&gt;</t>
  </si>
  <si>
    <t>NISSAN Pick Up 2000&gt;2005</t>
  </si>
  <si>
    <t>NISSAN Pixo 2009&gt;</t>
  </si>
  <si>
    <t>TOYOTA Proace 2012&gt;2016</t>
  </si>
  <si>
    <t>NISSAN Primera Halvkombi 1990&gt;1996</t>
  </si>
  <si>
    <t>NISSAN Primera Halvkombi 1996&gt;1999</t>
  </si>
  <si>
    <t>TOYOTA Prius 2016&gt;</t>
  </si>
  <si>
    <t>NISSAN Primera Halvkombi 1999&gt;2002</t>
  </si>
  <si>
    <t>Tagen till DWB536</t>
  </si>
  <si>
    <t>NISSAN Primera Halvkombi 2002&gt;2007</t>
  </si>
  <si>
    <t>NISSAN Primera Kombi 1990&gt;1998</t>
  </si>
  <si>
    <t>NISSAN Primera Kombi 1998&gt;2002</t>
  </si>
  <si>
    <t>ACS</t>
  </si>
  <si>
    <t>ACS-2030</t>
  </si>
  <si>
    <t>AH Kula</t>
  </si>
  <si>
    <t>NISSAN Primera Sedan 2002&gt;2007</t>
  </si>
  <si>
    <t>NISSAN Pulsar 2014&gt;</t>
  </si>
  <si>
    <t>NISSAN Terrano 1993&gt;2007</t>
  </si>
  <si>
    <t>TOYOTA Land Cruiser J100 1998&gt;</t>
  </si>
  <si>
    <t>NISSAN Tiida 2008&gt;</t>
  </si>
  <si>
    <t>NISSAN Vanette 1995&gt;</t>
  </si>
  <si>
    <t>TOYOTA Land Cruiser 150 2009&gt;</t>
  </si>
  <si>
    <t>Tagen till K-056</t>
  </si>
  <si>
    <t>TOYOTA Hi-Ace H12 1995&gt;</t>
  </si>
  <si>
    <t>OPEL Agila 2008&gt;</t>
  </si>
  <si>
    <t>TOYOTA Corolla Sedan 2007&gt;</t>
  </si>
  <si>
    <t>OPEL Antara 2011&gt;</t>
  </si>
  <si>
    <t>OPEL Astra F Cab 1991&gt;2001</t>
  </si>
  <si>
    <t>Tagen till SBG471</t>
  </si>
  <si>
    <t>TOYOTA Corolla Sedan 2002&gt;2007</t>
  </si>
  <si>
    <t>OPEL Astra F Halvkombi 1991&gt;1998</t>
  </si>
  <si>
    <t>OPEL Astra F Kombi 1991&gt;1998</t>
  </si>
  <si>
    <t>OPEL Astra F Sedan 1991&gt;1998</t>
  </si>
  <si>
    <t>OPEL Astra G Cab 2001&gt;2005</t>
  </si>
  <si>
    <t>TOYOTA Carina Halvkombi 1992&gt;1998</t>
  </si>
  <si>
    <t>OPEL Astra G Halvkombi 1998&gt;2003</t>
  </si>
  <si>
    <t>TOYOTA Camry 2006&gt;2011</t>
  </si>
  <si>
    <t>TOYOTA Aygo 2005&gt;</t>
  </si>
  <si>
    <t>OPEL Astra G Sedan 1998&gt;2003</t>
  </si>
  <si>
    <t>Tagen till OYM042</t>
  </si>
  <si>
    <t>OPEL Astra H Cab 2006&gt;</t>
  </si>
  <si>
    <t>TOYOTA Avensis Verso 2002&gt;</t>
  </si>
  <si>
    <t>OPEL Astra H Coupe 2005&gt;2009</t>
  </si>
  <si>
    <t>TOYOTA Avensis Sedan 2009&gt;</t>
  </si>
  <si>
    <t>OPEL Astra H Kombi 2004&gt;2010</t>
  </si>
  <si>
    <t>OPEL Astra H Sedan 2008&gt;2012</t>
  </si>
  <si>
    <t>TOYOTA Avensis Sedan 2003&gt;2009</t>
  </si>
  <si>
    <t>OPEL Astra J Coupe 2012&gt;</t>
  </si>
  <si>
    <t>Tagen till JV, RPH984</t>
  </si>
  <si>
    <t>TOYOTA Avensis Sedan 1998&gt;2003</t>
  </si>
  <si>
    <t>OPEL Astra J Sedan 2012&gt;</t>
  </si>
  <si>
    <t>OPEL Calibra 1990&gt;1997</t>
  </si>
  <si>
    <t>TOYOTA Avensis Halvkombi 1998&gt;2003</t>
  </si>
  <si>
    <t>OPEL Cascada 2013&gt;</t>
  </si>
  <si>
    <t>Tagen till JV, PER652</t>
  </si>
  <si>
    <t>OPEL Combo 2012&gt;</t>
  </si>
  <si>
    <t>TOYOTA Auris Kombi 2013&gt;</t>
  </si>
  <si>
    <t>OPEL Combo C 2002&gt;2012</t>
  </si>
  <si>
    <t>OPEL Corsa A 1982&gt;1993</t>
  </si>
  <si>
    <t>OPEL Corsa B 1993&gt;2000</t>
  </si>
  <si>
    <t>TOYOTA Auris Hybrid Halvkombi 2013&gt;</t>
  </si>
  <si>
    <t>TOYOTA Auris Halvkombi 2012&gt;</t>
  </si>
  <si>
    <t>Tagen till CBN125</t>
  </si>
  <si>
    <t>OPEL Corsa D 2006&gt;2014</t>
  </si>
  <si>
    <t>OPEL Corsa E 2014&gt;</t>
  </si>
  <si>
    <t>TOYOTA Auris Halvkombi 2007&gt;2012</t>
  </si>
  <si>
    <t>SUZUKI X90 1995&gt;1998</t>
  </si>
  <si>
    <t>SUZUKI Vitara 2015&gt;</t>
  </si>
  <si>
    <t>OPEL Insignia Kombi 2008&gt;2017</t>
  </si>
  <si>
    <t>SUZUKI SX4 Halvkombi 2006&gt;</t>
  </si>
  <si>
    <t>OPEL Insignia Kombi 4WD 2014&gt;</t>
  </si>
  <si>
    <t>Tagen till MYZ915</t>
  </si>
  <si>
    <t>OPEL Kadett 1984&gt;1993</t>
  </si>
  <si>
    <t>SUZUKI Splash 2008&gt;</t>
  </si>
  <si>
    <t>SUZUKI Liana Sedan 2002&gt;</t>
  </si>
  <si>
    <t>OPEL Mokka 2012&gt;</t>
  </si>
  <si>
    <t>OPEL Movano Flak 1998&gt;2010</t>
  </si>
  <si>
    <t>OPEL Movano Flak 2010&gt;</t>
  </si>
  <si>
    <t>SUZUKI Kizashi 2010&gt;</t>
  </si>
  <si>
    <t>OPEL Movano Skåp/Buss 2010&gt;</t>
  </si>
  <si>
    <t>OPEL Movano Van 1998&gt;2010</t>
  </si>
  <si>
    <t>OPEL Omega A Kombi 1986&gt;1994</t>
  </si>
  <si>
    <t>KKY372</t>
  </si>
  <si>
    <t>SUZUKI Ignis 2003&gt;2008</t>
  </si>
  <si>
    <t>OPEL Omega A Sedan 1986&gt;1994</t>
  </si>
  <si>
    <t>OPEL Sintra 1996&gt;</t>
  </si>
  <si>
    <t>OPEL Tigra Twin Top 2004&gt;</t>
  </si>
  <si>
    <t>OPEL Vectra A Halvkombi 1988&gt;1995</t>
  </si>
  <si>
    <t>SUZUKI Celerio 2014&gt;</t>
  </si>
  <si>
    <t>OPEL Vectra A Sedan 1988&gt;1995</t>
  </si>
  <si>
    <t>SUZUKI Baleno Kombi 1996&gt;2002</t>
  </si>
  <si>
    <t>OPEL Vectra B Sedan 1995&gt;2002</t>
  </si>
  <si>
    <t>Brännlunds garage</t>
  </si>
  <si>
    <t>SUZUKI Baleno Halvkombi 2016&gt;</t>
  </si>
  <si>
    <t>OPEL Vectra C Sedan 2002&gt;2008</t>
  </si>
  <si>
    <t>OPEL Vivaro 2001&gt;2014</t>
  </si>
  <si>
    <t>SUZUKI Alto 2009&gt;</t>
  </si>
  <si>
    <t>OPEL Vivaro 2014&gt;</t>
  </si>
  <si>
    <t>Tagen till XGY102</t>
  </si>
  <si>
    <t>SUBARU Trezia 2011&gt;</t>
  </si>
  <si>
    <t>PEUGEOT 1007 2005&gt;</t>
  </si>
  <si>
    <t>SUBARU Outback 2015&gt;</t>
  </si>
  <si>
    <t>PEUGEOT 1007 Van 2005&gt;</t>
  </si>
  <si>
    <t>PEUGEOT 106 Halvkombi 1991&gt;1996</t>
  </si>
  <si>
    <t>SUBARU Levorg 2015&gt;</t>
  </si>
  <si>
    <t>PEUGEOT 106 Halvkombi 1996&gt;2004</t>
  </si>
  <si>
    <t>PEUGEOT 107 Halvkombi 2005&gt;2014</t>
  </si>
  <si>
    <t>SUBARU Legacy Sedan 2009&gt;</t>
  </si>
  <si>
    <t>Försenad leverans så kört bort en elsats från oss. JV får även en från Westfalia, så plocka hem den. //TC 8/6</t>
  </si>
  <si>
    <t>PEUGEOT 206 Cab 1998&gt;</t>
  </si>
  <si>
    <t>SUBARU Legacy Outback 2009&gt;2015</t>
  </si>
  <si>
    <t>PEUGEOT 206+ Halvkombi 2009&gt;</t>
  </si>
  <si>
    <t>PEUGEOT 207 Cab 2006&gt;</t>
  </si>
  <si>
    <t>SUBARU Impreza Halvkombi 2007&gt;2013</t>
  </si>
  <si>
    <t>SUBARU Forester 2013&gt;</t>
  </si>
  <si>
    <t>PEUGEOT 301 2012&gt;</t>
  </si>
  <si>
    <t>PEUGEOT 306 Cab 1994&gt;2002</t>
  </si>
  <si>
    <t>PEUGEOT 306 Halvkombi 1993&gt;2001</t>
  </si>
  <si>
    <t>PEUGEOT 307 CC 2003&gt;</t>
  </si>
  <si>
    <t>SSANGYONG Tivoli 2015&gt;</t>
  </si>
  <si>
    <t>SSANGYONG Rexton 2006&gt;</t>
  </si>
  <si>
    <t>PEUGEOT 308 Halvkombi 2007&gt;2011</t>
  </si>
  <si>
    <t>Ssangyong Rexton 2006&gt;</t>
  </si>
  <si>
    <t>PEUGEOT 308 Halvkombi 2011&gt;2013</t>
  </si>
  <si>
    <t>Tillhörde TJX818. Mått på paketet: 81x39x24 cm Vikt 18 kg // Antar att det är taget till DHS391</t>
  </si>
  <si>
    <t>Ssangyong Rexton 2002&gt;2006</t>
  </si>
  <si>
    <t>Menabo Delta</t>
  </si>
  <si>
    <r>
      <rPr>
        <rFont val="Helvetica"/>
        <color rgb="FF000000"/>
        <sz val="9.0"/>
      </rPr>
      <t xml:space="preserve">FIXING KIT: DLKIT06G + </t>
    </r>
    <r>
      <rPr>
        <rFont val="Helvetica"/>
        <color rgb="FFFF0000"/>
        <sz val="9.0"/>
      </rPr>
      <t>FEET KIT Cod.Art. 000095300000</t>
    </r>
    <r>
      <rPr>
        <rFont val="Helvetica"/>
        <color rgb="FF000000"/>
        <sz val="9.0"/>
      </rPr>
      <t xml:space="preserve"> + PROFILE KIT: L</t>
    </r>
  </si>
  <si>
    <t>Ssangyong Musso 1995&gt;2005</t>
  </si>
  <si>
    <t>SSANGYONG Kyron 2005&gt;</t>
  </si>
  <si>
    <t>PEUGEOT 4007 2007&gt;</t>
  </si>
  <si>
    <t>PEUGEOT 4008 2012&gt;</t>
  </si>
  <si>
    <t>SSANGYONG Korando 2010&gt;</t>
  </si>
  <si>
    <t>PEUGEOT 407 Coupe 2005&gt;</t>
  </si>
  <si>
    <t>SSANGYONG Actyon Sport 2007&gt;</t>
  </si>
  <si>
    <t>PEUGEOT 407 Kombi 2004&gt;2008</t>
  </si>
  <si>
    <t>ŠKODA Superb Sedan 2015&gt;</t>
  </si>
  <si>
    <t>PEUGEOT 407 Kombi 2008&gt;</t>
  </si>
  <si>
    <t>ŠKODA Superb Kombi 2015&gt;</t>
  </si>
  <si>
    <t>PEUGEOT 407 Sedan 2008&gt;</t>
  </si>
  <si>
    <t>Retur PFY632. Tagit Feet kit från denna till kund med trasig leverans, LOT815 //TC</t>
  </si>
  <si>
    <t>PEUGEOT 5008 2009&gt;2017</t>
  </si>
  <si>
    <t>SKODA Yeti 2009&gt;</t>
  </si>
  <si>
    <t>ACS-6003</t>
  </si>
  <si>
    <t>AV kula</t>
  </si>
  <si>
    <t>PEUGEOT 607 Sedan 2000&gt;</t>
  </si>
  <si>
    <t>PEUGEOT 806 1994&gt;2002</t>
  </si>
  <si>
    <t>SKODA Superb Kombi 2015&gt;</t>
  </si>
  <si>
    <t>PEUGEOT 807 2002&gt;</t>
  </si>
  <si>
    <t>PEUGEOT Bipper 2008&gt;</t>
  </si>
  <si>
    <t>SKODA Superb Kombi 2009&gt;2015</t>
  </si>
  <si>
    <t>PEUGEOT Boxer 1994&gt;2006</t>
  </si>
  <si>
    <t>PEUGEOT Boxer Flak 2006&gt;</t>
  </si>
  <si>
    <t>PEUGEOT Boxer Skåp/Buss 2006&gt;</t>
  </si>
  <si>
    <t>PEUGEOT Expert 1996&gt;2007</t>
  </si>
  <si>
    <t>SKODA Roomster 2010&gt;</t>
  </si>
  <si>
    <t>PEUGEOT Expert 2007&gt;</t>
  </si>
  <si>
    <t>PEUGEOT Partner 1996&gt;2008</t>
  </si>
  <si>
    <t>SKODA Rapid Spaceback 2013&gt;</t>
  </si>
  <si>
    <t>PEUGEOT Partner 2008&gt;</t>
  </si>
  <si>
    <t>PEUGEOT Partner 2008&gt; 4WD</t>
  </si>
  <si>
    <t>PEUGEOT Partner Boxline 2004&gt;2008</t>
  </si>
  <si>
    <t>PEUGEOT Partner Boxline 2009&gt;</t>
  </si>
  <si>
    <t>PEUGEOT Partner L2 2008&gt;</t>
  </si>
  <si>
    <t>Peugeot Partner Origin 2008&gt;</t>
  </si>
  <si>
    <t>PONTIAC Trans Sport Van 1996&gt;</t>
  </si>
  <si>
    <t>SKODA Octavia Kombi 1998&gt;2005</t>
  </si>
  <si>
    <t>PORSCHE Macan 2014&gt;</t>
  </si>
  <si>
    <t>Range Rover 1995&gt;2002</t>
  </si>
  <si>
    <t>SKODA Octavia Halvkombi 2013&gt;</t>
  </si>
  <si>
    <t>Range Rover 2002&gt;2012</t>
  </si>
  <si>
    <t>Range Rover 2013&gt;</t>
  </si>
  <si>
    <t>SKODA Octavia Halvkombi 2004&gt;2013</t>
  </si>
  <si>
    <t>Range Rover Sport 2005&gt;2009</t>
  </si>
  <si>
    <t>SKODA Octavia Halvkombi 1997&gt;2004</t>
  </si>
  <si>
    <t>Range Rover Sport 2009&gt;</t>
  </si>
  <si>
    <t>SKODA Felicia Pick-Up 1996&gt;</t>
  </si>
  <si>
    <t>RENAULT 19 Sedan 1989&gt;1996</t>
  </si>
  <si>
    <t>RENAULT 2016&gt;</t>
  </si>
  <si>
    <t>SKODA Fabia Sedan 2001&gt;2007</t>
  </si>
  <si>
    <t>SKODA Fabia Kombi 2014&gt;</t>
  </si>
  <si>
    <t>RENAULT Clio Campus 1998&gt;2005</t>
  </si>
  <si>
    <t>RENAULT Clio Halvkombi 1991&gt;1998</t>
  </si>
  <si>
    <t>SKODA Fabia Halvkombi 2014&gt;</t>
  </si>
  <si>
    <t>SKODA Fabia Halvkombi 2007&gt;2014</t>
  </si>
  <si>
    <t>SKODA Citigo 2012&gt;</t>
  </si>
  <si>
    <t>RENAULT Espace 2015&gt;</t>
  </si>
  <si>
    <t>RENAULT Fluence 2010&gt;</t>
  </si>
  <si>
    <t>SEAT Toledo Sedan 2004&gt;2012</t>
  </si>
  <si>
    <t>RENAULT Grand Modus 2008&gt;</t>
  </si>
  <si>
    <t>SEAT Toledo Halvkombi 2004&gt;</t>
  </si>
  <si>
    <t>SEAT Toledo Halvkombi 1995&gt;1999</t>
  </si>
  <si>
    <t>SEAT Toledo Halvkombi 1991&gt;1995</t>
  </si>
  <si>
    <t>SEAT Mii 2012&gt;</t>
  </si>
  <si>
    <t>SEAT Leon Kombi 2013&gt;</t>
  </si>
  <si>
    <t>RENAULT Kangoo 2008&gt;</t>
  </si>
  <si>
    <t>ACS-6011</t>
  </si>
  <si>
    <t>RENAULT Kangoo 4WD 2003&gt;</t>
  </si>
  <si>
    <t>SEAT Leon Halvkombi 2012&gt;</t>
  </si>
  <si>
    <t>RENAULT Kangoo Be Bop 2009&gt;</t>
  </si>
  <si>
    <t>RENAULT Kangoo BMC 2010&gt;</t>
  </si>
  <si>
    <t>SEAT Leon Halvkombi 2005&gt;2012</t>
  </si>
  <si>
    <t>RENAULT Laguna I Halvkombi 1993&gt;2001</t>
  </si>
  <si>
    <t>SEAT Inca 1995&gt;2003</t>
  </si>
  <si>
    <t>SEAT Ibiza Halvkombi 2008&gt;</t>
  </si>
  <si>
    <t>SEAT Ibiza 2008&gt;</t>
  </si>
  <si>
    <t>RENAULT Latitude 2011&gt;</t>
  </si>
  <si>
    <t>RENAULT Master Flak 1998&gt;2010</t>
  </si>
  <si>
    <t>RENAULT Master Flak 2010&gt;</t>
  </si>
  <si>
    <t>ACS-6002</t>
  </si>
  <si>
    <t>RENAULT Master Van 1980&gt;1997</t>
  </si>
  <si>
    <t>RENAULT Master Van 1998&gt;2010</t>
  </si>
  <si>
    <t>RENAULT Megane Cab 2003&gt;2010</t>
  </si>
  <si>
    <t>RENAULT Megane Cab 2010&gt;</t>
  </si>
  <si>
    <t>RENAULT Megane Coupe 2009&gt;</t>
  </si>
  <si>
    <t>SEAT Cordoba Coupe 1996&gt;1999</t>
  </si>
  <si>
    <t>RENAULT Megane Halvkombi 1999&gt;2002</t>
  </si>
  <si>
    <t>ACS-6007</t>
  </si>
  <si>
    <t>RENAULT Megane Kombi 2003&gt;2009</t>
  </si>
  <si>
    <t>RENAULT Megane Scenic 2003&gt;2009</t>
  </si>
  <si>
    <t>SAAB 9000 Halvkombi 1992&gt;1998</t>
  </si>
  <si>
    <t>RENAULT Megane Scenic 2009&gt;2016</t>
  </si>
  <si>
    <t>SAAB 9000 Halvkombi 1985&gt;1992</t>
  </si>
  <si>
    <t>SAAB 900 Halvkombi 1993&gt;1998</t>
  </si>
  <si>
    <t>ACS 6004</t>
  </si>
  <si>
    <t>SAAB 900 Coupe 1993&gt;1998</t>
  </si>
  <si>
    <t>SAAB 9-5 Sedan 1997&gt;2010</t>
  </si>
  <si>
    <t>SAAB 9-5 Kombi 1998&gt;2011</t>
  </si>
  <si>
    <t>RENAULT Modus 2008&gt;</t>
  </si>
  <si>
    <t>SAAB 9-5 Halvkombi 2010&gt;</t>
  </si>
  <si>
    <t>RENAULT R19 1992&gt;1995</t>
  </si>
  <si>
    <t>RENAULT R5 Rapid 1986&gt;1991</t>
  </si>
  <si>
    <t>RENAULT Thalia Sedan 1999&gt;2010</t>
  </si>
  <si>
    <t>SAAB 9-3 Halvkombi 1998&gt;2003</t>
  </si>
  <si>
    <t>RENAULT Thalia Sedan 2010&gt;</t>
  </si>
  <si>
    <t>RENAULT Trafic 1989&gt;2001</t>
  </si>
  <si>
    <t>SAAB 9-3 Cab 2003&gt;</t>
  </si>
  <si>
    <t>RENAULT Trafic 2001&gt;2014</t>
  </si>
  <si>
    <t>ACS-6012</t>
  </si>
  <si>
    <t>ROVER 400 Halvkombi 1995&gt;2000</t>
  </si>
  <si>
    <t>RENAULT Trafic 2014&gt;</t>
  </si>
  <si>
    <t>RENAULT Vel Satis 2002&gt;</t>
  </si>
  <si>
    <t>ROVER 25 Halvkombi 1999&gt;2005</t>
  </si>
  <si>
    <t>ROVER 400 Sedan 1996&gt;1999</t>
  </si>
  <si>
    <t>ROVER 45 Halvkombi 2000&gt;2004</t>
  </si>
  <si>
    <t>ROVER 45 Sedan 2000&gt;2005</t>
  </si>
  <si>
    <t>Tillhörde NNH008</t>
  </si>
  <si>
    <t>ROVER 75 Kombi 2001&gt;</t>
  </si>
  <si>
    <t>ROVER 75 Sedan 1999&gt;2005</t>
  </si>
  <si>
    <t>SAAB 9-3 Cab 1998&gt;2003</t>
  </si>
  <si>
    <t>ACS 6001</t>
  </si>
  <si>
    <t>SAAB 9-3X 2009&gt;</t>
  </si>
  <si>
    <t>RENAULT Megane Kombi 2016&gt;</t>
  </si>
  <si>
    <t>SEAT Ibiza Halvkombi 1993&gt;1996</t>
  </si>
  <si>
    <t>SEAT Ibiza Halvkombi 1996&gt;1999</t>
  </si>
  <si>
    <t>SEAT Ibiza Halvkombi 1999&gt;2002</t>
  </si>
  <si>
    <t>SEAT Ibiza Halvkombi 2002&gt;2008</t>
  </si>
  <si>
    <t>Kula som vi fick fel till en Audi Q7. Hyffsat standardmått på den. Se bild från Ilker i info-mailen 15/11 //TC</t>
  </si>
  <si>
    <t>Piteå?</t>
  </si>
  <si>
    <t>SEAT Toledo Sedan 1991&gt;1995</t>
  </si>
  <si>
    <t>SEAT Toledo Sedan 1995&gt;1998</t>
  </si>
  <si>
    <t>SEAT Toledo Sedan 2012&gt;</t>
  </si>
  <si>
    <t>Finns detta draget tillsammans med elsats i Piteå? Leverans strulade och kund bokade av. GOW656 // Den ligger inte hos Peter //TC 20/8</t>
  </si>
  <si>
    <t>ACS-6016</t>
  </si>
  <si>
    <t>SKODA Octavia Halvkombi RS 2013&gt;</t>
  </si>
  <si>
    <t>SKODA Octavia Kombi 4x4 2005&gt;</t>
  </si>
  <si>
    <t>SKODA Octavia Kombi Scout Praktik 2005&gt;</t>
  </si>
  <si>
    <t>SKODA Praktik 2007&gt;</t>
  </si>
  <si>
    <t>Till Bil FBX821</t>
  </si>
  <si>
    <t>ACS-3012 (ACS-6012)</t>
  </si>
  <si>
    <t>SKODA Roomster Scout 2006&gt;2010</t>
  </si>
  <si>
    <t>Range Rover Evoque 2011&gt;</t>
  </si>
  <si>
    <t>PORSCHE Cayenne 2010&gt;</t>
  </si>
  <si>
    <t>PORSCHE Cayenne 2002&gt;2010</t>
  </si>
  <si>
    <t>SMART Coupe/Cab 1998&gt;2007</t>
  </si>
  <si>
    <t>Flärp över lås</t>
  </si>
  <si>
    <t>SMART Coupe/Cab 2007&gt;</t>
  </si>
  <si>
    <t>Ssangyong Rodius 2005&gt;</t>
  </si>
  <si>
    <t>ZK2</t>
  </si>
  <si>
    <t>SUBARU Impreza Halvkombi 2013&gt;</t>
  </si>
  <si>
    <t>SUBARU Impreza Kombi 2002&gt;2007</t>
  </si>
  <si>
    <t>SUBARU Justy 1996&gt;2003</t>
  </si>
  <si>
    <t>Subaru Justy 2007&gt;</t>
  </si>
  <si>
    <t>Extra matar sats</t>
  </si>
  <si>
    <t>SUBARU Legacy Kombi 1994&gt;2003</t>
  </si>
  <si>
    <t>SUBARU Legacy Kombi 2003&gt;2009</t>
  </si>
  <si>
    <t>SUBARU Legacy Outback 1998&gt;2003</t>
  </si>
  <si>
    <t>VOLVO V60 2010&gt;2018
VOLVO S60 2010&gt;</t>
  </si>
  <si>
    <t>Missat att cancelera denna hos Westfalia, tillhörde MEY389</t>
  </si>
  <si>
    <t xml:space="preserve">Volvo V60 Kombi </t>
  </si>
  <si>
    <t>Retur, kund köpte fel 9/3 CS</t>
  </si>
  <si>
    <t>SUZUKI Samurai 1996&gt;1999</t>
  </si>
  <si>
    <t>320073600001</t>
  </si>
  <si>
    <t>SUZUKI Samurai 1999&gt;</t>
  </si>
  <si>
    <t>SUZUKI Swift 1991&gt;1996</t>
  </si>
  <si>
    <t>SUZUKI Swift 1996&gt;2001</t>
  </si>
  <si>
    <t>SUZUKI Swift Halvkombi 4WD 2005&gt;2010</t>
  </si>
  <si>
    <t>Till GRX399</t>
  </si>
  <si>
    <t>SUZUKI Wagon 1997&gt;2000</t>
  </si>
  <si>
    <t>SUZUKI Wagon 2000&gt;2002</t>
  </si>
  <si>
    <t>SUZUKI Wagon 2002&gt;2008</t>
  </si>
  <si>
    <t>tagen till YYU586</t>
  </si>
  <si>
    <t>320063600001</t>
  </si>
  <si>
    <t>TOYOTA Avensis Kombi 1998&gt;2003</t>
  </si>
  <si>
    <t>Dragkrok var tänkt till ysa122 egentligen. Dock var den aningen försenad, så verkstaden hade börjat montera en V-284 istället (Förmodligen tillhörde V-284 MTP719 som avbokat)</t>
  </si>
  <si>
    <t>Mailat om måtten på paketet 2/11</t>
  </si>
  <si>
    <t>56327</t>
  </si>
  <si>
    <t>VW Amarok (2H) 2011-</t>
  </si>
  <si>
    <t>TOYOTA Camry 2001&gt;2004</t>
  </si>
  <si>
    <t>TOYOTA Corolla Compact 1992&gt;1997</t>
  </si>
  <si>
    <t>TOYOTA Corolla Halvkombi 1997&gt;2001</t>
  </si>
  <si>
    <t>V-062</t>
  </si>
  <si>
    <t>TOYOTA Corolla Kombi 1997&gt;2001</t>
  </si>
  <si>
    <t>VW Golf 7 5-dörr</t>
  </si>
  <si>
    <t>Bergby motor</t>
  </si>
  <si>
    <t>TOYOTA Corolla Sedan 1997&gt;2002</t>
  </si>
  <si>
    <t>TOYOTA Dyna 2007&gt;</t>
  </si>
  <si>
    <t>Tillhörde RBP456 (ok med Jenny att den ligger där tills vi sålt den) Tagen till OJL921</t>
  </si>
  <si>
    <t>TOYOTA Hi-Lux 1989&gt;1997</t>
  </si>
  <si>
    <t>V-140</t>
  </si>
  <si>
    <t>VW Passat Kombi 2005&gt;2010
VW Passat Sedan 2005&gt;2010</t>
  </si>
  <si>
    <t>2005-2010</t>
  </si>
  <si>
    <t>TOYOTA iQ 2009&gt;</t>
  </si>
  <si>
    <t>TOYOTA Land Cruiser J10 1998&gt;2002</t>
  </si>
  <si>
    <t>TOYOTA Land Cruiser LJ7 1985&gt;</t>
  </si>
  <si>
    <t>TOYOTA Picnic 1996&gt;2001</t>
  </si>
  <si>
    <t>Tillhörde Kje249 som tydligen hade dragkrok på bilen redan... //TC 19/10</t>
  </si>
  <si>
    <t>OPEL Astra K Kombi 2016&gt;</t>
  </si>
  <si>
    <t>Mailat verkstaden om mått 4/11</t>
  </si>
  <si>
    <t>TOYOTA Previa 1990&gt;2000</t>
  </si>
  <si>
    <t>1200 555 230, 23 kg</t>
  </si>
  <si>
    <t>TOYOTA Previa 2000&gt;2005</t>
  </si>
  <si>
    <t>K 40</t>
  </si>
  <si>
    <t>2001&gt;2009</t>
  </si>
  <si>
    <t>TOYOTA RAV4 m. reservhjul 2009&gt;2013</t>
  </si>
  <si>
    <t>TOYOTA Urban Cruiser 4x4 2009&gt;</t>
  </si>
  <si>
    <t>VW Sharan 2000&gt;2010
SEAT Alhambra 2000&gt;2010
FORD Galaxy 2000&gt;2006</t>
  </si>
  <si>
    <t>VOLKSWAGEN Beetle 1999&gt;</t>
  </si>
  <si>
    <t>Tillhörde WFA394</t>
  </si>
  <si>
    <t>335299</t>
  </si>
  <si>
    <t>Westfalia fyrbultad kula</t>
  </si>
  <si>
    <t>VOLKSWAGEN Caddy 4x4 2008&gt;</t>
  </si>
  <si>
    <t>VOLKSWAGEN Caddy GP 2010&gt;</t>
  </si>
  <si>
    <t>VOLKSWAGEN Caddy Maxi 2007&gt;</t>
  </si>
  <si>
    <t>VOLKSWAGEN Eos 2006&gt;2010</t>
  </si>
  <si>
    <t>(Förmodligen samma som nr 27)</t>
  </si>
  <si>
    <t>VOLKSWAGEN Golf I Cab 1989&gt;1993</t>
  </si>
  <si>
    <t>VOLKSWAGEN Golf II Country 1991&gt;1993</t>
  </si>
  <si>
    <t>VOLKSWAGEN Golf II Halvkombi 1989&gt;1991</t>
  </si>
  <si>
    <t>Bluetooth kit ?</t>
  </si>
  <si>
    <t>VOLKSWAGEN Golf IV Kombi 1999&gt;2006 4x4</t>
  </si>
  <si>
    <t>VOLKSWAGEN Golf Sportsvan 2014&gt;</t>
  </si>
  <si>
    <t>POF495</t>
  </si>
  <si>
    <t>VOLKSWAGEN Golf VI Cab 2011&gt;</t>
  </si>
  <si>
    <t>Det som blev fel till POF495. Byts 26/1</t>
  </si>
  <si>
    <t>Slå en signal, finns det?</t>
  </si>
  <si>
    <t>VOLKSWAGEN Jetta Sedan 1983&gt;1991</t>
  </si>
  <si>
    <t>VOLKSWAGEN LT 1995&gt;2006</t>
  </si>
  <si>
    <t>VOLKSWAGEN Passat Alltrack 2012&gt;2015</t>
  </si>
  <si>
    <t>VOLKSWAGEN Passat CC 2008&gt;2012</t>
  </si>
  <si>
    <t>Amerikansk kula</t>
  </si>
  <si>
    <t>VOLKSWAGEN Passat Kombi 1988&gt;1993</t>
  </si>
  <si>
    <t>VOLKSWAGEN Passat Kombi 1993&gt;1997</t>
  </si>
  <si>
    <t>Blev fel till ELJ094</t>
  </si>
  <si>
    <t>VOLKSWAGEN Passat Sedan 1988&gt;1993</t>
  </si>
  <si>
    <t>C/030</t>
  </si>
  <si>
    <t>VOLKSWAGEN Passat Sedan 1993&gt;1996</t>
  </si>
  <si>
    <t xml:space="preserve">FIAT Ducato (250), 07-, </t>
  </si>
  <si>
    <t>Framåt Fordon</t>
  </si>
  <si>
    <t>VOLKSWAGEN Polo Cross/Fun 2006&gt;2009</t>
  </si>
  <si>
    <t>VOLKSWAGEN Polo Cross/Fun 2010&gt;</t>
  </si>
  <si>
    <t>VOLKSWAGEN Polo Halvkombi 1990&gt;1994</t>
  </si>
  <si>
    <t>YFW985, Tagen till JRT60D</t>
  </si>
  <si>
    <t>Mailat kunden om måttren 14/4 //HL</t>
  </si>
  <si>
    <t>PFC6B</t>
  </si>
  <si>
    <t>VOLKSWAGEN Polo Halvkombi 2010&gt;2014 Bluemotion</t>
  </si>
  <si>
    <t>VOLKSWAGEN Polo Halvkombi 2010&gt;2014 GTI</t>
  </si>
  <si>
    <t>VOLKSWAGEN Polo Halvkombi 2014&gt;</t>
  </si>
  <si>
    <t>VOLKSWAGEN Scirocco 2008&gt;</t>
  </si>
  <si>
    <t>YFW985 - Denna SKA tillbaka till Westfalia, flera saker som fattades vil leverans, sidojärn/bultar mm. TC tror att den är upphämtad, EJ UPPHÄMTAD</t>
  </si>
  <si>
    <t>VOLKSWAGEN T2/T3 Skåp/Buss/Flak 79&gt;1990</t>
  </si>
  <si>
    <t>VOLKSWAGEN T5 Flak 2003&gt;</t>
  </si>
  <si>
    <t>Trail Tec</t>
  </si>
  <si>
    <t>WYR043013R-T</t>
  </si>
  <si>
    <t>13p spec</t>
  </si>
  <si>
    <t>VOLKSWAGEN Taro 1989&gt;1997</t>
  </si>
  <si>
    <t>BMW 1, 2, 3, 4, 5, 6, 7, X3, X4, X5, X6</t>
  </si>
  <si>
    <t>2014 - 
Olika beroende 
på bilmodell</t>
  </si>
  <si>
    <t>VOLVO 240-260 Sedan 1980&gt;1993</t>
  </si>
  <si>
    <t>VOLVO 7-serie/9-serie 1982&gt;1998</t>
  </si>
  <si>
    <t>EKF66E</t>
  </si>
  <si>
    <t>Retur av Jesper, oöppnad. Sälj eller montera inte på flång nya 
G-modeller enligt Jesper. Passar men ger felkod på ESP 
eller liknande. /FP</t>
  </si>
  <si>
    <t>MERCEDES GLE 2015&gt;</t>
  </si>
  <si>
    <t>F-241</t>
  </si>
  <si>
    <t>W6</t>
  </si>
  <si>
    <t>VOLVO S70 1997&gt;2000</t>
  </si>
  <si>
    <t>Aluminium i Borås</t>
  </si>
  <si>
    <t>VOLVO S90 1994&gt;1998</t>
  </si>
  <si>
    <t>Tillhörde order för LWT552, kund beställt ett vertikalt avtagbart drag, detta är horisontellt.</t>
  </si>
  <si>
    <t>VOLVO V70 1997&gt;2000</t>
  </si>
  <si>
    <t>Malmö, Supreme</t>
  </si>
  <si>
    <t>VOLVO V90 1994&gt;1998</t>
  </si>
  <si>
    <t>VOLVO XC40 2013&gt;</t>
  </si>
  <si>
    <t>Tillhörde OJF144 som vi strulade med leveranser med.</t>
  </si>
  <si>
    <t>Blivit skickad till Piteå tidigare</t>
  </si>
  <si>
    <t>Kia Optima Kombi 2016 Hybrid</t>
  </si>
  <si>
    <t>Totalsumma</t>
  </si>
  <si>
    <t>Tillhör NHF245</t>
  </si>
  <si>
    <t>100x40x27</t>
  </si>
  <si>
    <t>Borås på pall</t>
  </si>
  <si>
    <r>
      <rPr>
        <color rgb="FFFF0000"/>
      </rPr>
      <t xml:space="preserve">Fick fel </t>
    </r>
    <r>
      <rPr>
        <color rgb="FFFF0000"/>
        <u/>
      </rPr>
      <t>reg.nr</t>
    </r>
    <r>
      <rPr>
        <color rgb="FFFF0000"/>
      </rPr>
      <t xml:space="preserve"> av kunden, ryo375, TAGEN TILL LJD411. 1/9-21</t>
    </r>
  </si>
  <si>
    <t>F-302</t>
  </si>
  <si>
    <r>
      <rPr>
        <color rgb="FFFF0000"/>
      </rPr>
      <t xml:space="preserve">Jesper beställde fel drag till OOB127. </t>
    </r>
    <r>
      <rPr>
        <b/>
        <color rgb="FFFF0000"/>
      </rPr>
      <t>Jespers drag?</t>
    </r>
  </si>
  <si>
    <t>Fast med
S-kula</t>
  </si>
  <si>
    <t>HONDA CR-V 2002&gt;2007</t>
  </si>
  <si>
    <t>2002-2007</t>
  </si>
  <si>
    <t>Plats PC40A</t>
  </si>
  <si>
    <t>Kund som inte ville ha S-kula</t>
  </si>
  <si>
    <t>45017/C</t>
  </si>
  <si>
    <t>HYUNDAI i30 Halvkombi 2008&gt;2012
KIA Ceed Halvkombi 2006&gt;2012</t>
  </si>
  <si>
    <t>2008-2012</t>
  </si>
  <si>
    <t>Felbeställd krok till LPG734</t>
  </si>
  <si>
    <t>Mailat om måtten 16/3 9/9</t>
  </si>
  <si>
    <t>Audi A3</t>
  </si>
  <si>
    <t>Axma Bil</t>
  </si>
  <si>
    <t>Tillhör  DUN701 Bokad DHL 9/2</t>
  </si>
  <si>
    <t>S-368</t>
  </si>
  <si>
    <t>SUBARU Outback</t>
  </si>
  <si>
    <t>Tillhör BWN719 Bokad DHL 8/2</t>
  </si>
  <si>
    <t>FI044DX</t>
  </si>
  <si>
    <t>13-spec</t>
  </si>
  <si>
    <t>JEEP Renegade/Trailhawk 2014&gt;
FIAT 500X 2014&gt;
Jeep Compass 2017&gt;</t>
  </si>
  <si>
    <t>Land Rover Freelander 2007&gt;</t>
  </si>
  <si>
    <t>Land Rover Freelander 1998&gt;2007</t>
  </si>
  <si>
    <t>Felbeställt till ZBB462. Skulle ha 13-uni // Tagen till ANA647</t>
  </si>
  <si>
    <t>Land Rover Discovery 1998&gt;2004</t>
  </si>
  <si>
    <t>Land Rover Defender 1998&gt;</t>
  </si>
  <si>
    <t>Speedy Örebro</t>
  </si>
  <si>
    <t>Förmodligen tillhörde detta draget YYF859 //TC</t>
  </si>
  <si>
    <t>110x20x40</t>
  </si>
  <si>
    <t>B-080</t>
  </si>
  <si>
    <t>PGR446</t>
  </si>
  <si>
    <t>KIA Soul 2014&gt;</t>
  </si>
  <si>
    <r>
      <rPr/>
      <t xml:space="preserve">Retur av Jesper, oöppnad. Sälj eller montera inte på flång nya 
G-modeller enligt Jesper. Passar men ger felkod på ESP 
eller liknande. /FP. </t>
    </r>
    <r>
      <rPr>
        <b/>
        <color rgb="FFFF0000"/>
      </rPr>
      <t>OBS! Ligger i annan kartong, BW031D1</t>
    </r>
  </si>
  <si>
    <t>747374 / 3DG0494</t>
  </si>
  <si>
    <t>KIA Optima Sedan 2016&gt;</t>
  </si>
  <si>
    <t>BMW G30, G31, G32, G01, G02</t>
  </si>
  <si>
    <t>KIA Carnival 2006&gt;</t>
  </si>
  <si>
    <t>Felbeställd elsats till FEU76E</t>
  </si>
  <si>
    <t>C-010</t>
  </si>
  <si>
    <t>CITROEN C3 Halvkombi 2010&gt;
Peugeot 208 HB</t>
  </si>
  <si>
    <t>Oklart om den finns, ska ha legat där sedan 2020 i så fall
Finns ej 21/9 //HL</t>
  </si>
  <si>
    <r>
      <rPr/>
      <t xml:space="preserve">Har varit monterad. Bör nog monteras igen. Men verkar vara komplett / </t>
    </r>
    <r>
      <rPr>
        <b/>
        <color rgb="FFFF0000"/>
      </rPr>
      <t>Kan vara borta eller tagen!</t>
    </r>
  </si>
  <si>
    <t>Malmö Supreme</t>
  </si>
  <si>
    <t>Tillhörde CLW523 som bokat av. Ta hem först efter 15/3</t>
  </si>
  <si>
    <t>24-2472-00</t>
  </si>
  <si>
    <t>Kia Niro 2016&gt; inkl hybrid</t>
  </si>
  <si>
    <t>Felskickad krok till YXH849 Skickad till Kallernäs PJC34A</t>
  </si>
  <si>
    <t>E2007BV</t>
  </si>
  <si>
    <t>FORD Explorer 2011&gt;2015
Ford Explorer 2016&gt;</t>
  </si>
  <si>
    <t>Passade ej till FAL06S. Upplockad av Aragon. Ska vara krediterad. /FP // Monterades på TMO580</t>
  </si>
  <si>
    <t>H-249</t>
  </si>
  <si>
    <t>HYUNDAI i40, 1.7 CRDi Diesel CW Kombi 136 hk .2012-.2015</t>
  </si>
  <si>
    <t>Anders Gustavsson</t>
  </si>
  <si>
    <t>Patrycja har skickat draget till kunden trotts att han inte skulle ha det. TC har mailat Patrycja och hon tar tag i det. Vi ska inte ha det.</t>
  </si>
  <si>
    <t>320117600001</t>
  </si>
  <si>
    <t>Tillhörde TSL818 som kulan strulade med i leveransen</t>
  </si>
  <si>
    <t>K-083</t>
  </si>
  <si>
    <t>KIA Sportage 2018&gt;
HYUNDAI Tucson 2018&gt;</t>
  </si>
  <si>
    <t>FORD S-Max 2015&gt;</t>
  </si>
  <si>
    <t>Dubbelbeställd till LTD30L</t>
  </si>
  <si>
    <t>55-691800</t>
  </si>
  <si>
    <t>LEXUS UX</t>
  </si>
  <si>
    <t>Tillhörde JSA78C som Tyresö fuckade upp</t>
  </si>
  <si>
    <t>Finns på lager Borås</t>
  </si>
  <si>
    <t>342104600001</t>
  </si>
  <si>
    <t>Jeep Wrangler , 4.2007-10.2017, inkl. vehicles with AdBlue</t>
  </si>
  <si>
    <t>Tillhörde ZJJ111 vi glömt att boka av den hos Westfalia</t>
  </si>
  <si>
    <t>WYR44151413R (153594-38897-1)</t>
  </si>
  <si>
    <t>Kia Ceed Halvkombi 07.2018 – 12.2020
Kia Ceed kombi 07.2018 – 12.2020
Hyundai Kona 06.2017 – 10.2020
Hyundai Santa fe 09.2018 – 10.2020</t>
  </si>
  <si>
    <t>FORD Edge 2016&gt;</t>
  </si>
  <si>
    <t>RYY85X</t>
  </si>
  <si>
    <t>Felbeställd elsats som tillhörde RYY85X / Frederik hämtat elsatsen</t>
  </si>
  <si>
    <t>M-237</t>
  </si>
  <si>
    <t>FIAT Talento 2016&gt;</t>
  </si>
  <si>
    <t>Felskickad till NGL63E</t>
  </si>
  <si>
    <t>CL112Q</t>
  </si>
  <si>
    <t>AVtagbar</t>
  </si>
  <si>
    <t>Leif Ulars</t>
  </si>
  <si>
    <t>LKG868 Kunden retuner till oss Borås</t>
  </si>
  <si>
    <t>FIAT Fullback (Pick-Up) 2016&gt;</t>
  </si>
  <si>
    <t>E3009CV</t>
  </si>
  <si>
    <t>Kia Ceed halvkombi 2019&gt;</t>
  </si>
  <si>
    <t>GJS27J</t>
  </si>
  <si>
    <t>Felbeställd till GJS27J</t>
  </si>
  <si>
    <t>Tagen till SZT092</t>
  </si>
  <si>
    <t>Morgan Isaksson</t>
  </si>
  <si>
    <t>Felskickad krok till ZPB943 skickat till E-Tuna YWR029</t>
  </si>
  <si>
    <t>TrailTec</t>
  </si>
  <si>
    <t>153594-38897-1</t>
  </si>
  <si>
    <t>KIA Ceed Kombi 2018&gt;2021</t>
  </si>
  <si>
    <t>2008.04 - 
2020.12</t>
  </si>
  <si>
    <t>Felbeställd till RYY85X</t>
  </si>
  <si>
    <t>e3010bv</t>
  </si>
  <si>
    <t>Tillhörde förmodligen GJS27J, fel krok beställd</t>
  </si>
  <si>
    <t>LEXUS NX</t>
  </si>
  <si>
    <t>Joakim Carlsson</t>
  </si>
  <si>
    <t>Bokat upphämtning hos kund till Borås 12/5  (XRB581)</t>
  </si>
  <si>
    <t>24-2466-21</t>
  </si>
  <si>
    <t>Kia Ceed kombi 2018 - 2021-08</t>
  </si>
  <si>
    <t>Järfälla ???</t>
  </si>
  <si>
    <t>DNR241</t>
  </si>
  <si>
    <t>Ringde JHS. De hade ingen sån krok. Hmm / FW</t>
  </si>
  <si>
    <t>BAM35G</t>
  </si>
  <si>
    <t>Dragkroken passade inte på DNR241, GDW har satt en "upp till gräns" på 2021-08! Det passar alltså inte faceliften. Det tar emot på en liten lampa innanför avgasröret.</t>
  </si>
  <si>
    <t>29043/C</t>
  </si>
  <si>
    <t>PEUGEOT 307 Halvkombi 2001&gt;2007
PEUGEOT 308 Halvkombi 2007&gt;2011
PEUGEOT 308 Halvkombi 2011&gt;2013</t>
  </si>
  <si>
    <t>Tillhörde UMT217 som bokat av. Tagen till HYJ317. 1/9-21 FP</t>
  </si>
  <si>
    <t>PEX563 bokat av // Tagen till YTS770</t>
  </si>
  <si>
    <t>R-073</t>
  </si>
  <si>
    <t>Tillhörde LDD143 som det strulat med och han bokat av.</t>
  </si>
  <si>
    <t>SAAB 9-3 Sedan, Cabriolet</t>
  </si>
  <si>
    <t>Kund accepterade inte denna utan ville ha sin Autohak, tillhörde 304384</t>
  </si>
  <si>
    <t>VW82Q</t>
  </si>
  <si>
    <t>SKODA Superb Kombi 2015&gt;
Volkswagen Passat 2015-</t>
  </si>
  <si>
    <t>Dubbelbeställd dragkrok KMH99R</t>
  </si>
  <si>
    <t>114x14x28
20 kg</t>
  </si>
  <si>
    <t>Bagarumsmatta</t>
  </si>
  <si>
    <t>Premium Pro</t>
  </si>
  <si>
    <t>TM405189</t>
  </si>
  <si>
    <t>Kia Ceed kombi 2019&gt;</t>
  </si>
  <si>
    <t>Thomas Söremo</t>
  </si>
  <si>
    <t>Passar inte Hybriden. Ta hem</t>
  </si>
  <si>
    <t>T-132</t>
  </si>
  <si>
    <t>Tillhörde EBX57b som avbokade då han insåg att han inte får dra något.</t>
  </si>
  <si>
    <t>Mailat Falkenberg om mått den 7/9 //HL</t>
  </si>
  <si>
    <t>ALFA ROMEO Giulia 2016&gt;</t>
  </si>
  <si>
    <t>39018</t>
  </si>
  <si>
    <t>Tillhörde Rpw429 där montering sket sig. Ghulam vågade inte röra bilen pga rost och vi har inte reserverat oss för detta.</t>
  </si>
  <si>
    <t>E3014DV</t>
  </si>
  <si>
    <t>Kia Niro 2016&gt; (inkl EV)</t>
  </si>
  <si>
    <t>Jv kom till oss 8/5</t>
  </si>
  <si>
    <t>JA</t>
  </si>
  <si>
    <t>Ed87903</t>
  </si>
  <si>
    <t>Extrakrok från Aragon 13/5-2022</t>
  </si>
  <si>
    <t>KI101DH</t>
  </si>
  <si>
    <t>13-pol Spec</t>
  </si>
  <si>
    <t>KIA Optima II, 16-, 2.0 Hybrid Kombi</t>
  </si>
  <si>
    <t>Fanns inte hos Roger, förmodligen tagen.</t>
  </si>
  <si>
    <t>Volkswagen Golf V Halvkombi 2003&gt;2008
Volkswagen Golf VI Halvkombi 2008-2012
VW Golf Plus 2005-2009</t>
  </si>
  <si>
    <t>JSY425 - kunden bokat av. Ta hem eller skicka därifrån till ngn kund. // Tagen till KWW211</t>
  </si>
  <si>
    <t>V-143</t>
  </si>
  <si>
    <t>VOLKSWAGEN Passat 2010&gt;2014</t>
  </si>
  <si>
    <t>Tillhör ABL791</t>
  </si>
  <si>
    <t>V-154</t>
  </si>
  <si>
    <t>Nödkrok för MEL553</t>
  </si>
  <si>
    <t>V-308</t>
  </si>
  <si>
    <t>Volvo S60 Cross Country 2015&gt;
Volvo V60 Cross Country 2015&gt;</t>
  </si>
  <si>
    <t>Fel drag till PNC23F, TA HEM KROKEN // Tagen till PPG128</t>
  </si>
  <si>
    <t>VOLKSWAGEN Touran 2003&gt;2015</t>
  </si>
  <si>
    <t>VOLKSWAGEN Touareg 2002&gt;2014</t>
  </si>
  <si>
    <t>Volvo S90 2017&gt;</t>
  </si>
  <si>
    <t>VOLKSWAGEN T4 Skåp/Buss 1990&gt;1995</t>
  </si>
  <si>
    <t>Bergendahl - Vara</t>
  </si>
  <si>
    <t>Tillhörde RKC85E som elsatsen inte hann fram till</t>
  </si>
  <si>
    <t>Tillhörde LDY589 som vi bytte verkstad för till JV. Be Jonas droppa av det på Expresspack. Tagen till ELS481 7/9 FP</t>
  </si>
  <si>
    <t>492900</t>
  </si>
  <si>
    <t>VOLKSWAGEN Passat Sedan 2014&gt;</t>
  </si>
  <si>
    <t>Kund som trodde kulan gick att använda på Volvo original</t>
  </si>
  <si>
    <t>E6810AA</t>
  </si>
  <si>
    <t>2008-2017</t>
  </si>
  <si>
    <t>VOLKSWAGEN Passat Kombi 2014&gt;</t>
  </si>
  <si>
    <t>Vet ej Tagen till FZY161</t>
  </si>
  <si>
    <t>321821600001</t>
  </si>
  <si>
    <t xml:space="preserve">VW Passat kombi </t>
  </si>
  <si>
    <t>2010-2014</t>
  </si>
  <si>
    <t>VOLKSWAGEN Passat CC 2012&gt;</t>
  </si>
  <si>
    <r>
      <rPr>
        <b/>
        <color rgb="FFFF0000"/>
      </rPr>
      <t>Saknas bultar mm, se bild på TC telefon</t>
    </r>
    <r>
      <rPr>
        <color rgb="FFFF0000"/>
      </rPr>
      <t>. Beställ nya antingen fastpro eller Westfalia //TC</t>
    </r>
  </si>
  <si>
    <t>Tagen till EEN001. 7/9 FP</t>
  </si>
  <si>
    <t>343088600001</t>
  </si>
  <si>
    <t>VOLKSWAGEN Golf VII Sportsvan 2014&gt;</t>
  </si>
  <si>
    <t>VOLKSWAGEN Golf Plus Halvkombi 2005&gt;</t>
  </si>
  <si>
    <t>Tillhörde YGM264 som det strulat ihop sig med...</t>
  </si>
  <si>
    <t>VOLKSWAGEN Golf IV Kombi 1999&gt;2006</t>
  </si>
  <si>
    <t>VOLKSWAGEN Golf VII Halvkombi 2012&gt;</t>
  </si>
  <si>
    <t>Den ska finns på lager i Borås</t>
  </si>
  <si>
    <t>VOLKSWAGEN Golf VI Halvkombi 2008&gt;2012</t>
  </si>
  <si>
    <t>VOLKSWAGEN Golf V Halvkombi 2003&gt;2008</t>
  </si>
  <si>
    <t>VOLKSWAGEN Golf IV Halvkombi 1997&gt;2003</t>
  </si>
  <si>
    <t>Lars Stridsberg</t>
  </si>
  <si>
    <t>Tillhörde ordern 303011, FP fått hjärnsläpp. Ta hem eller till Steinhof? // HLs farsa hämtade draget, finns hos Tågaborg eller Borås ?? // Tagen till TBH671</t>
  </si>
  <si>
    <t>VOLKSWAGEN Crafter Skåp/Buss 2006&gt;</t>
  </si>
  <si>
    <t>VOLKSWAGEN Crafter Flak 2006&gt;</t>
  </si>
  <si>
    <t>Felbeställd till TNM338 // Tagen till DEM896</t>
  </si>
  <si>
    <t>VOLKSWAGEN Bora Kombi 1999&gt;2005</t>
  </si>
  <si>
    <t>Dubbelbeställd dragkrok till PNT306</t>
  </si>
  <si>
    <t>Speedy Eskilstuna</t>
  </si>
  <si>
    <t>Första beställda kroken till Exr259</t>
  </si>
  <si>
    <t>23058/VM</t>
  </si>
  <si>
    <t>Mercedes A-klass 2018&gt;
Mercedes B-klass 2019&gt;</t>
  </si>
  <si>
    <t>DZL25L</t>
  </si>
  <si>
    <t>Dubbelbeställt drag till DZL25L</t>
  </si>
  <si>
    <t>T-196</t>
  </si>
  <si>
    <t>TOYOTA RAV 4 V, 19-, 2.5 Hybrid AWD SUV 178 hk .2019-.2021</t>
  </si>
  <si>
    <t>2019-2021</t>
  </si>
  <si>
    <t>Fel drag. Passar inte bilen. Ta hem.</t>
  </si>
  <si>
    <t>313640600001</t>
  </si>
  <si>
    <t>MERCEDES B-CLASS (W247), 19-, B180 1.3 Miniflex 136 hk .</t>
  </si>
  <si>
    <t>2019-.2021</t>
  </si>
  <si>
    <t xml:space="preserve">Tillhörde BRP94B. Draget var inkomplett till en början. Verkstaden försökte då kapa vår kund och beställde ett GDW drag. Vi skickade delarna som saknades och kunden förväntade sig en Westfalia krok. Verkstaden monterade dit en GDW krok istället. </t>
  </si>
  <si>
    <t>Oklart varför Roger har detta draget och om det är komplett //TC</t>
  </si>
  <si>
    <t>NISSAN Qashqai 2013&gt;2019</t>
  </si>
  <si>
    <t>2013-2019</t>
  </si>
  <si>
    <t>HXS347</t>
  </si>
  <si>
    <t>Tillhörde HXS347 som blev avbokad // Tagen till MGR510</t>
  </si>
  <si>
    <t>V80A</t>
  </si>
  <si>
    <r>
      <rPr>
        <b/>
        <color rgb="FFFF0000"/>
      </rPr>
      <t>Tagit del nummer 6 i monteringsanvisningen, BESTÄLL DENNA</t>
    </r>
    <r>
      <rPr>
        <color rgb="FFFF0000"/>
      </rPr>
      <t>. Saknades med 991:A1 vid montering på ULN77S (Lagt ner en till del nr 7, så det finns två 7or i kartongen)</t>
    </r>
  </si>
  <si>
    <t>R/069</t>
  </si>
  <si>
    <t>Nissan Xtrail EJ AD Blue</t>
  </si>
  <si>
    <t>Suzuki Splash 2008&gt;</t>
  </si>
  <si>
    <t>Tillhör ucj67a passar ej då den har AD Blue</t>
  </si>
  <si>
    <t>Marcus beställt fel, inget vi vill ha tillbaka</t>
  </si>
  <si>
    <t>314516600001</t>
  </si>
  <si>
    <t>Felskick, ta hem - AUM145</t>
  </si>
  <si>
    <t>S-158</t>
  </si>
  <si>
    <t>DDH46C</t>
  </si>
  <si>
    <t>Tillhörde DDH46C som bokat av</t>
  </si>
  <si>
    <t>VW80S</t>
  </si>
  <si>
    <t>Tillhörde ordern för OGH753. Ofullständigt drag som vi inte betalt för, slänga? Plocka reservdelar? Roger kikar om det är något att spara eller inte //TC</t>
  </si>
  <si>
    <t>S-401</t>
  </si>
  <si>
    <t>Ta hem. Tillhört UKA009 som avbokat 4 ggr // Sundsvall skickat ner fel dragkrok, Skickat ner V-140 nr 1015, istället.</t>
  </si>
  <si>
    <t>Mailat verkstaden om måtten 1/9 //HL</t>
  </si>
  <si>
    <t>UN260BQ</t>
  </si>
  <si>
    <t>Universal</t>
  </si>
  <si>
    <t>SSANGYONG Rodius 2005&gt;</t>
  </si>
  <si>
    <t>Redan skickad till JXO922, sen avbokades ordern</t>
  </si>
  <si>
    <t>V-065</t>
  </si>
  <si>
    <t>Ssangyong Actyon Sport 2007&gt;</t>
  </si>
  <si>
    <t>Tillhörde YEC628 som bokat av men aldrig verkar boka på igen // Tagen till YER282</t>
  </si>
  <si>
    <t>CL109AS</t>
  </si>
  <si>
    <t>Tillhörde BUD108 som det inte blev något med</t>
  </si>
  <si>
    <t>Ramek</t>
  </si>
  <si>
    <t>Skoda Octavia Kombi 1998&gt;2005</t>
  </si>
  <si>
    <t>Skoda Octavia Halvkombi 1997&gt;2004</t>
  </si>
  <si>
    <t>Felskick, ta hem - mya750</t>
  </si>
  <si>
    <t>E6716AV</t>
  </si>
  <si>
    <t>Volkswagen T-Roc 2018-</t>
  </si>
  <si>
    <t>Tillhörde DB57327 som vi beställt fel drag till</t>
  </si>
  <si>
    <t>E6811AV</t>
  </si>
  <si>
    <t>Halmstad - Magnus Snabbservice</t>
  </si>
  <si>
    <t>UTD922 Saknades delar inför montering. Hann inte informera kunden. Kunde väljer att avboka allt.</t>
  </si>
  <si>
    <t>VW CADDY</t>
  </si>
  <si>
    <t>02/04-</t>
  </si>
  <si>
    <t>SBH733</t>
  </si>
  <si>
    <t>Tillhörde SBH733</t>
  </si>
  <si>
    <t>Rörsats</t>
  </si>
  <si>
    <t>TH 710400</t>
  </si>
  <si>
    <t>Jörgen Hellman</t>
  </si>
  <si>
    <t>LKL90H, Jörgen Hellman, TA HEM</t>
  </si>
  <si>
    <t>E1919AS</t>
  </si>
  <si>
    <t>FIAT 500 Halvkombi, Cab 2007&gt;</t>
  </si>
  <si>
    <t>SMP26F</t>
  </si>
  <si>
    <t>Felpackad/inventerad krok från Borås</t>
  </si>
  <si>
    <t>TC har en lista över hur många koder som finns kvar.</t>
  </si>
  <si>
    <t>W/055</t>
  </si>
  <si>
    <t>VW CRAFTER, MAN TGE VAN
Singelhjul med fotsteg</t>
  </si>
  <si>
    <t>HEK07G</t>
  </si>
  <si>
    <t>Kunden hoppar
av pga draget 
sent men han 
var en idiot ändå</t>
  </si>
  <si>
    <t>10 st koder kvar</t>
  </si>
  <si>
    <t>748420</t>
  </si>
  <si>
    <t>13-pol fordonsspecifik</t>
  </si>
  <si>
    <t>HYUNDAI ix35, Tucson 2010&gt;</t>
  </si>
  <si>
    <t>Peter Månsson ?</t>
  </si>
  <si>
    <t>Yto427</t>
  </si>
  <si>
    <t>hittar ej att vi fått tillbaka nån elsats, hittare ej heller att vi krediterat nån för detta, detta var 2021</t>
  </si>
  <si>
    <t xml:space="preserve">Felskickad elsats till Yto427. </t>
  </si>
  <si>
    <t>C/038</t>
  </si>
  <si>
    <t>JDP416</t>
  </si>
  <si>
    <t>Krok som ska i retur verkar det som (sen gammalt) JDP416</t>
  </si>
  <si>
    <t>F-078</t>
  </si>
  <si>
    <t>Fiat Doblo Work-Up</t>
  </si>
  <si>
    <t>Rapid Bilservice</t>
  </si>
  <si>
    <t>Tillhörde order BCB11K, ska dem till Borås eller Steinhof?</t>
  </si>
  <si>
    <t>Tillhörde YSR726. Kunden krånglat. Krok returnerad till Borås 9/6 -2022</t>
  </si>
  <si>
    <t>19021/C</t>
  </si>
  <si>
    <t>Tillhörde CRR490 som Jack inte var på plats när kunden kom</t>
  </si>
  <si>
    <t>Peugeot Partner 1996&gt;2008</t>
  </si>
  <si>
    <t>Dragkrok som saknade någon del, SST548. Patrycja skickade denna.. Vi beställde även ett nytt drag så detta är extra när det blivit komplett //TC 30/12</t>
  </si>
  <si>
    <t xml:space="preserve"> Tagen till PBF558</t>
  </si>
  <si>
    <t>BW031D1</t>
  </si>
  <si>
    <t>BMW 3-serie, X5, X6, X7, 11/2018 -</t>
  </si>
  <si>
    <t>OXU243</t>
  </si>
  <si>
    <t>DUJ868</t>
  </si>
  <si>
    <t>Tog två stycken extra med OXU243 till JV, så de ligger hos honom eller hamnat på kontoret efteråt // Hämtat dem till kontoret</t>
  </si>
  <si>
    <t>TC beställt 6 dragkrokar av misstag till ramek, de plockar en och de andra 5 bokar vi en frakt på pallen till Borås... Grundordern var NHA159</t>
  </si>
  <si>
    <t>BBC607</t>
  </si>
  <si>
    <t>Felskickad krok av Steinhof till BBC607 // Tagen till Wcf272</t>
  </si>
  <si>
    <t>PEUGEOT 308 CC 2009&gt;</t>
  </si>
  <si>
    <t>Denna kroken kan eventuellt vara borta. UPS skrivit den som levererad, men det är den inte. Ärende gjort hos UPS. Var beställd till ESM420</t>
  </si>
  <si>
    <t>48-4801-16</t>
  </si>
  <si>
    <t>Extra krok vi tog hit</t>
  </si>
  <si>
    <t>345174300113</t>
  </si>
  <si>
    <t>KIA Sportage 2018&gt;</t>
  </si>
  <si>
    <t>CFN43L</t>
  </si>
  <si>
    <t>Extra elsats vi tog hit pga fraktkostnaden hos Westfalia. /FW</t>
  </si>
  <si>
    <t>H-266</t>
  </si>
  <si>
    <t>Idiotkund ska lämna in det nu i dagarna till Supreme, wom186</t>
  </si>
  <si>
    <t>KI132DX</t>
  </si>
  <si>
    <t>Idiotkund ska lämna in det nu i dagarna till Supreme, wom186 // Tagen till MKH72C</t>
  </si>
  <si>
    <t>Peugeot Expert, Citroen Jumpy, Fiat Scudo</t>
  </si>
  <si>
    <t>SRF830</t>
  </si>
  <si>
    <t>TC hjänsläpp, BZL172 Får ligga kvar där ett tag</t>
  </si>
  <si>
    <t>Tillhörde GNJ308 bilen sönderrostad, Finns ingen kartong J hör av sig när han har det //HL // Tagen till JKW321</t>
  </si>
  <si>
    <t>Felbeställd dragkrok till GDC46H. Tagen till OOM901, 9/6 FW</t>
  </si>
  <si>
    <t>2st</t>
  </si>
  <si>
    <t>Hur många elsatser har dem liggandes? Fyll i elsatslistan</t>
  </si>
  <si>
    <t>3st</t>
  </si>
  <si>
    <t>saknar handske, saknar modul</t>
  </si>
  <si>
    <t>LEOPARD SILVER</t>
  </si>
  <si>
    <t>ED39346</t>
  </si>
  <si>
    <t>Tillhörde ED39346 som velade...</t>
  </si>
  <si>
    <t>Kommit till Borås</t>
  </si>
  <si>
    <t>E4112DV</t>
  </si>
  <si>
    <t>RDW124</t>
  </si>
  <si>
    <t>Tillhörde RDW124 som inte dök upp eller bokade om.</t>
  </si>
  <si>
    <t>VOLVO V60, S60 2010&gt;</t>
  </si>
  <si>
    <t>FEC127</t>
  </si>
  <si>
    <t>Tillhörde FEC127 som bokat av // Verkar tagen till Dyf392</t>
  </si>
  <si>
    <t>E3014AV</t>
  </si>
  <si>
    <t>BRConsult</t>
  </si>
  <si>
    <t>ED46734</t>
  </si>
  <si>
    <t>Børre betalt för den. så släcker den. Förmodligen monterad</t>
  </si>
  <si>
    <t>Felskickad krok till ED46734. Sagt att Børre kanske kan ha kvar den fram till att han beställer en sån igen</t>
  </si>
  <si>
    <t>A-101</t>
  </si>
  <si>
    <t>Aluminium Borås</t>
  </si>
  <si>
    <t>PSP522</t>
  </si>
  <si>
    <t>Skickad till Borås</t>
  </si>
  <si>
    <t>Kunden bokat PSP522</t>
  </si>
  <si>
    <t>S-294</t>
  </si>
  <si>
    <t>YSA505</t>
  </si>
  <si>
    <t>Tillhörde YSA505 som bokat av</t>
  </si>
  <si>
    <t>Nyckel</t>
  </si>
  <si>
    <t>Witter/Umbra</t>
  </si>
  <si>
    <t>TR01</t>
  </si>
  <si>
    <t>2-pack</t>
  </si>
  <si>
    <t>TR02</t>
  </si>
  <si>
    <t>R42A</t>
  </si>
  <si>
    <t>avtagbar Horisontell</t>
  </si>
  <si>
    <t>FIAT DUCATO L4,. PEUGEOT BOXER L4,
CITROEN JUMPER L4 2006&gt;</t>
  </si>
  <si>
    <t>AGW284</t>
  </si>
  <si>
    <t>TR06</t>
  </si>
  <si>
    <t>Nycklar</t>
  </si>
  <si>
    <t>TR07</t>
  </si>
  <si>
    <t>TR08</t>
  </si>
  <si>
    <t>TR09</t>
  </si>
  <si>
    <t>TR10</t>
  </si>
  <si>
    <t>MINI Cooper 2006&gt;2014</t>
  </si>
  <si>
    <t>MINI Countryman 2010&gt;2016</t>
  </si>
  <si>
    <t>MINI Clubman 2010&gt;2015</t>
  </si>
  <si>
    <t>Finns inte</t>
  </si>
  <si>
    <t>R-123</t>
  </si>
  <si>
    <t>RENAULT Mégane IV Grandtour, 16-,</t>
  </si>
  <si>
    <t>Motorbolaget Lammhult</t>
  </si>
  <si>
    <t>RHL05K</t>
  </si>
  <si>
    <t>Steinhof bokat upphämtning</t>
  </si>
  <si>
    <t>Kommit i retur till Steinhof. EJ godkänd reklamation</t>
  </si>
  <si>
    <t>Passade inte pga att det var en Plug-In E-tech</t>
  </si>
  <si>
    <t>Tillbaka till Patrycja, ej godkänd reklamation. Borrat i draget</t>
  </si>
  <si>
    <t>Imola</t>
  </si>
  <si>
    <t>U/010</t>
  </si>
  <si>
    <t>SUBARU XV 2017&gt;</t>
  </si>
  <si>
    <t>NCX619</t>
  </si>
  <si>
    <t>MERCEDES S-klass Sedan 2005&gt;2013</t>
  </si>
  <si>
    <t>V-064</t>
  </si>
  <si>
    <t>Skutskär/gävle Autoservice</t>
  </si>
  <si>
    <t>Denna tappade UPS bort. Borde komma fram så småningom. Kolla med Autoservice om detta inte är uppdaterat med ny info. 10/6-22 / CD</t>
  </si>
  <si>
    <t>BMW 3-serie 1-serie E90 E91 E87 m fl</t>
  </si>
  <si>
    <t>2005-2012</t>
  </si>
  <si>
    <t>Solid Örebro</t>
  </si>
  <si>
    <t>LBA154</t>
  </si>
  <si>
    <t>WWH493</t>
  </si>
  <si>
    <t>Avbokning</t>
  </si>
  <si>
    <t>E0809BV</t>
  </si>
  <si>
    <t>DP86815</t>
  </si>
  <si>
    <t>Strulade med sändningen och kom i retur ett par månader senare</t>
  </si>
  <si>
    <t>NDM631</t>
  </si>
  <si>
    <t>MERCEDES E-klass Coupe 2009&gt;</t>
  </si>
  <si>
    <t>Beställt fel drag, har skrivit fel regnr ska vara NDM568</t>
  </si>
  <si>
    <t>OPF917</t>
  </si>
  <si>
    <t>Denna dragkroken tror jag är förlorad! Magnus fått en fraktsedel som är fel. Finns inte i Borås</t>
  </si>
  <si>
    <t>Kund ångrat sig efter att dragkroken blev försenad</t>
  </si>
  <si>
    <t>MERCEDES CLA Shooting Break 2015&gt;</t>
  </si>
  <si>
    <t>T-133</t>
  </si>
  <si>
    <t>WZA820</t>
  </si>
  <si>
    <t>Kund avbokade monteringen // Kund bokade på igen, Jesper hämtar hans bil</t>
  </si>
  <si>
    <t>WYR151613R-T</t>
  </si>
  <si>
    <t>SU39S</t>
  </si>
  <si>
    <t>CAL168</t>
  </si>
  <si>
    <t>Skrivit av denna. Får inte tag på Autotuning</t>
  </si>
  <si>
    <t>MERCEDES C-klass Coupe 2011&gt;2015</t>
  </si>
  <si>
    <t>Vi bokade in kunden när verkstaden var stängt. Kunden kan inte vänta mer.</t>
  </si>
  <si>
    <t>P/038</t>
  </si>
  <si>
    <t>PEUGEOT 508 Kombi 2011&gt;2018</t>
  </si>
  <si>
    <t>LWP983</t>
  </si>
  <si>
    <t>CFL840</t>
  </si>
  <si>
    <t>Kund avbokat monteringen</t>
  </si>
  <si>
    <t>E5235AA</t>
  </si>
  <si>
    <t>HDW943</t>
  </si>
  <si>
    <t>Strul med bokning, ej vårt fel!!</t>
  </si>
  <si>
    <t>Borås Lagret</t>
  </si>
  <si>
    <t>Strul med boknning, vårt fel.</t>
  </si>
  <si>
    <t>942001513250</t>
  </si>
  <si>
    <t>942001513222</t>
  </si>
  <si>
    <t>942001513229</t>
  </si>
  <si>
    <t>942001513230</t>
  </si>
  <si>
    <t>MAZDA 3 Sedan 2013&gt;</t>
  </si>
  <si>
    <t>942001513221</t>
  </si>
  <si>
    <t>LEXUS RX400h 2005&gt;2009</t>
  </si>
  <si>
    <t>942001513228</t>
  </si>
  <si>
    <t>WYP01E</t>
  </si>
  <si>
    <t>OFM471</t>
  </si>
  <si>
    <t>942001513202</t>
  </si>
  <si>
    <t>942001513226</t>
  </si>
  <si>
    <t>942001513244</t>
  </si>
  <si>
    <t>942001513242</t>
  </si>
  <si>
    <t>GSC879</t>
  </si>
  <si>
    <t>Verkstaden kunde inte dagen vi bokat in. Kund hoppade av</t>
  </si>
  <si>
    <t>Trailtec</t>
  </si>
  <si>
    <t>120816-11280-1</t>
  </si>
  <si>
    <t>TOYOTA Auris Kombi, Halvkombi 2012&gt;</t>
  </si>
  <si>
    <t>Finns ej i Västerås</t>
  </si>
  <si>
    <t>ACS01</t>
  </si>
  <si>
    <t>Csx22r</t>
  </si>
  <si>
    <t>ACS02</t>
  </si>
  <si>
    <t>ACS03</t>
  </si>
  <si>
    <t>ACS04</t>
  </si>
  <si>
    <t>ACS05</t>
  </si>
  <si>
    <t>ACS06</t>
  </si>
  <si>
    <t>ACS08</t>
  </si>
  <si>
    <t>ACS09</t>
  </si>
  <si>
    <t>JAGUAR X-Type Kombi 2004&gt;</t>
  </si>
  <si>
    <t>ACS10</t>
  </si>
  <si>
    <t>DIFF</t>
  </si>
  <si>
    <t>YRB020</t>
  </si>
  <si>
    <t>ACS07</t>
  </si>
  <si>
    <t>942001513205</t>
  </si>
  <si>
    <t>E0809BA</t>
  </si>
  <si>
    <t>JVs dragkrok</t>
  </si>
  <si>
    <t>JVs dragkrok. Kan sälja denna om vi vill</t>
  </si>
  <si>
    <t>E4133BV</t>
  </si>
  <si>
    <t>Speedy Åhus</t>
  </si>
  <si>
    <t>FTH86Z</t>
  </si>
  <si>
    <t>Krok skickad till Borås och anlänt</t>
  </si>
  <si>
    <t>Verkstaden lyckades inte få av kofångaren på bilen utan att förstöra den. Montering aldrig utförd.</t>
  </si>
  <si>
    <t>YPX777</t>
  </si>
  <si>
    <t>BX12729</t>
  </si>
  <si>
    <t>P/033</t>
  </si>
  <si>
    <t>WZD778</t>
  </si>
  <si>
    <t>E4725AV</t>
  </si>
  <si>
    <t>HLU460</t>
  </si>
  <si>
    <t>B-101</t>
  </si>
  <si>
    <t>BMW 1-serie Halvkombi 2011&gt;
BMW 2-serie Coupé / Cab
Bägge inkl M-paket</t>
  </si>
  <si>
    <t>LGC019</t>
  </si>
  <si>
    <t>Kund avbokar monteringen</t>
  </si>
  <si>
    <t>Plastpluggar</t>
  </si>
  <si>
    <t>921630630121</t>
  </si>
  <si>
    <t>KEH033</t>
  </si>
  <si>
    <t>Leif Kihlström</t>
  </si>
  <si>
    <t>E0801DV</t>
  </si>
  <si>
    <t>avtagbar vertikalt</t>
  </si>
  <si>
    <t>BMW 5-serie + 5-serie GT 2010-2018</t>
  </si>
  <si>
    <t>CKF193</t>
  </si>
  <si>
    <t>Avbokat</t>
  </si>
  <si>
    <t>39031</t>
  </si>
  <si>
    <t>2009-</t>
  </si>
  <si>
    <t>YCN583</t>
  </si>
  <si>
    <t>Umbra skickat 2 st av misstag</t>
  </si>
  <si>
    <t>E/038</t>
  </si>
  <si>
    <t>FORD Galaxy 2006&gt;2015 skickades om till Borlänge som inte kom fram</t>
  </si>
  <si>
    <t>LJM651</t>
  </si>
  <si>
    <t>Kund avbokat</t>
  </si>
  <si>
    <t>E7001AV</t>
  </si>
  <si>
    <t>MG HS</t>
  </si>
  <si>
    <t>EZF98G</t>
  </si>
  <si>
    <t>Mailat 17/9</t>
  </si>
  <si>
    <t>L/031</t>
  </si>
  <si>
    <t>erw815</t>
  </si>
  <si>
    <t>Avbokad krok som änåd skickades. Vi ser inte ut att ha betalt för denna.</t>
  </si>
  <si>
    <t>YJT401</t>
  </si>
  <si>
    <t>Dragkrok passade inte bilen. Ej provmonterat</t>
  </si>
  <si>
    <t>HMU362</t>
  </si>
  <si>
    <t>AEV0052</t>
  </si>
  <si>
    <t>Skyddslock</t>
  </si>
  <si>
    <t>ED26255</t>
  </si>
  <si>
    <t>GLR48G</t>
  </si>
  <si>
    <t>FFY06N</t>
  </si>
  <si>
    <t>Till WDW20E</t>
  </si>
  <si>
    <t>D-008</t>
  </si>
  <si>
    <t>Dacia dokker 1/12 Renault expres 5/21</t>
  </si>
  <si>
    <t>EUC457</t>
  </si>
  <si>
    <t>Kund bokar av</t>
  </si>
  <si>
    <t>Extramatare</t>
  </si>
  <si>
    <t>Rameder</t>
  </si>
  <si>
    <t>WYR991699R</t>
  </si>
  <si>
    <t>Laddström kit</t>
  </si>
  <si>
    <t>KI154D1</t>
  </si>
  <si>
    <t>Kratzer Konsult AB</t>
  </si>
  <si>
    <t>CNJ04C</t>
  </si>
  <si>
    <t>ZJG72F</t>
  </si>
  <si>
    <t>RHD47H</t>
  </si>
  <si>
    <t>TS001DL</t>
  </si>
  <si>
    <t>ZCF62N / HOM68A</t>
  </si>
  <si>
    <t>Skickat elsats både från ECS och lagret till Jesper för denna bilen. TAGEN TILL HOM68A tydligen</t>
  </si>
  <si>
    <t>M-188</t>
  </si>
  <si>
    <t xml:space="preserve">MERCEDES Model: GLB 2019,08 </t>
  </si>
  <si>
    <t>LNE21N</t>
  </si>
  <si>
    <t>V-033</t>
  </si>
  <si>
    <t xml:space="preserve">Sprinter van II och III singel hjul med fot steg </t>
  </si>
  <si>
    <t>CHM22Z</t>
  </si>
  <si>
    <t>T-236</t>
  </si>
  <si>
    <t xml:space="preserve">Yaris cross 20.09,Lexus LBX 23- </t>
  </si>
  <si>
    <t>kontoret</t>
  </si>
  <si>
    <t>GCA47C</t>
  </si>
  <si>
    <t>BMW 7-serie 1994&gt;2001</t>
  </si>
  <si>
    <t>320145600001</t>
  </si>
  <si>
    <t>OPL448</t>
  </si>
  <si>
    <t>Tillhör NRU274 som bokade av // Tagen till OPL448</t>
  </si>
  <si>
    <t>Retur från 307152</t>
  </si>
  <si>
    <t>747532</t>
  </si>
  <si>
    <t>KIA Sportage 2022&gt;</t>
  </si>
  <si>
    <t>BMW 4-serie Coupe 2013&gt;</t>
  </si>
  <si>
    <t>Retur från 306656 (Eventuellt är den tagen till någon bil)</t>
  </si>
  <si>
    <t>942001513231</t>
  </si>
  <si>
    <t>SAKNAS?</t>
  </si>
  <si>
    <t xml:space="preserve"> a- klass 10/04-1/12 b-class 6/05-1/11</t>
  </si>
  <si>
    <t>YTC843</t>
  </si>
  <si>
    <t>Fel bes</t>
  </si>
  <si>
    <t>JG008H1</t>
  </si>
  <si>
    <t>320117300113</t>
  </si>
  <si>
    <t>345134300113</t>
  </si>
  <si>
    <t>UJO453</t>
  </si>
  <si>
    <t>345173300113</t>
  </si>
  <si>
    <t>KIA NIRO ( 09/2016 - 2022)</t>
  </si>
  <si>
    <t>PTU43C</t>
  </si>
  <si>
    <t>748400</t>
  </si>
  <si>
    <t>BMW 1, 3, 5, 7, X1, X3 m fl 2006-2013</t>
  </si>
  <si>
    <t>Audi A4, A5, E-tron, Q5, Q7, Q8
VW Touraeg</t>
  </si>
  <si>
    <t>11/2015 -</t>
  </si>
  <si>
    <t>AUDI A1 Sportback 2012&gt;</t>
  </si>
  <si>
    <t>BAD73D</t>
  </si>
  <si>
    <t>HYM38K</t>
  </si>
  <si>
    <t>747202</t>
  </si>
  <si>
    <t>JAGUAR F-Pace, Range Rover Velar</t>
  </si>
  <si>
    <t>TAT591</t>
  </si>
  <si>
    <t>Tagen till HYM38K</t>
  </si>
  <si>
    <t>TO243DH</t>
  </si>
  <si>
    <t>E0800IV</t>
  </si>
  <si>
    <t>BMW F30,F31 vertikalt</t>
  </si>
  <si>
    <t>TWE58M</t>
  </si>
  <si>
    <t>A-119</t>
  </si>
  <si>
    <t xml:space="preserve">Audi E-Tron (GEN)09,18 sportback 09,19 </t>
  </si>
  <si>
    <t>WWX042</t>
  </si>
  <si>
    <t>2W03</t>
  </si>
  <si>
    <t>2W39</t>
  </si>
  <si>
    <t>Skickades med draget till PRF96B. Kunden skulle ha universal. Bör vara en "gratis" elsats.</t>
  </si>
  <si>
    <t>YRM721</t>
  </si>
  <si>
    <t>Tagen till OHJ882</t>
  </si>
  <si>
    <t>SP135ZZ</t>
  </si>
  <si>
    <t xml:space="preserve">EAN: 8718323027417 </t>
  </si>
  <si>
    <t>2W02</t>
  </si>
  <si>
    <t>EAN: 8718323027418</t>
  </si>
  <si>
    <t>2W20</t>
  </si>
  <si>
    <t>EAN: 8718323027419</t>
  </si>
  <si>
    <t>EAN: 8718323027420</t>
  </si>
  <si>
    <t>EAN: 8718323027421</t>
  </si>
  <si>
    <t>EAN: 8718323027422</t>
  </si>
  <si>
    <t>EAN: 8718323027423</t>
  </si>
  <si>
    <t>EAN: 8718323027424</t>
  </si>
  <si>
    <t>EAN: 8718323027425</t>
  </si>
  <si>
    <t>HHF70W</t>
  </si>
  <si>
    <t>EAN: 8718323027426</t>
  </si>
  <si>
    <t>AFE63P</t>
  </si>
  <si>
    <t>Retur från AFE63P Tagen till BWN73T</t>
  </si>
  <si>
    <t>M-122</t>
  </si>
  <si>
    <t>ROE404</t>
  </si>
  <si>
    <t>Verkstan i konkurs, skriva av vara</t>
  </si>
  <si>
    <t>Johannes vab men mailar måtten när han är tiilbka 11/10</t>
  </si>
  <si>
    <t>Kund har hamnat på sjukhus, hans hembiträde har mailat oss att avboka. Jag mailar tillbaka att vi stoppar monteringen och ber kunden kontakta oss när de är tillbaka på benen. //CD 24/10</t>
  </si>
  <si>
    <t>E1307AA</t>
  </si>
  <si>
    <t>Dacia Jogger utan reservhjul</t>
  </si>
  <si>
    <t>Lilja personbilar</t>
  </si>
  <si>
    <t>EET45G</t>
  </si>
  <si>
    <t>Fått kredit av Aragon, samt Liljas har betalt för draget...</t>
  </si>
  <si>
    <t>Passade inte bilar som har reservhjul</t>
  </si>
  <si>
    <t>43070/VM</t>
  </si>
  <si>
    <t>FEP86X</t>
  </si>
  <si>
    <t>NZN52W</t>
  </si>
  <si>
    <t>Denna kroken "försvann" så Umbra skickade ett till</t>
  </si>
  <si>
    <t>2W49</t>
  </si>
  <si>
    <t>Kund bokat av</t>
  </si>
  <si>
    <t>Calix</t>
  </si>
  <si>
    <t>CX 1804000</t>
  </si>
  <si>
    <t>EYT520</t>
  </si>
  <si>
    <t>Det gick inte att komma åt att montera värmaren på denna bilen. Roger försökt</t>
  </si>
  <si>
    <t>CX 1760025</t>
  </si>
  <si>
    <t>CX 1762461</t>
  </si>
  <si>
    <t>T/043</t>
  </si>
  <si>
    <t>Ditec Umeå</t>
  </si>
  <si>
    <t>NUK233</t>
  </si>
  <si>
    <t>Frederik gjort ett försök att se om de tar tillbaka den, gick det?</t>
  </si>
  <si>
    <t>Japp, kommit till Borås</t>
  </si>
  <si>
    <t>Bilen rostig gick inte att montera.</t>
  </si>
  <si>
    <t>2400</t>
  </si>
  <si>
    <t>Kia Niro 2016&gt;2022</t>
  </si>
  <si>
    <t>Dubbla krokar beställda, denna passade inte på bilen</t>
  </si>
  <si>
    <t>JA, 17/5-23, FW</t>
  </si>
  <si>
    <t>24-2464-21</t>
  </si>
  <si>
    <t>YNO335</t>
  </si>
  <si>
    <t>Tillhörde GOM58P som bokade av</t>
  </si>
  <si>
    <t>2W21</t>
  </si>
  <si>
    <t>2W34</t>
  </si>
  <si>
    <t>2W11</t>
  </si>
  <si>
    <t>00095900000</t>
  </si>
  <si>
    <t>TH 711420</t>
  </si>
  <si>
    <t>Bokat retur till KGK</t>
  </si>
  <si>
    <t>TH 9596</t>
  </si>
  <si>
    <t>303352300113</t>
  </si>
  <si>
    <t>WYR44403513R</t>
  </si>
  <si>
    <t>Toyota RAV4 (A5, H5) | 11.2018 –
Toyota RAV4 Plug-in Hybrid | 08.2020 –
SUZUKI ACROSS | SUV | 10.2020 –</t>
  </si>
  <si>
    <t>KLE26N</t>
  </si>
  <si>
    <t>2W50</t>
  </si>
  <si>
    <t>2W16</t>
  </si>
  <si>
    <t>2W47</t>
  </si>
  <si>
    <t>2W10</t>
  </si>
  <si>
    <t>UHL486</t>
  </si>
  <si>
    <t>MKZ212</t>
  </si>
  <si>
    <t>WMM496</t>
  </si>
  <si>
    <t>WYX618</t>
  </si>
  <si>
    <t>Audi A6 Kombi -06</t>
  </si>
  <si>
    <t>Z11</t>
  </si>
  <si>
    <t>NRJ883</t>
  </si>
  <si>
    <t>Audi A6 Kombi -10</t>
  </si>
  <si>
    <t>HCG566</t>
  </si>
  <si>
    <t>Audi A6 Kombi -15</t>
  </si>
  <si>
    <t>JSN726</t>
  </si>
  <si>
    <t>Audi A6 Kombi 2011-</t>
  </si>
  <si>
    <t>OPG667</t>
  </si>
  <si>
    <t>Audi A6 sedan -2011</t>
  </si>
  <si>
    <t>FUJ642</t>
  </si>
  <si>
    <t>NFN600</t>
  </si>
  <si>
    <t>BMW 1-Serie (F2*) halvkombi -13</t>
  </si>
  <si>
    <t>YED205</t>
  </si>
  <si>
    <t>BMW 118d -16</t>
  </si>
  <si>
    <t>Fel</t>
  </si>
  <si>
    <t>JNK871</t>
  </si>
  <si>
    <t>Bmw 2 Gran Tourer (F46) -16</t>
  </si>
  <si>
    <t>Fel - Grand Tourer=GT</t>
  </si>
  <si>
    <t>GNK309</t>
  </si>
  <si>
    <t>BMW 3-Serie (E91)</t>
  </si>
  <si>
    <t>UDX793</t>
  </si>
  <si>
    <t>WMM879</t>
  </si>
  <si>
    <t>BMW 320 Touring, 05</t>
  </si>
  <si>
    <t>Nej 2005-01 borde hamna på tidigare?</t>
  </si>
  <si>
    <t>KBD162</t>
  </si>
  <si>
    <t>BMW 320i Touring -07</t>
  </si>
  <si>
    <t>HHN925</t>
  </si>
  <si>
    <t>BMW 325 Cab -07</t>
  </si>
  <si>
    <t>PRM873</t>
  </si>
  <si>
    <t>BMW 335i sedan -12 (F30)</t>
  </si>
  <si>
    <t>2W45</t>
  </si>
  <si>
    <t>ECN667</t>
  </si>
  <si>
    <t>BMW 5-serie Kombi 2010-</t>
  </si>
  <si>
    <t>nka393</t>
  </si>
  <si>
    <t>BMW 5-serie Kombi 2010&gt;</t>
  </si>
  <si>
    <t>NPT558</t>
  </si>
  <si>
    <t>BMW 520d kombi -11</t>
  </si>
  <si>
    <t>KAU264</t>
  </si>
  <si>
    <t>BMW E91</t>
  </si>
  <si>
    <t>BMW X3 -12</t>
  </si>
  <si>
    <t>LMX700</t>
  </si>
  <si>
    <t>gln503</t>
  </si>
  <si>
    <t>CSY854</t>
  </si>
  <si>
    <t>Chrysler Voyager -08</t>
  </si>
  <si>
    <t>ULL184</t>
  </si>
  <si>
    <t>Citroen Berlingo -03</t>
  </si>
  <si>
    <t>XEW981</t>
  </si>
  <si>
    <t>Citroën Berlingo -06</t>
  </si>
  <si>
    <t>HIttar inte</t>
  </si>
  <si>
    <t>ekm240</t>
  </si>
  <si>
    <t>Nja...</t>
  </si>
  <si>
    <t>Cmp657</t>
  </si>
  <si>
    <t>CITROEN Berlingo III -14 (4380mm)</t>
  </si>
  <si>
    <t>Nja, inte rätt längd på bilen</t>
  </si>
  <si>
    <t>FCM725</t>
  </si>
  <si>
    <t>Citroen C4 Halvkombi -08</t>
  </si>
  <si>
    <t>oyy237</t>
  </si>
  <si>
    <t>YEL009</t>
  </si>
  <si>
    <t>Citroen Jumper L3 -16 (Flak)</t>
  </si>
  <si>
    <t>OK-isch - men skåp</t>
  </si>
  <si>
    <t>E6901BS</t>
  </si>
  <si>
    <t>NAL059</t>
  </si>
  <si>
    <t>Citröen C4, Cactus -14</t>
  </si>
  <si>
    <t>Tesla Model Y Horisontalt</t>
  </si>
  <si>
    <t>acx138</t>
  </si>
  <si>
    <t>HSW28E</t>
  </si>
  <si>
    <t>YHL535</t>
  </si>
  <si>
    <t>Dacia Duster SUV -13</t>
  </si>
  <si>
    <t>HWK437</t>
  </si>
  <si>
    <t>Dacia Logan -15</t>
  </si>
  <si>
    <t>Ceb803</t>
  </si>
  <si>
    <t>GSN909</t>
  </si>
  <si>
    <t>Ford C-Max -08</t>
  </si>
  <si>
    <t>Nej - Focus C-max och C-max</t>
  </si>
  <si>
    <t>XHO419</t>
  </si>
  <si>
    <t>Ford Fiesta halvkombi -12</t>
  </si>
  <si>
    <t>cdc809</t>
  </si>
  <si>
    <t>WUA963</t>
  </si>
  <si>
    <t>Ford Focus kombi -05</t>
  </si>
  <si>
    <t>NOM058</t>
  </si>
  <si>
    <t>Ford Focus Kombi -10</t>
  </si>
  <si>
    <t>tfw020</t>
  </si>
  <si>
    <t>Jzk861</t>
  </si>
  <si>
    <t>TLJ651</t>
  </si>
  <si>
    <t>FORD S-Max I, 06-15</t>
  </si>
  <si>
    <t>HEW803</t>
  </si>
  <si>
    <t>Honda Civic -15</t>
  </si>
  <si>
    <t>URV176019</t>
  </si>
  <si>
    <t>LXN752</t>
  </si>
  <si>
    <t>Vertikal kula</t>
  </si>
  <si>
    <t>Hyndai Santa Fè -16</t>
  </si>
  <si>
    <t>Cbm090</t>
  </si>
  <si>
    <t>NJT312</t>
  </si>
  <si>
    <t>HYUNDAI i30 II -17 kombi</t>
  </si>
  <si>
    <t>OMU145</t>
  </si>
  <si>
    <t>Hyundai I40 Kombi -14</t>
  </si>
  <si>
    <t>Lxj202</t>
  </si>
  <si>
    <t>YAU340</t>
  </si>
  <si>
    <t>CCO929</t>
  </si>
  <si>
    <t>Jaguar XF -11 Sedan</t>
  </si>
  <si>
    <t>yeh881</t>
  </si>
  <si>
    <t>SND588</t>
  </si>
  <si>
    <t>921605601015</t>
  </si>
  <si>
    <t>Jeep Renegade Trailhawk -15</t>
  </si>
  <si>
    <t>KPY312</t>
  </si>
  <si>
    <t>KIA Cee'd -10 Kombi</t>
  </si>
  <si>
    <t>GHY444</t>
  </si>
  <si>
    <t>Kia Ceed kombi GT-Line</t>
  </si>
  <si>
    <t>ofs269</t>
  </si>
  <si>
    <t>JRP929</t>
  </si>
  <si>
    <t>ODU463</t>
  </si>
  <si>
    <t>Kia Niro -17</t>
  </si>
  <si>
    <t>RHW831</t>
  </si>
  <si>
    <t>YEE286</t>
  </si>
  <si>
    <t>Kia Sorento -16</t>
  </si>
  <si>
    <t>DEU224</t>
  </si>
  <si>
    <t>913252601090</t>
  </si>
  <si>
    <t>XLF299</t>
  </si>
  <si>
    <t>EZF395</t>
  </si>
  <si>
    <t>Kia Sportage -12</t>
  </si>
  <si>
    <t>GFC573</t>
  </si>
  <si>
    <t>Kia Sportage -13</t>
  </si>
  <si>
    <t>OJG844</t>
  </si>
  <si>
    <t>Kia Sportage -16</t>
  </si>
  <si>
    <t>NXY697</t>
  </si>
  <si>
    <t>Kia Venga 2013</t>
  </si>
  <si>
    <t>SBS882</t>
  </si>
  <si>
    <t>Mazda 3 Halvkombi -07</t>
  </si>
  <si>
    <t>MNU280</t>
  </si>
  <si>
    <t>XCU223</t>
  </si>
  <si>
    <t>ENU341</t>
  </si>
  <si>
    <t>MAZDA CX-5 -13</t>
  </si>
  <si>
    <t>MTR479</t>
  </si>
  <si>
    <t>Mazda CX-5 -15</t>
  </si>
  <si>
    <t>WSW738</t>
  </si>
  <si>
    <t>MB C-klass Kombi -05</t>
  </si>
  <si>
    <t>NMK543</t>
  </si>
  <si>
    <t>MB C180 -11</t>
  </si>
  <si>
    <t>KKF748</t>
  </si>
  <si>
    <t>MB E-klass (W211) Sedan -08</t>
  </si>
  <si>
    <t>CWR207</t>
  </si>
  <si>
    <t>MB E350 sedan -2011 W212</t>
  </si>
  <si>
    <t>rxu982</t>
  </si>
  <si>
    <t>MERCEDES 200-400 Sedan 85&gt;95</t>
  </si>
  <si>
    <t>Nej - vet e fan hur man ska lösa denna.</t>
  </si>
  <si>
    <t>LOG405</t>
  </si>
  <si>
    <t>MERCEDES B-CLASS (W246) -12</t>
  </si>
  <si>
    <t>RPF248</t>
  </si>
  <si>
    <t>MERCEDES B-CLASS (W246) -16</t>
  </si>
  <si>
    <t>WZO684</t>
  </si>
  <si>
    <t>UOO034</t>
  </si>
  <si>
    <t>RET655</t>
  </si>
  <si>
    <t>EPY718</t>
  </si>
  <si>
    <t>Mercedes Sprinter skåp - 09</t>
  </si>
  <si>
    <t>Hittar inte</t>
  </si>
  <si>
    <t>KXK191</t>
  </si>
  <si>
    <t>Mitsubishi ASX -11</t>
  </si>
  <si>
    <t>BWG75X</t>
  </si>
  <si>
    <t>RHD987</t>
  </si>
  <si>
    <t>Mitsubishi Outlander -17</t>
  </si>
  <si>
    <t>MXU361</t>
  </si>
  <si>
    <t>Nissan Qashqai -12</t>
  </si>
  <si>
    <t>E6004CV</t>
  </si>
  <si>
    <t>EFZ148</t>
  </si>
  <si>
    <t>Nissan Qashqai -16</t>
  </si>
  <si>
    <t>OHW654</t>
  </si>
  <si>
    <t>Nissan Qashqai -17</t>
  </si>
  <si>
    <t>YKB477</t>
  </si>
  <si>
    <t>Subaru</t>
  </si>
  <si>
    <t>Jms021</t>
  </si>
  <si>
    <t>RYC93W</t>
  </si>
  <si>
    <t>LNB264</t>
  </si>
  <si>
    <t>AXD833</t>
  </si>
  <si>
    <t>Opel Astra J kombi -2011</t>
  </si>
  <si>
    <t>ÅLA496</t>
  </si>
  <si>
    <t>Opel Vectra C kombi -2004</t>
  </si>
  <si>
    <t>----</t>
  </si>
  <si>
    <t>WTU410</t>
  </si>
  <si>
    <t>Peugeot 307 Halvkombi -05</t>
  </si>
  <si>
    <t>XXR875</t>
  </si>
  <si>
    <t>Peugeot 307 Halvkombi -06</t>
  </si>
  <si>
    <t>LTC908</t>
  </si>
  <si>
    <t>Peugeot 308 Kombi -11</t>
  </si>
  <si>
    <t>BBW586</t>
  </si>
  <si>
    <t>Peugeot 508 Kombi GT -15</t>
  </si>
  <si>
    <t>BUJ080</t>
  </si>
  <si>
    <t>Range Rover Sport -15</t>
  </si>
  <si>
    <t>XGR831</t>
  </si>
  <si>
    <t>Renault Clio -09 HB</t>
  </si>
  <si>
    <t>JKJ098</t>
  </si>
  <si>
    <t>Renault Kangoo 2016</t>
  </si>
  <si>
    <t>Nja, röriga kategorier</t>
  </si>
  <si>
    <t>AEF416</t>
  </si>
  <si>
    <t>RENAULT Mégane III, -14 kombi</t>
  </si>
  <si>
    <t>wps463</t>
  </si>
  <si>
    <t>KEZ466</t>
  </si>
  <si>
    <t>SLE477</t>
  </si>
  <si>
    <t>Skoda Fabia Kombi -01</t>
  </si>
  <si>
    <t>REP./C</t>
  </si>
  <si>
    <t>LRB555</t>
  </si>
  <si>
    <t>Handtag/Vred för /C</t>
  </si>
  <si>
    <t>Skoda Octavia Halvkombi -11</t>
  </si>
  <si>
    <t>FGN906</t>
  </si>
  <si>
    <t>Skoda Octavia Halvkombi -14</t>
  </si>
  <si>
    <t>Nej - Står som sedan men är en halvkombi hos biluppgifter.se</t>
  </si>
  <si>
    <t>JPW292</t>
  </si>
  <si>
    <t>LUF897</t>
  </si>
  <si>
    <t>XHL453</t>
  </si>
  <si>
    <t>SsangYong Tivoli -15</t>
  </si>
  <si>
    <t>HTU811</t>
  </si>
  <si>
    <t>SUS049</t>
  </si>
  <si>
    <t>Subaru Impreza Kombi -02</t>
  </si>
  <si>
    <t>LSK767</t>
  </si>
  <si>
    <t>NCD129</t>
  </si>
  <si>
    <t>Subaru XV -13</t>
  </si>
  <si>
    <t>NFF028</t>
  </si>
  <si>
    <t>PBF416</t>
  </si>
  <si>
    <t>Toyota Avensis -00</t>
  </si>
  <si>
    <t>Fel, bilen är en halv-kombi</t>
  </si>
  <si>
    <t>WRC790</t>
  </si>
  <si>
    <t>Toyota Avensis -05 Kombi</t>
  </si>
  <si>
    <t>JLD282</t>
  </si>
  <si>
    <t>Toyota Avensis Kombi -14</t>
  </si>
  <si>
    <t>Nej, Crossover som spökar hos biluppgifter.se</t>
  </si>
  <si>
    <t>TUP413</t>
  </si>
  <si>
    <t>Toyota Corolla Verso -03</t>
  </si>
  <si>
    <t>BLP629</t>
  </si>
  <si>
    <t>E2518AS</t>
  </si>
  <si>
    <t>Toyota Rav 4 -14</t>
  </si>
  <si>
    <t xml:space="preserve">Hyundai i40 I CW 1.7 CRDi  </t>
  </si>
  <si>
    <t>GUT534</t>
  </si>
  <si>
    <t>CSK171</t>
  </si>
  <si>
    <t>Toyota Rav-4 -15</t>
  </si>
  <si>
    <t>CWS458</t>
  </si>
  <si>
    <t>Toyota Verso -16</t>
  </si>
  <si>
    <t>LLO688</t>
  </si>
  <si>
    <t>OSK787</t>
  </si>
  <si>
    <t>VM Golf halvkombi -13</t>
  </si>
  <si>
    <t>RSJ062</t>
  </si>
  <si>
    <t>VOLKSWAGEN Golf Plus II -12</t>
  </si>
  <si>
    <t>EJW529</t>
  </si>
  <si>
    <t>VOLKSWAGEN Golf VI halvkombi -13</t>
  </si>
  <si>
    <t>Nej, ej Plus</t>
  </si>
  <si>
    <t>915226601090</t>
  </si>
  <si>
    <t>LRK643</t>
  </si>
  <si>
    <t>VOLKSWAGEN Sharan III -11</t>
  </si>
  <si>
    <t>KZR890</t>
  </si>
  <si>
    <t>XPW299</t>
  </si>
  <si>
    <t>YBX669</t>
  </si>
  <si>
    <t>Volvo V40 -00</t>
  </si>
  <si>
    <t>TYY506</t>
  </si>
  <si>
    <t>KTA521</t>
  </si>
  <si>
    <t>Volvo V50 -11</t>
  </si>
  <si>
    <t>LSU520</t>
  </si>
  <si>
    <t>Volvo V60 -14</t>
  </si>
  <si>
    <t>Nej - Ej Cross Country</t>
  </si>
  <si>
    <t>DXU324</t>
  </si>
  <si>
    <t>Nej - Cross Country?</t>
  </si>
  <si>
    <t>2430</t>
  </si>
  <si>
    <t>MYY787</t>
  </si>
  <si>
    <t>Volvo V60 -16</t>
  </si>
  <si>
    <t>Fel, ej Cross Country</t>
  </si>
  <si>
    <t>Ssangyong Musso 2018&gt;</t>
  </si>
  <si>
    <t>Samppas</t>
  </si>
  <si>
    <t>MFK153</t>
  </si>
  <si>
    <t>OBS ej vårt drag</t>
  </si>
  <si>
    <t>Volvo V60 2012</t>
  </si>
  <si>
    <t>Nbx647</t>
  </si>
  <si>
    <t>Volvo V70 -13</t>
  </si>
  <si>
    <t>NJB469</t>
  </si>
  <si>
    <t>Geografisk plats</t>
  </si>
  <si>
    <t>Volvo V70 -14</t>
  </si>
  <si>
    <t>Montör</t>
  </si>
  <si>
    <t>AYE016</t>
  </si>
  <si>
    <t>Pris montering</t>
  </si>
  <si>
    <t>brn517</t>
  </si>
  <si>
    <t>Pris 7</t>
  </si>
  <si>
    <t>Dpx017</t>
  </si>
  <si>
    <t>HZY551</t>
  </si>
  <si>
    <t>Pris 13</t>
  </si>
  <si>
    <t>NZM357</t>
  </si>
  <si>
    <t>Volvo V90 -17 CC</t>
  </si>
  <si>
    <t>DLT874</t>
  </si>
  <si>
    <t>Pris lånebil</t>
  </si>
  <si>
    <t>Volvo XC60 -16
(R-design)</t>
  </si>
  <si>
    <t>Pris fordonsspecifik</t>
  </si>
  <si>
    <t>NJB283</t>
  </si>
  <si>
    <t>Pris konstant ström</t>
  </si>
  <si>
    <t>Volvo XC60 -17</t>
  </si>
  <si>
    <t>Pris plåtisar</t>
  </si>
  <si>
    <t xml:space="preserve">För oss bara: </t>
  </si>
  <si>
    <t>NUK143</t>
  </si>
  <si>
    <t>Kostnad montering(exkl)</t>
  </si>
  <si>
    <t>BRB430</t>
  </si>
  <si>
    <t>Volvo XC70- 2014</t>
  </si>
  <si>
    <t>Intäkt exkl</t>
  </si>
  <si>
    <t>MNB673</t>
  </si>
  <si>
    <t>VOLVO V70 2007&gt;2010</t>
  </si>
  <si>
    <t>VW Caddy -08</t>
  </si>
  <si>
    <t>Marginal exkl</t>
  </si>
  <si>
    <t>Fel - Ej Maxi</t>
  </si>
  <si>
    <t>Henriks Förråd</t>
  </si>
  <si>
    <t>ctu608</t>
  </si>
  <si>
    <t>Lediga tider</t>
  </si>
  <si>
    <t>OBS utan Kartong</t>
  </si>
  <si>
    <t>VW Eos</t>
  </si>
  <si>
    <t>DCE299</t>
  </si>
  <si>
    <t>VW Golf -11</t>
  </si>
  <si>
    <t>MHP082</t>
  </si>
  <si>
    <t>VW Golf Variant -12</t>
  </si>
  <si>
    <t>Stockholm - Järfälla</t>
  </si>
  <si>
    <t>Bilen och Jag - Järfälla</t>
  </si>
  <si>
    <t>GDW758</t>
  </si>
  <si>
    <t>VW Passat kombi -11</t>
  </si>
  <si>
    <t>NBU131</t>
  </si>
  <si>
    <t>VW Tiguan -13</t>
  </si>
  <si>
    <t>EKJ116</t>
  </si>
  <si>
    <t>Nej - Om inte sedan -välj coupe?</t>
  </si>
  <si>
    <t>JHF846</t>
  </si>
  <si>
    <t>E6701BA</t>
  </si>
  <si>
    <t>Volkswagen Golf Alltrack VII 2.0 TDI 4motion
STATIONSVAGN KOMBIVAGN (AC) Golf VII Variant 1/13-12/17</t>
  </si>
  <si>
    <t>Linköping BG</t>
  </si>
  <si>
    <t>??</t>
  </si>
  <si>
    <t>T-135</t>
  </si>
  <si>
    <t>vertikal</t>
  </si>
  <si>
    <t>Toyota Corolla Kombi 1.8 Hybrid</t>
  </si>
  <si>
    <t>19-</t>
  </si>
  <si>
    <t>ca 1,5 vecka bort i tiden</t>
  </si>
  <si>
    <t>Bilen och Jag - Malmö</t>
  </si>
  <si>
    <t>Bilen och Jag - Ystad</t>
  </si>
  <si>
    <t>Bilen och Jag - Karlstad</t>
  </si>
  <si>
    <t>Speedy Bilservice Åhus</t>
  </si>
  <si>
    <t>Bilen och Jag - Åhus</t>
  </si>
  <si>
    <t>Pratade med Benon i all hast och han nämnde detta, ta hem? 
mailat Bennon om motorvärmare 3/10</t>
  </si>
  <si>
    <t>Växjö - Furuby</t>
  </si>
  <si>
    <t>B/010</t>
  </si>
  <si>
    <t>Bilen och Jag - Växjö</t>
  </si>
  <si>
    <t>BMW 1 serie, 3 serie</t>
  </si>
  <si>
    <t>XOM088</t>
  </si>
  <si>
    <t>Ja 17/7</t>
  </si>
  <si>
    <t>Pratade med Benon i all hast och han nämnde detta, ta hem?</t>
  </si>
  <si>
    <t>T-134</t>
  </si>
  <si>
    <t>MJE62A</t>
  </si>
  <si>
    <t>Göteborg - Kållered</t>
  </si>
  <si>
    <t>Bilen och Jag - Kållered</t>
  </si>
  <si>
    <t>Borås - Sjömarken</t>
  </si>
  <si>
    <t>Bilen och Jag - Borås</t>
  </si>
  <si>
    <t>F165AS</t>
  </si>
  <si>
    <t>RSM44F</t>
  </si>
  <si>
    <t>Bilen och Jag - Vara</t>
  </si>
  <si>
    <t>Skickat fraktsedel 23/1
DHL 9818689581</t>
  </si>
  <si>
    <t>Kommit till Borås!</t>
  </si>
  <si>
    <t>19117/F</t>
  </si>
  <si>
    <t>KIA Sorento 2015&gt;2017, Hyundai Grand Santa Fe 2014&gt;</t>
  </si>
  <si>
    <t>se förra kolumn</t>
  </si>
  <si>
    <t>Minibussarna</t>
  </si>
  <si>
    <t>KGZ50G</t>
  </si>
  <si>
    <t>Felbeställd krok</t>
  </si>
  <si>
    <t>Betyg</t>
  </si>
  <si>
    <t>Bilen och Jag - Eskilstuna</t>
  </si>
  <si>
    <t xml:space="preserve">Hur tycker du samarbetet fungerar? </t>
  </si>
  <si>
    <t>Frederik ska ha skickat fraktsedel</t>
  </si>
  <si>
    <t>Levererad</t>
  </si>
  <si>
    <t>PSM422</t>
  </si>
  <si>
    <t>Bett om måtten via mail av Matilda på Minibussarna</t>
  </si>
  <si>
    <t>Bilen och Jag - Väse</t>
  </si>
  <si>
    <t>2702T45</t>
  </si>
  <si>
    <t>Januari</t>
  </si>
  <si>
    <t>MG Marvel R</t>
  </si>
  <si>
    <t>Februari</t>
  </si>
  <si>
    <t>mars</t>
  </si>
  <si>
    <t>april</t>
  </si>
  <si>
    <t>maj</t>
  </si>
  <si>
    <t>juni</t>
  </si>
  <si>
    <t>juli</t>
  </si>
  <si>
    <t>augusti</t>
  </si>
  <si>
    <t>september</t>
  </si>
  <si>
    <t>oktober</t>
  </si>
  <si>
    <t>november</t>
  </si>
  <si>
    <t>december</t>
  </si>
  <si>
    <t>Bilen och Jag - Västerås 1</t>
  </si>
  <si>
    <t>AGM17J</t>
  </si>
  <si>
    <t>320069600001</t>
  </si>
  <si>
    <t>MSY965 (förmodligen)</t>
  </si>
  <si>
    <t>AK Mobilkonsult / Ditec</t>
  </si>
  <si>
    <t>Bilen och Jag - Umeå</t>
  </si>
  <si>
    <t>Ska göra 15/3</t>
  </si>
  <si>
    <t>Skickat 16/3</t>
  </si>
  <si>
    <t>KLL320</t>
  </si>
  <si>
    <t>Kom med FWs tömning av Borås idag</t>
  </si>
  <si>
    <t>Trail tec</t>
  </si>
  <si>
    <t>Bilen och Jag - Piteå</t>
  </si>
  <si>
    <t>FMZ35L</t>
  </si>
  <si>
    <t>Kia Ceed, Kia Ceed SW, 
Kia Proceed, Kia Xceed</t>
  </si>
  <si>
    <t>2018-</t>
  </si>
  <si>
    <t>Bilen och Jag - Örebro</t>
  </si>
  <si>
    <t>Bilen och Jag - Kalmar</t>
  </si>
  <si>
    <t>Stockholm - Tumba</t>
  </si>
  <si>
    <t>Bilen och Jag - Tumba</t>
  </si>
  <si>
    <t>Bilen och Jag - Linköping</t>
  </si>
  <si>
    <t>Bilen och Jag - Huskvarna</t>
  </si>
  <si>
    <t>Gävle - Furuvik</t>
  </si>
  <si>
    <t>Bilen och Jag - Furuvik</t>
  </si>
  <si>
    <t>CX 1620022</t>
  </si>
  <si>
    <t>Carpros</t>
  </si>
  <si>
    <t>Göteborg - Hisings Kärra</t>
  </si>
  <si>
    <t>Bilen och Jag - Hisings backa</t>
  </si>
  <si>
    <t>Helsingborg - Ödåkra</t>
  </si>
  <si>
    <t>Bilen och Jag - Ödåkra</t>
  </si>
  <si>
    <t>TH 186007</t>
  </si>
  <si>
    <t>Bilen och Jag - Nyköping</t>
  </si>
  <si>
    <t>TH 754 L</t>
  </si>
  <si>
    <t>Göteborg - Surte</t>
  </si>
  <si>
    <t>Bilen och Jag - Surte</t>
  </si>
  <si>
    <t>Kulor</t>
  </si>
  <si>
    <t>905342601001</t>
  </si>
  <si>
    <t>AA Bilservice - Västerås</t>
  </si>
  <si>
    <t>Bilen och Jag - Västerås 2</t>
  </si>
  <si>
    <t>Speedy Bilservice Borlänge</t>
  </si>
  <si>
    <t>Bilen och Jag - Borlänge</t>
  </si>
  <si>
    <t>Biltec AB växjö</t>
  </si>
  <si>
    <t>TH 3069</t>
  </si>
  <si>
    <t>Autoval</t>
  </si>
  <si>
    <t>Bilen och Jag - Sundsvall</t>
  </si>
  <si>
    <t>Bilen och Jag - Avesta</t>
  </si>
  <si>
    <t>ECO Bilvård</t>
  </si>
  <si>
    <t>Bilen och jag - Uppsala</t>
  </si>
  <si>
    <t>Bilen och jag - Burträsk</t>
  </si>
  <si>
    <t>BW028D1</t>
  </si>
  <si>
    <t>Bilen och jag - Rättvik</t>
  </si>
  <si>
    <t>JLL52X</t>
  </si>
  <si>
    <t>Bilen och jag - Mullsjö</t>
  </si>
  <si>
    <t>ULU48R</t>
  </si>
  <si>
    <t>Bilen och jag - Älta</t>
  </si>
  <si>
    <t>Bilen och jag - Karlskrona</t>
  </si>
  <si>
    <t>SA Performance</t>
  </si>
  <si>
    <t>VL048HX</t>
  </si>
  <si>
    <t>Bilen och jag - Jönköping</t>
  </si>
  <si>
    <t>TDW27C</t>
  </si>
  <si>
    <t>TH 186064</t>
  </si>
  <si>
    <t>CX 1620162</t>
  </si>
  <si>
    <t>316403300113</t>
  </si>
  <si>
    <t>RENAULT ESPACE V ( 06/2015 - )</t>
  </si>
  <si>
    <t>SGJ722</t>
  </si>
  <si>
    <t>XEL81U</t>
  </si>
  <si>
    <t>Kom med FWs tömning av Borås idag. Skickad till XEL81U</t>
  </si>
  <si>
    <t>737452</t>
  </si>
  <si>
    <t>CX 1832030</t>
  </si>
  <si>
    <t>TH 5042</t>
  </si>
  <si>
    <t>KI099DL</t>
  </si>
  <si>
    <t>TBH58C</t>
  </si>
  <si>
    <t>NI163DH</t>
  </si>
  <si>
    <t>Nissan Qashqai 05/2019 &gt;&gt; 05/2021</t>
  </si>
  <si>
    <t>CX 1815000</t>
  </si>
  <si>
    <t>CHN46B</t>
  </si>
  <si>
    <t>CX 1864800</t>
  </si>
  <si>
    <t>DEF 450015</t>
  </si>
  <si>
    <t>CX 1762020</t>
  </si>
  <si>
    <t>JMX656</t>
  </si>
  <si>
    <t>CX 1559122</t>
  </si>
  <si>
    <t>DWT600</t>
  </si>
  <si>
    <t>Drag försenat, avbokning</t>
  </si>
  <si>
    <t>Klar</t>
  </si>
  <si>
    <t>TR04</t>
  </si>
  <si>
    <t>Extra tagen till kontoret</t>
  </si>
  <si>
    <t>942001513243</t>
  </si>
  <si>
    <t>EFM44F</t>
  </si>
  <si>
    <t>ZMT41S</t>
  </si>
  <si>
    <t>R-020</t>
  </si>
  <si>
    <t>WCG430</t>
  </si>
  <si>
    <t>Kund bytt bil</t>
  </si>
  <si>
    <t>Jonas lämnar 15/2</t>
  </si>
  <si>
    <t>942001513249</t>
  </si>
  <si>
    <t>942001513223</t>
  </si>
  <si>
    <t>905305601001</t>
  </si>
  <si>
    <t>TH 712300</t>
  </si>
  <si>
    <t>Extra, kund kunde tänka sig behålla Wingbar-profiler han fått</t>
  </si>
  <si>
    <t>GEK77D</t>
  </si>
  <si>
    <t>748242</t>
  </si>
  <si>
    <t>Elsats stämmer inte riktigt för bilen</t>
  </si>
  <si>
    <t>HCL69C</t>
  </si>
  <si>
    <t>Mailat Roberto om han kan plocka upp den eller ge lite rabatt på den om vi ska ta hem den till oss</t>
  </si>
  <si>
    <t>Sxg47a</t>
  </si>
  <si>
    <t>942001513248</t>
  </si>
  <si>
    <t>Försvunnen</t>
  </si>
  <si>
    <t>942001513224</t>
  </si>
  <si>
    <t>942001513245</t>
  </si>
  <si>
    <t>942001513238</t>
  </si>
  <si>
    <t>942001513234</t>
  </si>
  <si>
    <t>942001513225</t>
  </si>
  <si>
    <t>GT Auto AB</t>
  </si>
  <si>
    <t>942001513207</t>
  </si>
  <si>
    <t>TH 753</t>
  </si>
  <si>
    <t>fgm791</t>
  </si>
  <si>
    <t>Felskick</t>
  </si>
  <si>
    <t>L-167</t>
  </si>
  <si>
    <t>Patrycja hämtat upp den</t>
  </si>
  <si>
    <t>2007-2016</t>
  </si>
  <si>
    <t>Däckservice i Kinda AB / MECA Bilverkstad</t>
  </si>
  <si>
    <t>Saknas nr 5 och 7</t>
  </si>
  <si>
    <t>Kunden ringt och mailat och saknar nummer 5 och 7 i monteringssatsen. Ringt Johnny på Westfalia men de har ingenting inne. Inte heller dragkroken. Får hem den runt 30/3. Kunden ska skicka bilder på det han har men vi behöver meddela Westfalia att vår kund slängt kartongen vilket han också har.
Jag har skickat ett Witter VL42BS till kunden istället. Vi behöver ta hem kroken från kunden. 23/3 FW</t>
  </si>
  <si>
    <t>F-215</t>
  </si>
  <si>
    <t>WUR746</t>
  </si>
  <si>
    <t>Krok passar inte på bilen. Något fel på bilen.</t>
  </si>
  <si>
    <t>903315601006</t>
  </si>
  <si>
    <t>Henrik Bergman</t>
  </si>
  <si>
    <t>JYL727</t>
  </si>
  <si>
    <t>CA83141</t>
  </si>
  <si>
    <t>BMW 1-serie och 3-serie 2004-2012</t>
  </si>
  <si>
    <t>Örebro Solid Klar</t>
  </si>
  <si>
    <t>JOD49G</t>
  </si>
  <si>
    <t>Första ordern verkar ha försvunnit..... //HL</t>
  </si>
  <si>
    <t>FR066D1</t>
  </si>
  <si>
    <t>BHF137</t>
  </si>
  <si>
    <t>PBK912</t>
  </si>
  <si>
    <t>MKX583</t>
  </si>
  <si>
    <t>Felskickat drag från Borås. Samer ska skicka bild</t>
  </si>
  <si>
    <t>TC Hämtar</t>
  </si>
  <si>
    <t>UN260DQ</t>
  </si>
  <si>
    <t>DUF919</t>
  </si>
  <si>
    <t>Låter den ligga i väntan på ny order</t>
  </si>
  <si>
    <t>HY161S</t>
  </si>
  <si>
    <t>UBX300</t>
  </si>
  <si>
    <t>Ja bokad upph 9/5 //L</t>
  </si>
  <si>
    <t>BMR055</t>
  </si>
  <si>
    <t>TCC14H</t>
  </si>
  <si>
    <t>EAT67J</t>
  </si>
  <si>
    <t>E6109CA</t>
  </si>
  <si>
    <t>NHS808</t>
  </si>
  <si>
    <t>Bett om mått</t>
  </si>
  <si>
    <t>KLAR</t>
  </si>
  <si>
    <t>O73A</t>
  </si>
  <si>
    <t>Kolla om Martec tog tillbaka det... /FW 16/5. Returnerad och krediterad utom fraktkostnaden</t>
  </si>
  <si>
    <t>YEG912</t>
  </si>
  <si>
    <t>Kund avbokade</t>
  </si>
  <si>
    <t>Kunde bokade på igen 29/5</t>
  </si>
  <si>
    <t>ACS-6019</t>
  </si>
  <si>
    <t>Steinhofs W-kula</t>
  </si>
  <si>
    <t>Vi rekommenderat fel kula till kund</t>
  </si>
  <si>
    <t>942001513236</t>
  </si>
  <si>
    <t>906224601090</t>
  </si>
  <si>
    <t>FW fått med sig från Borås vid tömning</t>
  </si>
  <si>
    <t>TUK735 Passade ej</t>
  </si>
  <si>
    <t>C/043</t>
  </si>
  <si>
    <t>JV Auto</t>
  </si>
  <si>
    <t>Kund avbokade pga krok sen</t>
  </si>
  <si>
    <t>ODF828</t>
  </si>
  <si>
    <t>2005-2011</t>
  </si>
  <si>
    <t>HJ85787</t>
  </si>
  <si>
    <t>Avbeställd</t>
  </si>
  <si>
    <t>FOM505</t>
  </si>
  <si>
    <t>Speedy Skövde</t>
  </si>
  <si>
    <t>KCL63L</t>
  </si>
  <si>
    <t>29047/C</t>
  </si>
  <si>
    <t>PEUGEOT 508 I kombi</t>
  </si>
  <si>
    <t>JXK662</t>
  </si>
  <si>
    <t>Spårlöst försvunnen krok</t>
  </si>
  <si>
    <t>Mailat om måtten 21/12</t>
  </si>
  <si>
    <t>E0402ES</t>
  </si>
  <si>
    <t>AUDI A3 Sportback 2012&gt; m fl</t>
  </si>
  <si>
    <t>PMA133</t>
  </si>
  <si>
    <t>Finns i Borås</t>
  </si>
  <si>
    <t>T-090</t>
  </si>
  <si>
    <t>KAN13B1</t>
  </si>
  <si>
    <t>A6 C8 Allroad (Included HEV hybrid electric vehicled), Q5 Hybrid (included model S-Line and 2017- Sportback), Tourneo Connect, Leon IV 5 doors (without prepared 2020- connector), Polo VI [AW] facelift (Excepto GTi / R-Line)</t>
  </si>
  <si>
    <t>LHN09F</t>
  </si>
  <si>
    <t>B32A</t>
  </si>
  <si>
    <t>BMW 1-serie Halvkombi 2019&gt;</t>
  </si>
  <si>
    <t>YRL09K</t>
  </si>
  <si>
    <t>kom den fram till slut eller vad hände?</t>
  </si>
  <si>
    <t>914251601090</t>
  </si>
  <si>
    <t>Felskick av Westfalia, returavtal finns om vi vill att de plockar upp den. Låter den ligga lite ifall det kommer en beställning på den.</t>
  </si>
  <si>
    <t>MG EHS, MG HS</t>
  </si>
  <si>
    <t>DE66210</t>
  </si>
  <si>
    <t>Roger fick inte loss kofångaren på bilen utan att den gick sönder.</t>
  </si>
  <si>
    <t>DV74835</t>
  </si>
  <si>
    <t>EXP002</t>
  </si>
  <si>
    <t>Volvo V60/S60 incl. Cross Country</t>
  </si>
  <si>
    <t>2015-2018</t>
  </si>
  <si>
    <t>Piteå klar</t>
  </si>
  <si>
    <t>SFA629</t>
  </si>
  <si>
    <t>ZAD267</t>
  </si>
  <si>
    <t>Kund bokar av pga att kroken var sen</t>
  </si>
  <si>
    <t>Har aldrig blivit leveratat!</t>
  </si>
  <si>
    <t>165117-36216-1</t>
  </si>
  <si>
    <t xml:space="preserve">Kontoret </t>
  </si>
  <si>
    <t>DKE305</t>
  </si>
  <si>
    <t>Kund inte fått med färdiga kontakter. Se mail.</t>
  </si>
  <si>
    <t>E4002AA</t>
  </si>
  <si>
    <t>MAZDA 6 Sedan / Halvkombi 2002&gt;2008</t>
  </si>
  <si>
    <t>Kållered Klar</t>
  </si>
  <si>
    <t>TYA809</t>
  </si>
  <si>
    <t>Roger fick inte till det pga rost.</t>
  </si>
  <si>
    <t>Ev upphämtad av Aragon /FW</t>
  </si>
  <si>
    <t>H/011</t>
  </si>
  <si>
    <t>13-pol enkel</t>
  </si>
  <si>
    <t>XUW868</t>
  </si>
  <si>
    <t>PostNord strulade</t>
  </si>
  <si>
    <t>VW146D1</t>
  </si>
  <si>
    <t>Audi Skoda VW Seat MULTIKIT 
- för icke förberedda bilar</t>
  </si>
  <si>
    <t>FHJ72E</t>
  </si>
  <si>
    <t>Kundens bil var
förberedd</t>
  </si>
  <si>
    <t>JAN31G</t>
  </si>
  <si>
    <t>345117300113</t>
  </si>
  <si>
    <t>KIA Ceed HB / Kombi 2012&gt;2019</t>
  </si>
  <si>
    <t>2012-2019</t>
  </si>
  <si>
    <t>CRZ213</t>
  </si>
  <si>
    <t>Vet ej - förmodligen har Tågaborg monterat en 13uni av misstag och glömt denna</t>
  </si>
  <si>
    <t>Massa bilar, Audi, VW, Volvo, Citroen, Fiat, Ford, Jeep, Mercedes, Opel, Peugeot m fl</t>
  </si>
  <si>
    <t>NKK503</t>
  </si>
  <si>
    <t>DEF 412724</t>
  </si>
  <si>
    <t>Batteriladdare</t>
  </si>
  <si>
    <t>450015</t>
  </si>
  <si>
    <t>MultiCharger 1205R Flex</t>
  </si>
  <si>
    <t>Handdator</t>
  </si>
  <si>
    <t>E6002CA</t>
  </si>
  <si>
    <t>SUBARU Forester 2013-2019</t>
  </si>
  <si>
    <t>SPK471</t>
  </si>
  <si>
    <t>Kund avbokat pga motorn rasat</t>
  </si>
  <si>
    <t>PUF740</t>
  </si>
  <si>
    <t>CX 1827200</t>
  </si>
  <si>
    <t>ZAU70S</t>
  </si>
  <si>
    <t>TC Hämtar | Bokat retur till KGK</t>
  </si>
  <si>
    <t>KGK</t>
  </si>
  <si>
    <t>Monteringssats</t>
  </si>
  <si>
    <t>CX 1556648</t>
  </si>
  <si>
    <t>Audi, VW, Skoda</t>
  </si>
  <si>
    <t>Den mindre av slangarna saknas samt en slangklämma. Se om den slangbiten går att skaffa. /FW 2/10-23</t>
  </si>
  <si>
    <t>CX 1559031</t>
  </si>
  <si>
    <t>Ej komplett, saknas flera delar</t>
  </si>
  <si>
    <t>942001513240</t>
  </si>
  <si>
    <t>W/018</t>
  </si>
  <si>
    <t xml:space="preserve">Borås </t>
  </si>
  <si>
    <t>Bokad DHL 4/10</t>
  </si>
  <si>
    <t>E6811AV + 13-pol</t>
  </si>
  <si>
    <t>Högsbo</t>
  </si>
  <si>
    <t>NHZ913</t>
  </si>
  <si>
    <t>Kunden avbokade</t>
  </si>
  <si>
    <t>PDS507</t>
  </si>
  <si>
    <t>Tagen till PDS507. 13/12 FW</t>
  </si>
  <si>
    <t>Tesla</t>
  </si>
  <si>
    <t>GZW800</t>
  </si>
  <si>
    <t>På väg</t>
  </si>
  <si>
    <t>921657601050</t>
  </si>
  <si>
    <t>NSU618</t>
  </si>
  <si>
    <t>Dubbelskick utan faktura av Westfalia. Eventuellt ber de om att få tillbaka den.</t>
  </si>
  <si>
    <t>Mailat 11/10, ska få måtten</t>
  </si>
  <si>
    <t>LNC933</t>
  </si>
  <si>
    <t>Komfortsats</t>
  </si>
  <si>
    <t>rbk37b</t>
  </si>
  <si>
    <t>Kund makulerade order</t>
  </si>
  <si>
    <t>T-134 + 13-pol</t>
  </si>
  <si>
    <t>Toyota Corolla Kombi 2019-
Suzuki Swace</t>
  </si>
  <si>
    <t>Gävle Bilvårdshuset</t>
  </si>
  <si>
    <t>GRA26W</t>
  </si>
  <si>
    <t>L26A</t>
  </si>
  <si>
    <t>HHD854</t>
  </si>
  <si>
    <t>Satt redan drag på bilen</t>
  </si>
  <si>
    <t xml:space="preserve">JA </t>
  </si>
  <si>
    <t>Fått ett extra drag från Imiola? Ingen order eller faktura på det.</t>
  </si>
  <si>
    <t>2003-2012</t>
  </si>
  <si>
    <t>GPL996</t>
  </si>
  <si>
    <t>Strul med verkstan. Kunden hoppar av. Se mail.</t>
  </si>
  <si>
    <t>URO276</t>
  </si>
  <si>
    <t>AU-068-H1</t>
  </si>
  <si>
    <t>TKJ15F</t>
  </si>
  <si>
    <t>Felbeställd elsats</t>
  </si>
  <si>
    <t>942001513232</t>
  </si>
  <si>
    <t>Passade inte</t>
  </si>
  <si>
    <t>2W25</t>
  </si>
  <si>
    <t>DEF 470066</t>
  </si>
  <si>
    <t>FBR76Y</t>
  </si>
  <si>
    <t>Missförstånd, kund skulle aldrig ha komfortsatsen</t>
  </si>
  <si>
    <t>E1227BA</t>
  </si>
  <si>
    <t>JAT665</t>
  </si>
  <si>
    <t>A-085</t>
  </si>
  <si>
    <t>KKP692</t>
  </si>
  <si>
    <t>574500</t>
  </si>
  <si>
    <t>UWZ17Y</t>
  </si>
  <si>
    <t>E6901AV</t>
  </si>
  <si>
    <t>KZT380</t>
  </si>
  <si>
    <t>K-098</t>
  </si>
  <si>
    <t>CLL86K</t>
  </si>
  <si>
    <t>E/057</t>
  </si>
  <si>
    <t>OHJ164</t>
  </si>
  <si>
    <t>AXP508</t>
  </si>
  <si>
    <t>29052/VM</t>
  </si>
  <si>
    <t>VMD48K</t>
  </si>
  <si>
    <t>BW033H1</t>
  </si>
  <si>
    <t>GMP46J</t>
  </si>
  <si>
    <t>F47A</t>
  </si>
  <si>
    <t>DUW109</t>
  </si>
  <si>
    <t>Kunden dök aldrig upp eller avbokade väldigt sent inpå.</t>
  </si>
  <si>
    <t>JA DHL 9062973863</t>
  </si>
  <si>
    <t>J/038</t>
  </si>
  <si>
    <t>LZL447</t>
  </si>
  <si>
    <t>FW lämnat i borås jan 2024</t>
  </si>
  <si>
    <t>OGG192</t>
  </si>
  <si>
    <t>320071600001</t>
  </si>
  <si>
    <t>E0402EV</t>
  </si>
  <si>
    <t>XGK95T</t>
  </si>
  <si>
    <t>Från Jkpg</t>
  </si>
  <si>
    <t>TR03</t>
  </si>
  <si>
    <t>916165601090</t>
  </si>
  <si>
    <t>OBS! Osäker på om denna finns här på kontoret</t>
  </si>
  <si>
    <t>MWE781</t>
  </si>
  <si>
    <t>E2905BA</t>
  </si>
  <si>
    <t>TBF68L</t>
  </si>
  <si>
    <t>Borde ligga en SMP-13 i detta paketet</t>
  </si>
  <si>
    <t>CRH13K</t>
  </si>
  <si>
    <t>Dragkrok försenad, till för sent!</t>
  </si>
  <si>
    <t>Monterad till slut</t>
  </si>
  <si>
    <t>JAR940</t>
  </si>
  <si>
    <t>Vi ändrade till Defa då Calixvärmaren var restat.</t>
  </si>
  <si>
    <t>Imiola/Hakpol</t>
  </si>
  <si>
    <t>2011-2016</t>
  </si>
  <si>
    <t>Kunden avbokade.</t>
  </si>
  <si>
    <t>MGR440</t>
  </si>
  <si>
    <t>Bokad 22/1</t>
  </si>
  <si>
    <t>GYY168</t>
  </si>
  <si>
    <t>KAT13B0</t>
  </si>
  <si>
    <t>13-pol vattensäker elsats</t>
  </si>
  <si>
    <t>Övriga delar sena, kund avbokade</t>
  </si>
  <si>
    <t>B-092</t>
  </si>
  <si>
    <t>Nhd439</t>
  </si>
  <si>
    <t>Kund avbokade till slut</t>
  </si>
  <si>
    <t>HBJ848</t>
  </si>
  <si>
    <t>U/007</t>
  </si>
  <si>
    <t>SUBARU Forester IV</t>
  </si>
  <si>
    <t>YCC51U</t>
  </si>
  <si>
    <t>Kund bokade av</t>
  </si>
  <si>
    <t>Bokad den 5/2 med DHL</t>
  </si>
  <si>
    <t>V/004</t>
  </si>
  <si>
    <t>HNJ458</t>
  </si>
  <si>
    <t>RKH182</t>
  </si>
  <si>
    <t xml:space="preserve">BMW </t>
  </si>
  <si>
    <t>WAN70Z</t>
  </si>
  <si>
    <t>748303</t>
  </si>
  <si>
    <t>Volvo, Lynk &amp; Co</t>
  </si>
  <si>
    <t>RGN46U</t>
  </si>
  <si>
    <t>KIA Ceed Kombi (inkl GT-Line) 2018&gt;</t>
  </si>
  <si>
    <t>RLG44H</t>
  </si>
  <si>
    <t xml:space="preserve">Ja </t>
  </si>
  <si>
    <t>KDH61T</t>
  </si>
  <si>
    <t>KI-132-DX
KI132DX</t>
  </si>
  <si>
    <t>Elsats 
specifik</t>
  </si>
  <si>
    <t>Kia Ceed
Kia Xceed
Kia E-Niro
Kia E-soul
Kia Pro Ceed
Kia Rio
Kia Sorento
Kia Sportage
Kia Stonic
Hyundai Tucson
Hyundai Kona
Hyundai Ioniq</t>
  </si>
  <si>
    <t>Lager Kontor</t>
  </si>
  <si>
    <t>TPB37A</t>
  </si>
  <si>
    <t>43060/C</t>
  </si>
  <si>
    <t xml:space="preserve">Horisntellt </t>
  </si>
  <si>
    <t xml:space="preserve">VW Golf kombi </t>
  </si>
  <si>
    <t>SA Performance Cars AB</t>
  </si>
  <si>
    <t>YUX417</t>
  </si>
  <si>
    <t>Beställt fel</t>
  </si>
  <si>
    <t>Inväntar mått av Adel</t>
  </si>
  <si>
    <t>JA, finns i Borås</t>
  </si>
  <si>
    <t>YEF60A</t>
  </si>
  <si>
    <t>FW1001</t>
  </si>
  <si>
    <t>BU17067</t>
  </si>
  <si>
    <t>CX 1808200</t>
  </si>
  <si>
    <t>Dubbel best kund</t>
  </si>
  <si>
    <t>Bokat</t>
  </si>
  <si>
    <t>V-320</t>
  </si>
  <si>
    <t>Volvo XC40</t>
  </si>
  <si>
    <t>KLY26P som avbokade</t>
  </si>
  <si>
    <t>OXW94F</t>
  </si>
  <si>
    <t>PFL17K</t>
  </si>
  <si>
    <t>759314</t>
  </si>
  <si>
    <t>Lynk mfl</t>
  </si>
  <si>
    <t>LBJ004</t>
  </si>
  <si>
    <t>XZC95J</t>
  </si>
  <si>
    <t>MYY376</t>
  </si>
  <si>
    <t>KGY010</t>
  </si>
  <si>
    <t>W/030</t>
  </si>
  <si>
    <t>Volkswagen Golf VI Kombi 2008&gt;2013</t>
  </si>
  <si>
    <t>GRR406</t>
  </si>
  <si>
    <t>NDD103</t>
  </si>
  <si>
    <t>V-166</t>
  </si>
  <si>
    <t>ENC05D</t>
  </si>
  <si>
    <t>HAH69U</t>
  </si>
  <si>
    <t>Fast inkl SMP-2e</t>
  </si>
  <si>
    <t>Volvo XC40 2020&gt;</t>
  </si>
  <si>
    <t>RDR26R</t>
  </si>
  <si>
    <t>Volvo, Lynk</t>
  </si>
  <si>
    <t>SKA76N</t>
  </si>
  <si>
    <t>ARH03K</t>
  </si>
  <si>
    <t>LKG81P</t>
  </si>
  <si>
    <t>CFB53S</t>
  </si>
  <si>
    <t>UHB49C</t>
  </si>
  <si>
    <t>CAB04E</t>
  </si>
  <si>
    <t>TDB07C</t>
  </si>
  <si>
    <t>ZFG10L</t>
  </si>
  <si>
    <t>DGY97W</t>
  </si>
  <si>
    <t>E3014DA</t>
  </si>
  <si>
    <t>Kia Niro 2016-2022 EV</t>
  </si>
  <si>
    <t>NRR03C</t>
  </si>
  <si>
    <t>Minibussaran</t>
  </si>
  <si>
    <t>OEB688</t>
  </si>
  <si>
    <t>LOW808</t>
  </si>
  <si>
    <t>E3003DA</t>
  </si>
  <si>
    <t>KIA Rio Halvkombi 2015&gt;2017</t>
  </si>
  <si>
    <t>BKL033</t>
  </si>
  <si>
    <t>Draget passade inte</t>
  </si>
  <si>
    <t>REL977</t>
  </si>
  <si>
    <t>320171600001</t>
  </si>
  <si>
    <t>Volvo V90, V60, XC60</t>
  </si>
  <si>
    <t>TYR02T</t>
  </si>
  <si>
    <t>Returnerad till Westfalia med full kredit, 129953</t>
  </si>
  <si>
    <t>Kållered ??</t>
  </si>
  <si>
    <t>Använd eller inte till WEH60M? Markus fått både denna och en enkel elsats. Ska försöka koppla in den enkla först.</t>
  </si>
  <si>
    <t>WEH60M</t>
  </si>
  <si>
    <t>E7200AA</t>
  </si>
  <si>
    <t>LYNK &amp; CO 01</t>
  </si>
  <si>
    <t>Oklart ?? HUH77G</t>
  </si>
  <si>
    <t>Gissar på att det är HUH77G nån strul med leverans, verkar som Aragon skickat 2?</t>
  </si>
  <si>
    <t>JAW69E</t>
  </si>
  <si>
    <t>NPS52L</t>
  </si>
  <si>
    <t>CKO042</t>
  </si>
  <si>
    <t>ZMJ734</t>
  </si>
  <si>
    <t>BRA03H</t>
  </si>
  <si>
    <t>MRA04A</t>
  </si>
  <si>
    <t>AKC21U</t>
  </si>
  <si>
    <t>ACN32P</t>
  </si>
  <si>
    <t>RGJ00H</t>
  </si>
  <si>
    <t>E6711BA</t>
  </si>
  <si>
    <t>VW Tiguan, Audi Q3</t>
  </si>
  <si>
    <t>2007-2024</t>
  </si>
  <si>
    <t>NXY962</t>
  </si>
  <si>
    <t>Aragon skickat fel krok</t>
  </si>
  <si>
    <t>Ja, 12/8-24</t>
  </si>
  <si>
    <t>NJX619</t>
  </si>
  <si>
    <t>JA, registrerad i Borås</t>
  </si>
  <si>
    <t>E/070</t>
  </si>
  <si>
    <t>"FORD Kuga III (DFK)
(incl. Mild Hybrid)
(incl. Plug-in Hybrid) 07/2019 - ®"</t>
  </si>
  <si>
    <t>ALZ93D?</t>
  </si>
  <si>
    <t>dubbelt bestället?</t>
  </si>
  <si>
    <t>OAF04R</t>
  </si>
  <si>
    <t>DACIA Duster 2013&gt;2021</t>
  </si>
  <si>
    <t>T/070</t>
  </si>
  <si>
    <t>Bilvårdhuset</t>
  </si>
  <si>
    <t>MUR31W</t>
  </si>
  <si>
    <t>NMD73N</t>
  </si>
  <si>
    <t>Satt redan dragkrok och elsats monterat på bilen...</t>
  </si>
  <si>
    <t>MEM83H</t>
  </si>
  <si>
    <t>DEF54G</t>
  </si>
  <si>
    <t>DEF 460766</t>
  </si>
  <si>
    <t>Fått en förmycket eller missat att skicka med den</t>
  </si>
  <si>
    <t>Ev behöver Roger denna för reklamation. Elsatsen är märkt med "Tobias"</t>
  </si>
  <si>
    <t>EOW398</t>
  </si>
  <si>
    <t>MDR112</t>
  </si>
  <si>
    <t>Volvo V90, Volvo S90 2016&gt;</t>
  </si>
  <si>
    <t>PJL881</t>
  </si>
  <si>
    <t>YTN524</t>
  </si>
  <si>
    <t>SMP-4e</t>
  </si>
  <si>
    <t>WYR410813R-T</t>
  </si>
  <si>
    <t>Polestar 2</t>
  </si>
  <si>
    <t>EB74477</t>
  </si>
  <si>
    <t>Dragkrok restad, Børre avbokade</t>
  </si>
  <si>
    <t>KMC699</t>
  </si>
  <si>
    <t>K-097</t>
  </si>
  <si>
    <t>Steinhof råkat skicka 2 krokar. Bett Patrycja 
plocka upp denna och kreditera oss. /FW</t>
  </si>
  <si>
    <t>John Dahlberg</t>
  </si>
  <si>
    <t>SOD16T</t>
  </si>
  <si>
    <t>Fått kredit så ja</t>
  </si>
  <si>
    <t>J/047</t>
  </si>
  <si>
    <t>HYUNDAI i30 II, 12-17, 1.6 Kombi-sedan</t>
  </si>
  <si>
    <t>CXD875</t>
  </si>
  <si>
    <t>Mailat Niklas</t>
  </si>
  <si>
    <t>MH-7</t>
  </si>
  <si>
    <t>JZJ00H</t>
  </si>
  <si>
    <t>E1232AS</t>
  </si>
  <si>
    <t>HUK70E</t>
  </si>
  <si>
    <t>Felbeställd</t>
  </si>
  <si>
    <t>E2521BA</t>
  </si>
  <si>
    <t>Fast + 
7-pol</t>
  </si>
  <si>
    <t>OBS SAKNAR KULAN | HYUNDAI KONA (OS, OSE, OSI) EV</t>
  </si>
  <si>
    <t>2018—2023</t>
  </si>
  <si>
    <t>EE47906</t>
  </si>
  <si>
    <t xml:space="preserve">Fick ta kulan EF54213 </t>
  </si>
  <si>
    <t>TS001BL</t>
  </si>
  <si>
    <t>PMN064</t>
  </si>
  <si>
    <t>Mailat Daniel</t>
  </si>
  <si>
    <t>WRO568</t>
  </si>
  <si>
    <t>L22</t>
  </si>
  <si>
    <t>LFB894</t>
  </si>
  <si>
    <t>Kund hoppat av, draget skulle gå i retur, har det gjort det??</t>
  </si>
  <si>
    <t>MPP353</t>
  </si>
  <si>
    <t>Felbeställt</t>
  </si>
  <si>
    <t>Ja 4/12</t>
  </si>
  <si>
    <t>CX 1818500</t>
  </si>
  <si>
    <t>Avbokade pga försening</t>
  </si>
  <si>
    <t>HTH630</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</si>
</sst>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yyyy-mm-dd"/>
    <numFmt numFmtId="165" formatCode="yy-mm-dd"/>
    <numFmt numFmtId="166" formatCode="#,##0&quot;kr&quot;"/>
    <numFmt numFmtId="167" formatCode="yy-m-d"/>
    <numFmt numFmtId="168" formatCode="mm-dd"/>
    <numFmt numFmtId="169" formatCode="yyyy-mm"/>
    <numFmt numFmtId="170" formatCode="m-d"/>
    <numFmt numFmtId="171" formatCode="#,##0.00\ [$kr-41D]"/>
    <numFmt numFmtId="172" formatCode="yyyy-MM-dd"/>
    <numFmt numFmtId="173" formatCode="mm-yyyy"/>
    <numFmt numFmtId="174" formatCode="[hh].mm.ss"/>
    <numFmt numFmtId="175" formatCode="#,##0.00[$ kr]"/>
  </numFmts>
  <fonts count="66">
    <font>
      <sz val="10.0"/>
      <color rgb="FF000000"/>
      <name val="Arial"/>
    </font>
    <font>
      <b/>
      <sz val="36.0"/>
    </font>
    <font>
      <b/>
      <sz val="14.0"/>
    </font>
    <font>
      <b/>
    </font>
    <font>
      <b/>
      <u/>
      <color rgb="FF1155CC"/>
    </font>
    <font/>
    <font>
      <sz val="9.0"/>
      <color rgb="FF000000"/>
      <name val="Helvetica"/>
    </font>
    <font>
      <color rgb="FF000000"/>
      <name val="Helvetica Neue"/>
    </font>
    <font>
      <name val="Arial"/>
    </font>
    <font>
      <b/>
      <color rgb="FF000000"/>
      <name val="Arial"/>
    </font>
    <font>
      <b/>
      <color rgb="FF000000"/>
    </font>
    <font>
      <b/>
      <u/>
      <color rgb="FF1155CC"/>
    </font>
    <font>
      <b/>
      <u/>
      <color rgb="FF1155CC"/>
    </font>
    <font>
      <u/>
      <color rgb="FF0000FF"/>
    </font>
    <font>
      <color rgb="FF000000"/>
    </font>
    <font>
      <b/>
      <u/>
      <color rgb="FF000000"/>
    </font>
    <font>
      <b/>
      <color rgb="FFFF0000"/>
    </font>
    <font>
      <color rgb="FF191514"/>
      <name val="Arial"/>
    </font>
    <font>
      <b/>
      <u/>
      <color rgb="FF0000FF"/>
    </font>
    <font>
      <color rgb="FFFF0000"/>
    </font>
    <font>
      <color rgb="FF000000"/>
      <name val="Arial"/>
    </font>
    <font>
      <color rgb="FFFF0000"/>
      <name val="Arial"/>
    </font>
    <font>
      <color rgb="FFFF9900"/>
    </font>
    <font>
      <color rgb="FF6AA84F"/>
    </font>
    <font>
      <u/>
      <color rgb="FF0000FF"/>
    </font>
    <font>
      <u/>
      <color rgb="FF0000FF"/>
    </font>
    <font>
      <sz val="9.0"/>
      <color rgb="FF8D8D8D"/>
      <name val="&quot;TT Interfaces&quot;"/>
    </font>
    <font>
      <sz val="11.0"/>
      <color rgb="FF1F1F1F"/>
      <name val="Arial"/>
    </font>
    <font>
      <sz val="11.0"/>
      <color rgb="FF191514"/>
      <name val="Roboto"/>
    </font>
    <font>
      <sz val="21.0"/>
      <color rgb="FF1F1F1F"/>
      <name val="Inherit"/>
    </font>
    <font>
      <b/>
      <sz val="10.0"/>
      <color rgb="FF000000"/>
      <name val="Roboto"/>
    </font>
    <font>
      <sz val="11.0"/>
      <color rgb="FF3C3C3C"/>
      <name val="Arial"/>
    </font>
    <font>
      <sz val="11.0"/>
    </font>
    <font>
      <sz val="11.0"/>
      <color rgb="FF5E5E5E"/>
      <name val="Arial"/>
    </font>
    <font>
      <color rgb="FF191514"/>
      <name val="Roboto"/>
    </font>
    <font>
      <color rgb="FF555555"/>
      <name val="Roboto"/>
    </font>
    <font>
      <u/>
      <color rgb="FF0000FF"/>
    </font>
    <font>
      <color rgb="FFFF00FF"/>
    </font>
    <font>
      <b/>
      <i/>
    </font>
    <font>
      <sz val="11.0"/>
      <name val="Calibri"/>
    </font>
    <font>
      <i/>
    </font>
    <font>
      <sz val="10.0"/>
      <color rgb="FFFF0000"/>
      <name val="Arial"/>
    </font>
    <font>
      <u/>
      <color rgb="FF0000FF"/>
    </font>
    <font>
      <sz val="11.0"/>
      <color rgb="FF000000"/>
      <name val="Calibri"/>
    </font>
    <font>
      <sz val="10.0"/>
      <color rgb="FFFF0000"/>
    </font>
    <font>
      <b/>
      <name val="Arial"/>
    </font>
    <font>
      <color rgb="FF0000FF"/>
    </font>
    <font>
      <sz val="9.0"/>
      <color rgb="FFFF0000"/>
      <name val="Helvetica"/>
    </font>
    <font>
      <sz val="10.0"/>
      <color rgb="FF000000"/>
    </font>
    <font>
      <sz val="12.0"/>
      <color rgb="FF000000"/>
      <name val="Arial"/>
    </font>
    <font>
      <sz val="9.0"/>
    </font>
    <font>
      <color rgb="FF000000"/>
      <name val="Helvetica"/>
    </font>
    <font>
      <color rgb="FF6AA84F"/>
      <name val="Arial"/>
    </font>
    <font>
      <color rgb="FFFF0000"/>
      <name val="Helvetica"/>
    </font>
    <font>
      <color rgb="FFFFFFFF"/>
    </font>
    <font>
      <sz val="10.0"/>
    </font>
    <font>
      <b/>
      <color rgb="FF000000"/>
      <name val="Helvetica Neue"/>
    </font>
    <font>
      <sz val="9.0"/>
      <name val="Helvetica"/>
    </font>
    <font>
      <sz val="11.0"/>
      <color rgb="FFFF0000"/>
      <name val="Calibri"/>
    </font>
    <font>
      <i/>
      <color rgb="FFFF0000"/>
    </font>
    <font>
      <color rgb="FFFDFDFD"/>
    </font>
    <font>
      <u/>
      <color rgb="FFFF0000"/>
    </font>
    <font>
      <strike/>
    </font>
    <font>
      <strike/>
      <color rgb="FF000000"/>
    </font>
    <font>
      <color rgb="FF454545"/>
      <name val="Arial"/>
    </font>
    <font>
      <strike/>
      <color rgb="FFFF0000"/>
    </font>
  </fonts>
  <fills count="31">
    <fill>
      <patternFill patternType="none"/>
    </fill>
    <fill>
      <patternFill patternType="lightGray"/>
    </fill>
    <fill>
      <patternFill patternType="solid">
        <fgColor rgb="FFCFE2F3"/>
        <bgColor rgb="FFCFE2F3"/>
      </patternFill>
    </fill>
    <fill>
      <patternFill patternType="solid">
        <fgColor rgb="FFFDFDFD"/>
        <bgColor rgb="FFFDFDFD"/>
      </patternFill>
    </fill>
    <fill>
      <patternFill patternType="solid">
        <fgColor rgb="FFFFFFFF"/>
        <bgColor rgb="FFFFFFFF"/>
      </patternFill>
    </fill>
    <fill>
      <patternFill patternType="solid">
        <fgColor rgb="FFF4CCCC"/>
        <bgColor rgb="FFF4CCCC"/>
      </patternFill>
    </fill>
    <fill>
      <patternFill patternType="solid">
        <fgColor rgb="FFCCCCCC"/>
        <bgColor rgb="FFCCCCCC"/>
      </patternFill>
    </fill>
    <fill>
      <patternFill patternType="solid">
        <fgColor rgb="FFEFEFEF"/>
        <bgColor rgb="FFEFEFEF"/>
      </patternFill>
    </fill>
    <fill>
      <patternFill patternType="solid">
        <fgColor rgb="FFD9EAD3"/>
        <bgColor rgb="FFD9EAD3"/>
      </patternFill>
    </fill>
    <fill>
      <patternFill patternType="solid">
        <fgColor rgb="FFFFF2CC"/>
        <bgColor rgb="FFFFF2CC"/>
      </patternFill>
    </fill>
    <fill>
      <patternFill patternType="solid">
        <fgColor rgb="FFD9D9D9"/>
        <bgColor rgb="FFD9D9D9"/>
      </patternFill>
    </fill>
    <fill>
      <patternFill patternType="solid">
        <fgColor rgb="FFFF00FF"/>
        <bgColor rgb="FFFF00FF"/>
      </patternFill>
    </fill>
    <fill>
      <patternFill patternType="solid">
        <fgColor rgb="FFB7B7B7"/>
        <bgColor rgb="FFB7B7B7"/>
      </patternFill>
    </fill>
    <fill>
      <patternFill patternType="solid">
        <fgColor rgb="FFD0E0E3"/>
        <bgColor rgb="FFD0E0E3"/>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0000FF"/>
        <bgColor rgb="FF0000FF"/>
      </patternFill>
    </fill>
    <fill>
      <patternFill patternType="solid">
        <fgColor rgb="FFFF0000"/>
        <bgColor rgb="FFFF0000"/>
      </patternFill>
    </fill>
    <fill>
      <patternFill patternType="solid">
        <fgColor rgb="FFF3F3F3"/>
        <bgColor rgb="FFF3F3F3"/>
      </patternFill>
    </fill>
    <fill>
      <patternFill patternType="solid">
        <fgColor rgb="FF00FF00"/>
        <bgColor rgb="FF00FF00"/>
      </patternFill>
    </fill>
    <fill>
      <patternFill patternType="solid">
        <fgColor rgb="FF000000"/>
        <bgColor rgb="FF000000"/>
      </patternFill>
    </fill>
    <fill>
      <patternFill patternType="solid">
        <fgColor rgb="FFB0B3B2"/>
        <bgColor rgb="FFB0B3B2"/>
      </patternFill>
    </fill>
    <fill>
      <patternFill patternType="solid">
        <fgColor rgb="FFFFFF00"/>
        <bgColor rgb="FFFFFF00"/>
      </patternFill>
    </fill>
    <fill>
      <patternFill patternType="solid">
        <fgColor rgb="FFB4A7D6"/>
        <bgColor rgb="FFB4A7D6"/>
      </patternFill>
    </fill>
    <fill>
      <patternFill patternType="solid">
        <fgColor rgb="FF999999"/>
        <bgColor rgb="FF999999"/>
      </patternFill>
    </fill>
    <fill>
      <patternFill patternType="solid">
        <fgColor rgb="FFE6F5EE"/>
        <bgColor rgb="FFE6F5EE"/>
      </patternFill>
    </fill>
    <fill>
      <patternFill patternType="solid">
        <fgColor rgb="FFDEF2E8"/>
        <bgColor rgb="FFDEF2E8"/>
      </patternFill>
    </fill>
    <fill>
      <patternFill patternType="solid">
        <fgColor rgb="FF57BB8A"/>
        <bgColor rgb="FF57BB8A"/>
      </patternFill>
    </fill>
    <fill>
      <patternFill patternType="solid">
        <fgColor rgb="FFABDDC5"/>
        <bgColor rgb="FFABDDC5"/>
      </patternFill>
    </fill>
    <fill>
      <patternFill patternType="solid">
        <fgColor rgb="FFEFF9F4"/>
        <bgColor rgb="FFEFF9F4"/>
      </patternFill>
    </fill>
  </fills>
  <borders count="15">
    <border/>
    <border>
      <left style="thin">
        <color rgb="FF000000"/>
      </left>
    </border>
    <border>
      <left style="thin">
        <color rgb="FF000000"/>
      </left>
      <right style="thin">
        <color rgb="FF000000"/>
      </right>
    </border>
    <border>
      <right style="thin">
        <color rgb="FF000000"/>
      </right>
    </border>
    <border>
      <bottom style="thin">
        <color rgb="FF000000"/>
      </bottom>
    </border>
    <border>
      <top style="thin">
        <color rgb="FF000000"/>
      </top>
      <bottom style="thin">
        <color rgb="FF000000"/>
      </bottom>
    </border>
    <border>
      <top style="thin">
        <color rgb="FF000000"/>
      </top>
    </border>
    <border>
      <right/>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68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xf>
    <xf borderId="0" fillId="0" fontId="3" numFmtId="0" xfId="0" applyFont="1"/>
    <xf borderId="0" fillId="0" fontId="4" numFmtId="0" xfId="0" applyAlignment="1" applyFont="1">
      <alignment readingOrder="0" shrinkToFit="0" wrapText="1"/>
    </xf>
    <xf borderId="0" fillId="0" fontId="5" numFmtId="0" xfId="0" applyAlignment="1" applyFont="1">
      <alignment readingOrder="0"/>
    </xf>
    <xf borderId="0" fillId="0" fontId="3" numFmtId="0" xfId="0" applyAlignment="1" applyFont="1">
      <alignment readingOrder="0" shrinkToFit="0" wrapText="1"/>
    </xf>
    <xf borderId="1" fillId="0" fontId="3" numFmtId="0" xfId="0" applyAlignment="1" applyBorder="1" applyFont="1">
      <alignment readingOrder="0" shrinkToFit="0" wrapText="1"/>
    </xf>
    <xf borderId="1" fillId="2" fontId="3" numFmtId="0" xfId="0" applyAlignment="1" applyBorder="1" applyFill="1" applyFont="1">
      <alignment readingOrder="0" shrinkToFit="0" wrapText="1"/>
    </xf>
    <xf borderId="0" fillId="0" fontId="6" numFmtId="0" xfId="0" applyAlignment="1" applyFont="1">
      <alignment readingOrder="0"/>
    </xf>
    <xf borderId="1" fillId="0" fontId="3" numFmtId="0" xfId="0" applyAlignment="1" applyBorder="1" applyFont="1">
      <alignment horizontal="left" readingOrder="0" shrinkToFit="0" wrapText="1"/>
    </xf>
    <xf borderId="0" fillId="3" fontId="7" numFmtId="0" xfId="0" applyAlignment="1" applyFill="1" applyFont="1">
      <alignment readingOrder="0" vertical="bottom"/>
    </xf>
    <xf borderId="0" fillId="0" fontId="8" numFmtId="0" xfId="0" applyAlignment="1" applyFont="1">
      <alignment readingOrder="0" vertical="bottom"/>
    </xf>
    <xf borderId="0" fillId="0" fontId="3" numFmtId="49" xfId="0" applyAlignment="1" applyFont="1" applyNumberFormat="1">
      <alignment readingOrder="0"/>
    </xf>
    <xf borderId="2" fillId="0" fontId="3" numFmtId="0" xfId="0" applyAlignment="1" applyBorder="1" applyFont="1">
      <alignment readingOrder="0" shrinkToFit="0" wrapText="1"/>
    </xf>
    <xf borderId="0" fillId="0" fontId="3" numFmtId="0" xfId="0" applyAlignment="1" applyFont="1">
      <alignment horizontal="left" readingOrder="0" shrinkToFit="0" wrapText="1"/>
    </xf>
    <xf borderId="0" fillId="4" fontId="9" numFmtId="0" xfId="0" applyAlignment="1" applyFill="1" applyFont="1">
      <alignment horizontal="left" readingOrder="0"/>
    </xf>
    <xf borderId="0" fillId="0" fontId="3" numFmtId="0" xfId="0" applyAlignment="1" applyFont="1">
      <alignment horizontal="center" readingOrder="0" shrinkToFit="0" wrapText="1"/>
    </xf>
    <xf borderId="0" fillId="5" fontId="10" numFmtId="0" xfId="0" applyAlignment="1" applyFill="1" applyFont="1">
      <alignment readingOrder="0"/>
    </xf>
    <xf borderId="0" fillId="0" fontId="5" numFmtId="164" xfId="0" applyAlignment="1" applyFont="1" applyNumberFormat="1">
      <alignment readingOrder="0"/>
    </xf>
    <xf borderId="0" fillId="6" fontId="5" numFmtId="0" xfId="0" applyAlignment="1" applyFill="1" applyFont="1">
      <alignment readingOrder="0"/>
    </xf>
    <xf borderId="3" fillId="5" fontId="3" numFmtId="0" xfId="0" applyAlignment="1" applyBorder="1" applyFont="1">
      <alignment readingOrder="0" shrinkToFit="0" wrapText="0"/>
    </xf>
    <xf borderId="1" fillId="6" fontId="5" numFmtId="0" xfId="0" applyAlignment="1" applyBorder="1" applyFont="1">
      <alignment shrinkToFit="0" wrapText="1"/>
    </xf>
    <xf borderId="0" fillId="4" fontId="3" numFmtId="0" xfId="0" applyAlignment="1" applyFont="1">
      <alignment readingOrder="0" shrinkToFit="0" wrapText="0"/>
    </xf>
    <xf borderId="1" fillId="6" fontId="5" numFmtId="0" xfId="0" applyAlignment="1" applyBorder="1" applyFont="1">
      <alignment readingOrder="0" shrinkToFit="0" wrapText="1"/>
    </xf>
    <xf borderId="0" fillId="0" fontId="10" numFmtId="0" xfId="0" applyAlignment="1" applyFont="1">
      <alignment readingOrder="0"/>
    </xf>
    <xf borderId="1" fillId="0" fontId="5" numFmtId="0" xfId="0" applyAlignment="1" applyBorder="1" applyFont="1">
      <alignment horizontal="left" shrinkToFit="0" wrapText="1"/>
    </xf>
    <xf borderId="1" fillId="7" fontId="10" numFmtId="0" xfId="0" applyAlignment="1" applyBorder="1" applyFill="1" applyFont="1">
      <alignment readingOrder="0" shrinkToFit="0" wrapText="0"/>
    </xf>
    <xf borderId="0" fillId="7" fontId="11" numFmtId="0" xfId="0" applyAlignment="1" applyFont="1">
      <alignment readingOrder="0" shrinkToFit="0" wrapText="1"/>
    </xf>
    <xf borderId="0" fillId="7" fontId="3" numFmtId="0" xfId="0" applyAlignment="1" applyFont="1">
      <alignment readingOrder="0" shrinkToFit="0" wrapText="0"/>
    </xf>
    <xf borderId="3" fillId="7" fontId="3" numFmtId="0" xfId="0" applyAlignment="1" applyBorder="1" applyFont="1">
      <alignment readingOrder="0" shrinkToFit="0" wrapText="0"/>
    </xf>
    <xf borderId="0" fillId="8" fontId="12" numFmtId="0" xfId="0" applyAlignment="1" applyFill="1" applyFont="1">
      <alignment readingOrder="0" shrinkToFit="0" wrapText="1"/>
    </xf>
    <xf borderId="0" fillId="0" fontId="13" numFmtId="0" xfId="0" applyAlignment="1" applyFont="1">
      <alignment readingOrder="0"/>
    </xf>
    <xf borderId="3" fillId="9" fontId="10" numFmtId="0" xfId="0" applyAlignment="1" applyBorder="1" applyFill="1" applyFont="1">
      <alignment readingOrder="0"/>
    </xf>
    <xf borderId="0" fillId="0" fontId="14" numFmtId="0" xfId="0" applyAlignment="1" applyFont="1">
      <alignment readingOrder="0"/>
    </xf>
    <xf borderId="0" fillId="0" fontId="5" numFmtId="0" xfId="0" applyAlignment="1" applyFont="1">
      <alignment horizontal="left" shrinkToFit="0" wrapText="1"/>
    </xf>
    <xf borderId="2" fillId="0" fontId="5" numFmtId="0" xfId="0" applyAlignment="1" applyBorder="1" applyFont="1">
      <alignment shrinkToFit="0" wrapText="1"/>
    </xf>
    <xf borderId="1" fillId="6" fontId="3" numFmtId="0" xfId="0" applyAlignment="1" applyBorder="1" applyFont="1">
      <alignment readingOrder="0"/>
    </xf>
    <xf borderId="0" fillId="6" fontId="5" numFmtId="165" xfId="0" applyAlignment="1" applyFont="1" applyNumberFormat="1">
      <alignment horizontal="center" readingOrder="0"/>
    </xf>
    <xf borderId="1" fillId="0" fontId="5" numFmtId="0" xfId="0" applyAlignment="1" applyBorder="1" applyFont="1">
      <alignment shrinkToFit="0" wrapText="1"/>
    </xf>
    <xf borderId="0" fillId="10" fontId="5" numFmtId="0" xfId="0" applyAlignment="1" applyFill="1" applyFont="1">
      <alignment readingOrder="0"/>
    </xf>
    <xf borderId="1" fillId="10" fontId="5" numFmtId="0" xfId="0" applyAlignment="1" applyBorder="1" applyFont="1">
      <alignment shrinkToFit="0" wrapText="1"/>
    </xf>
    <xf borderId="1" fillId="10" fontId="5" numFmtId="0" xfId="0" applyAlignment="1" applyBorder="1" applyFont="1">
      <alignment readingOrder="0" shrinkToFit="0" wrapText="1"/>
    </xf>
    <xf borderId="1" fillId="10" fontId="5" numFmtId="0" xfId="0" applyAlignment="1" applyBorder="1" applyFont="1">
      <alignment horizontal="left" shrinkToFit="0" wrapText="1"/>
    </xf>
    <xf borderId="0" fillId="10" fontId="5" numFmtId="0" xfId="0" applyAlignment="1" applyFont="1">
      <alignment horizontal="left" shrinkToFit="0" wrapText="1"/>
    </xf>
    <xf borderId="2" fillId="10" fontId="5" numFmtId="0" xfId="0" applyAlignment="1" applyBorder="1" applyFont="1">
      <alignment shrinkToFit="0" wrapText="1"/>
    </xf>
    <xf borderId="1" fillId="10" fontId="3" numFmtId="0" xfId="0" applyAlignment="1" applyBorder="1" applyFont="1">
      <alignment readingOrder="0"/>
    </xf>
    <xf borderId="0" fillId="5" fontId="15" numFmtId="0" xfId="0" applyAlignment="1" applyFont="1">
      <alignment readingOrder="0" shrinkToFit="0" wrapText="1"/>
    </xf>
    <xf borderId="0" fillId="10" fontId="5" numFmtId="165" xfId="0" applyAlignment="1" applyFont="1" applyNumberFormat="1">
      <alignment horizontal="center" readingOrder="0"/>
    </xf>
    <xf borderId="3" fillId="5" fontId="3" numFmtId="0" xfId="0" applyAlignment="1" applyBorder="1" applyFont="1">
      <alignment readingOrder="0" shrinkToFit="0" wrapText="0"/>
    </xf>
    <xf borderId="1" fillId="7" fontId="14" numFmtId="0" xfId="0" applyAlignment="1" applyBorder="1" applyFont="1">
      <alignment readingOrder="0" shrinkToFit="0" wrapText="1"/>
    </xf>
    <xf borderId="0" fillId="10" fontId="5" numFmtId="0" xfId="0" applyFont="1"/>
    <xf borderId="0" fillId="7" fontId="14" numFmtId="0" xfId="0" applyAlignment="1" applyFont="1">
      <alignment readingOrder="0" shrinkToFit="0" wrapText="1"/>
    </xf>
    <xf borderId="1" fillId="10" fontId="3" numFmtId="0" xfId="0" applyBorder="1" applyFont="1"/>
    <xf borderId="3" fillId="9" fontId="10" numFmtId="0" xfId="0" applyAlignment="1" applyBorder="1" applyFont="1">
      <alignment readingOrder="0" shrinkToFit="0" wrapText="1"/>
    </xf>
    <xf borderId="0" fillId="10" fontId="5" numFmtId="0" xfId="0" applyAlignment="1" applyFont="1">
      <alignment readingOrder="0" shrinkToFit="0" wrapText="1"/>
    </xf>
    <xf borderId="0" fillId="10" fontId="3" numFmtId="0" xfId="0" applyAlignment="1" applyFont="1">
      <alignment readingOrder="0" shrinkToFit="0" wrapText="1"/>
    </xf>
    <xf borderId="1" fillId="10" fontId="5" numFmtId="0" xfId="0" applyAlignment="1" applyBorder="1" applyFont="1">
      <alignment horizontal="left" readingOrder="0" shrinkToFit="0" wrapText="1"/>
    </xf>
    <xf borderId="0" fillId="10" fontId="5" numFmtId="0" xfId="0" applyAlignment="1" applyFont="1">
      <alignment horizontal="left" readingOrder="0" shrinkToFit="0" wrapText="1"/>
    </xf>
    <xf borderId="3" fillId="0" fontId="5" numFmtId="0" xfId="0" applyBorder="1" applyFont="1"/>
    <xf borderId="2" fillId="10" fontId="5" numFmtId="0" xfId="0" applyAlignment="1" applyBorder="1" applyFont="1">
      <alignment readingOrder="0" shrinkToFit="0" wrapText="1"/>
    </xf>
    <xf borderId="0" fillId="0" fontId="5" numFmtId="0" xfId="0" applyAlignment="1" applyFont="1">
      <alignment readingOrder="0"/>
    </xf>
    <xf borderId="0" fillId="10" fontId="5" numFmtId="164" xfId="0" applyAlignment="1" applyFont="1" applyNumberFormat="1">
      <alignment horizontal="center" readingOrder="0"/>
    </xf>
    <xf borderId="0" fillId="0" fontId="3" numFmtId="0" xfId="0" applyAlignment="1" applyFont="1">
      <alignment shrinkToFit="0" wrapText="1"/>
    </xf>
    <xf borderId="1" fillId="10" fontId="16" numFmtId="0" xfId="0" applyAlignment="1" applyBorder="1" applyFont="1">
      <alignment readingOrder="0" shrinkToFit="0" wrapText="1"/>
    </xf>
    <xf borderId="0" fillId="0" fontId="5" numFmtId="0" xfId="0" applyAlignment="1" applyFont="1">
      <alignment shrinkToFit="0" wrapText="0"/>
    </xf>
    <xf borderId="1" fillId="0" fontId="5" numFmtId="0" xfId="0" applyBorder="1" applyFont="1"/>
    <xf borderId="0" fillId="0" fontId="14" numFmtId="0" xfId="0" applyAlignment="1" applyFont="1">
      <alignment readingOrder="0"/>
    </xf>
    <xf borderId="3" fillId="0" fontId="14" numFmtId="0" xfId="0" applyAlignment="1" applyBorder="1" applyFont="1">
      <alignment horizontal="center" readingOrder="0"/>
    </xf>
    <xf borderId="0" fillId="0" fontId="5" numFmtId="0" xfId="0" applyAlignment="1" applyFont="1">
      <alignment readingOrder="0" shrinkToFit="0" wrapText="1"/>
    </xf>
    <xf borderId="0" fillId="4" fontId="17" numFmtId="0" xfId="0" applyAlignment="1" applyFont="1">
      <alignment readingOrder="0"/>
    </xf>
    <xf borderId="0" fillId="0" fontId="18" numFmtId="0" xfId="0" applyAlignment="1" applyFont="1">
      <alignment readingOrder="0" shrinkToFit="0" wrapText="1"/>
    </xf>
    <xf borderId="1" fillId="0" fontId="5" numFmtId="0" xfId="0" applyAlignment="1" applyBorder="1" applyFont="1">
      <alignment readingOrder="0" shrinkToFit="0" wrapText="1"/>
    </xf>
    <xf borderId="1" fillId="2" fontId="5" numFmtId="0" xfId="0" applyAlignment="1" applyBorder="1" applyFont="1">
      <alignment readingOrder="0" shrinkToFit="0" wrapText="1"/>
    </xf>
    <xf borderId="1" fillId="0" fontId="5" numFmtId="0" xfId="0" applyAlignment="1" applyBorder="1" applyFont="1">
      <alignment horizontal="left" readingOrder="0" shrinkToFit="0" wrapText="1"/>
    </xf>
    <xf borderId="0" fillId="7" fontId="5" numFmtId="0" xfId="0" applyAlignment="1" applyFont="1">
      <alignment readingOrder="0"/>
    </xf>
    <xf borderId="0" fillId="0" fontId="5" numFmtId="0" xfId="0" applyAlignment="1" applyFont="1">
      <alignment horizontal="left" readingOrder="0" shrinkToFit="0" wrapText="1"/>
    </xf>
    <xf borderId="2" fillId="4" fontId="5" numFmtId="0" xfId="0" applyAlignment="1" applyBorder="1" applyFont="1">
      <alignment readingOrder="0" shrinkToFit="0" wrapText="1"/>
    </xf>
    <xf borderId="1" fillId="0" fontId="3" numFmtId="0" xfId="0" applyAlignment="1" applyBorder="1" applyFont="1">
      <alignment readingOrder="0"/>
    </xf>
    <xf borderId="0" fillId="0" fontId="5" numFmtId="165" xfId="0" applyAlignment="1" applyFont="1" applyNumberFormat="1">
      <alignment horizontal="center" readingOrder="0"/>
    </xf>
    <xf borderId="1" fillId="0" fontId="16" numFmtId="0" xfId="0" applyAlignment="1" applyBorder="1" applyFont="1">
      <alignment readingOrder="0" shrinkToFit="0" wrapText="1"/>
    </xf>
    <xf borderId="0" fillId="0" fontId="14" numFmtId="0" xfId="0" applyFont="1"/>
    <xf borderId="1" fillId="0" fontId="5" numFmtId="0" xfId="0" applyAlignment="1" applyBorder="1" applyFont="1">
      <alignment readingOrder="0"/>
    </xf>
    <xf borderId="3" fillId="0" fontId="5" numFmtId="0" xfId="0" applyAlignment="1" applyBorder="1" applyFont="1">
      <alignment readingOrder="0"/>
    </xf>
    <xf borderId="3" fillId="0" fontId="5" numFmtId="0" xfId="0" applyAlignment="1" applyBorder="1" applyFont="1">
      <alignment horizontal="center" readingOrder="0"/>
    </xf>
    <xf borderId="0" fillId="4" fontId="19" numFmtId="0" xfId="0" applyAlignment="1" applyFont="1">
      <alignment readingOrder="0"/>
    </xf>
    <xf borderId="0" fillId="4" fontId="19" numFmtId="49" xfId="0" applyAlignment="1" applyFont="1" applyNumberFormat="1">
      <alignment readingOrder="0"/>
    </xf>
    <xf borderId="3" fillId="4" fontId="19" numFmtId="0" xfId="0" applyAlignment="1" applyBorder="1" applyFont="1">
      <alignment readingOrder="0"/>
    </xf>
    <xf borderId="0" fillId="0" fontId="5" numFmtId="0" xfId="0" applyAlignment="1" applyFont="1">
      <alignment shrinkToFit="0" wrapText="1"/>
    </xf>
    <xf borderId="0" fillId="4" fontId="19" numFmtId="0" xfId="0" applyAlignment="1" applyFont="1">
      <alignment shrinkToFit="0" wrapText="0"/>
    </xf>
    <xf borderId="0" fillId="4" fontId="19" numFmtId="0" xfId="0" applyFont="1"/>
    <xf borderId="1" fillId="4" fontId="19" numFmtId="0" xfId="0" applyAlignment="1" applyBorder="1" applyFont="1">
      <alignment readingOrder="0"/>
    </xf>
    <xf borderId="3" fillId="4" fontId="19" numFmtId="0" xfId="0" applyAlignment="1" applyBorder="1" applyFont="1">
      <alignment horizontal="center" readingOrder="0"/>
    </xf>
    <xf borderId="0" fillId="6" fontId="5" numFmtId="0" xfId="0" applyAlignment="1" applyFont="1">
      <alignment readingOrder="0" shrinkToFit="0" wrapText="1"/>
    </xf>
    <xf borderId="0" fillId="6" fontId="3" numFmtId="0" xfId="0" applyAlignment="1" applyFont="1">
      <alignment readingOrder="0" shrinkToFit="0" wrapText="1"/>
    </xf>
    <xf borderId="1" fillId="6" fontId="5" numFmtId="0" xfId="0" applyAlignment="1" applyBorder="1" applyFont="1">
      <alignment horizontal="left" readingOrder="0" shrinkToFit="0" wrapText="1"/>
    </xf>
    <xf borderId="3" fillId="4" fontId="19" numFmtId="0" xfId="0" applyBorder="1" applyFont="1"/>
    <xf borderId="0" fillId="6" fontId="5" numFmtId="0" xfId="0" applyAlignment="1" applyFont="1">
      <alignment horizontal="left" readingOrder="0" shrinkToFit="0" wrapText="1"/>
    </xf>
    <xf borderId="0" fillId="0" fontId="19" numFmtId="0" xfId="0" applyAlignment="1" applyFont="1">
      <alignment readingOrder="0"/>
    </xf>
    <xf borderId="0" fillId="0" fontId="19" numFmtId="49" xfId="0" applyAlignment="1" applyFont="1" applyNumberFormat="1">
      <alignment readingOrder="0"/>
    </xf>
    <xf borderId="0" fillId="0" fontId="19" numFmtId="0" xfId="0" applyFont="1"/>
    <xf borderId="0" fillId="4" fontId="5" numFmtId="0" xfId="0" applyAlignment="1" applyFont="1">
      <alignment readingOrder="0" shrinkToFit="0" wrapText="1"/>
    </xf>
    <xf borderId="0" fillId="4" fontId="3" numFmtId="0" xfId="0" applyAlignment="1" applyFont="1">
      <alignment readingOrder="0" shrinkToFit="0" wrapText="1"/>
    </xf>
    <xf borderId="3" fillId="0" fontId="19" numFmtId="0" xfId="0" applyAlignment="1" applyBorder="1" applyFont="1">
      <alignment readingOrder="0"/>
    </xf>
    <xf borderId="1" fillId="4" fontId="5" numFmtId="0" xfId="0" applyAlignment="1" applyBorder="1" applyFont="1">
      <alignment horizontal="left" readingOrder="0" shrinkToFit="0" wrapText="1"/>
    </xf>
    <xf borderId="0" fillId="4" fontId="5" numFmtId="0" xfId="0" applyAlignment="1" applyFont="1">
      <alignment readingOrder="0"/>
    </xf>
    <xf borderId="0" fillId="0" fontId="19" numFmtId="0" xfId="0" applyAlignment="1" applyFont="1">
      <alignment shrinkToFit="0" wrapText="0"/>
    </xf>
    <xf borderId="1" fillId="0" fontId="19" numFmtId="0" xfId="0" applyBorder="1" applyFont="1"/>
    <xf borderId="0" fillId="4" fontId="5" numFmtId="0" xfId="0" applyAlignment="1" applyFont="1">
      <alignment horizontal="left" readingOrder="0" shrinkToFit="0" wrapText="1"/>
    </xf>
    <xf borderId="3" fillId="0" fontId="19" numFmtId="0" xfId="0" applyBorder="1" applyFont="1"/>
    <xf borderId="1" fillId="4" fontId="5" numFmtId="0" xfId="0" applyAlignment="1" applyBorder="1" applyFont="1">
      <alignment shrinkToFit="0" wrapText="1"/>
    </xf>
    <xf borderId="0" fillId="4" fontId="5" numFmtId="165" xfId="0" applyAlignment="1" applyFont="1" applyNumberFormat="1">
      <alignment horizontal="center" readingOrder="0"/>
    </xf>
    <xf borderId="3" fillId="0" fontId="19" numFmtId="0" xfId="0" applyAlignment="1" applyBorder="1" applyFont="1">
      <alignment horizontal="center" readingOrder="0"/>
    </xf>
    <xf borderId="1" fillId="4" fontId="16" numFmtId="0" xfId="0" applyAlignment="1" applyBorder="1" applyFont="1">
      <alignment readingOrder="0" shrinkToFit="0" wrapText="1"/>
    </xf>
    <xf borderId="0" fillId="4" fontId="5" numFmtId="0" xfId="0" applyFont="1"/>
    <xf borderId="0" fillId="4" fontId="3" numFmtId="0" xfId="0" applyAlignment="1" applyFont="1">
      <alignment readingOrder="0"/>
    </xf>
    <xf borderId="1" fillId="4" fontId="5" numFmtId="0" xfId="0" applyAlignment="1" applyBorder="1" applyFont="1">
      <alignment readingOrder="0" shrinkToFit="0" wrapText="1"/>
    </xf>
    <xf borderId="1" fillId="4" fontId="20" numFmtId="0" xfId="0" applyAlignment="1" applyBorder="1" applyFont="1">
      <alignment horizontal="left" readingOrder="0" shrinkToFit="0" wrapText="1"/>
    </xf>
    <xf borderId="1" fillId="0" fontId="19" numFmtId="0" xfId="0" applyAlignment="1" applyBorder="1" applyFont="1">
      <alignment readingOrder="0"/>
    </xf>
    <xf borderId="0" fillId="0" fontId="21" numFmtId="0" xfId="0" applyAlignment="1" applyFont="1">
      <alignment readingOrder="0" vertical="bottom"/>
    </xf>
    <xf borderId="0" fillId="0" fontId="21" numFmtId="0" xfId="0" applyAlignment="1" applyFont="1">
      <alignment horizontal="right" vertical="bottom"/>
    </xf>
    <xf borderId="0" fillId="0" fontId="21" numFmtId="0" xfId="0" applyAlignment="1" applyFont="1">
      <alignment vertical="bottom"/>
    </xf>
    <xf borderId="1" fillId="6" fontId="20" numFmtId="0" xfId="0" applyAlignment="1" applyBorder="1" applyFont="1">
      <alignment horizontal="left" readingOrder="0" shrinkToFit="0" wrapText="1"/>
    </xf>
    <xf borderId="0" fillId="11" fontId="5" numFmtId="0" xfId="0" applyFill="1" applyFont="1"/>
    <xf borderId="0" fillId="6" fontId="22" numFmtId="0" xfId="0" applyAlignment="1" applyFont="1">
      <alignment readingOrder="0"/>
    </xf>
    <xf borderId="1" fillId="6" fontId="5" numFmtId="166" xfId="0" applyAlignment="1" applyBorder="1" applyFont="1" applyNumberFormat="1">
      <alignment readingOrder="0" shrinkToFit="0" wrapText="1"/>
    </xf>
    <xf borderId="0" fillId="0" fontId="5" numFmtId="49" xfId="0" applyAlignment="1" applyFont="1" applyNumberFormat="1">
      <alignment readingOrder="0"/>
    </xf>
    <xf borderId="1" fillId="6" fontId="16" numFmtId="0" xfId="0" applyAlignment="1" applyBorder="1" applyFont="1">
      <alignment readingOrder="0" shrinkToFit="0" wrapText="1"/>
    </xf>
    <xf borderId="1" fillId="6" fontId="5" numFmtId="0" xfId="0" applyAlignment="1" applyBorder="1" applyFont="1">
      <alignment horizontal="left" shrinkToFit="0" wrapText="1"/>
    </xf>
    <xf borderId="0" fillId="6" fontId="5" numFmtId="0" xfId="0" applyAlignment="1" applyFont="1">
      <alignment horizontal="left" shrinkToFit="0" wrapText="1"/>
    </xf>
    <xf borderId="0" fillId="10" fontId="23" numFmtId="0" xfId="0" applyAlignment="1" applyFont="1">
      <alignment readingOrder="0"/>
    </xf>
    <xf borderId="0" fillId="0" fontId="5" numFmtId="164" xfId="0" applyAlignment="1" applyFont="1" applyNumberFormat="1">
      <alignment horizontal="center" readingOrder="0"/>
    </xf>
    <xf borderId="1" fillId="12" fontId="5" numFmtId="0" xfId="0" applyAlignment="1" applyBorder="1" applyFill="1" applyFont="1">
      <alignment shrinkToFit="0" wrapText="1"/>
    </xf>
    <xf borderId="1" fillId="12" fontId="5" numFmtId="0" xfId="0" applyAlignment="1" applyBorder="1" applyFont="1">
      <alignment readingOrder="0" shrinkToFit="0" wrapText="1"/>
    </xf>
    <xf borderId="1" fillId="12" fontId="5" numFmtId="0" xfId="0" applyAlignment="1" applyBorder="1" applyFont="1">
      <alignment horizontal="left" readingOrder="0" shrinkToFit="0" wrapText="1"/>
    </xf>
    <xf borderId="0" fillId="12" fontId="5" numFmtId="0" xfId="0" applyAlignment="1" applyFont="1">
      <alignment readingOrder="0"/>
    </xf>
    <xf borderId="0" fillId="12" fontId="5" numFmtId="0" xfId="0" applyAlignment="1" applyFont="1">
      <alignment horizontal="left" readingOrder="0" shrinkToFit="0" wrapText="1"/>
    </xf>
    <xf borderId="0" fillId="12" fontId="5" numFmtId="164" xfId="0" applyAlignment="1" applyFont="1" applyNumberFormat="1">
      <alignment horizontal="center" readingOrder="0"/>
    </xf>
    <xf borderId="1" fillId="12" fontId="16" numFmtId="0" xfId="0" applyAlignment="1" applyBorder="1" applyFont="1">
      <alignment readingOrder="0" shrinkToFit="0" wrapText="1"/>
    </xf>
    <xf borderId="0" fillId="12" fontId="5" numFmtId="165" xfId="0" applyAlignment="1" applyFont="1" applyNumberFormat="1">
      <alignment horizontal="center" readingOrder="0"/>
    </xf>
    <xf borderId="0" fillId="0" fontId="19" numFmtId="0" xfId="0" applyFont="1"/>
    <xf borderId="0" fillId="6" fontId="5" numFmtId="0" xfId="0" applyFont="1"/>
    <xf borderId="1" fillId="12" fontId="5" numFmtId="166" xfId="0" applyAlignment="1" applyBorder="1" applyFont="1" applyNumberFormat="1">
      <alignment readingOrder="0" shrinkToFit="0" wrapText="1"/>
    </xf>
    <xf borderId="0" fillId="12" fontId="14" numFmtId="0" xfId="0" applyAlignment="1" applyFont="1">
      <alignment readingOrder="0"/>
    </xf>
    <xf borderId="1" fillId="0" fontId="14" numFmtId="0" xfId="0" applyAlignment="1" applyBorder="1" applyFont="1">
      <alignment readingOrder="0"/>
    </xf>
    <xf borderId="3" fillId="0" fontId="14" numFmtId="0" xfId="0" applyAlignment="1" applyBorder="1" applyFont="1">
      <alignment readingOrder="0"/>
    </xf>
    <xf borderId="0" fillId="6" fontId="5" numFmtId="164" xfId="0" applyAlignment="1" applyFont="1" applyNumberFormat="1">
      <alignment horizontal="center" readingOrder="0"/>
    </xf>
    <xf borderId="0" fillId="10" fontId="5" numFmtId="167" xfId="0" applyAlignment="1" applyFont="1" applyNumberFormat="1">
      <alignment horizontal="center" readingOrder="0"/>
    </xf>
    <xf borderId="1" fillId="4" fontId="3" numFmtId="0" xfId="0" applyAlignment="1" applyBorder="1" applyFont="1">
      <alignment readingOrder="0"/>
    </xf>
    <xf borderId="0" fillId="4" fontId="5" numFmtId="164" xfId="0" applyAlignment="1" applyFont="1" applyNumberFormat="1">
      <alignment horizontal="center" readingOrder="0"/>
    </xf>
    <xf borderId="0" fillId="6" fontId="20" numFmtId="0" xfId="0" applyAlignment="1" applyFont="1">
      <alignment horizontal="left" readingOrder="0"/>
    </xf>
    <xf borderId="0" fillId="0" fontId="5" numFmtId="0" xfId="0" applyAlignment="1" applyFont="1">
      <alignment horizontal="left" readingOrder="0"/>
    </xf>
    <xf borderId="0" fillId="0" fontId="19" numFmtId="168" xfId="0" applyAlignment="1" applyFont="1" applyNumberFormat="1">
      <alignment readingOrder="0"/>
    </xf>
    <xf borderId="0" fillId="12" fontId="5" numFmtId="0" xfId="0" applyAlignment="1" applyFont="1">
      <alignment readingOrder="0" shrinkToFit="0" wrapText="1"/>
    </xf>
    <xf borderId="0" fillId="12" fontId="22" numFmtId="0" xfId="0" applyAlignment="1" applyFont="1">
      <alignment readingOrder="0"/>
    </xf>
    <xf borderId="0" fillId="12" fontId="5" numFmtId="167" xfId="0" applyAlignment="1" applyFont="1" applyNumberFormat="1">
      <alignment horizontal="center" readingOrder="0"/>
    </xf>
    <xf borderId="0" fillId="0" fontId="0" numFmtId="0" xfId="0" applyAlignment="1" applyFont="1">
      <alignment readingOrder="0"/>
    </xf>
    <xf borderId="0" fillId="0" fontId="5" numFmtId="0" xfId="0" applyFont="1"/>
    <xf borderId="1" fillId="4" fontId="14" numFmtId="0" xfId="0" applyAlignment="1" applyBorder="1" applyFont="1">
      <alignment readingOrder="0"/>
    </xf>
    <xf borderId="0" fillId="4" fontId="14" numFmtId="0" xfId="0" applyAlignment="1" applyFont="1">
      <alignment readingOrder="0"/>
    </xf>
    <xf borderId="3" fillId="4" fontId="14" numFmtId="0" xfId="0" applyAlignment="1" applyBorder="1" applyFont="1">
      <alignment readingOrder="0"/>
    </xf>
    <xf borderId="1" fillId="0" fontId="16" numFmtId="0" xfId="0" applyAlignment="1" applyBorder="1" applyFont="1">
      <alignment readingOrder="0" shrinkToFit="0" wrapText="1"/>
    </xf>
    <xf borderId="0" fillId="0" fontId="24" numFmtId="0" xfId="0" applyFont="1"/>
    <xf borderId="1" fillId="10" fontId="16" numFmtId="0" xfId="0" applyAlignment="1" applyBorder="1" applyFont="1">
      <alignment shrinkToFit="0" wrapText="1"/>
    </xf>
    <xf borderId="0" fillId="4" fontId="21" numFmtId="0" xfId="0" applyAlignment="1" applyFont="1">
      <alignment vertical="bottom"/>
    </xf>
    <xf borderId="0" fillId="4" fontId="21" numFmtId="0" xfId="0" applyAlignment="1" applyFont="1">
      <alignment vertical="bottom"/>
    </xf>
    <xf borderId="0" fillId="6" fontId="25" numFmtId="0" xfId="0" applyFont="1"/>
    <xf borderId="0" fillId="10" fontId="5" numFmtId="0" xfId="0" applyAlignment="1" applyFont="1">
      <alignment horizontal="center"/>
    </xf>
    <xf borderId="1" fillId="10" fontId="14" numFmtId="0" xfId="0" applyAlignment="1" applyBorder="1" applyFont="1">
      <alignment horizontal="left" readingOrder="0" shrinkToFit="0" wrapText="1"/>
    </xf>
    <xf borderId="0" fillId="0" fontId="19" numFmtId="169" xfId="0" applyAlignment="1" applyFont="1" applyNumberFormat="1">
      <alignment readingOrder="0"/>
    </xf>
    <xf borderId="0" fillId="0" fontId="5" numFmtId="0" xfId="0" applyAlignment="1" applyFont="1">
      <alignment horizontal="center"/>
    </xf>
    <xf borderId="0" fillId="13" fontId="5" numFmtId="0" xfId="0" applyAlignment="1" applyFill="1" applyFont="1">
      <alignment readingOrder="0" shrinkToFit="0" wrapText="1"/>
    </xf>
    <xf borderId="0" fillId="13" fontId="3" numFmtId="0" xfId="0" applyAlignment="1" applyFont="1">
      <alignment readingOrder="0" shrinkToFit="0" wrapText="1"/>
    </xf>
    <xf borderId="1" fillId="13" fontId="5" numFmtId="0" xfId="0" applyAlignment="1" applyBorder="1" applyFont="1">
      <alignment readingOrder="0" shrinkToFit="0" wrapText="1"/>
    </xf>
    <xf borderId="1" fillId="13" fontId="19" numFmtId="0" xfId="0" applyAlignment="1" applyBorder="1" applyFont="1">
      <alignment horizontal="left" readingOrder="0" shrinkToFit="0" wrapText="1"/>
    </xf>
    <xf borderId="0" fillId="13" fontId="5" numFmtId="0" xfId="0" applyAlignment="1" applyFont="1">
      <alignment readingOrder="0"/>
    </xf>
    <xf borderId="0" fillId="13" fontId="5" numFmtId="0" xfId="0" applyAlignment="1" applyFont="1">
      <alignment horizontal="left" readingOrder="0" shrinkToFit="0" wrapText="1"/>
    </xf>
    <xf borderId="1" fillId="13" fontId="5" numFmtId="0" xfId="0" applyAlignment="1" applyBorder="1" applyFont="1">
      <alignment shrinkToFit="0" wrapText="1"/>
    </xf>
    <xf borderId="0" fillId="13" fontId="5" numFmtId="164" xfId="0" applyAlignment="1" applyFont="1" applyNumberFormat="1">
      <alignment horizontal="center" readingOrder="0"/>
    </xf>
    <xf borderId="1" fillId="13" fontId="10" numFmtId="0" xfId="0" applyAlignment="1" applyBorder="1" applyFont="1">
      <alignment readingOrder="0" shrinkToFit="0" wrapText="1"/>
    </xf>
    <xf borderId="0" fillId="13" fontId="5" numFmtId="0" xfId="0" applyFont="1"/>
    <xf borderId="0" fillId="12" fontId="3" numFmtId="0" xfId="0" applyAlignment="1" applyFont="1">
      <alignment readingOrder="0" shrinkToFit="0" wrapText="1"/>
    </xf>
    <xf borderId="2" fillId="12" fontId="5" numFmtId="0" xfId="0" applyAlignment="1" applyBorder="1" applyFont="1">
      <alignment readingOrder="0" shrinkToFit="0" wrapText="1"/>
    </xf>
    <xf borderId="1" fillId="12" fontId="10" numFmtId="0" xfId="0" applyAlignment="1" applyBorder="1" applyFont="1">
      <alignment readingOrder="0" shrinkToFit="0" wrapText="1"/>
    </xf>
    <xf borderId="0" fillId="12" fontId="5" numFmtId="0" xfId="0" applyFont="1"/>
    <xf borderId="1" fillId="4" fontId="10" numFmtId="0" xfId="0" applyAlignment="1" applyBorder="1" applyFont="1">
      <alignment readingOrder="0" shrinkToFit="0" wrapText="1"/>
    </xf>
    <xf borderId="0" fillId="0" fontId="16" numFmtId="0" xfId="0" applyAlignment="1" applyFont="1">
      <alignment readingOrder="0"/>
    </xf>
    <xf borderId="1" fillId="0" fontId="10" numFmtId="0" xfId="0" applyAlignment="1" applyBorder="1" applyFont="1">
      <alignment readingOrder="0" shrinkToFit="0" wrapText="1"/>
    </xf>
    <xf borderId="3" fillId="4" fontId="14" numFmtId="0" xfId="0" applyAlignment="1" applyBorder="1" applyFont="1">
      <alignment horizontal="center" readingOrder="0"/>
    </xf>
    <xf borderId="1" fillId="0" fontId="16" numFmtId="0" xfId="0" applyAlignment="1" applyBorder="1" applyFont="1">
      <alignment shrinkToFit="0" wrapText="1"/>
    </xf>
    <xf borderId="0" fillId="11" fontId="5" numFmtId="0" xfId="0" applyAlignment="1" applyFont="1">
      <alignment readingOrder="0"/>
    </xf>
    <xf borderId="1" fillId="12" fontId="5" numFmtId="0" xfId="0" applyAlignment="1" applyBorder="1" applyFont="1">
      <alignment horizontal="left" shrinkToFit="0" wrapText="1"/>
    </xf>
    <xf borderId="0" fillId="12" fontId="26" numFmtId="0" xfId="0" applyAlignment="1" applyFont="1">
      <alignment horizontal="left" readingOrder="0"/>
    </xf>
    <xf borderId="1" fillId="12" fontId="3" numFmtId="0" xfId="0" applyAlignment="1" applyBorder="1" applyFont="1">
      <alignment readingOrder="0"/>
    </xf>
    <xf borderId="0" fillId="4" fontId="27" numFmtId="0" xfId="0" applyAlignment="1" applyFont="1">
      <alignment readingOrder="0"/>
    </xf>
    <xf borderId="0" fillId="0" fontId="14" numFmtId="0" xfId="0" applyAlignment="1" applyFont="1">
      <alignment readingOrder="0"/>
    </xf>
    <xf borderId="0" fillId="4" fontId="28" numFmtId="0" xfId="0" applyAlignment="1" applyFont="1">
      <alignment horizontal="left" readingOrder="0"/>
    </xf>
    <xf borderId="0" fillId="0" fontId="5" numFmtId="0" xfId="0" applyAlignment="1" applyFont="1">
      <alignment readingOrder="0" shrinkToFit="0" wrapText="1"/>
    </xf>
    <xf borderId="0" fillId="0" fontId="29" numFmtId="0" xfId="0" applyAlignment="1" applyFont="1">
      <alignment horizontal="left" readingOrder="0" shrinkToFit="0" wrapText="1"/>
    </xf>
    <xf borderId="0" fillId="4" fontId="8" numFmtId="0" xfId="0" applyAlignment="1" applyFont="1">
      <alignment vertical="bottom"/>
    </xf>
    <xf borderId="0" fillId="4" fontId="8" numFmtId="49" xfId="0" applyAlignment="1" applyFont="1" applyNumberFormat="1">
      <alignment vertical="bottom"/>
    </xf>
    <xf borderId="0" fillId="0" fontId="29" numFmtId="0" xfId="0" applyAlignment="1" applyFont="1">
      <alignment horizontal="left" shrinkToFit="0" wrapText="1"/>
    </xf>
    <xf borderId="0" fillId="0" fontId="5" numFmtId="170" xfId="0" applyAlignment="1" applyFont="1" applyNumberFormat="1">
      <alignment readingOrder="0"/>
    </xf>
    <xf borderId="1" fillId="2" fontId="5" numFmtId="171" xfId="0" applyAlignment="1" applyBorder="1" applyFont="1" applyNumberFormat="1">
      <alignment readingOrder="0" shrinkToFit="0" wrapText="1"/>
    </xf>
    <xf borderId="0" fillId="0" fontId="30" numFmtId="0" xfId="0" applyAlignment="1" applyFont="1">
      <alignment readingOrder="0"/>
    </xf>
    <xf borderId="0" fillId="0" fontId="5" numFmtId="0" xfId="0" applyAlignment="1" applyFont="1">
      <alignment horizontal="center" readingOrder="0"/>
    </xf>
    <xf borderId="0" fillId="4" fontId="31" numFmtId="0" xfId="0" applyAlignment="1" applyFont="1">
      <alignment readingOrder="0"/>
    </xf>
    <xf borderId="0" fillId="4" fontId="9" numFmtId="0" xfId="0" applyAlignment="1" applyFont="1">
      <alignment readingOrder="0" shrinkToFit="0" wrapText="0"/>
    </xf>
    <xf borderId="0" fillId="0" fontId="32" numFmtId="0" xfId="0" applyAlignment="1" applyFont="1">
      <alignment readingOrder="0"/>
    </xf>
    <xf borderId="0" fillId="4" fontId="33" numFmtId="0" xfId="0" applyAlignment="1" applyFont="1">
      <alignment readingOrder="0" shrinkToFit="0" wrapText="0"/>
    </xf>
    <xf borderId="1" fillId="2" fontId="5" numFmtId="166" xfId="0" applyAlignment="1" applyBorder="1" applyFont="1" applyNumberFormat="1">
      <alignment readingOrder="0" shrinkToFit="0" wrapText="1"/>
    </xf>
    <xf borderId="1" fillId="2" fontId="5" numFmtId="0" xfId="0" applyAlignment="1" applyBorder="1" applyFont="1">
      <alignment shrinkToFit="0" wrapText="1"/>
    </xf>
    <xf borderId="2" fillId="0" fontId="5" numFmtId="0" xfId="0" applyAlignment="1" applyBorder="1" applyFont="1">
      <alignment readingOrder="0" shrinkToFit="0" wrapText="1"/>
    </xf>
    <xf borderId="1" fillId="0" fontId="5" numFmtId="168" xfId="0" applyAlignment="1" applyBorder="1" applyFont="1" applyNumberFormat="1">
      <alignment horizontal="left" readingOrder="0" shrinkToFit="0" wrapText="1"/>
    </xf>
    <xf borderId="0" fillId="0" fontId="34" numFmtId="0" xfId="0" applyAlignment="1" applyFont="1">
      <alignment readingOrder="0"/>
    </xf>
    <xf borderId="0" fillId="0" fontId="35" numFmtId="0" xfId="0" applyAlignment="1" applyFont="1">
      <alignment readingOrder="0"/>
    </xf>
    <xf borderId="0" fillId="0" fontId="21" numFmtId="0" xfId="0" applyAlignment="1" applyFont="1">
      <alignment vertical="bottom"/>
    </xf>
    <xf borderId="0" fillId="0" fontId="36" numFmtId="0" xfId="0" applyAlignment="1" applyFont="1">
      <alignment readingOrder="0"/>
    </xf>
    <xf borderId="0" fillId="0" fontId="19" numFmtId="0" xfId="0" applyAlignment="1" applyFont="1">
      <alignment horizontal="left"/>
    </xf>
    <xf borderId="1" fillId="0" fontId="3" numFmtId="0" xfId="0" applyBorder="1" applyFont="1"/>
    <xf borderId="0" fillId="0" fontId="21" numFmtId="0" xfId="0" applyAlignment="1" applyFont="1">
      <alignment horizontal="right" readingOrder="0" vertical="bottom"/>
    </xf>
    <xf borderId="0" fillId="0" fontId="21" numFmtId="49" xfId="0" applyAlignment="1" applyFont="1" applyNumberFormat="1">
      <alignment vertical="bottom"/>
    </xf>
    <xf borderId="3" fillId="0" fontId="21" numFmtId="0" xfId="0" applyAlignment="1" applyBorder="1" applyFont="1">
      <alignment readingOrder="0" vertical="bottom"/>
    </xf>
    <xf borderId="1" fillId="0" fontId="21" numFmtId="0" xfId="0" applyAlignment="1" applyBorder="1" applyFont="1">
      <alignment readingOrder="0" vertical="bottom"/>
    </xf>
    <xf borderId="3" fillId="0" fontId="21" numFmtId="0" xfId="0" applyAlignment="1" applyBorder="1" applyFont="1">
      <alignment horizontal="center" readingOrder="0" vertical="bottom"/>
    </xf>
    <xf borderId="0" fillId="0" fontId="5" numFmtId="49" xfId="0" applyFont="1" applyNumberFormat="1"/>
    <xf borderId="1" fillId="0" fontId="16" numFmtId="0" xfId="0" applyAlignment="1" applyBorder="1" applyFont="1">
      <alignment readingOrder="0"/>
    </xf>
    <xf borderId="3" fillId="0" fontId="16" numFmtId="0" xfId="0" applyAlignment="1" applyBorder="1" applyFont="1">
      <alignment readingOrder="0"/>
    </xf>
    <xf borderId="0" fillId="0" fontId="19" numFmtId="0" xfId="0" applyAlignment="1" applyFont="1">
      <alignment readingOrder="0" shrinkToFit="0" vertical="center" wrapText="1"/>
    </xf>
    <xf borderId="1" fillId="4" fontId="16" numFmtId="0" xfId="0" applyAlignment="1" applyBorder="1" applyFont="1">
      <alignment readingOrder="0"/>
    </xf>
    <xf borderId="0" fillId="4" fontId="16" numFmtId="0" xfId="0" applyAlignment="1" applyFont="1">
      <alignment readingOrder="0"/>
    </xf>
    <xf borderId="3" fillId="4" fontId="16" numFmtId="0" xfId="0" applyAlignment="1" applyBorder="1" applyFont="1">
      <alignment readingOrder="0"/>
    </xf>
    <xf borderId="0" fillId="0" fontId="8" numFmtId="0" xfId="0" applyAlignment="1" applyFont="1">
      <alignment vertical="bottom"/>
    </xf>
    <xf borderId="3" fillId="0" fontId="8" numFmtId="0" xfId="0" applyAlignment="1" applyBorder="1" applyFont="1">
      <alignment vertical="bottom"/>
    </xf>
    <xf borderId="3" fillId="0" fontId="8" numFmtId="0" xfId="0" applyAlignment="1" applyBorder="1" applyFont="1">
      <alignment horizontal="center" readingOrder="0" vertical="bottom"/>
    </xf>
    <xf borderId="0" fillId="0" fontId="8" numFmtId="0" xfId="0" applyAlignment="1" applyFont="1">
      <alignment vertical="bottom"/>
    </xf>
    <xf borderId="0" fillId="0" fontId="19" numFmtId="0" xfId="0" applyAlignment="1" applyFont="1">
      <alignment horizontal="left" readingOrder="0"/>
    </xf>
    <xf borderId="0" fillId="0" fontId="37" numFmtId="0" xfId="0" applyAlignment="1" applyFont="1">
      <alignment readingOrder="0"/>
    </xf>
    <xf borderId="3" fillId="0" fontId="37" numFmtId="0" xfId="0" applyAlignment="1" applyBorder="1" applyFont="1">
      <alignment readingOrder="0"/>
    </xf>
    <xf borderId="3" fillId="0" fontId="37" numFmtId="0" xfId="0" applyAlignment="1" applyBorder="1" applyFont="1">
      <alignment horizontal="center" readingOrder="0"/>
    </xf>
    <xf borderId="3" fillId="0" fontId="21" numFmtId="0" xfId="0" applyAlignment="1" applyBorder="1" applyFont="1">
      <alignment vertical="bottom"/>
    </xf>
    <xf borderId="0" fillId="7" fontId="5" numFmtId="0" xfId="0" applyFont="1"/>
    <xf borderId="0" fillId="0" fontId="3" numFmtId="0" xfId="0" applyAlignment="1" applyFont="1">
      <alignment readingOrder="0" vertical="top"/>
    </xf>
    <xf borderId="0" fillId="0" fontId="38" numFmtId="0" xfId="0" applyAlignment="1" applyFont="1">
      <alignment readingOrder="0"/>
    </xf>
    <xf borderId="0" fillId="9" fontId="5" numFmtId="0" xfId="0" applyAlignment="1" applyFont="1">
      <alignment readingOrder="0"/>
    </xf>
    <xf borderId="0" fillId="9" fontId="39" numFmtId="0" xfId="0" applyAlignment="1" applyFont="1">
      <alignment vertical="bottom"/>
    </xf>
    <xf borderId="0" fillId="9" fontId="5" numFmtId="49" xfId="0" applyFont="1" applyNumberFormat="1"/>
    <xf borderId="0" fillId="0" fontId="5" numFmtId="0" xfId="0" applyAlignment="1" applyFont="1">
      <alignment readingOrder="0" vertical="top"/>
    </xf>
    <xf borderId="0" fillId="0" fontId="40" numFmtId="0" xfId="0" applyFont="1"/>
    <xf borderId="0" fillId="0" fontId="3" numFmtId="0" xfId="0" applyAlignment="1" applyFont="1">
      <alignment shrinkToFit="0" wrapText="1"/>
    </xf>
    <xf borderId="4" fillId="9" fontId="5" numFmtId="0" xfId="0" applyAlignment="1" applyBorder="1" applyFont="1">
      <alignment readingOrder="0"/>
    </xf>
    <xf borderId="4" fillId="9" fontId="39" numFmtId="0" xfId="0" applyAlignment="1" applyBorder="1" applyFont="1">
      <alignment vertical="bottom"/>
    </xf>
    <xf borderId="4" fillId="9" fontId="5" numFmtId="49" xfId="0" applyBorder="1" applyFont="1" applyNumberFormat="1"/>
    <xf borderId="4" fillId="0" fontId="5" numFmtId="0" xfId="0" applyAlignment="1" applyBorder="1" applyFont="1">
      <alignment readingOrder="0" vertical="top"/>
    </xf>
    <xf borderId="4" fillId="0" fontId="5" numFmtId="0" xfId="0" applyAlignment="1" applyBorder="1" applyFont="1">
      <alignment readingOrder="0"/>
    </xf>
    <xf borderId="4" fillId="0" fontId="5" numFmtId="0" xfId="0" applyBorder="1" applyFont="1"/>
    <xf borderId="4" fillId="0" fontId="40" numFmtId="0" xfId="0" applyBorder="1" applyFont="1"/>
    <xf borderId="0" fillId="14" fontId="5" numFmtId="0" xfId="0" applyAlignment="1" applyFill="1" applyFont="1">
      <alignment readingOrder="0"/>
    </xf>
    <xf borderId="0" fillId="14" fontId="5" numFmtId="0" xfId="0" applyFont="1"/>
    <xf borderId="0" fillId="14" fontId="5" numFmtId="49" xfId="0" applyFont="1" applyNumberFormat="1"/>
    <xf borderId="0" fillId="4" fontId="14" numFmtId="0" xfId="0" applyFont="1"/>
    <xf borderId="1" fillId="4" fontId="5" numFmtId="0" xfId="0" applyBorder="1" applyFont="1"/>
    <xf borderId="3" fillId="4" fontId="5" numFmtId="0" xfId="0" applyBorder="1" applyFont="1"/>
    <xf borderId="0" fillId="4" fontId="21" numFmtId="0" xfId="0" applyAlignment="1" applyFont="1">
      <alignment readingOrder="0" vertical="bottom"/>
    </xf>
    <xf borderId="4" fillId="14" fontId="5" numFmtId="0" xfId="0" applyAlignment="1" applyBorder="1" applyFont="1">
      <alignment readingOrder="0"/>
    </xf>
    <xf borderId="4" fillId="14" fontId="5" numFmtId="0" xfId="0" applyBorder="1" applyFont="1"/>
    <xf borderId="4" fillId="14" fontId="5" numFmtId="49" xfId="0" applyBorder="1" applyFont="1" applyNumberFormat="1"/>
    <xf borderId="0" fillId="15" fontId="5" numFmtId="0" xfId="0" applyAlignment="1" applyFill="1" applyFont="1">
      <alignment readingOrder="0"/>
    </xf>
    <xf borderId="0" fillId="15" fontId="5" numFmtId="0" xfId="0" applyFont="1"/>
    <xf borderId="0" fillId="15" fontId="5" numFmtId="49" xfId="0" applyFont="1" applyNumberFormat="1"/>
    <xf borderId="0" fillId="4" fontId="21" numFmtId="168" xfId="0" applyAlignment="1" applyFont="1" applyNumberFormat="1">
      <alignment horizontal="left" readingOrder="0"/>
    </xf>
    <xf borderId="0" fillId="4" fontId="14" numFmtId="49" xfId="0" applyAlignment="1" applyFont="1" applyNumberFormat="1">
      <alignment readingOrder="0"/>
    </xf>
    <xf borderId="0" fillId="4" fontId="5" numFmtId="49" xfId="0" applyAlignment="1" applyFont="1" applyNumberFormat="1">
      <alignment readingOrder="0"/>
    </xf>
    <xf borderId="3" fillId="4" fontId="5" numFmtId="0" xfId="0" applyAlignment="1" applyBorder="1" applyFont="1">
      <alignment readingOrder="0"/>
    </xf>
    <xf borderId="0" fillId="4" fontId="5" numFmtId="0" xfId="0" applyAlignment="1" applyFont="1">
      <alignment shrinkToFit="0" wrapText="0"/>
    </xf>
    <xf borderId="1" fillId="4" fontId="5" numFmtId="0" xfId="0" applyAlignment="1" applyBorder="1" applyFont="1">
      <alignment readingOrder="0"/>
    </xf>
    <xf borderId="0" fillId="0" fontId="5" numFmtId="172" xfId="0" applyAlignment="1" applyFont="1" applyNumberFormat="1">
      <alignment horizontal="left"/>
    </xf>
    <xf borderId="1" fillId="0" fontId="5" numFmtId="0" xfId="0" applyBorder="1" applyFont="1"/>
    <xf borderId="0" fillId="0" fontId="5" numFmtId="164" xfId="0" applyFont="1" applyNumberFormat="1"/>
    <xf borderId="1" fillId="0" fontId="8" numFmtId="0" xfId="0" applyAlignment="1" applyBorder="1" applyFont="1">
      <alignment readingOrder="0" vertical="bottom"/>
    </xf>
    <xf borderId="3" fillId="0" fontId="8" numFmtId="0" xfId="0" applyAlignment="1" applyBorder="1" applyFont="1">
      <alignment shrinkToFit="0" vertical="bottom" wrapText="1"/>
    </xf>
    <xf borderId="0" fillId="4" fontId="21" numFmtId="0" xfId="0" applyAlignment="1" applyFont="1">
      <alignment horizontal="left" readingOrder="0"/>
    </xf>
    <xf borderId="1" fillId="4" fontId="20" numFmtId="0" xfId="0" applyAlignment="1" applyBorder="1" applyFont="1">
      <alignment horizontal="left" readingOrder="0"/>
    </xf>
    <xf borderId="0" fillId="4" fontId="20" numFmtId="0" xfId="0" applyAlignment="1" applyFont="1">
      <alignment horizontal="left" readingOrder="0"/>
    </xf>
    <xf borderId="3" fillId="4" fontId="20" numFmtId="0" xfId="0" applyAlignment="1" applyBorder="1" applyFont="1">
      <alignment horizontal="left" readingOrder="0"/>
    </xf>
    <xf borderId="0" fillId="4" fontId="41" numFmtId="0" xfId="0" applyAlignment="1" applyFont="1">
      <alignment horizontal="left" readingOrder="0"/>
    </xf>
    <xf borderId="0" fillId="4" fontId="16" numFmtId="0" xfId="0" applyAlignment="1" applyFont="1">
      <alignment horizontal="left" readingOrder="0" shrinkToFit="0" vertical="center" wrapText="1"/>
    </xf>
    <xf borderId="0" fillId="0" fontId="42" numFmtId="0" xfId="0" applyFont="1"/>
    <xf borderId="0" fillId="4" fontId="19" numFmtId="168" xfId="0" applyAlignment="1" applyFont="1" applyNumberFormat="1">
      <alignment readingOrder="0"/>
    </xf>
    <xf borderId="0" fillId="0" fontId="43" numFmtId="0" xfId="0" applyAlignment="1" applyFont="1">
      <alignment readingOrder="0"/>
    </xf>
    <xf borderId="3" fillId="4" fontId="21" numFmtId="0" xfId="0" applyAlignment="1" applyBorder="1" applyFont="1">
      <alignment horizontal="left" readingOrder="0"/>
    </xf>
    <xf borderId="0" fillId="0" fontId="21" numFmtId="0" xfId="0" applyAlignment="1" applyFont="1">
      <alignment horizontal="left" readingOrder="0"/>
    </xf>
    <xf borderId="0" fillId="0" fontId="40" numFmtId="0" xfId="0" applyAlignment="1" applyFont="1">
      <alignment readingOrder="0"/>
    </xf>
    <xf borderId="3" fillId="0" fontId="21" numFmtId="0" xfId="0" applyAlignment="1" applyBorder="1" applyFont="1">
      <alignment horizontal="left" readingOrder="0"/>
    </xf>
    <xf borderId="0" fillId="0" fontId="5" numFmtId="167" xfId="0" applyFont="1" applyNumberFormat="1"/>
    <xf borderId="3" fillId="0" fontId="8" numFmtId="0" xfId="0" applyAlignment="1" applyBorder="1" applyFont="1">
      <alignment readingOrder="0" shrinkToFit="0" vertical="bottom" wrapText="1"/>
    </xf>
    <xf borderId="5" fillId="8" fontId="5" numFmtId="0" xfId="0" applyAlignment="1" applyBorder="1" applyFont="1">
      <alignment readingOrder="0"/>
    </xf>
    <xf borderId="5" fillId="8" fontId="5" numFmtId="49" xfId="0" applyBorder="1" applyFont="1" applyNumberFormat="1"/>
    <xf borderId="5" fillId="0" fontId="5" numFmtId="0" xfId="0" applyAlignment="1" applyBorder="1" applyFont="1">
      <alignment readingOrder="0" vertical="top"/>
    </xf>
    <xf borderId="5" fillId="0" fontId="5" numFmtId="0" xfId="0" applyAlignment="1" applyBorder="1" applyFont="1">
      <alignment readingOrder="0"/>
    </xf>
    <xf borderId="5" fillId="0" fontId="5" numFmtId="0" xfId="0" applyBorder="1" applyFont="1"/>
    <xf borderId="5" fillId="0" fontId="40" numFmtId="0" xfId="0" applyBorder="1" applyFont="1"/>
    <xf borderId="0" fillId="4" fontId="44" numFmtId="0" xfId="0" applyAlignment="1" applyFont="1">
      <alignment horizontal="left" readingOrder="0"/>
    </xf>
    <xf borderId="0" fillId="16" fontId="5" numFmtId="0" xfId="0" applyAlignment="1" applyFill="1" applyFont="1">
      <alignment readingOrder="0"/>
    </xf>
    <xf borderId="0" fillId="16" fontId="5" numFmtId="49" xfId="0" applyFont="1" applyNumberFormat="1"/>
    <xf borderId="0" fillId="0" fontId="19" numFmtId="173" xfId="0" applyAlignment="1" applyFont="1" applyNumberFormat="1">
      <alignment readingOrder="0"/>
    </xf>
    <xf borderId="0" fillId="16" fontId="5" numFmtId="49" xfId="0" applyAlignment="1" applyFont="1" applyNumberFormat="1">
      <alignment readingOrder="0"/>
    </xf>
    <xf borderId="0" fillId="0" fontId="5" numFmtId="165" xfId="0" applyFont="1" applyNumberFormat="1"/>
    <xf borderId="0" fillId="4" fontId="21" numFmtId="0" xfId="0" applyAlignment="1" applyFont="1">
      <alignment horizontal="left"/>
    </xf>
    <xf borderId="0" fillId="0" fontId="5" numFmtId="172" xfId="0" applyAlignment="1" applyFont="1" applyNumberFormat="1">
      <alignment horizontal="left" readingOrder="0"/>
    </xf>
    <xf borderId="3" fillId="0" fontId="45" numFmtId="164" xfId="0" applyAlignment="1" applyBorder="1" applyFont="1" applyNumberFormat="1">
      <alignment readingOrder="0" vertical="bottom"/>
    </xf>
    <xf borderId="3" fillId="0" fontId="45" numFmtId="0" xfId="0" applyAlignment="1" applyBorder="1" applyFont="1">
      <alignment readingOrder="0" shrinkToFit="0" vertical="bottom" wrapText="1"/>
    </xf>
    <xf borderId="0" fillId="0" fontId="45" numFmtId="0" xfId="0" applyAlignment="1" applyFont="1">
      <alignment vertical="bottom"/>
    </xf>
    <xf borderId="3" fillId="0" fontId="45" numFmtId="0" xfId="0" applyAlignment="1" applyBorder="1" applyFont="1">
      <alignment vertical="bottom"/>
    </xf>
    <xf borderId="0" fillId="0" fontId="45" numFmtId="0" xfId="0" applyAlignment="1" applyFont="1">
      <alignment readingOrder="0" vertical="bottom"/>
    </xf>
    <xf borderId="4" fillId="16" fontId="5" numFmtId="0" xfId="0" applyAlignment="1" applyBorder="1" applyFont="1">
      <alignment readingOrder="0"/>
    </xf>
    <xf borderId="3" fillId="0" fontId="3" numFmtId="0" xfId="0" applyAlignment="1" applyBorder="1" applyFont="1">
      <alignment readingOrder="0" shrinkToFit="0" wrapText="0"/>
    </xf>
    <xf borderId="0" fillId="0" fontId="3" numFmtId="0" xfId="0" applyAlignment="1" applyFont="1">
      <alignment readingOrder="0" shrinkToFit="0" wrapText="0"/>
    </xf>
    <xf borderId="4" fillId="16" fontId="5" numFmtId="49" xfId="0" applyAlignment="1" applyBorder="1" applyFont="1" applyNumberFormat="1">
      <alignment readingOrder="0"/>
    </xf>
    <xf borderId="0" fillId="0" fontId="3" numFmtId="0" xfId="0" applyAlignment="1" applyFont="1">
      <alignment shrinkToFit="0" wrapText="0"/>
    </xf>
    <xf borderId="3" fillId="0" fontId="5" numFmtId="164" xfId="0" applyAlignment="1" applyBorder="1" applyFont="1" applyNumberFormat="1">
      <alignment readingOrder="0" shrinkToFit="0" wrapText="0"/>
    </xf>
    <xf borderId="0" fillId="0" fontId="5" numFmtId="0" xfId="0" applyAlignment="1" applyFont="1">
      <alignment readingOrder="0" shrinkToFit="0" wrapText="0"/>
    </xf>
    <xf borderId="0" fillId="4" fontId="5" numFmtId="164" xfId="0" applyAlignment="1" applyFont="1" applyNumberFormat="1">
      <alignment readingOrder="0"/>
    </xf>
    <xf borderId="3" fillId="0" fontId="5" numFmtId="0" xfId="0" applyAlignment="1" applyBorder="1" applyFont="1">
      <alignment readingOrder="0" shrinkToFit="0" wrapText="0"/>
    </xf>
    <xf borderId="0" fillId="4" fontId="5" numFmtId="172" xfId="0" applyAlignment="1" applyFont="1" applyNumberFormat="1">
      <alignment horizontal="left" readingOrder="0"/>
    </xf>
    <xf borderId="3" fillId="17" fontId="46" numFmtId="0" xfId="0" applyAlignment="1" applyBorder="1" applyFill="1" applyFont="1">
      <alignment readingOrder="0" shrinkToFit="0" wrapText="0"/>
    </xf>
    <xf borderId="3" fillId="0" fontId="5" numFmtId="0" xfId="0" applyAlignment="1" applyBorder="1" applyFont="1">
      <alignment shrinkToFit="0" wrapText="0"/>
    </xf>
    <xf borderId="6" fillId="0" fontId="3" numFmtId="0" xfId="0" applyAlignment="1" applyBorder="1" applyFont="1">
      <alignment readingOrder="0"/>
    </xf>
    <xf borderId="6" fillId="0" fontId="3" numFmtId="0" xfId="0" applyBorder="1" applyFont="1"/>
    <xf borderId="6" fillId="0" fontId="3" numFmtId="49" xfId="0" applyBorder="1" applyFont="1" applyNumberFormat="1"/>
    <xf borderId="0" fillId="0" fontId="5" numFmtId="0" xfId="0" applyAlignment="1" applyFont="1">
      <alignment vertical="top"/>
    </xf>
    <xf borderId="0" fillId="17" fontId="46" numFmtId="0" xfId="0" applyAlignment="1" applyFont="1">
      <alignment readingOrder="0" shrinkToFit="0" wrapText="0"/>
    </xf>
    <xf borderId="0" fillId="0" fontId="38" numFmtId="0" xfId="0" applyFont="1"/>
    <xf borderId="0" fillId="4" fontId="21" numFmtId="49" xfId="0" applyAlignment="1" applyFont="1" applyNumberFormat="1">
      <alignment horizontal="left"/>
    </xf>
    <xf borderId="0" fillId="18" fontId="5" numFmtId="0" xfId="0" applyFill="1" applyFont="1"/>
    <xf borderId="0" fillId="18" fontId="5" numFmtId="0" xfId="0" applyAlignment="1" applyFont="1">
      <alignment readingOrder="0"/>
    </xf>
    <xf borderId="0" fillId="18" fontId="5" numFmtId="49" xfId="0" applyAlignment="1" applyFont="1" applyNumberFormat="1">
      <alignment readingOrder="0"/>
    </xf>
    <xf borderId="3" fillId="18" fontId="5" numFmtId="0" xfId="0" applyAlignment="1" applyBorder="1" applyFont="1">
      <alignment readingOrder="0"/>
    </xf>
    <xf borderId="0" fillId="18" fontId="5" numFmtId="0" xfId="0" applyAlignment="1" applyFont="1">
      <alignment shrinkToFit="0" wrapText="0"/>
    </xf>
    <xf borderId="0" fillId="18" fontId="14" numFmtId="0" xfId="0" applyFont="1"/>
    <xf borderId="1" fillId="18" fontId="5" numFmtId="0" xfId="0" applyAlignment="1" applyBorder="1" applyFont="1">
      <alignment readingOrder="0"/>
    </xf>
    <xf borderId="3" fillId="18" fontId="14" numFmtId="0" xfId="0" applyAlignment="1" applyBorder="1" applyFont="1">
      <alignment horizontal="center" readingOrder="0"/>
    </xf>
    <xf borderId="3" fillId="0" fontId="21" numFmtId="0" xfId="0" applyAlignment="1" applyBorder="1" applyFont="1">
      <alignment readingOrder="0" shrinkToFit="0" vertical="bottom" wrapText="1"/>
    </xf>
    <xf borderId="0" fillId="0" fontId="47" numFmtId="0" xfId="0" applyAlignment="1" applyFont="1">
      <alignment readingOrder="0"/>
    </xf>
    <xf borderId="0" fillId="0" fontId="19" numFmtId="0" xfId="0" applyAlignment="1" applyFont="1">
      <alignment readingOrder="0" shrinkToFit="0" wrapText="0"/>
    </xf>
    <xf borderId="3" fillId="4" fontId="44" numFmtId="0" xfId="0" applyAlignment="1" applyBorder="1" applyFont="1">
      <alignment horizontal="left" readingOrder="0"/>
    </xf>
    <xf borderId="0" fillId="4" fontId="48" numFmtId="0" xfId="0" applyAlignment="1" applyFont="1">
      <alignment horizontal="left" readingOrder="0"/>
    </xf>
    <xf borderId="1" fillId="4" fontId="44" numFmtId="0" xfId="0" applyAlignment="1" applyBorder="1" applyFont="1">
      <alignment horizontal="left" readingOrder="0"/>
    </xf>
    <xf borderId="0" fillId="0" fontId="49" numFmtId="0" xfId="0" applyAlignment="1" applyFont="1">
      <alignment readingOrder="0"/>
    </xf>
    <xf borderId="1" fillId="11" fontId="5" numFmtId="0" xfId="0" applyAlignment="1" applyBorder="1" applyFont="1">
      <alignment readingOrder="0"/>
    </xf>
    <xf borderId="3" fillId="11" fontId="5" numFmtId="0" xfId="0" applyAlignment="1" applyBorder="1" applyFont="1">
      <alignment readingOrder="0"/>
    </xf>
    <xf borderId="0" fillId="4" fontId="19" numFmtId="0" xfId="0" applyAlignment="1" applyFont="1">
      <alignment readingOrder="0" shrinkToFit="0" wrapText="1"/>
    </xf>
    <xf borderId="0" fillId="0" fontId="19" numFmtId="174" xfId="0" applyAlignment="1" applyFont="1" applyNumberFormat="1">
      <alignment readingOrder="0"/>
    </xf>
    <xf borderId="3" fillId="0" fontId="21" numFmtId="0" xfId="0" applyAlignment="1" applyBorder="1" applyFont="1">
      <alignment vertical="bottom"/>
    </xf>
    <xf borderId="3" fillId="4" fontId="3" numFmtId="0" xfId="0" applyAlignment="1" applyBorder="1" applyFont="1">
      <alignment readingOrder="0"/>
    </xf>
    <xf borderId="0" fillId="4" fontId="21" numFmtId="0" xfId="0" applyAlignment="1" applyFont="1">
      <alignment horizontal="left" readingOrder="0"/>
    </xf>
    <xf borderId="0" fillId="19" fontId="5" numFmtId="0" xfId="0" applyAlignment="1" applyFill="1" applyFont="1">
      <alignment readingOrder="0"/>
    </xf>
    <xf borderId="0" fillId="0" fontId="5" numFmtId="10" xfId="0" applyFont="1" applyNumberFormat="1"/>
    <xf borderId="0" fillId="19" fontId="5" numFmtId="0" xfId="0" applyFont="1"/>
    <xf borderId="0" fillId="4" fontId="20" numFmtId="49" xfId="0" applyAlignment="1" applyFont="1" applyNumberFormat="1">
      <alignment horizontal="left" readingOrder="0"/>
    </xf>
    <xf borderId="1" fillId="0" fontId="23" numFmtId="0" xfId="0" applyAlignment="1" applyBorder="1" applyFont="1">
      <alignment readingOrder="0"/>
    </xf>
    <xf borderId="0" fillId="0" fontId="23" numFmtId="0" xfId="0" applyAlignment="1" applyFont="1">
      <alignment readingOrder="0"/>
    </xf>
    <xf borderId="3" fillId="0" fontId="23" numFmtId="0" xfId="0" applyAlignment="1" applyBorder="1" applyFont="1">
      <alignment readingOrder="0"/>
    </xf>
    <xf borderId="1" fillId="4" fontId="19" numFmtId="0" xfId="0" applyBorder="1" applyFont="1"/>
    <xf borderId="0" fillId="0" fontId="14" numFmtId="49" xfId="0" applyAlignment="1" applyFont="1" applyNumberFormat="1">
      <alignment readingOrder="0"/>
    </xf>
    <xf borderId="0" fillId="0" fontId="20" numFmtId="0" xfId="0" applyAlignment="1" applyFont="1">
      <alignment vertical="bottom"/>
    </xf>
    <xf borderId="0" fillId="4" fontId="14" numFmtId="0" xfId="0" applyAlignment="1" applyFont="1">
      <alignment shrinkToFit="0" wrapText="0"/>
    </xf>
    <xf borderId="0" fillId="0" fontId="50" numFmtId="0" xfId="0" applyAlignment="1" applyFont="1">
      <alignment readingOrder="0"/>
    </xf>
    <xf borderId="3" fillId="0" fontId="5" numFmtId="0" xfId="0" applyAlignment="1" applyBorder="1" applyFont="1">
      <alignment shrinkToFit="0" wrapText="1"/>
    </xf>
    <xf borderId="0" fillId="20" fontId="5" numFmtId="164" xfId="0" applyAlignment="1" applyFill="1" applyFont="1" applyNumberFormat="1">
      <alignment readingOrder="0"/>
    </xf>
    <xf borderId="0" fillId="20" fontId="5" numFmtId="0" xfId="0" applyAlignment="1" applyFont="1">
      <alignment readingOrder="0"/>
    </xf>
    <xf borderId="0" fillId="20" fontId="5" numFmtId="0" xfId="0" applyFont="1"/>
    <xf borderId="0" fillId="3" fontId="19" numFmtId="0" xfId="0" applyAlignment="1" applyFont="1">
      <alignment readingOrder="0"/>
    </xf>
    <xf borderId="0" fillId="3" fontId="19" numFmtId="49" xfId="0" applyAlignment="1" applyFont="1" applyNumberFormat="1">
      <alignment readingOrder="0"/>
    </xf>
    <xf borderId="0" fillId="20" fontId="14" numFmtId="0" xfId="0" applyAlignment="1" applyFont="1">
      <alignment readingOrder="0"/>
    </xf>
    <xf borderId="0" fillId="3" fontId="19" numFmtId="0" xfId="0" applyFont="1"/>
    <xf borderId="3" fillId="3" fontId="19" numFmtId="0" xfId="0" applyBorder="1" applyFont="1"/>
    <xf borderId="0" fillId="3" fontId="19" numFmtId="0" xfId="0" applyAlignment="1" applyFont="1">
      <alignment shrinkToFit="0" wrapText="0"/>
    </xf>
    <xf borderId="0" fillId="20" fontId="8" numFmtId="0" xfId="0" applyAlignment="1" applyFont="1">
      <alignment vertical="bottom"/>
    </xf>
    <xf borderId="1" fillId="3" fontId="19" numFmtId="0" xfId="0" applyAlignment="1" applyBorder="1" applyFont="1">
      <alignment readingOrder="0"/>
    </xf>
    <xf borderId="7" fillId="20" fontId="8" numFmtId="0" xfId="0" applyAlignment="1" applyBorder="1" applyFont="1">
      <alignment shrinkToFit="0" vertical="bottom" wrapText="0"/>
    </xf>
    <xf borderId="3" fillId="3" fontId="19" numFmtId="0" xfId="0" applyAlignment="1" applyBorder="1" applyFont="1">
      <alignment readingOrder="0"/>
    </xf>
    <xf borderId="0" fillId="20" fontId="19" numFmtId="0" xfId="0" applyAlignment="1" applyFont="1">
      <alignment readingOrder="0"/>
    </xf>
    <xf borderId="0" fillId="3" fontId="5" numFmtId="0" xfId="0" applyFont="1"/>
    <xf borderId="0" fillId="20" fontId="8" numFmtId="0" xfId="0" applyAlignment="1" applyFont="1">
      <alignment vertical="bottom"/>
    </xf>
    <xf borderId="7" fillId="20" fontId="8" numFmtId="0" xfId="0" applyAlignment="1" applyBorder="1" applyFont="1">
      <alignment shrinkToFit="0" vertical="bottom" wrapText="0"/>
    </xf>
    <xf borderId="7" fillId="0" fontId="8" numFmtId="0" xfId="0" applyAlignment="1" applyBorder="1" applyFont="1">
      <alignment shrinkToFit="0" vertical="bottom" wrapText="0"/>
    </xf>
    <xf borderId="0" fillId="0" fontId="8" numFmtId="0" xfId="0" applyAlignment="1" applyFont="1">
      <alignment vertical="bottom"/>
    </xf>
    <xf borderId="0" fillId="0" fontId="46" numFmtId="0" xfId="0" applyAlignment="1" applyFont="1">
      <alignment readingOrder="0"/>
    </xf>
    <xf borderId="0" fillId="0" fontId="51" numFmtId="0" xfId="0" applyAlignment="1" applyFont="1">
      <alignment horizontal="center" readingOrder="0"/>
    </xf>
    <xf borderId="0" fillId="0" fontId="20" numFmtId="0" xfId="0" applyAlignment="1" applyFont="1">
      <alignment horizontal="left" readingOrder="0"/>
    </xf>
    <xf borderId="0" fillId="20" fontId="20" numFmtId="0" xfId="0" applyAlignment="1" applyFont="1">
      <alignment horizontal="left" readingOrder="0"/>
    </xf>
    <xf borderId="0" fillId="20" fontId="8" numFmtId="0" xfId="0" applyAlignment="1" applyFont="1">
      <alignment readingOrder="0" vertical="bottom"/>
    </xf>
    <xf borderId="0" fillId="20" fontId="52" numFmtId="0" xfId="0" applyAlignment="1" applyFont="1">
      <alignment vertical="bottom"/>
    </xf>
    <xf borderId="3" fillId="0" fontId="14" numFmtId="0" xfId="0" applyBorder="1" applyFont="1"/>
    <xf borderId="1" fillId="0" fontId="14" numFmtId="0" xfId="0" applyBorder="1" applyFont="1"/>
    <xf borderId="0" fillId="0" fontId="23" numFmtId="0" xfId="0" applyFont="1"/>
    <xf borderId="0" fillId="4" fontId="19" numFmtId="0" xfId="0" applyAlignment="1" applyFont="1">
      <alignment horizontal="center" readingOrder="0" vertical="center"/>
    </xf>
    <xf borderId="0" fillId="4" fontId="53" numFmtId="0" xfId="0" applyAlignment="1" applyFont="1">
      <alignment horizontal="left" readingOrder="0"/>
    </xf>
    <xf borderId="1" fillId="4" fontId="21" numFmtId="0" xfId="0" applyAlignment="1" applyBorder="1" applyFont="1">
      <alignment horizontal="left" readingOrder="0"/>
    </xf>
    <xf borderId="0" fillId="0" fontId="21" numFmtId="0" xfId="0" applyAlignment="1" applyFont="1">
      <alignment vertical="bottom"/>
    </xf>
    <xf borderId="0" fillId="0" fontId="53" numFmtId="0" xfId="0" applyAlignment="1" applyFont="1">
      <alignment horizontal="left" readingOrder="0"/>
    </xf>
    <xf borderId="0" fillId="4" fontId="19" numFmtId="168" xfId="0" applyAlignment="1" applyFont="1" applyNumberFormat="1">
      <alignment horizontal="left" readingOrder="0"/>
    </xf>
    <xf borderId="0" fillId="0" fontId="14" numFmtId="0" xfId="0" applyAlignment="1" applyFont="1">
      <alignment shrinkToFit="0" wrapText="0"/>
    </xf>
    <xf borderId="0" fillId="0" fontId="20" numFmtId="0" xfId="0" applyAlignment="1" applyFont="1">
      <alignment vertical="bottom"/>
    </xf>
    <xf borderId="1" fillId="18" fontId="19" numFmtId="0" xfId="0" applyAlignment="1" applyBorder="1" applyFont="1">
      <alignment readingOrder="0"/>
    </xf>
    <xf borderId="0" fillId="18" fontId="19" numFmtId="0" xfId="0" applyAlignment="1" applyFont="1">
      <alignment readingOrder="0"/>
    </xf>
    <xf borderId="3" fillId="18" fontId="19" numFmtId="0" xfId="0" applyAlignment="1" applyBorder="1" applyFont="1">
      <alignment readingOrder="0"/>
    </xf>
    <xf borderId="1" fillId="18" fontId="14" numFmtId="0" xfId="0" applyAlignment="1" applyBorder="1" applyFont="1">
      <alignment readingOrder="0"/>
    </xf>
    <xf borderId="0" fillId="18" fontId="14" numFmtId="0" xfId="0" applyAlignment="1" applyFont="1">
      <alignment readingOrder="0"/>
    </xf>
    <xf borderId="3" fillId="18" fontId="14" numFmtId="0" xfId="0" applyAlignment="1" applyBorder="1" applyFont="1">
      <alignment readingOrder="0"/>
    </xf>
    <xf borderId="1" fillId="21" fontId="54" numFmtId="0" xfId="0" applyAlignment="1" applyBorder="1" applyFill="1" applyFont="1">
      <alignment readingOrder="0"/>
    </xf>
    <xf borderId="0" fillId="21" fontId="54" numFmtId="0" xfId="0" applyAlignment="1" applyFont="1">
      <alignment readingOrder="0"/>
    </xf>
    <xf borderId="3" fillId="21" fontId="54" numFmtId="0" xfId="0" applyAlignment="1" applyBorder="1" applyFont="1">
      <alignment readingOrder="0"/>
    </xf>
    <xf borderId="0" fillId="7" fontId="3" numFmtId="172" xfId="0" applyAlignment="1" applyFont="1" applyNumberFormat="1">
      <alignment readingOrder="0" shrinkToFit="0" wrapText="1"/>
    </xf>
    <xf borderId="0" fillId="7" fontId="3" numFmtId="0" xfId="0" applyAlignment="1" applyFont="1">
      <alignment readingOrder="0" shrinkToFit="0" wrapText="1"/>
    </xf>
    <xf borderId="0" fillId="7" fontId="5" numFmtId="0" xfId="0" applyAlignment="1" applyFont="1">
      <alignment readingOrder="0" shrinkToFit="0" wrapText="1"/>
    </xf>
    <xf borderId="0" fillId="7" fontId="5" numFmtId="14" xfId="0" applyAlignment="1" applyFont="1" applyNumberFormat="1">
      <alignment readingOrder="0" shrinkToFit="0" wrapText="1"/>
    </xf>
    <xf borderId="0" fillId="7" fontId="5" numFmtId="0" xfId="0" applyAlignment="1" applyFont="1">
      <alignment readingOrder="0" shrinkToFit="0" wrapText="1"/>
    </xf>
    <xf borderId="0" fillId="7" fontId="5" numFmtId="0" xfId="0" applyAlignment="1" applyFont="1">
      <alignment shrinkToFit="0" wrapText="1"/>
    </xf>
    <xf borderId="0" fillId="20" fontId="5" numFmtId="0" xfId="0" applyAlignment="1" applyFont="1">
      <alignment readingOrder="0" shrinkToFit="0" wrapText="1"/>
    </xf>
    <xf borderId="0" fillId="7" fontId="5" numFmtId="172" xfId="0" applyAlignment="1" applyFont="1" applyNumberFormat="1">
      <alignment readingOrder="0" shrinkToFit="0" wrapText="1"/>
    </xf>
    <xf borderId="0" fillId="20" fontId="23" numFmtId="0" xfId="0" applyAlignment="1" applyFont="1">
      <alignment readingOrder="0" shrinkToFit="0" wrapText="1"/>
    </xf>
    <xf borderId="0" fillId="20" fontId="20" numFmtId="0" xfId="0" applyAlignment="1" applyFont="1">
      <alignment horizontal="left" readingOrder="0" shrinkToFit="0" wrapText="1"/>
    </xf>
    <xf borderId="0" fillId="7" fontId="5" numFmtId="164" xfId="0" applyAlignment="1" applyFont="1" applyNumberFormat="1">
      <alignment readingOrder="0" shrinkToFit="0" wrapText="1"/>
    </xf>
    <xf borderId="0" fillId="20" fontId="5" numFmtId="0" xfId="0" applyAlignment="1" applyFont="1">
      <alignment shrinkToFit="0" wrapText="1"/>
    </xf>
    <xf borderId="0" fillId="20" fontId="14" numFmtId="0" xfId="0" applyAlignment="1" applyFont="1">
      <alignment readingOrder="0" shrinkToFit="0" wrapText="1"/>
    </xf>
    <xf borderId="0" fillId="4" fontId="5" numFmtId="0" xfId="0" applyAlignment="1" applyFont="1">
      <alignment shrinkToFit="0" wrapText="1"/>
    </xf>
    <xf borderId="0" fillId="7" fontId="5" numFmtId="49" xfId="0" applyAlignment="1" applyFont="1" applyNumberFormat="1">
      <alignment readingOrder="0" shrinkToFit="0" wrapText="1"/>
    </xf>
    <xf borderId="0" fillId="7" fontId="55" numFmtId="14" xfId="0" applyAlignment="1" applyFont="1" applyNumberFormat="1">
      <alignment horizontal="right" readingOrder="0" shrinkToFit="0" vertical="bottom" wrapText="1"/>
    </xf>
    <xf borderId="0" fillId="7" fontId="55" numFmtId="0" xfId="0" applyAlignment="1" applyFont="1">
      <alignment horizontal="right" readingOrder="0" shrinkToFit="0" vertical="bottom" wrapText="1"/>
    </xf>
    <xf borderId="0" fillId="0" fontId="19" numFmtId="0" xfId="0" applyAlignment="1" applyFont="1">
      <alignment readingOrder="0" shrinkToFit="0" wrapText="1"/>
    </xf>
    <xf borderId="0" fillId="20" fontId="19" numFmtId="0" xfId="0" applyAlignment="1" applyFont="1">
      <alignment readingOrder="0" shrinkToFit="0" wrapText="1"/>
    </xf>
    <xf borderId="0" fillId="20" fontId="14" numFmtId="0" xfId="0" applyAlignment="1" applyFont="1">
      <alignment shrinkToFit="0" wrapText="1"/>
    </xf>
    <xf borderId="0" fillId="20" fontId="8" numFmtId="0" xfId="0" applyAlignment="1" applyFont="1">
      <alignment shrinkToFit="0" vertical="bottom" wrapText="1"/>
    </xf>
    <xf borderId="0" fillId="0" fontId="14" numFmtId="0" xfId="0" applyAlignment="1" applyFont="1">
      <alignment readingOrder="0" shrinkToFit="0" wrapText="1"/>
    </xf>
    <xf borderId="0" fillId="7" fontId="5" numFmtId="165" xfId="0" applyAlignment="1" applyFont="1" applyNumberFormat="1">
      <alignment readingOrder="0" shrinkToFit="0" wrapText="1"/>
    </xf>
    <xf borderId="0" fillId="18" fontId="5" numFmtId="0" xfId="0" applyAlignment="1" applyFont="1">
      <alignment readingOrder="0" shrinkToFit="0" wrapText="1"/>
    </xf>
    <xf borderId="8" fillId="22" fontId="56" numFmtId="0" xfId="0" applyAlignment="1" applyBorder="1" applyFill="1" applyFont="1">
      <alignment readingOrder="0" vertical="top"/>
    </xf>
    <xf borderId="0" fillId="23" fontId="5" numFmtId="0" xfId="0" applyAlignment="1" applyFill="1" applyFont="1">
      <alignment readingOrder="0" shrinkToFit="0" wrapText="1"/>
    </xf>
    <xf borderId="0" fillId="20" fontId="5" numFmtId="172" xfId="0" applyAlignment="1" applyFont="1" applyNumberFormat="1">
      <alignment readingOrder="0" shrinkToFit="0" wrapText="1"/>
    </xf>
    <xf borderId="0" fillId="20" fontId="5" numFmtId="164" xfId="0" applyAlignment="1" applyFont="1" applyNumberFormat="1">
      <alignment readingOrder="0" shrinkToFit="0" wrapText="1"/>
    </xf>
    <xf borderId="0" fillId="11" fontId="5" numFmtId="0" xfId="0" applyAlignment="1" applyFont="1">
      <alignment readingOrder="0" shrinkToFit="0" wrapText="1"/>
    </xf>
    <xf borderId="0" fillId="7" fontId="57" numFmtId="0" xfId="0" applyAlignment="1" applyFont="1">
      <alignment readingOrder="0"/>
    </xf>
    <xf borderId="0" fillId="7" fontId="5" numFmtId="172" xfId="0" applyAlignment="1" applyFont="1" applyNumberFormat="1">
      <alignment shrinkToFit="0" wrapText="1"/>
    </xf>
    <xf borderId="8" fillId="0" fontId="7" numFmtId="0" xfId="0" applyAlignment="1" applyBorder="1" applyFont="1">
      <alignment readingOrder="0" vertical="top"/>
    </xf>
    <xf borderId="0" fillId="0" fontId="58" numFmtId="0" xfId="0" applyAlignment="1" applyFont="1">
      <alignment readingOrder="0"/>
    </xf>
    <xf borderId="0" fillId="4" fontId="19" numFmtId="0" xfId="0" applyAlignment="1" applyFont="1">
      <alignment horizontal="left" readingOrder="0" vertical="center"/>
    </xf>
    <xf borderId="0" fillId="4" fontId="21" numFmtId="0" xfId="0" applyAlignment="1" applyFont="1">
      <alignment horizontal="right" readingOrder="0" vertical="bottom"/>
    </xf>
    <xf borderId="1" fillId="0" fontId="20" numFmtId="0" xfId="0" applyAlignment="1" applyBorder="1" applyFont="1">
      <alignment vertical="bottom"/>
    </xf>
    <xf borderId="3" fillId="0" fontId="20" numFmtId="0" xfId="0" applyAlignment="1" applyBorder="1" applyFont="1">
      <alignment vertical="bottom"/>
    </xf>
    <xf borderId="0" fillId="4" fontId="21" numFmtId="0" xfId="0" applyAlignment="1" applyFont="1">
      <alignment horizontal="right" vertical="bottom"/>
    </xf>
    <xf borderId="3" fillId="4" fontId="21" numFmtId="0" xfId="0" applyAlignment="1" applyBorder="1" applyFont="1">
      <alignment vertical="bottom"/>
    </xf>
    <xf borderId="1" fillId="0" fontId="47" numFmtId="0" xfId="0" applyAlignment="1" applyBorder="1" applyFont="1">
      <alignment readingOrder="0"/>
    </xf>
    <xf borderId="3" fillId="0" fontId="47" numFmtId="0" xfId="0" applyAlignment="1" applyBorder="1" applyFont="1">
      <alignment readingOrder="0"/>
    </xf>
    <xf borderId="1" fillId="24" fontId="10" numFmtId="0" xfId="0" applyAlignment="1" applyBorder="1" applyFill="1" applyFont="1">
      <alignment readingOrder="0"/>
    </xf>
    <xf borderId="0" fillId="24" fontId="10" numFmtId="0" xfId="0" applyAlignment="1" applyFont="1">
      <alignment readingOrder="0"/>
    </xf>
    <xf borderId="3" fillId="24" fontId="10" numFmtId="0" xfId="0" applyAlignment="1" applyBorder="1" applyFont="1">
      <alignment readingOrder="0"/>
    </xf>
    <xf borderId="0" fillId="24" fontId="5" numFmtId="0" xfId="0" applyFont="1"/>
    <xf borderId="3" fillId="0" fontId="8" numFmtId="0" xfId="0" applyAlignment="1" applyBorder="1" applyFont="1">
      <alignment readingOrder="0" vertical="bottom"/>
    </xf>
    <xf borderId="0" fillId="4" fontId="47" numFmtId="0" xfId="0" applyAlignment="1" applyFont="1">
      <alignment horizontal="left" readingOrder="0"/>
    </xf>
    <xf borderId="0" fillId="0" fontId="59" numFmtId="0" xfId="0" applyAlignment="1" applyFont="1">
      <alignment readingOrder="0"/>
    </xf>
    <xf borderId="0" fillId="4" fontId="6" numFmtId="0" xfId="0" applyAlignment="1" applyFont="1">
      <alignment horizontal="left" readingOrder="0"/>
    </xf>
    <xf borderId="0" fillId="4" fontId="59" numFmtId="0" xfId="0" applyAlignment="1" applyFont="1">
      <alignment readingOrder="0"/>
    </xf>
    <xf borderId="0" fillId="0" fontId="8" numFmtId="49" xfId="0" applyAlignment="1" applyFont="1" applyNumberFormat="1">
      <alignment horizontal="right" vertical="bottom"/>
    </xf>
    <xf borderId="0" fillId="11" fontId="5" numFmtId="49" xfId="0" applyFont="1" applyNumberFormat="1"/>
    <xf borderId="3" fillId="11" fontId="5" numFmtId="0" xfId="0" applyBorder="1" applyFont="1"/>
    <xf borderId="0" fillId="11" fontId="5" numFmtId="0" xfId="0" applyAlignment="1" applyFont="1">
      <alignment shrinkToFit="0" wrapText="0"/>
    </xf>
    <xf borderId="0" fillId="11" fontId="14" numFmtId="0" xfId="0" applyFont="1"/>
    <xf borderId="3" fillId="11" fontId="14" numFmtId="0" xfId="0" applyAlignment="1" applyBorder="1" applyFont="1">
      <alignment readingOrder="0"/>
    </xf>
    <xf borderId="0" fillId="21" fontId="60" numFmtId="0" xfId="0" applyAlignment="1" applyFont="1">
      <alignment readingOrder="0"/>
    </xf>
    <xf borderId="0" fillId="11" fontId="19" numFmtId="0" xfId="0" applyFont="1"/>
    <xf borderId="0" fillId="5" fontId="14" numFmtId="0" xfId="0" applyAlignment="1" applyFont="1">
      <alignment readingOrder="0"/>
    </xf>
    <xf borderId="0" fillId="5" fontId="14" numFmtId="0" xfId="0" applyFont="1"/>
    <xf borderId="3" fillId="5" fontId="5" numFmtId="0" xfId="0" applyAlignment="1" applyBorder="1" applyFont="1">
      <alignment shrinkToFit="0" wrapText="0"/>
    </xf>
    <xf borderId="1" fillId="7" fontId="14" numFmtId="0" xfId="0" applyBorder="1" applyFont="1"/>
    <xf borderId="0" fillId="7" fontId="14" numFmtId="0" xfId="0" applyFont="1"/>
    <xf borderId="0" fillId="7" fontId="5" numFmtId="0" xfId="0" applyAlignment="1" applyFont="1">
      <alignment readingOrder="0" shrinkToFit="0" wrapText="0"/>
    </xf>
    <xf borderId="3" fillId="7" fontId="5" numFmtId="0" xfId="0" applyAlignment="1" applyBorder="1" applyFont="1">
      <alignment readingOrder="0" shrinkToFit="0" wrapText="0"/>
    </xf>
    <xf borderId="0" fillId="8" fontId="5" numFmtId="0" xfId="0" applyAlignment="1" applyFont="1">
      <alignment readingOrder="0"/>
    </xf>
    <xf borderId="3" fillId="9" fontId="14" numFmtId="0" xfId="0" applyAlignment="1" applyBorder="1" applyFont="1">
      <alignment readingOrder="0"/>
    </xf>
    <xf borderId="1" fillId="4" fontId="19" numFmtId="0" xfId="0" applyAlignment="1" applyBorder="1" applyFont="1">
      <alignment readingOrder="0"/>
    </xf>
    <xf borderId="0" fillId="4" fontId="19" numFmtId="0" xfId="0" applyAlignment="1" applyFont="1">
      <alignment readingOrder="0"/>
    </xf>
    <xf borderId="3" fillId="4" fontId="19" numFmtId="0" xfId="0" applyAlignment="1" applyBorder="1" applyFont="1">
      <alignment readingOrder="0"/>
    </xf>
    <xf borderId="0" fillId="4" fontId="61" numFmtId="0" xfId="0" applyAlignment="1" applyFont="1">
      <alignment readingOrder="0"/>
    </xf>
    <xf borderId="0" fillId="4" fontId="19" numFmtId="0" xfId="0" applyAlignment="1" applyFont="1">
      <alignment readingOrder="0" shrinkToFit="0" wrapText="0"/>
    </xf>
    <xf borderId="0" fillId="5" fontId="19" numFmtId="0" xfId="0" applyAlignment="1" applyFont="1">
      <alignment readingOrder="0"/>
    </xf>
    <xf borderId="0" fillId="5" fontId="19" numFmtId="0" xfId="0" applyFont="1"/>
    <xf borderId="3" fillId="5" fontId="16" numFmtId="0" xfId="0" applyAlignment="1" applyBorder="1" applyFont="1">
      <alignment readingOrder="0" shrinkToFit="0" wrapText="0"/>
    </xf>
    <xf borderId="0" fillId="20" fontId="14" numFmtId="0" xfId="0" applyFont="1"/>
    <xf borderId="0" fillId="20" fontId="14" numFmtId="49" xfId="0" applyAlignment="1" applyFont="1" applyNumberFormat="1">
      <alignment readingOrder="0"/>
    </xf>
    <xf borderId="3" fillId="20" fontId="14" numFmtId="0" xfId="0" applyBorder="1" applyFont="1"/>
    <xf borderId="0" fillId="20" fontId="14" numFmtId="0" xfId="0" applyAlignment="1" applyFont="1">
      <alignment shrinkToFit="0" wrapText="0"/>
    </xf>
    <xf borderId="1" fillId="20" fontId="14" numFmtId="0" xfId="0" applyAlignment="1" applyBorder="1" applyFont="1">
      <alignment readingOrder="0"/>
    </xf>
    <xf borderId="3" fillId="20" fontId="14" numFmtId="0" xfId="0" applyAlignment="1" applyBorder="1" applyFont="1">
      <alignment readingOrder="0"/>
    </xf>
    <xf borderId="1" fillId="7" fontId="14" numFmtId="0" xfId="0" applyAlignment="1" applyBorder="1" applyFont="1">
      <alignment readingOrder="0"/>
    </xf>
    <xf borderId="0" fillId="7" fontId="14" numFmtId="0" xfId="0" applyAlignment="1" applyFont="1">
      <alignment readingOrder="0"/>
    </xf>
    <xf borderId="0" fillId="4" fontId="19" numFmtId="49" xfId="0" applyFont="1" applyNumberFormat="1"/>
    <xf borderId="0" fillId="3" fontId="14" numFmtId="0" xfId="0" applyFont="1"/>
    <xf borderId="0" fillId="11" fontId="14" numFmtId="0" xfId="0" applyAlignment="1" applyFont="1">
      <alignment readingOrder="0"/>
    </xf>
    <xf borderId="0" fillId="11" fontId="14" numFmtId="49" xfId="0" applyAlignment="1" applyFont="1" applyNumberFormat="1">
      <alignment readingOrder="0"/>
    </xf>
    <xf borderId="3" fillId="5" fontId="14" numFmtId="0" xfId="0" applyAlignment="1" applyBorder="1" applyFont="1">
      <alignment readingOrder="0" shrinkToFit="0" wrapText="0"/>
    </xf>
    <xf borderId="0" fillId="7" fontId="19" numFmtId="0" xfId="0" applyAlignment="1" applyFont="1">
      <alignment readingOrder="0" shrinkToFit="0" wrapText="0"/>
    </xf>
    <xf borderId="3" fillId="7" fontId="19" numFmtId="0" xfId="0" applyAlignment="1" applyBorder="1" applyFont="1">
      <alignment readingOrder="0" shrinkToFit="0" wrapText="0"/>
    </xf>
    <xf borderId="0" fillId="8" fontId="19" numFmtId="0" xfId="0" applyAlignment="1" applyFont="1">
      <alignment readingOrder="0"/>
    </xf>
    <xf borderId="0" fillId="11" fontId="19" numFmtId="0" xfId="0" applyAlignment="1" applyFont="1">
      <alignment readingOrder="0"/>
    </xf>
    <xf borderId="0" fillId="11" fontId="5" numFmtId="49" xfId="0" applyAlignment="1" applyFont="1" applyNumberFormat="1">
      <alignment readingOrder="0"/>
    </xf>
    <xf borderId="3" fillId="5" fontId="5" numFmtId="0" xfId="0" applyAlignment="1" applyBorder="1" applyFont="1">
      <alignment readingOrder="0" shrinkToFit="0" wrapText="0"/>
    </xf>
    <xf borderId="0" fillId="4" fontId="60" numFmtId="0" xfId="0" applyAlignment="1" applyFont="1">
      <alignment shrinkToFit="0" wrapText="0"/>
    </xf>
    <xf borderId="0" fillId="21" fontId="60" numFmtId="0" xfId="0" applyFont="1"/>
    <xf borderId="0" fillId="7" fontId="60" numFmtId="0" xfId="0" applyAlignment="1" applyFont="1">
      <alignment readingOrder="0" shrinkToFit="0" wrapText="0"/>
    </xf>
    <xf borderId="3" fillId="7" fontId="60" numFmtId="0" xfId="0" applyAlignment="1" applyBorder="1" applyFont="1">
      <alignment readingOrder="0" shrinkToFit="0" wrapText="0"/>
    </xf>
    <xf borderId="0" fillId="8" fontId="60" numFmtId="0" xfId="0" applyAlignment="1" applyFont="1">
      <alignment readingOrder="0"/>
    </xf>
    <xf borderId="3" fillId="9" fontId="14" numFmtId="0" xfId="0" applyBorder="1" applyFont="1"/>
    <xf borderId="0" fillId="4" fontId="60" numFmtId="0" xfId="0" applyAlignment="1" applyFont="1">
      <alignment readingOrder="0"/>
    </xf>
    <xf borderId="0" fillId="4" fontId="60" numFmtId="0" xfId="0" applyFont="1"/>
    <xf borderId="0" fillId="4" fontId="14" numFmtId="4" xfId="0" applyAlignment="1" applyFont="1" applyNumberFormat="1">
      <alignment readingOrder="0"/>
    </xf>
    <xf borderId="0" fillId="5" fontId="14" numFmtId="0" xfId="0" applyAlignment="1" applyFont="1">
      <alignment shrinkToFit="0" wrapText="0"/>
    </xf>
    <xf borderId="0" fillId="0" fontId="19" numFmtId="49" xfId="0" applyFont="1" applyNumberFormat="1"/>
    <xf borderId="0" fillId="21" fontId="19" numFmtId="0" xfId="0" applyAlignment="1" applyFont="1">
      <alignment readingOrder="0"/>
    </xf>
    <xf borderId="3" fillId="5" fontId="5" numFmtId="0" xfId="0" applyAlignment="1" applyBorder="1" applyFont="1">
      <alignment readingOrder="0" shrinkToFit="0" wrapText="1"/>
    </xf>
    <xf borderId="0" fillId="0" fontId="62" numFmtId="0" xfId="0" applyAlignment="1" applyFont="1">
      <alignment readingOrder="0"/>
    </xf>
    <xf borderId="0" fillId="0" fontId="62" numFmtId="49" xfId="0" applyAlignment="1" applyFont="1" applyNumberFormat="1">
      <alignment readingOrder="0"/>
    </xf>
    <xf borderId="0" fillId="0" fontId="62" numFmtId="0" xfId="0" applyFont="1"/>
    <xf borderId="0" fillId="5" fontId="63" numFmtId="0" xfId="0" applyAlignment="1" applyFont="1">
      <alignment readingOrder="0"/>
    </xf>
    <xf borderId="3" fillId="5" fontId="62" numFmtId="0" xfId="0" applyAlignment="1" applyBorder="1" applyFont="1">
      <alignment shrinkToFit="0" wrapText="0"/>
    </xf>
    <xf borderId="0" fillId="4" fontId="62" numFmtId="0" xfId="0" applyAlignment="1" applyFont="1">
      <alignment shrinkToFit="0" wrapText="0"/>
    </xf>
    <xf borderId="0" fillId="0" fontId="63" numFmtId="0" xfId="0" applyFont="1"/>
    <xf borderId="1" fillId="7" fontId="63" numFmtId="0" xfId="0" applyBorder="1" applyFont="1"/>
    <xf borderId="0" fillId="7" fontId="63" numFmtId="0" xfId="0" applyFont="1"/>
    <xf borderId="0" fillId="7" fontId="62" numFmtId="0" xfId="0" applyAlignment="1" applyFont="1">
      <alignment readingOrder="0" shrinkToFit="0" wrapText="0"/>
    </xf>
    <xf borderId="3" fillId="7" fontId="62" numFmtId="0" xfId="0" applyAlignment="1" applyBorder="1" applyFont="1">
      <alignment readingOrder="0" shrinkToFit="0" wrapText="0"/>
    </xf>
    <xf borderId="0" fillId="8" fontId="62" numFmtId="0" xfId="0" applyAlignment="1" applyFont="1">
      <alignment readingOrder="0"/>
    </xf>
    <xf borderId="3" fillId="9" fontId="63" numFmtId="0" xfId="0" applyBorder="1" applyFont="1"/>
    <xf borderId="0" fillId="0" fontId="63" numFmtId="0" xfId="0" applyAlignment="1" applyFont="1">
      <alignment readingOrder="0"/>
    </xf>
    <xf borderId="3" fillId="5" fontId="5" numFmtId="0" xfId="0" applyAlignment="1" applyBorder="1" applyFont="1">
      <alignment shrinkToFit="0" wrapText="1"/>
    </xf>
    <xf borderId="3" fillId="5" fontId="19" numFmtId="0" xfId="0" applyAlignment="1" applyBorder="1" applyFont="1">
      <alignment readingOrder="0" shrinkToFit="0" wrapText="1"/>
    </xf>
    <xf borderId="0" fillId="0" fontId="5" numFmtId="0" xfId="0" applyFont="1"/>
    <xf borderId="0" fillId="7" fontId="5" numFmtId="0" xfId="0" applyAlignment="1" applyFont="1">
      <alignment shrinkToFit="0" wrapText="0"/>
    </xf>
    <xf borderId="3" fillId="7" fontId="5" numFmtId="0" xfId="0" applyAlignment="1" applyBorder="1" applyFont="1">
      <alignment shrinkToFit="0" wrapText="0"/>
    </xf>
    <xf borderId="3" fillId="5" fontId="19" numFmtId="0" xfId="0" applyAlignment="1" applyBorder="1" applyFont="1">
      <alignment shrinkToFit="0" wrapText="1"/>
    </xf>
    <xf borderId="3" fillId="5" fontId="19" numFmtId="0" xfId="0" applyAlignment="1" applyBorder="1" applyFont="1">
      <alignment shrinkToFit="0" wrapText="0"/>
    </xf>
    <xf borderId="0" fillId="8" fontId="5" numFmtId="0" xfId="0" applyFont="1"/>
    <xf borderId="0" fillId="7" fontId="19" numFmtId="0" xfId="0" applyAlignment="1" applyFont="1">
      <alignment shrinkToFit="0" wrapText="0"/>
    </xf>
    <xf borderId="3" fillId="7" fontId="19" numFmtId="0" xfId="0" applyAlignment="1" applyBorder="1" applyFont="1">
      <alignment shrinkToFit="0" wrapText="0"/>
    </xf>
    <xf borderId="0" fillId="6" fontId="19" numFmtId="0" xfId="0" applyAlignment="1" applyFont="1">
      <alignment readingOrder="0"/>
    </xf>
    <xf borderId="0" fillId="6" fontId="19" numFmtId="49" xfId="0" applyAlignment="1" applyFont="1" applyNumberFormat="1">
      <alignment readingOrder="0"/>
    </xf>
    <xf borderId="3" fillId="6" fontId="5" numFmtId="0" xfId="0" applyBorder="1" applyFont="1"/>
    <xf borderId="0" fillId="6" fontId="5" numFmtId="0" xfId="0" applyAlignment="1" applyFont="1">
      <alignment shrinkToFit="0" wrapText="0"/>
    </xf>
    <xf borderId="0" fillId="6" fontId="14" numFmtId="0" xfId="0" applyFont="1"/>
    <xf borderId="1" fillId="6" fontId="5" numFmtId="0" xfId="0" applyAlignment="1" applyBorder="1" applyFont="1">
      <alignment readingOrder="0"/>
    </xf>
    <xf borderId="3" fillId="6" fontId="14" numFmtId="0" xfId="0" applyAlignment="1" applyBorder="1" applyFont="1">
      <alignment readingOrder="0"/>
    </xf>
    <xf borderId="0" fillId="4" fontId="22" numFmtId="0" xfId="0" applyAlignment="1" applyFont="1">
      <alignment shrinkToFit="0" wrapText="0"/>
    </xf>
    <xf borderId="0" fillId="0" fontId="22" numFmtId="0" xfId="0" applyFont="1"/>
    <xf borderId="0" fillId="7" fontId="22" numFmtId="0" xfId="0" applyAlignment="1" applyFont="1">
      <alignment readingOrder="0" shrinkToFit="0" wrapText="0"/>
    </xf>
    <xf borderId="3" fillId="7" fontId="22" numFmtId="0" xfId="0" applyAlignment="1" applyBorder="1" applyFont="1">
      <alignment readingOrder="0" shrinkToFit="0" wrapText="0"/>
    </xf>
    <xf borderId="0" fillId="8" fontId="22" numFmtId="0" xfId="0" applyFont="1"/>
    <xf borderId="0" fillId="0" fontId="22" numFmtId="0" xfId="0" applyAlignment="1" applyFont="1">
      <alignment readingOrder="0"/>
    </xf>
    <xf borderId="3" fillId="18" fontId="5" numFmtId="0" xfId="0" applyBorder="1" applyFont="1"/>
    <xf borderId="0" fillId="0" fontId="8" numFmtId="49" xfId="0" applyAlignment="1" applyFont="1" applyNumberFormat="1">
      <alignment vertical="bottom"/>
    </xf>
    <xf borderId="0" fillId="5" fontId="20" numFmtId="0" xfId="0" applyAlignment="1" applyFont="1">
      <alignment vertical="bottom"/>
    </xf>
    <xf borderId="3" fillId="5" fontId="8" numFmtId="0" xfId="0" applyAlignment="1" applyBorder="1" applyFont="1">
      <alignment shrinkToFit="0" vertical="bottom" wrapText="0"/>
    </xf>
    <xf borderId="0" fillId="4" fontId="8" numFmtId="0" xfId="0" applyAlignment="1" applyFont="1">
      <alignment shrinkToFit="0" vertical="bottom" wrapText="0"/>
    </xf>
    <xf borderId="0" fillId="7" fontId="8" numFmtId="0" xfId="0" applyAlignment="1" applyFont="1">
      <alignment shrinkToFit="0" vertical="bottom" wrapText="0"/>
    </xf>
    <xf borderId="3" fillId="7" fontId="8" numFmtId="0" xfId="0" applyAlignment="1" applyBorder="1" applyFont="1">
      <alignment shrinkToFit="0" vertical="bottom" wrapText="0"/>
    </xf>
    <xf borderId="0" fillId="8" fontId="8" numFmtId="0" xfId="0" applyAlignment="1" applyFont="1">
      <alignment vertical="bottom"/>
    </xf>
    <xf borderId="3" fillId="9" fontId="20" numFmtId="0" xfId="0" applyAlignment="1" applyBorder="1" applyFont="1">
      <alignment readingOrder="0"/>
    </xf>
    <xf borderId="0" fillId="0" fontId="20" numFmtId="0" xfId="0" applyAlignment="1" applyFont="1">
      <alignment readingOrder="0" vertical="bottom"/>
    </xf>
    <xf borderId="3" fillId="5" fontId="62" numFmtId="0" xfId="0" applyAlignment="1" applyBorder="1" applyFont="1">
      <alignment readingOrder="0" shrinkToFit="0" wrapText="0"/>
    </xf>
    <xf borderId="1" fillId="7" fontId="63" numFmtId="0" xfId="0" applyAlignment="1" applyBorder="1" applyFont="1">
      <alignment readingOrder="0"/>
    </xf>
    <xf borderId="0" fillId="7" fontId="63" numFmtId="0" xfId="0" applyAlignment="1" applyFont="1">
      <alignment readingOrder="0"/>
    </xf>
    <xf borderId="3" fillId="7" fontId="62" numFmtId="0" xfId="0" applyAlignment="1" applyBorder="1" applyFont="1">
      <alignment shrinkToFit="0" wrapText="0"/>
    </xf>
    <xf borderId="0" fillId="8" fontId="62" numFmtId="0" xfId="0" applyFont="1"/>
    <xf borderId="0" fillId="4" fontId="62" numFmtId="0" xfId="0" applyAlignment="1" applyFont="1">
      <alignment readingOrder="0"/>
    </xf>
    <xf borderId="1" fillId="7" fontId="19" numFmtId="0" xfId="0" applyBorder="1" applyFont="1"/>
    <xf borderId="0" fillId="7" fontId="19" numFmtId="0" xfId="0" applyFont="1"/>
    <xf borderId="0" fillId="7" fontId="19" numFmtId="0" xfId="0" applyAlignment="1" applyFont="1">
      <alignment readingOrder="0"/>
    </xf>
    <xf borderId="0" fillId="8" fontId="19" numFmtId="0" xfId="0" applyFont="1"/>
    <xf borderId="3" fillId="9" fontId="19" numFmtId="0" xfId="0" applyAlignment="1" applyBorder="1" applyFont="1">
      <alignment readingOrder="0"/>
    </xf>
    <xf borderId="8" fillId="0" fontId="5" numFmtId="0" xfId="0" applyAlignment="1" applyBorder="1" applyFont="1">
      <alignment vertical="top"/>
    </xf>
    <xf borderId="3" fillId="5" fontId="19" numFmtId="0" xfId="0" applyAlignment="1" applyBorder="1" applyFont="1">
      <alignment readingOrder="0" shrinkToFit="0" wrapText="0"/>
    </xf>
    <xf borderId="3" fillId="7" fontId="16" numFmtId="0" xfId="0" applyAlignment="1" applyBorder="1" applyFont="1">
      <alignment readingOrder="0" shrinkToFit="0" wrapText="0"/>
    </xf>
    <xf borderId="0" fillId="4" fontId="37" numFmtId="0" xfId="0" applyFont="1"/>
    <xf borderId="0" fillId="4" fontId="8" numFmtId="166" xfId="0" applyAlignment="1" applyFont="1" applyNumberFormat="1">
      <alignment vertical="bottom"/>
    </xf>
    <xf borderId="0" fillId="0" fontId="64" numFmtId="0" xfId="0" applyAlignment="1" applyFont="1">
      <alignment vertical="bottom"/>
    </xf>
    <xf borderId="0" fillId="4" fontId="52" numFmtId="0" xfId="0" applyAlignment="1" applyFont="1">
      <alignment vertical="bottom"/>
    </xf>
    <xf borderId="0" fillId="0" fontId="63" numFmtId="49" xfId="0" applyAlignment="1" applyFont="1" applyNumberFormat="1">
      <alignment readingOrder="0"/>
    </xf>
    <xf borderId="0" fillId="0" fontId="65" numFmtId="0" xfId="0" applyFont="1"/>
    <xf borderId="0" fillId="4" fontId="8" numFmtId="0" xfId="0" applyAlignment="1" applyFont="1">
      <alignment horizontal="left" vertical="bottom"/>
    </xf>
    <xf borderId="0" fillId="7" fontId="62" numFmtId="0" xfId="0" applyAlignment="1" applyFont="1">
      <alignment shrinkToFit="0" wrapText="0"/>
    </xf>
    <xf borderId="0" fillId="20" fontId="62" numFmtId="0" xfId="0" applyAlignment="1" applyFont="1">
      <alignment readingOrder="0"/>
    </xf>
    <xf borderId="0" fillId="7" fontId="8" numFmtId="0" xfId="0" applyAlignment="1" applyFont="1">
      <alignment vertical="bottom"/>
    </xf>
    <xf borderId="0" fillId="7" fontId="8" numFmtId="166" xfId="0" applyAlignment="1" applyFont="1" applyNumberFormat="1">
      <alignment vertical="bottom"/>
    </xf>
    <xf borderId="0" fillId="0" fontId="45" numFmtId="0" xfId="0" applyAlignment="1" applyFont="1">
      <alignment vertical="bottom"/>
    </xf>
    <xf borderId="9" fillId="0" fontId="45" numFmtId="0" xfId="0" applyAlignment="1" applyBorder="1" applyFont="1">
      <alignment readingOrder="0" vertical="bottom"/>
    </xf>
    <xf borderId="10" fillId="0" fontId="45" numFmtId="0" xfId="0" applyAlignment="1" applyBorder="1" applyFont="1">
      <alignment readingOrder="0" vertical="bottom"/>
    </xf>
    <xf borderId="0" fillId="0" fontId="45" numFmtId="171" xfId="0" applyAlignment="1" applyFont="1" applyNumberFormat="1">
      <alignment readingOrder="0" vertical="bottom"/>
    </xf>
    <xf borderId="0" fillId="4" fontId="65" numFmtId="0" xfId="0" applyAlignment="1" applyFont="1">
      <alignment readingOrder="0"/>
    </xf>
    <xf borderId="0" fillId="0" fontId="45" numFmtId="171" xfId="0" applyAlignment="1" applyFont="1" applyNumberFormat="1">
      <alignment vertical="bottom"/>
    </xf>
    <xf borderId="0" fillId="4" fontId="65" numFmtId="49" xfId="0" applyAlignment="1" applyFont="1" applyNumberFormat="1">
      <alignment readingOrder="0"/>
    </xf>
    <xf borderId="0" fillId="4" fontId="65" numFmtId="0" xfId="0" applyFont="1"/>
    <xf borderId="0" fillId="0" fontId="45" numFmtId="0" xfId="0" applyAlignment="1" applyFont="1">
      <alignment readingOrder="0" vertical="bottom"/>
    </xf>
    <xf borderId="3" fillId="4" fontId="65" numFmtId="0" xfId="0" applyAlignment="1" applyBorder="1" applyFont="1">
      <alignment shrinkToFit="0" wrapText="0"/>
    </xf>
    <xf borderId="0" fillId="4" fontId="8" numFmtId="0" xfId="0" applyAlignment="1" applyFont="1">
      <alignment readingOrder="0" vertical="bottom"/>
    </xf>
    <xf borderId="0" fillId="4" fontId="65" numFmtId="0" xfId="0" applyAlignment="1" applyFont="1">
      <alignment shrinkToFit="0" wrapText="0"/>
    </xf>
    <xf borderId="1" fillId="4" fontId="65" numFmtId="0" xfId="0" applyBorder="1" applyFont="1"/>
    <xf borderId="0" fillId="0" fontId="8" numFmtId="171" xfId="0" applyAlignment="1" applyFont="1" applyNumberFormat="1">
      <alignment horizontal="right" readingOrder="0" vertical="bottom"/>
    </xf>
    <xf borderId="3" fillId="4" fontId="65" numFmtId="0" xfId="0" applyBorder="1" applyFont="1"/>
    <xf borderId="0" fillId="25" fontId="5" numFmtId="0" xfId="0" applyAlignment="1" applyFill="1" applyFont="1">
      <alignment readingOrder="0"/>
    </xf>
    <xf borderId="1" fillId="0" fontId="8" numFmtId="171" xfId="0" applyAlignment="1" applyBorder="1" applyFont="1" applyNumberFormat="1">
      <alignment horizontal="right" readingOrder="0" vertical="bottom"/>
    </xf>
    <xf borderId="3" fillId="0" fontId="8" numFmtId="171" xfId="0" applyAlignment="1" applyBorder="1" applyFont="1" applyNumberFormat="1">
      <alignment horizontal="right" readingOrder="0" vertical="bottom"/>
    </xf>
    <xf borderId="0" fillId="0" fontId="8" numFmtId="171" xfId="0" applyAlignment="1" applyFont="1" applyNumberFormat="1">
      <alignment horizontal="right" vertical="bottom"/>
    </xf>
    <xf borderId="0" fillId="0" fontId="8" numFmtId="175" xfId="0" applyAlignment="1" applyFont="1" applyNumberFormat="1">
      <alignment readingOrder="0" vertical="bottom"/>
    </xf>
    <xf borderId="0" fillId="0" fontId="65" numFmtId="0" xfId="0" applyAlignment="1" applyFont="1">
      <alignment readingOrder="0"/>
    </xf>
    <xf borderId="0" fillId="0" fontId="65" numFmtId="49" xfId="0" applyAlignment="1" applyFont="1" applyNumberFormat="1">
      <alignment readingOrder="0"/>
    </xf>
    <xf borderId="0" fillId="5" fontId="63" numFmtId="0" xfId="0" applyFont="1"/>
    <xf borderId="0" fillId="4" fontId="8" numFmtId="171" xfId="0" applyAlignment="1" applyFont="1" applyNumberFormat="1">
      <alignment horizontal="right" vertical="bottom"/>
    </xf>
    <xf borderId="0" fillId="0" fontId="8" numFmtId="0" xfId="0" applyAlignment="1" applyFont="1">
      <alignment readingOrder="0" vertical="bottom"/>
    </xf>
    <xf borderId="0" fillId="26" fontId="8" numFmtId="171" xfId="0" applyAlignment="1" applyFill="1" applyFont="1" applyNumberFormat="1">
      <alignment horizontal="right" vertical="bottom"/>
    </xf>
    <xf borderId="0" fillId="27" fontId="8" numFmtId="171" xfId="0" applyAlignment="1" applyFill="1" applyFont="1" applyNumberFormat="1">
      <alignment horizontal="right" vertical="bottom"/>
    </xf>
    <xf borderId="0" fillId="4" fontId="5" numFmtId="49" xfId="0" applyFont="1" applyNumberFormat="1"/>
    <xf borderId="0" fillId="23" fontId="5" numFmtId="0" xfId="0" applyFont="1"/>
    <xf borderId="0" fillId="23" fontId="5" numFmtId="0" xfId="0" applyAlignment="1" applyFont="1">
      <alignment readingOrder="0"/>
    </xf>
    <xf borderId="0" fillId="23" fontId="14" numFmtId="0" xfId="0" applyAlignment="1" applyFont="1">
      <alignment readingOrder="0"/>
    </xf>
    <xf borderId="0" fillId="28" fontId="8" numFmtId="171" xfId="0" applyAlignment="1" applyFill="1" applyFont="1" applyNumberFormat="1">
      <alignment horizontal="right" vertical="bottom"/>
    </xf>
    <xf borderId="0" fillId="23" fontId="5" numFmtId="49" xfId="0" applyAlignment="1" applyFont="1" applyNumberFormat="1">
      <alignment readingOrder="0"/>
    </xf>
    <xf borderId="0" fillId="29" fontId="8" numFmtId="171" xfId="0" applyAlignment="1" applyFill="1" applyFont="1" applyNumberFormat="1">
      <alignment horizontal="right" vertical="bottom"/>
    </xf>
    <xf borderId="0" fillId="23" fontId="14" numFmtId="0" xfId="0" applyFont="1"/>
    <xf borderId="0" fillId="0" fontId="5" numFmtId="0" xfId="0" applyAlignment="1" applyFont="1">
      <alignment readingOrder="0" vertical="center"/>
    </xf>
    <xf borderId="8" fillId="0" fontId="5" numFmtId="0" xfId="0" applyAlignment="1" applyBorder="1" applyFont="1">
      <alignment readingOrder="0"/>
    </xf>
    <xf borderId="11" fillId="0" fontId="5" numFmtId="0" xfId="0" applyAlignment="1" applyBorder="1" applyFont="1">
      <alignment readingOrder="0"/>
    </xf>
    <xf borderId="0" fillId="8" fontId="14" numFmtId="0" xfId="0" applyAlignment="1" applyFont="1">
      <alignment readingOrder="0"/>
    </xf>
    <xf borderId="2" fillId="0" fontId="5" numFmtId="0" xfId="0" applyBorder="1" applyFont="1"/>
    <xf borderId="9" fillId="0" fontId="5" numFmtId="0" xfId="0" applyBorder="1" applyFont="1"/>
    <xf borderId="6" fillId="0" fontId="5" numFmtId="0" xfId="0" applyBorder="1" applyFont="1"/>
    <xf borderId="10" fillId="0" fontId="5" numFmtId="0" xfId="0" applyBorder="1" applyFont="1"/>
    <xf borderId="0" fillId="30" fontId="8" numFmtId="171" xfId="0" applyAlignment="1" applyFill="1" applyFont="1" applyNumberFormat="1">
      <alignment horizontal="right" vertical="bottom"/>
    </xf>
    <xf borderId="12" fillId="0" fontId="5" numFmtId="0" xfId="0" applyBorder="1" applyFont="1"/>
    <xf borderId="13" fillId="0" fontId="5" numFmtId="0" xfId="0" applyBorder="1" applyFont="1"/>
    <xf borderId="14" fillId="0" fontId="5" numFmtId="0" xfId="0" applyBorder="1" applyFont="1"/>
    <xf borderId="0" fillId="0" fontId="8" numFmtId="171" xfId="0" applyAlignment="1" applyFont="1" applyNumberFormat="1">
      <alignment readingOrder="0" vertical="bottom"/>
    </xf>
    <xf borderId="0" fillId="0" fontId="8" numFmtId="171" xfId="0" applyAlignment="1" applyFont="1" applyNumberFormat="1">
      <alignment vertical="bottom"/>
    </xf>
    <xf borderId="3" fillId="4" fontId="19" numFmtId="0" xfId="0" applyAlignment="1" applyBorder="1" applyFont="1">
      <alignment shrinkToFit="0" wrapText="0"/>
    </xf>
    <xf borderId="0" fillId="5" fontId="14" numFmtId="0" xfId="0" applyAlignment="1" applyFont="1">
      <alignment readingOrder="0" shrinkToFit="0" wrapText="0"/>
    </xf>
    <xf borderId="3" fillId="5" fontId="14" numFmtId="0" xfId="0" applyAlignment="1" applyBorder="1" applyFont="1">
      <alignment shrinkToFit="0" wrapText="0"/>
    </xf>
    <xf borderId="0" fillId="7" fontId="14" numFmtId="0" xfId="0" applyAlignment="1" applyFont="1">
      <alignment shrinkToFit="0" wrapText="0"/>
    </xf>
    <xf borderId="3" fillId="7" fontId="14" numFmtId="0" xfId="0" applyAlignment="1" applyBorder="1" applyFont="1">
      <alignment shrinkToFit="0" wrapText="0"/>
    </xf>
    <xf borderId="0" fillId="4" fontId="20" numFmtId="49" xfId="0" applyAlignment="1" applyFont="1" applyNumberFormat="1">
      <alignment readingOrder="0"/>
    </xf>
    <xf borderId="0" fillId="4" fontId="21" numFmtId="49" xfId="0" applyAlignment="1" applyFont="1" applyNumberFormat="1">
      <alignment readingOrder="0"/>
    </xf>
    <xf borderId="0" fillId="4" fontId="21" numFmtId="49" xfId="0" applyAlignment="1" applyFont="1" applyNumberFormat="1">
      <alignment readingOrder="0" shrinkToFit="0" wrapText="1"/>
    </xf>
    <xf borderId="0" fillId="4" fontId="20" numFmtId="49" xfId="0" applyAlignment="1" applyFont="1" applyNumberFormat="1">
      <alignment readingOrder="0" shrinkToFit="0" wrapText="1"/>
    </xf>
    <xf borderId="0" fillId="23" fontId="5" numFmtId="49" xfId="0" applyFont="1" applyNumberFormat="1"/>
    <xf borderId="0" fillId="0" fontId="5" numFmtId="0" xfId="0" applyAlignment="1" applyFont="1">
      <alignment readingOrder="0"/>
    </xf>
    <xf borderId="0" fillId="4" fontId="5" numFmtId="0" xfId="0" applyAlignment="1" applyFont="1">
      <alignment readingOrder="0"/>
    </xf>
    <xf borderId="0" fillId="4" fontId="19" numFmtId="0" xfId="0" applyAlignment="1" applyFont="1">
      <alignment readingOrder="0"/>
    </xf>
    <xf borderId="1" fillId="4" fontId="19" numFmtId="49" xfId="0" applyAlignment="1" applyBorder="1" applyFont="1" applyNumberFormat="1">
      <alignment readingOrder="0" shrinkToFit="0" wrapText="0"/>
    </xf>
    <xf borderId="1" fillId="7" fontId="19" numFmtId="0" xfId="0" applyAlignment="1" applyBorder="1" applyFont="1">
      <alignment readingOrder="0"/>
    </xf>
    <xf borderId="0" fillId="4" fontId="37" numFmtId="0" xfId="0" applyAlignment="1" applyFont="1">
      <alignment readingOrder="0"/>
    </xf>
    <xf borderId="0" fillId="4" fontId="37" numFmtId="49" xfId="0" applyAlignment="1" applyFont="1" applyNumberFormat="1">
      <alignment readingOrder="0"/>
    </xf>
    <xf borderId="0" fillId="7" fontId="20" numFmtId="0" xfId="0" applyAlignment="1" applyFont="1">
      <alignment readingOrder="0"/>
    </xf>
    <xf borderId="0" fillId="8" fontId="20" numFmtId="0" xfId="0" applyAlignment="1" applyFont="1">
      <alignment readingOrder="0"/>
    </xf>
    <xf borderId="3" fillId="4" fontId="5" numFmtId="0" xfId="0" applyAlignment="1" applyBorder="1" applyFont="1">
      <alignment readingOrder="0" shrinkToFit="0" wrapText="0"/>
    </xf>
    <xf borderId="3" fillId="4" fontId="5" numFmtId="0" xfId="0" applyAlignment="1" applyBorder="1" applyFont="1">
      <alignment shrinkToFit="0" wrapText="0"/>
    </xf>
    <xf borderId="3" fillId="4" fontId="14" numFmtId="0" xfId="0" applyBorder="1" applyFont="1"/>
    <xf borderId="0" fillId="16" fontId="14" numFmtId="0" xfId="0" applyAlignment="1" applyFont="1">
      <alignment readingOrder="0"/>
    </xf>
    <xf borderId="3" fillId="16" fontId="5" numFmtId="0" xfId="0" applyAlignment="1" applyBorder="1" applyFont="1">
      <alignment shrinkToFit="0" wrapText="0"/>
    </xf>
    <xf borderId="3" fillId="11" fontId="5" numFmtId="0" xfId="0" applyAlignment="1" applyBorder="1" applyFont="1">
      <alignment shrinkToFit="0" wrapText="0"/>
    </xf>
    <xf borderId="1" fillId="11" fontId="14" numFmtId="0" xfId="0" applyAlignment="1" applyBorder="1" applyFont="1">
      <alignment readingOrder="0"/>
    </xf>
    <xf borderId="0" fillId="11" fontId="5" numFmtId="0" xfId="0" applyAlignment="1" applyFont="1">
      <alignment readingOrder="0" shrinkToFit="0" wrapText="0"/>
    </xf>
    <xf borderId="3" fillId="11" fontId="5" numFmtId="0" xfId="0" applyAlignment="1" applyBorder="1" applyFont="1">
      <alignment readingOrder="0" shrinkToFit="0" wrapText="0"/>
    </xf>
    <xf borderId="0" fillId="8" fontId="14" numFmtId="0" xfId="0" applyFont="1"/>
    <xf borderId="1" fillId="7" fontId="5" numFmtId="0" xfId="0" applyBorder="1" applyFont="1"/>
    <xf borderId="3" fillId="9" fontId="14" numFmtId="0" xfId="0" applyAlignment="1" applyBorder="1" applyFont="1">
      <alignment horizontal="center"/>
    </xf>
    <xf borderId="0" fillId="0" fontId="3" numFmtId="49" xfId="0" applyFont="1" applyNumberFormat="1"/>
    <xf borderId="0" fillId="5" fontId="10" numFmtId="0" xfId="0" applyFont="1"/>
    <xf borderId="3" fillId="5" fontId="3" numFmtId="0" xfId="0" applyAlignment="1" applyBorder="1" applyFont="1">
      <alignment shrinkToFit="0" wrapText="0"/>
    </xf>
    <xf borderId="0" fillId="4" fontId="3" numFmtId="0" xfId="0" applyAlignment="1" applyFont="1">
      <alignment shrinkToFit="0" wrapText="0"/>
    </xf>
    <xf borderId="0" fillId="0" fontId="10" numFmtId="0" xfId="0" applyFont="1"/>
    <xf borderId="1" fillId="7" fontId="3" numFmtId="0" xfId="0" applyBorder="1" applyFont="1"/>
    <xf borderId="0" fillId="7" fontId="3" numFmtId="0" xfId="0" applyFont="1"/>
    <xf borderId="0" fillId="7" fontId="3" numFmtId="0" xfId="0" applyAlignment="1" applyFont="1">
      <alignment shrinkToFit="0" wrapText="0"/>
    </xf>
    <xf borderId="3" fillId="7" fontId="3" numFmtId="0" xfId="0" applyAlignment="1" applyBorder="1" applyFont="1">
      <alignment shrinkToFit="0" wrapText="0"/>
    </xf>
    <xf borderId="0" fillId="8" fontId="3" numFmtId="0" xfId="0" applyFont="1"/>
    <xf borderId="3" fillId="9" fontId="10" numFmtId="0" xfId="0" applyAlignment="1" applyBorder="1" applyFont="1">
      <alignment horizontal="center"/>
    </xf>
    <xf borderId="0" fillId="0" fontId="5" numFmtId="17" xfId="0" applyFont="1" applyNumberFormat="1"/>
  </cellXfs>
  <cellStyles count="1">
    <cellStyle xfId="0" name="Normal" builtinId="0"/>
  </cellStyles>
  <dxfs count="9">
    <dxf>
      <font/>
      <fill>
        <patternFill patternType="solid">
          <fgColor rgb="FFF4C7C3"/>
          <bgColor rgb="FFF4C7C3"/>
        </patternFill>
      </fill>
      <border/>
    </dxf>
    <dxf>
      <font/>
      <fill>
        <patternFill patternType="solid">
          <fgColor rgb="FFB7E1CD"/>
          <bgColor rgb="FFB7E1CD"/>
        </patternFill>
      </fill>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
      <font/>
      <fill>
        <patternFill patternType="solid">
          <fgColor rgb="FFFF00FF"/>
          <bgColor rgb="FFFF00FF"/>
        </patternFill>
      </fill>
      <border/>
    </dxf>
  </dxfs>
  <tableStyles count="1">
    <tableStyle count="12" table="0" name="Google Sheets Pivot Table Style">
      <tableStyleElement dxfId="3" type="wholeTable"/>
      <tableStyleElement dxfId="4" type="firstRowSubheading"/>
      <tableStyleElement dxfId="4" type="secondRowSubheading"/>
      <tableStyleElement dxfId="4" type="thirdRowSubheading"/>
      <tableStyleElement dxfId="5" type="firstColumnSubheading"/>
      <tableStyleElement dxfId="5" type="secondColumnSubheading"/>
      <tableStyleElement dxfId="5" type="thirdColumnSubheading"/>
      <tableStyleElement dxfId="5" type="headerRow"/>
      <tableStyleElement dxfId="6" type="firstSubtotalRow"/>
      <tableStyleElement dxfId="6" type="secondSubtotalRow"/>
      <tableStyleElement dxfId="6" type="thirdSubtotalRow"/>
      <tableStyleElement dxfId="7" type="totalRow"/>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5"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4152900" cy="895350"/>
    <xdr:pic>
      <xdr:nvPicPr>
        <xdr:cNvPr id="0" name="image1.png" title="Bild"/>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obias Corsman" id="{eaa4a8bb-064d-4f19-bc92-713cc2c8c651}"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6219" sheet="Bilmodeller2018"/>
  </cacheSource>
  <cacheFields>
    <cacheField name="Bilmodeller 2018" numFmtId="0">
      <sharedItems containsBlank="1">
        <s v="VOLVO XC90 2003&gt;2015"/>
        <s v="VOLVO XC70 2000&gt;2007"/>
        <s v="VOLVO XC70 2007&gt;"/>
        <s v="VOLVO XC60 2008&gt;"/>
        <s v="VOLVO V70 2000&gt;2007"/>
        <s v="VOLVO V50 2003&gt;"/>
        <s v="VOLVO V40 2012&gt;"/>
        <s v="VOLVO S60 2010&gt;"/>
        <s v="VOLVO S40 2000&gt;2004"/>
        <s v="VOLVO S40 2004&gt;"/>
        <s v="VOLKSWAGEN Touran 2015&gt;"/>
        <s v="VOLKSWAGEN T5 Buss/Skåp 2003&gt;"/>
        <s v="VOLKSWAGEN Polo Halvkombi 2001&gt;2010"/>
        <s v="VOLKSWAGEN Polo Halvkombi 2010&gt;2014"/>
        <s v="VOLKSWAGEN Passat Sedan 1996&gt;2005"/>
        <s v="VOLKSWAGEN Passat Sedan 2005&gt;2010"/>
        <s v="VOLKSWAGEN Passat Sedan 2010&gt;2014"/>
        <s v="VOLKSWAGEN Golf V/VI Kombi 2007&gt;2013"/>
        <s v="VOLKSWAGEN Golf VII Kombi 2013&gt;"/>
        <s v="VOLKSWAGEN Fox 2005&gt;"/>
        <s v="VOLKSWAGEN Caddy 2004&gt;"/>
        <s v="VOLKSWAGEN Bora Sedan 1998&gt;2005"/>
        <s v="VOLKSWAGEN Amarok 2010&gt;"/>
        <s v="TOYOTA Yaris Verso 1999&gt;2006"/>
        <s v="TOYOTA Yaris Halvkombi 1999&gt;2005"/>
        <s v="TOYOTA Yaris Halvkombi 2011&gt;2014"/>
        <s v="TOYOTA Verso 2009&gt;"/>
        <s v="TOYOTA Urban Cruiser 2009&gt;"/>
        <s v="TOYOTA RAV4 1994&gt;2000"/>
        <s v="TOYOTA RAV4 2000&gt;2006"/>
        <s v="TOYOTA RAV4 2006&gt;2013"/>
        <s v="TOYOTA RAV4 2013&gt;"/>
        <s v="TOYOTA Land Cruiser J100/150 2003&gt;"/>
        <s v="TOYOTA Land Cruiser J9 1996&gt;2002"/>
        <s v="TOYOTA Hi-Lux 1998&gt;2005"/>
        <s v="TOYOTA Hi-Lux 2005&gt;2010"/>
        <s v="TOYOTA Corolla Verso 2002&gt;2004"/>
        <s v="TOYOTA Corolla Verso 2004&gt;2009"/>
        <s v="TOYOTA Corolla Kombi 2002&gt;2007"/>
        <s v="TOYOTA Corolla Halvkombi 2002&gt;2007"/>
        <s v="TOYOTA Carina Kombi 1993&gt;1998"/>
        <s v="TOYOTA Avensis Kombi 2003&gt;2008"/>
        <s v="TOYOTA Avensis Halvkombi 2003&gt;2009"/>
        <s v="SUZUKI Vitara 1988&gt;1998"/>
        <s v="SUZUKI Vitara 1998&gt;2005"/>
        <s v="SUZUKI SX4 S-Cross 2013&gt;"/>
        <s v="SUZUKI Swift Halvkombi 2005&gt;2010"/>
        <s v="SUZUKI Swift Halvkombi 2010&gt;"/>
        <s v="SUZUKI Liana Kombi 2001&gt;"/>
        <s v="SUZUKI Jimny 1998&gt;"/>
        <s v="SUZUKI Ignis 2000&gt;2003"/>
        <s v="SUZUKI Ignis 2003&gt;"/>
        <s v="SUZUKI Grand Vitara 1998&gt;2005"/>
        <s v="SUZUKI Grand Vitara 2005&gt;2010"/>
        <s v="SUZUKI Grand Vitara 2010&gt;"/>
        <s v="SUZUKI Baleno Sedan 1995&gt;2002"/>
        <s v="SUZUKI Alto 2002&gt;2005"/>
        <s v="SUBARU XV 2012&gt;"/>
        <s v="SUBARU Legacy Outback 2004&gt;2009"/>
        <s v="SUBARU Justy 2003&gt;2007"/>
        <s v="SUBARU Impreza Sedan 1992&gt;1997"/>
        <s v="SUBARU Forester 1997&gt;2008"/>
        <s v="SUBARU Forester 2008&gt;2013"/>
        <s v="Ssangyong Tivoli 2015&gt;"/>
        <s v="Ssangyong Kyron 2005&gt;"/>
        <s v="Ssangyong Korando 2010&gt;"/>
        <s v="Ssangyong Actyon 2006&gt;"/>
        <s v="SMART Forfour 2004&gt;2006"/>
        <s v="SKODA Superb Sedan 2002&gt;2008"/>
        <s v="SKODA Superb Sedan 2008&gt;2015"/>
        <s v="SKODA Roomster Van 2006&gt;2010"/>
        <s v="SKODA Rapid 2012&gt;"/>
        <s v="SKODA Octavia Kombi 4x4 1998&gt;2004"/>
        <s v="SKODA Octavia Kombi 2005&gt;2013"/>
        <s v="SKODA Octavia Kombi 2013&gt;"/>
        <s v="SKODA Felicia Kombi 1995&gt;2001"/>
        <s v="SKODA Felicia Halvkombi 1994&gt;2001"/>
        <s v="SKODA Fabia Kombi 2000&gt;2007"/>
        <s v="SKODA Fabia Kombi 2007&gt;2014"/>
        <s v="SEAT Toledo Sedan 1999&gt;2004"/>
        <s v="SEAT Leon Halvkombi 1999&gt;2005"/>
        <s v="SEAT Ibiza Kombi 2010&gt;"/>
        <s v="SEAT Ibiza 2002&gt;2008"/>
        <s v="SEAT Exeo 2009&gt;"/>
        <s v="SEAT Cordoba Sedan 1996&gt;2003"/>
        <s v="SEAT Cordoba Sedan 2003&gt;"/>
        <s v="SEAT Cordoba Kombi 1997&gt;2003"/>
        <s v="SEAT Arosa Halvkombi 1997&gt;2004"/>
        <s v="SEAT Altea XL/Freetrack 2006&gt;"/>
        <s v="SEAT Altea Halvkombi 2004&gt;"/>
        <s v="SEAT Alhambra 1996&gt;2000"/>
        <s v="SEAT Alhambra 2000&gt;2010"/>
        <s v="SEAT Alhambra 2010&gt;"/>
        <s v="ROVER 200 Halvkombi 1995&gt;2000"/>
        <s v="RENAULT Twingo 1993&gt;2007"/>
        <s v="RENAULT Twingo 2007&gt;"/>
        <s v="RENAULT Modus 2004&gt;2008"/>
        <s v="RENAULT Megane Sedan 1996&gt;2003"/>
        <s v="RENAULT Megane Sedan 2003&gt;"/>
        <s v="RENAULT Megane Scenic 4x4 2000&gt;2003"/>
        <s v="RENAULT Megane Scenic 1997&gt;2003"/>
        <s v="RENAULT Megane Kombi 1999&gt;2003"/>
        <s v="RENAULT Megane Kombi 2009&gt;2016"/>
        <s v="RENAULT Megane Halvkombi 1995&gt;1999"/>
        <s v="RENAULT Megane Halvkombi 2002&gt;2008"/>
        <s v="RENAULT Megane Halvkombi 2008&gt;2015"/>
        <s v="RENAULT Megane Coach 1995&gt;1999"/>
        <s v="RENAULT Laguna I Kombi 1995&gt;2001"/>
        <s v="RENAULT Laguna II Kombi 2001&gt;2007"/>
        <s v="RENAULT Laguna III Kombi 2007&gt;"/>
        <s v="RENAULT Laguna II Halvkombi 2001&gt;2007"/>
        <s v="RENAULT Laguna III Halvkombi 2007&gt;"/>
        <s v="RENAULT Koleos 2008&gt;2016"/>
        <s v="RENAULT Kangoo 1997&gt;2008"/>
        <s v="RENAULT Kadjar 2015&gt;"/>
        <s v="RENAULT Grand Scenic 2004&gt;2009"/>
        <s v="RENAULT Grand Scenic 2009&gt;2016"/>
        <s v="RENAULT Grand Espace 2002&gt;"/>
        <s v="RENAULT Espace 1996&gt;2002"/>
        <s v="RENAULT Espace 2002&gt;2014"/>
        <s v="RENAULT Clio Kombi 2008&gt;2013"/>
        <s v="RENAULT Clio Halvkombi 1998&gt;2005"/>
        <s v="RENAULT Clio Halvkombi 2005&gt;2012"/>
        <s v="RENAULT Clio Halvkombi 2012&gt;"/>
        <s v="RENAULT Captur 2013&gt;"/>
        <s v="RANGE ROVER Evoque 2011&gt;"/>
        <s v="PEUGEOT 508 Sedan 2011&gt;"/>
        <s v="PEUGEOT 508 Kombi 2011&gt;"/>
        <s v="PEUGEOT 407 Sedan 2004&gt;2008"/>
        <s v="PEUGEOT 406 Sedan 1995&gt;2004"/>
        <s v="PEUGEOT 406 Kombi 1997&gt;2004"/>
        <s v="PEUGEOT 308 Kombi 2008&gt;2014"/>
        <s v="PEUGEOT 308 Halvkombi 2013&gt;"/>
        <s v="PEUGEOT 307 Kombi 2002&gt;"/>
        <s v="PEUGEOT 307 Halvkombi 2001&gt;2007"/>
        <s v="PEUGEOT 306 Kombi 1997&gt;2002"/>
        <s v="PEUGEOT 208 Halvkombi 2012&gt;"/>
        <s v="PEUGEOT 207 Kombi 2007&gt;"/>
        <s v="PEUGEOT 207 Halvkombi 2006&gt;"/>
        <s v="PEUGEOT 206 Kombi 2002&gt;2006"/>
        <s v="PEUGEOT 206 Halvkombi 1998&gt;"/>
        <s v="PEUGEOT 3008 2009&gt;2017"/>
        <s v="PEUGEOT 2008 2013&gt;"/>
        <s v="OPEL Zafira Van 1999&gt;2005"/>
        <s v="OPEL Zafira Van 2005&gt;"/>
        <s v="OPEL Zafira C Tourer 2012&gt;"/>
        <s v="OPEL Vectra B Kombi 1996&gt;2003"/>
        <s v="OPEL Vectra C Kombi 2003&gt;2008"/>
        <s v="OPEL Vectra B Halvkombi 1995&gt;2002"/>
        <s v="OPEL Vectra C Halvkombi 2002&gt;2008"/>
        <s v="OPEL Signum Kombi 2003&gt;"/>
        <s v="OPEL Omega B Sedan 1994&gt;2003"/>
        <s v="OPEL Omega B Kombi 1994&gt;2003"/>
        <s v="OPEL Meriva 2003&gt;2010"/>
        <s v="OPEL Meriva 2010&gt;"/>
        <s v="OPEL Insignia Sedan 2008&gt;"/>
        <s v="OPEL Frontera 1991&gt;1998"/>
        <s v="OPEL Frontera 1998&gt;2003"/>
        <s v="OPEL Corsa C 2000&gt;2006"/>
        <s v="OPEL Combo B 1994&gt;2002"/>
        <s v="OPEL Astra G Kombi 1998&gt;2004"/>
        <s v="OPEL Astra J Kombi 2010&gt;2016"/>
        <s v="OPEL Astra H Halvkombi 2004&gt;2009"/>
        <s v="OPEL Astra J Halvkombi 2009&gt;2015"/>
        <s v="OPEL Astra K Halvkombi 2015&gt;"/>
        <s v="OPEL Astra G Coupe 2000&gt;2005"/>
        <s v="OPEL Antara 2006&gt;2011"/>
        <s v="OPEL Agila 2000&gt;2002"/>
        <s v="OPEL Agila 2002&gt;2008"/>
        <s v="NISSAN X-Trail 2001&gt;2007"/>
        <s v="NISSAN X-Trail 2007&gt;2014"/>
        <s v="NISSAN X-Trail 2014&gt;2017"/>
        <s v="NISSAN Qashqai 2007&gt;2013"/>
        <s v="NISSAN Primera Kombi 2002&gt;"/>
        <s v="NISSAN Primastar 2003&gt;2014"/>
        <s v="NISSAN Pathfinder 2005&gt;"/>
        <s v="NISSAN Note 2006&gt;2013"/>
        <s v="NISSAN Navara 2005&gt;2016"/>
        <s v="NISSAN Navara 2016&gt;"/>
        <s v="NISSAN Micra 2003&gt;2010"/>
        <s v="NISSAN King Cab 2002&gt;"/>
        <s v="NISSAN Juke 2010&gt;"/>
        <s v="NISSAN Almera Tino 2000&gt;2007"/>
        <s v="NISSAN Almera Halvkombi 2000&gt;2006"/>
        <s v="MITSUBISHI Space Star 1999&gt;2013"/>
        <s v="MITSUBISHI Pajero Pinin 1999&gt;2005"/>
        <s v="MITSUBISHI Pajero 1990&gt;2000"/>
        <s v="MITSUBISHI Pajero 2000&gt;2007"/>
        <s v="MITSUBISHI Outlander 2003&gt;2007"/>
        <s v="MITSUBISHI Outlander 2012&gt;"/>
        <s v="MITSUBISHI L200 Pick-Up 1996&gt;2006"/>
        <s v="MITSUBISHI L200 Pick-Up 2010&gt;2015"/>
        <s v="MITSUBISHI Colt Halvkombi 5dr 2004&gt;2008"/>
        <s v="MINI Clubman 2007&gt;2010"/>
        <s v="MERCEDES Vito/Viano 1996&gt;2003"/>
        <s v="MERCEDES Vito/Viano 2003&gt;2014"/>
        <s v="MERCEDES Sprinter 1995&gt;2006"/>
        <s v="MERCEDES GLK 2008&gt;"/>
        <s v="MERCEDES GLC 2015&gt;"/>
        <s v="MERCEDES GLA 2014&gt;"/>
        <s v="MERCEDES E-klass Sedan 1995&gt;2002"/>
        <s v="MERCEDES E-klass Sedan 2002&gt;2009"/>
        <s v="MERCEDES E-klass Sedan 2009&gt;2016"/>
        <s v="MERCEDES E-klass Kombi 1996&gt;2003"/>
        <s v="MERCEDES E-klass Kombi 2003&gt;2009"/>
        <s v="MERCEDES E-klass Cab 2010&gt;"/>
        <s v="MERCEDES C-klass CLK Coupe 2002&gt;"/>
        <s v="MERCEDES CLA Coupe 2013&gt;"/>
        <s v="MERCEDES Citan 2012&gt;"/>
        <s v="MERCEDES C-klass Sedan 2000&gt;2007"/>
        <s v="MERCEDES C-klass Sedan 2007&gt;2014"/>
        <s v="MERCEDES C-klass Sedan 2014&gt;"/>
        <s v="MERCEDES C-klass Kombi 1996&gt;2001"/>
        <s v="MERCEDES C-klass Kombi 2001&gt;2007"/>
        <s v="MERCEDES A-klass 1997&gt;2004"/>
        <s v="MERCEDES A-klass 2004&gt;2012"/>
        <s v="MERCEDES A-klass 2012&gt;"/>
        <s v="MAZDA CX-5 2012&gt;"/>
        <s v="MAZDA CX-3 2015&gt;"/>
        <s v="MAZDA 6 Sedan 2013&gt;"/>
        <s v="MAZDA 6 Kombi 2002&gt;2008"/>
        <s v="MAZDA 6 Kombi 2008&gt;2013"/>
        <s v="MAZDA 3 Halvkombi 2003&gt;2009"/>
        <s v="MAZDA 3 Halvkombi 2009&gt;2013"/>
        <s v="MAZDA 2 Van 2002&gt;2007"/>
        <s v="MAZDA 2 Halvkombi 2007&gt;2015"/>
        <s v="LAND ROVER Freelander 1998&gt;2007"/>
        <s v="LAND ROVER Freelander 2007&gt;"/>
        <s v="LAND ROVER Discovery 1998&gt;2004"/>
        <s v="LAND ROVER Defender 1998&gt;"/>
        <s v="LANCIA Thesis 2002&gt;"/>
        <s v="LANCIA Musa 2004&gt;"/>
        <s v="LANCIA Lybra 1999&gt;"/>
        <s v="LADA Niva 76&gt;"/>
        <s v="KIA Sportage 2010&gt;2015"/>
        <s v="KIA Soul 2009&gt;2012"/>
        <s v="KIA Sorento 2006&gt;2009"/>
        <s v="KIA Sorento 2009&gt;2012"/>
        <s v="KIA Picanto Halvkombi 2004&gt;2011"/>
        <s v="KIA Picanto Halvkombi 2011&gt;"/>
        <s v="KIA K2500/2700 2004&gt;"/>
        <s v="KIA Ceed Kombi 2007&gt;2012"/>
        <s v="KIA Carnival 1999&gt;2006"/>
        <s v="KIA Carens 2006&gt;2013"/>
        <s v="KIA Carens 2013&gt;"/>
        <s v="JEEP Wrangler 2007&gt;"/>
        <s v="JEEP Grand Cherokee 1993&gt;1999"/>
        <s v="JEEP Grand Cherokee 1999&gt;2005"/>
        <s v="JEEP Compass 2011&gt;2017"/>
        <s v="JEEP Commander 2006&gt;"/>
        <s v="JEEP Cherokee 2008&gt;2014"/>
        <s v="JEEP Cherokee 2014&gt;"/>
        <s v="ISUZU D Max 2004&gt;2012"/>
        <s v="ISUZU D Max 2012&gt;"/>
        <s v="HYUNDAI Tucson 2004&gt;2010"/>
        <s v="HYUNDAI Tucson 2015&gt;"/>
        <s v="HYUNDAI Terracan 2001&gt;2007"/>
        <s v="HYUNDAI Santa Fe 2001&gt;2006"/>
        <s v="HYUNDAI Santa Fe 2006&gt;2012"/>
        <s v="HYUNDAI Santa Fe 2012&gt;"/>
        <s v="HYUNDAI Matrix 2001&gt;2010"/>
        <s v="HYUNDAI Lantra 1996&gt;2000"/>
        <s v="HYUNDAI ix35 2010&gt;"/>
        <s v="HYUNDAI ix20 2010&gt;"/>
        <s v="HYUNDAI i40 Kombi 2011&gt;"/>
        <s v="HYUNDAI i30 Kombi 2008&gt;2012"/>
        <s v="HYUNDAI i30 Kombi 2012&gt;2017"/>
        <s v="HYUNDAI i30 Halvkombi 2008&gt;2012"/>
        <s v="HYUNDAI i20 2009&gt;2014"/>
        <s v="HYUNDAI i10 2008&gt;2013"/>
        <s v="HYUNDAI H1 2000&gt;2008"/>
        <s v="HYUNDAI H1 2008&gt;"/>
        <s v="HYUNDAI Grand Santa Fe 2014&gt;"/>
        <s v="HYUNDAI Getz 2002&gt;2005"/>
        <s v="HYUNDAI Getz 2005&gt;2009"/>
        <s v="HYUNDAI Galloper 1998&gt;2003"/>
        <s v="HYUNDAI Atos 1998&gt;"/>
        <s v="HYUNDAI Accent 2000&gt;2006"/>
        <s v="HONDA HR-V 1999&gt;2001"/>
        <s v="HONDA HR-V 2001&gt;2015"/>
        <s v="HONDA CR-V 1997&gt;2002"/>
        <s v="HONDA CR-V 2002&gt;2006"/>
        <s v="HONDA CR-V 2007&gt;2012"/>
        <s v="HONDA CR-V 2012&gt;"/>
        <s v="HONDA Civic 3 dr Halvkombi 2001&gt;2006"/>
        <s v="HONDA Civic 5 dr Halvkombi 2001&gt;2006"/>
        <s v="FORD Transit/Tourneo Connect 2002&gt;2014"/>
        <s v="FORD Transit/Tourneo Connect 2014&gt;"/>
        <s v="FORD Transit/Tourneo 2000&gt;2012 (Skåp)"/>
        <s v="FORD S-Max 2006&gt;2015"/>
        <s v="FORD Mondeo Sedan 2007&gt;2014"/>
        <s v="FORD Mondeo Kombi 1993&gt;2000"/>
        <s v="FORD Mondeo Kombi 2001&gt;2007"/>
        <s v="FORD Mondeo Kombi 2007&gt;2014"/>
        <s v="FORD Mondeo Halvkombi 1996&gt;2000"/>
        <s v="FORD Mondeo Halvkombi 2000&gt;2007"/>
        <s v="FORD Mondeo Halvkombi 2007&gt;2014"/>
        <s v="FORD Mondeo Halvkombi 2014&gt;"/>
        <s v="FORD Maverick 1993&gt;2001"/>
        <s v="FORD Kuga 2008&gt;2013"/>
        <s v="FORD Galaxy 1995&gt;2000"/>
        <s v="FORD Galaxy 2000&gt;2006"/>
        <s v="FORD Galaxy 2006&gt;2015"/>
        <s v="FORD Galaxy 2015&gt;"/>
        <s v="FORD Fusion 2002&gt;"/>
        <s v="FORD Focus Kombi 1999&gt;2005"/>
        <s v="FORD Focus Kombi 2005&gt;2011"/>
        <s v="FORD Focus Kombi 2011&gt;"/>
        <s v="FORD Focus Halvkombi 1998&gt;2004"/>
        <s v="FORD Fiesta Halvkombi 1996&gt;2002"/>
        <s v="FORD Fiesta Halvkombi 2002&gt;2008"/>
        <s v="FORD Fiesta Halvkombi 2008&gt;2012"/>
        <s v="FORD Ecosport 2014&gt;"/>
        <s v="FORD C-Max 2010&gt;"/>
        <s v="FORD B-Max 2012&gt;"/>
        <s v="FIAT Strada 1999&gt;"/>
        <s v="FIAT Stilo Halvkombi 2001&gt;2007"/>
        <s v="FIAT Stilo Kombi 2002&gt;"/>
        <s v="FIAT Sedici 2006&gt;"/>
        <s v="FIAT Punto Halvkombi 1993&gt;1999"/>
        <s v="FIAT Panda Halvkombi 1980&gt;2003"/>
        <s v="FIAT Panda Halvkombi 2012&gt;"/>
        <s v="FIAT Panda 4x4 2012&gt;"/>
        <s v="FIAT Palio 1998&gt;2003"/>
        <s v="FIAT Palio 2003&gt;"/>
        <s v="FIAT Multipla 1999&gt;2004"/>
        <s v="FIAT Marea Sedan 1996&gt;2001"/>
        <s v="FIAT Marea Kombi 1996&gt;2002"/>
        <s v="FIAT Fullback (Pick-up) 2016&gt;"/>
        <s v="FIAT Ducato 1994&gt;2006"/>
        <s v="FIAT Doblo 2001&gt;2009"/>
        <s v="FIAT Doblo 2010&gt;"/>
        <s v="FIAT Croma 2005&gt;"/>
        <s v="FIAT Bravo 1995&gt;2001"/>
        <s v="FIAT Bravo 2007&gt;"/>
        <s v="FIAT Brava 1995&gt;2001"/>
        <s v="FIAT 500X 2014&gt;"/>
        <s v="FIAT 500L Trekking 2012&gt;"/>
        <s v="FIAT 500L 2012&gt;"/>
        <s v="FIAT 500 Halvkombi 2007&gt;"/>
        <s v="DODGE Nitro 2007&gt;"/>
        <s v="DODGE Journey 2008&gt;"/>
        <s v="DODGE Caliber 2006&gt;"/>
        <s v="DACIA Sandero Halvkombi 2008&gt;2013"/>
        <s v="DACIA Sandero Halvkombi 2013&gt;"/>
        <s v="DACIA Logan Kombi 2007&gt;2013"/>
        <s v="DACIA Logan Kombi 2013&gt;"/>
        <s v="DACIA Lodgy 2012&gt;"/>
        <s v="DACIA Duster 2010&gt;2013"/>
        <s v="DACIA Dokker 2012&gt;"/>
        <s v="CITROEN Xsara Picasso 2000&gt;2004"/>
        <s v="CITROEN Xsara Kombi 1997&gt;2005"/>
        <s v="CITROEN Xsara Halvkombi 1997&gt;2005"/>
        <s v="CITROEN Xantia Halvkombi 1995&gt;2001"/>
        <s v="CITROEN Saxo Halvkombi 1996&gt;2003"/>
        <s v="CITROEN Nemo 2008&gt;"/>
        <s v="CITROEN Jumpy 2007&gt;"/>
        <s v="CITROEN Jumper (Flak) 2006&gt;"/>
        <s v="CITROEN Jumper (Skåp) 2006&gt;"/>
        <s v="CITROEN Evasion 1994&gt;2002"/>
        <s v="CITROEN DS5 Halvkombi 2012&gt;"/>
        <s v="CITROEN DS4 Halvkombi 2011&gt;"/>
        <s v="CITROEN C8 2002&gt;2014"/>
        <s v="CITROEN C5 Sedan 2008&gt;"/>
        <s v="CITROEN C5 Kombi 2001&gt;2004"/>
        <s v="CITROEN C5 Kombi 2008&gt;"/>
        <s v="CITROEN C5 Halvkombi 2001&gt;2004"/>
        <s v="CITROEN C4 Picasso 2006&gt;2013"/>
        <s v="CITROEN C4 Halvkombi 2004&gt;2010"/>
        <s v="CITROEN C4 Halvkombi 2010&gt;"/>
        <s v="CITROEN C4 Grand Picasso 2013&gt;"/>
        <s v="CITROEN C4 Cactus 2014&gt;"/>
        <s v="CITROEN C4 Aircross 2012&gt;"/>
        <s v="CITROEN C3 Picasso 2009&gt;"/>
        <s v="CITROEN C3 Halvkombi 2002&gt;2009"/>
        <s v="CITROEN C2 Halvkombi 2003&gt;"/>
        <s v="CITROEN C-Crosser 2007&gt;"/>
        <s v="CITROEN Berlingo 1996&gt;2008"/>
        <s v="CITROEN Berlingo 2008&gt;"/>
        <s v="CITROEN Berlingo L2 2008&gt;"/>
        <s v="CHRYSLER PT Cruiser 2000&gt;"/>
        <s v="CHRYSLER Grand Voyager 2001&gt;2008"/>
        <s v="CHRYSLER Grand Voyager 2008&gt;"/>
        <s v="CHRYSLER 300C 2004&gt;2011"/>
        <s v="CHEVROLET Trax 2013&gt;"/>
        <s v="CHEVROLET Tacuma 2001&gt;"/>
        <s v="CHEVROLET Orlando 2011&gt;"/>
        <s v="CHEVROLET Matiz 2005&gt;"/>
        <s v="CHEVROLET Cruze Sedan 2009&gt;"/>
        <s v="CHEVROLET Cruze Kombi 2012&gt;"/>
        <s v="CHEVROLET Captiva 2006&gt;2013"/>
        <s v="CHEVROLET Aveo Halvkombi 2008&gt;2011"/>
        <s v="CHEVROLET Aveo Halvkombi 2011&gt;"/>
        <s v="BMW X3 2004&gt;2010"/>
        <s v="BMW X3 2010&gt;"/>
        <s v="BMW X1 2009&gt;2015"/>
        <s v="BMW 5-serie Sedan 1995&gt;2003"/>
        <s v="BMW 5-serie Sedan 2003&gt;2010"/>
        <s v="BMW 5-serie Sedan 2010&gt;2017"/>
        <s v="BMW 5-serie Kombi 1997&gt;2004"/>
        <s v="BMW 3-serie Sedan 1998&gt;2005"/>
        <s v="BMW 3-serie Kombi 2005&gt;2012"/>
        <s v="BMW 3-serie GT 2013&gt;"/>
        <s v="BMW 3-serie Compact 1994&gt;2001"/>
        <s v="BMW 3-serie Compact 2001&gt;2005"/>
        <s v="BMW 2-Serie Active Tourer 2014&gt;"/>
        <s v="BMW 1-serie Halvkombi 2004&gt;2011"/>
        <s v="BMW 1-serie Halvkombi 2011&gt;"/>
        <s v="AUDI Q5 2008&gt;"/>
        <s v="AUDI Q3 2011&gt;"/>
        <s v="AUDI Q2 2017&gt;"/>
        <s v="AUDI A6 Sedan 1997&gt;2004"/>
        <s v="AUDI A6 Sedan 2004&gt;2011"/>
        <s v="AUDI A4 Sedan 1994&gt;2000"/>
        <s v="AUDI A4 Sedan 2000&gt;2004"/>
        <s v="AUDI A4 Sedan 2004&gt;2007"/>
        <s v="AUDI A4 Sedan 2007&gt;2016"/>
        <s v="AUDI A4 Kombi 2016&gt;"/>
        <s v="AUDI A3 Halvkombi 1996&gt;2003"/>
        <s v="AUDI A3 Halvkombi 2003&gt;2012"/>
        <s v="AUDI A1 2010&gt;"/>
        <s v="ALFA ROMEO GT Coupe 2004&gt;"/>
        <s v="ALFA ROMEO Giulietta Halvkombi 2010&gt;"/>
        <s v="ALFA ROMEO 166 Sedan 1998&gt;2007"/>
        <s v="ALFA ROMEO 159 Kombi 2006&gt;"/>
        <s v="ALFA ROMEO 156 Sedan 1997&gt;2003"/>
        <s v="ALFA ROMEO 147 Halvkombi 2001&gt;2009"/>
        <s v="ALFA ROMEO 145 Halvkombi 1994&gt;2001"/>
        <s v="Volkswagen Passat CC 2012&gt;"/>
        <s v="Range Rover Sport 2013&gt;"/>
        <s v="BMW 7-serie 1986&gt;1994"/>
        <s v="BMW 7-Serie 1994&gt;2001"/>
        <s v="Volvo C70 1998&gt;2005"/>
        <s v="Kia Optima Sedan 2016&gt;"/>
        <s v="BMW 2-serie Gran Tourer 2015&gt;"/>
        <s v="Porsche Cayenne 2010&gt;"/>
        <s v="Porsche Cayenne 2002&gt;2010"/>
        <s v="BMW X6 2014&gt;"/>
        <s v="BMW 4-Serie Coupe 2013&gt;"/>
        <s v="Alfa Romeo Mito 2008&gt;"/>
        <s v="Jaguar X-Type Sedan 2002&gt;"/>
        <s v="Jaguar X-Type Kombi 2004&gt;"/>
        <s v="Jaguar XF Sedan 2008&gt;2011"/>
        <s v="Jaguar XF Sedan 2011&gt;"/>
        <s v="Jaguar XF Kombi 2011&gt;"/>
        <s v="Jaguar XE 2015&gt;"/>
        <s v="BMW 5-serie Sedan 2017&gt;"/>
        <s v="BMW 5-serie Kombi 2017&gt;"/>
        <s v="Volvo C70 2006&gt;"/>
        <s v="Mini Clubman 2015&gt;"/>
        <s v="Mini Cooper 2006&gt;2014"/>
        <s v="Mini Countryman 2010&gt;2016"/>
        <s v="Mini Cooper 2014&gt;"/>
        <s v="Mini Clubman 2010&gt;2015"/>
        <s v="Mercedes S-klass Sedan 2005&gt;2013"/>
        <s v="Tesla Model S 2012&gt;"/>
        <s v="Lexus RX400h 2005&gt;2009"/>
        <s v="Volvo S90 2016&gt;"/>
        <s v="Volvo V90 2016&gt;"/>
        <s v="Volvo V60 Cross Country 2015&gt;"/>
        <s v="Volvo S60 Cross Country 2015&gt;"/>
        <s v="Volkswagen Arteon 2017&gt;"/>
        <s v="Volkswagen Tiguan 2016&gt;"/>
        <s v="Toyota Hi-Lux 2016&gt;"/>
        <s v="Toyota C-HR 2016&gt;"/>
        <s v="Toyota Yaris Halvkombi 2014&gt;"/>
        <s v="Suzuki Baleno Halvkombi 2016&gt;"/>
        <s v="Skoda Kodiaq 2016&gt;"/>
        <s v="Renault Megane Grand Coupe 2017&gt;"/>
        <s v="Renault Koleos 2017&gt;"/>
        <s v="Renault Talisman Kombi 2016&gt;"/>
        <s v="Renault Talisman Sedan 2016&gt;"/>
        <s v="Renault Megane Scenic 2016&gt;"/>
        <s v="Renault Megane Kombi 2016&gt;"/>
        <s v="Renault Megane Halvkombi 2016&gt;"/>
        <s v="Renault Grand Scenic 2016&gt;"/>
        <s v="Peugeot 5008 2017&gt;"/>
        <s v="Peugeot 3008 2017&gt;"/>
        <s v="Peugeot 308 CC 2009&gt;"/>
        <s v="Opel Grandland X 2017&gt;"/>
        <s v="Opel Insignia Kombi 2017&gt;"/>
        <s v="Opel Astra K Kombi 2016&gt;"/>
        <s v="Nissan X-Trail 2017&gt;"/>
        <s v="Nissan Micra 2017&gt;"/>
        <s v="Mercedes CLA Shooting Break 2015&gt;"/>
        <s v="Mercedes GLE 2015&gt;"/>
        <s v="Mercedes C-klass Coupe 2011&gt;2015"/>
        <s v="Mercedes E-klass Coupe 2009&gt;"/>
        <s v="Mazda 3 Sedan 2013&gt;"/>
        <s v="Kia Stonic 2017&gt;"/>
        <s v="Kia Rio Halvkombi 2017&gt;"/>
        <s v="Kia Optima Kombi 2016&gt;"/>
        <s v="Kia Niro 2016&gt;"/>
        <s v="Kia Carnival 2006&gt;"/>
        <s v="Jeep Compass 2017&gt;"/>
        <s v="Hyundai Kona 2017&gt;"/>
        <s v="Hyundai i30 Kombi 2017&gt;"/>
        <s v="Hyundai i30 Halvkombi 2017&gt;"/>
        <s v="Hyundai Elantra 2016&gt;"/>
        <s v="Honda Civic Halvkombi 2017&gt;"/>
        <s v="Ford Explorer 2016&gt;"/>
        <s v="Ford Edge 2016&gt;"/>
        <s v="Ford S-Max 2015&gt;"/>
        <s v="Fiat Tipo Kombi 2016&gt;"/>
        <s v="Fiat Tipo Halvkombi 2016&gt;"/>
        <s v="Fiat Talento 2016&gt;"/>
        <s v="BMW 5-serie GT 2013&gt;"/>
        <s v="Audi A4 Sedan 2016&gt;"/>
        <s v="Audi A1 Sportback 2012&gt;"/>
        <s v="Alfa Romeo Stelvio 2016&gt;"/>
        <s v="Alfa Romeo Giulia 2016&gt;"/>
        <s v="Kia Soul 2014&gt;"/>
        <s v="TOYOTA Hi-Lux 2010&gt;2015"/>
        <s v="Montera dragkrok Mariestad"/>
        <s v="Montera dragkrok Ulricehamn"/>
        <s v="AUDI A6 Kombi 2011&gt;"/>
        <s v="Montera dragkrok Trelleborg"/>
        <s v="Montera dragkrok Hässleholm"/>
        <s v="Montera dragkrok Ängelholm"/>
        <s v="Montera dragkrok Landskrona"/>
        <s v="Montera dragkrok Kristianstad"/>
        <s v="Montera dragkrok Lund"/>
        <s v="SKODA Fabia Halvkombi 1999&gt;2007"/>
        <s v="SUBARU Legacy Kombi 2009&gt;"/>
        <s v="Nissan Leaf 2010&gt;"/>
        <s v="PEUGEOT 508 Kombi 2011&gt; GT-Line"/>
        <s v="VOLVO XC90 2015&gt;"/>
        <s v="VOLVO V70 2007&gt;"/>
        <s v="VOLVO V60 2010&gt;"/>
        <s v="VOLVO V40 2000&gt;2004"/>
        <s v="VOLVO V40 1996&gt;2000"/>
        <s v="VOLVO S80 2006&gt;"/>
        <s v="VOLVO S60 2000&gt;2010"/>
        <s v="VOLVO S40 1996&gt;2000"/>
        <s v="VOLVO C30 2006&gt;"/>
        <s v="VOLVO 850/V70 1992&gt;2000"/>
        <s v="VOLVO 200-400 Kombi 1986&gt;1996"/>
        <s v="Volkswagen Vento Sedan 1991&gt;1997"/>
        <s v="Volkswagen UP 2012&gt;"/>
        <s v="Volkswagen Touran 2003&gt;2015"/>
        <s v="Volkswagen Touareg 2002&gt;2014"/>
        <s v="VOLKSWAGEN Tiguan 2007&gt;2016"/>
        <s v="Volkswagen T6 Buss/Skåp 2015&gt;"/>
        <s v="Volkswagen T4 Skåp/Buss 1996&gt;2003"/>
        <s v="Volkswagen T4 Skåp/Buss 1990&gt;1995"/>
        <s v="VOLKSWAGEN T4 Flak 1990&gt;2003"/>
        <s v="VOLKSWAGEN Sharan 2010&gt;"/>
        <s v="VOLKSWAGEN Sharan 2000&gt;2010"/>
        <s v="VOLKSWAGEN Sharan 1995&gt;2000"/>
        <s v="VOLKSWAGEN Polo Sedan 1995&gt;2003"/>
        <s v="VOLKSWAGEN Polo Kombi 1997&gt;2003"/>
        <s v="VOLKSWAGEN Polo Halvkombi 1999&gt;2001"/>
        <s v="VOLKSWAGEN Polo Halvkombi 1994&gt;1999"/>
        <s v="Volkswagen Passat Sedan 2014&gt;"/>
        <s v="Volkswagen Passat Kombi 2014&gt;"/>
        <s v="VOLKSWAGEN Passat Kombi 2010&gt;2014"/>
        <s v="VOLKSWAGEN Passat Kombi 2005&gt;2010"/>
        <s v="VOLKSWAGEN Passat Kombi 1997&gt;2005"/>
        <s v="VOLKSWAGEN Passat Alltrack 2015&gt;"/>
        <s v="VOLKSWAGEN Lupo 1998&gt;2005"/>
        <s v="VOLKSWAGEN Jetta Sedan 2011&gt;"/>
        <s v="VOLKSWAGEN Jetta Sedan 2005&gt;2010"/>
        <s v="Volkswagen Golf VII Sportsvan 2014&gt;"/>
        <s v="Volkswagen Golf Plus Halvkombi 2005&gt;"/>
        <s v="Volkswagen Golf IV Kombi 1999&gt;2006"/>
        <s v="VOLKSWAGEN Golf III Kombi 1993&gt;1999"/>
        <s v="Volkswagen Golf VII Halvkombi 2012&gt;"/>
        <s v="Volkswagen Golf VI Halvkombi 2008&gt;2012"/>
        <s v="Volkswagen Golf V Halvkombi 2003&gt;2008"/>
        <s v="VOLKSWAGEN Golf IV Halvkombi 1997&gt;2003 4x4"/>
        <s v="Volkswagen Golf IV Halvkombi 1997&gt;2003"/>
        <s v="VOLKSWAGEN Golf III Halvkombi 1991&gt;1997"/>
        <s v="Volkswagen Crafter Skåp/Buss 2006&gt;"/>
        <s v="Volkswagen Crafter Flak 2006&gt;"/>
        <s v="VOLKSWAGEN Caddy 1996&gt;2004"/>
        <s v="Volkswagen Bora Kombi 1999&gt;2005"/>
        <s v="VOLKSWAGEN Beetle 1967&gt;1984"/>
        <s v="TOYOTA Yaris Halvkombi 2006&gt;2011"/>
        <s v="TOYOTA Verso S 2011&gt;"/>
        <s v="TOYOTA Starlet 1990&gt;1999"/>
        <s v="TOYOTA RAV4 m. reservhjul 2006&gt;2008"/>
        <s v="TOYOTA Proace 2016&gt;"/>
        <s v="TOYOTA Proace 2012&gt;2016"/>
        <s v="TOYOTA Prius 2016&gt;"/>
        <s v="TOYOTA Land Cruiser J200 2008&gt;"/>
        <s v="TOYOTA Land Cruiser J100 1998&gt;"/>
        <s v="TOYOTA Land Cruiser 150 2009&gt;"/>
        <s v="TOYOTA Hi-Ace H12 1995&gt;"/>
        <s v="TOYOTA Corolla Sedan 2007&gt;"/>
        <s v="TOYOTA Corolla Sedan 2002&gt;2007"/>
        <s v="TOYOTA Carina Halvkombi 1992&gt;1998"/>
        <s v="TOYOTA Camry 2006&gt;2011"/>
        <s v="TOYOTA Aygo 2005&gt;"/>
        <s v="TOYOTA Avensis Verso 2002&gt;"/>
        <s v="TOYOTA Avensis Sedan 2009&gt;"/>
        <s v="TOYOTA Avensis Sedan 2003&gt;2009"/>
        <s v="TOYOTA Avensis Sedan 1998&gt;2003"/>
        <s v="TOYOTA Avensis Kombi 2009&gt;"/>
        <s v="TOYOTA Avensis Halvkombi 1998&gt;2003"/>
        <s v="TOYOTA Auris Kombi 2013&gt;"/>
        <s v="TOYOTA Auris Hybrid Kombi 2013&gt;"/>
        <s v="TOYOTA Auris Hybrid Halvkombi 2013&gt;"/>
        <s v="TOYOTA Auris Halvkombi 2012&gt;"/>
        <s v="TOYOTA Auris Halvkombi 2007&gt;2012"/>
        <s v="SUZUKI X90 1995&gt;1998"/>
        <s v="SUZUKI Vitara 2015&gt;"/>
        <s v="SUZUKI SX4 Halvkombi 2006&gt;"/>
        <s v="SUZUKI Splash 2008&gt;"/>
        <s v="SUZUKI Liana Sedan 2002&gt;"/>
        <s v="SUZUKI Kizashi 2010&gt;"/>
        <s v="SUZUKI Ignis 2003&gt;2008"/>
        <s v="SUZUKI Celerio 2014&gt;"/>
        <s v="SUZUKI Baleno Kombi 1996&gt;2002"/>
        <s v="SUZUKI Alto 2009&gt;"/>
        <s v="SUBARU Trezia 2011&gt;"/>
        <s v="SUBARU Outback 2015&gt;"/>
        <s v="SUBARU Levorg 2015&gt;"/>
        <s v="SUBARU Legacy Sedan 2009&gt;"/>
        <s v="SUBARU Legacy Outback 2009&gt;2015"/>
        <s v="SUBARU Impreza Halvkombi 2007&gt;2013"/>
        <s v="SUBARU Forester 2013&gt;"/>
        <s v="SSANGYONG Rexton 2006&gt;"/>
        <s v="Ssangyong Rexton 2002&gt;2006"/>
        <s v="Ssangyong Musso 1995&gt;2005"/>
        <s v="SSANGYONG Actyon Sport 2007&gt;"/>
        <s v="ŠKODA Superb Sedan 2015&gt;"/>
        <s v="ŠKODA Superb Kombi 2015&gt;"/>
        <s v="SKODA Yeti 2009&gt;"/>
        <s v="SKODA Superb Kombi 2015&gt;"/>
        <s v="SKODA Superb Kombi 2009&gt;2015"/>
        <s v="SKODA Roomster 2010&gt;"/>
        <s v="SKODA Rapid Spaceback 2013&gt;"/>
        <s v="SKODA Octavia Kombi 1998&gt;2005"/>
        <s v="SKODA Octavia Halvkombi 2013&gt;"/>
        <s v="SKODA Octavia Halvkombi 2004&gt;2013"/>
        <s v="SKODA Octavia Halvkombi 1997&gt;2004"/>
        <s v="SKODA Felicia Pick-Up 1996&gt;"/>
        <s v="SKODA Fabia Sedan 2001&gt;2007"/>
        <s v="SKODA Fabia Kombi 2014&gt;"/>
        <s v="SKODA Fabia Halvkombi 2014&gt;"/>
        <s v="SKODA Fabia Halvkombi 2007&gt;2014"/>
        <s v="SKODA Citigo 2012&gt;"/>
        <s v="SEAT Toledo Sedan 2004&gt;2012"/>
        <s v="SEAT Toledo Halvkombi 2004&gt;"/>
        <s v="SEAT Toledo Halvkombi 1995&gt;1999"/>
        <s v="SEAT Toledo Halvkombi 1991&gt;1995"/>
        <s v="SEAT Mii 2012&gt;"/>
        <s v="SEAT Leon Kombi 2013&gt;"/>
        <s v="SEAT Leon Halvkombi 2012&gt;"/>
        <s v="SEAT Leon Halvkombi 2005&gt;2012"/>
        <s v="SEAT Inca 1995&gt;2003"/>
        <s v="SEAT Ibiza Halvkombi 2008&gt;"/>
        <s v="SEAT Ibiza 2008&gt;"/>
        <s v="SEAT Cordoba Coupe 1996&gt;1999"/>
        <s v="SAAB 9000 Halvkombi 1992&gt;1998"/>
        <s v="SAAB 9000 Halvkombi 1985&gt;1992"/>
        <s v="SAAB 900 Halvkombi 1993&gt;1998"/>
        <s v="SAAB 900 Coupe 1993&gt;1998"/>
        <s v="SAAB 9-5 Sedan 1997&gt;2010"/>
        <s v="SAAB 9-5 Kombi 1998&gt;2011"/>
        <s v="SAAB 9-5 Halvkombi 2010&gt;"/>
        <s v="SAAB 9-3 Sedan 2002&gt;"/>
        <s v="SAAB 9-3 Kombi 2005&gt;"/>
        <s v="SAAB 9-3 Halvkombi 1998&gt;2003"/>
        <s v="SAAB 9-3 Cab 2003&gt;"/>
        <s v="ROVER 400 Halvkombi 1995&gt;2000"/>
        <s v="RENAULT Trafic 2014&gt;"/>
        <s v="RENAULT Trafic 1989&gt;2001"/>
        <s v="RENAULT Thalia Sedan 2010&gt;"/>
        <s v="RENAULT Thalia Sedan 1999&gt;2010"/>
        <s v="RENAULT Modus 2008&gt;"/>
        <s v="RENAULT Megane Scenic 2009&gt;2016"/>
        <s v="RENAULT Megane Kombi 2003&gt;2009"/>
        <s v="RENAULT Megane Halvkombi 1999&gt;2002"/>
        <s v="RENAULT 2016&gt;"/>
        <s v="RENAULT Master Van 1980&gt;1997"/>
        <s v="RENAULT Master Skåp/Buss 2010&gt;"/>
        <s v="RENAULT Master Flak 2010&gt;"/>
        <s v="RENAULT Master Flak 1998&gt;2010"/>
        <s v="RENAULT Latitude 2011&gt;"/>
        <s v="RENAULT Kangoo 2008&gt;"/>
        <s v="RENAULT Grand Modus 2008&gt;"/>
        <s v="RENAULT Fluence 2010&gt;"/>
        <s v="RENAULT Espace 2015&gt;"/>
        <s v="RENAULT Clio Kombi 2013&gt;"/>
        <s v="RENAULT Clio Campus 1998&gt;2005"/>
        <s v="RENAULT 19 Sedan 1989&gt;1996"/>
        <s v="Range Rover 2013&gt;"/>
        <s v="Range Rover 2002&gt;2012"/>
        <s v="PEUGEOT Partner 2008&gt;"/>
        <s v="PEUGEOT Partner 1996&gt;2008"/>
        <s v="PEUGEOT Expert 2007&gt;"/>
        <s v="PEUGEOT Expert 1996&gt;2007"/>
        <s v="PEUGEOT Boxer Skåp/Buss 2006&gt;"/>
        <s v="PEUGEOT Boxer 1994&gt;2006"/>
        <s v="PEUGEOT Bipper 2008&gt;"/>
        <s v="PEUGEOT 607 Sedan 2000&gt;"/>
        <s v="PEUGEOT 407 Sedan 2008&gt;"/>
        <s v="PEUGEOT 407 Kombi 2008&gt;"/>
        <s v="PEUGEOT 407 Kombi 2004&gt;2008"/>
        <s v="PEUGEOT 308 Kombi 2014&gt;"/>
        <s v="PEUGEOT 308 Halvkombi 2007&gt;2011"/>
        <s v="PEUGEOT 306 Halvkombi 1993&gt;2001"/>
        <s v="PEUGEOT 301 2012&gt;"/>
        <s v="PEUGEOT 206 Cab 1998&gt;"/>
        <s v="PEUGEOT 107 Halvkombi 2005&gt;2014"/>
        <s v="PEUGEOT 106 Halvkombi 1996&gt;2004"/>
        <s v="PEUGEOT 5008 2009&gt;2017"/>
        <s v="PEUGEOT 4007 2007&gt;"/>
        <s v="PEUGEOT 807 2002&gt;"/>
        <s v="PEUGEOT 806 1994&gt;2002"/>
        <s v="OPEL Vivaro 2014&gt;"/>
        <s v="OPEL Vivaro 2001&gt;2014"/>
        <s v="OPEL Vectra C Sedan 2002&gt;2008"/>
        <s v="OPEL Omega A Kombi 1986&gt;1994"/>
        <s v="OPEL Movano Skåp/Buss 2010&gt;"/>
        <s v="OPEL Movano Flak 1998&gt;2010"/>
        <s v="OPEL Mokka 2012&gt;"/>
        <s v="OPEL Insignia Kombi 2008&gt;2017"/>
        <s v="OPEL Corsa E 2014&gt;"/>
        <s v="OPEL Corsa D 2006&gt;"/>
        <s v="OPEL Corsa B 1993&gt;2000"/>
        <s v="OPEL Combo C 2002&gt;2012"/>
        <s v="OPEL Combo 2012&gt;"/>
        <s v="OPEL Calibra 1990&gt;1997"/>
        <s v="OPEL Astra J Sedan 2012&gt;"/>
        <s v="OPEL Astra G Sedan 1998&gt;2003"/>
        <s v="OPEL Astra H Kombi 2004&gt;2010"/>
        <s v="OPEL Astra G Halvkombi 1998&gt;2003"/>
        <s v="OPEL Astra H Coupe 2005&gt;2009"/>
        <s v="OPEL Antara 2011&gt;"/>
        <s v="OPEL Agila 2008&gt;"/>
        <s v="NISSAN Terrano 1993&gt;2007"/>
        <s v="NISSAN Qashqai 2013&gt;"/>
        <s v="NISSAN Pulsar 2014&gt;"/>
        <s v="NISSAN Pixo 2009&gt;"/>
        <s v="NISSAN Pick Up 2000&gt;2005"/>
        <s v="NISSAN Patrol 2004&gt;"/>
        <s v="NISSAN NV400 2010&gt;"/>
        <s v="NISSAN NV200 2009&gt;"/>
        <s v="NISSAN NP300 2008&gt;"/>
        <s v="NISSAN Note 2013&gt;"/>
        <s v="NISSAN Navara 2005&gt;"/>
        <s v="NISSAN Murano 2005&gt;2008"/>
        <s v="NISSAN Micra 1992&gt;2003"/>
        <s v="NISSAN Kubistar 2002&gt;"/>
        <s v="NISSAN Interstar Van 2002&gt;2010"/>
        <s v="NISSAN Almera Sedan 2000&gt;2006"/>
        <s v="MITSUBISHI Space Runner 1991&gt;1999"/>
        <s v="MITSUBISHI Pajero Sport 1998&gt;"/>
        <s v="MITSUBISHI Pajero 2007&gt;"/>
        <s v="MITSUBISHI Outlander 2007&gt;2012"/>
        <s v="MITSUBISHI Lancer 2008&gt;"/>
        <s v="MITSUBISHI Lancer 1992&gt;2003"/>
        <s v="MITSUBISHI L200 Pick-Up 2015&gt;"/>
        <s v="MITSUBISHI L200 Pick-Up 2006&gt;2010"/>
        <s v="MITSUBISHI Galant 1992&gt;2004"/>
        <s v="MITSUBISHI Colt Halvkombi 5dr 2008&gt;2013"/>
        <s v="MITSUBISHI ASX 2010&gt;"/>
        <s v="MERCEDES Vito/Viano 2014&gt;"/>
        <s v="MERCEDES Sprinter 3,5t 2006&gt;"/>
        <s v="MERCEDES Sprinter 3,5t (Flak) 2006&gt;"/>
        <s v="MERCEDES Sprinter (Flak) 1995&gt;2006"/>
        <s v="MERCEDES R-klass 2006&gt;"/>
        <s v="MERCEDES MB80/100 1988&gt;"/>
        <s v="MERCEDES M-klass 2011&gt;"/>
        <s v="MERCEDES M-klass 2005&gt;2011"/>
        <s v="MERCEDES GLS 2016&gt;"/>
        <s v="MERCEDES GL 2012&gt;"/>
        <s v="MERCEDES GL 2009&gt;2012"/>
        <s v="MERCEDES E-klass Sedan 2016&gt;"/>
        <s v="MERCEDES E-klass Sedan 2009&gt;"/>
        <s v="MERCEDES E-klass Kombi 2009&gt;"/>
        <s v="MERCEDES C-klass Sedan 1993&gt;2000"/>
        <s v="MERCEDES C-klass Kombi 2007&gt;2014"/>
        <s v="MERCEDES C-klass Coupe 2015&gt;"/>
        <s v="MERCEDES B-klass 2011&gt;"/>
        <s v="MERCEDES B-klass 2005&gt;2011"/>
        <s v="MERCEDES 200-400 Sedan 1985&gt;1995"/>
        <s v="MERCEDES 200-400 Kombi 1986&gt;1996"/>
        <s v="MAZDA Tribute 2004&gt;"/>
        <s v="MAZDA Pick Up 1999&gt;2006"/>
        <s v="MAZDA Demio 2000&gt;2003"/>
        <s v="MAZDA BT-50 2012&gt;"/>
        <s v="MAZDA BT-50 2007&gt;2012"/>
        <s v="MAZDA 6 Sedan 2008&gt;2013"/>
        <s v="MAZDA 6 Kombi 2013&gt;"/>
        <s v="MAZDA 6 Halvkombi 2008&gt;2013"/>
        <s v="MAZDA 6 Halvkombi 2002&gt;2008"/>
        <s v="MAZDA 5 Van 2005&gt;2010"/>
        <s v="MAZDA 3 Sedan 2009&gt;2013"/>
        <s v="MAZDA 3 Sedan 2003&gt;2009"/>
        <s v="MAZDA 3 Halvkombi 2013&gt;"/>
        <s v="MAZDA 2 Halvkombi 2015&gt;"/>
        <s v="MAZDA 5 Van 2010&gt;"/>
        <s v="LEXUS RX450h 2009&gt;"/>
        <s v="LEXUS RX350 2009&gt;"/>
        <s v="LEXUS RX300 2003&gt;2009"/>
        <s v="LEXUS NX 300h 2014&gt;"/>
        <s v="LEXUS LX 570 2008&gt;"/>
        <s v="Land Rover Discovery Sport 2015&gt;"/>
        <s v="LANCIA Zeta 1995&gt;2002"/>
        <s v="LANCIA Ypsilon 1996&gt;2003"/>
        <s v="LANCIA Voyager 2011&gt;"/>
        <s v="LANCIA Phedra 2002&gt;"/>
        <s v="LANCIA Delta 2008&gt;"/>
        <s v="LANCIA Delta 1993&gt;1995"/>
        <s v="KIA Venga 2010&gt;"/>
        <s v="KIA Sportage 2016&gt;"/>
        <s v="KIA Sportage 2004&gt;2010"/>
        <s v="KIA Sportage 1994&gt;2004"/>
        <s v="KIA Soul 2012&gt;2014"/>
        <s v="KIA Sorento 2015&gt;"/>
        <s v="KIA Sorento 2012&gt;2015"/>
        <s v="KIA Sorento 2002&gt;2006"/>
        <s v="KIA Shuma 1998&gt;2001"/>
        <s v="KIA Rio Sedan 2013&gt;"/>
        <s v="KIA Rio Halvkombi 2011&gt;2017"/>
        <s v="KIA Optima Sedan 2012&gt;2016"/>
        <s v="KIA Joice 2000&gt;"/>
        <s v="KIA Ceed Kombi GT-Line 2012&gt;"/>
        <s v="KIA Ceed Kombi 2012&gt;"/>
        <s v="KIA Ceed Halvkombi 2006&gt;2012"/>
        <s v="JEEP Wrangler 1996&gt;2007"/>
        <s v="JEEP Wrangler 1988&gt;1996"/>
        <s v="JEEP Renegade/Trailhawk 2014&gt;"/>
        <s v="JEEP Patriot 2007&gt;2011"/>
        <s v="JEEP Grand Cherokee Summit 2011&gt;"/>
        <s v="JEEP Grand Cherokee 2011&gt;"/>
        <s v="JEEP Grand Cherokee 2005&gt;2011"/>
        <s v="JEEP Compass 2006&gt;2011"/>
        <s v="JEEP Cherokee Longitude/Limited 2014&gt;"/>
        <s v="JEEP Cherokee 2008&gt;"/>
        <s v="JEEP Cherokee 2001&gt;2008"/>
        <s v="JEEP Cherokee 1988&gt;1997"/>
        <s v="IVECO Daily 2014&gt;"/>
        <s v="IVECO Daily 1989&gt;1999"/>
        <s v="INFINITY FX 2009&gt;"/>
        <s v="INFINITY EX 2012&gt;"/>
        <s v="HYUNDAI Sonata 2005&gt;2012"/>
        <s v="HYUNDAI Pony 1995&gt;1999"/>
        <s v="HYUNDAI Pony 1990&gt;1994"/>
        <s v="HYUNDAI i40 Sedan 2011&gt;"/>
        <s v="HYUNDAI i30 Halvkombi 2012&gt;2017"/>
        <s v="HYUNDAI i20 2014&gt;"/>
        <s v="HYUNDAI i10 2014&gt;"/>
        <s v="HYUNDAI H350 2015&gt;"/>
        <s v="HYUNDAI H-100 1996&gt;"/>
        <s v="HYUNDAI H-100 1993&gt;1996"/>
        <s v="HYUNDAI Elantra 2011&gt;2015"/>
        <s v="HONDA Shuttle 1995&gt;2001"/>
        <s v="HONDA Jazz 2015&gt;"/>
        <s v="HONDA Jazz 2008&gt;2011"/>
        <s v="HONDA Jazz 2002&gt;2008"/>
        <s v="HONDA HR-V 2015&gt;"/>
        <s v="HONDA FR-V 2005&gt;"/>
        <s v="HONDA Civic Sedan 2012&gt;"/>
        <s v="HONDA Civic Sedan 2006&gt;2011"/>
        <s v="HONDA Civic Kombi 2014&gt;"/>
        <s v="HONDA Civic 5 dr Halvkombi 2012&gt;2016"/>
        <s v="HONDA Civic 5 dr Halvkombi 2006&gt;2011"/>
        <s v="HONDA Civic 5 dr Halvkombi 1992&gt;2001"/>
        <s v="HONDA Civic 3 dr Halvkombi 1992&gt;2001"/>
        <s v="HONDA Accord Sedan 2008&gt;2015"/>
        <s v="HONDA Accord Sedan 2003&gt;2008"/>
        <s v="HONDA Accord Kombi 2008&gt;"/>
        <s v="HONDA Accord Kombi 2003&gt;2008"/>
        <s v="FORD Transit/Tourneo Courier 2014&gt;"/>
        <s v="FORD Transit/Tourneo 2012&gt;"/>
        <s v="FORD Transit/Tourneo 1991&gt;2000 (Flak)"/>
        <s v="FORD S-Max 2006&gt;"/>
        <s v="FORD Ranger 2012&gt;"/>
        <s v="FORD Ranger 2007&gt;2011"/>
        <s v="FORD Ranger 1999&gt;2006"/>
        <s v="FORD Mondeo Sedan 2000&gt;2007"/>
        <s v="FORD Mondeo Sedan 1996&gt;2000"/>
        <s v="FORD Mondeo Kombi 2014&gt;"/>
        <s v="FORD Maverick 2004&gt;"/>
        <s v="FORD Kuga 2013&gt;"/>
        <s v="FORD Grand C-Max 2010&gt;"/>
        <s v="FORD Focus Sedan 2011&gt;"/>
        <s v="FORD Focus Sedan 2005&gt;2011"/>
        <s v="FORD Focus Halvkombi 2011&gt;"/>
        <s v="FORD Focus Halvkombi 2004&gt;2011"/>
        <s v="FORD Focus C-Max 2003&gt;2010"/>
        <s v="FORD Explorer 2011&gt;2015"/>
        <s v="FORD Escort Sedan 1995&gt;"/>
        <s v="FORD Escort Kombi 1990&gt;1999"/>
        <s v="FORD Escort Bolero 1999&gt;"/>
        <s v="FORD Escort Bolero 1995&gt;1999"/>
        <s v="FIAT Uno 1983&gt;2002"/>
        <s v="FIAT Ulysse 2002&gt;"/>
        <s v="FIAT Ulysse 1994&gt;2002"/>
        <s v="FIAT Tipo Sedan 2016&gt;"/>
        <s v="FIAT Seicento 1998&gt;2010"/>
        <s v="FIAT Scudo 2016&gt;"/>
        <s v="FIAT Scudo 2007&gt;2016"/>
        <s v="FIAT Scudo 1996&gt;2007"/>
        <s v="FIAT Punto Halvkombi 1999&gt;2005"/>
        <s v="FIAT Punto Grande 2006&gt;"/>
        <s v="FIAT Punto Evo 2009&gt;"/>
        <s v="FIAT Punto Cab 1993&gt;1999"/>
        <s v="FIAT Punto 2011&gt;"/>
        <s v="FIAT Panda Halvkombi 2003&gt;2012"/>
        <s v="FIAT Panda 4x4 2004&gt;2012"/>
        <s v="FIAT Multipla 2004&gt;"/>
        <s v="FIAT Linea 2007&gt;"/>
        <s v="FIAT Grande Punto 2005&gt;"/>
        <s v="FIAT Freemont 2011&gt;"/>
        <s v="FIAT Fiorino/Qubo 2008&gt;"/>
        <s v="FIAT Ducato 2006&gt;"/>
        <s v="FIAT Ducato (Flak) 1994&gt;2006"/>
        <s v="FIAT Doblo CNG 2010&gt;"/>
        <s v="FIAT Albea 2001&gt;2010"/>
        <s v="FIAT 500 Cab 2007&gt;"/>
        <s v="DODGE Avenger 2007&gt;"/>
        <s v="DAIHATSU Hi Jet 1994&gt;"/>
        <s v="DAEWOO Tacuma 2000&gt;2009"/>
        <s v="DAEWOO Nubira Sedan 2003&gt;2013"/>
        <s v="DAEWOO Nubira Kombi 2004&gt;2011"/>
        <s v="DACIA Sandero Stepway 2013&gt;"/>
        <s v="DACIA Sandero Stepway 2008&gt;2012"/>
        <s v="DACIA Logan Sedan 2013&gt;"/>
        <s v="DACIA Logan Sedan 2004&gt;2012"/>
        <s v="DACIA Logan Pick Up 2013&gt;"/>
        <s v="DACIA Logan Pick Up 2007&gt;2013"/>
        <s v="DACIA Lodgy Stepway 2016&gt;"/>
        <s v="DACIA Duster 2013&gt;"/>
        <s v="DACIA Dokker Stepway 2015&gt;"/>
        <s v="CITROËN Spacetourer 2016&gt;"/>
        <s v="CITROEN Xsara Picasso 2004&gt;"/>
        <s v="CITROEN XM Sedan 1990&gt;2000"/>
        <s v="CITROEN Pluriel 2003&gt;"/>
        <s v="CITROEN Jumpy 1994&gt;2007"/>
        <s v="CITROEN Jumper 1994&gt;2006"/>
        <s v="CITROEN DS3 Halvkombi 2010&gt;"/>
        <s v="CITROEN C8 2002&gt;"/>
        <s v="CITROEN C5 Kombi 2004&gt;2008"/>
        <s v="CITROEN C5 Halvkombi 2004&gt;2008"/>
        <s v="CITROEN C4 Picasso 2013&gt;"/>
        <s v="CITROEN C4 Grand Picasso 2006&gt;2013"/>
        <s v="CITROEN C4 Coupe 2004&gt;2010"/>
        <s v="CITROEN C3 Halvkombi 2010&gt;"/>
        <s v="CITROEN C1 2005&gt;2014"/>
        <s v="CITROEN C-Elysee 2012&gt;"/>
        <s v="CITROEN BX/Berline 1983&gt;1993"/>
        <s v="CITROEN AX 1986&gt;1998"/>
        <s v="CHRYSLER Voyager Stow´n Go 2004&gt;2008"/>
        <s v="CHRYSLER Voyager 2001&gt;2008"/>
        <s v="CHRYSLER Voyager 1991&gt;1995"/>
        <s v="CHRYSLER Sebring 2007&gt;"/>
        <s v="CHEVROLET Pick Up 1988&gt;1999"/>
        <s v="CHEVROLET Nubira Sedan 2005&gt;"/>
        <s v="CHEVROLET Nubira Kombi 2005&gt;"/>
        <s v="CHEVROLET Lacetti Sedan 2004&gt;"/>
        <s v="CHEVROLET Lacetti Kombi 2004&gt;"/>
        <s v="CHEVROLET Epica 2006&gt;"/>
        <s v="CHEVROLET Cruze Halvkombi 2011&gt;"/>
        <s v="CHEVROLET Captiva 2013&gt;"/>
        <s v="CHEVROLET Blazer/Suburban 1992&gt;1994"/>
        <s v="BMW X6 2008&gt;2014"/>
        <s v="BMW X5 2013&gt;"/>
        <s v="BMW X5 2007&gt;2013"/>
        <s v="BMW X5 2000&gt;2007"/>
        <s v="BMW X4 2014&gt;"/>
        <s v="BMW X1 2015&gt;"/>
        <s v="BMW 7-serie 2008&gt;2015"/>
        <s v="BMW 5-serie Kombi 2010&gt;2017"/>
        <s v="BMW 5-serie Kombi 2004&gt;2010"/>
        <s v="BMW 5-serie GT 2009&gt;2013"/>
        <s v="BMW 3-serie Sedan 2012&gt;"/>
        <s v="BMW 3-serie Sedan 2005&gt;2012"/>
        <s v="BMW 3-serie Sedan 1990&gt;1997"/>
        <s v="BMW 3-serie Kombi 2012&gt;"/>
        <s v="BMW 3-serie Kombi 1999&gt;2005"/>
        <s v="BMW 3-serie Kombi 1995&gt;1999"/>
        <s v="BMW 3-serie Coupe 1999&gt;2006"/>
        <s v="BMW 3-serie Coupe 1992&gt;1999"/>
        <s v="BMW 3-serie Cab 2000&gt;2007"/>
        <s v="BMW 3-serie Cab 1992&gt;2000"/>
        <s v="AUDI Q7 2015&gt;"/>
        <s v="AUDI Q7 2006&gt;2015"/>
        <s v="AUDI A8 Sedan 2010&gt;"/>
        <s v="AUDI A7 2010&gt;"/>
        <s v="AUDI A6 Sedan 2011&gt;"/>
        <s v="AUDI A6 Kombi 2005&gt;2011"/>
        <s v="AUDI A6 Kombi 1998&gt;2005"/>
        <s v="AUDI A6 Allroad 2012&gt;"/>
        <s v="AUDI A6 Allroad 2006&gt;2012"/>
        <s v="AUDI A6 Allroad 2000&gt;2006"/>
        <s v="AUDI A5 2007&gt;2015"/>
        <s v="AUDI A4 Kombi 2008&gt;2016"/>
        <s v="AUDI A4 Kombi 2004&gt;2008"/>
        <s v="AUDI A4 Kombi 2001&gt;2004"/>
        <s v="AUDI A4 Kombi 1996&gt;2001"/>
        <s v="AUDI A4 Allroad 2016&gt;"/>
        <s v="AUDI A3 Sportback 2012&gt;"/>
        <s v="AUDI A3 Sportback 2004&gt;2012"/>
        <s v="AUDI A3 Halvkombi 2012&gt;"/>
        <s v="ALFA ROMEO 159 Sedan 2005&gt;"/>
        <s v="ALFA ROMEO 156 Sport/Crosswagon 2004&gt;2007"/>
        <s v="ALFA ROMEO 156 Kombi 2000&gt;2006"/>
        <s v="Montera dragkrok Vara"/>
        <s v="Montera dragkrok Piteå"/>
        <s v="Montera dragkrok Kungsbacka"/>
        <s v="Montera dragkrok Karlstad"/>
        <s v="Montera dragkrok Gävle"/>
        <s v="Montera dragkrok Helsingborg"/>
        <s v="Montera dragkrok Växjö"/>
        <s v="Montera dragkrok Jönköping"/>
        <s v="Montera dragkrok Haparanda"/>
        <s v="Montera dragkrok Umeå"/>
        <s v="Montera dragkrok Uddevalla"/>
        <s v="Montera dragkrok Örebro"/>
        <s v="Montera dragkrok Stockholm"/>
        <s v="Montera dragkrok Malmö"/>
        <s v="Montera dragkrok Göteborg"/>
        <s v="Montera dragkrok - Göteborg"/>
        <s v="VOLVO XC40 2013&gt;"/>
        <s v="VOLVO V90 1994&gt;1998"/>
        <s v="VOLVO V70 1997&gt;2000"/>
        <s v="VOLVO S90 1994&gt;1998"/>
        <s v="VOLVO S80 1998&gt;2006"/>
        <s v="VOLVO S70 1997&gt;2000"/>
        <s v="VOLVO 7-serie/9-serie 1982&gt;1998"/>
        <s v="VOLVO 240-260 Sedan 1980&gt;1993"/>
        <s v="VOLKSWAGEN Taro 1989&gt;1997"/>
        <s v="VOLKSWAGEN T5 Flak 2003&gt;"/>
        <s v="VOLKSWAGEN T2/T3 Skåp/Buss/Flak 79&gt;1990"/>
        <s v="VOLKSWAGEN Scirocco 2008&gt;"/>
        <s v="VOLKSWAGEN Polo Halvkombi 2010&gt;2014 GTI"/>
        <s v="VOLKSWAGEN Polo Halvkombi 2010&gt;2014 Bluemotion"/>
        <s v="VOLKSWAGEN Polo Halvkombi 1990&gt;1994"/>
        <s v="VOLKSWAGEN Polo Halvkombi 2014&gt;"/>
        <s v="VOLKSWAGEN Polo Cross/Fun 2010&gt;"/>
        <s v="VOLKSWAGEN Polo Cross/Fun 2006&gt;2009"/>
        <s v="VOLKSWAGEN Passat Sedan 1993&gt;1996"/>
        <s v="VOLKSWAGEN Passat Sedan 1988&gt;1993"/>
        <s v="VOLKSWAGEN Passat Kombi 1993&gt;1997"/>
        <s v="VOLKSWAGEN Passat Kombi 1988&gt;1993"/>
        <s v="VOLKSWAGEN Passat CC 2008&gt;2012"/>
        <s v="VOLKSWAGEN Passat Alltrack 2012&gt;2015"/>
        <s v="VOLKSWAGEN LT 1995&gt;2006"/>
        <s v="VOLKSWAGEN Jetta Sedan 1983&gt;1991"/>
        <s v="VOLKSWAGEN Golf Sportsvan 2014&gt;"/>
        <s v="VOLKSWAGEN Golf IV Kombi 1999&gt;2006 4x4"/>
        <s v="VOLKSWAGEN Golf II Halvkombi 1989&gt;1991"/>
        <s v="VOLKSWAGEN Golf II Country 1991&gt;1993"/>
        <s v="VOLKSWAGEN Golf VI Cab 2011&gt;"/>
        <s v="VOLKSWAGEN Golf I Cab 1989&gt;1993"/>
        <s v="VOLKSWAGEN Eos 2006&gt;2010"/>
        <s v="VOLKSWAGEN Caddy Maxi 2007&gt;"/>
        <s v="VOLKSWAGEN Caddy GP 2010&gt;"/>
        <s v="VOLKSWAGEN Caddy 4x4 2008&gt;"/>
        <s v="VOLKSWAGEN Beetle 1999&gt;"/>
        <s v="TOYOTA Urban Cruiser 4x4 2009&gt;"/>
        <s v="TOYOTA RAV4 m. reservhjul 2009&gt;2013"/>
        <s v="TOYOTA Previa 1990&gt;2000"/>
        <s v="TOYOTA Previa 2000&gt;2005"/>
        <s v="TOYOTA Picnic 1996&gt;2001"/>
        <s v="TOYOTA Land Cruiser LJ7 1985&gt;"/>
        <s v="TOYOTA Land Cruiser J10 1998&gt;2002"/>
        <s v="TOYOTA iQ 2009&gt;"/>
        <s v="TOYOTA Hi-Lux 1989&gt;1997"/>
        <s v="TOYOTA Dyna 2007&gt;"/>
        <s v="TOYOTA Corolla Sedan 1997&gt;2002"/>
        <s v="TOYOTA Corolla Kombi 1997&gt;2001"/>
        <s v="TOYOTA Corolla Halvkombi 1997&gt;2001"/>
        <s v="TOYOTA Corolla Halvkombi 3 dr 1997&gt;2001"/>
        <s v="TOYOTA Corolla Compact 1992&gt;1997"/>
        <s v="TOYOTA Camry 2001&gt;2004"/>
        <s v="TOYOTA Avensis Kombi 1998&gt;2003"/>
        <s v="SUZUKI Wagon 1997&gt;2000"/>
        <s v="SUZUKI Wagon 2002&gt;2008"/>
        <s v="SUZUKI Wagon 2000&gt;2002"/>
        <s v="SUZUKI SX4 Sedan 2007&gt;"/>
        <s v="SUZUKI Swift Halvkombi 4WD 2005&gt;2010"/>
        <s v="SUZUKI Swift 1996&gt;2001"/>
        <s v="SUZUKI Swift 1991&gt;1996"/>
        <s v="SUZUKI Samurai 1999&gt;"/>
        <s v="SUZUKI Samurai 1996&gt;1999"/>
        <s v="SUBARU Legacy Outback 1998&gt;2003"/>
        <s v="SUBARU Legacy Kombi 1994&gt;2003"/>
        <s v="SUBARU Legacy Kombi 2003&gt;2009"/>
        <s v="SUBARU Justy 1996&gt;2003"/>
        <s v="Subaru Justy 2007&gt;"/>
        <s v="SUBARU Impreza Kombi 2002&gt;2007"/>
        <s v="SUBARU Impreza Halvkombi 2013&gt;"/>
        <s v="Ssangyong Rodius 2005&gt;"/>
        <s v="SMART Coupe/Cab 1998&gt;2007"/>
        <s v="SMART Coupe/Cab 2007&gt;"/>
        <s v="SKODA Roomster Scout 2006&gt;2010"/>
        <s v="SKODA Praktik 2007&gt;"/>
        <s v="SKODA Octavia Kombi Scout Praktik 2005&gt;"/>
        <s v="SKODA Octavia Kombi 4x4 2005&gt;"/>
        <s v="SKODA Octavia Halvkombi RS 2013&gt;"/>
        <s v="SEAT Toledo Sedan 1995&gt;1998"/>
        <s v="SEAT Toledo Sedan 1991&gt;1995"/>
        <s v="SEAT Toledo Sedan 2012&gt;"/>
        <s v="SEAT Ibiza Halvkombi 2002&gt;2008"/>
        <s v="SEAT Ibiza Halvkombi 1999&gt;2002"/>
        <s v="SEAT Ibiza Halvkombi 1996&gt;1999"/>
        <s v="SEAT Ibiza Halvkombi 1993&gt;1996"/>
        <s v="SAAB 9-3X 2009&gt;"/>
        <s v="SAAB 9-3 Cab 1998&gt;2003"/>
        <s v="ROVER 75 Sedan 1999&gt;2005"/>
        <s v="ROVER 75 Kombi 2001&gt;"/>
        <s v="ROVER 45 Sedan 2000&gt;2005"/>
        <s v="ROVER 45 Halvkombi 2000&gt;2004"/>
        <s v="ROVER 400 Sedan 1996&gt;1999"/>
        <s v="ROVER 25 Halvkombi 1999&gt;2005"/>
        <s v="RENAULT Vel Satis 2002&gt;"/>
        <s v="RENAULT Trafic 2001&gt;2014"/>
        <s v="RENAULT R5 Rapid 1986&gt;1991"/>
        <s v="RENAULT R19 1992&gt;1995"/>
        <s v="RENAULT Megane Scenic 2003&gt;2009"/>
        <s v="RENAULT Megane Coupe 2009&gt;"/>
        <s v="RENAULT Megane Cab 2010&gt;"/>
        <s v="RENAULT Megane Cab 2003&gt;2010"/>
        <s v="RENAULT Master Van 1998&gt;2010"/>
        <s v="RENAULT Laguna I Halvkombi 1993&gt;2001"/>
        <s v="RENAULT Kangoo BMC 2010&gt;"/>
        <s v="RENAULT Kangoo Be Bop 2009&gt;"/>
        <s v="RENAULT Kangoo 4WD 2003&gt;"/>
        <s v="RENAULT Clio Halvkombi 1991&gt;1998"/>
        <s v="PORSCHE Macan 2014&gt;"/>
        <s v="PONTIAC Trans Sport Van 1996&gt;"/>
        <s v="Peugeot Partner Origin 2008&gt;"/>
        <s v="PEUGEOT Partner L2 2008&gt;"/>
        <s v="PEUGEOT Partner Boxline 2009&gt;"/>
        <s v="PEUGEOT Partner Boxline 2004&gt;2008"/>
        <s v="PEUGEOT Partner 2008&gt; 4WD"/>
        <s v="PEUGEOT Boxer Flak 2006&gt;"/>
        <s v="PEUGEOT 407 Coupe 2005&gt;"/>
        <s v="PEUGEOT 308 Halvkombi 2011&gt;2013"/>
        <s v="PEUGEOT 307 CC 2003&gt;"/>
        <s v="PEUGEOT 306 Cab 1994&gt;2002"/>
        <s v="PEUGEOT 207 Cab 2006&gt;"/>
        <s v="PEUGEOT 206+ Halvkombi 2009&gt;"/>
        <s v="PEUGEOT 106 Halvkombi 1991&gt;1996"/>
        <s v="PEUGEOT 1007 Van 2005&gt;"/>
        <s v="PEUGEOT 4008 2012&gt;"/>
        <s v="PEUGEOT 1007 2005&gt;"/>
        <s v="OPEL Vectra B Sedan 1995&gt;2002"/>
        <s v="OPEL Vectra A Sedan 1988&gt;1995"/>
        <s v="OPEL Vectra A Halvkombi 1988&gt;1995"/>
        <s v="OPEL Tigra Twin Top 2004&gt;"/>
        <s v="OPEL Sintra 1996&gt;"/>
        <s v="OPEL Omega A Sedan 1986&gt;1994"/>
        <s v="OPEL Movano Van 1998&gt;2010"/>
        <s v="OPEL Movano Flak 2010&gt;"/>
        <s v="OPEL Kadett 1984&gt;1993"/>
        <s v="OPEL Insignia Kombi 4WD 2008&gt;2014"/>
        <s v="OPEL Insignia Kombi 4WD 2014&gt;"/>
        <s v="OPEL Corsa D 2006&gt;2014"/>
        <s v="OPEL Corsa A 1982&gt;1993"/>
        <s v="OPEL Cascada 2013&gt;"/>
        <s v="OPEL Astra H Sedan 2008&gt;2012"/>
        <s v="OPEL Astra F Sedan 1991&gt;1998"/>
        <s v="OPEL Astra F Kombi 1991&gt;1998"/>
        <s v="OPEL Astra F Halvkombi 1991&gt;1998"/>
        <s v="OPEL Astra J Coupe 2012&gt;"/>
        <s v="OPEL Astra H Cab 2006&gt;"/>
        <s v="OPEL Astra G Cab 2001&gt;2005"/>
        <s v="OPEL Astra F Cab 1991&gt;2001"/>
        <s v="NISSAN Vanette 1995&gt;"/>
        <s v="NISSAN Tiida 2008&gt;"/>
        <s v="NISSAN Primera Sedan 2002&gt;2007"/>
        <s v="NISSAN Primera Kombi 1998&gt;2002"/>
        <s v="NISSAN Primera Kombi 1990&gt;1998"/>
        <s v="NISSAN Primera Halvkombi 1999&gt;2002"/>
        <s v="NISSAN Primera Halvkombi 1996&gt;1999"/>
        <s v="NISSAN Primera Halvkombi 1990&gt;1996"/>
        <s v="NISSAN Primera Halvkombi 2002&gt;2007"/>
        <s v="NISSAN Patrol 1998&gt;2004"/>
        <s v="NISSAN Note DIG-S 2014&gt;"/>
        <s v="NISSAN Murano 2008&gt;"/>
        <s v="NISSAN Kubistar 4x4 2002&gt;"/>
        <s v="NISSAN Juke 4WD 2010&gt;"/>
        <s v="NISSAN Double Cab 2002&gt;"/>
        <s v="NISSAN Cabstar 2006&gt;"/>
        <s v="NISSAN Almera Sedan 95&lt;00"/>
        <s v="NISSAN Almera Halvkombi 1995&gt;2000"/>
        <s v="MITSUBISHI Space Wagon 1998&gt;2004"/>
        <s v="MITSUBISHI Space Wagon 1992&gt;1998"/>
        <s v="MITSUBISHI Space Runner 1999&gt;2001"/>
        <s v="MITSUBISHI Space Gear 1995&gt;1999"/>
        <s v="MITSUBISHI Lancer 2003&gt;2008"/>
        <s v="MITSUBISHI Grandis 2004&gt;"/>
        <s v="MITSUBISHI Galant 1988&gt;1992"/>
        <s v="MITSUBISHI Colt Halvkombi 3dr 2005&gt;2008"/>
        <s v="MITSUBISHI Colt CJO Halvkombi 1996&gt;2005"/>
        <s v="MITSUBISHI Carisma Sedan 1996&gt;2006"/>
        <s v="MITSUBISHI Carisma Halvkombi 1995&gt;2006"/>
        <s v="MINI Cooper 2001&gt;2006"/>
        <s v="MERCEDES Vaneo 2002&gt;"/>
        <s v="MERCEDES T2 508-814 Skåp/Buss/Flak 1986&gt;1996"/>
        <s v="MERCEDES Sprinter 5,0t 2006&gt;"/>
        <s v="MERCEDES S-klass Sedan 1998&gt;2005"/>
        <s v="MERCEDES S-klass Sedan 1991&gt;1998"/>
        <s v="MERCEDES M-klass 1998&gt;2005"/>
        <s v="MERCEDES G-klass 1989&gt;2006"/>
        <s v="MERCEDES G-klass 2006&gt;"/>
        <s v="MERCEDES E-klass Sedan 1985&gt;1995"/>
        <s v="MERCEDES E-klass Kombi 1985&gt;1995"/>
        <s v="MERCEDES E-klass Coupe 1985&gt;1995"/>
        <s v="MERCEDES C-klass Coupe 2002&gt;2008"/>
        <s v="MERCEDES CLS Shooting Brake 2012&gt;"/>
        <s v="MERCEDES CLS Coupe 2011&gt;"/>
        <s v="MERCEDES CLS Coupe 2004&gt;2010"/>
        <s v="MERCEDES C-klass Coupe/Cab 1997&gt;2002"/>
        <s v="MERCEDES C-klass CLK Cab 2003&gt;"/>
        <s v="MERCEDES C-klass CLC Coupe 2008&gt;"/>
        <s v="MERCEDES C-klass Sedan 2007&gt;2014 AMG"/>
        <s v="MERCEDES C-klass Kombi AMG 2007&gt;2014"/>
        <s v="MERCEDES C-klass Kombi 2014&gt;"/>
        <s v="MERCEDES 300SL-500SL 1989&gt;1999"/>
        <s v="MERCEDES 207-410D 77&gt;1996"/>
        <s v="MERCEDES 200-400 Coupe 1985&gt;1995"/>
        <s v="MERCEDES 200-400 Cab 1985&gt;1998"/>
        <s v="MERCEDES 190 Sedan 1988&gt;1993"/>
        <s v="MAZDA Xedos 1992&gt;1999"/>
        <s v="MAZDA Premacy 1999&gt;2005"/>
        <s v="MAZDA Pick Up 2007&gt;"/>
        <s v="MAZDA MPV 6 sits 2003&gt;"/>
        <s v="MAZDA MPV 5/7 sits 1999&gt;2005"/>
        <s v="MAZDA E 1984&gt;"/>
        <s v="MAZDA Demio 1998&gt;2000"/>
        <s v="MAZDA CX-7 2007&gt;"/>
        <s v="MAZDA 626 Sedan 1997&gt;2002"/>
        <s v="MAZDA 626 Sedan 1987&gt;1991"/>
        <s v="MAZDA 626 Kombi 1998&gt;2002"/>
        <s v="MAZDA 626 Halvkombi 1997&gt;2002"/>
        <s v="MAZDA 626 Halvkombi 1991&gt;1997"/>
        <s v="MAZDA 6 Sedan 2002&gt;2008"/>
        <s v="MAZDA 323 Sedan 1998&gt;2003"/>
        <s v="MAZDA 323 Sedan 1996&gt;1998"/>
        <s v="MAZDA 323 Sedan 1994&gt;1996"/>
        <s v="MAZDA 323 Kombi 1998&gt;2004"/>
        <s v="MAZDA 323 Kombi 1986&gt;1993"/>
        <s v="MAZDA 323 5 dr Halvkombi 1998&gt;2003"/>
        <s v="MAZDA 121 Halvkombi 96-03"/>
        <s v="LEXUS RX300 2000&gt;2003"/>
        <s v="LEXUS IS 220/250 2005&gt;"/>
        <s v="Range Rover Sport 2009&gt;"/>
        <s v="Range Rover Sport 2005&gt;2009"/>
        <s v="Range Rover 1995&gt;2002"/>
        <s v="Land Rover Discovery 2009&gt;"/>
        <s v="Land Rover Discovery 2004&gt;2009"/>
        <s v="LANCIA Kappa 1994&gt;2001"/>
        <s v="LADA Priora Sedan 2008&gt;"/>
        <s v="LADA Priora Kombi 2008&gt;"/>
        <s v="LADA Priora Halvkombi 2008&gt;"/>
        <s v="LADA Kalina Sedan/Kombi 2004&gt;"/>
        <s v="LADA Kalina Halvkombi 2007&gt;"/>
        <s v="LADA 2112 Halvkombi 2001&gt;"/>
        <s v="LADA 2110/2111 1999&gt;"/>
        <s v="KIA Sephia 1998&gt;2001"/>
        <s v="KIA Rio Sedan 2005&gt;2009"/>
        <s v="KIA Rio Halvkombi 2009&gt;2011"/>
        <s v="KIA Rio Halvkombi 2005&gt;2009"/>
        <s v="KIA Rio Halvkombi 2000&gt;2005"/>
        <s v="KIA ProCeed 2013&gt;"/>
        <s v="KIA ProCeed 2008&gt;2013"/>
        <s v="KIA Pregio 1997&gt;"/>
        <s v="KIA Opirus Sedan 2003&gt;2006"/>
        <s v="KIA Magentis Sedan 2006&gt;2011"/>
        <s v="KIA Magentis Sedan 2001&gt;2006"/>
        <s v="KIA Clarus Sedan 99-2001&gt;"/>
        <s v="KIA Clarus Kombi 1998&gt;2001"/>
        <s v="KIA Cerato Sedan 2004&gt;"/>
        <s v="KIA Cerato Halvkombi 2004&gt;"/>
        <s v="KIA Ceed Halvkombi 2012&gt;"/>
        <s v="KIA Carens 2000&gt;2006"/>
        <s v="JEEP Patriot 2011&gt;"/>
        <s v="JEEP Cherokee Trailhawk/Offroad 2014&gt;"/>
        <s v="JEEP Cherokee 1997&gt;2001"/>
        <s v="JAGUAR XJ 6 1987&gt;1995"/>
        <s v="JAGUAR Sedan XF 2008&gt;2011"/>
        <s v="JAGUAR X 400 Sedan 2001&gt;"/>
        <s v="JAGUAR X 400 Kombi 2004&gt;"/>
        <s v="JAGUAR S-Type 1999&gt;2008"/>
        <s v="IVECO Massif 2008&gt;"/>
        <s v="IVECO Daily 1999&gt;2014"/>
        <s v="INFINITY FX 2003&gt;2008"/>
        <s v="HYUNDAI Trajet 2000&gt;"/>
        <s v="HYUNDAI Sonata 2001&gt;2005"/>
        <s v="HYUNDAI Santamo 1999&gt;"/>
        <s v="HYUNDAI ix55 2008&gt;"/>
        <s v="HYUNDAI i30 Coupe 2013&gt;"/>
        <s v="HYUNDAI H300 2008&gt;"/>
        <s v="HYUNDAI Elantra 2000&gt;2006"/>
        <s v="HYUNDAI Accent 1994&gt;1999"/>
        <s v="HYUNDAI Accent 2006&gt;"/>
        <s v="HUMMER H2 2003&gt;"/>
        <s v="HONDA Stream 2001&gt;"/>
        <s v="HONDA Logo 1999&gt;2001"/>
        <s v="HONDA Jazz 2011&gt;2015"/>
        <s v="HONDA Civic Kombi 1998&gt;2001"/>
        <s v="HONDA Accord Sedan 1998&gt;2002"/>
        <s v="HONDA Accord Sedan 1993&gt;1998"/>
        <s v="HONDA Accord Kombi 1994&gt;1996"/>
        <s v="HONDA Accord Halvkombi 1998&gt;2002"/>
        <s v="HONDA Accord Coupe 1998&gt;2003"/>
        <s v="FORD Windstar 1998&gt;2003"/>
        <s v="FORD Transit/Tourneo 1991&gt;2000"/>
        <s v="FORD Transit/Tourneo 1985&gt;1991"/>
        <s v="FORD Transit/Tourneo 1966&gt;1985"/>
        <s v="FORD Transit/Tourneo 1985&gt;1991 (Flak)"/>
        <s v="FORD Transit/Tourneo 2000&gt;2012 (Flak)"/>
        <s v="FORD Sierra Kombi 1992&gt;1993"/>
        <s v="FORD Scorpio Kombi 1992&gt;2000"/>
        <s v="FORD Mondeo Sedan 1993&gt;1996"/>
        <s v="FORD Mondeo Sedan 2014&gt;"/>
        <s v="FORD Mondeo Halvkombi 1993&gt;1996"/>
        <s v="FORD Ka 2009&gt;"/>
        <s v="FORD Focus Sedan 1999&gt;2005"/>
        <s v="FORD Focus Cab 2003&gt;"/>
        <s v="FORD Fiesta Halvkombi 1989&gt;1995"/>
        <s v="FORD Fiesta Courier 1996&gt;2002"/>
        <s v="FORD F150 Pick Up 1998&gt;2003"/>
        <s v="FORD F150 Pick Up 2004&gt;"/>
        <s v="FORD Explorer 2001&gt;2005"/>
        <s v="FORD Escort Express 1990&gt;"/>
        <s v="FORD Cougar 1998&gt;2002"/>
        <s v="FIAT Panda Climbing 2012&gt;"/>
        <s v="FIAT Panda 4x2 CNG 2007&gt;2012"/>
        <s v="FIAT Idea 2004&gt;"/>
        <s v="FIAT Fiorino 1994&gt;2008"/>
        <s v="FIAT Ducato 1984&gt;1994"/>
        <s v="FIAT Ducato (Flak) 1984&gt;1994"/>
        <s v="FIAT Ducato (Flak) 2006&gt;"/>
        <s v="FIAT Doblo Cargo WorkUp 2011&gt;"/>
        <s v="Dodge Mini Ram 1991&gt;1995"/>
        <s v="DODGE Magnum 2004&gt;"/>
        <s v="Dodge Grand Caravan 1991&gt;1995"/>
        <s v="Dodge Caravan 1991&gt;1995"/>
        <s v="DAIHATSU YRV 2001&gt;2006"/>
        <s v="DAIHATSU Terios 1997&gt;2006"/>
        <s v="DAIHATSU Terios 2006&gt;"/>
        <s v="DAIHATSU Sirion 1998&gt;2004"/>
        <s v="DAIHATSU Sirion 2005&gt;"/>
        <s v="DAIHATSU Materia 2007&gt;"/>
        <s v="DAIHATSU Gran Move 1996&gt;2003"/>
        <s v="DAIHATSU Feroza 1988&gt;1997"/>
        <s v="DAIHATSU Cuore 2007&gt;"/>
        <s v="DAEWOO Nubira Kombi 1999&gt;2004"/>
        <s v="DAEWOO Lanos Halvkombi 1997&gt;2004"/>
        <s v="DAEWOO Kalos 2002&gt;"/>
        <s v="DACIA Logan Kombi 2007&gt;"/>
        <s v="CITROEN ZX 1991&gt;1997"/>
        <s v="CITROEN XM Halvkombi 1989&gt;2001"/>
        <s v="CITROEN C5 Sedan 2004&gt;2008"/>
        <s v="CITROEN C4 Coupe 2010&gt;"/>
        <s v="CITROEN C3 Cab 2013&gt;"/>
        <s v="CITROEN C3 Cab 2003&gt;2012"/>
        <s v="CITROEN C25 1984&gt;1994"/>
        <s v="CITROEN Berlingo First 2008&gt;"/>
        <s v="CHRYSLER Voyager 1995&gt;2001"/>
        <s v="CHRYSLER Stratus 1995&gt;2001"/>
        <s v="CHRYSLER PT Cruiser Cab 2004&gt;"/>
        <s v="CHRYSLER Neon 1999&gt;"/>
        <s v="CHRYSLER Grand Voyager 1995&gt;2001"/>
        <s v="CHRYSLER Grand Voyager 1991&gt;1995"/>
        <s v="CHRYSLER 300M 1998&gt;2004"/>
        <s v="CHRYSLER 300C 2011&gt;"/>
        <s v="CHEVROLET Van 1996&gt;"/>
        <s v="CHEVROLET Uplander 2007&gt;"/>
        <s v="CHEVROLET Trans Sport Van 1996&gt;"/>
        <s v="CHEVROLET Tahoe 2000&gt;"/>
        <s v="CHEVROLET Rezzo 2005&gt;"/>
        <s v="CHEVROLET Nubira Sedan 1998&gt;2005"/>
        <s v="CHEVROLET Malibu 2012&gt;"/>
        <s v="CHEVROLET Lanos 1997&gt;2004"/>
        <s v="CHEVROLET Lacetti Halvkombi 2004&gt;"/>
        <s v="CHEVROLET Kalos 2005&gt;"/>
        <s v="CHEVROLET Equinox 2005&gt;"/>
        <s v="CHEVROLET Aveo Sedan 2011&gt;"/>
        <s v="CHEVROLET Aveo Sedan 2006&gt;2011"/>
        <s v="CHEVROLET Alero Sedan 1998&gt;"/>
        <s v="CADILLAC SRX 2004&gt;2010"/>
        <s v="CADILLAC BLS Sedan 2006&gt;"/>
        <s v="CADILLAC BLS Kombi 2007&gt;"/>
        <s v="BMW Z4 2009&gt;"/>
        <s v="BMW Z4 2003&gt;2009"/>
        <s v="BMW 7-serie 2005&gt;2008"/>
        <s v="BMW 7-serie 2001&gt;2005"/>
        <s v="BMW 6-serie Cab/Coupe 2004&gt;2011"/>
        <s v="BMW 5-serie Sedan 1988&gt;1995"/>
        <s v="BMW 5-serie Kombi 1991&gt;1997"/>
        <s v="BMW 4-serie Grand Coupe 2014&gt;"/>
        <s v="BMW 4-serie Cab 2014&gt;"/>
        <s v="BMW 3-serie Sedan 1982&gt;1990"/>
        <s v="BMW 3-serie Kombi 1987&gt;1994"/>
        <s v="BMW 3-serie Coupe 2006&gt;"/>
        <s v="BMW 3-serie Cab 2007&gt;"/>
        <s v="BMW 2-serie Coupe 2013&gt;"/>
        <s v="BMW 1-serie Coupe 2007&gt;2012"/>
        <s v="BMW 1-serie Cab 2008&gt;"/>
        <s v="AUDI TT Coupe/Cab 2006&gt;"/>
        <s v="AUDI A8 Sedan 2002&gt;2010"/>
        <s v="AUDI A8 Sedan 1994&gt;2002"/>
        <s v="AUDI A6 Sedan 1994&gt;1997"/>
        <s v="AUDI A6 Kombi 1994&gt;1998"/>
        <s v="AUDI A5 Cab 2009&gt;"/>
        <s v="AUDI A4 Cab 2005&gt;"/>
        <s v="AUDI A4 Cab 2002&gt;2005"/>
        <s v="AUDI A3 Sedan 2013&gt;"/>
        <s v="AUDI A3 Cab 2008&gt;2012"/>
        <s v="AUDI A3 Cab 2008&gt;"/>
        <s v="AUDI A2 2000&gt;2005"/>
        <s v="AUDI 80 Sedan 1991&gt;1994"/>
        <s v="AUDI 80 Sedan 1986&gt;1991"/>
        <s v="AUDI 80 Kombi 1991&gt;1995"/>
        <s v="AUDI 80 Cab 1994&gt;2000"/>
        <s v="AUDI 80 Cab 1989&gt;1993"/>
        <s v="AUDI 100 Sedan 1990&gt;1994"/>
        <s v="AUDI 100 Kombi 1991&gt;1994"/>
        <s v="ALFA ROMEO Mito Halvkombi 2008&gt;"/>
        <s v="ALFA ROMEO 146 Halvkombi 1995&gt;200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Bilmodeller2018" cacheId="0" dataCaption="" compact="0" compactData="0">
  <location ref="C1:D1423" firstHeaderRow="0" firstDataRow="1" firstDataCol="0"/>
  <pivotFields>
    <pivotField name="Bilmodeller 2018" axis="axisRow" dataField="1" compact="0" outline="0" multipleItemSelectionAllowed="1" showAll="0" sortType="ascending">
      <items>
        <item x="1420"/>
        <item x="427"/>
        <item x="1419"/>
        <item x="426"/>
        <item x="1001"/>
        <item x="425"/>
        <item x="1000"/>
        <item x="424"/>
        <item x="999"/>
        <item x="423"/>
        <item x="510"/>
        <item x="422"/>
        <item x="421"/>
        <item x="439"/>
        <item x="1418"/>
        <item x="509"/>
        <item x="1417"/>
        <item x="1416"/>
        <item x="1415"/>
        <item x="1414"/>
        <item x="1413"/>
        <item x="1412"/>
        <item x="1411"/>
        <item x="420"/>
        <item x="508"/>
        <item x="1410"/>
        <item x="1409"/>
        <item x="1408"/>
        <item x="418"/>
        <item x="419"/>
        <item x="998"/>
        <item x="1407"/>
        <item x="997"/>
        <item x="996"/>
        <item x="995"/>
        <item x="1406"/>
        <item x="1405"/>
        <item x="994"/>
        <item x="993"/>
        <item x="992"/>
        <item x="991"/>
        <item x="417"/>
        <item x="413"/>
        <item x="414"/>
        <item x="415"/>
        <item x="416"/>
        <item x="507"/>
        <item x="990"/>
        <item x="1404"/>
        <item x="989"/>
        <item x="988"/>
        <item x="987"/>
        <item x="1403"/>
        <item x="986"/>
        <item x="985"/>
        <item x="515"/>
        <item x="1402"/>
        <item x="411"/>
        <item x="412"/>
        <item x="984"/>
        <item x="983"/>
        <item x="1401"/>
        <item x="1400"/>
        <item x="982"/>
        <item x="410"/>
        <item x="409"/>
        <item x="408"/>
        <item x="981"/>
        <item x="980"/>
        <item x="1399"/>
        <item x="1398"/>
        <item x="1397"/>
        <item x="406"/>
        <item x="407"/>
        <item x="405"/>
        <item x="1396"/>
        <item x="434"/>
        <item x="979"/>
        <item x="978"/>
        <item x="1395"/>
        <item x="403"/>
        <item x="404"/>
        <item x="977"/>
        <item x="976"/>
        <item x="1394"/>
        <item x="402"/>
        <item x="1393"/>
        <item x="975"/>
        <item x="974"/>
        <item x="401"/>
        <item x="973"/>
        <item x="1392"/>
        <item x="972"/>
        <item x="400"/>
        <item x="971"/>
        <item x="970"/>
        <item x="1391"/>
        <item x="438"/>
        <item x="1390"/>
        <item x="969"/>
        <item x="506"/>
        <item x="1389"/>
        <item x="399"/>
        <item x="968"/>
        <item x="967"/>
        <item x="447"/>
        <item x="1388"/>
        <item x="396"/>
        <item x="397"/>
        <item x="398"/>
        <item x="446"/>
        <item x="1387"/>
        <item x="430"/>
        <item x="431"/>
        <item x="1386"/>
        <item x="1385"/>
        <item x="966"/>
        <item x="395"/>
        <item x="965"/>
        <item x="393"/>
        <item x="394"/>
        <item x="964"/>
        <item x="963"/>
        <item x="962"/>
        <item x="961"/>
        <item x="960"/>
        <item x="437"/>
        <item x="1384"/>
        <item x="1383"/>
        <item x="1382"/>
        <item x="1381"/>
        <item x="1380"/>
        <item x="1379"/>
        <item x="391"/>
        <item x="392"/>
        <item x="1378"/>
        <item x="1377"/>
        <item x="959"/>
        <item x="390"/>
        <item x="958"/>
        <item x="957"/>
        <item x="389"/>
        <item x="388"/>
        <item x="956"/>
        <item x="1376"/>
        <item x="1375"/>
        <item x="1374"/>
        <item x="955"/>
        <item x="954"/>
        <item x="1373"/>
        <item x="1372"/>
        <item x="387"/>
        <item x="953"/>
        <item x="1371"/>
        <item x="952"/>
        <item x="386"/>
        <item x="951"/>
        <item x="1370"/>
        <item x="385"/>
        <item x="1369"/>
        <item x="1368"/>
        <item x="384"/>
        <item x="1367"/>
        <item x="1366"/>
        <item x="383"/>
        <item x="1365"/>
        <item x="1364"/>
        <item x="1363"/>
        <item x="1362"/>
        <item x="381"/>
        <item x="382"/>
        <item x="1361"/>
        <item x="380"/>
        <item x="1360"/>
        <item x="950"/>
        <item x="1359"/>
        <item x="949"/>
        <item x="1358"/>
        <item x="948"/>
        <item x="947"/>
        <item x="946"/>
        <item x="377"/>
        <item x="378"/>
        <item x="1357"/>
        <item x="379"/>
        <item x="945"/>
        <item x="376"/>
        <item x="944"/>
        <item x="943"/>
        <item x="375"/>
        <item x="1356"/>
        <item x="1355"/>
        <item x="1354"/>
        <item x="374"/>
        <item x="942"/>
        <item x="373"/>
        <item x="372"/>
        <item x="371"/>
        <item x="941"/>
        <item x="1353"/>
        <item x="940"/>
        <item x="370"/>
        <item x="368"/>
        <item x="369"/>
        <item x="367"/>
        <item x="939"/>
        <item x="366"/>
        <item x="938"/>
        <item x="364"/>
        <item x="937"/>
        <item x="365"/>
        <item x="1352"/>
        <item x="363"/>
        <item x="936"/>
        <item x="362"/>
        <item x="935"/>
        <item x="361"/>
        <item x="360"/>
        <item x="359"/>
        <item x="357"/>
        <item x="358"/>
        <item x="934"/>
        <item x="933"/>
        <item x="356"/>
        <item x="355"/>
        <item x="932"/>
        <item x="354"/>
        <item x="929"/>
        <item x="353"/>
        <item x="1351"/>
        <item x="931"/>
        <item x="352"/>
        <item x="351"/>
        <item x="350"/>
        <item x="930"/>
        <item x="1350"/>
        <item x="349"/>
        <item x="928"/>
        <item x="348"/>
        <item x="927"/>
        <item x="347"/>
        <item x="926"/>
        <item x="1349"/>
        <item x="345"/>
        <item x="346"/>
        <item x="925"/>
        <item x="924"/>
        <item x="923"/>
        <item x="922"/>
        <item x="343"/>
        <item x="344"/>
        <item x="921"/>
        <item x="920"/>
        <item x="1348"/>
        <item x="1347"/>
        <item x="1346"/>
        <item x="919"/>
        <item x="918"/>
        <item x="917"/>
        <item x="1345"/>
        <item x="1344"/>
        <item x="1343"/>
        <item x="916"/>
        <item x="1342"/>
        <item x="1340"/>
        <item x="1341"/>
        <item x="1338"/>
        <item x="1339"/>
        <item x="1337"/>
        <item x="915"/>
        <item x="342"/>
        <item x="1336"/>
        <item x="1335"/>
        <item x="341"/>
        <item x="1334"/>
        <item x="1333"/>
        <item x="340"/>
        <item x="914"/>
        <item x="339"/>
        <item x="338"/>
        <item x="337"/>
        <item x="336"/>
        <item x="913"/>
        <item x="335"/>
        <item x="333"/>
        <item x="334"/>
        <item x="332"/>
        <item x="330"/>
        <item x="331"/>
        <item x="1332"/>
        <item x="912"/>
        <item x="1330"/>
        <item x="911"/>
        <item x="1331"/>
        <item x="1329"/>
        <item x="329"/>
        <item x="910"/>
        <item x="1328"/>
        <item x="909"/>
        <item x="908"/>
        <item x="328"/>
        <item x="907"/>
        <item x="1327"/>
        <item x="906"/>
        <item x="327"/>
        <item x="326"/>
        <item x="325"/>
        <item x="905"/>
        <item x="323"/>
        <item x="324"/>
        <item x="1326"/>
        <item x="904"/>
        <item x="322"/>
        <item x="1325"/>
        <item x="320"/>
        <item x="903"/>
        <item x="321"/>
        <item x="902"/>
        <item x="901"/>
        <item x="900"/>
        <item x="899"/>
        <item x="319"/>
        <item x="898"/>
        <item x="897"/>
        <item x="896"/>
        <item x="895"/>
        <item x="318"/>
        <item x="894"/>
        <item x="316"/>
        <item x="317"/>
        <item x="315"/>
        <item x="505"/>
        <item x="504"/>
        <item x="503"/>
        <item x="893"/>
        <item x="892"/>
        <item x="891"/>
        <item x="890"/>
        <item x="314"/>
        <item x="313"/>
        <item x="1324"/>
        <item x="312"/>
        <item x="501"/>
        <item x="889"/>
        <item x="888"/>
        <item x="1323"/>
        <item x="887"/>
        <item x="886"/>
        <item x="1322"/>
        <item x="885"/>
        <item x="500"/>
        <item x="1320"/>
        <item x="1321"/>
        <item x="1319"/>
        <item x="1318"/>
        <item x="309"/>
        <item x="310"/>
        <item x="311"/>
        <item x="884"/>
        <item x="1317"/>
        <item x="308"/>
        <item x="883"/>
        <item x="882"/>
        <item x="305"/>
        <item x="306"/>
        <item x="307"/>
        <item x="1316"/>
        <item x="881"/>
        <item x="880"/>
        <item x="304"/>
        <item x="300"/>
        <item x="301"/>
        <item x="302"/>
        <item x="303"/>
        <item x="879"/>
        <item x="1315"/>
        <item x="299"/>
        <item x="878"/>
        <item x="298"/>
        <item x="877"/>
        <item x="1314"/>
        <item x="294"/>
        <item x="295"/>
        <item x="296"/>
        <item x="297"/>
        <item x="291"/>
        <item x="292"/>
        <item x="293"/>
        <item x="876"/>
        <item x="1312"/>
        <item x="875"/>
        <item x="874"/>
        <item x="290"/>
        <item x="1313"/>
        <item x="873"/>
        <item x="872"/>
        <item x="871"/>
        <item x="870"/>
        <item x="289"/>
        <item x="502"/>
        <item x="1311"/>
        <item x="1310"/>
        <item x="1307"/>
        <item x="1306"/>
        <item x="1308"/>
        <item x="1305"/>
        <item x="869"/>
        <item x="1309"/>
        <item x="288"/>
        <item x="868"/>
        <item x="286"/>
        <item x="287"/>
        <item x="867"/>
        <item x="1304"/>
        <item x="1303"/>
        <item x="1302"/>
        <item x="1301"/>
        <item x="866"/>
        <item x="865"/>
        <item x="1300"/>
        <item x="1299"/>
        <item x="864"/>
        <item x="863"/>
        <item x="862"/>
        <item x="284"/>
        <item x="861"/>
        <item x="285"/>
        <item x="860"/>
        <item x="859"/>
        <item x="499"/>
        <item x="1298"/>
        <item x="858"/>
        <item x="857"/>
        <item x="856"/>
        <item x="280"/>
        <item x="281"/>
        <item x="282"/>
        <item x="283"/>
        <item x="855"/>
        <item x="278"/>
        <item x="279"/>
        <item x="854"/>
        <item x="853"/>
        <item x="852"/>
        <item x="1297"/>
        <item x="851"/>
        <item x="1296"/>
        <item x="850"/>
        <item x="1295"/>
        <item x="1294"/>
        <item x="1292"/>
        <item x="277"/>
        <item x="1293"/>
        <item x="276"/>
        <item x="1291"/>
        <item x="849"/>
        <item x="498"/>
        <item x="275"/>
        <item x="273"/>
        <item x="274"/>
        <item x="272"/>
        <item x="848"/>
        <item x="847"/>
        <item x="270"/>
        <item x="271"/>
        <item x="1290"/>
        <item x="846"/>
        <item x="269"/>
        <item x="845"/>
        <item x="268"/>
        <item x="844"/>
        <item x="1289"/>
        <item x="267"/>
        <item x="843"/>
        <item x="497"/>
        <item x="265"/>
        <item x="266"/>
        <item x="496"/>
        <item x="264"/>
        <item x="842"/>
        <item x="263"/>
        <item x="262"/>
        <item x="1288"/>
        <item x="495"/>
        <item x="261"/>
        <item x="260"/>
        <item x="841"/>
        <item x="840"/>
        <item x="257"/>
        <item x="258"/>
        <item x="259"/>
        <item x="1287"/>
        <item x="1286"/>
        <item x="839"/>
        <item x="256"/>
        <item x="1285"/>
        <item x="254"/>
        <item x="255"/>
        <item x="838"/>
        <item x="1284"/>
        <item x="837"/>
        <item x="252"/>
        <item x="253"/>
        <item x="836"/>
        <item x="1283"/>
        <item x="835"/>
        <item x="1282"/>
        <item x="1281"/>
        <item x="1278"/>
        <item x="1280"/>
        <item x="1279"/>
        <item x="441"/>
        <item x="440"/>
        <item x="445"/>
        <item x="444"/>
        <item x="442"/>
        <item x="443"/>
        <item x="1277"/>
        <item x="834"/>
        <item x="1276"/>
        <item x="833"/>
        <item x="832"/>
        <item x="250"/>
        <item x="251"/>
        <item x="831"/>
        <item x="1275"/>
        <item x="249"/>
        <item x="830"/>
        <item x="248"/>
        <item x="494"/>
        <item x="246"/>
        <item x="247"/>
        <item x="829"/>
        <item x="828"/>
        <item x="827"/>
        <item x="826"/>
        <item x="1274"/>
        <item x="825"/>
        <item x="824"/>
        <item x="823"/>
        <item x="245"/>
        <item x="1273"/>
        <item x="243"/>
        <item x="244"/>
        <item x="242"/>
        <item x="493"/>
        <item x="822"/>
        <item x="1272"/>
        <item x="241"/>
        <item x="821"/>
        <item x="820"/>
        <item x="1271"/>
        <item x="1270"/>
        <item x="1269"/>
        <item x="1268"/>
        <item x="819"/>
        <item x="240"/>
        <item x="1267"/>
        <item x="1266"/>
        <item x="492"/>
        <item x="1265"/>
        <item x="491"/>
        <item x="818"/>
        <item x="433"/>
        <item x="238"/>
        <item x="239"/>
        <item x="1264"/>
        <item x="1263"/>
        <item x="1262"/>
        <item x="1261"/>
        <item x="1260"/>
        <item x="1259"/>
        <item x="817"/>
        <item x="490"/>
        <item x="1258"/>
        <item x="816"/>
        <item x="1257"/>
        <item x="815"/>
        <item x="814"/>
        <item x="236"/>
        <item x="237"/>
        <item x="813"/>
        <item x="812"/>
        <item x="235"/>
        <item x="811"/>
        <item x="511"/>
        <item x="810"/>
        <item x="809"/>
        <item x="234"/>
        <item x="808"/>
        <item x="489"/>
        <item x="807"/>
        <item x="1256"/>
        <item x="1255"/>
        <item x="1254"/>
        <item x="1253"/>
        <item x="233"/>
        <item x="1252"/>
        <item x="1251"/>
        <item x="1250"/>
        <item x="806"/>
        <item x="805"/>
        <item x="1249"/>
        <item x="232"/>
        <item x="231"/>
        <item x="804"/>
        <item x="230"/>
        <item x="803"/>
        <item x="802"/>
        <item x="801"/>
        <item x="229"/>
        <item x="228"/>
        <item x="1248"/>
        <item x="1247"/>
        <item x="800"/>
        <item x="226"/>
        <item x="227"/>
        <item x="1243"/>
        <item x="799"/>
        <item x="798"/>
        <item x="1242"/>
        <item x="797"/>
        <item x="796"/>
        <item x="456"/>
        <item x="795"/>
        <item x="1241"/>
        <item x="225"/>
        <item x="793"/>
        <item x="224"/>
        <item x="222"/>
        <item x="223"/>
        <item x="792"/>
        <item x="791"/>
        <item x="790"/>
        <item x="488"/>
        <item x="1240"/>
        <item x="1239"/>
        <item x="1238"/>
        <item x="1237"/>
        <item x="1236"/>
        <item x="1235"/>
        <item x="789"/>
        <item x="794"/>
        <item x="788"/>
        <item x="787"/>
        <item x="220"/>
        <item x="221"/>
        <item x="786"/>
        <item x="1234"/>
        <item x="785"/>
        <item x="219"/>
        <item x="1233"/>
        <item x="1232"/>
        <item x="1231"/>
        <item x="1230"/>
        <item x="1229"/>
        <item x="784"/>
        <item x="783"/>
        <item x="218"/>
        <item x="217"/>
        <item x="1228"/>
        <item x="1227"/>
        <item x="782"/>
        <item x="1226"/>
        <item x="1225"/>
        <item x="1224"/>
        <item x="781"/>
        <item x="1223"/>
        <item x="1222"/>
        <item x="780"/>
        <item x="1221"/>
        <item x="1220"/>
        <item x="1219"/>
        <item x="1218"/>
        <item x="779"/>
        <item x="778"/>
        <item x="1217"/>
        <item x="1216"/>
        <item x="214"/>
        <item x="215"/>
        <item x="216"/>
        <item x="777"/>
        <item x="776"/>
        <item x="1212"/>
        <item x="1211"/>
        <item x="206"/>
        <item x="1206"/>
        <item x="486"/>
        <item x="775"/>
        <item x="1210"/>
        <item x="212"/>
        <item x="213"/>
        <item x="774"/>
        <item x="1215"/>
        <item x="1214"/>
        <item x="773"/>
        <item x="209"/>
        <item x="210"/>
        <item x="1213"/>
        <item x="211"/>
        <item x="208"/>
        <item x="207"/>
        <item x="484"/>
        <item x="1209"/>
        <item x="1208"/>
        <item x="1207"/>
        <item x="205"/>
        <item x="1205"/>
        <item x="487"/>
        <item x="1204"/>
        <item x="203"/>
        <item x="204"/>
        <item x="772"/>
        <item x="1203"/>
        <item x="200"/>
        <item x="201"/>
        <item x="771"/>
        <item x="202"/>
        <item x="770"/>
        <item x="1201"/>
        <item x="1202"/>
        <item x="769"/>
        <item x="768"/>
        <item x="199"/>
        <item x="198"/>
        <item x="485"/>
        <item x="197"/>
        <item x="767"/>
        <item x="1200"/>
        <item x="766"/>
        <item x="765"/>
        <item x="764"/>
        <item x="763"/>
        <item x="1199"/>
        <item x="1198"/>
        <item x="454"/>
        <item x="762"/>
        <item x="196"/>
        <item x="761"/>
        <item x="760"/>
        <item x="1197"/>
        <item x="1196"/>
        <item x="1195"/>
        <item x="194"/>
        <item x="195"/>
        <item x="759"/>
        <item x="193"/>
        <item x="453"/>
        <item x="449"/>
        <item x="1194"/>
        <item x="450"/>
        <item x="452"/>
        <item x="451"/>
        <item x="758"/>
        <item x="1193"/>
        <item x="1192"/>
        <item x="1191"/>
        <item x="1190"/>
        <item x="192"/>
        <item x="757"/>
        <item x="1189"/>
        <item x="756"/>
        <item x="1188"/>
        <item x="190"/>
        <item x="755"/>
        <item x="191"/>
        <item x="754"/>
        <item x="753"/>
        <item x="1187"/>
        <item x="752"/>
        <item x="188"/>
        <item x="751"/>
        <item x="189"/>
        <item x="186"/>
        <item x="187"/>
        <item x="750"/>
        <item x="185"/>
        <item x="749"/>
        <item x="1186"/>
        <item x="748"/>
        <item x="1185"/>
        <item x="184"/>
        <item x="1184"/>
        <item x="1183"/>
        <item x="1017"/>
        <item x="1006"/>
        <item x="1016"/>
        <item x="1010"/>
        <item x="1007"/>
        <item x="517"/>
        <item x="1009"/>
        <item x="1005"/>
        <item x="520"/>
        <item x="1004"/>
        <item x="519"/>
        <item x="521"/>
        <item x="1015"/>
        <item x="513"/>
        <item x="1003"/>
        <item x="1014"/>
        <item x="516"/>
        <item x="1012"/>
        <item x="514"/>
        <item x="1011"/>
        <item x="1002"/>
        <item x="1008"/>
        <item x="518"/>
        <item x="1013"/>
        <item x="1182"/>
        <item x="183"/>
        <item x="747"/>
        <item x="1181"/>
        <item x="182"/>
        <item x="1180"/>
        <item x="1179"/>
        <item x="746"/>
        <item x="181"/>
        <item x="1178"/>
        <item x="180"/>
        <item x="745"/>
        <item x="1177"/>
        <item x="524"/>
        <item x="744"/>
        <item x="179"/>
        <item x="483"/>
        <item x="743"/>
        <item x="1176"/>
        <item x="742"/>
        <item x="177"/>
        <item x="178"/>
        <item x="176"/>
        <item x="741"/>
        <item x="1175"/>
        <item x="740"/>
        <item x="739"/>
        <item x="738"/>
        <item x="175"/>
        <item x="1174"/>
        <item x="737"/>
        <item x="736"/>
        <item x="735"/>
        <item x="174"/>
        <item x="1172"/>
        <item x="1171"/>
        <item x="1170"/>
        <item x="1173"/>
        <item x="1169"/>
        <item x="1168"/>
        <item x="173"/>
        <item x="1167"/>
        <item x="734"/>
        <item x="172"/>
        <item x="733"/>
        <item x="732"/>
        <item x="1166"/>
        <item x="1165"/>
        <item x="169"/>
        <item x="170"/>
        <item x="171"/>
        <item x="482"/>
        <item x="167"/>
        <item x="168"/>
        <item x="731"/>
        <item x="166"/>
        <item x="730"/>
        <item x="1164"/>
        <item x="1160"/>
        <item x="1159"/>
        <item x="1158"/>
        <item x="1163"/>
        <item x="165"/>
        <item x="728"/>
        <item x="160"/>
        <item x="726"/>
        <item x="1162"/>
        <item x="729"/>
        <item x="162"/>
        <item x="727"/>
        <item x="1157"/>
        <item x="1161"/>
        <item x="163"/>
        <item x="161"/>
        <item x="725"/>
        <item x="164"/>
        <item x="481"/>
        <item x="724"/>
        <item x="1156"/>
        <item x="723"/>
        <item x="159"/>
        <item x="722"/>
        <item x="1155"/>
        <item x="721"/>
        <item x="158"/>
        <item x="720"/>
        <item x="1154"/>
        <item x="719"/>
        <item x="156"/>
        <item x="157"/>
        <item x="479"/>
        <item x="718"/>
        <item x="480"/>
        <item x="1152"/>
        <item x="1153"/>
        <item x="155"/>
        <item x="1151"/>
        <item x="153"/>
        <item x="154"/>
        <item x="717"/>
        <item x="716"/>
        <item x="1150"/>
        <item x="715"/>
        <item x="1149"/>
        <item x="714"/>
        <item x="1148"/>
        <item x="152"/>
        <item x="151"/>
        <item x="150"/>
        <item x="1147"/>
        <item x="1146"/>
        <item x="1145"/>
        <item x="1144"/>
        <item x="148"/>
        <item x="146"/>
        <item x="1143"/>
        <item x="149"/>
        <item x="147"/>
        <item x="713"/>
        <item x="712"/>
        <item x="711"/>
        <item x="145"/>
        <item x="143"/>
        <item x="144"/>
        <item x="1142"/>
        <item x="1140"/>
        <item x="1139"/>
        <item x="706"/>
        <item x="705"/>
        <item x="142"/>
        <item x="704"/>
        <item x="140"/>
        <item x="139"/>
        <item x="1138"/>
        <item x="1137"/>
        <item x="138"/>
        <item x="137"/>
        <item x="136"/>
        <item x="141"/>
        <item x="477"/>
        <item x="703"/>
        <item x="1136"/>
        <item x="702"/>
        <item x="135"/>
        <item x="1135"/>
        <item x="134"/>
        <item x="133"/>
        <item x="478"/>
        <item x="701"/>
        <item x="1134"/>
        <item x="132"/>
        <item x="131"/>
        <item x="700"/>
        <item x="708"/>
        <item x="1141"/>
        <item x="130"/>
        <item x="129"/>
        <item x="1133"/>
        <item x="699"/>
        <item x="698"/>
        <item x="128"/>
        <item x="697"/>
        <item x="707"/>
        <item x="476"/>
        <item x="127"/>
        <item x="525"/>
        <item x="126"/>
        <item x="696"/>
        <item x="710"/>
        <item x="709"/>
        <item x="695"/>
        <item x="694"/>
        <item x="1132"/>
        <item x="693"/>
        <item x="692"/>
        <item x="691"/>
        <item x="690"/>
        <item x="689"/>
        <item x="1131"/>
        <item x="1130"/>
        <item x="1129"/>
        <item x="1128"/>
        <item x="1127"/>
        <item x="1126"/>
        <item x="436"/>
        <item x="435"/>
        <item x="1125"/>
        <item x="1246"/>
        <item x="688"/>
        <item x="687"/>
        <item x="125"/>
        <item x="1245"/>
        <item x="1244"/>
        <item x="429"/>
        <item x="686"/>
        <item x="674"/>
        <item x="124"/>
        <item x="685"/>
        <item x="1124"/>
        <item x="121"/>
        <item x="122"/>
        <item x="123"/>
        <item x="120"/>
        <item x="684"/>
        <item x="118"/>
        <item x="119"/>
        <item x="683"/>
        <item x="682"/>
        <item x="117"/>
        <item x="681"/>
        <item x="115"/>
        <item x="116"/>
        <item x="475"/>
        <item x="114"/>
        <item x="113"/>
        <item x="680"/>
        <item x="1123"/>
        <item x="1122"/>
        <item x="1121"/>
        <item x="112"/>
        <item x="469"/>
        <item x="1120"/>
        <item x="107"/>
        <item x="110"/>
        <item x="108"/>
        <item x="111"/>
        <item x="109"/>
        <item x="679"/>
        <item x="678"/>
        <item x="677"/>
        <item x="676"/>
        <item x="675"/>
        <item x="1119"/>
        <item x="1118"/>
        <item x="1117"/>
        <item x="106"/>
        <item x="1116"/>
        <item x="468"/>
        <item x="103"/>
        <item x="673"/>
        <item x="104"/>
        <item x="105"/>
        <item x="474"/>
        <item x="101"/>
        <item x="672"/>
        <item x="102"/>
        <item x="473"/>
        <item x="100"/>
        <item x="1115"/>
        <item x="671"/>
        <item x="472"/>
        <item x="99"/>
        <item x="97"/>
        <item x="98"/>
        <item x="96"/>
        <item x="670"/>
        <item x="1114"/>
        <item x="1113"/>
        <item x="470"/>
        <item x="471"/>
        <item x="669"/>
        <item x="668"/>
        <item x="667"/>
        <item x="1112"/>
        <item x="666"/>
        <item x="94"/>
        <item x="95"/>
        <item x="1111"/>
        <item x="93"/>
        <item x="1110"/>
        <item x="665"/>
        <item x="1109"/>
        <item x="1108"/>
        <item x="1107"/>
        <item x="1106"/>
        <item x="1105"/>
        <item x="1104"/>
        <item x="664"/>
        <item x="663"/>
        <item x="662"/>
        <item x="661"/>
        <item x="1103"/>
        <item x="660"/>
        <item x="659"/>
        <item x="658"/>
        <item x="657"/>
        <item x="656"/>
        <item x="655"/>
        <item x="654"/>
        <item x="90"/>
        <item x="91"/>
        <item x="92"/>
        <item x="89"/>
        <item x="88"/>
        <item x="87"/>
        <item x="653"/>
        <item x="86"/>
        <item x="84"/>
        <item x="85"/>
        <item x="83"/>
        <item x="82"/>
        <item x="652"/>
        <item x="1102"/>
        <item x="1101"/>
        <item x="1100"/>
        <item x="1099"/>
        <item x="651"/>
        <item x="81"/>
        <item x="650"/>
        <item x="80"/>
        <item x="649"/>
        <item x="648"/>
        <item x="647"/>
        <item x="646"/>
        <item x="645"/>
        <item x="644"/>
        <item x="643"/>
        <item x="1097"/>
        <item x="1096"/>
        <item x="79"/>
        <item x="642"/>
        <item x="1098"/>
        <item x="641"/>
        <item x="522"/>
        <item x="640"/>
        <item x="639"/>
        <item x="77"/>
        <item x="78"/>
        <item x="638"/>
        <item x="637"/>
        <item x="76"/>
        <item x="75"/>
        <item x="636"/>
        <item x="467"/>
        <item x="635"/>
        <item x="634"/>
        <item x="633"/>
        <item x="1095"/>
        <item x="632"/>
        <item x="73"/>
        <item x="74"/>
        <item x="72"/>
        <item x="1094"/>
        <item x="1093"/>
        <item x="1092"/>
        <item x="71"/>
        <item x="631"/>
        <item x="630"/>
        <item x="1091"/>
        <item x="70"/>
        <item x="629"/>
        <item x="628"/>
        <item x="626"/>
        <item x="68"/>
        <item x="69"/>
        <item x="625"/>
        <item x="627"/>
        <item x="1089"/>
        <item x="1090"/>
        <item x="67"/>
        <item x="66"/>
        <item x="624"/>
        <item x="65"/>
        <item x="64"/>
        <item x="623"/>
        <item x="622"/>
        <item x="621"/>
        <item x="1088"/>
        <item x="63"/>
        <item x="61"/>
        <item x="62"/>
        <item x="620"/>
        <item x="619"/>
        <item x="1087"/>
        <item x="1086"/>
        <item x="60"/>
        <item x="1084"/>
        <item x="59"/>
        <item x="1085"/>
        <item x="1082"/>
        <item x="1083"/>
        <item x="523"/>
        <item x="1081"/>
        <item x="58"/>
        <item x="618"/>
        <item x="617"/>
        <item x="616"/>
        <item x="615"/>
        <item x="614"/>
        <item x="57"/>
        <item x="56"/>
        <item x="613"/>
        <item x="466"/>
        <item x="612"/>
        <item x="55"/>
        <item x="611"/>
        <item x="52"/>
        <item x="53"/>
        <item x="54"/>
        <item x="50"/>
        <item x="51"/>
        <item x="610"/>
        <item x="49"/>
        <item x="609"/>
        <item x="48"/>
        <item x="608"/>
        <item x="1080"/>
        <item x="1079"/>
        <item x="607"/>
        <item x="1078"/>
        <item x="1077"/>
        <item x="46"/>
        <item x="47"/>
        <item x="1076"/>
        <item x="606"/>
        <item x="45"/>
        <item x="1075"/>
        <item x="43"/>
        <item x="44"/>
        <item x="605"/>
        <item x="1072"/>
        <item x="1074"/>
        <item x="1073"/>
        <item x="604"/>
        <item x="455"/>
        <item x="603"/>
        <item x="602"/>
        <item x="601"/>
        <item x="600"/>
        <item x="599"/>
        <item x="598"/>
        <item x="42"/>
        <item x="1071"/>
        <item x="41"/>
        <item x="597"/>
        <item x="596"/>
        <item x="595"/>
        <item x="594"/>
        <item x="593"/>
        <item x="592"/>
        <item x="464"/>
        <item x="1070"/>
        <item x="591"/>
        <item x="590"/>
        <item x="40"/>
        <item x="1069"/>
        <item x="1067"/>
        <item x="39"/>
        <item x="1068"/>
        <item x="1066"/>
        <item x="38"/>
        <item x="1065"/>
        <item x="589"/>
        <item x="588"/>
        <item x="36"/>
        <item x="37"/>
        <item x="1064"/>
        <item x="587"/>
        <item x="1063"/>
        <item x="34"/>
        <item x="35"/>
        <item x="512"/>
        <item x="463"/>
        <item x="1062"/>
        <item x="586"/>
        <item x="1061"/>
        <item x="585"/>
        <item x="32"/>
        <item x="584"/>
        <item x="33"/>
        <item x="1060"/>
        <item x="1059"/>
        <item x="1057"/>
        <item x="1058"/>
        <item x="583"/>
        <item x="582"/>
        <item x="581"/>
        <item x="28"/>
        <item x="29"/>
        <item x="30"/>
        <item x="31"/>
        <item x="580"/>
        <item x="1056"/>
        <item x="579"/>
        <item x="27"/>
        <item x="1055"/>
        <item x="26"/>
        <item x="578"/>
        <item x="24"/>
        <item x="577"/>
        <item x="25"/>
        <item x="465"/>
        <item x="23"/>
        <item x="22"/>
        <item x="461"/>
        <item x="576"/>
        <item x="1054"/>
        <item x="575"/>
        <item x="21"/>
        <item x="574"/>
        <item x="20"/>
        <item x="1053"/>
        <item x="1052"/>
        <item x="1051"/>
        <item x="573"/>
        <item x="572"/>
        <item x="1050"/>
        <item x="19"/>
        <item x="1049"/>
        <item x="1047"/>
        <item x="1046"/>
        <item x="571"/>
        <item x="565"/>
        <item x="570"/>
        <item x="569"/>
        <item x="564"/>
        <item x="1045"/>
        <item x="563"/>
        <item x="1044"/>
        <item x="568"/>
        <item x="17"/>
        <item x="1048"/>
        <item x="567"/>
        <item x="566"/>
        <item x="18"/>
        <item x="562"/>
        <item x="1043"/>
        <item x="561"/>
        <item x="560"/>
        <item x="1042"/>
        <item x="559"/>
        <item x="1041"/>
        <item x="558"/>
        <item x="1040"/>
        <item x="428"/>
        <item x="1039"/>
        <item x="1038"/>
        <item x="557"/>
        <item x="556"/>
        <item x="555"/>
        <item x="554"/>
        <item x="1037"/>
        <item x="1036"/>
        <item x="14"/>
        <item x="15"/>
        <item x="16"/>
        <item x="553"/>
        <item x="1035"/>
        <item x="1034"/>
        <item x="1032"/>
        <item x="552"/>
        <item x="551"/>
        <item x="12"/>
        <item x="13"/>
        <item x="1031"/>
        <item x="1030"/>
        <item x="1033"/>
        <item x="550"/>
        <item x="549"/>
        <item x="1029"/>
        <item x="548"/>
        <item x="547"/>
        <item x="546"/>
        <item x="1028"/>
        <item x="545"/>
        <item x="544"/>
        <item x="543"/>
        <item x="11"/>
        <item x="1027"/>
        <item x="542"/>
        <item x="1026"/>
        <item x="541"/>
        <item x="462"/>
        <item x="540"/>
        <item x="539"/>
        <item x="10"/>
        <item x="538"/>
        <item x="537"/>
        <item x="536"/>
        <item x="1025"/>
        <item x="1024"/>
        <item x="535"/>
        <item x="534"/>
        <item x="432"/>
        <item x="448"/>
        <item x="533"/>
        <item x="8"/>
        <item x="9"/>
        <item x="532"/>
        <item x="7"/>
        <item x="460"/>
        <item x="1023"/>
        <item x="1022"/>
        <item x="531"/>
        <item x="1021"/>
        <item x="457"/>
        <item x="530"/>
        <item x="529"/>
        <item x="6"/>
        <item x="5"/>
        <item x="528"/>
        <item x="459"/>
        <item x="1020"/>
        <item x="4"/>
        <item x="527"/>
        <item x="1019"/>
        <item x="458"/>
        <item x="1018"/>
        <item x="3"/>
        <item x="1"/>
        <item x="2"/>
        <item x="0"/>
        <item x="526"/>
        <item t="default"/>
      </items>
    </pivotField>
  </pivotFields>
  <rowFields>
    <field x="0"/>
  </rowFields>
  <dataFields>
    <dataField name="COUNTA of Bilmodeller 2018" fld="0" subtotal="count" baseField="0"/>
  </dataFields>
  <pivotTableStyleInfo name="Google Sheets Pivot Table Style" showRowHeaders="1" showColHeaders="1" showLastColumn="1"/>
</pivotTableDefinition>
</file>

<file path=xl/pivotTables/pivotTable2.xml><?xml version="1.0" encoding="utf-8"?>
<pivotTableDefinition xmlns="http://schemas.openxmlformats.org/spreadsheetml/2006/main" name="Bilmodeller2018_pivot" cacheId="0" dataCaption="" compact="0" compactData="0">
  <location ref="A1:B1423" firstHeaderRow="0" firstDataRow="1" firstDataCol="0"/>
  <pivotFields>
    <pivotField name="Bilmodeller 2018" axis="axisRow" dataField="1" compact="0" outline="0" multipleItemSelectionAllowed="1" showAll="0" sortType="ascending">
      <items>
        <item x="1420"/>
        <item x="427"/>
        <item x="1419"/>
        <item x="426"/>
        <item x="1001"/>
        <item x="425"/>
        <item x="1000"/>
        <item x="424"/>
        <item x="999"/>
        <item x="423"/>
        <item x="510"/>
        <item x="422"/>
        <item x="421"/>
        <item x="439"/>
        <item x="1418"/>
        <item x="509"/>
        <item x="1417"/>
        <item x="1416"/>
        <item x="1415"/>
        <item x="1414"/>
        <item x="1413"/>
        <item x="1412"/>
        <item x="1411"/>
        <item x="420"/>
        <item x="508"/>
        <item x="1410"/>
        <item x="1409"/>
        <item x="1408"/>
        <item x="418"/>
        <item x="419"/>
        <item x="998"/>
        <item x="1407"/>
        <item x="997"/>
        <item x="996"/>
        <item x="995"/>
        <item x="1406"/>
        <item x="1405"/>
        <item x="994"/>
        <item x="993"/>
        <item x="992"/>
        <item x="991"/>
        <item x="417"/>
        <item x="413"/>
        <item x="414"/>
        <item x="415"/>
        <item x="416"/>
        <item x="507"/>
        <item x="990"/>
        <item x="1404"/>
        <item x="989"/>
        <item x="988"/>
        <item x="987"/>
        <item x="1403"/>
        <item x="986"/>
        <item x="985"/>
        <item x="515"/>
        <item x="1402"/>
        <item x="411"/>
        <item x="412"/>
        <item x="984"/>
        <item x="983"/>
        <item x="1401"/>
        <item x="1400"/>
        <item x="982"/>
        <item x="410"/>
        <item x="409"/>
        <item x="408"/>
        <item x="981"/>
        <item x="980"/>
        <item x="1399"/>
        <item x="1398"/>
        <item x="1397"/>
        <item x="406"/>
        <item x="407"/>
        <item x="405"/>
        <item x="1396"/>
        <item x="434"/>
        <item x="979"/>
        <item x="978"/>
        <item x="1395"/>
        <item x="403"/>
        <item x="404"/>
        <item x="977"/>
        <item x="976"/>
        <item x="1394"/>
        <item x="402"/>
        <item x="1393"/>
        <item x="975"/>
        <item x="974"/>
        <item x="401"/>
        <item x="973"/>
        <item x="1392"/>
        <item x="972"/>
        <item x="400"/>
        <item x="971"/>
        <item x="970"/>
        <item x="1391"/>
        <item x="438"/>
        <item x="1390"/>
        <item x="969"/>
        <item x="506"/>
        <item x="1389"/>
        <item x="399"/>
        <item x="968"/>
        <item x="967"/>
        <item x="447"/>
        <item x="1388"/>
        <item x="396"/>
        <item x="397"/>
        <item x="398"/>
        <item x="446"/>
        <item x="1387"/>
        <item x="430"/>
        <item x="431"/>
        <item x="1386"/>
        <item x="1385"/>
        <item x="966"/>
        <item x="395"/>
        <item x="965"/>
        <item x="393"/>
        <item x="394"/>
        <item x="964"/>
        <item x="963"/>
        <item x="962"/>
        <item x="961"/>
        <item x="960"/>
        <item x="437"/>
        <item x="1384"/>
        <item x="1383"/>
        <item x="1382"/>
        <item x="1381"/>
        <item x="1380"/>
        <item x="1379"/>
        <item x="391"/>
        <item x="392"/>
        <item x="1378"/>
        <item x="1377"/>
        <item x="959"/>
        <item x="390"/>
        <item x="958"/>
        <item x="957"/>
        <item x="389"/>
        <item x="388"/>
        <item x="956"/>
        <item x="1376"/>
        <item x="1375"/>
        <item x="1374"/>
        <item x="955"/>
        <item x="954"/>
        <item x="1373"/>
        <item x="1372"/>
        <item x="387"/>
        <item x="953"/>
        <item x="1371"/>
        <item x="952"/>
        <item x="386"/>
        <item x="951"/>
        <item x="1370"/>
        <item x="385"/>
        <item x="1369"/>
        <item x="1368"/>
        <item x="384"/>
        <item x="1367"/>
        <item x="1366"/>
        <item x="383"/>
        <item x="1365"/>
        <item x="1364"/>
        <item x="1363"/>
        <item x="1362"/>
        <item x="381"/>
        <item x="382"/>
        <item x="1361"/>
        <item x="380"/>
        <item x="1360"/>
        <item x="950"/>
        <item x="1359"/>
        <item x="949"/>
        <item x="1358"/>
        <item x="948"/>
        <item x="947"/>
        <item x="946"/>
        <item x="377"/>
        <item x="378"/>
        <item x="1357"/>
        <item x="379"/>
        <item x="945"/>
        <item x="376"/>
        <item x="944"/>
        <item x="943"/>
        <item x="375"/>
        <item x="1356"/>
        <item x="1355"/>
        <item x="1354"/>
        <item x="374"/>
        <item x="942"/>
        <item x="373"/>
        <item x="372"/>
        <item x="371"/>
        <item x="941"/>
        <item x="1353"/>
        <item x="940"/>
        <item x="370"/>
        <item x="368"/>
        <item x="369"/>
        <item x="367"/>
        <item x="939"/>
        <item x="366"/>
        <item x="938"/>
        <item x="364"/>
        <item x="937"/>
        <item x="365"/>
        <item x="1352"/>
        <item x="363"/>
        <item x="936"/>
        <item x="362"/>
        <item x="935"/>
        <item x="361"/>
        <item x="360"/>
        <item x="359"/>
        <item x="357"/>
        <item x="358"/>
        <item x="934"/>
        <item x="933"/>
        <item x="356"/>
        <item x="355"/>
        <item x="932"/>
        <item x="354"/>
        <item x="929"/>
        <item x="353"/>
        <item x="1351"/>
        <item x="931"/>
        <item x="352"/>
        <item x="351"/>
        <item x="350"/>
        <item x="930"/>
        <item x="1350"/>
        <item x="349"/>
        <item x="928"/>
        <item x="348"/>
        <item x="927"/>
        <item x="347"/>
        <item x="926"/>
        <item x="1349"/>
        <item x="345"/>
        <item x="346"/>
        <item x="925"/>
        <item x="924"/>
        <item x="923"/>
        <item x="922"/>
        <item x="343"/>
        <item x="344"/>
        <item x="921"/>
        <item x="920"/>
        <item x="1348"/>
        <item x="1347"/>
        <item x="1346"/>
        <item x="919"/>
        <item x="918"/>
        <item x="917"/>
        <item x="1345"/>
        <item x="1344"/>
        <item x="1343"/>
        <item x="916"/>
        <item x="1342"/>
        <item x="1340"/>
        <item x="1341"/>
        <item x="1338"/>
        <item x="1339"/>
        <item x="1337"/>
        <item x="915"/>
        <item x="342"/>
        <item x="1336"/>
        <item x="1335"/>
        <item x="341"/>
        <item x="1334"/>
        <item x="1333"/>
        <item x="340"/>
        <item x="914"/>
        <item x="339"/>
        <item x="338"/>
        <item x="337"/>
        <item x="336"/>
        <item x="913"/>
        <item x="335"/>
        <item x="333"/>
        <item x="334"/>
        <item x="332"/>
        <item x="330"/>
        <item x="331"/>
        <item x="1332"/>
        <item x="912"/>
        <item x="1330"/>
        <item x="911"/>
        <item x="1331"/>
        <item x="1329"/>
        <item x="329"/>
        <item x="910"/>
        <item x="1328"/>
        <item x="909"/>
        <item x="908"/>
        <item x="328"/>
        <item x="907"/>
        <item x="1327"/>
        <item x="906"/>
        <item x="327"/>
        <item x="326"/>
        <item x="325"/>
        <item x="905"/>
        <item x="323"/>
        <item x="324"/>
        <item x="1326"/>
        <item x="904"/>
        <item x="322"/>
        <item x="1325"/>
        <item x="320"/>
        <item x="903"/>
        <item x="321"/>
        <item x="902"/>
        <item x="901"/>
        <item x="900"/>
        <item x="899"/>
        <item x="319"/>
        <item x="898"/>
        <item x="897"/>
        <item x="896"/>
        <item x="895"/>
        <item x="318"/>
        <item x="894"/>
        <item x="316"/>
        <item x="317"/>
        <item x="315"/>
        <item x="505"/>
        <item x="504"/>
        <item x="503"/>
        <item x="893"/>
        <item x="892"/>
        <item x="891"/>
        <item x="890"/>
        <item x="314"/>
        <item x="313"/>
        <item x="1324"/>
        <item x="312"/>
        <item x="501"/>
        <item x="889"/>
        <item x="888"/>
        <item x="1323"/>
        <item x="887"/>
        <item x="886"/>
        <item x="1322"/>
        <item x="885"/>
        <item x="500"/>
        <item x="1320"/>
        <item x="1321"/>
        <item x="1319"/>
        <item x="1318"/>
        <item x="309"/>
        <item x="310"/>
        <item x="311"/>
        <item x="884"/>
        <item x="1317"/>
        <item x="308"/>
        <item x="883"/>
        <item x="882"/>
        <item x="305"/>
        <item x="306"/>
        <item x="307"/>
        <item x="1316"/>
        <item x="881"/>
        <item x="880"/>
        <item x="304"/>
        <item x="300"/>
        <item x="301"/>
        <item x="302"/>
        <item x="303"/>
        <item x="879"/>
        <item x="1315"/>
        <item x="299"/>
        <item x="878"/>
        <item x="298"/>
        <item x="877"/>
        <item x="1314"/>
        <item x="294"/>
        <item x="295"/>
        <item x="296"/>
        <item x="297"/>
        <item x="291"/>
        <item x="292"/>
        <item x="293"/>
        <item x="876"/>
        <item x="1312"/>
        <item x="875"/>
        <item x="874"/>
        <item x="290"/>
        <item x="1313"/>
        <item x="873"/>
        <item x="872"/>
        <item x="871"/>
        <item x="870"/>
        <item x="289"/>
        <item x="502"/>
        <item x="1311"/>
        <item x="1310"/>
        <item x="1307"/>
        <item x="1306"/>
        <item x="1308"/>
        <item x="1305"/>
        <item x="869"/>
        <item x="1309"/>
        <item x="288"/>
        <item x="868"/>
        <item x="286"/>
        <item x="287"/>
        <item x="867"/>
        <item x="1304"/>
        <item x="1303"/>
        <item x="1302"/>
        <item x="1301"/>
        <item x="866"/>
        <item x="865"/>
        <item x="1300"/>
        <item x="1299"/>
        <item x="864"/>
        <item x="863"/>
        <item x="862"/>
        <item x="284"/>
        <item x="861"/>
        <item x="285"/>
        <item x="860"/>
        <item x="859"/>
        <item x="499"/>
        <item x="1298"/>
        <item x="858"/>
        <item x="857"/>
        <item x="856"/>
        <item x="280"/>
        <item x="281"/>
        <item x="282"/>
        <item x="283"/>
        <item x="855"/>
        <item x="278"/>
        <item x="279"/>
        <item x="854"/>
        <item x="853"/>
        <item x="852"/>
        <item x="1297"/>
        <item x="851"/>
        <item x="1296"/>
        <item x="850"/>
        <item x="1295"/>
        <item x="1294"/>
        <item x="1292"/>
        <item x="277"/>
        <item x="1293"/>
        <item x="276"/>
        <item x="1291"/>
        <item x="849"/>
        <item x="498"/>
        <item x="275"/>
        <item x="273"/>
        <item x="274"/>
        <item x="272"/>
        <item x="848"/>
        <item x="847"/>
        <item x="270"/>
        <item x="271"/>
        <item x="1290"/>
        <item x="846"/>
        <item x="269"/>
        <item x="845"/>
        <item x="268"/>
        <item x="844"/>
        <item x="1289"/>
        <item x="267"/>
        <item x="843"/>
        <item x="497"/>
        <item x="265"/>
        <item x="266"/>
        <item x="496"/>
        <item x="264"/>
        <item x="842"/>
        <item x="263"/>
        <item x="262"/>
        <item x="1288"/>
        <item x="495"/>
        <item x="261"/>
        <item x="260"/>
        <item x="841"/>
        <item x="840"/>
        <item x="257"/>
        <item x="258"/>
        <item x="259"/>
        <item x="1287"/>
        <item x="1286"/>
        <item x="839"/>
        <item x="256"/>
        <item x="1285"/>
        <item x="254"/>
        <item x="255"/>
        <item x="838"/>
        <item x="1284"/>
        <item x="837"/>
        <item x="252"/>
        <item x="253"/>
        <item x="836"/>
        <item x="1283"/>
        <item x="835"/>
        <item x="1282"/>
        <item x="1281"/>
        <item x="1278"/>
        <item x="1280"/>
        <item x="1279"/>
        <item x="441"/>
        <item x="440"/>
        <item x="445"/>
        <item x="444"/>
        <item x="442"/>
        <item x="443"/>
        <item x="1277"/>
        <item x="834"/>
        <item x="1276"/>
        <item x="833"/>
        <item x="832"/>
        <item x="250"/>
        <item x="251"/>
        <item x="831"/>
        <item x="1275"/>
        <item x="249"/>
        <item x="830"/>
        <item x="248"/>
        <item x="494"/>
        <item x="246"/>
        <item x="247"/>
        <item x="829"/>
        <item x="828"/>
        <item x="827"/>
        <item x="826"/>
        <item x="1274"/>
        <item x="825"/>
        <item x="824"/>
        <item x="823"/>
        <item x="245"/>
        <item x="1273"/>
        <item x="243"/>
        <item x="244"/>
        <item x="242"/>
        <item x="493"/>
        <item x="822"/>
        <item x="1272"/>
        <item x="241"/>
        <item x="821"/>
        <item x="820"/>
        <item x="1271"/>
        <item x="1270"/>
        <item x="1269"/>
        <item x="1268"/>
        <item x="819"/>
        <item x="240"/>
        <item x="1267"/>
        <item x="1266"/>
        <item x="492"/>
        <item x="1265"/>
        <item x="491"/>
        <item x="818"/>
        <item x="433"/>
        <item x="238"/>
        <item x="239"/>
        <item x="1264"/>
        <item x="1263"/>
        <item x="1262"/>
        <item x="1261"/>
        <item x="1260"/>
        <item x="1259"/>
        <item x="817"/>
        <item x="490"/>
        <item x="1258"/>
        <item x="816"/>
        <item x="1257"/>
        <item x="815"/>
        <item x="814"/>
        <item x="236"/>
        <item x="237"/>
        <item x="813"/>
        <item x="812"/>
        <item x="235"/>
        <item x="811"/>
        <item x="511"/>
        <item x="810"/>
        <item x="809"/>
        <item x="234"/>
        <item x="808"/>
        <item x="489"/>
        <item x="807"/>
        <item x="1256"/>
        <item x="1255"/>
        <item x="1254"/>
        <item x="1253"/>
        <item x="233"/>
        <item x="1252"/>
        <item x="1251"/>
        <item x="1250"/>
        <item x="806"/>
        <item x="805"/>
        <item x="1249"/>
        <item x="232"/>
        <item x="231"/>
        <item x="804"/>
        <item x="230"/>
        <item x="803"/>
        <item x="802"/>
        <item x="801"/>
        <item x="229"/>
        <item x="228"/>
        <item x="1248"/>
        <item x="1247"/>
        <item x="800"/>
        <item x="226"/>
        <item x="227"/>
        <item x="1243"/>
        <item x="799"/>
        <item x="798"/>
        <item x="1242"/>
        <item x="797"/>
        <item x="796"/>
        <item x="456"/>
        <item x="795"/>
        <item x="1241"/>
        <item x="225"/>
        <item x="793"/>
        <item x="224"/>
        <item x="222"/>
        <item x="223"/>
        <item x="792"/>
        <item x="791"/>
        <item x="790"/>
        <item x="488"/>
        <item x="1240"/>
        <item x="1239"/>
        <item x="1238"/>
        <item x="1237"/>
        <item x="1236"/>
        <item x="1235"/>
        <item x="789"/>
        <item x="794"/>
        <item x="788"/>
        <item x="787"/>
        <item x="220"/>
        <item x="221"/>
        <item x="786"/>
        <item x="1234"/>
        <item x="785"/>
        <item x="219"/>
        <item x="1233"/>
        <item x="1232"/>
        <item x="1231"/>
        <item x="1230"/>
        <item x="1229"/>
        <item x="784"/>
        <item x="783"/>
        <item x="218"/>
        <item x="217"/>
        <item x="1228"/>
        <item x="1227"/>
        <item x="782"/>
        <item x="1226"/>
        <item x="1225"/>
        <item x="1224"/>
        <item x="781"/>
        <item x="1223"/>
        <item x="1222"/>
        <item x="780"/>
        <item x="1221"/>
        <item x="1220"/>
        <item x="1219"/>
        <item x="1218"/>
        <item x="779"/>
        <item x="778"/>
        <item x="1217"/>
        <item x="1216"/>
        <item x="214"/>
        <item x="215"/>
        <item x="216"/>
        <item x="777"/>
        <item x="776"/>
        <item x="1212"/>
        <item x="1211"/>
        <item x="206"/>
        <item x="1206"/>
        <item x="486"/>
        <item x="775"/>
        <item x="1210"/>
        <item x="212"/>
        <item x="213"/>
        <item x="774"/>
        <item x="1215"/>
        <item x="1214"/>
        <item x="773"/>
        <item x="209"/>
        <item x="210"/>
        <item x="1213"/>
        <item x="211"/>
        <item x="208"/>
        <item x="207"/>
        <item x="484"/>
        <item x="1209"/>
        <item x="1208"/>
        <item x="1207"/>
        <item x="205"/>
        <item x="1205"/>
        <item x="487"/>
        <item x="1204"/>
        <item x="203"/>
        <item x="204"/>
        <item x="772"/>
        <item x="1203"/>
        <item x="200"/>
        <item x="201"/>
        <item x="771"/>
        <item x="202"/>
        <item x="770"/>
        <item x="1201"/>
        <item x="1202"/>
        <item x="769"/>
        <item x="768"/>
        <item x="199"/>
        <item x="198"/>
        <item x="485"/>
        <item x="197"/>
        <item x="767"/>
        <item x="1200"/>
        <item x="766"/>
        <item x="765"/>
        <item x="764"/>
        <item x="763"/>
        <item x="1199"/>
        <item x="1198"/>
        <item x="454"/>
        <item x="762"/>
        <item x="196"/>
        <item x="761"/>
        <item x="760"/>
        <item x="1197"/>
        <item x="1196"/>
        <item x="1195"/>
        <item x="194"/>
        <item x="195"/>
        <item x="759"/>
        <item x="193"/>
        <item x="453"/>
        <item x="449"/>
        <item x="1194"/>
        <item x="450"/>
        <item x="452"/>
        <item x="451"/>
        <item x="758"/>
        <item x="1193"/>
        <item x="1192"/>
        <item x="1191"/>
        <item x="1190"/>
        <item x="192"/>
        <item x="757"/>
        <item x="1189"/>
        <item x="756"/>
        <item x="1188"/>
        <item x="190"/>
        <item x="755"/>
        <item x="191"/>
        <item x="754"/>
        <item x="753"/>
        <item x="1187"/>
        <item x="752"/>
        <item x="188"/>
        <item x="751"/>
        <item x="189"/>
        <item x="186"/>
        <item x="187"/>
        <item x="750"/>
        <item x="185"/>
        <item x="749"/>
        <item x="1186"/>
        <item x="748"/>
        <item x="1185"/>
        <item x="184"/>
        <item x="1184"/>
        <item x="1183"/>
        <item x="1017"/>
        <item x="1006"/>
        <item x="1016"/>
        <item x="1010"/>
        <item x="1007"/>
        <item x="517"/>
        <item x="1009"/>
        <item x="1005"/>
        <item x="520"/>
        <item x="1004"/>
        <item x="519"/>
        <item x="521"/>
        <item x="1015"/>
        <item x="513"/>
        <item x="1003"/>
        <item x="1014"/>
        <item x="516"/>
        <item x="1012"/>
        <item x="514"/>
        <item x="1011"/>
        <item x="1002"/>
        <item x="1008"/>
        <item x="518"/>
        <item x="1013"/>
        <item x="1182"/>
        <item x="183"/>
        <item x="747"/>
        <item x="1181"/>
        <item x="182"/>
        <item x="1180"/>
        <item x="1179"/>
        <item x="746"/>
        <item x="181"/>
        <item x="1178"/>
        <item x="180"/>
        <item x="745"/>
        <item x="1177"/>
        <item x="524"/>
        <item x="744"/>
        <item x="179"/>
        <item x="483"/>
        <item x="743"/>
        <item x="1176"/>
        <item x="742"/>
        <item x="177"/>
        <item x="178"/>
        <item x="176"/>
        <item x="741"/>
        <item x="1175"/>
        <item x="740"/>
        <item x="739"/>
        <item x="738"/>
        <item x="175"/>
        <item x="1174"/>
        <item x="737"/>
        <item x="736"/>
        <item x="735"/>
        <item x="174"/>
        <item x="1172"/>
        <item x="1171"/>
        <item x="1170"/>
        <item x="1173"/>
        <item x="1169"/>
        <item x="1168"/>
        <item x="173"/>
        <item x="1167"/>
        <item x="734"/>
        <item x="172"/>
        <item x="733"/>
        <item x="732"/>
        <item x="1166"/>
        <item x="1165"/>
        <item x="169"/>
        <item x="170"/>
        <item x="171"/>
        <item x="482"/>
        <item x="167"/>
        <item x="168"/>
        <item x="731"/>
        <item x="166"/>
        <item x="730"/>
        <item x="1164"/>
        <item x="1160"/>
        <item x="1159"/>
        <item x="1158"/>
        <item x="1163"/>
        <item x="165"/>
        <item x="728"/>
        <item x="160"/>
        <item x="726"/>
        <item x="1162"/>
        <item x="729"/>
        <item x="162"/>
        <item x="727"/>
        <item x="1157"/>
        <item x="1161"/>
        <item x="163"/>
        <item x="161"/>
        <item x="725"/>
        <item x="164"/>
        <item x="481"/>
        <item x="724"/>
        <item x="1156"/>
        <item x="723"/>
        <item x="159"/>
        <item x="722"/>
        <item x="1155"/>
        <item x="721"/>
        <item x="158"/>
        <item x="720"/>
        <item x="1154"/>
        <item x="719"/>
        <item x="156"/>
        <item x="157"/>
        <item x="479"/>
        <item x="718"/>
        <item x="480"/>
        <item x="1152"/>
        <item x="1153"/>
        <item x="155"/>
        <item x="1151"/>
        <item x="153"/>
        <item x="154"/>
        <item x="717"/>
        <item x="716"/>
        <item x="1150"/>
        <item x="715"/>
        <item x="1149"/>
        <item x="714"/>
        <item x="1148"/>
        <item x="152"/>
        <item x="151"/>
        <item x="150"/>
        <item x="1147"/>
        <item x="1146"/>
        <item x="1145"/>
        <item x="1144"/>
        <item x="148"/>
        <item x="146"/>
        <item x="1143"/>
        <item x="149"/>
        <item x="147"/>
        <item x="713"/>
        <item x="712"/>
        <item x="711"/>
        <item x="145"/>
        <item x="143"/>
        <item x="144"/>
        <item x="1142"/>
        <item x="1140"/>
        <item x="1139"/>
        <item x="706"/>
        <item x="705"/>
        <item x="142"/>
        <item x="704"/>
        <item x="140"/>
        <item x="139"/>
        <item x="1138"/>
        <item x="1137"/>
        <item x="138"/>
        <item x="137"/>
        <item x="136"/>
        <item x="141"/>
        <item x="477"/>
        <item x="703"/>
        <item x="1136"/>
        <item x="702"/>
        <item x="135"/>
        <item x="1135"/>
        <item x="134"/>
        <item x="133"/>
        <item x="478"/>
        <item x="701"/>
        <item x="1134"/>
        <item x="132"/>
        <item x="131"/>
        <item x="700"/>
        <item x="708"/>
        <item x="1141"/>
        <item x="130"/>
        <item x="129"/>
        <item x="1133"/>
        <item x="699"/>
        <item x="698"/>
        <item x="128"/>
        <item x="697"/>
        <item x="707"/>
        <item x="476"/>
        <item x="127"/>
        <item x="525"/>
        <item x="126"/>
        <item x="696"/>
        <item x="710"/>
        <item x="709"/>
        <item x="695"/>
        <item x="694"/>
        <item x="1132"/>
        <item x="693"/>
        <item x="692"/>
        <item x="691"/>
        <item x="690"/>
        <item x="689"/>
        <item x="1131"/>
        <item x="1130"/>
        <item x="1129"/>
        <item x="1128"/>
        <item x="1127"/>
        <item x="1126"/>
        <item x="436"/>
        <item x="435"/>
        <item x="1125"/>
        <item x="1246"/>
        <item x="688"/>
        <item x="687"/>
        <item x="125"/>
        <item x="1245"/>
        <item x="1244"/>
        <item x="429"/>
        <item x="686"/>
        <item x="674"/>
        <item x="124"/>
        <item x="685"/>
        <item x="1124"/>
        <item x="121"/>
        <item x="122"/>
        <item x="123"/>
        <item x="120"/>
        <item x="684"/>
        <item x="118"/>
        <item x="119"/>
        <item x="683"/>
        <item x="682"/>
        <item x="117"/>
        <item x="681"/>
        <item x="115"/>
        <item x="116"/>
        <item x="475"/>
        <item x="114"/>
        <item x="113"/>
        <item x="680"/>
        <item x="1123"/>
        <item x="1122"/>
        <item x="1121"/>
        <item x="112"/>
        <item x="469"/>
        <item x="1120"/>
        <item x="107"/>
        <item x="110"/>
        <item x="108"/>
        <item x="111"/>
        <item x="109"/>
        <item x="679"/>
        <item x="678"/>
        <item x="677"/>
        <item x="676"/>
        <item x="675"/>
        <item x="1119"/>
        <item x="1118"/>
        <item x="1117"/>
        <item x="106"/>
        <item x="1116"/>
        <item x="468"/>
        <item x="103"/>
        <item x="673"/>
        <item x="104"/>
        <item x="105"/>
        <item x="474"/>
        <item x="101"/>
        <item x="672"/>
        <item x="102"/>
        <item x="473"/>
        <item x="100"/>
        <item x="1115"/>
        <item x="671"/>
        <item x="472"/>
        <item x="99"/>
        <item x="97"/>
        <item x="98"/>
        <item x="96"/>
        <item x="670"/>
        <item x="1114"/>
        <item x="1113"/>
        <item x="470"/>
        <item x="471"/>
        <item x="669"/>
        <item x="668"/>
        <item x="667"/>
        <item x="1112"/>
        <item x="666"/>
        <item x="94"/>
        <item x="95"/>
        <item x="1111"/>
        <item x="93"/>
        <item x="1110"/>
        <item x="665"/>
        <item x="1109"/>
        <item x="1108"/>
        <item x="1107"/>
        <item x="1106"/>
        <item x="1105"/>
        <item x="1104"/>
        <item x="664"/>
        <item x="663"/>
        <item x="662"/>
        <item x="661"/>
        <item x="1103"/>
        <item x="660"/>
        <item x="659"/>
        <item x="658"/>
        <item x="657"/>
        <item x="656"/>
        <item x="655"/>
        <item x="654"/>
        <item x="90"/>
        <item x="91"/>
        <item x="92"/>
        <item x="89"/>
        <item x="88"/>
        <item x="87"/>
        <item x="653"/>
        <item x="86"/>
        <item x="84"/>
        <item x="85"/>
        <item x="83"/>
        <item x="82"/>
        <item x="652"/>
        <item x="1102"/>
        <item x="1101"/>
        <item x="1100"/>
        <item x="1099"/>
        <item x="651"/>
        <item x="81"/>
        <item x="650"/>
        <item x="80"/>
        <item x="649"/>
        <item x="648"/>
        <item x="647"/>
        <item x="646"/>
        <item x="645"/>
        <item x="644"/>
        <item x="643"/>
        <item x="1097"/>
        <item x="1096"/>
        <item x="79"/>
        <item x="642"/>
        <item x="1098"/>
        <item x="641"/>
        <item x="522"/>
        <item x="640"/>
        <item x="639"/>
        <item x="77"/>
        <item x="78"/>
        <item x="638"/>
        <item x="637"/>
        <item x="76"/>
        <item x="75"/>
        <item x="636"/>
        <item x="467"/>
        <item x="635"/>
        <item x="634"/>
        <item x="633"/>
        <item x="1095"/>
        <item x="632"/>
        <item x="73"/>
        <item x="74"/>
        <item x="72"/>
        <item x="1094"/>
        <item x="1093"/>
        <item x="1092"/>
        <item x="71"/>
        <item x="631"/>
        <item x="630"/>
        <item x="1091"/>
        <item x="70"/>
        <item x="629"/>
        <item x="628"/>
        <item x="626"/>
        <item x="68"/>
        <item x="69"/>
        <item x="625"/>
        <item x="627"/>
        <item x="1089"/>
        <item x="1090"/>
        <item x="67"/>
        <item x="66"/>
        <item x="624"/>
        <item x="65"/>
        <item x="64"/>
        <item x="623"/>
        <item x="622"/>
        <item x="621"/>
        <item x="1088"/>
        <item x="63"/>
        <item x="61"/>
        <item x="62"/>
        <item x="620"/>
        <item x="619"/>
        <item x="1087"/>
        <item x="1086"/>
        <item x="60"/>
        <item x="1084"/>
        <item x="59"/>
        <item x="1085"/>
        <item x="1082"/>
        <item x="1083"/>
        <item x="523"/>
        <item x="1081"/>
        <item x="58"/>
        <item x="618"/>
        <item x="617"/>
        <item x="616"/>
        <item x="615"/>
        <item x="614"/>
        <item x="57"/>
        <item x="56"/>
        <item x="613"/>
        <item x="466"/>
        <item x="612"/>
        <item x="55"/>
        <item x="611"/>
        <item x="52"/>
        <item x="53"/>
        <item x="54"/>
        <item x="50"/>
        <item x="51"/>
        <item x="610"/>
        <item x="49"/>
        <item x="609"/>
        <item x="48"/>
        <item x="608"/>
        <item x="1080"/>
        <item x="1079"/>
        <item x="607"/>
        <item x="1078"/>
        <item x="1077"/>
        <item x="46"/>
        <item x="47"/>
        <item x="1076"/>
        <item x="606"/>
        <item x="45"/>
        <item x="1075"/>
        <item x="43"/>
        <item x="44"/>
        <item x="605"/>
        <item x="1072"/>
        <item x="1074"/>
        <item x="1073"/>
        <item x="604"/>
        <item x="455"/>
        <item x="603"/>
        <item x="602"/>
        <item x="601"/>
        <item x="600"/>
        <item x="599"/>
        <item x="598"/>
        <item x="42"/>
        <item x="1071"/>
        <item x="41"/>
        <item x="597"/>
        <item x="596"/>
        <item x="595"/>
        <item x="594"/>
        <item x="593"/>
        <item x="592"/>
        <item x="464"/>
        <item x="1070"/>
        <item x="591"/>
        <item x="590"/>
        <item x="40"/>
        <item x="1069"/>
        <item x="1067"/>
        <item x="39"/>
        <item x="1068"/>
        <item x="1066"/>
        <item x="38"/>
        <item x="1065"/>
        <item x="589"/>
        <item x="588"/>
        <item x="36"/>
        <item x="37"/>
        <item x="1064"/>
        <item x="587"/>
        <item x="1063"/>
        <item x="34"/>
        <item x="35"/>
        <item x="512"/>
        <item x="463"/>
        <item x="1062"/>
        <item x="586"/>
        <item x="1061"/>
        <item x="585"/>
        <item x="32"/>
        <item x="584"/>
        <item x="33"/>
        <item x="1060"/>
        <item x="1059"/>
        <item x="1057"/>
        <item x="1058"/>
        <item x="583"/>
        <item x="582"/>
        <item x="581"/>
        <item x="28"/>
        <item x="29"/>
        <item x="30"/>
        <item x="31"/>
        <item x="580"/>
        <item x="1056"/>
        <item x="579"/>
        <item x="27"/>
        <item x="1055"/>
        <item x="26"/>
        <item x="578"/>
        <item x="24"/>
        <item x="577"/>
        <item x="25"/>
        <item x="465"/>
        <item x="23"/>
        <item x="22"/>
        <item x="461"/>
        <item x="576"/>
        <item x="1054"/>
        <item x="575"/>
        <item x="21"/>
        <item x="574"/>
        <item x="20"/>
        <item x="1053"/>
        <item x="1052"/>
        <item x="1051"/>
        <item x="573"/>
        <item x="572"/>
        <item x="1050"/>
        <item x="19"/>
        <item x="1049"/>
        <item x="1047"/>
        <item x="1046"/>
        <item x="571"/>
        <item x="565"/>
        <item x="570"/>
        <item x="569"/>
        <item x="564"/>
        <item x="1045"/>
        <item x="563"/>
        <item x="1044"/>
        <item x="568"/>
        <item x="17"/>
        <item x="1048"/>
        <item x="567"/>
        <item x="566"/>
        <item x="18"/>
        <item x="562"/>
        <item x="1043"/>
        <item x="561"/>
        <item x="560"/>
        <item x="1042"/>
        <item x="559"/>
        <item x="1041"/>
        <item x="558"/>
        <item x="1040"/>
        <item x="428"/>
        <item x="1039"/>
        <item x="1038"/>
        <item x="557"/>
        <item x="556"/>
        <item x="555"/>
        <item x="554"/>
        <item x="1037"/>
        <item x="1036"/>
        <item x="14"/>
        <item x="15"/>
        <item x="16"/>
        <item x="553"/>
        <item x="1035"/>
        <item x="1034"/>
        <item x="1032"/>
        <item x="552"/>
        <item x="551"/>
        <item x="12"/>
        <item x="13"/>
        <item x="1031"/>
        <item x="1030"/>
        <item x="1033"/>
        <item x="550"/>
        <item x="549"/>
        <item x="1029"/>
        <item x="548"/>
        <item x="547"/>
        <item x="546"/>
        <item x="1028"/>
        <item x="545"/>
        <item x="544"/>
        <item x="543"/>
        <item x="11"/>
        <item x="1027"/>
        <item x="542"/>
        <item x="1026"/>
        <item x="541"/>
        <item x="462"/>
        <item x="540"/>
        <item x="539"/>
        <item x="10"/>
        <item x="538"/>
        <item x="537"/>
        <item x="536"/>
        <item x="1025"/>
        <item x="1024"/>
        <item x="535"/>
        <item x="534"/>
        <item x="432"/>
        <item x="448"/>
        <item x="533"/>
        <item x="8"/>
        <item x="9"/>
        <item x="532"/>
        <item x="7"/>
        <item x="460"/>
        <item x="1023"/>
        <item x="1022"/>
        <item x="531"/>
        <item x="1021"/>
        <item x="457"/>
        <item x="530"/>
        <item x="529"/>
        <item x="6"/>
        <item x="5"/>
        <item x="528"/>
        <item x="459"/>
        <item x="1020"/>
        <item x="4"/>
        <item x="527"/>
        <item x="1019"/>
        <item x="458"/>
        <item x="1018"/>
        <item x="3"/>
        <item x="1"/>
        <item x="2"/>
        <item x="0"/>
        <item x="526"/>
        <item t="default"/>
      </items>
    </pivotField>
  </pivotFields>
  <rowFields>
    <field x="0"/>
  </rowFields>
  <dataFields>
    <dataField name="COUNTA of Bilmodeller 2018" fld="0" subtotal="count" baseField="0"/>
  </dataFields>
  <pivotTableStyleInfo name="Google Sheets Pivot Table Style" showRowHeaders="1" showColHeaders="1" showLastColumn="1"/>
</pivotTableDefinition>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2-07T14:19:51.00" personId="{eaa4a8bb-064d-4f19-bc92-713cc2c8c651}" id="{0c10b967-8840-45f0-9962-792c04abacdf}" done="1">
    <x18tc:text xml:space="preserve">På nätet står adressen som "Fröstorpsgatan 8, 582 73 Linköping", vilken är rätt?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69" dT="2024-09-30T13:24:02.00" personId="{eaa4a8bb-064d-4f19-bc92-713cc2c8c651}" id="{9555d3c8-5d29-4d67-9198-1a657fd9d661}" done="1">
    <x18tc:text xml:space="preserve">Stämmer detta fortfarande?</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docs.google.com/spreadsheets/d/1Vkr2H3TSoLG7PmTnKaLjGkA9bOJHIo8UUutBhGqsAPQ/edit" TargetMode="External"/><Relationship Id="rId22" Type="http://schemas.openxmlformats.org/officeDocument/2006/relationships/hyperlink" Target="https://docs.google.com/spreadsheets/d/1Vkr2H3TSoLG7PmTnKaLjGkA9bOJHIo8UUutBhGqsAPQ/edit" TargetMode="External"/><Relationship Id="rId21" Type="http://schemas.openxmlformats.org/officeDocument/2006/relationships/hyperlink" Target="https://docs.google.com/spreadsheets/d/1x4rOAfByMG6yfK532STptcnw2LfSSx2DvM0b2nqYK5M/edit" TargetMode="External"/><Relationship Id="rId24" Type="http://schemas.openxmlformats.org/officeDocument/2006/relationships/hyperlink" Target="https://docs.google.com/spreadsheets/d/10ggujjb8bQKl1jRRETbSJawVHzlBijbsesb8JLfuC10/edit" TargetMode="External"/><Relationship Id="rId23" Type="http://schemas.openxmlformats.org/officeDocument/2006/relationships/hyperlink" Target="https://docs.google.com/spreadsheets/d/1Q7bXeEeygtq--UruqxxXn3msPhSw34aEP1f4Cht_wy8/edit"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Q7bXeEeygtq--UruqxxXn3msPhSw34aEP1f4Cht_wy8/edit" TargetMode="External"/><Relationship Id="rId9" Type="http://schemas.openxmlformats.org/officeDocument/2006/relationships/hyperlink" Target="https://docs.google.com/spreadsheets/d/1cMpPUXqbLAjzKnbsgrm0PAwIl-0xviex-Asr3F4I-7I/edit" TargetMode="External"/><Relationship Id="rId26" Type="http://schemas.openxmlformats.org/officeDocument/2006/relationships/hyperlink" Target="https://drive.google.com/drive/folders/1dyb0XtMfpouqugxq8DyiGt2lBM9x28tA?usp=sharing" TargetMode="External"/><Relationship Id="rId25" Type="http://schemas.openxmlformats.org/officeDocument/2006/relationships/hyperlink" Target="https://docs.google.com/spreadsheets/d/1Q7bXeEeygtq--UruqxxXn3msPhSw34aEP1f4Cht_wy8/edit" TargetMode="External"/><Relationship Id="rId28" Type="http://schemas.openxmlformats.org/officeDocument/2006/relationships/hyperlink" Target="https://docs.google.com/document/d/1ERrj1fZztL3TfTaIEEPIrummzCGmk21E2pjjrF_kfzQ/edit" TargetMode="External"/><Relationship Id="rId27" Type="http://schemas.openxmlformats.org/officeDocument/2006/relationships/hyperlink" Target="https://docs.google.com/spreadsheets/d/14i7b80XjyyNj2zDgKd2KsnGwPGLXKTejkJBdEFT8NMg/edit" TargetMode="External"/><Relationship Id="rId5" Type="http://schemas.openxmlformats.org/officeDocument/2006/relationships/hyperlink" Target="https://docs.google.com/spreadsheets/d/1x4rOAfByMG6yfK532STptcnw2LfSSx2DvM0b2nqYK5M/edit" TargetMode="External"/><Relationship Id="rId6" Type="http://schemas.openxmlformats.org/officeDocument/2006/relationships/hyperlink" Target="https://morbee.ongoingsystems.se/Morbee/index.aspx?templ=ADMINTEMPL/AdminViewOrder.ascx" TargetMode="External"/><Relationship Id="rId29" Type="http://schemas.openxmlformats.org/officeDocument/2006/relationships/hyperlink" Target="https://docs.google.com/document/d/1Izbq8HyVfYhPdJlfNsgn8RoijonkZeGrJmrZwaX75wI/edit" TargetMode="External"/><Relationship Id="rId7" Type="http://schemas.openxmlformats.org/officeDocument/2006/relationships/hyperlink" Target="https://docs.google.com/spreadsheets/d/1jASOEvKtqv55CVknTkrAZoFr9qePiQS51INrnh4qFCI/edit" TargetMode="External"/><Relationship Id="rId8" Type="http://schemas.openxmlformats.org/officeDocument/2006/relationships/hyperlink" Target="https://docs.google.com/spreadsheets/d/1CONXwApUCNE4s-NquayczLLZJS3lBxtkAQwk9d9t2gA/edit" TargetMode="External"/><Relationship Id="rId31" Type="http://schemas.openxmlformats.org/officeDocument/2006/relationships/vmlDrawing" Target="../drawings/vmlDrawing1.vml"/><Relationship Id="rId30" Type="http://schemas.openxmlformats.org/officeDocument/2006/relationships/drawing" Target="../drawings/drawing1.xml"/><Relationship Id="rId11" Type="http://schemas.openxmlformats.org/officeDocument/2006/relationships/hyperlink" Target="https://docs.google.com/spreadsheets/d/1JdR3xDBq4H0WRFXViLqE0d_i7WU9gPIip69t1c8Ys-U/edit" TargetMode="External"/><Relationship Id="rId10" Type="http://schemas.openxmlformats.org/officeDocument/2006/relationships/hyperlink" Target="https://docs.google.com/spreadsheets/d/1y8ENyF4HjVV_0QaSLv1gniAgbY5Cx6jhBkiT7eo30bk/edit" TargetMode="External"/><Relationship Id="rId13" Type="http://schemas.openxmlformats.org/officeDocument/2006/relationships/hyperlink" Target="https://nordics.westfalia-automotive.com/se-sv" TargetMode="External"/><Relationship Id="rId12" Type="http://schemas.openxmlformats.org/officeDocument/2006/relationships/hyperlink" Target="mailto:office@imiola.pl" TargetMode="External"/><Relationship Id="rId15" Type="http://schemas.openxmlformats.org/officeDocument/2006/relationships/hyperlink" Target="https://docs.google.com/spreadsheets/d/1umnEUMghOoOXD-brbEVd37HzY4fPYdPDcmTdMroTEOs/edit" TargetMode="External"/><Relationship Id="rId14" Type="http://schemas.openxmlformats.org/officeDocument/2006/relationships/hyperlink" Target="mailto:ea-dk-sales@horizonglobal.com" TargetMode="External"/><Relationship Id="rId17" Type="http://schemas.openxmlformats.org/officeDocument/2006/relationships/hyperlink" Target="https://docs.google.com/spreadsheets/d/140TZZ4K1_DD9XKBVFWB668rJmEtxgSxAKiqzy_N80xs/edit" TargetMode="External"/><Relationship Id="rId16" Type="http://schemas.openxmlformats.org/officeDocument/2006/relationships/hyperlink" Target="mailto:export@martec.pl" TargetMode="External"/><Relationship Id="rId19" Type="http://schemas.openxmlformats.org/officeDocument/2006/relationships/hyperlink" Target="https://docs.google.com/spreadsheets/d/1B8Dh-XHGyLGOUAOA-Q1q0HLvsBfGT_tw/edit" TargetMode="External"/><Relationship Id="rId18" Type="http://schemas.openxmlformats.org/officeDocument/2006/relationships/hyperlink" Target="mailto:export@umbrarimorchi.i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reg.nr/" TargetMode="External"/><Relationship Id="rId2" Type="http://schemas.openxmlformats.org/officeDocument/2006/relationships/hyperlink" Target="http://reg.nr/" TargetMode="External"/><Relationship Id="rId3" Type="http://schemas.openxmlformats.org/officeDocument/2006/relationships/hyperlink" Target="http://reg.nr/"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org.nr/" TargetMode="External"/><Relationship Id="rId9" Type="http://schemas.openxmlformats.org/officeDocument/2006/relationships/vmlDrawing" Target="../drawings/vmlDrawing2.vml"/><Relationship Id="rId5" Type="http://schemas.openxmlformats.org/officeDocument/2006/relationships/hyperlink" Target="https://www.bilvardshuset.se/" TargetMode="External"/><Relationship Id="rId6" Type="http://schemas.openxmlformats.org/officeDocument/2006/relationships/hyperlink" Target="mailto:holmen@mekopartner.se" TargetMode="External"/><Relationship Id="rId7" Type="http://schemas.openxmlformats.org/officeDocument/2006/relationships/hyperlink" Target="mailto:info@miteknik.se"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mailto:rickard.fagefors@familjebilar.se" TargetMode="External"/><Relationship Id="rId2" Type="http://schemas.openxmlformats.org/officeDocument/2006/relationships/hyperlink" Target="http://tommy.autohallen.se" TargetMode="External"/><Relationship Id="rId3" Type="http://schemas.openxmlformats.org/officeDocument/2006/relationships/hyperlink" Target="mailto:info@qstartoreboda.se"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47.75"/>
  </cols>
  <sheetData>
    <row r="1" ht="89.25" customHeight="1">
      <c r="A1" s="1"/>
    </row>
    <row r="4">
      <c r="A4" s="2" t="s">
        <v>0</v>
      </c>
      <c r="B4" s="3" t="s">
        <v>1</v>
      </c>
      <c r="C4" s="4"/>
      <c r="D4" s="4"/>
      <c r="E4" s="4"/>
      <c r="F4" s="4"/>
      <c r="G4" s="4"/>
      <c r="H4" s="4"/>
      <c r="I4" s="4"/>
      <c r="J4" s="4"/>
      <c r="K4" s="4"/>
      <c r="L4" s="4"/>
      <c r="M4" s="4"/>
      <c r="N4" s="4"/>
      <c r="O4" s="4"/>
      <c r="P4" s="4"/>
      <c r="Q4" s="4"/>
      <c r="R4" s="4"/>
      <c r="S4" s="4"/>
      <c r="T4" s="4"/>
      <c r="U4" s="4"/>
      <c r="V4" s="4"/>
      <c r="W4" s="4"/>
      <c r="X4" s="4"/>
      <c r="Y4" s="4"/>
      <c r="Z4" s="4"/>
    </row>
    <row r="5">
      <c r="A5" s="5" t="s">
        <v>2</v>
      </c>
      <c r="B5" s="6" t="s">
        <v>3</v>
      </c>
    </row>
    <row r="6">
      <c r="A6" s="5" t="s">
        <v>4</v>
      </c>
      <c r="B6" s="6" t="s">
        <v>5</v>
      </c>
    </row>
    <row r="7">
      <c r="A7" s="5" t="s">
        <v>6</v>
      </c>
      <c r="B7" s="6" t="s">
        <v>8</v>
      </c>
    </row>
    <row r="8">
      <c r="A8" s="5" t="s">
        <v>11</v>
      </c>
      <c r="B8" s="6" t="s">
        <v>23</v>
      </c>
    </row>
    <row r="9">
      <c r="A9" s="5" t="s">
        <v>25</v>
      </c>
      <c r="B9" s="6" t="s">
        <v>27</v>
      </c>
    </row>
    <row r="10">
      <c r="A10" s="5" t="s">
        <v>28</v>
      </c>
      <c r="B10" s="6" t="s">
        <v>32</v>
      </c>
    </row>
    <row r="11">
      <c r="A11" s="5" t="s">
        <v>36</v>
      </c>
      <c r="B11" s="6" t="s">
        <v>44</v>
      </c>
    </row>
    <row r="12">
      <c r="A12" s="5" t="s">
        <v>47</v>
      </c>
      <c r="B12" s="33" t="s">
        <v>57</v>
      </c>
    </row>
    <row r="13">
      <c r="A13" s="5" t="s">
        <v>73</v>
      </c>
      <c r="B13" s="33" t="s">
        <v>89</v>
      </c>
    </row>
    <row r="14">
      <c r="A14" s="5" t="s">
        <v>97</v>
      </c>
      <c r="B14" s="33" t="s">
        <v>114</v>
      </c>
    </row>
    <row r="15">
      <c r="A15" s="5" t="s">
        <v>131</v>
      </c>
      <c r="B15" s="33" t="s">
        <v>153</v>
      </c>
    </row>
    <row r="16">
      <c r="A16" s="5" t="s">
        <v>166</v>
      </c>
      <c r="B16" s="62" t="s">
        <v>192</v>
      </c>
    </row>
    <row r="17">
      <c r="A17" s="64"/>
    </row>
    <row r="18">
      <c r="A18" s="5" t="s">
        <v>200</v>
      </c>
      <c r="B18" s="6" t="s">
        <v>212</v>
      </c>
    </row>
    <row r="19">
      <c r="A19" s="5" t="s">
        <v>217</v>
      </c>
      <c r="B19" s="33" t="s">
        <v>219</v>
      </c>
    </row>
    <row r="20">
      <c r="A20" s="5" t="s">
        <v>221</v>
      </c>
      <c r="B20" s="62" t="s">
        <v>224</v>
      </c>
    </row>
    <row r="21">
      <c r="A21" s="72" t="s">
        <v>226</v>
      </c>
      <c r="B21" s="6" t="s">
        <v>243</v>
      </c>
    </row>
    <row r="22">
      <c r="A22" s="72" t="s">
        <v>247</v>
      </c>
      <c r="B22" s="6" t="s">
        <v>250</v>
      </c>
    </row>
    <row r="23">
      <c r="A23" s="64"/>
    </row>
    <row r="24">
      <c r="A24" s="64"/>
    </row>
    <row r="25">
      <c r="A25" s="2" t="s">
        <v>258</v>
      </c>
    </row>
    <row r="26">
      <c r="A26" s="5" t="s">
        <v>261</v>
      </c>
      <c r="B26" s="6" t="s">
        <v>275</v>
      </c>
    </row>
    <row r="27">
      <c r="A27" s="64"/>
    </row>
    <row r="28">
      <c r="A28" s="2" t="s">
        <v>286</v>
      </c>
    </row>
    <row r="29">
      <c r="A29" s="5" t="s">
        <v>287</v>
      </c>
    </row>
    <row r="30">
      <c r="A30" s="64"/>
    </row>
    <row r="31">
      <c r="A31" s="64"/>
    </row>
    <row r="32">
      <c r="A32" s="64"/>
    </row>
    <row r="33">
      <c r="A33" s="2" t="s">
        <v>317</v>
      </c>
    </row>
    <row r="34">
      <c r="A34" s="5" t="s">
        <v>320</v>
      </c>
      <c r="B34" s="6" t="s">
        <v>341</v>
      </c>
    </row>
    <row r="35">
      <c r="A35" s="5" t="s">
        <v>344</v>
      </c>
      <c r="B35" s="6" t="s">
        <v>367</v>
      </c>
    </row>
    <row r="36">
      <c r="A36" s="89"/>
    </row>
    <row r="37">
      <c r="A37" s="89"/>
    </row>
    <row r="38">
      <c r="A38" s="89"/>
    </row>
    <row r="39">
      <c r="A39" s="89"/>
    </row>
    <row r="40">
      <c r="A40" s="89"/>
    </row>
    <row r="41">
      <c r="A41" s="89"/>
    </row>
    <row r="42">
      <c r="A42" s="89"/>
    </row>
    <row r="43">
      <c r="A43" s="89"/>
    </row>
    <row r="44">
      <c r="A44" s="89"/>
    </row>
    <row r="45">
      <c r="A45" s="89"/>
    </row>
    <row r="46">
      <c r="A46" s="89"/>
    </row>
    <row r="47">
      <c r="A47" s="89"/>
    </row>
    <row r="48">
      <c r="A48" s="89"/>
    </row>
    <row r="49">
      <c r="A49" s="89"/>
    </row>
    <row r="50">
      <c r="A50" s="89"/>
    </row>
    <row r="51">
      <c r="A51" s="89"/>
    </row>
    <row r="52">
      <c r="A52" s="89"/>
    </row>
    <row r="53">
      <c r="A53" s="89"/>
    </row>
    <row r="54">
      <c r="A54" s="89"/>
    </row>
    <row r="55">
      <c r="A55" s="89"/>
    </row>
    <row r="56">
      <c r="A56" s="89"/>
    </row>
    <row r="57">
      <c r="A57" s="89"/>
    </row>
    <row r="58">
      <c r="A58" s="89"/>
    </row>
    <row r="59">
      <c r="A59" s="89"/>
    </row>
    <row r="60">
      <c r="A60" s="89"/>
    </row>
    <row r="61">
      <c r="A61" s="89"/>
    </row>
    <row r="62">
      <c r="A62" s="89"/>
    </row>
    <row r="63">
      <c r="A63" s="89"/>
    </row>
    <row r="64">
      <c r="A64" s="89"/>
    </row>
    <row r="65">
      <c r="A65" s="89"/>
    </row>
    <row r="66">
      <c r="A66" s="89"/>
    </row>
    <row r="67">
      <c r="A67" s="89"/>
    </row>
    <row r="68">
      <c r="A68" s="89"/>
    </row>
    <row r="69">
      <c r="A69" s="89"/>
    </row>
    <row r="70">
      <c r="A70" s="89"/>
    </row>
    <row r="71">
      <c r="A71" s="89"/>
    </row>
    <row r="72">
      <c r="A72" s="89"/>
    </row>
    <row r="73">
      <c r="A73" s="89"/>
    </row>
    <row r="74">
      <c r="A74" s="89"/>
    </row>
    <row r="75">
      <c r="A75" s="89"/>
    </row>
    <row r="76">
      <c r="A76" s="89"/>
    </row>
    <row r="77">
      <c r="A77" s="89"/>
    </row>
    <row r="78">
      <c r="A78" s="89"/>
    </row>
    <row r="79">
      <c r="A79" s="89"/>
    </row>
    <row r="80">
      <c r="A80" s="89"/>
    </row>
    <row r="81">
      <c r="A81" s="89"/>
    </row>
    <row r="82">
      <c r="A82" s="89"/>
    </row>
    <row r="83">
      <c r="A83" s="89"/>
    </row>
    <row r="84">
      <c r="A84" s="89"/>
    </row>
    <row r="85">
      <c r="A85" s="89"/>
    </row>
    <row r="86">
      <c r="A86" s="89"/>
    </row>
    <row r="87">
      <c r="A87" s="89"/>
    </row>
    <row r="88">
      <c r="A88" s="89"/>
    </row>
    <row r="89">
      <c r="A89" s="89"/>
    </row>
    <row r="90">
      <c r="A90" s="89"/>
    </row>
    <row r="91">
      <c r="A91" s="89"/>
    </row>
    <row r="92">
      <c r="A92" s="89"/>
    </row>
    <row r="93">
      <c r="A93" s="89"/>
    </row>
    <row r="94">
      <c r="A94" s="89"/>
    </row>
    <row r="95">
      <c r="A95" s="89"/>
    </row>
    <row r="96">
      <c r="A96" s="89"/>
    </row>
    <row r="97">
      <c r="A97" s="89"/>
    </row>
    <row r="98">
      <c r="A98" s="89"/>
    </row>
    <row r="99">
      <c r="A99" s="89"/>
    </row>
    <row r="100">
      <c r="A100" s="89"/>
    </row>
  </sheetData>
  <hyperlinks>
    <hyperlink r:id="rId4" ref="A5"/>
    <hyperlink r:id="rId5" ref="A6"/>
    <hyperlink r:id="rId6" ref="A7"/>
    <hyperlink r:id="rId7" ref="A8"/>
    <hyperlink r:id="rId8" ref="A9"/>
    <hyperlink r:id="rId9" ref="A10"/>
    <hyperlink r:id="rId10" ref="A11"/>
    <hyperlink r:id="rId11" ref="A12"/>
    <hyperlink r:id="rId12" ref="B12"/>
    <hyperlink r:id="rId13" ref="A13"/>
    <hyperlink r:id="rId14" ref="B13"/>
    <hyperlink r:id="rId15" ref="A14"/>
    <hyperlink r:id="rId16" ref="B14"/>
    <hyperlink r:id="rId17" ref="A15"/>
    <hyperlink r:id="rId18" ref="B15"/>
    <hyperlink r:id="rId19" location="gid" ref="A16"/>
    <hyperlink r:id="rId20" ref="A18"/>
    <hyperlink r:id="rId21" ref="A19"/>
    <hyperlink r:id="rId22" ref="B19"/>
    <hyperlink r:id="rId23" ref="A20"/>
    <hyperlink r:id="rId24" ref="A21"/>
    <hyperlink r:id="rId25" ref="A22"/>
    <hyperlink r:id="rId26" ref="A26"/>
    <hyperlink r:id="rId27" ref="A29"/>
    <hyperlink r:id="rId28" location="heading=h.z9m0vxrl68x1" ref="A34"/>
    <hyperlink r:id="rId29" ref="A35"/>
  </hyperlinks>
  <drawing r:id="rId30"/>
  <legacyDrawing r:id="rId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5.63"/>
    <col customWidth="1" min="4" max="4" width="14.38"/>
    <col customWidth="1" min="5" max="5" width="8.25"/>
    <col customWidth="1" min="6" max="6" width="34.25"/>
    <col customWidth="1" min="9" max="10" width="13.38"/>
    <col customWidth="1" min="11" max="11" width="6.38"/>
    <col customWidth="1" hidden="1" min="12" max="12" width="7.88"/>
    <col customWidth="1" min="13" max="13" width="8.5"/>
    <col customWidth="1" min="14" max="14" width="8.25"/>
    <col customWidth="1" min="15" max="16" width="8.13"/>
    <col customWidth="1" min="17" max="17" width="8.88"/>
    <col customWidth="1" min="18" max="18" width="12.5"/>
    <col customWidth="1" min="19" max="19" width="13.5"/>
    <col customWidth="1" min="20" max="20" width="10.63"/>
    <col customWidth="1" min="21" max="21" width="9.63"/>
    <col customWidth="1" hidden="1" min="22" max="22" width="46.13"/>
    <col customWidth="1" hidden="1" min="23" max="23" width="19.75"/>
    <col customWidth="1" hidden="1" min="24" max="24" width="22.25"/>
    <col hidden="1" min="25" max="25" width="12.63"/>
    <col customWidth="1" hidden="1" min="26" max="26" width="8.25"/>
    <col customWidth="1" min="27" max="27" width="10.63"/>
  </cols>
  <sheetData>
    <row r="1" ht="21.0" customHeight="1">
      <c r="A1" s="10"/>
      <c r="B1" s="12"/>
      <c r="C1" s="13"/>
      <c r="D1" s="14"/>
      <c r="E1" s="3"/>
      <c r="F1" s="3"/>
      <c r="G1" s="3"/>
      <c r="H1" s="19"/>
      <c r="I1" s="19"/>
      <c r="J1" s="22"/>
      <c r="K1" s="24"/>
      <c r="L1" s="26"/>
      <c r="M1" s="28" t="s">
        <v>60</v>
      </c>
      <c r="N1" s="29"/>
      <c r="O1" s="29"/>
      <c r="P1" s="29"/>
      <c r="Q1" s="29"/>
      <c r="R1" s="30"/>
      <c r="S1" s="31"/>
      <c r="T1" s="32"/>
      <c r="U1" s="34"/>
      <c r="V1" s="3"/>
      <c r="W1" s="6"/>
      <c r="X1" s="6"/>
      <c r="Y1" s="6"/>
      <c r="AB1" s="6" t="s">
        <v>75</v>
      </c>
      <c r="AC1" s="35">
        <v>11.6</v>
      </c>
    </row>
    <row r="2" ht="45.0" customHeight="1">
      <c r="A2" s="10" t="s">
        <v>78</v>
      </c>
      <c r="B2" s="12" t="s">
        <v>79</v>
      </c>
      <c r="C2" s="13" t="s">
        <v>81</v>
      </c>
      <c r="D2" s="14" t="s">
        <v>82</v>
      </c>
      <c r="E2" s="3" t="s">
        <v>79</v>
      </c>
      <c r="F2" s="3" t="s">
        <v>84</v>
      </c>
      <c r="G2" s="3" t="s">
        <v>86</v>
      </c>
      <c r="H2" s="19" t="s">
        <v>88</v>
      </c>
      <c r="I2" s="48" t="s">
        <v>91</v>
      </c>
      <c r="J2" s="50" t="s">
        <v>116</v>
      </c>
      <c r="K2" s="24" t="s">
        <v>119</v>
      </c>
      <c r="L2" s="26" t="s">
        <v>122</v>
      </c>
      <c r="M2" s="51" t="s">
        <v>125</v>
      </c>
      <c r="N2" s="53" t="s">
        <v>132</v>
      </c>
      <c r="O2" s="53" t="s">
        <v>135</v>
      </c>
      <c r="P2" s="53" t="s">
        <v>137</v>
      </c>
      <c r="Q2" s="53" t="s">
        <v>140</v>
      </c>
      <c r="R2" s="30" t="s">
        <v>141</v>
      </c>
      <c r="S2" s="31" t="s">
        <v>144</v>
      </c>
      <c r="T2" s="32" t="s">
        <v>151</v>
      </c>
      <c r="U2" s="55" t="s">
        <v>154</v>
      </c>
      <c r="V2" s="3" t="s">
        <v>24</v>
      </c>
      <c r="W2" s="6" t="s">
        <v>159</v>
      </c>
      <c r="X2" s="6" t="s">
        <v>161</v>
      </c>
      <c r="Y2" s="6" t="s">
        <v>164</v>
      </c>
      <c r="Z2" s="6" t="s">
        <v>165</v>
      </c>
      <c r="AA2" s="6" t="s">
        <v>170</v>
      </c>
      <c r="AC2" s="35" t="s">
        <v>174</v>
      </c>
      <c r="AD2" s="6" t="s">
        <v>176</v>
      </c>
      <c r="AE2" s="3" t="s">
        <v>176</v>
      </c>
    </row>
    <row r="3" hidden="1">
      <c r="A3" s="10" t="s">
        <v>179</v>
      </c>
      <c r="B3" s="6" t="s">
        <v>181</v>
      </c>
      <c r="C3" s="6" t="s">
        <v>183</v>
      </c>
      <c r="E3" s="6" t="s">
        <v>184</v>
      </c>
      <c r="F3" s="6" t="s">
        <v>186</v>
      </c>
      <c r="H3" s="6" t="s">
        <v>189</v>
      </c>
      <c r="J3" s="60"/>
      <c r="K3" s="66" t="str">
        <f>IFNA(VLOOKUP(D3,'EAN Codes'!A:C,2,False),"")</f>
        <v/>
      </c>
      <c r="L3" s="35"/>
      <c r="M3" s="67"/>
      <c r="S3" s="60"/>
      <c r="U3" s="69" t="b">
        <v>1</v>
      </c>
      <c r="Z3" t="b">
        <v>0</v>
      </c>
    </row>
    <row r="4" hidden="1">
      <c r="A4" s="6">
        <v>70.0</v>
      </c>
      <c r="B4" s="6" t="s">
        <v>241</v>
      </c>
      <c r="C4" s="6" t="s">
        <v>244</v>
      </c>
      <c r="E4" s="6" t="s">
        <v>246</v>
      </c>
      <c r="F4" s="6" t="s">
        <v>249</v>
      </c>
      <c r="G4" s="6"/>
      <c r="H4" s="6" t="s">
        <v>135</v>
      </c>
      <c r="J4" s="60"/>
      <c r="K4" s="66" t="str">
        <f>IFNA(VLOOKUP(D4,'EAN Codes'!A:C,2,False),"")</f>
        <v/>
      </c>
      <c r="L4" s="82"/>
      <c r="M4" s="83"/>
      <c r="N4" s="6"/>
      <c r="O4" s="6"/>
      <c r="P4" s="6"/>
      <c r="Q4" s="6"/>
      <c r="R4" s="6"/>
      <c r="S4" s="84"/>
      <c r="T4" s="6"/>
      <c r="U4" s="69" t="b">
        <v>1</v>
      </c>
      <c r="V4" s="6" t="s">
        <v>290</v>
      </c>
      <c r="Z4" t="b">
        <v>0</v>
      </c>
    </row>
    <row r="5" hidden="1">
      <c r="A5" s="6">
        <v>15.0</v>
      </c>
      <c r="B5" s="6" t="s">
        <v>241</v>
      </c>
      <c r="C5" s="6"/>
      <c r="D5" s="6" t="s">
        <v>299</v>
      </c>
      <c r="F5" s="6" t="s">
        <v>303</v>
      </c>
      <c r="H5" s="6" t="s">
        <v>189</v>
      </c>
      <c r="J5" s="60"/>
      <c r="K5" s="66" t="str">
        <f>IFNA(VLOOKUP(D5,'EAN Codes'!A:C,2,False),"")</f>
        <v/>
      </c>
      <c r="M5" s="67"/>
      <c r="S5" s="60"/>
      <c r="U5" s="85" t="b">
        <v>1</v>
      </c>
      <c r="Z5" t="b">
        <v>0</v>
      </c>
    </row>
    <row r="6" hidden="1">
      <c r="A6" s="86">
        <v>971.0</v>
      </c>
      <c r="B6" s="86" t="s">
        <v>241</v>
      </c>
      <c r="C6" s="86" t="s">
        <v>342</v>
      </c>
      <c r="D6" s="87" t="s">
        <v>343</v>
      </c>
      <c r="E6" s="86" t="s">
        <v>346</v>
      </c>
      <c r="F6" s="86" t="s">
        <v>354</v>
      </c>
      <c r="G6" s="86" t="s">
        <v>358</v>
      </c>
      <c r="H6" s="86" t="s">
        <v>362</v>
      </c>
      <c r="I6" s="86"/>
      <c r="J6" s="88"/>
      <c r="K6" s="90" t="str">
        <f>IFNA(VLOOKUP(D6,'EAN Codes'!A:C,2,False),"")</f>
        <v>5907615800986</v>
      </c>
      <c r="L6" s="91"/>
      <c r="M6" s="92"/>
      <c r="N6" s="86"/>
      <c r="O6" s="86"/>
      <c r="P6" s="86"/>
      <c r="Q6" s="86"/>
      <c r="R6" s="86"/>
      <c r="S6" s="88"/>
      <c r="T6" s="86"/>
      <c r="U6" s="93" t="b">
        <v>1</v>
      </c>
      <c r="V6" s="86" t="s">
        <v>368</v>
      </c>
      <c r="Z6" t="b">
        <v>0</v>
      </c>
    </row>
    <row r="7" hidden="1">
      <c r="A7" s="91"/>
      <c r="B7" s="86" t="s">
        <v>241</v>
      </c>
      <c r="C7" s="86" t="s">
        <v>342</v>
      </c>
      <c r="D7" s="86" t="s">
        <v>371</v>
      </c>
      <c r="E7" s="86" t="s">
        <v>373</v>
      </c>
      <c r="F7" s="86" t="s">
        <v>374</v>
      </c>
      <c r="G7" s="86" t="s">
        <v>375</v>
      </c>
      <c r="H7" s="86" t="s">
        <v>376</v>
      </c>
      <c r="I7" s="91"/>
      <c r="J7" s="97"/>
      <c r="K7" s="66" t="str">
        <f>IFNA(VLOOKUP(D7,'EAN Codes'!A:C,2,False),"")</f>
        <v>5907615801037</v>
      </c>
      <c r="L7" s="91"/>
      <c r="M7" s="92"/>
      <c r="N7" s="86"/>
      <c r="O7" s="86"/>
      <c r="P7" s="86"/>
      <c r="Q7" s="86"/>
      <c r="R7" s="86"/>
      <c r="S7" s="88"/>
      <c r="T7" s="86"/>
      <c r="U7" s="93" t="b">
        <v>1</v>
      </c>
      <c r="V7" s="86" t="s">
        <v>385</v>
      </c>
      <c r="Z7" t="b">
        <v>0</v>
      </c>
    </row>
    <row r="8" hidden="1">
      <c r="A8" s="99">
        <v>711.0</v>
      </c>
      <c r="B8" s="99" t="s">
        <v>391</v>
      </c>
      <c r="C8" s="99" t="s">
        <v>392</v>
      </c>
      <c r="D8" s="100" t="s">
        <v>393</v>
      </c>
      <c r="E8" s="99" t="s">
        <v>394</v>
      </c>
      <c r="F8" s="99" t="s">
        <v>395</v>
      </c>
      <c r="G8" s="101"/>
      <c r="H8" s="99" t="s">
        <v>189</v>
      </c>
      <c r="I8" s="99" t="s">
        <v>397</v>
      </c>
      <c r="J8" s="104"/>
      <c r="K8" s="107" t="str">
        <f>IFNA(VLOOKUP(D8,'EAN Codes'!A:C,2,False),"")</f>
        <v/>
      </c>
      <c r="L8" s="101"/>
      <c r="M8" s="108"/>
      <c r="N8" s="101"/>
      <c r="O8" s="101"/>
      <c r="P8" s="101"/>
      <c r="Q8" s="101"/>
      <c r="R8" s="101"/>
      <c r="S8" s="110"/>
      <c r="T8" s="101"/>
      <c r="U8" s="113" t="b">
        <v>1</v>
      </c>
      <c r="V8" s="101"/>
      <c r="W8" s="101"/>
      <c r="X8" s="101"/>
      <c r="Y8" s="101"/>
      <c r="Z8" s="101" t="b">
        <v>0</v>
      </c>
      <c r="AA8" s="101"/>
      <c r="AB8" s="101"/>
      <c r="AC8" s="101"/>
      <c r="AD8" s="101"/>
      <c r="AE8" s="101"/>
    </row>
    <row r="9" hidden="1">
      <c r="A9" s="99">
        <v>878.0</v>
      </c>
      <c r="B9" s="99" t="s">
        <v>241</v>
      </c>
      <c r="C9" s="99" t="s">
        <v>408</v>
      </c>
      <c r="D9" s="99">
        <v>3.17114600001E11</v>
      </c>
      <c r="E9" s="99" t="s">
        <v>409</v>
      </c>
      <c r="F9" s="99" t="s">
        <v>413</v>
      </c>
      <c r="G9" s="101"/>
      <c r="H9" s="99" t="s">
        <v>189</v>
      </c>
      <c r="I9" s="99" t="s">
        <v>418</v>
      </c>
      <c r="J9" s="104"/>
      <c r="K9" s="66" t="str">
        <f>IFNA(VLOOKUP(D9,'EAN Codes'!A:C,2,False),"")</f>
        <v/>
      </c>
      <c r="L9" s="101"/>
      <c r="M9" s="119"/>
      <c r="N9" s="99"/>
      <c r="O9" s="99"/>
      <c r="P9" s="99"/>
      <c r="Q9" s="99"/>
      <c r="R9" s="99"/>
      <c r="S9" s="104"/>
      <c r="T9" s="99"/>
      <c r="U9" s="113" t="b">
        <v>1</v>
      </c>
      <c r="V9" s="99"/>
      <c r="Z9" t="b">
        <v>0</v>
      </c>
    </row>
    <row r="10" hidden="1">
      <c r="A10" s="99">
        <v>600.0</v>
      </c>
      <c r="B10" s="99" t="s">
        <v>241</v>
      </c>
      <c r="C10" s="99" t="s">
        <v>408</v>
      </c>
      <c r="D10" s="99">
        <v>317131.0</v>
      </c>
      <c r="E10" s="99" t="s">
        <v>346</v>
      </c>
      <c r="F10" s="99" t="s">
        <v>436</v>
      </c>
      <c r="G10" s="99" t="s">
        <v>437</v>
      </c>
      <c r="H10" s="99" t="s">
        <v>189</v>
      </c>
      <c r="I10" s="99" t="s">
        <v>438</v>
      </c>
      <c r="J10" s="104"/>
      <c r="K10" s="66" t="str">
        <f>IFNA(VLOOKUP(D10,'EAN Codes'!A:C,2,False),"")</f>
        <v/>
      </c>
      <c r="L10" s="99" t="s">
        <v>269</v>
      </c>
      <c r="M10" s="83"/>
      <c r="N10" s="6"/>
      <c r="O10" s="6"/>
      <c r="P10" s="6"/>
      <c r="Q10" s="6"/>
      <c r="R10" s="6"/>
      <c r="S10" s="84"/>
      <c r="T10" s="6"/>
      <c r="U10" s="113" t="b">
        <v>1</v>
      </c>
      <c r="V10" s="6" t="s">
        <v>451</v>
      </c>
      <c r="Y10" s="6" t="s">
        <v>452</v>
      </c>
      <c r="Z10" t="b">
        <v>0</v>
      </c>
    </row>
    <row r="11" hidden="1">
      <c r="A11" s="99">
        <v>408.0</v>
      </c>
      <c r="B11" s="99" t="s">
        <v>241</v>
      </c>
      <c r="C11" s="120" t="s">
        <v>453</v>
      </c>
      <c r="D11" s="121">
        <v>10023.0</v>
      </c>
      <c r="E11" s="122" t="s">
        <v>454</v>
      </c>
      <c r="F11" s="122" t="s">
        <v>455</v>
      </c>
      <c r="G11" s="122" t="s">
        <v>456</v>
      </c>
      <c r="H11" s="99" t="s">
        <v>189</v>
      </c>
      <c r="I11" s="99" t="s">
        <v>458</v>
      </c>
      <c r="J11" s="104"/>
      <c r="K11" s="66" t="str">
        <f>IFNA(VLOOKUP(D11,'EAN Codes'!A:C,2,False),"")</f>
        <v/>
      </c>
      <c r="L11" s="35" t="s">
        <v>269</v>
      </c>
      <c r="M11" s="83"/>
      <c r="N11" s="6"/>
      <c r="O11" s="6"/>
      <c r="P11" s="6"/>
      <c r="Q11" s="6"/>
      <c r="R11" s="6"/>
      <c r="S11" s="84"/>
      <c r="T11" s="6"/>
      <c r="U11" s="69" t="b">
        <v>1</v>
      </c>
      <c r="V11" s="6" t="s">
        <v>468</v>
      </c>
      <c r="Y11" s="6" t="s">
        <v>452</v>
      </c>
      <c r="Z11" s="124" t="b">
        <v>0</v>
      </c>
      <c r="AA11" s="124"/>
      <c r="AB11" s="124"/>
      <c r="AC11" s="124"/>
      <c r="AD11" s="124"/>
      <c r="AE11" s="124"/>
    </row>
    <row r="12" hidden="1">
      <c r="A12" s="99">
        <v>898.0</v>
      </c>
      <c r="B12" s="99" t="s">
        <v>241</v>
      </c>
      <c r="C12" s="86" t="s">
        <v>408</v>
      </c>
      <c r="D12" s="99">
        <v>321885.0</v>
      </c>
      <c r="E12" s="99" t="s">
        <v>373</v>
      </c>
      <c r="F12" s="99" t="s">
        <v>476</v>
      </c>
      <c r="G12" s="99" t="s">
        <v>479</v>
      </c>
      <c r="H12" s="99" t="s">
        <v>189</v>
      </c>
      <c r="I12" s="86" t="s">
        <v>483</v>
      </c>
      <c r="J12" s="88"/>
      <c r="K12" s="66" t="str">
        <f>IFNA(VLOOKUP(D12,'EAN Codes'!A:C,2,False),"")</f>
        <v/>
      </c>
      <c r="L12" s="82"/>
      <c r="M12" s="67"/>
      <c r="S12" s="60"/>
      <c r="U12" s="69" t="b">
        <v>1</v>
      </c>
      <c r="Z12" t="b">
        <v>0</v>
      </c>
    </row>
    <row r="13" hidden="1">
      <c r="A13" s="6">
        <v>729.0</v>
      </c>
      <c r="B13" s="6" t="s">
        <v>493</v>
      </c>
      <c r="C13" s="6" t="s">
        <v>494</v>
      </c>
      <c r="D13" s="127" t="s">
        <v>495</v>
      </c>
      <c r="F13" s="6" t="s">
        <v>496</v>
      </c>
      <c r="G13" s="6" t="s">
        <v>497</v>
      </c>
      <c r="H13" s="6" t="s">
        <v>189</v>
      </c>
      <c r="I13" s="6" t="s">
        <v>498</v>
      </c>
      <c r="J13" s="84"/>
      <c r="K13" s="66" t="str">
        <f>IFNA(VLOOKUP(D13,'EAN Codes'!A:C,2,False),"")</f>
        <v/>
      </c>
      <c r="L13" s="82"/>
      <c r="M13" s="67"/>
      <c r="S13" s="60"/>
      <c r="U13" s="69" t="b">
        <v>1</v>
      </c>
      <c r="Z13" t="b">
        <v>0</v>
      </c>
    </row>
    <row r="14" hidden="1">
      <c r="A14" s="99">
        <v>105.0</v>
      </c>
      <c r="B14" s="99"/>
      <c r="C14" s="99" t="s">
        <v>408</v>
      </c>
      <c r="D14" s="99">
        <v>305299.0</v>
      </c>
      <c r="E14" s="99" t="s">
        <v>346</v>
      </c>
      <c r="F14" s="99" t="s">
        <v>508</v>
      </c>
      <c r="G14" s="99" t="s">
        <v>510</v>
      </c>
      <c r="H14" s="99" t="s">
        <v>512</v>
      </c>
      <c r="I14" s="99" t="s">
        <v>458</v>
      </c>
      <c r="J14" s="104"/>
      <c r="K14" s="66" t="str">
        <f>IFNA(VLOOKUP(D14,'EAN Codes'!A:C,2,False),"")</f>
        <v/>
      </c>
      <c r="L14" s="35"/>
      <c r="M14" s="83"/>
      <c r="N14" s="6"/>
      <c r="O14" s="6"/>
      <c r="P14" s="6"/>
      <c r="Q14" s="6"/>
      <c r="R14" s="6"/>
      <c r="S14" s="84"/>
      <c r="T14" s="6"/>
      <c r="U14" s="69" t="b">
        <v>1</v>
      </c>
      <c r="V14" s="6"/>
      <c r="Z14" t="b">
        <v>0</v>
      </c>
    </row>
    <row r="15" hidden="1">
      <c r="A15" s="99">
        <v>3.0</v>
      </c>
      <c r="B15" s="99"/>
      <c r="C15" s="99" t="s">
        <v>408</v>
      </c>
      <c r="D15" s="99">
        <v>317132.0</v>
      </c>
      <c r="E15" s="99" t="s">
        <v>527</v>
      </c>
      <c r="F15" s="99" t="s">
        <v>508</v>
      </c>
      <c r="G15" s="99" t="s">
        <v>528</v>
      </c>
      <c r="H15" s="99" t="s">
        <v>135</v>
      </c>
      <c r="I15" s="99" t="s">
        <v>530</v>
      </c>
      <c r="J15" s="104"/>
      <c r="K15" s="66" t="str">
        <f>IFNA(VLOOKUP(D15,'EAN Codes'!A:C,2,False),"")</f>
        <v/>
      </c>
      <c r="L15" s="35"/>
      <c r="M15" s="119"/>
      <c r="N15" s="99"/>
      <c r="O15" s="99"/>
      <c r="P15" s="99"/>
      <c r="Q15" s="99"/>
      <c r="R15" s="99"/>
      <c r="S15" s="104"/>
      <c r="T15" s="99"/>
      <c r="U15" s="69" t="b">
        <v>1</v>
      </c>
      <c r="V15" s="99" t="s">
        <v>545</v>
      </c>
      <c r="W15" s="115"/>
      <c r="Z15" t="b">
        <v>0</v>
      </c>
    </row>
    <row r="16" hidden="1">
      <c r="A16" s="99">
        <v>596.0</v>
      </c>
      <c r="B16" s="99" t="s">
        <v>241</v>
      </c>
      <c r="C16" s="99" t="s">
        <v>408</v>
      </c>
      <c r="D16" s="99">
        <v>305299.0</v>
      </c>
      <c r="E16" s="99" t="s">
        <v>346</v>
      </c>
      <c r="F16" s="99" t="s">
        <v>508</v>
      </c>
      <c r="G16" s="99" t="s">
        <v>550</v>
      </c>
      <c r="H16" s="99" t="s">
        <v>189</v>
      </c>
      <c r="I16" s="99" t="s">
        <v>551</v>
      </c>
      <c r="J16" s="104"/>
      <c r="K16" s="66" t="str">
        <f>IFNA(VLOOKUP(D16,'EAN Codes'!A:C,2,False),"")</f>
        <v/>
      </c>
      <c r="L16" s="99" t="s">
        <v>269</v>
      </c>
      <c r="M16" s="83"/>
      <c r="N16" s="6"/>
      <c r="O16" s="6"/>
      <c r="P16" s="6"/>
      <c r="Q16" s="6"/>
      <c r="R16" s="6"/>
      <c r="S16" s="84"/>
      <c r="T16" s="6"/>
      <c r="U16" s="113" t="b">
        <v>1</v>
      </c>
      <c r="V16" s="6" t="s">
        <v>565</v>
      </c>
      <c r="Y16" s="6" t="s">
        <v>452</v>
      </c>
      <c r="Z16" t="b">
        <v>0</v>
      </c>
    </row>
    <row r="17" hidden="1">
      <c r="A17" s="99">
        <v>193.0</v>
      </c>
      <c r="B17" s="99"/>
      <c r="C17" s="99" t="s">
        <v>342</v>
      </c>
      <c r="D17" s="99" t="s">
        <v>567</v>
      </c>
      <c r="E17" s="99" t="s">
        <v>409</v>
      </c>
      <c r="F17" s="99" t="s">
        <v>568</v>
      </c>
      <c r="G17" s="99" t="s">
        <v>569</v>
      </c>
      <c r="H17" s="99" t="s">
        <v>189</v>
      </c>
      <c r="I17" s="99" t="s">
        <v>570</v>
      </c>
      <c r="J17" s="104"/>
      <c r="K17" s="66" t="str">
        <f>IFNA(VLOOKUP(D17,'EAN Codes'!A:C,2,False),"")</f>
        <v>5907615826146</v>
      </c>
      <c r="L17" s="35"/>
      <c r="M17" s="67"/>
      <c r="S17" s="60"/>
      <c r="U17" s="69" t="b">
        <v>1</v>
      </c>
      <c r="Z17" t="b">
        <v>0</v>
      </c>
    </row>
    <row r="18" hidden="1">
      <c r="A18" s="99">
        <v>192.0</v>
      </c>
      <c r="B18" s="99" t="s">
        <v>241</v>
      </c>
      <c r="C18" s="99" t="s">
        <v>342</v>
      </c>
      <c r="D18" s="141" t="s">
        <v>583</v>
      </c>
      <c r="E18" s="99" t="s">
        <v>409</v>
      </c>
      <c r="F18" s="99" t="s">
        <v>568</v>
      </c>
      <c r="G18" s="99" t="s">
        <v>510</v>
      </c>
      <c r="H18" s="99" t="s">
        <v>189</v>
      </c>
      <c r="I18" s="99" t="s">
        <v>585</v>
      </c>
      <c r="J18" s="104"/>
      <c r="K18" s="66" t="str">
        <f>IFNA(VLOOKUP(D18,'EAN Codes'!A:C,2,False),"")</f>
        <v>5907615800573</v>
      </c>
      <c r="L18" s="99"/>
      <c r="M18" s="67"/>
      <c r="S18" s="60"/>
      <c r="U18" s="113" t="b">
        <v>1</v>
      </c>
      <c r="Z18" t="b">
        <v>0</v>
      </c>
    </row>
    <row r="19" hidden="1">
      <c r="A19" s="99">
        <v>459.0</v>
      </c>
      <c r="B19" s="99" t="s">
        <v>241</v>
      </c>
      <c r="C19" s="99" t="s">
        <v>408</v>
      </c>
      <c r="D19" s="99">
        <v>305299.0</v>
      </c>
      <c r="E19" s="99" t="s">
        <v>346</v>
      </c>
      <c r="F19" s="99" t="s">
        <v>600</v>
      </c>
      <c r="G19" s="99" t="s">
        <v>510</v>
      </c>
      <c r="H19" s="99" t="s">
        <v>189</v>
      </c>
      <c r="I19" s="99" t="s">
        <v>602</v>
      </c>
      <c r="J19" s="104"/>
      <c r="K19" s="66" t="str">
        <f>IFNA(VLOOKUP(D19,'EAN Codes'!A:C,2,False),"")</f>
        <v/>
      </c>
      <c r="L19" s="99" t="s">
        <v>269</v>
      </c>
      <c r="M19" s="119"/>
      <c r="N19" s="99"/>
      <c r="O19" s="99"/>
      <c r="P19" s="99"/>
      <c r="Q19" s="99"/>
      <c r="R19" s="99"/>
      <c r="S19" s="104"/>
      <c r="T19" s="99"/>
      <c r="U19" s="113" t="b">
        <v>1</v>
      </c>
      <c r="V19" s="99" t="s">
        <v>617</v>
      </c>
      <c r="Y19" s="6" t="s">
        <v>452</v>
      </c>
      <c r="Z19" t="b">
        <v>0</v>
      </c>
    </row>
    <row r="20" hidden="1">
      <c r="A20" s="99">
        <v>450.0</v>
      </c>
      <c r="B20" s="99" t="s">
        <v>241</v>
      </c>
      <c r="C20" s="99" t="s">
        <v>408</v>
      </c>
      <c r="D20" s="99">
        <v>305299.0</v>
      </c>
      <c r="E20" s="99" t="s">
        <v>346</v>
      </c>
      <c r="F20" s="99" t="s">
        <v>623</v>
      </c>
      <c r="G20" s="99" t="s">
        <v>510</v>
      </c>
      <c r="H20" s="99" t="s">
        <v>189</v>
      </c>
      <c r="I20" s="99" t="s">
        <v>626</v>
      </c>
      <c r="J20" s="104"/>
      <c r="K20" s="66" t="str">
        <f>IFNA(VLOOKUP(D20,'EAN Codes'!A:C,2,False),"")</f>
        <v/>
      </c>
      <c r="L20" s="35" t="s">
        <v>269</v>
      </c>
      <c r="M20" s="83"/>
      <c r="N20" s="6"/>
      <c r="O20" s="6"/>
      <c r="P20" s="6"/>
      <c r="Q20" s="6"/>
      <c r="R20" s="6"/>
      <c r="S20" s="84"/>
      <c r="T20" s="6"/>
      <c r="U20" s="69" t="b">
        <v>1</v>
      </c>
      <c r="V20" s="6" t="s">
        <v>636</v>
      </c>
      <c r="Y20" s="6" t="s">
        <v>452</v>
      </c>
      <c r="Z20" t="b">
        <v>0</v>
      </c>
    </row>
    <row r="21" hidden="1">
      <c r="A21" s="99">
        <v>72.0</v>
      </c>
      <c r="B21" s="99"/>
      <c r="C21" s="99" t="s">
        <v>408</v>
      </c>
      <c r="D21" s="99">
        <v>317132.0</v>
      </c>
      <c r="E21" s="99" t="s">
        <v>409</v>
      </c>
      <c r="F21" s="99" t="s">
        <v>640</v>
      </c>
      <c r="G21" s="99" t="s">
        <v>497</v>
      </c>
      <c r="H21" s="99" t="s">
        <v>135</v>
      </c>
      <c r="I21" s="99" t="s">
        <v>530</v>
      </c>
      <c r="J21" s="104"/>
      <c r="K21" s="66" t="str">
        <f>IFNA(VLOOKUP(D21,'EAN Codes'!A:C,2,False),"")</f>
        <v/>
      </c>
      <c r="L21" s="35"/>
      <c r="M21" s="119"/>
      <c r="N21" s="99"/>
      <c r="O21" s="99"/>
      <c r="P21" s="99"/>
      <c r="Q21" s="99"/>
      <c r="R21" s="99"/>
      <c r="S21" s="104"/>
      <c r="T21" s="99"/>
      <c r="U21" s="69" t="b">
        <v>1</v>
      </c>
      <c r="V21" s="99"/>
      <c r="W21" s="101"/>
      <c r="Z21" t="b">
        <v>0</v>
      </c>
    </row>
    <row r="22" hidden="1">
      <c r="A22" s="99">
        <v>571.0</v>
      </c>
      <c r="B22" s="99" t="s">
        <v>241</v>
      </c>
      <c r="C22" s="99" t="s">
        <v>408</v>
      </c>
      <c r="D22" s="99">
        <v>321885.0</v>
      </c>
      <c r="E22" s="99" t="s">
        <v>373</v>
      </c>
      <c r="F22" s="99" t="s">
        <v>652</v>
      </c>
      <c r="G22" s="99" t="s">
        <v>654</v>
      </c>
      <c r="H22" s="99" t="s">
        <v>189</v>
      </c>
      <c r="I22" s="99" t="s">
        <v>551</v>
      </c>
      <c r="J22" s="104"/>
      <c r="K22" s="66" t="str">
        <f>IFNA(VLOOKUP(D22,'EAN Codes'!A:C,2,False),"")</f>
        <v/>
      </c>
      <c r="L22" s="35" t="s">
        <v>269</v>
      </c>
      <c r="M22" s="145"/>
      <c r="N22" s="35"/>
      <c r="O22" s="35"/>
      <c r="P22" s="35"/>
      <c r="Q22" s="35"/>
      <c r="R22" s="35"/>
      <c r="S22" s="146"/>
      <c r="T22" s="35"/>
      <c r="U22" s="69" t="b">
        <v>1</v>
      </c>
      <c r="V22" s="35"/>
      <c r="Y22" s="6" t="s">
        <v>452</v>
      </c>
      <c r="Z22" t="b">
        <v>0</v>
      </c>
    </row>
    <row r="23" hidden="1">
      <c r="A23" s="99">
        <v>928.0</v>
      </c>
      <c r="B23" s="99" t="s">
        <v>241</v>
      </c>
      <c r="C23" s="99" t="s">
        <v>408</v>
      </c>
      <c r="D23" s="99">
        <v>317132.0</v>
      </c>
      <c r="E23" s="99" t="s">
        <v>373</v>
      </c>
      <c r="F23" s="99" t="s">
        <v>679</v>
      </c>
      <c r="G23" s="99" t="s">
        <v>437</v>
      </c>
      <c r="H23" s="99" t="s">
        <v>189</v>
      </c>
      <c r="I23" s="99" t="s">
        <v>680</v>
      </c>
      <c r="J23" s="104"/>
      <c r="K23" s="66" t="str">
        <f>IFNA(VLOOKUP(D23,'EAN Codes'!A:C,2,False),"")</f>
        <v/>
      </c>
      <c r="L23" s="82"/>
      <c r="M23" s="83"/>
      <c r="N23" s="6"/>
      <c r="O23" s="6"/>
      <c r="P23" s="6"/>
      <c r="Q23" s="6"/>
      <c r="R23" s="6"/>
      <c r="S23" s="84"/>
      <c r="T23" s="6"/>
      <c r="U23" s="69" t="b">
        <v>1</v>
      </c>
      <c r="V23" s="6" t="s">
        <v>693</v>
      </c>
      <c r="Z23" t="b">
        <v>0</v>
      </c>
    </row>
    <row r="24" hidden="1">
      <c r="A24" s="99">
        <v>555.0</v>
      </c>
      <c r="B24" s="99" t="s">
        <v>241</v>
      </c>
      <c r="C24" s="99" t="s">
        <v>408</v>
      </c>
      <c r="D24" s="99">
        <v>321865.0</v>
      </c>
      <c r="E24" s="99" t="s">
        <v>346</v>
      </c>
      <c r="F24" s="99" t="s">
        <v>701</v>
      </c>
      <c r="G24" s="99" t="s">
        <v>654</v>
      </c>
      <c r="H24" s="99" t="s">
        <v>189</v>
      </c>
      <c r="I24" s="99" t="s">
        <v>551</v>
      </c>
      <c r="J24" s="104"/>
      <c r="K24" s="66" t="str">
        <f>IFNA(VLOOKUP(D24,'EAN Codes'!A:C,2,False),"")</f>
        <v/>
      </c>
      <c r="L24" s="6"/>
      <c r="M24" s="119"/>
      <c r="N24" s="99"/>
      <c r="O24" s="99"/>
      <c r="P24" s="99"/>
      <c r="Q24" s="99"/>
      <c r="R24" s="99"/>
      <c r="S24" s="104"/>
      <c r="T24" s="99"/>
      <c r="U24" s="85" t="b">
        <v>1</v>
      </c>
      <c r="V24" s="99" t="s">
        <v>710</v>
      </c>
      <c r="Z24" t="b">
        <v>0</v>
      </c>
    </row>
    <row r="25" hidden="1">
      <c r="A25" s="99">
        <v>592.0</v>
      </c>
      <c r="B25" s="99" t="s">
        <v>241</v>
      </c>
      <c r="C25" s="99" t="s">
        <v>408</v>
      </c>
      <c r="D25" s="99">
        <v>321865.0</v>
      </c>
      <c r="E25" s="99" t="s">
        <v>346</v>
      </c>
      <c r="F25" s="99" t="s">
        <v>701</v>
      </c>
      <c r="G25" s="99" t="s">
        <v>712</v>
      </c>
      <c r="H25" s="99" t="s">
        <v>189</v>
      </c>
      <c r="I25" s="99" t="s">
        <v>602</v>
      </c>
      <c r="J25" s="104"/>
      <c r="K25" s="66" t="str">
        <f>IFNA(VLOOKUP(D25,'EAN Codes'!A:C,2,False),"")</f>
        <v/>
      </c>
      <c r="L25" s="35" t="s">
        <v>269</v>
      </c>
      <c r="M25" s="83"/>
      <c r="N25" s="6"/>
      <c r="O25" s="6"/>
      <c r="P25" s="6"/>
      <c r="Q25" s="6"/>
      <c r="R25" s="6"/>
      <c r="S25" s="84"/>
      <c r="T25" s="6"/>
      <c r="U25" s="69" t="b">
        <v>1</v>
      </c>
      <c r="V25" s="6" t="s">
        <v>722</v>
      </c>
      <c r="Y25" s="6" t="s">
        <v>452</v>
      </c>
      <c r="Z25" t="b">
        <v>0</v>
      </c>
    </row>
    <row r="26" hidden="1">
      <c r="B26" s="99" t="s">
        <v>241</v>
      </c>
      <c r="C26" s="99" t="s">
        <v>731</v>
      </c>
      <c r="D26" s="99" t="s">
        <v>732</v>
      </c>
      <c r="E26" s="99" t="s">
        <v>733</v>
      </c>
      <c r="F26" s="99" t="s">
        <v>735</v>
      </c>
      <c r="G26" s="99" t="s">
        <v>437</v>
      </c>
      <c r="H26" s="99" t="s">
        <v>189</v>
      </c>
      <c r="I26" s="99"/>
      <c r="J26" s="104"/>
      <c r="K26" s="66" t="str">
        <f>IFNA(VLOOKUP(D26,'EAN Codes'!A:C,2,False),"")</f>
        <v/>
      </c>
      <c r="L26" s="99"/>
      <c r="M26" s="119"/>
      <c r="N26" s="99"/>
      <c r="O26" s="99"/>
      <c r="P26" s="99"/>
      <c r="Q26" s="99"/>
      <c r="R26" s="99"/>
      <c r="S26" s="104"/>
      <c r="T26" s="99"/>
      <c r="U26" s="113" t="b">
        <v>1</v>
      </c>
      <c r="V26" s="99" t="s">
        <v>743</v>
      </c>
      <c r="Z26" t="b">
        <v>0</v>
      </c>
    </row>
    <row r="27" hidden="1">
      <c r="A27" s="99">
        <v>448.0</v>
      </c>
      <c r="B27" s="99" t="s">
        <v>241</v>
      </c>
      <c r="C27" s="99" t="s">
        <v>408</v>
      </c>
      <c r="D27" s="99">
        <v>305447.0</v>
      </c>
      <c r="E27" s="99" t="s">
        <v>409</v>
      </c>
      <c r="F27" s="99" t="s">
        <v>749</v>
      </c>
      <c r="G27" s="99" t="s">
        <v>751</v>
      </c>
      <c r="H27" s="99" t="s">
        <v>189</v>
      </c>
      <c r="I27" s="99" t="s">
        <v>626</v>
      </c>
      <c r="J27" s="104"/>
      <c r="K27" s="66" t="str">
        <f>IFNA(VLOOKUP(D27,'EAN Codes'!A:C,2,False),"")</f>
        <v/>
      </c>
      <c r="L27" s="152" t="s">
        <v>269</v>
      </c>
      <c r="M27" s="67"/>
      <c r="S27" s="60"/>
      <c r="U27" s="85" t="b">
        <v>1</v>
      </c>
      <c r="Y27" s="6" t="s">
        <v>452</v>
      </c>
      <c r="Z27" t="b">
        <v>0</v>
      </c>
    </row>
    <row r="28" hidden="1">
      <c r="A28" s="86">
        <v>869.0</v>
      </c>
      <c r="B28" s="86" t="s">
        <v>241</v>
      </c>
      <c r="C28" s="86" t="s">
        <v>760</v>
      </c>
      <c r="D28" s="86" t="s">
        <v>761</v>
      </c>
      <c r="E28" s="86" t="s">
        <v>409</v>
      </c>
      <c r="F28" s="86" t="s">
        <v>749</v>
      </c>
      <c r="G28" s="86" t="s">
        <v>762</v>
      </c>
      <c r="H28" s="86" t="s">
        <v>763</v>
      </c>
      <c r="I28" s="91"/>
      <c r="J28" s="97"/>
      <c r="K28" s="66" t="str">
        <f>IFNA(VLOOKUP(D28,'EAN Codes'!A:C,2,False),"")</f>
        <v>5060128530082</v>
      </c>
      <c r="L28" s="91"/>
      <c r="M28" s="92"/>
      <c r="N28" s="86"/>
      <c r="O28" s="86"/>
      <c r="P28" s="86"/>
      <c r="Q28" s="86"/>
      <c r="R28" s="86"/>
      <c r="S28" s="88"/>
      <c r="T28" s="86"/>
      <c r="U28" s="93" t="b">
        <v>1</v>
      </c>
      <c r="V28" s="86" t="s">
        <v>769</v>
      </c>
      <c r="Z28" t="b">
        <v>0</v>
      </c>
    </row>
    <row r="29" hidden="1">
      <c r="A29" s="99">
        <v>458.0</v>
      </c>
      <c r="B29" s="99" t="s">
        <v>241</v>
      </c>
      <c r="C29" s="99" t="s">
        <v>408</v>
      </c>
      <c r="D29" s="99">
        <v>305301.0</v>
      </c>
      <c r="E29" s="99" t="s">
        <v>346</v>
      </c>
      <c r="F29" s="99" t="s">
        <v>774</v>
      </c>
      <c r="G29" s="153">
        <v>43198.0</v>
      </c>
      <c r="H29" s="99" t="s">
        <v>189</v>
      </c>
      <c r="I29" s="99" t="s">
        <v>626</v>
      </c>
      <c r="J29" s="104"/>
      <c r="K29" s="66" t="str">
        <f>IFNA(VLOOKUP(D29,'EAN Codes'!A:C,2,False),"")</f>
        <v/>
      </c>
      <c r="L29" s="35" t="s">
        <v>269</v>
      </c>
      <c r="M29" s="83"/>
      <c r="N29" s="6"/>
      <c r="O29" s="6"/>
      <c r="P29" s="6"/>
      <c r="Q29" s="6"/>
      <c r="R29" s="6"/>
      <c r="S29" s="84"/>
      <c r="T29" s="6"/>
      <c r="U29" s="69" t="b">
        <v>1</v>
      </c>
      <c r="V29" s="6" t="s">
        <v>783</v>
      </c>
      <c r="Y29" s="6" t="s">
        <v>452</v>
      </c>
      <c r="Z29" t="b">
        <v>0</v>
      </c>
    </row>
    <row r="30" hidden="1">
      <c r="A30" s="99">
        <v>527.0</v>
      </c>
      <c r="B30" s="99" t="s">
        <v>241</v>
      </c>
      <c r="C30" s="99" t="s">
        <v>342</v>
      </c>
      <c r="D30" s="99" t="s">
        <v>790</v>
      </c>
      <c r="E30" s="99" t="s">
        <v>346</v>
      </c>
      <c r="F30" s="99" t="s">
        <v>792</v>
      </c>
      <c r="G30" s="99" t="s">
        <v>793</v>
      </c>
      <c r="H30" s="99" t="s">
        <v>189</v>
      </c>
      <c r="I30" s="99" t="s">
        <v>530</v>
      </c>
      <c r="J30" s="104"/>
      <c r="K30" s="66" t="str">
        <f>IFNA(VLOOKUP(D30,'EAN Codes'!A:C,2,False),"")</f>
        <v>5907615800450</v>
      </c>
      <c r="L30" s="99" t="s">
        <v>269</v>
      </c>
      <c r="M30" s="159"/>
      <c r="N30" s="160"/>
      <c r="O30" s="160"/>
      <c r="P30" s="160"/>
      <c r="Q30" s="160"/>
      <c r="R30" s="160"/>
      <c r="S30" s="161"/>
      <c r="T30" s="160"/>
      <c r="U30" s="113" t="b">
        <v>1</v>
      </c>
      <c r="V30" s="160" t="s">
        <v>815</v>
      </c>
      <c r="Y30" s="6" t="s">
        <v>452</v>
      </c>
      <c r="Z30" t="b">
        <v>0</v>
      </c>
    </row>
    <row r="31" hidden="1">
      <c r="A31" s="99">
        <v>389.0</v>
      </c>
      <c r="B31" s="6" t="s">
        <v>241</v>
      </c>
      <c r="C31" s="122" t="s">
        <v>453</v>
      </c>
      <c r="D31" s="121">
        <v>10024.0</v>
      </c>
      <c r="E31" s="122" t="s">
        <v>454</v>
      </c>
      <c r="F31" s="122" t="s">
        <v>817</v>
      </c>
      <c r="G31" s="122" t="s">
        <v>818</v>
      </c>
      <c r="H31" s="99" t="s">
        <v>189</v>
      </c>
      <c r="I31" s="99" t="s">
        <v>819</v>
      </c>
      <c r="J31" s="104"/>
      <c r="K31" s="66" t="str">
        <f>IFNA(VLOOKUP(D31,'EAN Codes'!A:C,2,False),"")</f>
        <v/>
      </c>
      <c r="L31" s="6"/>
      <c r="M31" s="119"/>
      <c r="N31" s="99"/>
      <c r="O31" s="99"/>
      <c r="P31" s="99"/>
      <c r="Q31" s="99"/>
      <c r="R31" s="99"/>
      <c r="S31" s="104"/>
      <c r="T31" s="99"/>
      <c r="U31" s="85" t="b">
        <v>1</v>
      </c>
      <c r="V31" s="99" t="s">
        <v>828</v>
      </c>
      <c r="Z31" t="b">
        <v>0</v>
      </c>
    </row>
    <row r="32" hidden="1">
      <c r="A32" s="99">
        <v>390.0</v>
      </c>
      <c r="B32" s="6" t="s">
        <v>241</v>
      </c>
      <c r="C32" s="122" t="s">
        <v>453</v>
      </c>
      <c r="D32" s="121">
        <v>10024.0</v>
      </c>
      <c r="E32" s="122" t="s">
        <v>454</v>
      </c>
      <c r="F32" s="122" t="s">
        <v>817</v>
      </c>
      <c r="G32" s="122" t="s">
        <v>818</v>
      </c>
      <c r="H32" s="99" t="s">
        <v>189</v>
      </c>
      <c r="I32" s="99" t="s">
        <v>819</v>
      </c>
      <c r="J32" s="104"/>
      <c r="K32" s="66" t="str">
        <f>IFNA(VLOOKUP(D32,'EAN Codes'!A:C,2,False),"")</f>
        <v/>
      </c>
      <c r="L32" s="6"/>
      <c r="M32" s="119"/>
      <c r="N32" s="99"/>
      <c r="O32" s="99"/>
      <c r="P32" s="99"/>
      <c r="Q32" s="99"/>
      <c r="R32" s="99"/>
      <c r="S32" s="104"/>
      <c r="T32" s="99"/>
      <c r="U32" s="85" t="b">
        <v>1</v>
      </c>
      <c r="V32" s="99" t="s">
        <v>855</v>
      </c>
      <c r="Z32" t="b">
        <v>0</v>
      </c>
    </row>
    <row r="33" hidden="1">
      <c r="A33" s="86">
        <v>412.0</v>
      </c>
      <c r="B33" s="86" t="s">
        <v>241</v>
      </c>
      <c r="C33" s="165" t="s">
        <v>858</v>
      </c>
      <c r="D33" s="166" t="s">
        <v>862</v>
      </c>
      <c r="E33" s="165" t="s">
        <v>864</v>
      </c>
      <c r="F33" s="165" t="s">
        <v>868</v>
      </c>
      <c r="G33" s="165" t="s">
        <v>870</v>
      </c>
      <c r="H33" s="86" t="s">
        <v>189</v>
      </c>
      <c r="I33" s="86" t="s">
        <v>418</v>
      </c>
      <c r="J33" s="88"/>
      <c r="K33" s="66" t="str">
        <f>IFNA(VLOOKUP(D33,'EAN Codes'!A:C,2,False),"")</f>
        <v>5060128530259</v>
      </c>
      <c r="L33" s="86" t="s">
        <v>269</v>
      </c>
      <c r="M33" s="92"/>
      <c r="N33" s="86"/>
      <c r="O33" s="86"/>
      <c r="P33" s="86"/>
      <c r="Q33" s="86"/>
      <c r="R33" s="86"/>
      <c r="S33" s="88"/>
      <c r="T33" s="86"/>
      <c r="U33" s="93" t="b">
        <v>1</v>
      </c>
      <c r="V33" s="86" t="s">
        <v>888</v>
      </c>
      <c r="Y33" s="6" t="s">
        <v>452</v>
      </c>
      <c r="Z33" t="b">
        <v>0</v>
      </c>
    </row>
    <row r="34" hidden="1">
      <c r="A34" s="99">
        <v>554.0</v>
      </c>
      <c r="B34" s="99" t="s">
        <v>241</v>
      </c>
      <c r="C34" s="99" t="s">
        <v>408</v>
      </c>
      <c r="D34" s="99">
        <v>305301.0</v>
      </c>
      <c r="E34" s="99" t="s">
        <v>346</v>
      </c>
      <c r="F34" s="99" t="s">
        <v>899</v>
      </c>
      <c r="G34" s="99" t="s">
        <v>901</v>
      </c>
      <c r="H34" s="99" t="s">
        <v>189</v>
      </c>
      <c r="I34" s="99" t="s">
        <v>551</v>
      </c>
      <c r="J34" s="104"/>
      <c r="K34" s="66" t="str">
        <f>IFNA(VLOOKUP(D34,'EAN Codes'!A:C,2,False),"")</f>
        <v/>
      </c>
      <c r="L34" s="35" t="s">
        <v>269</v>
      </c>
      <c r="M34" s="83"/>
      <c r="N34" s="6"/>
      <c r="O34" s="6"/>
      <c r="P34" s="6"/>
      <c r="Q34" s="6"/>
      <c r="R34" s="6"/>
      <c r="S34" s="84"/>
      <c r="T34" s="6"/>
      <c r="U34" s="69" t="b">
        <v>1</v>
      </c>
      <c r="V34" s="6" t="s">
        <v>922</v>
      </c>
      <c r="Y34" s="6" t="s">
        <v>452</v>
      </c>
      <c r="Z34" t="b">
        <v>0</v>
      </c>
    </row>
    <row r="35" hidden="1">
      <c r="A35" s="99">
        <v>607.0</v>
      </c>
      <c r="B35" s="99" t="s">
        <v>241</v>
      </c>
      <c r="C35" s="99" t="s">
        <v>408</v>
      </c>
      <c r="D35" s="99">
        <v>305445.0</v>
      </c>
      <c r="E35" s="99" t="s">
        <v>373</v>
      </c>
      <c r="F35" s="99" t="s">
        <v>938</v>
      </c>
      <c r="G35" s="99" t="s">
        <v>939</v>
      </c>
      <c r="H35" s="99" t="s">
        <v>189</v>
      </c>
      <c r="I35" s="99" t="s">
        <v>942</v>
      </c>
      <c r="J35" s="104"/>
      <c r="K35" s="66" t="str">
        <f>IFNA(VLOOKUP(D35,'EAN Codes'!A:C,2,False),"")</f>
        <v/>
      </c>
      <c r="L35" s="35"/>
      <c r="M35" s="67"/>
      <c r="S35" s="60"/>
      <c r="U35" s="69" t="b">
        <v>1</v>
      </c>
      <c r="Z35" t="b">
        <v>0</v>
      </c>
    </row>
    <row r="36" hidden="1">
      <c r="A36" s="99">
        <v>611.0</v>
      </c>
      <c r="B36" s="99" t="s">
        <v>241</v>
      </c>
      <c r="C36" s="99" t="s">
        <v>408</v>
      </c>
      <c r="D36" s="99">
        <v>305445.0</v>
      </c>
      <c r="E36" s="99" t="s">
        <v>373</v>
      </c>
      <c r="F36" s="99" t="s">
        <v>938</v>
      </c>
      <c r="G36" s="99" t="s">
        <v>939</v>
      </c>
      <c r="H36" s="99" t="s">
        <v>189</v>
      </c>
      <c r="I36" s="99" t="s">
        <v>942</v>
      </c>
      <c r="J36" s="104"/>
      <c r="K36" s="66" t="str">
        <f>IFNA(VLOOKUP(D36,'EAN Codes'!A:C,2,False),"")</f>
        <v/>
      </c>
      <c r="L36" s="35"/>
      <c r="M36" s="67"/>
      <c r="S36" s="60"/>
      <c r="U36" s="69" t="b">
        <v>1</v>
      </c>
      <c r="Z36" s="82" t="b">
        <v>0</v>
      </c>
      <c r="AA36" s="82"/>
      <c r="AB36" s="82"/>
      <c r="AC36" s="82"/>
      <c r="AD36" s="82"/>
      <c r="AE36" s="82"/>
    </row>
    <row r="37" hidden="1">
      <c r="A37" s="99">
        <v>161.0</v>
      </c>
      <c r="B37" s="99"/>
      <c r="C37" s="99" t="s">
        <v>342</v>
      </c>
      <c r="D37" s="99" t="s">
        <v>999</v>
      </c>
      <c r="E37" s="99" t="s">
        <v>346</v>
      </c>
      <c r="F37" s="99" t="s">
        <v>1002</v>
      </c>
      <c r="G37" s="99" t="s">
        <v>1005</v>
      </c>
      <c r="H37" s="99" t="s">
        <v>189</v>
      </c>
      <c r="I37" s="99" t="s">
        <v>1007</v>
      </c>
      <c r="J37" s="104"/>
      <c r="K37" s="66" t="str">
        <f>IFNA(VLOOKUP(D37,'EAN Codes'!A:C,2,False),"")</f>
        <v>5907615800641</v>
      </c>
      <c r="L37" s="35"/>
      <c r="M37" s="67"/>
      <c r="S37" s="60"/>
      <c r="U37" s="69" t="b">
        <v>1</v>
      </c>
      <c r="X37" s="82"/>
      <c r="Y37" s="82"/>
      <c r="Z37" t="b">
        <v>0</v>
      </c>
    </row>
    <row r="38" hidden="1">
      <c r="A38" s="99">
        <v>473.0</v>
      </c>
      <c r="B38" s="99" t="s">
        <v>241</v>
      </c>
      <c r="C38" s="99" t="s">
        <v>408</v>
      </c>
      <c r="D38" s="99">
        <v>305443.0</v>
      </c>
      <c r="E38" s="99" t="s">
        <v>346</v>
      </c>
      <c r="F38" s="99" t="s">
        <v>1030</v>
      </c>
      <c r="G38" s="99" t="s">
        <v>1032</v>
      </c>
      <c r="H38" s="99" t="s">
        <v>189</v>
      </c>
      <c r="I38" s="99" t="s">
        <v>602</v>
      </c>
      <c r="J38" s="104"/>
      <c r="K38" s="66" t="str">
        <f>IFNA(VLOOKUP(D38,'EAN Codes'!A:C,2,False),"")</f>
        <v/>
      </c>
      <c r="L38" s="99" t="s">
        <v>92</v>
      </c>
      <c r="M38" s="67"/>
      <c r="S38" s="60"/>
      <c r="U38" s="113" t="b">
        <v>1</v>
      </c>
      <c r="Z38" t="b">
        <v>0</v>
      </c>
    </row>
    <row r="39" hidden="1">
      <c r="A39" s="91"/>
      <c r="B39" s="86" t="s">
        <v>241</v>
      </c>
      <c r="C39" s="86" t="s">
        <v>760</v>
      </c>
      <c r="D39" s="87" t="s">
        <v>1053</v>
      </c>
      <c r="E39" s="86" t="s">
        <v>373</v>
      </c>
      <c r="F39" s="86" t="s">
        <v>1059</v>
      </c>
      <c r="G39" s="86" t="s">
        <v>1060</v>
      </c>
      <c r="H39" s="86" t="s">
        <v>1062</v>
      </c>
      <c r="I39" s="91"/>
      <c r="J39" s="97"/>
      <c r="K39" s="90" t="str">
        <f>IFNA(VLOOKUP(D39,'EAN Codes'!A:C,2,False),"")</f>
        <v/>
      </c>
      <c r="L39" s="91"/>
      <c r="M39" s="92"/>
      <c r="N39" s="86"/>
      <c r="O39" s="86"/>
      <c r="P39" s="86"/>
      <c r="Q39" s="86"/>
      <c r="R39" s="86"/>
      <c r="S39" s="88"/>
      <c r="T39" s="86"/>
      <c r="U39" s="93" t="b">
        <v>1</v>
      </c>
      <c r="V39" s="86" t="s">
        <v>1076</v>
      </c>
      <c r="W39" s="91"/>
      <c r="X39" s="91"/>
      <c r="Y39" s="91"/>
      <c r="Z39" s="91" t="b">
        <v>0</v>
      </c>
      <c r="AA39" s="91"/>
      <c r="AB39" s="91"/>
      <c r="AC39" s="91"/>
      <c r="AD39" s="91"/>
      <c r="AE39" s="91"/>
    </row>
    <row r="40" hidden="1">
      <c r="A40" s="99">
        <v>99.0</v>
      </c>
      <c r="B40" s="6" t="s">
        <v>241</v>
      </c>
      <c r="C40" s="99" t="s">
        <v>342</v>
      </c>
      <c r="D40" s="99" t="s">
        <v>1091</v>
      </c>
      <c r="E40" s="99" t="s">
        <v>409</v>
      </c>
      <c r="F40" s="99" t="s">
        <v>1096</v>
      </c>
      <c r="G40" s="99" t="s">
        <v>1005</v>
      </c>
      <c r="H40" s="99" t="s">
        <v>512</v>
      </c>
      <c r="I40" s="99" t="s">
        <v>418</v>
      </c>
      <c r="J40" s="104"/>
      <c r="K40" s="66" t="str">
        <f>IFNA(VLOOKUP(D40,'EAN Codes'!A:C,2,False),"")</f>
        <v>5907615800658</v>
      </c>
      <c r="L40" s="160"/>
      <c r="M40" s="92"/>
      <c r="N40" s="86"/>
      <c r="O40" s="86"/>
      <c r="P40" s="86"/>
      <c r="Q40" s="86"/>
      <c r="R40" s="86"/>
      <c r="S40" s="88"/>
      <c r="T40" s="86"/>
      <c r="U40" s="189" t="b">
        <v>1</v>
      </c>
      <c r="V40" s="86"/>
      <c r="W40" s="106"/>
      <c r="Z40" t="b">
        <v>0</v>
      </c>
    </row>
    <row r="41" hidden="1">
      <c r="A41" s="99">
        <v>170.0</v>
      </c>
      <c r="B41" s="99"/>
      <c r="C41" s="99" t="s">
        <v>342</v>
      </c>
      <c r="D41" s="99" t="s">
        <v>999</v>
      </c>
      <c r="E41" s="99" t="s">
        <v>346</v>
      </c>
      <c r="F41" s="99" t="s">
        <v>1096</v>
      </c>
      <c r="G41" s="99" t="s">
        <v>1132</v>
      </c>
      <c r="H41" s="99" t="s">
        <v>189</v>
      </c>
      <c r="I41" s="99" t="s">
        <v>1007</v>
      </c>
      <c r="J41" s="104"/>
      <c r="K41" s="66" t="str">
        <f>IFNA(VLOOKUP(D41,'EAN Codes'!A:C,2,False),"")</f>
        <v>5907615800641</v>
      </c>
      <c r="L41" s="35"/>
      <c r="M41" s="67"/>
      <c r="S41" s="60"/>
      <c r="U41" s="69" t="b">
        <v>1</v>
      </c>
      <c r="Z41" t="b">
        <v>0</v>
      </c>
    </row>
    <row r="42" hidden="1">
      <c r="A42" s="6"/>
      <c r="B42" s="99" t="s">
        <v>493</v>
      </c>
      <c r="C42" s="99" t="s">
        <v>494</v>
      </c>
      <c r="D42" s="99" t="s">
        <v>1156</v>
      </c>
      <c r="E42" s="99"/>
      <c r="F42" s="99" t="s">
        <v>1161</v>
      </c>
      <c r="G42" s="99" t="s">
        <v>1162</v>
      </c>
      <c r="H42" s="99" t="s">
        <v>189</v>
      </c>
      <c r="I42" s="99" t="s">
        <v>551</v>
      </c>
      <c r="J42" s="104"/>
      <c r="K42" s="66" t="str">
        <f>IFNA(VLOOKUP(D42,'EAN Codes'!A:C,2,False),"")</f>
        <v/>
      </c>
      <c r="L42" s="82"/>
      <c r="M42" s="67"/>
      <c r="S42" s="60"/>
      <c r="U42" s="69" t="b">
        <v>1</v>
      </c>
      <c r="Z42" t="b">
        <v>0</v>
      </c>
    </row>
    <row r="43" hidden="1">
      <c r="A43" s="6">
        <v>1014.0</v>
      </c>
      <c r="B43" s="6" t="s">
        <v>241</v>
      </c>
      <c r="C43" s="6" t="s">
        <v>342</v>
      </c>
      <c r="D43" s="127" t="s">
        <v>999</v>
      </c>
      <c r="E43" s="6" t="s">
        <v>346</v>
      </c>
      <c r="F43" s="6" t="s">
        <v>1189</v>
      </c>
      <c r="G43" s="6" t="s">
        <v>1192</v>
      </c>
      <c r="H43" s="6" t="s">
        <v>189</v>
      </c>
      <c r="I43" s="6" t="s">
        <v>819</v>
      </c>
      <c r="J43" s="84"/>
      <c r="K43" s="66" t="str">
        <f>IFNA(VLOOKUP(D43,'EAN Codes'!A:C,2,False),"")</f>
        <v>5907615800641</v>
      </c>
      <c r="L43" s="82"/>
      <c r="M43" s="83"/>
      <c r="N43" s="6"/>
      <c r="O43" s="6"/>
      <c r="P43" s="6"/>
      <c r="Q43" s="6"/>
      <c r="R43" s="6"/>
      <c r="S43" s="84"/>
      <c r="T43" s="6"/>
      <c r="U43" s="69" t="b">
        <v>1</v>
      </c>
      <c r="V43" s="6" t="s">
        <v>1208</v>
      </c>
      <c r="Z43" t="b">
        <v>0</v>
      </c>
    </row>
    <row r="44" hidden="1">
      <c r="A44" s="86">
        <v>1007.0</v>
      </c>
      <c r="B44" s="86" t="s">
        <v>241</v>
      </c>
      <c r="C44" s="86" t="s">
        <v>1217</v>
      </c>
      <c r="D44" s="87" t="s">
        <v>1219</v>
      </c>
      <c r="E44" s="86" t="s">
        <v>346</v>
      </c>
      <c r="F44" s="86" t="s">
        <v>1224</v>
      </c>
      <c r="G44" s="86" t="s">
        <v>1226</v>
      </c>
      <c r="H44" s="86" t="s">
        <v>255</v>
      </c>
      <c r="I44" s="91"/>
      <c r="J44" s="97"/>
      <c r="K44" s="66" t="str">
        <f>IFNA(VLOOKUP(D44,'EAN Codes'!A:C,2,False),"")</f>
        <v>01145</v>
      </c>
      <c r="L44" s="91"/>
      <c r="M44" s="92"/>
      <c r="N44" s="86"/>
      <c r="O44" s="86"/>
      <c r="P44" s="86"/>
      <c r="Q44" s="86"/>
      <c r="R44" s="86"/>
      <c r="S44" s="88"/>
      <c r="T44" s="86"/>
      <c r="U44" s="93" t="b">
        <v>1</v>
      </c>
      <c r="V44" s="86" t="s">
        <v>1248</v>
      </c>
      <c r="Z44" t="b">
        <v>0</v>
      </c>
    </row>
    <row r="45" hidden="1">
      <c r="A45" s="99">
        <v>950.0</v>
      </c>
      <c r="B45" s="99" t="s">
        <v>241</v>
      </c>
      <c r="C45" s="99" t="s">
        <v>1250</v>
      </c>
      <c r="D45" s="99" t="s">
        <v>1253</v>
      </c>
      <c r="E45" s="99" t="s">
        <v>409</v>
      </c>
      <c r="F45" s="99" t="s">
        <v>1260</v>
      </c>
      <c r="G45" s="99" t="s">
        <v>1162</v>
      </c>
      <c r="H45" s="99" t="s">
        <v>189</v>
      </c>
      <c r="I45" s="99" t="s">
        <v>418</v>
      </c>
      <c r="J45" s="104"/>
      <c r="K45" s="66" t="str">
        <f>IFNA(VLOOKUP(D45,'EAN Codes'!A:C,2,False),"")</f>
        <v>8058772226670</v>
      </c>
      <c r="L45" s="101"/>
      <c r="M45" s="119"/>
      <c r="N45" s="99"/>
      <c r="O45" s="99"/>
      <c r="P45" s="99"/>
      <c r="Q45" s="99"/>
      <c r="R45" s="99"/>
      <c r="S45" s="104"/>
      <c r="T45" s="99"/>
      <c r="U45" s="113" t="b">
        <v>1</v>
      </c>
      <c r="V45" s="99" t="s">
        <v>1289</v>
      </c>
      <c r="Z45" t="b">
        <v>0</v>
      </c>
    </row>
    <row r="46" hidden="1">
      <c r="A46" s="99">
        <v>195.0</v>
      </c>
      <c r="B46" s="6" t="s">
        <v>241</v>
      </c>
      <c r="C46" s="99" t="s">
        <v>342</v>
      </c>
      <c r="D46" s="99" t="s">
        <v>1091</v>
      </c>
      <c r="E46" s="99" t="s">
        <v>409</v>
      </c>
      <c r="F46" s="99" t="s">
        <v>1296</v>
      </c>
      <c r="G46" s="99" t="s">
        <v>1005</v>
      </c>
      <c r="H46" s="99" t="s">
        <v>189</v>
      </c>
      <c r="I46" s="99" t="s">
        <v>680</v>
      </c>
      <c r="J46" s="104"/>
      <c r="K46" s="66" t="str">
        <f>IFNA(VLOOKUP(D46,'EAN Codes'!A:C,2,False),"")</f>
        <v>5907615800658</v>
      </c>
      <c r="L46" s="99"/>
      <c r="M46" s="83"/>
      <c r="N46" s="6"/>
      <c r="O46" s="6"/>
      <c r="P46" s="6"/>
      <c r="Q46" s="6"/>
      <c r="R46" s="6"/>
      <c r="S46" s="84"/>
      <c r="T46" s="6"/>
      <c r="U46" s="113" t="b">
        <v>1</v>
      </c>
      <c r="V46" s="6" t="s">
        <v>1314</v>
      </c>
      <c r="Z46" t="b">
        <v>0</v>
      </c>
    </row>
    <row r="47" hidden="1">
      <c r="A47" s="86">
        <v>349.0</v>
      </c>
      <c r="B47" s="99" t="s">
        <v>241</v>
      </c>
      <c r="C47" s="86" t="s">
        <v>342</v>
      </c>
      <c r="D47" s="86" t="s">
        <v>999</v>
      </c>
      <c r="E47" s="86" t="s">
        <v>346</v>
      </c>
      <c r="F47" s="86" t="s">
        <v>1324</v>
      </c>
      <c r="G47" s="86" t="s">
        <v>1325</v>
      </c>
      <c r="H47" s="86" t="s">
        <v>189</v>
      </c>
      <c r="I47" s="86" t="s">
        <v>1328</v>
      </c>
      <c r="J47" s="88"/>
      <c r="K47" s="66" t="str">
        <f>IFNA(VLOOKUP(D47,'EAN Codes'!A:C,2,False),"")</f>
        <v>5907615800641</v>
      </c>
      <c r="L47" s="86"/>
      <c r="M47" s="92"/>
      <c r="N47" s="86"/>
      <c r="O47" s="86"/>
      <c r="P47" s="86"/>
      <c r="Q47" s="86"/>
      <c r="R47" s="86"/>
      <c r="S47" s="88"/>
      <c r="T47" s="86"/>
      <c r="U47" s="93" t="b">
        <v>1</v>
      </c>
      <c r="V47" s="86" t="s">
        <v>1348</v>
      </c>
      <c r="Z47" t="b">
        <v>0</v>
      </c>
    </row>
    <row r="48" hidden="1">
      <c r="A48" s="99">
        <v>990.0</v>
      </c>
      <c r="B48" s="99" t="s">
        <v>241</v>
      </c>
      <c r="C48" s="99" t="s">
        <v>1250</v>
      </c>
      <c r="D48" s="99" t="s">
        <v>1354</v>
      </c>
      <c r="E48" s="99" t="s">
        <v>373</v>
      </c>
      <c r="F48" s="99" t="s">
        <v>1357</v>
      </c>
      <c r="G48" s="99" t="s">
        <v>1032</v>
      </c>
      <c r="H48" s="99" t="s">
        <v>189</v>
      </c>
      <c r="I48" s="99" t="s">
        <v>626</v>
      </c>
      <c r="J48" s="104"/>
      <c r="K48" s="66" t="str">
        <f>IFNA(VLOOKUP(D48,'EAN Codes'!A:C,2,False),"")</f>
        <v>8058772226687</v>
      </c>
      <c r="L48" s="101"/>
      <c r="M48" s="119"/>
      <c r="N48" s="99"/>
      <c r="O48" s="99"/>
      <c r="P48" s="99"/>
      <c r="Q48" s="99"/>
      <c r="R48" s="99"/>
      <c r="S48" s="104"/>
      <c r="T48" s="99"/>
      <c r="U48" s="113" t="b">
        <v>1</v>
      </c>
      <c r="V48" s="99" t="s">
        <v>1386</v>
      </c>
      <c r="Z48" t="b">
        <v>0</v>
      </c>
    </row>
    <row r="49" hidden="1">
      <c r="A49" s="86">
        <v>850.0</v>
      </c>
      <c r="B49" s="86" t="s">
        <v>241</v>
      </c>
      <c r="C49" s="86" t="s">
        <v>1250</v>
      </c>
      <c r="D49" s="86" t="s">
        <v>1253</v>
      </c>
      <c r="E49" s="86" t="s">
        <v>1390</v>
      </c>
      <c r="F49" s="86" t="s">
        <v>1393</v>
      </c>
      <c r="G49" s="86" t="s">
        <v>1028</v>
      </c>
      <c r="H49" s="86" t="s">
        <v>763</v>
      </c>
      <c r="I49" s="91"/>
      <c r="J49" s="97"/>
      <c r="K49" s="66" t="str">
        <f>IFNA(VLOOKUP(D49,'EAN Codes'!A:C,2,False),"")</f>
        <v>8058772226670</v>
      </c>
      <c r="L49" s="91"/>
      <c r="M49" s="92"/>
      <c r="N49" s="86"/>
      <c r="O49" s="86"/>
      <c r="P49" s="86"/>
      <c r="Q49" s="86"/>
      <c r="R49" s="86"/>
      <c r="S49" s="88"/>
      <c r="T49" s="86"/>
      <c r="U49" s="93" t="b">
        <v>1</v>
      </c>
      <c r="V49" s="86" t="s">
        <v>1419</v>
      </c>
      <c r="Z49" t="b">
        <v>0</v>
      </c>
    </row>
    <row r="50" hidden="1">
      <c r="A50" s="99">
        <v>585.0</v>
      </c>
      <c r="B50" s="99" t="s">
        <v>241</v>
      </c>
      <c r="C50" s="99" t="s">
        <v>408</v>
      </c>
      <c r="D50" s="99">
        <v>305445.0</v>
      </c>
      <c r="E50" s="99" t="s">
        <v>373</v>
      </c>
      <c r="F50" s="99" t="s">
        <v>1426</v>
      </c>
      <c r="G50" s="99" t="s">
        <v>1028</v>
      </c>
      <c r="H50" s="99" t="s">
        <v>189</v>
      </c>
      <c r="I50" s="99" t="s">
        <v>438</v>
      </c>
      <c r="J50" s="104"/>
      <c r="K50" s="66" t="str">
        <f>IFNA(VLOOKUP(D50,'EAN Codes'!A:C,2,False),"")</f>
        <v/>
      </c>
      <c r="L50" s="82"/>
      <c r="M50" s="83"/>
      <c r="N50" s="6"/>
      <c r="O50" s="6"/>
      <c r="P50" s="6"/>
      <c r="Q50" s="6"/>
      <c r="R50" s="6"/>
      <c r="S50" s="84"/>
      <c r="T50" s="6"/>
      <c r="U50" s="69" t="b">
        <v>1</v>
      </c>
      <c r="V50" s="6" t="s">
        <v>1441</v>
      </c>
      <c r="Y50" s="6" t="s">
        <v>452</v>
      </c>
      <c r="Z50" s="82" t="b">
        <v>0</v>
      </c>
      <c r="AA50" s="82"/>
      <c r="AB50" s="82"/>
      <c r="AC50" s="82"/>
      <c r="AD50" s="82"/>
      <c r="AE50" s="82"/>
    </row>
    <row r="51" hidden="1">
      <c r="A51" s="86">
        <v>709.0</v>
      </c>
      <c r="B51" s="86" t="s">
        <v>181</v>
      </c>
      <c r="C51" s="86" t="s">
        <v>950</v>
      </c>
      <c r="D51" s="86">
        <v>736921.0</v>
      </c>
      <c r="E51" s="86" t="s">
        <v>733</v>
      </c>
      <c r="F51" s="86" t="s">
        <v>1453</v>
      </c>
      <c r="G51" s="86" t="s">
        <v>1454</v>
      </c>
      <c r="H51" s="86" t="s">
        <v>189</v>
      </c>
      <c r="J51" s="60"/>
      <c r="K51" s="66" t="str">
        <f>IFNA(VLOOKUP(D51,'EAN Codes'!A:C,2,False),"")</f>
        <v/>
      </c>
      <c r="L51" s="82"/>
      <c r="M51" s="83"/>
      <c r="N51" s="6"/>
      <c r="O51" s="6"/>
      <c r="P51" s="6"/>
      <c r="Q51" s="6"/>
      <c r="R51" s="6"/>
      <c r="S51" s="84"/>
      <c r="T51" s="6"/>
      <c r="U51" s="69" t="b">
        <v>1</v>
      </c>
      <c r="V51" s="6" t="s">
        <v>1473</v>
      </c>
      <c r="Z51" t="b">
        <v>0</v>
      </c>
    </row>
    <row r="52" hidden="1">
      <c r="A52" s="99">
        <v>566.0</v>
      </c>
      <c r="B52" s="99" t="s">
        <v>241</v>
      </c>
      <c r="C52" s="99" t="s">
        <v>408</v>
      </c>
      <c r="D52" s="99">
        <v>305443.0</v>
      </c>
      <c r="E52" s="99" t="s">
        <v>346</v>
      </c>
      <c r="F52" s="99" t="s">
        <v>1483</v>
      </c>
      <c r="G52" s="99" t="s">
        <v>1454</v>
      </c>
      <c r="H52" s="99" t="s">
        <v>189</v>
      </c>
      <c r="I52" s="99" t="s">
        <v>551</v>
      </c>
      <c r="J52" s="104"/>
      <c r="K52" s="66" t="str">
        <f>IFNA(VLOOKUP(D52,'EAN Codes'!A:C,2,False),"")</f>
        <v/>
      </c>
      <c r="L52" s="99" t="s">
        <v>92</v>
      </c>
      <c r="M52" s="119"/>
      <c r="N52" s="99"/>
      <c r="O52" s="99"/>
      <c r="P52" s="99"/>
      <c r="Q52" s="99"/>
      <c r="R52" s="99"/>
      <c r="S52" s="104"/>
      <c r="T52" s="99"/>
      <c r="U52" s="113" t="b">
        <v>1</v>
      </c>
      <c r="V52" s="99" t="s">
        <v>1505</v>
      </c>
      <c r="Z52" t="b">
        <v>0</v>
      </c>
    </row>
    <row r="53" hidden="1">
      <c r="A53" s="99">
        <v>561.0</v>
      </c>
      <c r="B53" s="99" t="s">
        <v>241</v>
      </c>
      <c r="C53" s="99" t="s">
        <v>408</v>
      </c>
      <c r="D53" s="99">
        <v>305443.0</v>
      </c>
      <c r="E53" s="99" t="s">
        <v>346</v>
      </c>
      <c r="F53" s="99" t="s">
        <v>1483</v>
      </c>
      <c r="G53" s="99" t="s">
        <v>1454</v>
      </c>
      <c r="H53" s="99" t="s">
        <v>189</v>
      </c>
      <c r="I53" s="99" t="s">
        <v>551</v>
      </c>
      <c r="J53" s="104"/>
      <c r="K53" s="66" t="str">
        <f>IFNA(VLOOKUP(D53,'EAN Codes'!A:C,2,False),"")</f>
        <v/>
      </c>
      <c r="L53" s="6"/>
      <c r="M53" s="119"/>
      <c r="N53" s="99"/>
      <c r="O53" s="99"/>
      <c r="P53" s="99"/>
      <c r="Q53" s="99"/>
      <c r="R53" s="99"/>
      <c r="S53" s="104"/>
      <c r="T53" s="99"/>
      <c r="U53" s="85" t="b">
        <v>1</v>
      </c>
      <c r="V53" s="99" t="s">
        <v>1518</v>
      </c>
      <c r="Z53" t="b">
        <v>0</v>
      </c>
    </row>
    <row r="54" hidden="1">
      <c r="A54" s="99">
        <v>567.0</v>
      </c>
      <c r="B54" s="99" t="s">
        <v>241</v>
      </c>
      <c r="C54" s="99" t="s">
        <v>408</v>
      </c>
      <c r="D54" s="99">
        <v>305443.0</v>
      </c>
      <c r="E54" s="99" t="s">
        <v>346</v>
      </c>
      <c r="F54" s="99" t="s">
        <v>1483</v>
      </c>
      <c r="G54" s="99" t="s">
        <v>1454</v>
      </c>
      <c r="H54" s="99" t="s">
        <v>189</v>
      </c>
      <c r="I54" s="99" t="s">
        <v>551</v>
      </c>
      <c r="J54" s="104"/>
      <c r="K54" s="66" t="str">
        <f>IFNA(VLOOKUP(D54,'EAN Codes'!A:C,2,False),"")</f>
        <v/>
      </c>
      <c r="L54" s="82"/>
      <c r="M54" s="83"/>
      <c r="N54" s="6"/>
      <c r="O54" s="6"/>
      <c r="P54" s="6"/>
      <c r="Q54" s="6"/>
      <c r="R54" s="6"/>
      <c r="S54" s="84"/>
      <c r="T54" s="6"/>
      <c r="U54" s="69" t="b">
        <v>1</v>
      </c>
      <c r="V54" s="6" t="s">
        <v>1541</v>
      </c>
      <c r="Z54" t="b">
        <v>0</v>
      </c>
    </row>
    <row r="55" hidden="1">
      <c r="A55" s="99">
        <v>114.0</v>
      </c>
      <c r="B55" s="99"/>
      <c r="C55" s="99" t="s">
        <v>408</v>
      </c>
      <c r="D55" s="99">
        <v>305274.0</v>
      </c>
      <c r="E55" s="99" t="s">
        <v>346</v>
      </c>
      <c r="F55" s="99" t="s">
        <v>1558</v>
      </c>
      <c r="G55" s="99" t="s">
        <v>1559</v>
      </c>
      <c r="H55" s="99" t="s">
        <v>512</v>
      </c>
      <c r="I55" s="99" t="s">
        <v>570</v>
      </c>
      <c r="J55" s="104"/>
      <c r="K55" s="66" t="str">
        <f>IFNA(VLOOKUP(D55,'EAN Codes'!A:C,2,False),"")</f>
        <v/>
      </c>
      <c r="L55" s="35"/>
      <c r="M55" s="119"/>
      <c r="N55" s="99"/>
      <c r="O55" s="99"/>
      <c r="P55" s="99"/>
      <c r="Q55" s="99"/>
      <c r="R55" s="99"/>
      <c r="S55" s="104"/>
      <c r="T55" s="99"/>
      <c r="U55" s="69" t="b">
        <v>1</v>
      </c>
      <c r="V55" s="99"/>
      <c r="X55" s="82"/>
      <c r="Y55" s="82"/>
      <c r="Z55" t="b">
        <v>0</v>
      </c>
    </row>
    <row r="56" hidden="1">
      <c r="A56" s="99">
        <v>100.0</v>
      </c>
      <c r="B56" s="99"/>
      <c r="C56" s="99" t="s">
        <v>342</v>
      </c>
      <c r="D56" s="99" t="s">
        <v>1584</v>
      </c>
      <c r="E56" s="99"/>
      <c r="F56" s="99" t="s">
        <v>1586</v>
      </c>
      <c r="G56" s="99" t="s">
        <v>358</v>
      </c>
      <c r="H56" s="99" t="s">
        <v>512</v>
      </c>
      <c r="I56" s="99" t="s">
        <v>1007</v>
      </c>
      <c r="J56" s="104"/>
      <c r="K56" s="66" t="str">
        <f>IFNA(VLOOKUP(D56,'EAN Codes'!A:C,2,False),"")</f>
        <v>5907615800788</v>
      </c>
      <c r="L56" s="35"/>
      <c r="M56" s="119"/>
      <c r="N56" s="99"/>
      <c r="O56" s="99"/>
      <c r="P56" s="99"/>
      <c r="Q56" s="99"/>
      <c r="R56" s="99"/>
      <c r="S56" s="104"/>
      <c r="T56" s="99"/>
      <c r="U56" s="69" t="b">
        <v>1</v>
      </c>
      <c r="V56" s="99"/>
      <c r="W56" s="101"/>
      <c r="Z56" t="b">
        <v>0</v>
      </c>
    </row>
    <row r="57" hidden="1">
      <c r="A57" s="99">
        <v>451.0</v>
      </c>
      <c r="B57" s="99" t="s">
        <v>241</v>
      </c>
      <c r="C57" s="99" t="s">
        <v>408</v>
      </c>
      <c r="D57" s="99">
        <v>305429.0</v>
      </c>
      <c r="E57" s="99" t="s">
        <v>409</v>
      </c>
      <c r="F57" s="99" t="s">
        <v>1558</v>
      </c>
      <c r="G57" s="99" t="s">
        <v>1222</v>
      </c>
      <c r="H57" s="99" t="s">
        <v>189</v>
      </c>
      <c r="I57" s="99" t="s">
        <v>626</v>
      </c>
      <c r="J57" s="104"/>
      <c r="K57" s="66" t="str">
        <f>IFNA(VLOOKUP(D57,'EAN Codes'!A:C,2,False),"")</f>
        <v/>
      </c>
      <c r="L57" s="99" t="s">
        <v>269</v>
      </c>
      <c r="M57" s="83"/>
      <c r="N57" s="6"/>
      <c r="O57" s="6"/>
      <c r="P57" s="6"/>
      <c r="Q57" s="6"/>
      <c r="R57" s="6"/>
      <c r="S57" s="84"/>
      <c r="T57" s="6"/>
      <c r="U57" s="113" t="b">
        <v>1</v>
      </c>
      <c r="V57" s="6" t="s">
        <v>1624</v>
      </c>
      <c r="Y57" s="6" t="s">
        <v>452</v>
      </c>
      <c r="Z57" t="b">
        <v>0</v>
      </c>
    </row>
    <row r="58" hidden="1">
      <c r="A58" s="99">
        <v>449.0</v>
      </c>
      <c r="B58" s="99" t="s">
        <v>241</v>
      </c>
      <c r="C58" s="99" t="s">
        <v>408</v>
      </c>
      <c r="D58" s="99">
        <v>305429.0</v>
      </c>
      <c r="E58" s="99" t="s">
        <v>409</v>
      </c>
      <c r="F58" s="99" t="s">
        <v>1558</v>
      </c>
      <c r="G58" s="99" t="s">
        <v>1222</v>
      </c>
      <c r="H58" s="99" t="s">
        <v>189</v>
      </c>
      <c r="I58" s="99" t="s">
        <v>1634</v>
      </c>
      <c r="J58" s="104"/>
      <c r="K58" s="66" t="str">
        <f>IFNA(VLOOKUP(D58,'EAN Codes'!A:C,2,False),"")</f>
        <v/>
      </c>
      <c r="L58" s="152" t="s">
        <v>269</v>
      </c>
      <c r="M58" s="83"/>
      <c r="N58" s="6"/>
      <c r="O58" s="6"/>
      <c r="P58" s="6"/>
      <c r="Q58" s="6"/>
      <c r="R58" s="6"/>
      <c r="S58" s="84"/>
      <c r="T58" s="6"/>
      <c r="U58" s="85" t="b">
        <v>1</v>
      </c>
      <c r="V58" s="6" t="s">
        <v>1639</v>
      </c>
      <c r="Y58" s="6" t="s">
        <v>452</v>
      </c>
      <c r="Z58" t="b">
        <v>0</v>
      </c>
    </row>
    <row r="59" hidden="1">
      <c r="A59" s="99">
        <v>695.0</v>
      </c>
      <c r="B59" s="99" t="s">
        <v>241</v>
      </c>
      <c r="C59" s="99" t="s">
        <v>342</v>
      </c>
      <c r="D59" s="99" t="s">
        <v>1648</v>
      </c>
      <c r="E59" s="99" t="s">
        <v>409</v>
      </c>
      <c r="F59" s="99" t="s">
        <v>1558</v>
      </c>
      <c r="G59" s="99" t="s">
        <v>1559</v>
      </c>
      <c r="H59" s="99" t="s">
        <v>189</v>
      </c>
      <c r="I59" s="99" t="s">
        <v>418</v>
      </c>
      <c r="J59" s="104"/>
      <c r="K59" s="66" t="str">
        <f>IFNA(VLOOKUP(D59,'EAN Codes'!A:C,2,False),"")</f>
        <v>5907615800801</v>
      </c>
      <c r="L59" s="35" t="s">
        <v>269</v>
      </c>
      <c r="M59" s="83"/>
      <c r="N59" s="6"/>
      <c r="O59" s="6"/>
      <c r="P59" s="6"/>
      <c r="Q59" s="6"/>
      <c r="R59" s="6"/>
      <c r="S59" s="84"/>
      <c r="T59" s="6"/>
      <c r="U59" s="69" t="b">
        <v>1</v>
      </c>
      <c r="V59" s="6" t="s">
        <v>1661</v>
      </c>
      <c r="Y59" s="6" t="s">
        <v>452</v>
      </c>
      <c r="Z59" t="b">
        <v>0</v>
      </c>
    </row>
    <row r="60" hidden="1">
      <c r="A60" s="99">
        <v>453.0</v>
      </c>
      <c r="B60" s="99" t="s">
        <v>241</v>
      </c>
      <c r="C60" s="99" t="s">
        <v>408</v>
      </c>
      <c r="D60" s="99">
        <v>305429.0</v>
      </c>
      <c r="E60" s="99" t="s">
        <v>409</v>
      </c>
      <c r="F60" s="99" t="s">
        <v>1558</v>
      </c>
      <c r="G60" s="99" t="s">
        <v>1222</v>
      </c>
      <c r="H60" s="99" t="s">
        <v>189</v>
      </c>
      <c r="I60" s="99" t="s">
        <v>819</v>
      </c>
      <c r="J60" s="104"/>
      <c r="K60" s="66" t="str">
        <f>IFNA(VLOOKUP(D60,'EAN Codes'!A:C,2,False),"")</f>
        <v/>
      </c>
      <c r="L60" s="99" t="s">
        <v>92</v>
      </c>
      <c r="M60" s="119"/>
      <c r="N60" s="99"/>
      <c r="O60" s="99"/>
      <c r="P60" s="99"/>
      <c r="Q60" s="99"/>
      <c r="R60" s="99"/>
      <c r="S60" s="104"/>
      <c r="T60" s="99"/>
      <c r="U60" s="113" t="b">
        <v>1</v>
      </c>
      <c r="V60" s="99" t="s">
        <v>1674</v>
      </c>
      <c r="Z60" s="82" t="b">
        <v>0</v>
      </c>
      <c r="AA60" s="82"/>
      <c r="AB60" s="82"/>
      <c r="AC60" s="82"/>
      <c r="AD60" s="82"/>
      <c r="AE60" s="82"/>
    </row>
    <row r="61" hidden="1">
      <c r="A61" s="99">
        <v>407.0</v>
      </c>
      <c r="B61" s="99" t="s">
        <v>241</v>
      </c>
      <c r="C61" s="122" t="s">
        <v>858</v>
      </c>
      <c r="D61" s="217" t="s">
        <v>1675</v>
      </c>
      <c r="E61" s="122" t="s">
        <v>454</v>
      </c>
      <c r="F61" s="122" t="s">
        <v>1679</v>
      </c>
      <c r="G61" s="122" t="s">
        <v>1680</v>
      </c>
      <c r="H61" s="99" t="s">
        <v>189</v>
      </c>
      <c r="I61" s="99" t="s">
        <v>570</v>
      </c>
      <c r="J61" s="104"/>
      <c r="K61" s="66" t="str">
        <f>IFNA(VLOOKUP(D61,'EAN Codes'!A:C,2,False),"")</f>
        <v>5060128530068</v>
      </c>
      <c r="L61" s="6"/>
      <c r="M61" s="145"/>
      <c r="N61" s="35"/>
      <c r="O61" s="35"/>
      <c r="P61" s="35"/>
      <c r="Q61" s="35"/>
      <c r="R61" s="35"/>
      <c r="S61" s="146"/>
      <c r="T61" s="35"/>
      <c r="U61" s="85" t="b">
        <v>1</v>
      </c>
      <c r="V61" s="35" t="s">
        <v>1683</v>
      </c>
      <c r="Z61" t="b">
        <v>0</v>
      </c>
    </row>
    <row r="62" hidden="1">
      <c r="A62" s="99">
        <v>413.0</v>
      </c>
      <c r="B62" s="99" t="s">
        <v>241</v>
      </c>
      <c r="C62" s="122" t="s">
        <v>858</v>
      </c>
      <c r="D62" s="219" t="s">
        <v>1690</v>
      </c>
      <c r="E62" s="122" t="s">
        <v>864</v>
      </c>
      <c r="F62" s="99" t="s">
        <v>1696</v>
      </c>
      <c r="G62" s="122" t="s">
        <v>1697</v>
      </c>
      <c r="H62" s="99" t="s">
        <v>189</v>
      </c>
      <c r="I62" s="99" t="s">
        <v>458</v>
      </c>
      <c r="J62" s="104"/>
      <c r="K62" s="66" t="str">
        <f>IFNA(VLOOKUP(D62,'EAN Codes'!A:C,2,False),"")</f>
        <v>5060128530181</v>
      </c>
      <c r="L62" s="99"/>
      <c r="M62" s="83"/>
      <c r="N62" s="6"/>
      <c r="O62" s="6"/>
      <c r="P62" s="6"/>
      <c r="Q62" s="6"/>
      <c r="R62" s="6"/>
      <c r="S62" s="84"/>
      <c r="T62" s="6"/>
      <c r="U62" s="113" t="b">
        <v>1</v>
      </c>
      <c r="V62" s="6" t="s">
        <v>1709</v>
      </c>
      <c r="Z62" t="b">
        <v>0</v>
      </c>
    </row>
    <row r="63" hidden="1">
      <c r="A63" s="6">
        <v>388.0</v>
      </c>
      <c r="B63" s="99" t="s">
        <v>241</v>
      </c>
      <c r="C63" s="122" t="s">
        <v>453</v>
      </c>
      <c r="D63" s="217" t="s">
        <v>1710</v>
      </c>
      <c r="E63" s="122" t="s">
        <v>864</v>
      </c>
      <c r="F63" s="122" t="s">
        <v>1696</v>
      </c>
      <c r="G63" s="122" t="s">
        <v>1697</v>
      </c>
      <c r="H63" s="99" t="s">
        <v>189</v>
      </c>
      <c r="I63" s="99" t="s">
        <v>819</v>
      </c>
      <c r="J63" s="104"/>
      <c r="K63" s="66" t="str">
        <f>IFNA(VLOOKUP(D63,'EAN Codes'!A:C,2,False),"")</f>
        <v/>
      </c>
      <c r="L63" s="99"/>
      <c r="M63" s="83"/>
      <c r="N63" s="6"/>
      <c r="O63" s="6"/>
      <c r="P63" s="6"/>
      <c r="Q63" s="6"/>
      <c r="R63" s="6"/>
      <c r="S63" s="84"/>
      <c r="T63" s="6"/>
      <c r="U63" s="113" t="b">
        <v>1</v>
      </c>
      <c r="V63" s="6" t="s">
        <v>1723</v>
      </c>
      <c r="Z63" t="b">
        <v>0</v>
      </c>
    </row>
    <row r="64" hidden="1">
      <c r="A64" s="99">
        <v>219.0</v>
      </c>
      <c r="B64" s="99"/>
      <c r="C64" s="99" t="s">
        <v>342</v>
      </c>
      <c r="D64" s="99" t="s">
        <v>1724</v>
      </c>
      <c r="E64" s="99" t="s">
        <v>346</v>
      </c>
      <c r="F64" s="99" t="s">
        <v>1725</v>
      </c>
      <c r="G64" s="99" t="s">
        <v>1222</v>
      </c>
      <c r="H64" s="99" t="s">
        <v>1726</v>
      </c>
      <c r="I64" s="99" t="s">
        <v>530</v>
      </c>
      <c r="J64" s="104"/>
      <c r="K64" s="66" t="str">
        <f>IFNA(VLOOKUP(D64,'EAN Codes'!A:C,2,False),"")</f>
        <v>5907615800887</v>
      </c>
      <c r="L64" s="35"/>
      <c r="M64" s="67"/>
      <c r="S64" s="60"/>
      <c r="U64" s="69" t="b">
        <v>1</v>
      </c>
      <c r="Z64" s="101" t="b">
        <v>0</v>
      </c>
      <c r="AA64" s="101"/>
      <c r="AB64" s="101"/>
      <c r="AC64" s="101"/>
      <c r="AD64" s="101"/>
      <c r="AE64" s="101"/>
    </row>
    <row r="65" hidden="1">
      <c r="A65" s="99">
        <v>108.0</v>
      </c>
      <c r="B65" s="99"/>
      <c r="C65" s="99" t="s">
        <v>408</v>
      </c>
      <c r="D65" s="99">
        <v>305429.0</v>
      </c>
      <c r="E65" s="99" t="s">
        <v>409</v>
      </c>
      <c r="F65" s="99" t="s">
        <v>1731</v>
      </c>
      <c r="G65" s="99" t="s">
        <v>1222</v>
      </c>
      <c r="H65" s="99" t="s">
        <v>512</v>
      </c>
      <c r="I65" s="99" t="s">
        <v>530</v>
      </c>
      <c r="J65" s="104"/>
      <c r="K65" s="66" t="str">
        <f>IFNA(VLOOKUP(D65,'EAN Codes'!A:C,2,False),"")</f>
        <v/>
      </c>
      <c r="L65" s="99"/>
      <c r="M65" s="119"/>
      <c r="N65" s="99"/>
      <c r="O65" s="99"/>
      <c r="P65" s="99"/>
      <c r="Q65" s="99"/>
      <c r="R65" s="99"/>
      <c r="S65" s="104"/>
      <c r="T65" s="99"/>
      <c r="U65" s="113" t="b">
        <v>1</v>
      </c>
      <c r="V65" s="99" t="s">
        <v>1738</v>
      </c>
      <c r="X65" s="82"/>
      <c r="Y65" s="82"/>
      <c r="Z65" t="b">
        <v>0</v>
      </c>
    </row>
    <row r="66" hidden="1">
      <c r="A66" s="99">
        <v>569.0</v>
      </c>
      <c r="B66" s="99" t="s">
        <v>241</v>
      </c>
      <c r="C66" s="99" t="s">
        <v>408</v>
      </c>
      <c r="D66" s="99">
        <v>305428.0</v>
      </c>
      <c r="E66" s="99" t="s">
        <v>346</v>
      </c>
      <c r="F66" s="99" t="s">
        <v>1740</v>
      </c>
      <c r="G66" s="99" t="s">
        <v>1222</v>
      </c>
      <c r="H66" s="99" t="s">
        <v>189</v>
      </c>
      <c r="I66" s="99" t="s">
        <v>551</v>
      </c>
      <c r="J66" s="104"/>
      <c r="K66" s="66" t="str">
        <f>IFNA(VLOOKUP(D66,'EAN Codes'!A:C,2,False),"")</f>
        <v/>
      </c>
      <c r="L66" s="35" t="s">
        <v>269</v>
      </c>
      <c r="M66" s="83"/>
      <c r="N66" s="6"/>
      <c r="O66" s="6"/>
      <c r="P66" s="6"/>
      <c r="Q66" s="6"/>
      <c r="R66" s="6"/>
      <c r="S66" s="84"/>
      <c r="T66" s="6"/>
      <c r="U66" s="69" t="b">
        <v>1</v>
      </c>
      <c r="V66" s="6" t="s">
        <v>1744</v>
      </c>
      <c r="Y66" s="6" t="s">
        <v>452</v>
      </c>
      <c r="Z66" t="b">
        <v>0</v>
      </c>
    </row>
    <row r="67" hidden="1">
      <c r="A67" s="99">
        <v>23.0</v>
      </c>
      <c r="B67" s="99" t="s">
        <v>241</v>
      </c>
      <c r="C67" s="99" t="s">
        <v>1217</v>
      </c>
      <c r="D67" s="99" t="s">
        <v>1747</v>
      </c>
      <c r="E67" s="99" t="s">
        <v>373</v>
      </c>
      <c r="F67" s="99" t="s">
        <v>1748</v>
      </c>
      <c r="G67" s="99" t="s">
        <v>1749</v>
      </c>
      <c r="H67" s="99" t="s">
        <v>189</v>
      </c>
      <c r="I67" s="99" t="s">
        <v>585</v>
      </c>
      <c r="J67" s="104"/>
      <c r="K67" s="66" t="str">
        <f>IFNA(VLOOKUP(D67,'EAN Codes'!A:C,2,False),"")</f>
        <v/>
      </c>
      <c r="L67" s="99"/>
      <c r="M67" s="119"/>
      <c r="N67" s="99"/>
      <c r="O67" s="99"/>
      <c r="P67" s="99"/>
      <c r="Q67" s="99"/>
      <c r="R67" s="99"/>
      <c r="S67" s="104"/>
      <c r="T67" s="99"/>
      <c r="U67" s="113" t="b">
        <v>1</v>
      </c>
      <c r="V67" s="99" t="s">
        <v>1753</v>
      </c>
      <c r="W67" s="99" t="s">
        <v>1754</v>
      </c>
      <c r="X67" s="106"/>
      <c r="Z67" t="b">
        <v>0</v>
      </c>
    </row>
    <row r="68" hidden="1">
      <c r="A68" s="99">
        <v>471.0</v>
      </c>
      <c r="B68" s="99" t="s">
        <v>241</v>
      </c>
      <c r="C68" s="99" t="s">
        <v>408</v>
      </c>
      <c r="D68" s="99">
        <v>305428.0</v>
      </c>
      <c r="E68" s="99" t="s">
        <v>346</v>
      </c>
      <c r="F68" s="99" t="s">
        <v>1757</v>
      </c>
      <c r="G68" s="99" t="s">
        <v>1222</v>
      </c>
      <c r="H68" s="99" t="s">
        <v>189</v>
      </c>
      <c r="I68" s="99" t="s">
        <v>602</v>
      </c>
      <c r="J68" s="104"/>
      <c r="K68" s="66" t="str">
        <f>IFNA(VLOOKUP(D68,'EAN Codes'!A:C,2,False),"")</f>
        <v/>
      </c>
      <c r="L68" s="99" t="s">
        <v>269</v>
      </c>
      <c r="M68" s="119"/>
      <c r="N68" s="99"/>
      <c r="O68" s="99"/>
      <c r="P68" s="99"/>
      <c r="Q68" s="99"/>
      <c r="R68" s="99"/>
      <c r="S68" s="104"/>
      <c r="T68" s="99"/>
      <c r="U68" s="113" t="b">
        <v>1</v>
      </c>
      <c r="V68" s="99" t="s">
        <v>1765</v>
      </c>
      <c r="Y68" s="6" t="s">
        <v>452</v>
      </c>
      <c r="Z68" t="b">
        <v>0</v>
      </c>
    </row>
    <row r="69" hidden="1">
      <c r="A69" s="99">
        <v>121.0</v>
      </c>
      <c r="B69" s="99"/>
      <c r="C69" s="99" t="s">
        <v>408</v>
      </c>
      <c r="D69" s="99">
        <v>305428.0</v>
      </c>
      <c r="E69" s="99" t="s">
        <v>346</v>
      </c>
      <c r="F69" s="99" t="s">
        <v>1768</v>
      </c>
      <c r="G69" s="99" t="s">
        <v>1769</v>
      </c>
      <c r="H69" s="99" t="s">
        <v>512</v>
      </c>
      <c r="I69" s="99" t="s">
        <v>680</v>
      </c>
      <c r="J69" s="104"/>
      <c r="K69" s="66" t="str">
        <f>IFNA(VLOOKUP(D69,'EAN Codes'!A:C,2,False),"")</f>
        <v/>
      </c>
      <c r="L69" s="99"/>
      <c r="M69" s="108"/>
      <c r="N69" s="101"/>
      <c r="O69" s="101"/>
      <c r="P69" s="101"/>
      <c r="Q69" s="101"/>
      <c r="R69" s="101"/>
      <c r="S69" s="110"/>
      <c r="T69" s="101"/>
      <c r="U69" s="113" t="b">
        <v>1</v>
      </c>
      <c r="V69" s="101"/>
      <c r="X69" s="101"/>
      <c r="Y69" s="101"/>
      <c r="Z69" t="b">
        <v>0</v>
      </c>
    </row>
    <row r="70" hidden="1">
      <c r="A70" s="99">
        <v>300.0</v>
      </c>
      <c r="B70" s="6" t="s">
        <v>241</v>
      </c>
      <c r="C70" s="99" t="s">
        <v>408</v>
      </c>
      <c r="D70" s="99">
        <v>3.05429600001E11</v>
      </c>
      <c r="E70" s="99" t="s">
        <v>373</v>
      </c>
      <c r="F70" s="99" t="s">
        <v>1773</v>
      </c>
      <c r="G70" s="99" t="s">
        <v>1222</v>
      </c>
      <c r="H70" s="99" t="s">
        <v>189</v>
      </c>
      <c r="I70" s="99" t="s">
        <v>458</v>
      </c>
      <c r="J70" s="104"/>
      <c r="K70" s="66" t="str">
        <f>IFNA(VLOOKUP(D70,'EAN Codes'!A:C,2,False),"")</f>
        <v/>
      </c>
      <c r="L70" s="35"/>
      <c r="M70" s="83"/>
      <c r="N70" s="6"/>
      <c r="O70" s="6"/>
      <c r="P70" s="6"/>
      <c r="Q70" s="6"/>
      <c r="R70" s="6"/>
      <c r="S70" s="84"/>
      <c r="T70" s="6"/>
      <c r="U70" s="69" t="b">
        <v>1</v>
      </c>
      <c r="V70" s="6" t="s">
        <v>1778</v>
      </c>
      <c r="Z70" t="b">
        <v>0</v>
      </c>
    </row>
    <row r="71" hidden="1">
      <c r="A71" s="101"/>
      <c r="B71" s="99"/>
      <c r="C71" s="99" t="s">
        <v>342</v>
      </c>
      <c r="D71" s="99" t="s">
        <v>1724</v>
      </c>
      <c r="E71" s="99" t="s">
        <v>346</v>
      </c>
      <c r="F71" s="99" t="s">
        <v>1783</v>
      </c>
      <c r="G71" s="99" t="s">
        <v>1769</v>
      </c>
      <c r="H71" s="99" t="s">
        <v>512</v>
      </c>
      <c r="I71" s="99" t="s">
        <v>1634</v>
      </c>
      <c r="J71" s="104"/>
      <c r="K71" s="66" t="str">
        <f>IFNA(VLOOKUP(D71,'EAN Codes'!A:C,2,False),"")</f>
        <v>5907615800887</v>
      </c>
      <c r="L71" s="35"/>
      <c r="M71" s="119"/>
      <c r="N71" s="99"/>
      <c r="O71" s="99"/>
      <c r="P71" s="99"/>
      <c r="Q71" s="99"/>
      <c r="R71" s="99"/>
      <c r="S71" s="104"/>
      <c r="T71" s="99"/>
      <c r="U71" s="69" t="b">
        <v>1</v>
      </c>
      <c r="V71" s="99" t="s">
        <v>1786</v>
      </c>
      <c r="Z71" t="b">
        <v>0</v>
      </c>
    </row>
    <row r="72" hidden="1">
      <c r="A72" s="99">
        <v>153.0</v>
      </c>
      <c r="B72" s="99"/>
      <c r="C72" s="99" t="s">
        <v>342</v>
      </c>
      <c r="D72" s="99" t="s">
        <v>1790</v>
      </c>
      <c r="E72" s="99" t="s">
        <v>346</v>
      </c>
      <c r="F72" s="99" t="s">
        <v>1783</v>
      </c>
      <c r="G72" s="99" t="s">
        <v>1791</v>
      </c>
      <c r="H72" s="99" t="s">
        <v>189</v>
      </c>
      <c r="I72" s="99" t="s">
        <v>530</v>
      </c>
      <c r="J72" s="104"/>
      <c r="K72" s="66" t="str">
        <f>IFNA(VLOOKUP(D72,'EAN Codes'!A:C,2,False),"")</f>
        <v>5907615800726</v>
      </c>
      <c r="L72" s="35"/>
      <c r="M72" s="67"/>
      <c r="S72" s="60"/>
      <c r="U72" s="69" t="b">
        <v>1</v>
      </c>
      <c r="Z72" t="b">
        <v>0</v>
      </c>
    </row>
    <row r="73" hidden="1">
      <c r="A73" s="86">
        <v>624.0</v>
      </c>
      <c r="B73" s="86" t="s">
        <v>241</v>
      </c>
      <c r="C73" s="86" t="s">
        <v>408</v>
      </c>
      <c r="D73" s="86">
        <v>305274.0</v>
      </c>
      <c r="E73" s="86" t="s">
        <v>346</v>
      </c>
      <c r="F73" s="86" t="s">
        <v>1783</v>
      </c>
      <c r="G73" s="86" t="s">
        <v>1559</v>
      </c>
      <c r="H73" s="86" t="s">
        <v>189</v>
      </c>
      <c r="I73" s="86" t="s">
        <v>1328</v>
      </c>
      <c r="J73" s="88"/>
      <c r="K73" s="66" t="str">
        <f>IFNA(VLOOKUP(D73,'EAN Codes'!A:C,2,False),"")</f>
        <v/>
      </c>
      <c r="L73" s="160" t="s">
        <v>92</v>
      </c>
      <c r="M73" s="83"/>
      <c r="N73" s="6"/>
      <c r="O73" s="6"/>
      <c r="P73" s="6"/>
      <c r="Q73" s="6"/>
      <c r="R73" s="6"/>
      <c r="S73" s="84"/>
      <c r="T73" s="6"/>
      <c r="U73" s="189" t="b">
        <v>1</v>
      </c>
      <c r="V73" s="6" t="s">
        <v>1801</v>
      </c>
      <c r="Z73" t="b">
        <v>0</v>
      </c>
    </row>
    <row r="74" hidden="1">
      <c r="A74" s="99">
        <v>897.0</v>
      </c>
      <c r="B74" s="99" t="s">
        <v>241</v>
      </c>
      <c r="C74" s="99" t="s">
        <v>760</v>
      </c>
      <c r="D74" s="99" t="s">
        <v>1802</v>
      </c>
      <c r="E74" s="99" t="s">
        <v>346</v>
      </c>
      <c r="F74" s="99" t="s">
        <v>1805</v>
      </c>
      <c r="G74" s="99" t="s">
        <v>1806</v>
      </c>
      <c r="H74" s="99" t="s">
        <v>189</v>
      </c>
      <c r="I74" s="86" t="s">
        <v>483</v>
      </c>
      <c r="J74" s="88"/>
      <c r="K74" s="66" t="str">
        <f>IFNA(VLOOKUP(D74,'EAN Codes'!A:C,2,False),"")</f>
        <v/>
      </c>
      <c r="L74" s="82"/>
      <c r="M74" s="119"/>
      <c r="N74" s="99"/>
      <c r="O74" s="99"/>
      <c r="P74" s="99"/>
      <c r="Q74" s="99"/>
      <c r="R74" s="99"/>
      <c r="S74" s="104"/>
      <c r="T74" s="99"/>
      <c r="U74" s="69" t="b">
        <v>1</v>
      </c>
      <c r="V74" s="99" t="s">
        <v>1812</v>
      </c>
      <c r="Z74" t="b">
        <v>0</v>
      </c>
    </row>
    <row r="75" hidden="1">
      <c r="A75" s="99">
        <v>973.0</v>
      </c>
      <c r="B75" s="99" t="s">
        <v>241</v>
      </c>
      <c r="C75" s="99" t="s">
        <v>1813</v>
      </c>
      <c r="D75" s="99" t="s">
        <v>1815</v>
      </c>
      <c r="E75" s="99" t="s">
        <v>346</v>
      </c>
      <c r="F75" s="99" t="s">
        <v>1818</v>
      </c>
      <c r="G75" s="99" t="s">
        <v>1819</v>
      </c>
      <c r="H75" s="99" t="s">
        <v>189</v>
      </c>
      <c r="I75" s="99" t="s">
        <v>1634</v>
      </c>
      <c r="J75" s="104"/>
      <c r="K75" s="66" t="str">
        <f>IFNA(VLOOKUP(D75,'EAN Codes'!A:C,2,False),"")</f>
        <v/>
      </c>
      <c r="L75" s="82"/>
      <c r="M75" s="67"/>
      <c r="S75" s="60"/>
      <c r="U75" s="69" t="b">
        <v>1</v>
      </c>
      <c r="Z75" t="b">
        <v>0</v>
      </c>
    </row>
    <row r="76" hidden="1">
      <c r="A76" s="86">
        <v>815.0</v>
      </c>
      <c r="B76" s="86" t="s">
        <v>241</v>
      </c>
      <c r="C76" s="86" t="s">
        <v>760</v>
      </c>
      <c r="D76" s="86" t="s">
        <v>1825</v>
      </c>
      <c r="E76" s="99" t="s">
        <v>346</v>
      </c>
      <c r="F76" s="86" t="s">
        <v>1828</v>
      </c>
      <c r="G76" s="86" t="s">
        <v>1222</v>
      </c>
      <c r="H76" s="99" t="s">
        <v>189</v>
      </c>
      <c r="I76" s="86" t="s">
        <v>397</v>
      </c>
      <c r="J76" s="88"/>
      <c r="K76" s="66" t="str">
        <f>IFNA(VLOOKUP(D76,'EAN Codes'!A:C,2,False),"")</f>
        <v>5056150100058</v>
      </c>
      <c r="L76" s="91"/>
      <c r="M76" s="92"/>
      <c r="N76" s="86"/>
      <c r="O76" s="86"/>
      <c r="P76" s="86"/>
      <c r="Q76" s="86"/>
      <c r="R76" s="86"/>
      <c r="S76" s="88"/>
      <c r="T76" s="86"/>
      <c r="U76" s="93" t="b">
        <v>1</v>
      </c>
      <c r="V76" s="86"/>
      <c r="Z76" t="b">
        <v>0</v>
      </c>
    </row>
    <row r="77" hidden="1">
      <c r="A77" s="99">
        <v>870.0</v>
      </c>
      <c r="B77" s="86" t="s">
        <v>241</v>
      </c>
      <c r="C77" s="99" t="s">
        <v>760</v>
      </c>
      <c r="D77" s="99" t="s">
        <v>1836</v>
      </c>
      <c r="E77" s="99" t="s">
        <v>409</v>
      </c>
      <c r="F77" s="99" t="s">
        <v>1839</v>
      </c>
      <c r="G77" s="99" t="s">
        <v>751</v>
      </c>
      <c r="H77" s="99" t="s">
        <v>189</v>
      </c>
      <c r="I77" s="99" t="s">
        <v>626</v>
      </c>
      <c r="J77" s="104"/>
      <c r="K77" s="66" t="str">
        <f>IFNA(VLOOKUP(D77,'EAN Codes'!A:C,2,False),"")</f>
        <v>5056150100126</v>
      </c>
      <c r="L77" s="82"/>
      <c r="M77" s="83"/>
      <c r="N77" s="6"/>
      <c r="O77" s="6"/>
      <c r="P77" s="6"/>
      <c r="Q77" s="6"/>
      <c r="R77" s="6"/>
      <c r="S77" s="84"/>
      <c r="T77" s="6"/>
      <c r="U77" s="69" t="b">
        <v>1</v>
      </c>
      <c r="V77" s="6" t="s">
        <v>1844</v>
      </c>
      <c r="Z77" t="b">
        <v>0</v>
      </c>
    </row>
    <row r="78" hidden="1">
      <c r="A78" s="86">
        <v>912.0</v>
      </c>
      <c r="B78" s="86" t="s">
        <v>241</v>
      </c>
      <c r="C78" s="86" t="s">
        <v>1250</v>
      </c>
      <c r="D78" s="86" t="s">
        <v>1847</v>
      </c>
      <c r="E78" s="86" t="s">
        <v>1390</v>
      </c>
      <c r="F78" s="86" t="s">
        <v>1849</v>
      </c>
      <c r="G78" s="86" t="s">
        <v>1791</v>
      </c>
      <c r="H78" s="86" t="s">
        <v>763</v>
      </c>
      <c r="I78" s="86"/>
      <c r="J78" s="88"/>
      <c r="K78" s="66" t="str">
        <f>IFNA(VLOOKUP(D78,'EAN Codes'!A:C,2,False),"")</f>
        <v/>
      </c>
      <c r="L78" s="86"/>
      <c r="M78" s="92"/>
      <c r="N78" s="86"/>
      <c r="O78" s="86"/>
      <c r="P78" s="86"/>
      <c r="Q78" s="86"/>
      <c r="R78" s="86"/>
      <c r="S78" s="88"/>
      <c r="T78" s="86"/>
      <c r="U78" s="93" t="b">
        <v>1</v>
      </c>
      <c r="V78" s="86" t="s">
        <v>1853</v>
      </c>
      <c r="Z78" t="b">
        <v>0</v>
      </c>
    </row>
    <row r="79" hidden="1">
      <c r="A79" s="187">
        <v>948.0</v>
      </c>
      <c r="B79" s="99" t="s">
        <v>241</v>
      </c>
      <c r="C79" s="99" t="s">
        <v>1250</v>
      </c>
      <c r="D79" s="100" t="s">
        <v>1847</v>
      </c>
      <c r="E79" s="99" t="s">
        <v>409</v>
      </c>
      <c r="F79" s="99" t="s">
        <v>1855</v>
      </c>
      <c r="G79" s="99" t="s">
        <v>1791</v>
      </c>
      <c r="H79" s="99" t="s">
        <v>189</v>
      </c>
      <c r="I79" s="99" t="s">
        <v>418</v>
      </c>
      <c r="J79" s="104"/>
      <c r="K79" s="107" t="str">
        <f>IFNA(VLOOKUP(D79,'EAN Codes'!A:C,2,False),"")</f>
        <v/>
      </c>
      <c r="L79" s="101"/>
      <c r="M79" s="119"/>
      <c r="N79" s="99"/>
      <c r="O79" s="99"/>
      <c r="P79" s="99"/>
      <c r="Q79" s="99"/>
      <c r="R79" s="99"/>
      <c r="S79" s="104"/>
      <c r="T79" s="99"/>
      <c r="U79" s="113" t="b">
        <v>1</v>
      </c>
      <c r="V79" s="99" t="s">
        <v>1858</v>
      </c>
      <c r="Z79" t="b">
        <v>0</v>
      </c>
    </row>
    <row r="80" hidden="1">
      <c r="A80" s="99">
        <v>823.0</v>
      </c>
      <c r="B80" s="99" t="s">
        <v>241</v>
      </c>
      <c r="C80" s="99" t="s">
        <v>342</v>
      </c>
      <c r="D80" s="99" t="s">
        <v>1724</v>
      </c>
      <c r="E80" s="99" t="s">
        <v>346</v>
      </c>
      <c r="F80" s="99" t="s">
        <v>1861</v>
      </c>
      <c r="G80" s="99" t="s">
        <v>1862</v>
      </c>
      <c r="H80" s="99" t="s">
        <v>189</v>
      </c>
      <c r="I80" s="99" t="s">
        <v>1863</v>
      </c>
      <c r="J80" s="104"/>
      <c r="K80" s="66" t="str">
        <f>IFNA(VLOOKUP(D80,'EAN Codes'!A:C,2,False),"")</f>
        <v>5907615800887</v>
      </c>
      <c r="L80" s="101"/>
      <c r="M80" s="119"/>
      <c r="N80" s="99"/>
      <c r="O80" s="99"/>
      <c r="P80" s="99"/>
      <c r="Q80" s="99"/>
      <c r="R80" s="99"/>
      <c r="S80" s="104"/>
      <c r="T80" s="99"/>
      <c r="U80" s="113" t="b">
        <v>1</v>
      </c>
      <c r="V80" s="99" t="s">
        <v>1868</v>
      </c>
      <c r="Z80" t="b">
        <v>0</v>
      </c>
    </row>
    <row r="81" hidden="1">
      <c r="A81" s="99">
        <v>226.0</v>
      </c>
      <c r="B81" s="99"/>
      <c r="C81" s="99" t="s">
        <v>342</v>
      </c>
      <c r="D81" s="99" t="s">
        <v>1873</v>
      </c>
      <c r="E81" s="99" t="s">
        <v>373</v>
      </c>
      <c r="F81" s="99" t="s">
        <v>1874</v>
      </c>
      <c r="G81" s="99" t="s">
        <v>1222</v>
      </c>
      <c r="H81" s="99" t="s">
        <v>1726</v>
      </c>
      <c r="I81" s="99" t="s">
        <v>626</v>
      </c>
      <c r="J81" s="104"/>
      <c r="K81" s="66" t="str">
        <f>IFNA(VLOOKUP(D81,'EAN Codes'!A:C,2,False),"")</f>
        <v>5907615800894</v>
      </c>
      <c r="L81" s="35"/>
      <c r="M81" s="119"/>
      <c r="N81" s="99"/>
      <c r="O81" s="99"/>
      <c r="P81" s="99"/>
      <c r="Q81" s="99"/>
      <c r="R81" s="99"/>
      <c r="S81" s="104"/>
      <c r="T81" s="99"/>
      <c r="U81" s="69" t="b">
        <v>1</v>
      </c>
      <c r="V81" s="99" t="s">
        <v>1880</v>
      </c>
      <c r="Z81" t="b">
        <v>0</v>
      </c>
    </row>
    <row r="82" hidden="1">
      <c r="A82" s="99">
        <v>873.0</v>
      </c>
      <c r="B82" s="99" t="s">
        <v>241</v>
      </c>
      <c r="C82" s="99" t="s">
        <v>408</v>
      </c>
      <c r="D82" s="99">
        <v>3.05429600001E11</v>
      </c>
      <c r="E82" s="99" t="s">
        <v>409</v>
      </c>
      <c r="F82" s="99" t="s">
        <v>1883</v>
      </c>
      <c r="G82" s="99" t="s">
        <v>1222</v>
      </c>
      <c r="H82" s="99" t="s">
        <v>189</v>
      </c>
      <c r="I82" s="99" t="s">
        <v>458</v>
      </c>
      <c r="J82" s="104"/>
      <c r="K82" s="66" t="str">
        <f>IFNA(VLOOKUP(D82,'EAN Codes'!A:C,2,False),"")</f>
        <v/>
      </c>
      <c r="L82" s="99" t="s">
        <v>269</v>
      </c>
      <c r="M82" s="119"/>
      <c r="N82" s="99"/>
      <c r="O82" s="99"/>
      <c r="P82" s="99"/>
      <c r="Q82" s="99"/>
      <c r="R82" s="99"/>
      <c r="S82" s="104"/>
      <c r="T82" s="99"/>
      <c r="U82" s="113" t="b">
        <v>1</v>
      </c>
      <c r="V82" s="99" t="s">
        <v>1887</v>
      </c>
      <c r="Z82" t="b">
        <v>0</v>
      </c>
    </row>
    <row r="83" hidden="1">
      <c r="A83" s="99">
        <v>267.0</v>
      </c>
      <c r="B83" s="6" t="s">
        <v>241</v>
      </c>
      <c r="C83" s="99" t="s">
        <v>760</v>
      </c>
      <c r="D83" s="99" t="s">
        <v>1888</v>
      </c>
      <c r="E83" s="99" t="s">
        <v>409</v>
      </c>
      <c r="F83" s="99" t="s">
        <v>1889</v>
      </c>
      <c r="G83" s="99" t="s">
        <v>437</v>
      </c>
      <c r="H83" s="99" t="s">
        <v>189</v>
      </c>
      <c r="I83" s="99" t="s">
        <v>1007</v>
      </c>
      <c r="J83" s="104"/>
      <c r="K83" s="66" t="str">
        <f>IFNA(VLOOKUP(D83,'EAN Codes'!A:C,2,False),"")</f>
        <v/>
      </c>
      <c r="L83" s="35"/>
      <c r="M83" s="67"/>
      <c r="S83" s="60"/>
      <c r="U83" s="69" t="b">
        <v>1</v>
      </c>
      <c r="Z83" t="b">
        <v>0</v>
      </c>
    </row>
    <row r="84" hidden="1">
      <c r="A84" s="99">
        <v>410.0</v>
      </c>
      <c r="B84" s="99" t="s">
        <v>241</v>
      </c>
      <c r="C84" s="122" t="s">
        <v>858</v>
      </c>
      <c r="D84" s="217" t="s">
        <v>1895</v>
      </c>
      <c r="E84" s="122" t="s">
        <v>864</v>
      </c>
      <c r="F84" s="122" t="s">
        <v>1896</v>
      </c>
      <c r="G84" s="122" t="s">
        <v>1897</v>
      </c>
      <c r="H84" s="99" t="s">
        <v>189</v>
      </c>
      <c r="I84" s="99" t="s">
        <v>1863</v>
      </c>
      <c r="J84" s="104"/>
      <c r="K84" s="66" t="str">
        <f>IFNA(VLOOKUP(D84,'EAN Codes'!A:C,2,False),"")</f>
        <v/>
      </c>
      <c r="L84" s="99" t="s">
        <v>269</v>
      </c>
      <c r="M84" s="119"/>
      <c r="N84" s="99"/>
      <c r="O84" s="99"/>
      <c r="P84" s="99"/>
      <c r="Q84" s="99"/>
      <c r="R84" s="99"/>
      <c r="S84" s="104"/>
      <c r="T84" s="99"/>
      <c r="U84" s="113" t="b">
        <v>1</v>
      </c>
      <c r="V84" s="99" t="s">
        <v>1907</v>
      </c>
      <c r="Z84" t="b">
        <v>0</v>
      </c>
    </row>
    <row r="85" hidden="1">
      <c r="A85" s="99">
        <v>406.0</v>
      </c>
      <c r="B85" s="99" t="s">
        <v>241</v>
      </c>
      <c r="C85" s="122" t="s">
        <v>858</v>
      </c>
      <c r="D85" s="217" t="s">
        <v>1909</v>
      </c>
      <c r="E85" s="122" t="s">
        <v>864</v>
      </c>
      <c r="F85" s="122" t="s">
        <v>1910</v>
      </c>
      <c r="G85" s="122" t="s">
        <v>818</v>
      </c>
      <c r="H85" s="99" t="s">
        <v>189</v>
      </c>
      <c r="I85" s="99" t="s">
        <v>1863</v>
      </c>
      <c r="J85" s="104"/>
      <c r="K85" s="66" t="str">
        <f>IFNA(VLOOKUP(D85,'EAN Codes'!A:C,2,False),"")</f>
        <v/>
      </c>
      <c r="L85" s="99"/>
      <c r="M85" s="119"/>
      <c r="N85" s="99"/>
      <c r="O85" s="99"/>
      <c r="P85" s="99"/>
      <c r="Q85" s="99"/>
      <c r="R85" s="99"/>
      <c r="S85" s="104"/>
      <c r="T85" s="99"/>
      <c r="U85" s="113" t="b">
        <v>1</v>
      </c>
      <c r="V85" s="99" t="s">
        <v>1915</v>
      </c>
      <c r="Z85" t="b">
        <v>0</v>
      </c>
    </row>
    <row r="86" hidden="1">
      <c r="A86" s="99"/>
      <c r="B86" s="99" t="s">
        <v>181</v>
      </c>
      <c r="C86" s="120" t="s">
        <v>950</v>
      </c>
      <c r="D86" s="120">
        <v>748688.0</v>
      </c>
      <c r="E86" s="120" t="s">
        <v>1110</v>
      </c>
      <c r="F86" s="122" t="s">
        <v>1910</v>
      </c>
      <c r="G86" s="122" t="s">
        <v>818</v>
      </c>
      <c r="H86" s="99" t="s">
        <v>189</v>
      </c>
      <c r="I86" s="99" t="s">
        <v>1917</v>
      </c>
      <c r="J86" s="104"/>
      <c r="K86" s="66" t="str">
        <f>IFNA(VLOOKUP(D86,'EAN Codes'!A:C,2,False),"")</f>
        <v/>
      </c>
      <c r="L86" s="99"/>
      <c r="M86" s="119"/>
      <c r="N86" s="99"/>
      <c r="O86" s="99"/>
      <c r="P86" s="99"/>
      <c r="Q86" s="99"/>
      <c r="R86" s="99"/>
      <c r="S86" s="104"/>
      <c r="T86" s="99"/>
      <c r="U86" s="113" t="b">
        <v>1</v>
      </c>
      <c r="V86" s="99"/>
      <c r="Z86" t="b">
        <v>0</v>
      </c>
    </row>
    <row r="87" hidden="1">
      <c r="A87" s="99">
        <v>886.0</v>
      </c>
      <c r="B87" s="99" t="s">
        <v>241</v>
      </c>
      <c r="C87" s="99" t="s">
        <v>342</v>
      </c>
      <c r="D87" s="99" t="s">
        <v>1920</v>
      </c>
      <c r="E87" s="99" t="s">
        <v>409</v>
      </c>
      <c r="F87" s="99" t="s">
        <v>1921</v>
      </c>
      <c r="G87" s="120" t="s">
        <v>1922</v>
      </c>
      <c r="H87" s="99" t="s">
        <v>189</v>
      </c>
      <c r="I87" s="99" t="s">
        <v>819</v>
      </c>
      <c r="J87" s="104"/>
      <c r="K87" s="66" t="str">
        <f>IFNA(VLOOKUP(D87,'EAN Codes'!A:C,2,False),"")</f>
        <v>5907615800405</v>
      </c>
      <c r="L87" s="101"/>
      <c r="M87" s="119"/>
      <c r="N87" s="99"/>
      <c r="O87" s="99"/>
      <c r="P87" s="99"/>
      <c r="Q87" s="99"/>
      <c r="R87" s="99"/>
      <c r="S87" s="104"/>
      <c r="T87" s="99"/>
      <c r="U87" s="113" t="b">
        <v>1</v>
      </c>
      <c r="V87" s="99" t="s">
        <v>1928</v>
      </c>
      <c r="Z87" t="b">
        <v>0</v>
      </c>
    </row>
    <row r="88" hidden="1">
      <c r="A88" s="221">
        <v>901.0</v>
      </c>
      <c r="B88" s="122" t="s">
        <v>241</v>
      </c>
      <c r="C88" s="122" t="s">
        <v>342</v>
      </c>
      <c r="D88" s="222" t="s">
        <v>1920</v>
      </c>
      <c r="E88" s="122" t="s">
        <v>409</v>
      </c>
      <c r="F88" s="122" t="s">
        <v>1921</v>
      </c>
      <c r="G88" s="120" t="s">
        <v>1922</v>
      </c>
      <c r="H88" s="122" t="s">
        <v>189</v>
      </c>
      <c r="I88" s="120" t="s">
        <v>819</v>
      </c>
      <c r="J88" s="223"/>
      <c r="K88" s="66" t="str">
        <f>IFNA(VLOOKUP(D88,'EAN Codes'!A:C,2,False),"")</f>
        <v>5907615800405</v>
      </c>
      <c r="L88" s="122"/>
      <c r="M88" s="224"/>
      <c r="N88" s="120"/>
      <c r="O88" s="120"/>
      <c r="P88" s="120"/>
      <c r="Q88" s="120"/>
      <c r="R88" s="120"/>
      <c r="S88" s="223"/>
      <c r="T88" s="120"/>
      <c r="U88" s="225" t="b">
        <v>1</v>
      </c>
      <c r="V88" s="120" t="s">
        <v>1940</v>
      </c>
      <c r="W88" s="122"/>
      <c r="X88" s="122"/>
      <c r="Y88" s="122"/>
      <c r="Z88" t="b">
        <v>0</v>
      </c>
    </row>
    <row r="89" hidden="1">
      <c r="A89" s="99">
        <v>1005.0</v>
      </c>
      <c r="B89" s="99" t="s">
        <v>241</v>
      </c>
      <c r="C89" s="99" t="s">
        <v>342</v>
      </c>
      <c r="D89" s="100" t="s">
        <v>1942</v>
      </c>
      <c r="E89" s="99" t="s">
        <v>346</v>
      </c>
      <c r="F89" s="99" t="s">
        <v>1921</v>
      </c>
      <c r="G89" s="99" t="s">
        <v>1922</v>
      </c>
      <c r="H89" s="99" t="s">
        <v>189</v>
      </c>
      <c r="I89" s="99" t="s">
        <v>1634</v>
      </c>
      <c r="J89" s="104"/>
      <c r="K89" s="66" t="str">
        <f>IFNA(VLOOKUP(D89,'EAN Codes'!A:C,2,False),"")</f>
        <v>5907615800849</v>
      </c>
      <c r="L89" s="101"/>
      <c r="M89" s="119"/>
      <c r="N89" s="99"/>
      <c r="O89" s="99"/>
      <c r="P89" s="99"/>
      <c r="Q89" s="99"/>
      <c r="R89" s="99"/>
      <c r="S89" s="104"/>
      <c r="T89" s="99"/>
      <c r="U89" s="113" t="b">
        <v>1</v>
      </c>
      <c r="V89" s="99" t="s">
        <v>1948</v>
      </c>
      <c r="Z89" t="b">
        <v>0</v>
      </c>
    </row>
    <row r="90" hidden="1">
      <c r="A90" s="86">
        <v>707.0</v>
      </c>
      <c r="B90" s="86" t="s">
        <v>241</v>
      </c>
      <c r="C90" s="86" t="s">
        <v>342</v>
      </c>
      <c r="D90" s="86" t="s">
        <v>1949</v>
      </c>
      <c r="E90" s="91"/>
      <c r="F90" s="86" t="s">
        <v>1950</v>
      </c>
      <c r="G90" s="86" t="s">
        <v>1226</v>
      </c>
      <c r="H90" s="86" t="s">
        <v>101</v>
      </c>
      <c r="I90" s="91"/>
      <c r="J90" s="97"/>
      <c r="K90" s="66" t="str">
        <f>IFNA(VLOOKUP(D90,'EAN Codes'!A:C,2,False),"")</f>
        <v/>
      </c>
      <c r="L90" s="86" t="s">
        <v>92</v>
      </c>
      <c r="M90" s="92"/>
      <c r="N90" s="86"/>
      <c r="O90" s="86"/>
      <c r="P90" s="86"/>
      <c r="Q90" s="86"/>
      <c r="R90" s="86"/>
      <c r="S90" s="88"/>
      <c r="T90" s="86"/>
      <c r="U90" s="93" t="b">
        <v>1</v>
      </c>
      <c r="V90" s="86" t="s">
        <v>1956</v>
      </c>
      <c r="W90" s="91"/>
      <c r="X90" s="91"/>
      <c r="Y90" s="91"/>
      <c r="Z90" t="b">
        <v>0</v>
      </c>
    </row>
    <row r="91" hidden="1">
      <c r="A91" s="6">
        <v>438.0</v>
      </c>
      <c r="B91" s="6" t="s">
        <v>493</v>
      </c>
      <c r="C91" s="6" t="s">
        <v>494</v>
      </c>
      <c r="D91" s="226"/>
      <c r="E91" s="6" t="s">
        <v>1960</v>
      </c>
      <c r="F91" s="6" t="s">
        <v>1961</v>
      </c>
      <c r="G91" s="6">
        <v>2007.0</v>
      </c>
      <c r="H91" s="6" t="s">
        <v>189</v>
      </c>
      <c r="I91" s="6" t="s">
        <v>498</v>
      </c>
      <c r="J91" s="84"/>
      <c r="K91" s="66" t="str">
        <f>IFNA(VLOOKUP(D91,'EAN Codes'!A:C,2,False),"")</f>
        <v/>
      </c>
      <c r="L91" s="35"/>
      <c r="M91" s="83"/>
      <c r="N91" s="6"/>
      <c r="O91" s="6"/>
      <c r="P91" s="6"/>
      <c r="Q91" s="6"/>
      <c r="R91" s="6"/>
      <c r="S91" s="84"/>
      <c r="T91" s="6"/>
      <c r="U91" s="69" t="b">
        <v>1</v>
      </c>
      <c r="V91" s="6" t="s">
        <v>1965</v>
      </c>
      <c r="Z91" t="b">
        <v>0</v>
      </c>
    </row>
    <row r="92" hidden="1">
      <c r="A92" s="99">
        <v>48.0</v>
      </c>
      <c r="B92" s="86"/>
      <c r="C92" s="86" t="s">
        <v>1966</v>
      </c>
      <c r="D92" s="99" t="s">
        <v>1967</v>
      </c>
      <c r="E92" s="99" t="s">
        <v>527</v>
      </c>
      <c r="F92" s="99" t="s">
        <v>1968</v>
      </c>
      <c r="G92" s="99" t="s">
        <v>987</v>
      </c>
      <c r="H92" s="99" t="s">
        <v>512</v>
      </c>
      <c r="I92" s="99" t="s">
        <v>1971</v>
      </c>
      <c r="J92" s="104"/>
      <c r="K92" s="66" t="str">
        <f>IFNA(VLOOKUP(D92,'EAN Codes'!A:C,2,False),"")</f>
        <v/>
      </c>
      <c r="L92" s="35"/>
      <c r="M92" s="67"/>
      <c r="S92" s="60"/>
      <c r="U92" s="69" t="b">
        <v>1</v>
      </c>
      <c r="X92" s="115"/>
      <c r="Y92" s="115"/>
      <c r="Z92" t="b">
        <v>0</v>
      </c>
    </row>
    <row r="93" hidden="1">
      <c r="A93" s="99">
        <v>601.0</v>
      </c>
      <c r="B93" s="99" t="s">
        <v>241</v>
      </c>
      <c r="C93" s="99" t="s">
        <v>408</v>
      </c>
      <c r="D93" s="99">
        <v>317131.0</v>
      </c>
      <c r="E93" s="99" t="s">
        <v>346</v>
      </c>
      <c r="F93" s="99" t="s">
        <v>1977</v>
      </c>
      <c r="G93" s="99" t="s">
        <v>437</v>
      </c>
      <c r="H93" s="99" t="s">
        <v>189</v>
      </c>
      <c r="I93" s="99" t="s">
        <v>438</v>
      </c>
      <c r="J93" s="104"/>
      <c r="K93" s="66" t="str">
        <f>IFNA(VLOOKUP(D93,'EAN Codes'!A:C,2,False),"")</f>
        <v/>
      </c>
      <c r="L93" s="35"/>
      <c r="M93" s="83"/>
      <c r="N93" s="6"/>
      <c r="O93" s="6"/>
      <c r="P93" s="6"/>
      <c r="Q93" s="6"/>
      <c r="R93" s="6"/>
      <c r="S93" s="84"/>
      <c r="T93" s="6"/>
      <c r="U93" s="69" t="b">
        <v>1</v>
      </c>
      <c r="V93" s="6" t="s">
        <v>1985</v>
      </c>
      <c r="Z93" s="101" t="b">
        <v>0</v>
      </c>
      <c r="AA93" s="101"/>
      <c r="AB93" s="101"/>
      <c r="AC93" s="101"/>
      <c r="AD93" s="101"/>
      <c r="AE93" s="101"/>
    </row>
    <row r="94" hidden="1">
      <c r="A94" s="99">
        <v>573.0</v>
      </c>
      <c r="B94" s="99" t="s">
        <v>241</v>
      </c>
      <c r="C94" s="99" t="s">
        <v>408</v>
      </c>
      <c r="D94" s="99">
        <v>317131.0</v>
      </c>
      <c r="E94" s="99" t="s">
        <v>346</v>
      </c>
      <c r="F94" s="99" t="s">
        <v>1977</v>
      </c>
      <c r="G94" s="99" t="s">
        <v>437</v>
      </c>
      <c r="H94" s="99" t="s">
        <v>189</v>
      </c>
      <c r="I94" s="99" t="s">
        <v>551</v>
      </c>
      <c r="J94" s="104"/>
      <c r="K94" s="66" t="str">
        <f>IFNA(VLOOKUP(D94,'EAN Codes'!A:C,2,False),"")</f>
        <v/>
      </c>
      <c r="L94" s="35"/>
      <c r="M94" s="67"/>
      <c r="S94" s="60"/>
      <c r="U94" s="69" t="b">
        <v>1</v>
      </c>
      <c r="Z94" t="b">
        <v>0</v>
      </c>
    </row>
    <row r="95" hidden="1">
      <c r="A95" s="99">
        <v>712.0</v>
      </c>
      <c r="B95" s="99" t="s">
        <v>391</v>
      </c>
      <c r="C95" s="99" t="s">
        <v>392</v>
      </c>
      <c r="D95" s="99">
        <v>471280.0</v>
      </c>
      <c r="E95" s="99" t="s">
        <v>1988</v>
      </c>
      <c r="F95" s="99" t="s">
        <v>1990</v>
      </c>
      <c r="G95" s="101"/>
      <c r="H95" s="99" t="s">
        <v>189</v>
      </c>
      <c r="I95" s="99" t="s">
        <v>397</v>
      </c>
      <c r="J95" s="104"/>
      <c r="K95" s="66" t="str">
        <f>IFNA(VLOOKUP(D95,'EAN Codes'!A:C,2,False),"")</f>
        <v/>
      </c>
      <c r="L95" s="101"/>
      <c r="M95" s="119"/>
      <c r="N95" s="99"/>
      <c r="O95" s="99"/>
      <c r="P95" s="99"/>
      <c r="Q95" s="99"/>
      <c r="R95" s="99"/>
      <c r="S95" s="104"/>
      <c r="T95" s="99"/>
      <c r="U95" s="113" t="b">
        <v>1</v>
      </c>
      <c r="V95" s="99" t="s">
        <v>1995</v>
      </c>
      <c r="Z95" t="b">
        <v>0</v>
      </c>
    </row>
    <row r="96" hidden="1">
      <c r="A96" s="99">
        <v>986.0</v>
      </c>
      <c r="B96" s="99" t="s">
        <v>241</v>
      </c>
      <c r="C96" s="99" t="s">
        <v>760</v>
      </c>
      <c r="D96" s="99" t="s">
        <v>1998</v>
      </c>
      <c r="E96" s="99" t="s">
        <v>373</v>
      </c>
      <c r="F96" s="99" t="s">
        <v>1347</v>
      </c>
      <c r="G96" s="101"/>
      <c r="H96" s="99" t="s">
        <v>189</v>
      </c>
      <c r="I96" s="99" t="s">
        <v>570</v>
      </c>
      <c r="J96" s="104"/>
      <c r="K96" s="66" t="str">
        <f>IFNA(VLOOKUP(D96,'EAN Codes'!A:C,2,False),"")</f>
        <v>5060128530792</v>
      </c>
      <c r="L96" s="101"/>
      <c r="M96" s="119"/>
      <c r="N96" s="99"/>
      <c r="O96" s="99"/>
      <c r="P96" s="99"/>
      <c r="Q96" s="99"/>
      <c r="R96" s="99"/>
      <c r="S96" s="104"/>
      <c r="T96" s="99"/>
      <c r="U96" s="113" t="b">
        <v>1</v>
      </c>
      <c r="V96" s="99" t="s">
        <v>2004</v>
      </c>
      <c r="Z96" t="b">
        <v>0</v>
      </c>
    </row>
    <row r="97" hidden="1">
      <c r="A97" s="99"/>
      <c r="B97" s="99"/>
      <c r="C97" s="99" t="s">
        <v>342</v>
      </c>
      <c r="D97" s="99" t="s">
        <v>2006</v>
      </c>
      <c r="E97" s="99" t="s">
        <v>346</v>
      </c>
      <c r="F97" s="99" t="s">
        <v>2008</v>
      </c>
      <c r="G97" s="99" t="s">
        <v>2009</v>
      </c>
      <c r="H97" s="99" t="s">
        <v>189</v>
      </c>
      <c r="I97" s="99" t="s">
        <v>1328</v>
      </c>
      <c r="J97" s="104"/>
      <c r="K97" s="66" t="str">
        <f>IFNA(VLOOKUP(D97,'EAN Codes'!A:C,2,False),"")</f>
        <v>5907615801198</v>
      </c>
      <c r="L97" s="35"/>
      <c r="M97" s="83"/>
      <c r="N97" s="6"/>
      <c r="O97" s="6"/>
      <c r="P97" s="6"/>
      <c r="Q97" s="6"/>
      <c r="R97" s="6"/>
      <c r="S97" s="84"/>
      <c r="T97" s="6"/>
      <c r="U97" s="69" t="b">
        <v>1</v>
      </c>
      <c r="V97" s="6" t="s">
        <v>2012</v>
      </c>
      <c r="Z97" t="b">
        <v>0</v>
      </c>
    </row>
    <row r="98" hidden="1">
      <c r="A98" s="99">
        <v>735.0</v>
      </c>
      <c r="B98" s="99" t="s">
        <v>241</v>
      </c>
      <c r="C98" s="99" t="s">
        <v>342</v>
      </c>
      <c r="D98" s="99" t="s">
        <v>2006</v>
      </c>
      <c r="E98" s="99" t="s">
        <v>346</v>
      </c>
      <c r="F98" s="99" t="s">
        <v>2015</v>
      </c>
      <c r="G98" s="101"/>
      <c r="H98" s="99" t="s">
        <v>189</v>
      </c>
      <c r="I98" s="99" t="s">
        <v>626</v>
      </c>
      <c r="J98" s="104"/>
      <c r="K98" s="66" t="str">
        <f>IFNA(VLOOKUP(D98,'EAN Codes'!A:C,2,False),"")</f>
        <v>5907615801198</v>
      </c>
      <c r="L98" s="82"/>
      <c r="M98" s="83"/>
      <c r="N98" s="6"/>
      <c r="O98" s="6"/>
      <c r="P98" s="6"/>
      <c r="Q98" s="6"/>
      <c r="R98" s="6"/>
      <c r="S98" s="84"/>
      <c r="T98" s="6"/>
      <c r="U98" s="69" t="b">
        <v>1</v>
      </c>
      <c r="V98" s="6" t="s">
        <v>2020</v>
      </c>
      <c r="Y98" s="6" t="s">
        <v>452</v>
      </c>
      <c r="Z98" t="b">
        <v>0</v>
      </c>
    </row>
    <row r="99" hidden="1">
      <c r="A99" s="99">
        <v>174.0</v>
      </c>
      <c r="B99" s="99"/>
      <c r="C99" s="99" t="s">
        <v>342</v>
      </c>
      <c r="D99" s="99" t="s">
        <v>2023</v>
      </c>
      <c r="E99" s="99" t="s">
        <v>373</v>
      </c>
      <c r="F99" s="99" t="s">
        <v>2024</v>
      </c>
      <c r="G99" s="99" t="s">
        <v>2025</v>
      </c>
      <c r="H99" s="99" t="s">
        <v>189</v>
      </c>
      <c r="I99" s="99" t="s">
        <v>570</v>
      </c>
      <c r="J99" s="104"/>
      <c r="K99" s="66" t="str">
        <f>IFNA(VLOOKUP(D99,'EAN Codes'!A:C,2,False),"")</f>
        <v>5907615801174</v>
      </c>
      <c r="L99" s="99"/>
      <c r="M99" s="119"/>
      <c r="N99" s="99"/>
      <c r="O99" s="99"/>
      <c r="P99" s="99"/>
      <c r="Q99" s="99"/>
      <c r="R99" s="99"/>
      <c r="S99" s="104"/>
      <c r="T99" s="99"/>
      <c r="U99" s="113" t="b">
        <v>1</v>
      </c>
      <c r="V99" s="99"/>
      <c r="Z99" t="b">
        <v>0</v>
      </c>
    </row>
    <row r="100" hidden="1">
      <c r="A100" s="99">
        <v>468.0</v>
      </c>
      <c r="B100" s="99" t="s">
        <v>241</v>
      </c>
      <c r="C100" s="99" t="s">
        <v>408</v>
      </c>
      <c r="D100" s="99">
        <v>303323.0</v>
      </c>
      <c r="E100" s="99" t="s">
        <v>373</v>
      </c>
      <c r="F100" s="99" t="s">
        <v>2030</v>
      </c>
      <c r="G100" s="99" t="s">
        <v>2031</v>
      </c>
      <c r="H100" s="99" t="s">
        <v>189</v>
      </c>
      <c r="I100" s="99" t="s">
        <v>602</v>
      </c>
      <c r="J100" s="104"/>
      <c r="K100" s="66" t="str">
        <f>IFNA(VLOOKUP(D100,'EAN Codes'!A:C,2,False),"")</f>
        <v/>
      </c>
      <c r="L100" s="35"/>
      <c r="M100" s="119"/>
      <c r="N100" s="99"/>
      <c r="O100" s="99"/>
      <c r="P100" s="99"/>
      <c r="Q100" s="99"/>
      <c r="R100" s="99"/>
      <c r="S100" s="104"/>
      <c r="T100" s="99"/>
      <c r="U100" s="69" t="b">
        <v>1</v>
      </c>
      <c r="V100" s="99" t="s">
        <v>2040</v>
      </c>
      <c r="Z100" t="b">
        <v>0</v>
      </c>
    </row>
    <row r="101" hidden="1">
      <c r="A101" s="99">
        <v>593.0</v>
      </c>
      <c r="B101" s="99" t="s">
        <v>241</v>
      </c>
      <c r="C101" s="99" t="s">
        <v>408</v>
      </c>
      <c r="D101" s="99">
        <v>303323.0</v>
      </c>
      <c r="E101" s="99" t="s">
        <v>409</v>
      </c>
      <c r="F101" s="99" t="s">
        <v>2043</v>
      </c>
      <c r="G101" s="99" t="s">
        <v>2031</v>
      </c>
      <c r="H101" s="99" t="s">
        <v>189</v>
      </c>
      <c r="I101" s="99" t="s">
        <v>1863</v>
      </c>
      <c r="J101" s="104"/>
      <c r="K101" s="66" t="str">
        <f>IFNA(VLOOKUP(D101,'EAN Codes'!A:C,2,False),"")</f>
        <v/>
      </c>
      <c r="L101" s="35" t="s">
        <v>269</v>
      </c>
      <c r="M101" s="83"/>
      <c r="N101" s="6"/>
      <c r="O101" s="6"/>
      <c r="P101" s="6"/>
      <c r="Q101" s="6"/>
      <c r="R101" s="6"/>
      <c r="S101" s="84"/>
      <c r="T101" s="6"/>
      <c r="U101" s="69" t="b">
        <v>1</v>
      </c>
      <c r="V101" s="6" t="s">
        <v>2055</v>
      </c>
      <c r="Z101" t="b">
        <v>0</v>
      </c>
    </row>
    <row r="102" hidden="1">
      <c r="A102" s="99">
        <v>154.0</v>
      </c>
      <c r="B102" s="99"/>
      <c r="C102" s="99" t="s">
        <v>342</v>
      </c>
      <c r="D102" s="99" t="s">
        <v>2023</v>
      </c>
      <c r="E102" s="99" t="s">
        <v>409</v>
      </c>
      <c r="F102" s="99" t="s">
        <v>2056</v>
      </c>
      <c r="G102" s="99" t="s">
        <v>358</v>
      </c>
      <c r="H102" s="99" t="s">
        <v>189</v>
      </c>
      <c r="I102" s="99" t="s">
        <v>458</v>
      </c>
      <c r="J102" s="104"/>
      <c r="K102" s="66" t="str">
        <f>IFNA(VLOOKUP(D102,'EAN Codes'!A:C,2,False),"")</f>
        <v>5907615801174</v>
      </c>
      <c r="L102" s="35"/>
      <c r="M102" s="67"/>
      <c r="S102" s="60"/>
      <c r="U102" s="69" t="b">
        <v>1</v>
      </c>
      <c r="X102" s="101"/>
      <c r="Y102" s="101"/>
      <c r="Z102" t="b">
        <v>0</v>
      </c>
    </row>
    <row r="103" hidden="1">
      <c r="A103" s="99">
        <v>932.0</v>
      </c>
      <c r="B103" s="99" t="s">
        <v>241</v>
      </c>
      <c r="C103" s="99" t="s">
        <v>342</v>
      </c>
      <c r="D103" s="99" t="s">
        <v>2006</v>
      </c>
      <c r="E103" s="99" t="s">
        <v>346</v>
      </c>
      <c r="F103" s="99" t="s">
        <v>2061</v>
      </c>
      <c r="G103" s="99" t="s">
        <v>1819</v>
      </c>
      <c r="H103" s="99" t="s">
        <v>255</v>
      </c>
      <c r="I103" s="101"/>
      <c r="J103" s="110"/>
      <c r="K103" s="66" t="str">
        <f>IFNA(VLOOKUP(D103,'EAN Codes'!A:C,2,False),"")</f>
        <v>5907615801198</v>
      </c>
      <c r="L103" s="101"/>
      <c r="M103" s="119"/>
      <c r="N103" s="99"/>
      <c r="O103" s="99"/>
      <c r="P103" s="99"/>
      <c r="Q103" s="99"/>
      <c r="R103" s="99"/>
      <c r="S103" s="104"/>
      <c r="T103" s="99"/>
      <c r="U103" s="113" t="b">
        <v>1</v>
      </c>
      <c r="V103" s="99" t="s">
        <v>2066</v>
      </c>
      <c r="W103" s="6" t="s">
        <v>2067</v>
      </c>
      <c r="Z103" s="122" t="b">
        <v>0</v>
      </c>
      <c r="AA103" s="122"/>
      <c r="AB103" s="122"/>
      <c r="AC103" s="122"/>
      <c r="AD103" s="122"/>
      <c r="AE103" s="122"/>
    </row>
    <row r="104" hidden="1">
      <c r="A104" s="99">
        <v>171.0</v>
      </c>
      <c r="B104" s="99"/>
      <c r="C104" s="99" t="s">
        <v>342</v>
      </c>
      <c r="D104" s="99" t="s">
        <v>2023</v>
      </c>
      <c r="E104" s="99" t="s">
        <v>2070</v>
      </c>
      <c r="F104" s="99" t="s">
        <v>2071</v>
      </c>
      <c r="G104" s="99" t="s">
        <v>2009</v>
      </c>
      <c r="H104" s="99" t="s">
        <v>189</v>
      </c>
      <c r="I104" s="99" t="s">
        <v>680</v>
      </c>
      <c r="J104" s="104"/>
      <c r="K104" s="66" t="str">
        <f>IFNA(VLOOKUP(D104,'EAN Codes'!A:C,2,False),"")</f>
        <v>5907615801174</v>
      </c>
      <c r="L104" s="35"/>
      <c r="M104" s="67"/>
      <c r="S104" s="60"/>
      <c r="U104" s="69" t="b">
        <v>1</v>
      </c>
      <c r="Z104" t="b">
        <v>0</v>
      </c>
    </row>
    <row r="105" hidden="1">
      <c r="A105" s="99">
        <v>174.0</v>
      </c>
      <c r="B105" s="99"/>
      <c r="C105" s="99" t="s">
        <v>342</v>
      </c>
      <c r="D105" s="99" t="s">
        <v>2023</v>
      </c>
      <c r="E105" s="99" t="s">
        <v>2070</v>
      </c>
      <c r="F105" s="99" t="s">
        <v>2071</v>
      </c>
      <c r="G105" s="99" t="s">
        <v>2009</v>
      </c>
      <c r="H105" s="99" t="s">
        <v>189</v>
      </c>
      <c r="I105" s="99" t="s">
        <v>680</v>
      </c>
      <c r="J105" s="104"/>
      <c r="K105" s="66" t="str">
        <f>IFNA(VLOOKUP(D105,'EAN Codes'!A:C,2,False),"")</f>
        <v>5907615801174</v>
      </c>
      <c r="L105" s="35"/>
      <c r="M105" s="67"/>
      <c r="S105" s="60"/>
      <c r="U105" s="69" t="b">
        <v>1</v>
      </c>
      <c r="Z105" t="b">
        <v>0</v>
      </c>
    </row>
    <row r="106" hidden="1">
      <c r="A106" s="86">
        <v>730.0</v>
      </c>
      <c r="B106" s="86" t="s">
        <v>241</v>
      </c>
      <c r="C106" s="86" t="s">
        <v>342</v>
      </c>
      <c r="D106" s="86" t="s">
        <v>2006</v>
      </c>
      <c r="E106" s="86" t="s">
        <v>346</v>
      </c>
      <c r="F106" s="86" t="s">
        <v>2081</v>
      </c>
      <c r="G106" s="91"/>
      <c r="H106" s="86" t="s">
        <v>614</v>
      </c>
      <c r="I106" s="91"/>
      <c r="J106" s="97"/>
      <c r="K106" s="66" t="str">
        <f>IFNA(VLOOKUP(D106,'EAN Codes'!A:C,2,False),"")</f>
        <v>5907615801198</v>
      </c>
      <c r="L106" s="91"/>
      <c r="M106" s="92"/>
      <c r="N106" s="86"/>
      <c r="O106" s="86"/>
      <c r="P106" s="86"/>
      <c r="Q106" s="86"/>
      <c r="R106" s="86"/>
      <c r="S106" s="88"/>
      <c r="T106" s="86"/>
      <c r="U106" s="93" t="b">
        <v>1</v>
      </c>
      <c r="V106" s="86" t="s">
        <v>2086</v>
      </c>
      <c r="Z106" t="b">
        <v>0</v>
      </c>
    </row>
    <row r="107" hidden="1">
      <c r="A107" s="101"/>
      <c r="B107" s="122" t="s">
        <v>241</v>
      </c>
      <c r="C107" s="99" t="s">
        <v>342</v>
      </c>
      <c r="D107" s="99" t="s">
        <v>2006</v>
      </c>
      <c r="E107" s="99" t="s">
        <v>346</v>
      </c>
      <c r="F107" s="99" t="s">
        <v>2089</v>
      </c>
      <c r="G107" s="99" t="s">
        <v>2090</v>
      </c>
      <c r="H107" s="99" t="s">
        <v>2091</v>
      </c>
      <c r="I107" s="101"/>
      <c r="J107" s="110"/>
      <c r="K107" s="66" t="str">
        <f>IFNA(VLOOKUP(D107,'EAN Codes'!A:C,2,False),"")</f>
        <v>5907615801198</v>
      </c>
      <c r="L107" s="101"/>
      <c r="M107" s="119"/>
      <c r="N107" s="99"/>
      <c r="O107" s="99"/>
      <c r="P107" s="99"/>
      <c r="Q107" s="99"/>
      <c r="R107" s="99"/>
      <c r="S107" s="104"/>
      <c r="T107" s="99"/>
      <c r="U107" s="113" t="b">
        <v>1</v>
      </c>
      <c r="V107" s="99" t="s">
        <v>2094</v>
      </c>
      <c r="Z107" t="b">
        <v>0</v>
      </c>
    </row>
    <row r="108" hidden="1">
      <c r="A108" s="99">
        <v>983.0</v>
      </c>
      <c r="B108" s="99" t="s">
        <v>241</v>
      </c>
      <c r="C108" s="99" t="s">
        <v>1250</v>
      </c>
      <c r="D108" s="99" t="s">
        <v>2096</v>
      </c>
      <c r="E108" s="99" t="s">
        <v>1390</v>
      </c>
      <c r="F108" s="99" t="s">
        <v>2098</v>
      </c>
      <c r="G108" s="99" t="s">
        <v>2090</v>
      </c>
      <c r="H108" s="99" t="s">
        <v>189</v>
      </c>
      <c r="I108" s="99" t="s">
        <v>458</v>
      </c>
      <c r="J108" s="104"/>
      <c r="K108" s="66" t="str">
        <f>IFNA(VLOOKUP(D108,'EAN Codes'!A:C,2,False),"")</f>
        <v>8058772227196</v>
      </c>
      <c r="L108" s="101"/>
      <c r="M108" s="119"/>
      <c r="N108" s="99"/>
      <c r="O108" s="99"/>
      <c r="P108" s="99"/>
      <c r="Q108" s="99"/>
      <c r="R108" s="99"/>
      <c r="S108" s="104"/>
      <c r="T108" s="99"/>
      <c r="U108" s="113" t="b">
        <v>1</v>
      </c>
      <c r="V108" s="99" t="s">
        <v>2105</v>
      </c>
      <c r="Z108" t="b">
        <v>0</v>
      </c>
    </row>
    <row r="109" hidden="1">
      <c r="A109" s="99">
        <v>821.0</v>
      </c>
      <c r="B109" s="99" t="s">
        <v>241</v>
      </c>
      <c r="C109" s="99" t="s">
        <v>1250</v>
      </c>
      <c r="D109" s="99" t="s">
        <v>1250</v>
      </c>
      <c r="E109" s="99" t="s">
        <v>409</v>
      </c>
      <c r="F109" s="99" t="s">
        <v>2107</v>
      </c>
      <c r="G109" s="99" t="s">
        <v>2108</v>
      </c>
      <c r="H109" s="99" t="s">
        <v>238</v>
      </c>
      <c r="I109" s="101"/>
      <c r="J109" s="110"/>
      <c r="K109" s="107" t="str">
        <f>IFNA(VLOOKUP(D109,'EAN Codes'!A:C,2,False),"")</f>
        <v/>
      </c>
      <c r="L109" s="101"/>
      <c r="M109" s="227"/>
      <c r="N109" s="187"/>
      <c r="O109" s="187"/>
      <c r="P109" s="187"/>
      <c r="Q109" s="187"/>
      <c r="R109" s="187"/>
      <c r="S109" s="228"/>
      <c r="T109" s="187"/>
      <c r="U109" s="113" t="b">
        <v>1</v>
      </c>
      <c r="V109" s="187" t="s">
        <v>2112</v>
      </c>
      <c r="Z109" t="b">
        <v>0</v>
      </c>
    </row>
    <row r="110" hidden="1">
      <c r="A110" s="99">
        <v>920.0</v>
      </c>
      <c r="B110" s="99" t="s">
        <v>241</v>
      </c>
      <c r="C110" s="99" t="s">
        <v>342</v>
      </c>
      <c r="D110" s="99" t="s">
        <v>2114</v>
      </c>
      <c r="E110" s="99" t="s">
        <v>346</v>
      </c>
      <c r="F110" s="99" t="s">
        <v>2115</v>
      </c>
      <c r="G110" s="99" t="s">
        <v>1222</v>
      </c>
      <c r="H110" s="99" t="s">
        <v>189</v>
      </c>
      <c r="I110" s="99" t="s">
        <v>1328</v>
      </c>
      <c r="J110" s="104"/>
      <c r="K110" s="66" t="str">
        <f>IFNA(VLOOKUP(D110,'EAN Codes'!A:C,2,False),"")</f>
        <v/>
      </c>
      <c r="L110" s="101"/>
      <c r="M110" s="83"/>
      <c r="N110" s="6"/>
      <c r="O110" s="6"/>
      <c r="P110" s="6"/>
      <c r="Q110" s="6"/>
      <c r="R110" s="6"/>
      <c r="S110" s="84"/>
      <c r="T110" s="6"/>
      <c r="U110" s="113" t="b">
        <v>1</v>
      </c>
      <c r="V110" s="6" t="s">
        <v>2120</v>
      </c>
      <c r="Z110" t="b">
        <v>0</v>
      </c>
    </row>
    <row r="111" hidden="1">
      <c r="A111" s="99">
        <v>859.0</v>
      </c>
      <c r="B111" s="99" t="s">
        <v>241</v>
      </c>
      <c r="C111" s="99" t="s">
        <v>760</v>
      </c>
      <c r="D111" s="99" t="s">
        <v>2123</v>
      </c>
      <c r="E111" s="99" t="s">
        <v>373</v>
      </c>
      <c r="F111" s="99" t="s">
        <v>2115</v>
      </c>
      <c r="G111" s="99" t="s">
        <v>1222</v>
      </c>
      <c r="H111" s="99" t="s">
        <v>189</v>
      </c>
      <c r="I111" s="99" t="s">
        <v>819</v>
      </c>
      <c r="J111" s="104"/>
      <c r="K111" s="66" t="str">
        <f>IFNA(VLOOKUP(D111,'EAN Codes'!A:C,2,False),"")</f>
        <v>5060128530709</v>
      </c>
      <c r="L111" s="101"/>
      <c r="M111" s="108"/>
      <c r="N111" s="101"/>
      <c r="O111" s="101"/>
      <c r="P111" s="101"/>
      <c r="Q111" s="101"/>
      <c r="R111" s="101"/>
      <c r="S111" s="110"/>
      <c r="T111" s="101"/>
      <c r="U111" s="113" t="b">
        <v>1</v>
      </c>
      <c r="V111" s="101"/>
      <c r="Z111" t="b">
        <v>0</v>
      </c>
    </row>
    <row r="112" hidden="1">
      <c r="A112" s="86">
        <v>1012.0</v>
      </c>
      <c r="B112" s="86" t="s">
        <v>241</v>
      </c>
      <c r="C112" s="86" t="s">
        <v>760</v>
      </c>
      <c r="D112" s="87" t="s">
        <v>2123</v>
      </c>
      <c r="E112" s="86" t="s">
        <v>409</v>
      </c>
      <c r="F112" s="229" t="s">
        <v>2115</v>
      </c>
      <c r="G112" s="86" t="s">
        <v>1222</v>
      </c>
      <c r="H112" s="86" t="s">
        <v>189</v>
      </c>
      <c r="I112" s="86" t="s">
        <v>1863</v>
      </c>
      <c r="J112" s="88"/>
      <c r="K112" s="107" t="str">
        <f>IFNA(VLOOKUP(D112,'EAN Codes'!A:C,2,False),"")</f>
        <v>5060128530709</v>
      </c>
      <c r="L112" s="91"/>
      <c r="M112" s="92"/>
      <c r="N112" s="86"/>
      <c r="O112" s="86"/>
      <c r="P112" s="86"/>
      <c r="Q112" s="86"/>
      <c r="R112" s="86"/>
      <c r="S112" s="88"/>
      <c r="T112" s="86"/>
      <c r="U112" s="93" t="b">
        <v>1</v>
      </c>
      <c r="V112" s="86" t="s">
        <v>2133</v>
      </c>
      <c r="W112" s="6" t="s">
        <v>2134</v>
      </c>
      <c r="Z112" t="b">
        <v>0</v>
      </c>
    </row>
    <row r="113" hidden="1">
      <c r="A113" s="99">
        <v>987.0</v>
      </c>
      <c r="B113" s="99" t="s">
        <v>241</v>
      </c>
      <c r="C113" s="99" t="s">
        <v>760</v>
      </c>
      <c r="D113" s="99" t="s">
        <v>2123</v>
      </c>
      <c r="E113" s="99" t="s">
        <v>373</v>
      </c>
      <c r="F113" s="99" t="s">
        <v>2115</v>
      </c>
      <c r="G113" s="99" t="s">
        <v>1222</v>
      </c>
      <c r="H113" s="99" t="s">
        <v>189</v>
      </c>
      <c r="I113" s="99" t="s">
        <v>458</v>
      </c>
      <c r="J113" s="104"/>
      <c r="K113" s="66" t="str">
        <f>IFNA(VLOOKUP(D113,'EAN Codes'!A:C,2,False),"")</f>
        <v>5060128530709</v>
      </c>
      <c r="L113" s="82"/>
      <c r="M113" s="83"/>
      <c r="N113" s="6"/>
      <c r="O113" s="6"/>
      <c r="P113" s="6"/>
      <c r="Q113" s="6"/>
      <c r="R113" s="6"/>
      <c r="S113" s="84"/>
      <c r="T113" s="6"/>
      <c r="U113" s="69" t="b">
        <v>1</v>
      </c>
      <c r="V113" s="6" t="s">
        <v>2141</v>
      </c>
      <c r="Z113" t="b">
        <v>0</v>
      </c>
    </row>
    <row r="114" hidden="1">
      <c r="A114" s="99">
        <v>957.0</v>
      </c>
      <c r="B114" s="99" t="s">
        <v>241</v>
      </c>
      <c r="C114" s="99" t="s">
        <v>1813</v>
      </c>
      <c r="D114" s="99" t="s">
        <v>2142</v>
      </c>
      <c r="E114" s="99" t="s">
        <v>346</v>
      </c>
      <c r="F114" s="99" t="s">
        <v>2143</v>
      </c>
      <c r="G114" s="99" t="s">
        <v>1222</v>
      </c>
      <c r="H114" s="99" t="s">
        <v>189</v>
      </c>
      <c r="I114" s="99" t="s">
        <v>585</v>
      </c>
      <c r="J114" s="104"/>
      <c r="K114" s="66" t="str">
        <f>IFNA(VLOOKUP(D114,'EAN Codes'!A:C,2,False),"")</f>
        <v/>
      </c>
      <c r="L114" s="101"/>
      <c r="M114" s="119"/>
      <c r="N114" s="99"/>
      <c r="O114" s="99"/>
      <c r="P114" s="99"/>
      <c r="Q114" s="99"/>
      <c r="R114" s="99"/>
      <c r="S114" s="104"/>
      <c r="T114" s="99"/>
      <c r="U114" s="113" t="b">
        <v>1</v>
      </c>
      <c r="V114" s="99" t="s">
        <v>2148</v>
      </c>
      <c r="Z114" t="b">
        <v>0</v>
      </c>
    </row>
    <row r="115" hidden="1">
      <c r="A115" s="99">
        <v>747.0</v>
      </c>
      <c r="B115" s="99" t="s">
        <v>241</v>
      </c>
      <c r="C115" s="99" t="s">
        <v>342</v>
      </c>
      <c r="D115" s="99" t="s">
        <v>2023</v>
      </c>
      <c r="E115" s="99" t="s">
        <v>373</v>
      </c>
      <c r="F115" s="99" t="s">
        <v>2151</v>
      </c>
      <c r="G115" s="99" t="s">
        <v>1222</v>
      </c>
      <c r="H115" s="99" t="s">
        <v>189</v>
      </c>
      <c r="I115" s="99" t="s">
        <v>570</v>
      </c>
      <c r="J115" s="104"/>
      <c r="K115" s="66" t="str">
        <f>IFNA(VLOOKUP(D115,'EAN Codes'!A:C,2,False),"")</f>
        <v>5907615801174</v>
      </c>
      <c r="L115" s="82"/>
      <c r="M115" s="119"/>
      <c r="N115" s="99"/>
      <c r="O115" s="99"/>
      <c r="P115" s="99"/>
      <c r="Q115" s="99"/>
      <c r="R115" s="99"/>
      <c r="S115" s="104"/>
      <c r="T115" s="99"/>
      <c r="U115" s="69" t="b">
        <v>1</v>
      </c>
      <c r="V115" s="99" t="s">
        <v>2154</v>
      </c>
      <c r="Z115" t="b">
        <v>0</v>
      </c>
    </row>
    <row r="116" hidden="1">
      <c r="A116" s="86">
        <v>530.0</v>
      </c>
      <c r="B116" s="86" t="s">
        <v>241</v>
      </c>
      <c r="C116" s="86" t="s">
        <v>342</v>
      </c>
      <c r="D116" s="86" t="s">
        <v>2023</v>
      </c>
      <c r="E116" s="86" t="s">
        <v>409</v>
      </c>
      <c r="F116" s="86" t="s">
        <v>2151</v>
      </c>
      <c r="G116" s="86" t="s">
        <v>1222</v>
      </c>
      <c r="H116" s="86" t="s">
        <v>2158</v>
      </c>
      <c r="I116" s="86" t="s">
        <v>2159</v>
      </c>
      <c r="J116" s="88"/>
      <c r="K116" s="66" t="str">
        <f>IFNA(VLOOKUP(D116,'EAN Codes'!A:C,2,False),"")</f>
        <v>5907615801174</v>
      </c>
      <c r="L116" s="86" t="s">
        <v>92</v>
      </c>
      <c r="M116" s="230"/>
      <c r="N116" s="231"/>
      <c r="O116" s="231"/>
      <c r="P116" s="231"/>
      <c r="Q116" s="231"/>
      <c r="R116" s="231"/>
      <c r="S116" s="232"/>
      <c r="T116" s="231"/>
      <c r="U116" s="93" t="b">
        <v>1</v>
      </c>
      <c r="V116" s="231" t="s">
        <v>2163</v>
      </c>
      <c r="Z116" t="b">
        <v>0</v>
      </c>
    </row>
    <row r="117" hidden="1">
      <c r="A117" s="99">
        <v>887.0</v>
      </c>
      <c r="B117" s="99" t="s">
        <v>241</v>
      </c>
      <c r="C117" s="99" t="s">
        <v>1813</v>
      </c>
      <c r="D117" s="99" t="s">
        <v>2142</v>
      </c>
      <c r="E117" s="99" t="s">
        <v>346</v>
      </c>
      <c r="F117" s="99" t="s">
        <v>2165</v>
      </c>
      <c r="G117" s="99" t="s">
        <v>1222</v>
      </c>
      <c r="H117" s="99" t="s">
        <v>189</v>
      </c>
      <c r="I117" s="99" t="s">
        <v>585</v>
      </c>
      <c r="J117" s="104"/>
      <c r="K117" s="66" t="str">
        <f>IFNA(VLOOKUP(D117,'EAN Codes'!A:C,2,False),"")</f>
        <v/>
      </c>
      <c r="L117" s="82"/>
      <c r="M117" s="119"/>
      <c r="N117" s="99"/>
      <c r="O117" s="99"/>
      <c r="P117" s="99"/>
      <c r="Q117" s="99"/>
      <c r="R117" s="99"/>
      <c r="S117" s="104"/>
      <c r="T117" s="99"/>
      <c r="U117" s="69" t="b">
        <v>1</v>
      </c>
      <c r="V117" s="99" t="s">
        <v>2168</v>
      </c>
      <c r="Z117" t="b">
        <v>0</v>
      </c>
    </row>
    <row r="118" hidden="1">
      <c r="A118" s="86">
        <v>14.0</v>
      </c>
      <c r="B118" s="6"/>
      <c r="C118" s="6" t="s">
        <v>731</v>
      </c>
      <c r="D118" s="86" t="s">
        <v>2171</v>
      </c>
      <c r="E118" s="86" t="s">
        <v>1110</v>
      </c>
      <c r="F118" s="86" t="s">
        <v>2172</v>
      </c>
      <c r="J118" s="60"/>
      <c r="K118" s="66" t="str">
        <f>IFNA(VLOOKUP(D118,'EAN Codes'!A:C,2,False),"")</f>
        <v/>
      </c>
      <c r="L118" s="6"/>
      <c r="M118" s="67"/>
      <c r="S118" s="60"/>
      <c r="U118" s="85" t="b">
        <v>1</v>
      </c>
      <c r="Z118" t="b">
        <v>0</v>
      </c>
    </row>
    <row r="119" hidden="1">
      <c r="A119" s="86">
        <v>782.0</v>
      </c>
      <c r="B119" s="99" t="s">
        <v>241</v>
      </c>
      <c r="C119" s="99" t="s">
        <v>342</v>
      </c>
      <c r="D119" s="99" t="s">
        <v>2006</v>
      </c>
      <c r="E119" s="99" t="s">
        <v>346</v>
      </c>
      <c r="F119" s="99" t="s">
        <v>2176</v>
      </c>
      <c r="G119" s="99" t="s">
        <v>2178</v>
      </c>
      <c r="H119" s="99" t="s">
        <v>189</v>
      </c>
      <c r="I119" s="99" t="s">
        <v>570</v>
      </c>
      <c r="J119" s="104"/>
      <c r="K119" s="66" t="str">
        <f>IFNA(VLOOKUP(D119,'EAN Codes'!A:C,2,False),"")</f>
        <v>5907615801198</v>
      </c>
      <c r="L119" s="99"/>
      <c r="M119" s="119"/>
      <c r="N119" s="99"/>
      <c r="O119" s="99"/>
      <c r="P119" s="99"/>
      <c r="Q119" s="99"/>
      <c r="R119" s="99"/>
      <c r="S119" s="104"/>
      <c r="T119" s="99"/>
      <c r="U119" s="113" t="b">
        <v>1</v>
      </c>
      <c r="V119" s="99" t="s">
        <v>2182</v>
      </c>
      <c r="Z119" t="b">
        <v>0</v>
      </c>
    </row>
    <row r="120" hidden="1">
      <c r="A120" s="99">
        <v>665.0</v>
      </c>
      <c r="B120" s="99" t="s">
        <v>181</v>
      </c>
      <c r="C120" s="86" t="s">
        <v>408</v>
      </c>
      <c r="D120" s="99">
        <v>3.03460300113E11</v>
      </c>
      <c r="E120" s="99" t="s">
        <v>1110</v>
      </c>
      <c r="F120" s="99" t="s">
        <v>2184</v>
      </c>
      <c r="G120" s="99" t="s">
        <v>2186</v>
      </c>
      <c r="H120" s="99" t="s">
        <v>189</v>
      </c>
      <c r="J120" s="60"/>
      <c r="K120" s="66" t="str">
        <f>IFNA(VLOOKUP(D120,'EAN Codes'!A:C,2,False),"")</f>
        <v/>
      </c>
      <c r="L120" s="35"/>
      <c r="M120" s="83"/>
      <c r="N120" s="6"/>
      <c r="O120" s="6"/>
      <c r="P120" s="6"/>
      <c r="Q120" s="6"/>
      <c r="R120" s="6"/>
      <c r="S120" s="84"/>
      <c r="T120" s="6"/>
      <c r="U120" s="69" t="b">
        <v>1</v>
      </c>
      <c r="V120" s="6" t="s">
        <v>2188</v>
      </c>
      <c r="Z120" t="b">
        <v>0</v>
      </c>
    </row>
    <row r="121" hidden="1">
      <c r="A121" s="99">
        <v>666.0</v>
      </c>
      <c r="B121" s="99" t="s">
        <v>181</v>
      </c>
      <c r="C121" s="86" t="s">
        <v>408</v>
      </c>
      <c r="D121" s="99">
        <v>3.03460300107E11</v>
      </c>
      <c r="E121" s="99" t="s">
        <v>733</v>
      </c>
      <c r="F121" s="99" t="s">
        <v>2184</v>
      </c>
      <c r="G121" s="99" t="s">
        <v>2190</v>
      </c>
      <c r="H121" s="99" t="s">
        <v>189</v>
      </c>
      <c r="J121" s="60"/>
      <c r="K121" s="66" t="str">
        <f>IFNA(VLOOKUP(D121,'EAN Codes'!A:C,2,False),"")</f>
        <v/>
      </c>
      <c r="L121" s="35"/>
      <c r="M121" s="67"/>
      <c r="S121" s="60"/>
      <c r="U121" s="69" t="b">
        <v>1</v>
      </c>
      <c r="Z121" t="b">
        <v>0</v>
      </c>
    </row>
    <row r="122" hidden="1">
      <c r="A122" s="99">
        <v>667.0</v>
      </c>
      <c r="B122" s="99" t="s">
        <v>181</v>
      </c>
      <c r="C122" s="86" t="s">
        <v>408</v>
      </c>
      <c r="D122" s="99">
        <v>3.03352300113E11</v>
      </c>
      <c r="E122" s="99" t="s">
        <v>1110</v>
      </c>
      <c r="F122" s="99" t="s">
        <v>2184</v>
      </c>
      <c r="G122" s="99" t="s">
        <v>2194</v>
      </c>
      <c r="H122" s="99" t="s">
        <v>189</v>
      </c>
      <c r="J122" s="60"/>
      <c r="K122" s="66" t="str">
        <f>IFNA(VLOOKUP(D122,'EAN Codes'!A:C,2,False),"")</f>
        <v/>
      </c>
      <c r="L122" s="82"/>
      <c r="M122" s="83"/>
      <c r="N122" s="6"/>
      <c r="O122" s="6"/>
      <c r="P122" s="6"/>
      <c r="Q122" s="6"/>
      <c r="R122" s="6"/>
      <c r="S122" s="84"/>
      <c r="T122" s="6"/>
      <c r="U122" s="69" t="b">
        <v>1</v>
      </c>
      <c r="V122" s="6" t="s">
        <v>2198</v>
      </c>
      <c r="Y122" s="6" t="s">
        <v>452</v>
      </c>
      <c r="Z122" t="b">
        <v>0</v>
      </c>
    </row>
    <row r="123" hidden="1">
      <c r="A123" s="99">
        <v>668.0</v>
      </c>
      <c r="B123" s="99" t="s">
        <v>181</v>
      </c>
      <c r="C123" s="86" t="s">
        <v>408</v>
      </c>
      <c r="D123" s="99">
        <v>3.03352300113E11</v>
      </c>
      <c r="E123" s="99" t="s">
        <v>1110</v>
      </c>
      <c r="F123" s="99" t="s">
        <v>2184</v>
      </c>
      <c r="G123" s="99" t="s">
        <v>2194</v>
      </c>
      <c r="H123" s="99" t="s">
        <v>189</v>
      </c>
      <c r="J123" s="60"/>
      <c r="K123" s="66" t="str">
        <f>IFNA(VLOOKUP(D123,'EAN Codes'!A:C,2,False),"")</f>
        <v/>
      </c>
      <c r="L123" s="82"/>
      <c r="M123" s="67"/>
      <c r="S123" s="60"/>
      <c r="U123" s="69" t="b">
        <v>1</v>
      </c>
      <c r="Y123" s="6" t="s">
        <v>452</v>
      </c>
      <c r="Z123" t="b">
        <v>0</v>
      </c>
    </row>
    <row r="124" hidden="1">
      <c r="A124" s="99">
        <v>669.0</v>
      </c>
      <c r="B124" s="99" t="s">
        <v>181</v>
      </c>
      <c r="C124" s="86" t="s">
        <v>408</v>
      </c>
      <c r="D124" s="99">
        <v>3.03352300113E11</v>
      </c>
      <c r="E124" s="99" t="s">
        <v>1110</v>
      </c>
      <c r="F124" s="99" t="s">
        <v>2184</v>
      </c>
      <c r="G124" s="99" t="s">
        <v>2194</v>
      </c>
      <c r="H124" s="99" t="s">
        <v>189</v>
      </c>
      <c r="I124" s="101"/>
      <c r="J124" s="110"/>
      <c r="K124" s="66" t="str">
        <f>IFNA(VLOOKUP(D124,'EAN Codes'!A:C,2,False),"")</f>
        <v/>
      </c>
      <c r="L124" s="101"/>
      <c r="M124" s="119"/>
      <c r="N124" s="99"/>
      <c r="O124" s="99"/>
      <c r="P124" s="99"/>
      <c r="Q124" s="99"/>
      <c r="R124" s="99"/>
      <c r="S124" s="104"/>
      <c r="T124" s="99"/>
      <c r="U124" s="113" t="b">
        <v>1</v>
      </c>
      <c r="V124" s="99" t="s">
        <v>2205</v>
      </c>
      <c r="Y124" s="6" t="s">
        <v>452</v>
      </c>
      <c r="Z124" t="b">
        <v>0</v>
      </c>
    </row>
    <row r="125" hidden="1">
      <c r="A125" s="99">
        <v>670.0</v>
      </c>
      <c r="B125" s="99" t="s">
        <v>181</v>
      </c>
      <c r="C125" s="86" t="s">
        <v>408</v>
      </c>
      <c r="D125" s="99">
        <v>3.03352300113E11</v>
      </c>
      <c r="E125" s="99" t="s">
        <v>1110</v>
      </c>
      <c r="F125" s="99" t="s">
        <v>2184</v>
      </c>
      <c r="G125" s="99" t="s">
        <v>2194</v>
      </c>
      <c r="H125" s="99" t="s">
        <v>189</v>
      </c>
      <c r="I125" s="101"/>
      <c r="J125" s="110"/>
      <c r="K125" s="66" t="str">
        <f>IFNA(VLOOKUP(D125,'EAN Codes'!A:C,2,False),"")</f>
        <v/>
      </c>
      <c r="L125" s="101"/>
      <c r="M125" s="119"/>
      <c r="N125" s="99"/>
      <c r="O125" s="99"/>
      <c r="P125" s="99"/>
      <c r="Q125" s="99"/>
      <c r="R125" s="99"/>
      <c r="S125" s="104"/>
      <c r="T125" s="99"/>
      <c r="U125" s="113" t="b">
        <v>1</v>
      </c>
      <c r="V125" s="99" t="s">
        <v>2210</v>
      </c>
      <c r="Y125" s="6" t="s">
        <v>452</v>
      </c>
      <c r="Z125" t="b">
        <v>0</v>
      </c>
    </row>
    <row r="126" hidden="1">
      <c r="A126" s="99">
        <v>664.0</v>
      </c>
      <c r="B126" s="99" t="s">
        <v>181</v>
      </c>
      <c r="C126" s="86" t="s">
        <v>408</v>
      </c>
      <c r="D126" s="99">
        <v>3.03460300113E11</v>
      </c>
      <c r="E126" s="99" t="s">
        <v>1110</v>
      </c>
      <c r="F126" s="99" t="s">
        <v>2184</v>
      </c>
      <c r="G126" s="99" t="s">
        <v>2186</v>
      </c>
      <c r="H126" s="99" t="s">
        <v>189</v>
      </c>
      <c r="J126" s="60"/>
      <c r="K126" s="66" t="str">
        <f>IFNA(VLOOKUP(D126,'EAN Codes'!A:C,2,False),"")</f>
        <v/>
      </c>
      <c r="L126" s="82"/>
      <c r="M126" s="83"/>
      <c r="N126" s="6"/>
      <c r="O126" s="6"/>
      <c r="P126" s="6"/>
      <c r="Q126" s="6"/>
      <c r="R126" s="6"/>
      <c r="S126" s="84"/>
      <c r="T126" s="6"/>
      <c r="U126" s="69" t="b">
        <v>1</v>
      </c>
      <c r="V126" s="6" t="s">
        <v>2215</v>
      </c>
      <c r="Y126" s="6" t="s">
        <v>452</v>
      </c>
      <c r="Z126" t="b">
        <v>0</v>
      </c>
    </row>
    <row r="127" hidden="1">
      <c r="A127" s="221">
        <v>666.0</v>
      </c>
      <c r="B127" s="217" t="s">
        <v>181</v>
      </c>
      <c r="C127" s="166" t="s">
        <v>408</v>
      </c>
      <c r="D127" s="121">
        <v>3.03460300113E11</v>
      </c>
      <c r="E127" s="217" t="s">
        <v>1110</v>
      </c>
      <c r="F127" s="217" t="s">
        <v>2184</v>
      </c>
      <c r="G127" s="217" t="s">
        <v>2186</v>
      </c>
      <c r="H127" s="217" t="s">
        <v>189</v>
      </c>
      <c r="I127" s="233"/>
      <c r="J127" s="234"/>
      <c r="K127" s="66" t="str">
        <f>IFNA(VLOOKUP(D127,'EAN Codes'!A:C,2,False),"")</f>
        <v/>
      </c>
      <c r="L127" s="233"/>
      <c r="M127" s="83"/>
      <c r="N127" s="6"/>
      <c r="O127" s="6"/>
      <c r="P127" s="6"/>
      <c r="Q127" s="6"/>
      <c r="R127" s="6"/>
      <c r="S127" s="84"/>
      <c r="T127" s="6"/>
      <c r="U127" s="235" t="b">
        <v>1</v>
      </c>
      <c r="V127" s="6" t="s">
        <v>2222</v>
      </c>
      <c r="W127" s="233"/>
      <c r="X127" s="233"/>
      <c r="Y127" s="236" t="s">
        <v>452</v>
      </c>
      <c r="Z127" t="b">
        <v>0</v>
      </c>
    </row>
    <row r="128" hidden="1">
      <c r="A128" s="99">
        <v>4.0</v>
      </c>
      <c r="B128" s="6"/>
      <c r="C128" s="6" t="s">
        <v>731</v>
      </c>
      <c r="D128" s="99" t="s">
        <v>2223</v>
      </c>
      <c r="E128" s="99" t="s">
        <v>733</v>
      </c>
      <c r="F128" s="99" t="s">
        <v>2224</v>
      </c>
      <c r="G128" s="99" t="s">
        <v>1013</v>
      </c>
      <c r="J128" s="60"/>
      <c r="K128" s="66" t="str">
        <f>IFNA(VLOOKUP(D128,'EAN Codes'!A:C,2,False),"")</f>
        <v/>
      </c>
      <c r="L128" s="6"/>
      <c r="M128" s="67"/>
      <c r="S128" s="60"/>
      <c r="U128" s="85" t="b">
        <v>1</v>
      </c>
      <c r="Z128" t="b">
        <v>0</v>
      </c>
    </row>
    <row r="129" hidden="1">
      <c r="A129" s="99">
        <v>6.0</v>
      </c>
      <c r="B129" s="6"/>
      <c r="C129" s="6" t="s">
        <v>731</v>
      </c>
      <c r="D129" s="99" t="s">
        <v>2225</v>
      </c>
      <c r="E129" s="99" t="s">
        <v>1110</v>
      </c>
      <c r="F129" s="99" t="s">
        <v>2226</v>
      </c>
      <c r="G129" s="99" t="s">
        <v>2194</v>
      </c>
      <c r="J129" s="60"/>
      <c r="K129" s="66" t="str">
        <f>IFNA(VLOOKUP(D129,'EAN Codes'!A:C,2,False),"")</f>
        <v/>
      </c>
      <c r="L129" s="6"/>
      <c r="M129" s="67"/>
      <c r="S129" s="60"/>
      <c r="U129" s="85" t="b">
        <v>1</v>
      </c>
      <c r="Z129" t="b">
        <v>0</v>
      </c>
    </row>
    <row r="130" hidden="1">
      <c r="A130" s="99">
        <v>13.0</v>
      </c>
      <c r="B130" s="6"/>
      <c r="C130" s="6" t="s">
        <v>731</v>
      </c>
      <c r="D130" s="99" t="s">
        <v>2227</v>
      </c>
      <c r="E130" s="99" t="s">
        <v>1110</v>
      </c>
      <c r="F130" s="99" t="s">
        <v>2228</v>
      </c>
      <c r="J130" s="60"/>
      <c r="K130" s="66" t="str">
        <f>IFNA(VLOOKUP(D130,'EAN Codes'!A:C,2,False),"")</f>
        <v/>
      </c>
      <c r="L130" s="6"/>
      <c r="M130" s="67"/>
      <c r="S130" s="60"/>
      <c r="U130" s="85" t="b">
        <v>1</v>
      </c>
      <c r="Z130" t="b">
        <v>0</v>
      </c>
    </row>
    <row r="131" hidden="1">
      <c r="A131" s="99">
        <v>722.0</v>
      </c>
      <c r="B131" s="86" t="s">
        <v>241</v>
      </c>
      <c r="C131" s="86" t="s">
        <v>408</v>
      </c>
      <c r="D131" s="86">
        <v>303372.0</v>
      </c>
      <c r="E131" s="86" t="s">
        <v>409</v>
      </c>
      <c r="F131" s="86" t="s">
        <v>2229</v>
      </c>
      <c r="G131" s="86" t="s">
        <v>751</v>
      </c>
      <c r="H131" s="99" t="s">
        <v>189</v>
      </c>
      <c r="I131" s="99" t="s">
        <v>1328</v>
      </c>
      <c r="J131" s="104"/>
      <c r="K131" s="66" t="str">
        <f>IFNA(VLOOKUP(D131,'EAN Codes'!A:C,2,False),"")</f>
        <v/>
      </c>
      <c r="L131" s="99" t="s">
        <v>269</v>
      </c>
      <c r="M131" s="119"/>
      <c r="N131" s="99"/>
      <c r="O131" s="99"/>
      <c r="P131" s="99"/>
      <c r="Q131" s="99"/>
      <c r="R131" s="99"/>
      <c r="S131" s="104"/>
      <c r="T131" s="99"/>
      <c r="U131" s="113" t="b">
        <v>1</v>
      </c>
      <c r="V131" s="99" t="s">
        <v>2230</v>
      </c>
      <c r="Y131" s="6" t="s">
        <v>452</v>
      </c>
      <c r="Z131" s="233" t="b">
        <v>0</v>
      </c>
      <c r="AA131" s="233"/>
      <c r="AB131" s="233"/>
      <c r="AC131" s="233"/>
      <c r="AD131" s="233"/>
      <c r="AE131" s="233"/>
    </row>
    <row r="132" hidden="1">
      <c r="A132" s="99">
        <v>307.0</v>
      </c>
      <c r="B132" s="6" t="s">
        <v>241</v>
      </c>
      <c r="C132" s="99" t="s">
        <v>342</v>
      </c>
      <c r="D132" s="99" t="s">
        <v>2231</v>
      </c>
      <c r="E132" s="99" t="s">
        <v>409</v>
      </c>
      <c r="F132" s="99" t="s">
        <v>2232</v>
      </c>
      <c r="G132" s="99" t="s">
        <v>793</v>
      </c>
      <c r="H132" s="99" t="s">
        <v>189</v>
      </c>
      <c r="I132" s="99" t="s">
        <v>585</v>
      </c>
      <c r="J132" s="104"/>
      <c r="K132" s="66" t="str">
        <f>IFNA(VLOOKUP(D132,'EAN Codes'!A:C,2,False),"")</f>
        <v>5907615801488</v>
      </c>
      <c r="L132" s="99"/>
      <c r="M132" s="119"/>
      <c r="N132" s="99"/>
      <c r="O132" s="99"/>
      <c r="P132" s="99"/>
      <c r="Q132" s="99"/>
      <c r="R132" s="99"/>
      <c r="S132" s="104"/>
      <c r="T132" s="99"/>
      <c r="U132" s="113" t="b">
        <v>1</v>
      </c>
      <c r="V132" s="99" t="s">
        <v>2233</v>
      </c>
      <c r="Z132" t="b">
        <v>0</v>
      </c>
    </row>
    <row r="133" hidden="1">
      <c r="A133" s="99">
        <v>536.0</v>
      </c>
      <c r="B133" s="99" t="s">
        <v>241</v>
      </c>
      <c r="C133" s="99" t="s">
        <v>408</v>
      </c>
      <c r="D133" s="237">
        <v>303372.0</v>
      </c>
      <c r="E133" s="99" t="s">
        <v>373</v>
      </c>
      <c r="F133" s="99" t="s">
        <v>2234</v>
      </c>
      <c r="G133" s="99" t="s">
        <v>751</v>
      </c>
      <c r="H133" s="99" t="s">
        <v>189</v>
      </c>
      <c r="I133" s="99" t="s">
        <v>819</v>
      </c>
      <c r="J133" s="104"/>
      <c r="K133" s="66" t="str">
        <f>IFNA(VLOOKUP(D133,'EAN Codes'!A:C,2,False),"")</f>
        <v/>
      </c>
      <c r="L133" s="99"/>
      <c r="M133" s="119"/>
      <c r="N133" s="99"/>
      <c r="O133" s="99"/>
      <c r="P133" s="99"/>
      <c r="Q133" s="99"/>
      <c r="R133" s="99"/>
      <c r="S133" s="104"/>
      <c r="T133" s="99"/>
      <c r="U133" s="113" t="b">
        <v>1</v>
      </c>
      <c r="V133" s="99" t="s">
        <v>2235</v>
      </c>
      <c r="Z133" s="101" t="b">
        <v>0</v>
      </c>
      <c r="AA133" s="101"/>
      <c r="AB133" s="101"/>
      <c r="AC133" s="101"/>
      <c r="AD133" s="101"/>
      <c r="AE133" s="101"/>
    </row>
    <row r="134" hidden="1">
      <c r="A134" s="99">
        <v>414.0</v>
      </c>
      <c r="B134" s="99" t="s">
        <v>241</v>
      </c>
      <c r="C134" s="122" t="s">
        <v>858</v>
      </c>
      <c r="D134" s="217" t="s">
        <v>2236</v>
      </c>
      <c r="E134" s="122" t="s">
        <v>864</v>
      </c>
      <c r="F134" s="122" t="s">
        <v>2237</v>
      </c>
      <c r="G134" s="122" t="s">
        <v>2238</v>
      </c>
      <c r="H134" s="99" t="s">
        <v>189</v>
      </c>
      <c r="I134" s="99" t="s">
        <v>570</v>
      </c>
      <c r="J134" s="104"/>
      <c r="K134" s="66" t="str">
        <f>IFNA(VLOOKUP(D134,'EAN Codes'!A:C,2,False),"")</f>
        <v/>
      </c>
      <c r="L134" s="35"/>
      <c r="M134" s="83"/>
      <c r="N134" s="6"/>
      <c r="O134" s="6"/>
      <c r="P134" s="6"/>
      <c r="Q134" s="6"/>
      <c r="R134" s="6"/>
      <c r="S134" s="84"/>
      <c r="T134" s="6"/>
      <c r="U134" s="69" t="b">
        <v>1</v>
      </c>
      <c r="V134" s="6" t="s">
        <v>2239</v>
      </c>
      <c r="Z134" t="b">
        <v>0</v>
      </c>
    </row>
    <row r="135" hidden="1">
      <c r="A135" s="238">
        <v>259.0</v>
      </c>
      <c r="B135" s="6" t="s">
        <v>241</v>
      </c>
      <c r="C135" s="160" t="s">
        <v>408</v>
      </c>
      <c r="D135" s="238">
        <v>303352.0</v>
      </c>
      <c r="E135" s="238" t="s">
        <v>409</v>
      </c>
      <c r="F135" s="238" t="s">
        <v>2240</v>
      </c>
      <c r="G135" s="238" t="s">
        <v>1222</v>
      </c>
      <c r="H135" s="238" t="s">
        <v>189</v>
      </c>
      <c r="I135" s="238" t="s">
        <v>626</v>
      </c>
      <c r="J135" s="239"/>
      <c r="K135" s="66" t="str">
        <f>IFNA(VLOOKUP(D135,'EAN Codes'!A:C,2,False),"")</f>
        <v/>
      </c>
      <c r="L135" s="238" t="s">
        <v>92</v>
      </c>
      <c r="M135" s="67"/>
      <c r="S135" s="60"/>
      <c r="U135" s="240" t="b">
        <v>1</v>
      </c>
      <c r="Z135" t="b">
        <v>0</v>
      </c>
    </row>
    <row r="136" hidden="1">
      <c r="A136" s="99">
        <v>283.0</v>
      </c>
      <c r="B136" s="6" t="s">
        <v>241</v>
      </c>
      <c r="C136" s="99" t="s">
        <v>2241</v>
      </c>
      <c r="D136" s="99">
        <v>303352.0</v>
      </c>
      <c r="E136" s="99" t="s">
        <v>409</v>
      </c>
      <c r="F136" s="99" t="s">
        <v>2240</v>
      </c>
      <c r="G136" s="99" t="s">
        <v>1222</v>
      </c>
      <c r="H136" s="99" t="s">
        <v>189</v>
      </c>
      <c r="I136" s="99" t="s">
        <v>1328</v>
      </c>
      <c r="J136" s="104"/>
      <c r="K136" s="66" t="str">
        <f>IFNA(VLOOKUP(D136,'EAN Codes'!A:C,2,False),"")</f>
        <v/>
      </c>
      <c r="L136" s="35"/>
      <c r="M136" s="83"/>
      <c r="N136" s="6"/>
      <c r="O136" s="6"/>
      <c r="P136" s="6"/>
      <c r="Q136" s="6"/>
      <c r="R136" s="6"/>
      <c r="S136" s="84"/>
      <c r="T136" s="6"/>
      <c r="U136" s="69" t="b">
        <v>1</v>
      </c>
      <c r="V136" s="6" t="s">
        <v>2242</v>
      </c>
      <c r="Z136" t="b">
        <v>0</v>
      </c>
    </row>
    <row r="137" hidden="1">
      <c r="A137" s="99">
        <v>452.0</v>
      </c>
      <c r="B137" s="99" t="s">
        <v>241</v>
      </c>
      <c r="C137" s="99" t="s">
        <v>408</v>
      </c>
      <c r="D137" s="99">
        <v>303366.0</v>
      </c>
      <c r="E137" s="99" t="s">
        <v>409</v>
      </c>
      <c r="F137" s="99" t="s">
        <v>2243</v>
      </c>
      <c r="G137" s="99" t="s">
        <v>437</v>
      </c>
      <c r="H137" s="99" t="s">
        <v>189</v>
      </c>
      <c r="I137" s="99" t="s">
        <v>819</v>
      </c>
      <c r="J137" s="104"/>
      <c r="K137" s="66" t="str">
        <f>IFNA(VLOOKUP(D137,'EAN Codes'!A:C,2,False),"")</f>
        <v/>
      </c>
      <c r="L137" s="35" t="s">
        <v>269</v>
      </c>
      <c r="M137" s="119"/>
      <c r="N137" s="99"/>
      <c r="O137" s="99"/>
      <c r="P137" s="99"/>
      <c r="Q137" s="99"/>
      <c r="R137" s="99"/>
      <c r="S137" s="104"/>
      <c r="T137" s="99"/>
      <c r="U137" s="69" t="b">
        <v>1</v>
      </c>
      <c r="V137" s="99" t="s">
        <v>2244</v>
      </c>
      <c r="Y137" s="6" t="s">
        <v>452</v>
      </c>
      <c r="Z137" t="b">
        <v>0</v>
      </c>
    </row>
    <row r="138" hidden="1">
      <c r="A138" s="99">
        <v>677.0</v>
      </c>
      <c r="B138" s="99" t="s">
        <v>241</v>
      </c>
      <c r="C138" s="99" t="s">
        <v>342</v>
      </c>
      <c r="D138" s="99" t="s">
        <v>2245</v>
      </c>
      <c r="E138" s="99" t="s">
        <v>373</v>
      </c>
      <c r="F138" s="99" t="s">
        <v>2246</v>
      </c>
      <c r="G138" s="99" t="s">
        <v>437</v>
      </c>
      <c r="H138" s="99" t="s">
        <v>189</v>
      </c>
      <c r="I138" s="99" t="s">
        <v>458</v>
      </c>
      <c r="J138" s="104"/>
      <c r="K138" s="66" t="str">
        <f>IFNA(VLOOKUP(D138,'EAN Codes'!A:C,2,False),"")</f>
        <v>5907615801327</v>
      </c>
      <c r="L138" s="82"/>
      <c r="M138" s="83"/>
      <c r="N138" s="6"/>
      <c r="O138" s="6"/>
      <c r="P138" s="6"/>
      <c r="Q138" s="6"/>
      <c r="R138" s="6"/>
      <c r="S138" s="84"/>
      <c r="T138" s="6"/>
      <c r="U138" s="69" t="b">
        <v>1</v>
      </c>
      <c r="V138" s="6" t="s">
        <v>2247</v>
      </c>
      <c r="Z138" t="b">
        <v>0</v>
      </c>
    </row>
    <row r="139" hidden="1">
      <c r="A139" s="99">
        <v>422.0</v>
      </c>
      <c r="B139" s="99" t="s">
        <v>241</v>
      </c>
      <c r="C139" s="99" t="s">
        <v>342</v>
      </c>
      <c r="D139" s="99" t="s">
        <v>2245</v>
      </c>
      <c r="E139" s="99" t="s">
        <v>373</v>
      </c>
      <c r="F139" s="99" t="s">
        <v>2246</v>
      </c>
      <c r="G139" s="99" t="s">
        <v>437</v>
      </c>
      <c r="H139" s="99" t="s">
        <v>189</v>
      </c>
      <c r="I139" s="99" t="s">
        <v>819</v>
      </c>
      <c r="J139" s="104"/>
      <c r="K139" s="66" t="str">
        <f>IFNA(VLOOKUP(D139,'EAN Codes'!A:C,2,False),"")</f>
        <v>5907615801327</v>
      </c>
      <c r="L139" s="99"/>
      <c r="M139" s="119"/>
      <c r="N139" s="99"/>
      <c r="O139" s="99"/>
      <c r="P139" s="99"/>
      <c r="Q139" s="99"/>
      <c r="R139" s="99"/>
      <c r="S139" s="104"/>
      <c r="T139" s="99"/>
      <c r="U139" s="113" t="b">
        <v>1</v>
      </c>
      <c r="V139" s="99" t="s">
        <v>2248</v>
      </c>
      <c r="Z139" t="b">
        <v>0</v>
      </c>
    </row>
    <row r="140" hidden="1">
      <c r="A140" s="99">
        <v>578.0</v>
      </c>
      <c r="B140" s="99" t="s">
        <v>241</v>
      </c>
      <c r="C140" s="99" t="s">
        <v>408</v>
      </c>
      <c r="D140" s="99">
        <v>303428.0</v>
      </c>
      <c r="E140" s="99" t="s">
        <v>346</v>
      </c>
      <c r="F140" s="99" t="s">
        <v>2249</v>
      </c>
      <c r="G140" s="99" t="s">
        <v>2250</v>
      </c>
      <c r="H140" s="99" t="s">
        <v>189</v>
      </c>
      <c r="I140" s="99" t="s">
        <v>551</v>
      </c>
      <c r="J140" s="104"/>
      <c r="K140" s="66" t="str">
        <f>IFNA(VLOOKUP(D140,'EAN Codes'!A:C,2,False),"")</f>
        <v/>
      </c>
      <c r="L140" s="99"/>
      <c r="M140" s="119"/>
      <c r="N140" s="99"/>
      <c r="O140" s="99"/>
      <c r="P140" s="99"/>
      <c r="Q140" s="99"/>
      <c r="R140" s="99"/>
      <c r="S140" s="104"/>
      <c r="T140" s="99"/>
      <c r="U140" s="113" t="b">
        <v>1</v>
      </c>
      <c r="V140" s="99" t="s">
        <v>2248</v>
      </c>
      <c r="Z140" t="b">
        <v>0</v>
      </c>
    </row>
    <row r="141" hidden="1">
      <c r="A141" s="217"/>
      <c r="B141" s="217" t="s">
        <v>241</v>
      </c>
      <c r="C141" s="217" t="s">
        <v>760</v>
      </c>
      <c r="D141" s="120" t="s">
        <v>2251</v>
      </c>
      <c r="E141" s="217" t="s">
        <v>373</v>
      </c>
      <c r="F141" s="120" t="s">
        <v>2252</v>
      </c>
      <c r="G141" s="122"/>
      <c r="H141" s="217" t="s">
        <v>189</v>
      </c>
      <c r="I141" s="217" t="s">
        <v>2253</v>
      </c>
      <c r="J141" s="241"/>
      <c r="K141" s="66" t="str">
        <f>IFNA(VLOOKUP(D141,'EAN Codes'!A:C,2,False),"")</f>
        <v/>
      </c>
      <c r="L141" s="101"/>
      <c r="M141" s="119"/>
      <c r="N141" s="99"/>
      <c r="O141" s="99"/>
      <c r="P141" s="99"/>
      <c r="Q141" s="99"/>
      <c r="R141" s="99"/>
      <c r="S141" s="104"/>
      <c r="T141" s="99"/>
      <c r="U141" s="113" t="b">
        <v>1</v>
      </c>
      <c r="V141" s="99" t="s">
        <v>2254</v>
      </c>
      <c r="Z141" t="b">
        <v>0</v>
      </c>
    </row>
    <row r="142" hidden="1">
      <c r="A142" s="99">
        <v>580.0</v>
      </c>
      <c r="B142" s="99" t="s">
        <v>241</v>
      </c>
      <c r="C142" s="99" t="s">
        <v>408</v>
      </c>
      <c r="D142" s="99">
        <v>303266.0</v>
      </c>
      <c r="E142" s="99" t="s">
        <v>373</v>
      </c>
      <c r="F142" s="99" t="s">
        <v>2255</v>
      </c>
      <c r="G142" s="99" t="s">
        <v>2256</v>
      </c>
      <c r="H142" s="99" t="s">
        <v>189</v>
      </c>
      <c r="I142" s="99" t="s">
        <v>551</v>
      </c>
      <c r="J142" s="104"/>
      <c r="K142" s="66" t="str">
        <f>IFNA(VLOOKUP(D142,'EAN Codes'!A:C,2,False),"")</f>
        <v/>
      </c>
      <c r="L142" s="82"/>
      <c r="M142" s="83"/>
      <c r="N142" s="6"/>
      <c r="O142" s="6"/>
      <c r="P142" s="6"/>
      <c r="Q142" s="6"/>
      <c r="R142" s="6"/>
      <c r="S142" s="84"/>
      <c r="T142" s="6"/>
      <c r="U142" s="69" t="b">
        <v>1</v>
      </c>
      <c r="V142" s="6" t="s">
        <v>2257</v>
      </c>
      <c r="Z142" t="b">
        <v>0</v>
      </c>
    </row>
    <row r="143" hidden="1">
      <c r="A143" s="35">
        <v>803.0</v>
      </c>
      <c r="B143" s="35" t="s">
        <v>241</v>
      </c>
      <c r="C143" s="35" t="s">
        <v>342</v>
      </c>
      <c r="D143" s="35" t="s">
        <v>2006</v>
      </c>
      <c r="E143" s="35" t="s">
        <v>346</v>
      </c>
      <c r="F143" s="35" t="s">
        <v>2258</v>
      </c>
      <c r="G143" s="35" t="s">
        <v>2178</v>
      </c>
      <c r="H143" s="35" t="s">
        <v>189</v>
      </c>
      <c r="I143" s="35" t="s">
        <v>680</v>
      </c>
      <c r="J143" s="146"/>
      <c r="K143" s="66" t="str">
        <f>IFNA(VLOOKUP(D143,'EAN Codes'!A:C,2,False),"")</f>
        <v>5907615801198</v>
      </c>
      <c r="L143" s="82"/>
      <c r="M143" s="92"/>
      <c r="N143" s="86"/>
      <c r="O143" s="86"/>
      <c r="P143" s="86"/>
      <c r="Q143" s="86"/>
      <c r="R143" s="86"/>
      <c r="S143" s="88"/>
      <c r="T143" s="86"/>
      <c r="U143" s="69" t="b">
        <v>1</v>
      </c>
      <c r="V143" s="86" t="s">
        <v>2259</v>
      </c>
      <c r="W143" s="82"/>
      <c r="X143" s="82"/>
      <c r="Y143" s="82"/>
      <c r="Z143" t="b">
        <v>0</v>
      </c>
    </row>
    <row r="144" hidden="1">
      <c r="A144" s="99">
        <v>805.0</v>
      </c>
      <c r="B144" s="99" t="s">
        <v>241</v>
      </c>
      <c r="C144" s="99" t="s">
        <v>342</v>
      </c>
      <c r="D144" s="99" t="s">
        <v>2006</v>
      </c>
      <c r="E144" s="99" t="s">
        <v>346</v>
      </c>
      <c r="F144" s="99" t="s">
        <v>2258</v>
      </c>
      <c r="G144" s="99" t="s">
        <v>2178</v>
      </c>
      <c r="H144" s="99" t="s">
        <v>189</v>
      </c>
      <c r="I144" s="99" t="s">
        <v>680</v>
      </c>
      <c r="J144" s="104"/>
      <c r="K144" s="66" t="str">
        <f>IFNA(VLOOKUP(D144,'EAN Codes'!A:C,2,False),"")</f>
        <v>5907615801198</v>
      </c>
      <c r="L144" s="101"/>
      <c r="M144" s="119"/>
      <c r="N144" s="99"/>
      <c r="O144" s="99"/>
      <c r="P144" s="99"/>
      <c r="Q144" s="99"/>
      <c r="R144" s="99"/>
      <c r="S144" s="104"/>
      <c r="T144" s="99"/>
      <c r="U144" s="113" t="b">
        <v>1</v>
      </c>
      <c r="V144" s="99" t="s">
        <v>2260</v>
      </c>
      <c r="Z144" t="b">
        <v>0</v>
      </c>
    </row>
    <row r="145" hidden="1">
      <c r="A145" s="86">
        <v>656.0</v>
      </c>
      <c r="B145" s="99" t="s">
        <v>241</v>
      </c>
      <c r="C145" s="99" t="s">
        <v>342</v>
      </c>
      <c r="D145" s="99" t="s">
        <v>2245</v>
      </c>
      <c r="E145" s="99" t="s">
        <v>2070</v>
      </c>
      <c r="F145" s="99" t="s">
        <v>2258</v>
      </c>
      <c r="G145" s="99" t="s">
        <v>437</v>
      </c>
      <c r="H145" s="99" t="s">
        <v>189</v>
      </c>
      <c r="I145" s="99" t="s">
        <v>1634</v>
      </c>
      <c r="J145" s="104"/>
      <c r="K145" s="66" t="str">
        <f>IFNA(VLOOKUP(D145,'EAN Codes'!A:C,2,False),"")</f>
        <v>5907615801327</v>
      </c>
      <c r="L145" s="35" t="s">
        <v>269</v>
      </c>
      <c r="M145" s="83"/>
      <c r="N145" s="6"/>
      <c r="O145" s="6"/>
      <c r="P145" s="6"/>
      <c r="Q145" s="6"/>
      <c r="R145" s="6"/>
      <c r="S145" s="84"/>
      <c r="T145" s="6"/>
      <c r="U145" s="69" t="b">
        <v>1</v>
      </c>
      <c r="V145" s="6" t="s">
        <v>2261</v>
      </c>
      <c r="Z145" t="b">
        <v>0</v>
      </c>
    </row>
    <row r="146" hidden="1">
      <c r="A146" s="86">
        <v>655.0</v>
      </c>
      <c r="B146" s="99" t="s">
        <v>241</v>
      </c>
      <c r="C146" s="99" t="s">
        <v>408</v>
      </c>
      <c r="D146" s="99">
        <v>303352.0</v>
      </c>
      <c r="E146" s="99" t="s">
        <v>2070</v>
      </c>
      <c r="F146" s="99" t="s">
        <v>2258</v>
      </c>
      <c r="G146" s="99" t="s">
        <v>437</v>
      </c>
      <c r="H146" s="99" t="s">
        <v>189</v>
      </c>
      <c r="I146" s="99" t="s">
        <v>819</v>
      </c>
      <c r="J146" s="104"/>
      <c r="K146" s="66" t="str">
        <f>IFNA(VLOOKUP(D146,'EAN Codes'!A:C,2,False),"")</f>
        <v/>
      </c>
      <c r="L146" s="99" t="s">
        <v>269</v>
      </c>
      <c r="M146" s="119"/>
      <c r="N146" s="99"/>
      <c r="O146" s="99"/>
      <c r="P146" s="99"/>
      <c r="Q146" s="99"/>
      <c r="R146" s="99"/>
      <c r="S146" s="104"/>
      <c r="T146" s="99"/>
      <c r="U146" s="113" t="b">
        <v>1</v>
      </c>
      <c r="V146" s="99" t="s">
        <v>2262</v>
      </c>
      <c r="Y146" s="6" t="s">
        <v>452</v>
      </c>
      <c r="Z146" t="b">
        <v>0</v>
      </c>
    </row>
    <row r="147" hidden="1">
      <c r="A147" s="99">
        <v>157.0</v>
      </c>
      <c r="B147" s="6" t="s">
        <v>241</v>
      </c>
      <c r="C147" s="99" t="s">
        <v>342</v>
      </c>
      <c r="D147" s="99" t="s">
        <v>2006</v>
      </c>
      <c r="E147" s="99" t="s">
        <v>346</v>
      </c>
      <c r="F147" s="99" t="s">
        <v>2263</v>
      </c>
      <c r="G147" s="99" t="s">
        <v>2178</v>
      </c>
      <c r="H147" s="99" t="s">
        <v>512</v>
      </c>
      <c r="I147" s="99" t="s">
        <v>570</v>
      </c>
      <c r="J147" s="104"/>
      <c r="K147" s="66" t="str">
        <f>IFNA(VLOOKUP(D147,'EAN Codes'!A:C,2,False),"")</f>
        <v>5907615801198</v>
      </c>
      <c r="L147" s="99"/>
      <c r="M147" s="119"/>
      <c r="N147" s="99"/>
      <c r="O147" s="99"/>
      <c r="P147" s="99"/>
      <c r="Q147" s="99"/>
      <c r="R147" s="99"/>
      <c r="S147" s="104"/>
      <c r="T147" s="99"/>
      <c r="U147" s="113" t="b">
        <v>1</v>
      </c>
      <c r="V147" s="99" t="s">
        <v>2264</v>
      </c>
      <c r="W147" s="101"/>
      <c r="X147" s="101"/>
      <c r="Y147" s="101"/>
      <c r="Z147" t="b">
        <v>0</v>
      </c>
    </row>
    <row r="148" hidden="1">
      <c r="A148" s="99">
        <v>620.0</v>
      </c>
      <c r="B148" s="99" t="s">
        <v>241</v>
      </c>
      <c r="C148" s="99" t="s">
        <v>342</v>
      </c>
      <c r="D148" s="99" t="s">
        <v>2006</v>
      </c>
      <c r="E148" s="99" t="s">
        <v>346</v>
      </c>
      <c r="F148" s="99" t="s">
        <v>2263</v>
      </c>
      <c r="G148" s="99" t="s">
        <v>2178</v>
      </c>
      <c r="H148" s="99" t="s">
        <v>512</v>
      </c>
      <c r="I148" s="99" t="s">
        <v>819</v>
      </c>
      <c r="J148" s="104"/>
      <c r="K148" s="66" t="str">
        <f>IFNA(VLOOKUP(D148,'EAN Codes'!A:C,2,False),"")</f>
        <v>5907615801198</v>
      </c>
      <c r="L148" s="6"/>
      <c r="M148" s="119"/>
      <c r="N148" s="99"/>
      <c r="O148" s="99"/>
      <c r="P148" s="99"/>
      <c r="Q148" s="99"/>
      <c r="R148" s="99"/>
      <c r="S148" s="104"/>
      <c r="T148" s="99"/>
      <c r="U148" s="85" t="b">
        <v>1</v>
      </c>
      <c r="V148" s="99" t="s">
        <v>2265</v>
      </c>
      <c r="Z148" t="b">
        <v>0</v>
      </c>
    </row>
    <row r="149" hidden="1">
      <c r="A149" s="99">
        <v>904.0</v>
      </c>
      <c r="B149" s="99" t="s">
        <v>241</v>
      </c>
      <c r="C149" s="99" t="s">
        <v>342</v>
      </c>
      <c r="D149" s="99" t="s">
        <v>2266</v>
      </c>
      <c r="E149" s="99" t="s">
        <v>346</v>
      </c>
      <c r="F149" s="99" t="s">
        <v>2267</v>
      </c>
      <c r="G149" s="99" t="s">
        <v>437</v>
      </c>
      <c r="H149" s="99" t="s">
        <v>189</v>
      </c>
      <c r="I149" s="99" t="s">
        <v>570</v>
      </c>
      <c r="J149" s="104"/>
      <c r="K149" s="66" t="str">
        <f>IFNA(VLOOKUP(D149,'EAN Codes'!A:C,2,False),"")</f>
        <v>5907615801297</v>
      </c>
      <c r="L149" s="82"/>
      <c r="M149" s="119"/>
      <c r="N149" s="99"/>
      <c r="O149" s="99"/>
      <c r="P149" s="99"/>
      <c r="Q149" s="99"/>
      <c r="R149" s="99"/>
      <c r="S149" s="104"/>
      <c r="T149" s="99"/>
      <c r="U149" s="69" t="b">
        <v>1</v>
      </c>
      <c r="V149" s="99" t="s">
        <v>2275</v>
      </c>
      <c r="Z149" t="b">
        <v>0</v>
      </c>
    </row>
    <row r="150" hidden="1">
      <c r="A150" s="86">
        <v>275.0</v>
      </c>
      <c r="B150" s="6" t="s">
        <v>241</v>
      </c>
      <c r="C150" s="86" t="s">
        <v>342</v>
      </c>
      <c r="D150" s="86" t="s">
        <v>2023</v>
      </c>
      <c r="E150" s="86" t="s">
        <v>409</v>
      </c>
      <c r="F150" s="86" t="s">
        <v>2277</v>
      </c>
      <c r="G150" s="86" t="s">
        <v>1819</v>
      </c>
      <c r="H150" s="86" t="s">
        <v>189</v>
      </c>
      <c r="I150" s="86" t="s">
        <v>1328</v>
      </c>
      <c r="J150" s="88"/>
      <c r="K150" s="66" t="str">
        <f>IFNA(VLOOKUP(D150,'EAN Codes'!A:C,2,False),"")</f>
        <v>5907615801174</v>
      </c>
      <c r="L150" s="99"/>
      <c r="M150" s="119"/>
      <c r="N150" s="99"/>
      <c r="O150" s="99"/>
      <c r="P150" s="99"/>
      <c r="Q150" s="99"/>
      <c r="R150" s="99"/>
      <c r="S150" s="104"/>
      <c r="T150" s="99"/>
      <c r="U150" s="113" t="b">
        <v>1</v>
      </c>
      <c r="V150" s="99" t="s">
        <v>2286</v>
      </c>
      <c r="W150" s="6"/>
      <c r="Z150" t="b">
        <v>0</v>
      </c>
    </row>
    <row r="151" hidden="1">
      <c r="A151" s="99">
        <v>284.0</v>
      </c>
      <c r="B151" s="6" t="s">
        <v>241</v>
      </c>
      <c r="C151" s="86" t="s">
        <v>342</v>
      </c>
      <c r="D151" s="86" t="s">
        <v>2023</v>
      </c>
      <c r="E151" s="86" t="s">
        <v>409</v>
      </c>
      <c r="F151" s="86" t="s">
        <v>2277</v>
      </c>
      <c r="G151" s="86" t="s">
        <v>1819</v>
      </c>
      <c r="H151" s="99" t="s">
        <v>189</v>
      </c>
      <c r="I151" s="99" t="s">
        <v>626</v>
      </c>
      <c r="J151" s="104"/>
      <c r="K151" s="66" t="str">
        <f>IFNA(VLOOKUP(D151,'EAN Codes'!A:C,2,False),"")</f>
        <v>5907615801174</v>
      </c>
      <c r="L151" s="35"/>
      <c r="M151" s="67"/>
      <c r="S151" s="60"/>
      <c r="U151" s="69" t="b">
        <v>1</v>
      </c>
      <c r="Z151" t="b">
        <v>0</v>
      </c>
    </row>
    <row r="152" hidden="1">
      <c r="A152" s="86">
        <v>1033.0</v>
      </c>
      <c r="B152" s="86" t="s">
        <v>241</v>
      </c>
      <c r="C152" s="86" t="s">
        <v>408</v>
      </c>
      <c r="D152" s="87" t="s">
        <v>2296</v>
      </c>
      <c r="E152" s="86" t="s">
        <v>346</v>
      </c>
      <c r="F152" s="86" t="s">
        <v>2300</v>
      </c>
      <c r="G152" s="86" t="s">
        <v>1222</v>
      </c>
      <c r="H152" s="86" t="s">
        <v>189</v>
      </c>
      <c r="I152" s="86" t="s">
        <v>585</v>
      </c>
      <c r="J152" s="88"/>
      <c r="K152" s="90"/>
      <c r="L152" s="91"/>
      <c r="M152" s="92"/>
      <c r="N152" s="86"/>
      <c r="O152" s="86"/>
      <c r="P152" s="86"/>
      <c r="Q152" s="86"/>
      <c r="R152" s="86"/>
      <c r="S152" s="88"/>
      <c r="T152" s="86"/>
      <c r="U152" s="93" t="b">
        <v>1</v>
      </c>
      <c r="V152" s="86" t="s">
        <v>2303</v>
      </c>
      <c r="W152" s="115"/>
      <c r="X152" s="115"/>
      <c r="Y152" s="115"/>
      <c r="Z152" s="115" t="b">
        <v>0</v>
      </c>
      <c r="AA152" s="115"/>
      <c r="AB152" s="115"/>
      <c r="AC152" s="115"/>
      <c r="AD152" s="115"/>
      <c r="AE152" s="115"/>
    </row>
    <row r="153" hidden="1">
      <c r="A153" s="99">
        <v>282.0</v>
      </c>
      <c r="B153" s="99" t="s">
        <v>241</v>
      </c>
      <c r="C153" s="99" t="s">
        <v>408</v>
      </c>
      <c r="D153" s="99">
        <v>303266.0</v>
      </c>
      <c r="E153" s="99" t="s">
        <v>409</v>
      </c>
      <c r="F153" s="99" t="s">
        <v>2305</v>
      </c>
      <c r="G153" s="99" t="s">
        <v>2256</v>
      </c>
      <c r="H153" s="99" t="s">
        <v>189</v>
      </c>
      <c r="I153" s="99" t="s">
        <v>418</v>
      </c>
      <c r="J153" s="104"/>
      <c r="K153" s="66" t="str">
        <f>IFNA(VLOOKUP(D153,'EAN Codes'!A:C,2,False),"")</f>
        <v/>
      </c>
      <c r="L153" s="99"/>
      <c r="M153" s="119"/>
      <c r="N153" s="99"/>
      <c r="O153" s="99"/>
      <c r="P153" s="99"/>
      <c r="Q153" s="99"/>
      <c r="R153" s="99"/>
      <c r="S153" s="104"/>
      <c r="T153" s="99"/>
      <c r="U153" s="113" t="b">
        <v>1</v>
      </c>
      <c r="V153" s="99" t="s">
        <v>2306</v>
      </c>
      <c r="Z153" t="b">
        <v>0</v>
      </c>
    </row>
    <row r="154" hidden="1">
      <c r="A154" s="99">
        <v>1.0</v>
      </c>
      <c r="B154" s="99"/>
      <c r="C154" s="99" t="s">
        <v>408</v>
      </c>
      <c r="D154" s="99">
        <v>303331.0</v>
      </c>
      <c r="E154" s="99" t="s">
        <v>346</v>
      </c>
      <c r="F154" s="99" t="s">
        <v>2307</v>
      </c>
      <c r="G154" s="153">
        <v>42837.0</v>
      </c>
      <c r="H154" s="99" t="s">
        <v>2308</v>
      </c>
      <c r="I154" s="99" t="s">
        <v>1634</v>
      </c>
      <c r="J154" s="104"/>
      <c r="K154" s="66" t="str">
        <f>IFNA(VLOOKUP(D154,'EAN Codes'!A:C,2,False),"")</f>
        <v/>
      </c>
      <c r="L154" s="35"/>
      <c r="M154" s="83"/>
      <c r="N154" s="6"/>
      <c r="O154" s="6"/>
      <c r="P154" s="6"/>
      <c r="Q154" s="6"/>
      <c r="R154" s="6"/>
      <c r="S154" s="84"/>
      <c r="T154" s="6"/>
      <c r="U154" s="69" t="b">
        <v>1</v>
      </c>
      <c r="V154" s="6" t="s">
        <v>2309</v>
      </c>
      <c r="Z154" t="b">
        <v>0</v>
      </c>
    </row>
    <row r="155" hidden="1">
      <c r="A155" s="99">
        <v>590.0</v>
      </c>
      <c r="B155" s="99" t="s">
        <v>241</v>
      </c>
      <c r="C155" s="99" t="s">
        <v>408</v>
      </c>
      <c r="D155" s="99">
        <v>303352.0</v>
      </c>
      <c r="E155" s="99" t="s">
        <v>373</v>
      </c>
      <c r="F155" s="99" t="s">
        <v>2310</v>
      </c>
      <c r="G155" s="99" t="s">
        <v>437</v>
      </c>
      <c r="H155" s="99" t="s">
        <v>189</v>
      </c>
      <c r="I155" s="99" t="s">
        <v>602</v>
      </c>
      <c r="J155" s="104"/>
      <c r="K155" s="66" t="str">
        <f>IFNA(VLOOKUP(D155,'EAN Codes'!A:C,2,False),"")</f>
        <v/>
      </c>
      <c r="L155" s="35" t="s">
        <v>269</v>
      </c>
      <c r="M155" s="67"/>
      <c r="S155" s="60"/>
      <c r="U155" s="69" t="b">
        <v>1</v>
      </c>
      <c r="Y155" s="6" t="s">
        <v>452</v>
      </c>
      <c r="Z155" t="b">
        <v>0</v>
      </c>
    </row>
    <row r="156" hidden="1">
      <c r="A156" s="99">
        <v>447.0</v>
      </c>
      <c r="B156" s="99" t="s">
        <v>241</v>
      </c>
      <c r="C156" s="99" t="s">
        <v>408</v>
      </c>
      <c r="D156" s="99">
        <v>303352.0</v>
      </c>
      <c r="E156" s="99" t="s">
        <v>409</v>
      </c>
      <c r="F156" s="99" t="s">
        <v>2311</v>
      </c>
      <c r="G156" s="99" t="s">
        <v>437</v>
      </c>
      <c r="H156" s="99" t="s">
        <v>189</v>
      </c>
      <c r="I156" s="99" t="s">
        <v>680</v>
      </c>
      <c r="J156" s="104"/>
      <c r="K156" s="66" t="str">
        <f>IFNA(VLOOKUP(D156,'EAN Codes'!A:C,2,False),"")</f>
        <v/>
      </c>
      <c r="L156" s="35" t="s">
        <v>269</v>
      </c>
      <c r="M156" s="83"/>
      <c r="N156" s="6"/>
      <c r="O156" s="6"/>
      <c r="P156" s="6"/>
      <c r="Q156" s="6"/>
      <c r="R156" s="6"/>
      <c r="S156" s="84"/>
      <c r="T156" s="6"/>
      <c r="U156" s="69" t="b">
        <v>1</v>
      </c>
      <c r="V156" s="6" t="s">
        <v>2312</v>
      </c>
      <c r="Y156" s="6" t="s">
        <v>452</v>
      </c>
      <c r="Z156" t="b">
        <v>0</v>
      </c>
    </row>
    <row r="157" hidden="1">
      <c r="A157" s="99">
        <v>187.0</v>
      </c>
      <c r="B157" s="6" t="s">
        <v>241</v>
      </c>
      <c r="C157" s="99" t="s">
        <v>342</v>
      </c>
      <c r="D157" s="99" t="s">
        <v>2245</v>
      </c>
      <c r="E157" s="99" t="s">
        <v>409</v>
      </c>
      <c r="F157" s="99" t="s">
        <v>2313</v>
      </c>
      <c r="G157" s="99" t="s">
        <v>497</v>
      </c>
      <c r="H157" s="99" t="s">
        <v>189</v>
      </c>
      <c r="I157" s="99" t="s">
        <v>1328</v>
      </c>
      <c r="J157" s="104"/>
      <c r="K157" s="66" t="str">
        <f>IFNA(VLOOKUP(D157,'EAN Codes'!A:C,2,False),"")</f>
        <v>5907615801327</v>
      </c>
      <c r="L157" s="35"/>
      <c r="M157" s="67"/>
      <c r="S157" s="60"/>
      <c r="U157" s="69" t="b">
        <v>1</v>
      </c>
      <c r="Z157" t="b">
        <v>0</v>
      </c>
    </row>
    <row r="158" hidden="1">
      <c r="A158" s="99">
        <v>168.0</v>
      </c>
      <c r="B158" s="6" t="s">
        <v>241</v>
      </c>
      <c r="C158" s="99" t="s">
        <v>1217</v>
      </c>
      <c r="D158" s="99" t="s">
        <v>2314</v>
      </c>
      <c r="E158" s="101"/>
      <c r="F158" s="99" t="s">
        <v>2315</v>
      </c>
      <c r="G158" s="101"/>
      <c r="H158" s="99" t="s">
        <v>189</v>
      </c>
      <c r="I158" s="99" t="s">
        <v>458</v>
      </c>
      <c r="J158" s="104"/>
      <c r="K158" s="66" t="str">
        <f>IFNA(VLOOKUP(D158,'EAN Codes'!A:C,2,False),"")</f>
        <v/>
      </c>
      <c r="L158" s="35"/>
      <c r="M158" s="83"/>
      <c r="N158" s="6"/>
      <c r="O158" s="6"/>
      <c r="P158" s="6"/>
      <c r="Q158" s="6"/>
      <c r="R158" s="6"/>
      <c r="S158" s="84"/>
      <c r="T158" s="6"/>
      <c r="U158" s="69" t="b">
        <v>1</v>
      </c>
      <c r="V158" s="6"/>
      <c r="Z158" t="b">
        <v>0</v>
      </c>
    </row>
    <row r="159" hidden="1">
      <c r="A159" s="86">
        <v>279.0</v>
      </c>
      <c r="B159" s="99" t="s">
        <v>241</v>
      </c>
      <c r="C159" s="86" t="s">
        <v>408</v>
      </c>
      <c r="D159" s="86">
        <v>3.033526000001E12</v>
      </c>
      <c r="E159" s="86" t="s">
        <v>373</v>
      </c>
      <c r="F159" s="86" t="s">
        <v>2316</v>
      </c>
      <c r="G159" s="86" t="s">
        <v>437</v>
      </c>
      <c r="H159" s="86" t="s">
        <v>189</v>
      </c>
      <c r="I159" s="86" t="s">
        <v>1007</v>
      </c>
      <c r="J159" s="88"/>
      <c r="K159" s="66" t="str">
        <f>IFNA(VLOOKUP(D159,'EAN Codes'!A:C,2,False),"")</f>
        <v/>
      </c>
      <c r="L159" s="86"/>
      <c r="M159" s="92"/>
      <c r="N159" s="86"/>
      <c r="O159" s="86"/>
      <c r="P159" s="86"/>
      <c r="Q159" s="86"/>
      <c r="R159" s="86"/>
      <c r="S159" s="88"/>
      <c r="T159" s="86"/>
      <c r="U159" s="93" t="b">
        <v>1</v>
      </c>
      <c r="V159" s="86" t="s">
        <v>2317</v>
      </c>
      <c r="Z159" t="b">
        <v>0</v>
      </c>
    </row>
    <row r="160" hidden="1">
      <c r="A160" s="86">
        <v>292.0</v>
      </c>
      <c r="B160" s="6" t="s">
        <v>241</v>
      </c>
      <c r="C160" s="86" t="s">
        <v>342</v>
      </c>
      <c r="D160" s="86" t="s">
        <v>2245</v>
      </c>
      <c r="E160" s="86" t="s">
        <v>409</v>
      </c>
      <c r="F160" s="86" t="s">
        <v>2318</v>
      </c>
      <c r="G160" s="86" t="s">
        <v>437</v>
      </c>
      <c r="H160" s="86" t="s">
        <v>189</v>
      </c>
      <c r="I160" s="86" t="s">
        <v>570</v>
      </c>
      <c r="J160" s="88"/>
      <c r="K160" s="66" t="str">
        <f>IFNA(VLOOKUP(D160,'EAN Codes'!A:C,2,False),"")</f>
        <v>5907615801327</v>
      </c>
      <c r="L160" s="99"/>
      <c r="M160" s="119"/>
      <c r="N160" s="99"/>
      <c r="O160" s="99"/>
      <c r="P160" s="99"/>
      <c r="Q160" s="99"/>
      <c r="R160" s="99"/>
      <c r="S160" s="104"/>
      <c r="T160" s="99"/>
      <c r="U160" s="113" t="b">
        <v>1</v>
      </c>
      <c r="V160" s="99" t="s">
        <v>2319</v>
      </c>
      <c r="Z160" t="b">
        <v>0</v>
      </c>
    </row>
    <row r="161" hidden="1">
      <c r="A161" s="99">
        <v>728.0</v>
      </c>
      <c r="B161" s="99" t="s">
        <v>2320</v>
      </c>
      <c r="C161" s="99" t="s">
        <v>1250</v>
      </c>
      <c r="D161" s="100" t="s">
        <v>2321</v>
      </c>
      <c r="E161" s="99" t="s">
        <v>409</v>
      </c>
      <c r="F161" s="99" t="s">
        <v>2322</v>
      </c>
      <c r="G161" s="99" t="s">
        <v>2323</v>
      </c>
      <c r="H161" s="99" t="s">
        <v>189</v>
      </c>
      <c r="I161" s="99" t="s">
        <v>1863</v>
      </c>
      <c r="J161" s="104"/>
      <c r="K161" s="66" t="str">
        <f>IFNA(VLOOKUP(D161,'EAN Codes'!A:C,2,False),"")</f>
        <v>8058772227141</v>
      </c>
      <c r="L161" s="82"/>
      <c r="M161" s="227"/>
      <c r="N161" s="187"/>
      <c r="O161" s="187"/>
      <c r="P161" s="187"/>
      <c r="Q161" s="187"/>
      <c r="R161" s="187"/>
      <c r="S161" s="228"/>
      <c r="T161" s="187"/>
      <c r="U161" s="69" t="b">
        <v>1</v>
      </c>
      <c r="V161" s="187"/>
      <c r="Z161" t="b">
        <v>0</v>
      </c>
    </row>
    <row r="162" hidden="1">
      <c r="A162" s="99">
        <v>208.0</v>
      </c>
      <c r="B162" s="99"/>
      <c r="C162" s="99" t="s">
        <v>408</v>
      </c>
      <c r="D162" s="99">
        <v>303331.0</v>
      </c>
      <c r="E162" s="99" t="s">
        <v>346</v>
      </c>
      <c r="F162" s="99" t="s">
        <v>2324</v>
      </c>
      <c r="G162" s="99" t="s">
        <v>987</v>
      </c>
      <c r="H162" s="99" t="s">
        <v>1726</v>
      </c>
      <c r="I162" s="99" t="s">
        <v>1634</v>
      </c>
      <c r="J162" s="104"/>
      <c r="K162" s="66" t="str">
        <f>IFNA(VLOOKUP(D162,'EAN Codes'!A:C,2,False),"")</f>
        <v/>
      </c>
      <c r="L162" s="99"/>
      <c r="M162" s="119"/>
      <c r="N162" s="99"/>
      <c r="O162" s="99"/>
      <c r="P162" s="99"/>
      <c r="Q162" s="99"/>
      <c r="R162" s="99"/>
      <c r="S162" s="104"/>
      <c r="T162" s="99"/>
      <c r="U162" s="113" t="b">
        <v>1</v>
      </c>
      <c r="V162" s="99"/>
      <c r="Z162" t="b">
        <v>0</v>
      </c>
    </row>
    <row r="163" hidden="1">
      <c r="A163" s="99">
        <v>221.0</v>
      </c>
      <c r="B163" s="99"/>
      <c r="C163" s="99" t="s">
        <v>342</v>
      </c>
      <c r="D163" s="99" t="s">
        <v>2023</v>
      </c>
      <c r="E163" s="99" t="s">
        <v>373</v>
      </c>
      <c r="F163" s="99" t="s">
        <v>2324</v>
      </c>
      <c r="G163" s="99" t="s">
        <v>987</v>
      </c>
      <c r="H163" s="99" t="s">
        <v>1726</v>
      </c>
      <c r="I163" s="99" t="s">
        <v>1007</v>
      </c>
      <c r="J163" s="104"/>
      <c r="K163" s="66" t="str">
        <f>IFNA(VLOOKUP(D163,'EAN Codes'!A:C,2,False),"")</f>
        <v>5907615801174</v>
      </c>
      <c r="L163" s="35"/>
      <c r="M163" s="67"/>
      <c r="S163" s="60"/>
      <c r="U163" s="69" t="b">
        <v>1</v>
      </c>
      <c r="Z163" t="b">
        <v>0</v>
      </c>
    </row>
    <row r="164" hidden="1">
      <c r="A164" s="99">
        <v>181.0</v>
      </c>
      <c r="B164" s="99"/>
      <c r="C164" s="99" t="s">
        <v>342</v>
      </c>
      <c r="D164" s="99" t="s">
        <v>2344</v>
      </c>
      <c r="E164" s="99" t="s">
        <v>409</v>
      </c>
      <c r="F164" s="99" t="s">
        <v>2345</v>
      </c>
      <c r="G164" s="99" t="s">
        <v>2346</v>
      </c>
      <c r="H164" s="99" t="s">
        <v>189</v>
      </c>
      <c r="I164" s="99" t="s">
        <v>530</v>
      </c>
      <c r="J164" s="104"/>
      <c r="K164" s="66" t="str">
        <f>IFNA(VLOOKUP(D164,'EAN Codes'!A:C,2,False),"")</f>
        <v>5907615801365</v>
      </c>
      <c r="L164" s="35"/>
      <c r="M164" s="119"/>
      <c r="N164" s="99"/>
      <c r="O164" s="99"/>
      <c r="P164" s="99"/>
      <c r="Q164" s="99"/>
      <c r="R164" s="99"/>
      <c r="S164" s="104"/>
      <c r="T164" s="99"/>
      <c r="U164" s="69" t="b">
        <v>1</v>
      </c>
      <c r="V164" s="99" t="s">
        <v>2370</v>
      </c>
      <c r="Z164" t="b">
        <v>0</v>
      </c>
    </row>
    <row r="165" hidden="1">
      <c r="A165" s="99">
        <v>133.0</v>
      </c>
      <c r="B165" s="99"/>
      <c r="C165" s="99" t="s">
        <v>342</v>
      </c>
      <c r="D165" s="99" t="s">
        <v>2344</v>
      </c>
      <c r="E165" s="99" t="s">
        <v>409</v>
      </c>
      <c r="F165" s="99" t="s">
        <v>2371</v>
      </c>
      <c r="G165" s="99" t="s">
        <v>1222</v>
      </c>
      <c r="H165" s="99" t="s">
        <v>189</v>
      </c>
      <c r="I165" s="99" t="s">
        <v>680</v>
      </c>
      <c r="J165" s="104"/>
      <c r="K165" s="66" t="str">
        <f>IFNA(VLOOKUP(D165,'EAN Codes'!A:C,2,False),"")</f>
        <v>5907615801365</v>
      </c>
      <c r="L165" s="35"/>
      <c r="M165" s="119"/>
      <c r="N165" s="99"/>
      <c r="O165" s="99"/>
      <c r="P165" s="99"/>
      <c r="Q165" s="99"/>
      <c r="R165" s="99"/>
      <c r="S165" s="104"/>
      <c r="T165" s="99"/>
      <c r="U165" s="69" t="b">
        <v>1</v>
      </c>
      <c r="V165" s="99" t="s">
        <v>2379</v>
      </c>
      <c r="Z165" t="b">
        <v>0</v>
      </c>
    </row>
    <row r="166" hidden="1">
      <c r="A166" s="99">
        <v>565.0</v>
      </c>
      <c r="B166" s="99" t="s">
        <v>241</v>
      </c>
      <c r="C166" s="99" t="s">
        <v>408</v>
      </c>
      <c r="D166" s="99">
        <v>303397.0</v>
      </c>
      <c r="E166" s="99" t="s">
        <v>346</v>
      </c>
      <c r="F166" s="99" t="s">
        <v>2380</v>
      </c>
      <c r="G166" s="99" t="s">
        <v>1013</v>
      </c>
      <c r="H166" s="99" t="s">
        <v>189</v>
      </c>
      <c r="I166" s="99" t="s">
        <v>551</v>
      </c>
      <c r="J166" s="104"/>
      <c r="K166" s="66" t="str">
        <f>IFNA(VLOOKUP(D166,'EAN Codes'!A:C,2,False),"")</f>
        <v/>
      </c>
      <c r="L166" s="99"/>
      <c r="M166" s="119"/>
      <c r="N166" s="99"/>
      <c r="O166" s="99"/>
      <c r="P166" s="99"/>
      <c r="Q166" s="99"/>
      <c r="R166" s="99"/>
      <c r="S166" s="104"/>
      <c r="T166" s="99"/>
      <c r="U166" s="113" t="b">
        <v>1</v>
      </c>
      <c r="V166" s="99" t="s">
        <v>2381</v>
      </c>
      <c r="Z166" t="b">
        <v>0</v>
      </c>
    </row>
    <row r="167" hidden="1">
      <c r="A167" s="99">
        <v>541.0</v>
      </c>
      <c r="B167" s="99" t="s">
        <v>241</v>
      </c>
      <c r="C167" s="99" t="s">
        <v>342</v>
      </c>
      <c r="D167" s="99" t="s">
        <v>2382</v>
      </c>
      <c r="E167" s="99" t="s">
        <v>346</v>
      </c>
      <c r="F167" s="99" t="s">
        <v>2383</v>
      </c>
      <c r="G167" s="99" t="s">
        <v>2384</v>
      </c>
      <c r="H167" s="99" t="s">
        <v>1726</v>
      </c>
      <c r="I167" s="99" t="s">
        <v>570</v>
      </c>
      <c r="J167" s="104"/>
      <c r="K167" s="66" t="str">
        <f>IFNA(VLOOKUP(D167,'EAN Codes'!A:C,2,False),"")</f>
        <v>5907615801358</v>
      </c>
      <c r="L167" s="99"/>
      <c r="M167" s="119"/>
      <c r="N167" s="99"/>
      <c r="O167" s="99"/>
      <c r="P167" s="99"/>
      <c r="Q167" s="99"/>
      <c r="R167" s="99"/>
      <c r="S167" s="104"/>
      <c r="T167" s="99"/>
      <c r="U167" s="113" t="b">
        <v>1</v>
      </c>
      <c r="V167" s="99" t="s">
        <v>2385</v>
      </c>
      <c r="Z167" t="b">
        <v>0</v>
      </c>
    </row>
    <row r="168" hidden="1">
      <c r="A168" s="99">
        <v>618.0</v>
      </c>
      <c r="B168" s="99" t="s">
        <v>241</v>
      </c>
      <c r="C168" s="99" t="s">
        <v>342</v>
      </c>
      <c r="D168" s="99" t="s">
        <v>2382</v>
      </c>
      <c r="E168" s="99" t="s">
        <v>346</v>
      </c>
      <c r="F168" s="99" t="s">
        <v>2383</v>
      </c>
      <c r="G168" s="99" t="s">
        <v>2384</v>
      </c>
      <c r="H168" s="99" t="s">
        <v>1726</v>
      </c>
      <c r="I168" s="99" t="s">
        <v>570</v>
      </c>
      <c r="J168" s="104"/>
      <c r="K168" s="66" t="str">
        <f>IFNA(VLOOKUP(D168,'EAN Codes'!A:C,2,False),"")</f>
        <v>5907615801358</v>
      </c>
      <c r="L168" s="99"/>
      <c r="M168" s="119"/>
      <c r="N168" s="99"/>
      <c r="O168" s="99"/>
      <c r="P168" s="99"/>
      <c r="Q168" s="99"/>
      <c r="R168" s="99"/>
      <c r="S168" s="104"/>
      <c r="T168" s="99"/>
      <c r="U168" s="113" t="b">
        <v>1</v>
      </c>
      <c r="V168" s="99" t="s">
        <v>2388</v>
      </c>
      <c r="Z168" t="b">
        <v>0</v>
      </c>
    </row>
    <row r="169" hidden="1">
      <c r="A169" s="99">
        <v>595.0</v>
      </c>
      <c r="B169" s="99" t="s">
        <v>241</v>
      </c>
      <c r="C169" s="99" t="s">
        <v>408</v>
      </c>
      <c r="D169" s="99">
        <v>303212.0</v>
      </c>
      <c r="E169" s="99" t="s">
        <v>346</v>
      </c>
      <c r="F169" s="99" t="s">
        <v>2389</v>
      </c>
      <c r="G169" s="99" t="s">
        <v>2390</v>
      </c>
      <c r="H169" s="99" t="s">
        <v>189</v>
      </c>
      <c r="I169" s="99" t="s">
        <v>551</v>
      </c>
      <c r="J169" s="104"/>
      <c r="K169" s="66" t="str">
        <f>IFNA(VLOOKUP(D169,'EAN Codes'!A:C,2,False),"")</f>
        <v/>
      </c>
      <c r="L169" s="6"/>
      <c r="M169" s="119"/>
      <c r="N169" s="99"/>
      <c r="O169" s="99"/>
      <c r="P169" s="99"/>
      <c r="Q169" s="99"/>
      <c r="R169" s="99"/>
      <c r="S169" s="104"/>
      <c r="T169" s="99"/>
      <c r="U169" s="85" t="b">
        <v>1</v>
      </c>
      <c r="V169" s="99" t="s">
        <v>2391</v>
      </c>
      <c r="Z169" t="b">
        <v>0</v>
      </c>
    </row>
    <row r="170" hidden="1">
      <c r="A170" s="99">
        <v>1006.0</v>
      </c>
      <c r="B170" s="99" t="s">
        <v>241</v>
      </c>
      <c r="C170" s="99" t="s">
        <v>760</v>
      </c>
      <c r="D170" s="100" t="s">
        <v>2392</v>
      </c>
      <c r="E170" s="99" t="s">
        <v>409</v>
      </c>
      <c r="F170" s="99" t="s">
        <v>2393</v>
      </c>
      <c r="G170" s="99" t="s">
        <v>437</v>
      </c>
      <c r="H170" s="99" t="s">
        <v>2394</v>
      </c>
      <c r="I170" s="101"/>
      <c r="J170" s="110"/>
      <c r="K170" s="66" t="str">
        <f>IFNA(VLOOKUP(D170,'EAN Codes'!A:C,2,False),"")</f>
        <v>5060128530723</v>
      </c>
      <c r="L170" s="101"/>
      <c r="M170" s="83"/>
      <c r="N170" s="6"/>
      <c r="O170" s="6"/>
      <c r="P170" s="6"/>
      <c r="Q170" s="6"/>
      <c r="R170" s="6"/>
      <c r="S170" s="84"/>
      <c r="T170" s="6"/>
      <c r="U170" s="113" t="b">
        <v>1</v>
      </c>
      <c r="V170" s="6" t="s">
        <v>2395</v>
      </c>
      <c r="Z170" t="b">
        <v>0</v>
      </c>
    </row>
    <row r="171" hidden="1">
      <c r="A171" s="99">
        <v>484.0</v>
      </c>
      <c r="B171" s="99" t="s">
        <v>241</v>
      </c>
      <c r="C171" s="99" t="s">
        <v>760</v>
      </c>
      <c r="D171" s="99" t="s">
        <v>2396</v>
      </c>
      <c r="E171" s="99" t="s">
        <v>373</v>
      </c>
      <c r="F171" s="99" t="s">
        <v>2397</v>
      </c>
      <c r="G171" s="101"/>
      <c r="H171" s="99" t="s">
        <v>189</v>
      </c>
      <c r="I171" s="99" t="s">
        <v>585</v>
      </c>
      <c r="J171" s="104"/>
      <c r="K171" s="66" t="str">
        <f>IFNA(VLOOKUP(D171,'EAN Codes'!A:C,2,False),"")</f>
        <v/>
      </c>
      <c r="L171" s="99"/>
      <c r="M171" s="67"/>
      <c r="S171" s="60"/>
      <c r="U171" s="113" t="b">
        <v>1</v>
      </c>
      <c r="Z171" t="b">
        <v>0</v>
      </c>
    </row>
    <row r="172" hidden="1">
      <c r="A172" s="99">
        <v>287.0</v>
      </c>
      <c r="B172" s="6" t="s">
        <v>241</v>
      </c>
      <c r="C172" s="99" t="s">
        <v>408</v>
      </c>
      <c r="D172" s="99">
        <v>303398.0</v>
      </c>
      <c r="E172" s="99" t="s">
        <v>409</v>
      </c>
      <c r="F172" s="99" t="s">
        <v>2399</v>
      </c>
      <c r="G172" s="99" t="s">
        <v>2400</v>
      </c>
      <c r="H172" s="99" t="s">
        <v>189</v>
      </c>
      <c r="I172" s="99" t="s">
        <v>570</v>
      </c>
      <c r="J172" s="104"/>
      <c r="K172" s="66" t="str">
        <f>IFNA(VLOOKUP(D172,'EAN Codes'!A:C,2,False),"")</f>
        <v/>
      </c>
      <c r="L172" s="35"/>
      <c r="M172" s="67"/>
      <c r="S172" s="60"/>
      <c r="U172" s="69" t="b">
        <v>1</v>
      </c>
      <c r="Z172" t="b">
        <v>0</v>
      </c>
    </row>
    <row r="173" hidden="1">
      <c r="A173" s="99">
        <v>720.0</v>
      </c>
      <c r="B173" s="99" t="s">
        <v>241</v>
      </c>
      <c r="C173" s="99" t="s">
        <v>342</v>
      </c>
      <c r="D173" s="99" t="s">
        <v>2344</v>
      </c>
      <c r="E173" s="99" t="s">
        <v>409</v>
      </c>
      <c r="F173" s="99" t="s">
        <v>2399</v>
      </c>
      <c r="G173" s="101"/>
      <c r="H173" s="99" t="s">
        <v>189</v>
      </c>
      <c r="I173" s="99" t="s">
        <v>1634</v>
      </c>
      <c r="J173" s="104"/>
      <c r="K173" s="66" t="str">
        <f>IFNA(VLOOKUP(D173,'EAN Codes'!A:C,2,False),"")</f>
        <v>5907615801365</v>
      </c>
      <c r="L173" s="35" t="s">
        <v>269</v>
      </c>
      <c r="M173" s="83"/>
      <c r="N173" s="6"/>
      <c r="O173" s="6"/>
      <c r="P173" s="6"/>
      <c r="Q173" s="6"/>
      <c r="R173" s="6"/>
      <c r="S173" s="84"/>
      <c r="T173" s="6"/>
      <c r="U173" s="69" t="b">
        <v>1</v>
      </c>
      <c r="V173" s="6" t="s">
        <v>2403</v>
      </c>
      <c r="Z173" t="b">
        <v>0</v>
      </c>
    </row>
    <row r="174" hidden="1">
      <c r="A174" s="99">
        <v>290.0</v>
      </c>
      <c r="B174" s="99" t="s">
        <v>241</v>
      </c>
      <c r="C174" s="99" t="s">
        <v>760</v>
      </c>
      <c r="D174" s="99" t="s">
        <v>2404</v>
      </c>
      <c r="E174" s="99" t="s">
        <v>409</v>
      </c>
      <c r="F174" s="99" t="s">
        <v>2405</v>
      </c>
      <c r="G174" s="99" t="s">
        <v>1185</v>
      </c>
      <c r="H174" s="99" t="s">
        <v>189</v>
      </c>
      <c r="I174" s="99" t="s">
        <v>680</v>
      </c>
      <c r="J174" s="104"/>
      <c r="K174" s="66" t="str">
        <f>IFNA(VLOOKUP(D174,'EAN Codes'!A:C,2,False),"")</f>
        <v/>
      </c>
      <c r="L174" s="6"/>
      <c r="M174" s="119"/>
      <c r="N174" s="99"/>
      <c r="O174" s="99"/>
      <c r="P174" s="99"/>
      <c r="Q174" s="99"/>
      <c r="R174" s="99"/>
      <c r="S174" s="104"/>
      <c r="T174" s="99"/>
      <c r="U174" s="85" t="b">
        <v>1</v>
      </c>
      <c r="V174" s="99" t="s">
        <v>2406</v>
      </c>
      <c r="Z174" t="b">
        <v>0</v>
      </c>
    </row>
    <row r="175" hidden="1">
      <c r="A175" s="99">
        <v>723.0</v>
      </c>
      <c r="B175" s="99" t="s">
        <v>241</v>
      </c>
      <c r="C175" s="99" t="s">
        <v>342</v>
      </c>
      <c r="D175" s="99" t="s">
        <v>2344</v>
      </c>
      <c r="E175" s="99" t="s">
        <v>409</v>
      </c>
      <c r="F175" s="99" t="s">
        <v>2407</v>
      </c>
      <c r="G175" s="101"/>
      <c r="H175" s="99" t="s">
        <v>189</v>
      </c>
      <c r="I175" s="99" t="s">
        <v>1863</v>
      </c>
      <c r="J175" s="104"/>
      <c r="K175" s="66" t="str">
        <f>IFNA(VLOOKUP(D175,'EAN Codes'!A:C,2,False),"")</f>
        <v>5907615801365</v>
      </c>
      <c r="L175" s="35" t="s">
        <v>269</v>
      </c>
      <c r="M175" s="83"/>
      <c r="N175" s="6"/>
      <c r="O175" s="6"/>
      <c r="P175" s="6"/>
      <c r="Q175" s="6"/>
      <c r="R175" s="6"/>
      <c r="S175" s="84"/>
      <c r="T175" s="6"/>
      <c r="U175" s="69" t="b">
        <v>1</v>
      </c>
      <c r="V175" s="6" t="s">
        <v>2408</v>
      </c>
      <c r="Y175" s="6" t="s">
        <v>452</v>
      </c>
      <c r="Z175" t="b">
        <v>0</v>
      </c>
    </row>
    <row r="176" hidden="1">
      <c r="A176" s="99">
        <v>725.0</v>
      </c>
      <c r="B176" s="99" t="s">
        <v>241</v>
      </c>
      <c r="C176" s="99" t="s">
        <v>408</v>
      </c>
      <c r="D176" s="99">
        <v>303398.0</v>
      </c>
      <c r="E176" s="99" t="s">
        <v>2070</v>
      </c>
      <c r="F176" s="99" t="s">
        <v>2407</v>
      </c>
      <c r="G176" s="99" t="s">
        <v>2409</v>
      </c>
      <c r="H176" s="99" t="s">
        <v>189</v>
      </c>
      <c r="I176" s="99" t="s">
        <v>1863</v>
      </c>
      <c r="J176" s="104"/>
      <c r="K176" s="66" t="str">
        <f>IFNA(VLOOKUP(D176,'EAN Codes'!A:C,2,False),"")</f>
        <v/>
      </c>
      <c r="L176" s="101"/>
      <c r="M176" s="119"/>
      <c r="N176" s="99"/>
      <c r="O176" s="99"/>
      <c r="P176" s="99"/>
      <c r="Q176" s="99"/>
      <c r="R176" s="99"/>
      <c r="S176" s="104"/>
      <c r="T176" s="99"/>
      <c r="U176" s="113" t="b">
        <v>1</v>
      </c>
      <c r="V176" s="99" t="s">
        <v>2410</v>
      </c>
      <c r="Y176" s="6" t="s">
        <v>452</v>
      </c>
      <c r="Z176" t="b">
        <v>0</v>
      </c>
    </row>
    <row r="177" hidden="1">
      <c r="A177" s="86">
        <v>953.0</v>
      </c>
      <c r="B177" s="86" t="s">
        <v>241</v>
      </c>
      <c r="C177" s="86" t="s">
        <v>342</v>
      </c>
      <c r="D177" s="87" t="s">
        <v>2411</v>
      </c>
      <c r="E177" s="86" t="s">
        <v>346</v>
      </c>
      <c r="F177" s="86" t="s">
        <v>2412</v>
      </c>
      <c r="G177" s="86" t="s">
        <v>1819</v>
      </c>
      <c r="H177" s="86" t="s">
        <v>189</v>
      </c>
      <c r="I177" s="86" t="s">
        <v>418</v>
      </c>
      <c r="J177" s="88"/>
      <c r="K177" s="66" t="str">
        <f>IFNA(VLOOKUP(D177,'EAN Codes'!A:C,2,False),"")</f>
        <v>5907615801150</v>
      </c>
      <c r="L177" s="91"/>
      <c r="M177" s="92"/>
      <c r="N177" s="86"/>
      <c r="O177" s="86"/>
      <c r="P177" s="86"/>
      <c r="Q177" s="86"/>
      <c r="R177" s="86"/>
      <c r="S177" s="88"/>
      <c r="T177" s="86"/>
      <c r="U177" s="93" t="b">
        <v>1</v>
      </c>
      <c r="V177" s="86" t="s">
        <v>2415</v>
      </c>
      <c r="Z177" t="b">
        <v>0</v>
      </c>
    </row>
    <row r="178" hidden="1">
      <c r="A178" s="86">
        <v>980.0</v>
      </c>
      <c r="B178" s="86" t="s">
        <v>241</v>
      </c>
      <c r="C178" s="86" t="s">
        <v>760</v>
      </c>
      <c r="D178" s="86" t="s">
        <v>2416</v>
      </c>
      <c r="E178" s="86" t="s">
        <v>2417</v>
      </c>
      <c r="F178" s="86" t="s">
        <v>2407</v>
      </c>
      <c r="G178" s="86" t="s">
        <v>2418</v>
      </c>
      <c r="H178" s="86" t="s">
        <v>189</v>
      </c>
      <c r="I178" s="86" t="s">
        <v>458</v>
      </c>
      <c r="J178" s="88"/>
      <c r="K178" s="66" t="str">
        <f>IFNA(VLOOKUP(D178,'EAN Codes'!A:C,2,False),"")</f>
        <v>5060128530631</v>
      </c>
      <c r="L178" s="261"/>
      <c r="M178" s="262"/>
      <c r="N178" s="115"/>
      <c r="O178" s="115"/>
      <c r="P178" s="115"/>
      <c r="Q178" s="115"/>
      <c r="R178" s="115"/>
      <c r="S178" s="263"/>
      <c r="T178" s="115"/>
      <c r="U178" s="189" t="b">
        <v>1</v>
      </c>
      <c r="V178" s="115"/>
      <c r="Z178" t="b">
        <v>0</v>
      </c>
    </row>
    <row r="179" hidden="1">
      <c r="A179" s="99"/>
      <c r="B179" s="99" t="s">
        <v>241</v>
      </c>
      <c r="C179" s="99" t="s">
        <v>760</v>
      </c>
      <c r="D179" s="99" t="s">
        <v>2416</v>
      </c>
      <c r="E179" s="99" t="s">
        <v>373</v>
      </c>
      <c r="F179" s="99" t="s">
        <v>2407</v>
      </c>
      <c r="G179" s="99" t="s">
        <v>2418</v>
      </c>
      <c r="H179" s="99" t="s">
        <v>189</v>
      </c>
      <c r="I179" s="99" t="s">
        <v>2253</v>
      </c>
      <c r="J179" s="104"/>
      <c r="K179" s="66" t="str">
        <f>IFNA(VLOOKUP(D179,'EAN Codes'!A:C,2,False),"")</f>
        <v>5060128530631</v>
      </c>
      <c r="L179" s="101"/>
      <c r="M179" s="119"/>
      <c r="N179" s="99"/>
      <c r="O179" s="99"/>
      <c r="P179" s="99"/>
      <c r="Q179" s="99"/>
      <c r="R179" s="99"/>
      <c r="S179" s="104"/>
      <c r="T179" s="99"/>
      <c r="U179" s="113" t="b">
        <v>1</v>
      </c>
      <c r="V179" s="99" t="s">
        <v>2421</v>
      </c>
      <c r="Z179" t="b">
        <v>0</v>
      </c>
    </row>
    <row r="180" hidden="1">
      <c r="A180" s="86">
        <v>298.0</v>
      </c>
      <c r="B180" s="6" t="s">
        <v>241</v>
      </c>
      <c r="C180" s="86" t="s">
        <v>342</v>
      </c>
      <c r="D180" s="86" t="s">
        <v>2382</v>
      </c>
      <c r="E180" s="86" t="s">
        <v>346</v>
      </c>
      <c r="F180" s="86" t="s">
        <v>2422</v>
      </c>
      <c r="G180" s="86" t="s">
        <v>375</v>
      </c>
      <c r="H180" s="86" t="s">
        <v>64</v>
      </c>
      <c r="I180" s="91"/>
      <c r="J180" s="97"/>
      <c r="K180" s="66" t="str">
        <f>IFNA(VLOOKUP(D180,'EAN Codes'!A:C,2,False),"")</f>
        <v>5907615801358</v>
      </c>
      <c r="L180" s="86"/>
      <c r="M180" s="92"/>
      <c r="N180" s="86"/>
      <c r="O180" s="86"/>
      <c r="P180" s="86"/>
      <c r="Q180" s="86"/>
      <c r="R180" s="86"/>
      <c r="S180" s="88"/>
      <c r="T180" s="86"/>
      <c r="U180" s="93" t="b">
        <v>1</v>
      </c>
      <c r="V180" s="86" t="s">
        <v>2423</v>
      </c>
      <c r="Z180" t="b">
        <v>0</v>
      </c>
    </row>
    <row r="181" hidden="1">
      <c r="A181" s="99">
        <v>396.0</v>
      </c>
      <c r="B181" s="99" t="s">
        <v>241</v>
      </c>
      <c r="C181" s="122" t="s">
        <v>858</v>
      </c>
      <c r="D181" s="217" t="s">
        <v>2424</v>
      </c>
      <c r="E181" s="122" t="s">
        <v>864</v>
      </c>
      <c r="F181" s="122" t="s">
        <v>2425</v>
      </c>
      <c r="G181" s="101"/>
      <c r="H181" s="99" t="s">
        <v>189</v>
      </c>
      <c r="I181" s="99" t="s">
        <v>819</v>
      </c>
      <c r="J181" s="104"/>
      <c r="K181" s="66" t="str">
        <f>IFNA(VLOOKUP(D181,'EAN Codes'!A:C,2,False),"")</f>
        <v/>
      </c>
      <c r="L181" s="99"/>
      <c r="M181" s="83"/>
      <c r="N181" s="6"/>
      <c r="O181" s="6"/>
      <c r="P181" s="6"/>
      <c r="Q181" s="6"/>
      <c r="R181" s="6"/>
      <c r="S181" s="84"/>
      <c r="T181" s="6"/>
      <c r="U181" s="113" t="b">
        <v>1</v>
      </c>
      <c r="V181" s="6" t="s">
        <v>2426</v>
      </c>
      <c r="Z181" t="b">
        <v>0</v>
      </c>
    </row>
    <row r="182" hidden="1">
      <c r="A182" s="86"/>
      <c r="B182" s="86" t="s">
        <v>241</v>
      </c>
      <c r="C182" s="86" t="s">
        <v>342</v>
      </c>
      <c r="D182" s="264" t="s">
        <v>2382</v>
      </c>
      <c r="E182" s="86" t="s">
        <v>346</v>
      </c>
      <c r="F182" s="165" t="s">
        <v>2425</v>
      </c>
      <c r="G182" s="86" t="s">
        <v>375</v>
      </c>
      <c r="H182" s="86" t="s">
        <v>2427</v>
      </c>
      <c r="I182" s="86"/>
      <c r="J182" s="88"/>
      <c r="K182" s="66" t="str">
        <f>IFNA(VLOOKUP(D182,'EAN Codes'!A:C,2,False),"")</f>
        <v>5907615801358</v>
      </c>
      <c r="L182" s="91"/>
      <c r="M182" s="92"/>
      <c r="N182" s="86"/>
      <c r="O182" s="86"/>
      <c r="P182" s="86"/>
      <c r="Q182" s="86"/>
      <c r="R182" s="86"/>
      <c r="S182" s="88"/>
      <c r="T182" s="86"/>
      <c r="U182" s="93" t="b">
        <v>1</v>
      </c>
      <c r="V182" s="86" t="s">
        <v>2430</v>
      </c>
      <c r="Z182" t="b">
        <v>0</v>
      </c>
    </row>
    <row r="183" hidden="1">
      <c r="A183" s="99">
        <v>395.0</v>
      </c>
      <c r="B183" s="99" t="s">
        <v>241</v>
      </c>
      <c r="C183" s="122" t="s">
        <v>858</v>
      </c>
      <c r="D183" s="217" t="s">
        <v>2424</v>
      </c>
      <c r="E183" s="122" t="s">
        <v>864</v>
      </c>
      <c r="F183" s="122" t="s">
        <v>2425</v>
      </c>
      <c r="G183" s="101"/>
      <c r="H183" s="99" t="s">
        <v>189</v>
      </c>
      <c r="I183" s="99" t="s">
        <v>680</v>
      </c>
      <c r="J183" s="104"/>
      <c r="K183" s="66" t="str">
        <f>IFNA(VLOOKUP(D183,'EAN Codes'!A:C,2,False),"")</f>
        <v/>
      </c>
      <c r="L183" s="35"/>
      <c r="M183" s="83"/>
      <c r="N183" s="6"/>
      <c r="O183" s="6"/>
      <c r="P183" s="6"/>
      <c r="Q183" s="6"/>
      <c r="R183" s="6"/>
      <c r="S183" s="84"/>
      <c r="T183" s="6"/>
      <c r="U183" s="69" t="b">
        <v>1</v>
      </c>
      <c r="V183" s="6" t="s">
        <v>2431</v>
      </c>
      <c r="Z183" t="b">
        <v>0</v>
      </c>
    </row>
    <row r="184" hidden="1">
      <c r="A184" s="91"/>
      <c r="B184" s="86" t="s">
        <v>241</v>
      </c>
      <c r="C184" s="86" t="s">
        <v>342</v>
      </c>
      <c r="D184" s="86" t="s">
        <v>2432</v>
      </c>
      <c r="E184" s="86" t="s">
        <v>409</v>
      </c>
      <c r="F184" s="86" t="s">
        <v>2433</v>
      </c>
      <c r="G184" s="86" t="s">
        <v>1162</v>
      </c>
      <c r="H184" s="86" t="s">
        <v>2434</v>
      </c>
      <c r="I184" s="91"/>
      <c r="J184" s="97"/>
      <c r="K184" s="66" t="str">
        <f>IFNA(VLOOKUP(D184,'EAN Codes'!A:C,2,False),"")</f>
        <v>5907615801457</v>
      </c>
      <c r="L184" s="91"/>
      <c r="M184" s="92"/>
      <c r="N184" s="86"/>
      <c r="O184" s="86"/>
      <c r="P184" s="86"/>
      <c r="Q184" s="86"/>
      <c r="R184" s="86"/>
      <c r="S184" s="88"/>
      <c r="T184" s="86"/>
      <c r="U184" s="93" t="b">
        <v>1</v>
      </c>
      <c r="V184" s="86" t="s">
        <v>2435</v>
      </c>
      <c r="Z184" t="b">
        <v>0</v>
      </c>
    </row>
    <row r="185" hidden="1">
      <c r="A185" s="99">
        <v>879.0</v>
      </c>
      <c r="B185" s="99" t="s">
        <v>241</v>
      </c>
      <c r="C185" s="99" t="s">
        <v>760</v>
      </c>
      <c r="D185" s="99" t="s">
        <v>2436</v>
      </c>
      <c r="E185" s="99" t="s">
        <v>409</v>
      </c>
      <c r="F185" s="99" t="s">
        <v>2437</v>
      </c>
      <c r="G185" s="101"/>
      <c r="H185" s="99" t="s">
        <v>189</v>
      </c>
      <c r="I185" s="99" t="s">
        <v>458</v>
      </c>
      <c r="J185" s="104"/>
      <c r="K185" s="66" t="str">
        <f>IFNA(VLOOKUP(D185,'EAN Codes'!A:C,2,False),"")</f>
        <v/>
      </c>
      <c r="L185" s="101"/>
      <c r="M185" s="119"/>
      <c r="N185" s="99"/>
      <c r="O185" s="99"/>
      <c r="P185" s="99"/>
      <c r="Q185" s="99"/>
      <c r="R185" s="99"/>
      <c r="S185" s="104"/>
      <c r="T185" s="99"/>
      <c r="U185" s="113" t="b">
        <v>1</v>
      </c>
      <c r="V185" s="99" t="s">
        <v>2440</v>
      </c>
      <c r="Z185" t="b">
        <v>0</v>
      </c>
    </row>
    <row r="186" hidden="1">
      <c r="A186" s="6">
        <v>613.0</v>
      </c>
      <c r="B186" s="6" t="s">
        <v>241</v>
      </c>
      <c r="C186" s="6" t="s">
        <v>408</v>
      </c>
      <c r="D186" s="6">
        <v>303352.0</v>
      </c>
      <c r="E186" s="6" t="s">
        <v>373</v>
      </c>
      <c r="F186" s="6" t="s">
        <v>2441</v>
      </c>
      <c r="G186" s="6" t="s">
        <v>1222</v>
      </c>
      <c r="H186" s="6" t="s">
        <v>189</v>
      </c>
      <c r="I186" s="6" t="s">
        <v>942</v>
      </c>
      <c r="J186" s="84"/>
      <c r="K186" s="66" t="str">
        <f>IFNA(VLOOKUP(D186,'EAN Codes'!A:C,2,False),"")</f>
        <v/>
      </c>
      <c r="L186" s="35" t="s">
        <v>92</v>
      </c>
      <c r="M186" s="119"/>
      <c r="N186" s="99"/>
      <c r="O186" s="99"/>
      <c r="P186" s="99"/>
      <c r="Q186" s="99"/>
      <c r="R186" s="99"/>
      <c r="S186" s="104"/>
      <c r="T186" s="99"/>
      <c r="U186" s="69" t="b">
        <v>1</v>
      </c>
      <c r="V186" s="99" t="s">
        <v>2248</v>
      </c>
      <c r="Z186" t="b">
        <v>0</v>
      </c>
    </row>
    <row r="187" hidden="1">
      <c r="A187" s="99">
        <v>614.0</v>
      </c>
      <c r="B187" s="99" t="s">
        <v>241</v>
      </c>
      <c r="C187" s="99" t="s">
        <v>408</v>
      </c>
      <c r="D187" s="99">
        <v>303352.0</v>
      </c>
      <c r="E187" s="99" t="s">
        <v>373</v>
      </c>
      <c r="F187" s="99" t="s">
        <v>2441</v>
      </c>
      <c r="G187" s="99" t="s">
        <v>1222</v>
      </c>
      <c r="H187" s="99" t="s">
        <v>189</v>
      </c>
      <c r="I187" s="99" t="s">
        <v>942</v>
      </c>
      <c r="J187" s="104"/>
      <c r="K187" s="66" t="str">
        <f>IFNA(VLOOKUP(D187,'EAN Codes'!A:C,2,False),"")</f>
        <v/>
      </c>
      <c r="L187" s="6"/>
      <c r="M187" s="145"/>
      <c r="N187" s="35"/>
      <c r="O187" s="35"/>
      <c r="P187" s="35"/>
      <c r="Q187" s="35"/>
      <c r="R187" s="35"/>
      <c r="S187" s="146"/>
      <c r="T187" s="35"/>
      <c r="U187" s="85" t="b">
        <v>1</v>
      </c>
      <c r="V187" s="35" t="s">
        <v>2442</v>
      </c>
      <c r="Z187" t="b">
        <v>0</v>
      </c>
    </row>
    <row r="188" hidden="1">
      <c r="A188" s="99">
        <v>194.0</v>
      </c>
      <c r="B188" s="99"/>
      <c r="C188" s="99" t="s">
        <v>342</v>
      </c>
      <c r="D188" s="99" t="s">
        <v>2443</v>
      </c>
      <c r="E188" s="99" t="s">
        <v>409</v>
      </c>
      <c r="F188" s="99" t="s">
        <v>2444</v>
      </c>
      <c r="G188" s="99" t="s">
        <v>2445</v>
      </c>
      <c r="H188" s="99" t="s">
        <v>189</v>
      </c>
      <c r="I188" s="99" t="s">
        <v>570</v>
      </c>
      <c r="J188" s="104"/>
      <c r="K188" s="66" t="str">
        <f>IFNA(VLOOKUP(D188,'EAN Codes'!A:C,2,False),"")</f>
        <v>5907615801112</v>
      </c>
      <c r="L188" s="35"/>
      <c r="M188" s="83"/>
      <c r="N188" s="6"/>
      <c r="O188" s="6"/>
      <c r="P188" s="6"/>
      <c r="Q188" s="6"/>
      <c r="R188" s="6"/>
      <c r="S188" s="84"/>
      <c r="T188" s="6"/>
      <c r="U188" s="69" t="b">
        <v>1</v>
      </c>
      <c r="V188" s="6" t="s">
        <v>2448</v>
      </c>
      <c r="Z188" t="b">
        <v>0</v>
      </c>
    </row>
    <row r="189" hidden="1">
      <c r="A189" s="6">
        <v>455.0</v>
      </c>
      <c r="B189" s="6" t="s">
        <v>241</v>
      </c>
      <c r="C189" s="6" t="s">
        <v>408</v>
      </c>
      <c r="D189" s="6">
        <v>303394.0</v>
      </c>
      <c r="E189" s="6" t="s">
        <v>409</v>
      </c>
      <c r="F189" s="6" t="s">
        <v>2449</v>
      </c>
      <c r="G189" s="6" t="s">
        <v>2450</v>
      </c>
      <c r="H189" s="6" t="s">
        <v>189</v>
      </c>
      <c r="I189" s="6" t="s">
        <v>680</v>
      </c>
      <c r="J189" s="84"/>
      <c r="K189" s="66" t="str">
        <f>IFNA(VLOOKUP(D189,'EAN Codes'!A:C,2,False),"")</f>
        <v/>
      </c>
      <c r="L189" s="35" t="s">
        <v>92</v>
      </c>
      <c r="M189" s="67"/>
      <c r="S189" s="60"/>
      <c r="U189" s="69" t="b">
        <v>1</v>
      </c>
      <c r="Z189" t="b">
        <v>0</v>
      </c>
    </row>
    <row r="190" hidden="1">
      <c r="A190" s="86">
        <v>657.0</v>
      </c>
      <c r="B190" s="99" t="s">
        <v>241</v>
      </c>
      <c r="C190" s="99" t="s">
        <v>408</v>
      </c>
      <c r="D190" s="99">
        <v>303394.0</v>
      </c>
      <c r="E190" s="99" t="s">
        <v>373</v>
      </c>
      <c r="F190" s="99" t="s">
        <v>2449</v>
      </c>
      <c r="G190" s="99" t="s">
        <v>2450</v>
      </c>
      <c r="H190" s="99" t="s">
        <v>189</v>
      </c>
      <c r="I190" s="99" t="s">
        <v>626</v>
      </c>
      <c r="J190" s="104"/>
      <c r="K190" s="66" t="str">
        <f>IFNA(VLOOKUP(D190,'EAN Codes'!A:C,2,False),"")</f>
        <v/>
      </c>
      <c r="L190" s="99" t="s">
        <v>269</v>
      </c>
      <c r="M190" s="119"/>
      <c r="N190" s="99"/>
      <c r="O190" s="99"/>
      <c r="P190" s="99"/>
      <c r="Q190" s="99"/>
      <c r="R190" s="99"/>
      <c r="S190" s="104"/>
      <c r="T190" s="99"/>
      <c r="U190" s="113" t="b">
        <v>1</v>
      </c>
      <c r="V190" s="99" t="s">
        <v>2451</v>
      </c>
      <c r="Y190" s="6" t="s">
        <v>452</v>
      </c>
      <c r="Z190" t="b">
        <v>0</v>
      </c>
    </row>
    <row r="191" hidden="1">
      <c r="A191" s="99">
        <v>591.0</v>
      </c>
      <c r="B191" s="99" t="s">
        <v>241</v>
      </c>
      <c r="C191" s="99" t="s">
        <v>408</v>
      </c>
      <c r="D191" s="99">
        <v>303394.0</v>
      </c>
      <c r="E191" s="99" t="s">
        <v>373</v>
      </c>
      <c r="F191" s="99" t="s">
        <v>2449</v>
      </c>
      <c r="G191" s="99" t="s">
        <v>2450</v>
      </c>
      <c r="H191" s="99" t="s">
        <v>189</v>
      </c>
      <c r="I191" s="99" t="s">
        <v>602</v>
      </c>
      <c r="J191" s="104"/>
      <c r="K191" s="66" t="str">
        <f>IFNA(VLOOKUP(D191,'EAN Codes'!A:C,2,False),"")</f>
        <v/>
      </c>
      <c r="L191" s="35" t="s">
        <v>269</v>
      </c>
      <c r="M191" s="83"/>
      <c r="N191" s="6"/>
      <c r="O191" s="6"/>
      <c r="P191" s="6"/>
      <c r="Q191" s="6"/>
      <c r="R191" s="6"/>
      <c r="S191" s="84"/>
      <c r="T191" s="6"/>
      <c r="U191" s="69" t="b">
        <v>1</v>
      </c>
      <c r="V191" s="6" t="s">
        <v>2454</v>
      </c>
      <c r="Y191" s="6" t="s">
        <v>452</v>
      </c>
      <c r="Z191" t="b">
        <v>0</v>
      </c>
    </row>
    <row r="192" hidden="1">
      <c r="A192" s="99">
        <v>111.0</v>
      </c>
      <c r="B192" s="99"/>
      <c r="C192" s="99" t="s">
        <v>408</v>
      </c>
      <c r="D192" s="99">
        <v>303394.0</v>
      </c>
      <c r="E192" s="99" t="s">
        <v>409</v>
      </c>
      <c r="F192" s="99" t="s">
        <v>2455</v>
      </c>
      <c r="G192" s="271">
        <v>42628.0</v>
      </c>
      <c r="H192" s="99" t="s">
        <v>512</v>
      </c>
      <c r="I192" s="99" t="s">
        <v>458</v>
      </c>
      <c r="J192" s="104"/>
      <c r="K192" s="66" t="str">
        <f>IFNA(VLOOKUP(D192,'EAN Codes'!A:C,2,False),"")</f>
        <v/>
      </c>
      <c r="L192" s="35"/>
      <c r="M192" s="67"/>
      <c r="S192" s="60"/>
      <c r="U192" s="69" t="b">
        <v>1</v>
      </c>
      <c r="Z192" s="82" t="b">
        <v>0</v>
      </c>
      <c r="AA192" s="82"/>
      <c r="AB192" s="82"/>
      <c r="AC192" s="82"/>
      <c r="AD192" s="82"/>
      <c r="AE192" s="82"/>
    </row>
    <row r="193" hidden="1">
      <c r="A193" s="160"/>
      <c r="B193" s="160" t="s">
        <v>241</v>
      </c>
      <c r="C193" s="160" t="s">
        <v>760</v>
      </c>
      <c r="D193" s="272" t="s">
        <v>2456</v>
      </c>
      <c r="E193" s="160" t="s">
        <v>373</v>
      </c>
      <c r="F193" s="160" t="s">
        <v>2407</v>
      </c>
      <c r="G193" s="160" t="s">
        <v>2418</v>
      </c>
      <c r="H193" s="160" t="s">
        <v>189</v>
      </c>
      <c r="I193" s="160" t="s">
        <v>2457</v>
      </c>
      <c r="J193" s="161"/>
      <c r="K193" s="66" t="str">
        <f>IFNA(VLOOKUP(D193,'EAN Codes'!A:C,2,False),"")</f>
        <v/>
      </c>
      <c r="L193" s="261"/>
      <c r="M193" s="159"/>
      <c r="N193" s="160"/>
      <c r="O193" s="160"/>
      <c r="P193" s="160"/>
      <c r="Q193" s="160"/>
      <c r="R193" s="160"/>
      <c r="S193" s="161"/>
      <c r="T193" s="160"/>
      <c r="U193" s="189" t="b">
        <v>1</v>
      </c>
      <c r="V193" s="160" t="s">
        <v>2460</v>
      </c>
      <c r="Z193" t="b">
        <v>0</v>
      </c>
    </row>
    <row r="194" hidden="1">
      <c r="A194" s="106">
        <v>1030.0</v>
      </c>
      <c r="B194" s="106" t="s">
        <v>241</v>
      </c>
      <c r="C194" s="106" t="s">
        <v>1250</v>
      </c>
      <c r="D194" s="273" t="s">
        <v>2461</v>
      </c>
      <c r="E194" s="106" t="s">
        <v>1390</v>
      </c>
      <c r="F194" s="106" t="s">
        <v>2462</v>
      </c>
      <c r="G194" s="115"/>
      <c r="H194" s="106" t="s">
        <v>189</v>
      </c>
      <c r="I194" s="106" t="s">
        <v>458</v>
      </c>
      <c r="J194" s="274"/>
      <c r="K194" s="275" t="str">
        <f>IFNA(VLOOKUP(D194,'EAN Codes'!A:C,2,False),"")</f>
        <v>8058772227240</v>
      </c>
      <c r="L194" s="261"/>
      <c r="M194" s="276"/>
      <c r="N194" s="106"/>
      <c r="O194" s="106"/>
      <c r="P194" s="106"/>
      <c r="Q194" s="106"/>
      <c r="R194" s="106"/>
      <c r="S194" s="274"/>
      <c r="T194" s="106"/>
      <c r="U194" s="189" t="b">
        <v>1</v>
      </c>
      <c r="V194" s="106" t="s">
        <v>2463</v>
      </c>
      <c r="W194" s="187" t="s">
        <v>2464</v>
      </c>
      <c r="Z194" t="b">
        <v>0</v>
      </c>
    </row>
    <row r="195" hidden="1">
      <c r="A195" s="99">
        <v>998.0</v>
      </c>
      <c r="B195" s="99" t="s">
        <v>241</v>
      </c>
      <c r="C195" s="99" t="s">
        <v>408</v>
      </c>
      <c r="D195" s="100" t="s">
        <v>2468</v>
      </c>
      <c r="E195" s="99" t="s">
        <v>409</v>
      </c>
      <c r="F195" s="99" t="s">
        <v>2469</v>
      </c>
      <c r="G195" s="101"/>
      <c r="H195" s="99" t="s">
        <v>189</v>
      </c>
      <c r="I195" s="99" t="s">
        <v>570</v>
      </c>
      <c r="J195" s="104"/>
      <c r="K195" s="107" t="str">
        <f>IFNA(VLOOKUP(D195,'EAN Codes'!A:C,2,False),"")</f>
        <v>4250557509884</v>
      </c>
      <c r="L195" s="101"/>
      <c r="M195" s="108"/>
      <c r="N195" s="101"/>
      <c r="O195" s="101"/>
      <c r="P195" s="101"/>
      <c r="Q195" s="101"/>
      <c r="R195" s="101"/>
      <c r="S195" s="110"/>
      <c r="T195" s="101"/>
      <c r="U195" s="113" t="b">
        <v>1</v>
      </c>
      <c r="V195" s="101"/>
      <c r="Z195" t="b">
        <v>0</v>
      </c>
    </row>
    <row r="196" hidden="1">
      <c r="A196" s="99">
        <v>227.0</v>
      </c>
      <c r="B196" s="99"/>
      <c r="C196" s="99" t="s">
        <v>342</v>
      </c>
      <c r="D196" s="99" t="s">
        <v>2477</v>
      </c>
      <c r="E196" s="99" t="s">
        <v>346</v>
      </c>
      <c r="F196" s="99" t="s">
        <v>2478</v>
      </c>
      <c r="G196" s="99" t="s">
        <v>1222</v>
      </c>
      <c r="H196" s="99" t="s">
        <v>1726</v>
      </c>
      <c r="I196" s="99" t="s">
        <v>530</v>
      </c>
      <c r="J196" s="104"/>
      <c r="K196" s="66" t="str">
        <f>IFNA(VLOOKUP(D196,'EAN Codes'!A:C,2,False),"")</f>
        <v>5907615801266</v>
      </c>
      <c r="L196" s="35"/>
      <c r="M196" s="67"/>
      <c r="S196" s="60"/>
      <c r="U196" s="69" t="b">
        <v>1</v>
      </c>
      <c r="Z196" t="b">
        <v>0</v>
      </c>
    </row>
    <row r="197" hidden="1">
      <c r="A197" s="99">
        <v>415.0</v>
      </c>
      <c r="B197" s="99" t="s">
        <v>2483</v>
      </c>
      <c r="C197" s="99" t="s">
        <v>494</v>
      </c>
      <c r="D197" s="99" t="s">
        <v>2484</v>
      </c>
      <c r="E197" s="101"/>
      <c r="F197" s="99" t="s">
        <v>2485</v>
      </c>
      <c r="G197" s="282" t="s">
        <v>375</v>
      </c>
      <c r="H197" s="99" t="s">
        <v>189</v>
      </c>
      <c r="I197" s="99" t="s">
        <v>2489</v>
      </c>
      <c r="J197" s="104"/>
      <c r="K197" s="66" t="str">
        <f>IFNA(VLOOKUP(D197,'EAN Codes'!A:C,2,False),"")</f>
        <v/>
      </c>
      <c r="L197" s="99"/>
      <c r="M197" s="283"/>
      <c r="N197" s="284"/>
      <c r="O197" s="284"/>
      <c r="P197" s="284"/>
      <c r="Q197" s="284"/>
      <c r="R197" s="284"/>
      <c r="S197" s="285"/>
      <c r="T197" s="284"/>
      <c r="U197" s="113" t="b">
        <v>1</v>
      </c>
      <c r="V197" s="284" t="s">
        <v>2495</v>
      </c>
      <c r="Z197" t="b">
        <v>0</v>
      </c>
    </row>
    <row r="198" hidden="1">
      <c r="A198" s="86">
        <v>791.0</v>
      </c>
      <c r="B198" s="99" t="s">
        <v>241</v>
      </c>
      <c r="C198" s="99" t="s">
        <v>1250</v>
      </c>
      <c r="D198" s="286" t="s">
        <v>2497</v>
      </c>
      <c r="E198" s="99" t="s">
        <v>346</v>
      </c>
      <c r="F198" s="99" t="s">
        <v>2500</v>
      </c>
      <c r="G198" s="99" t="s">
        <v>1222</v>
      </c>
      <c r="H198" s="99" t="s">
        <v>189</v>
      </c>
      <c r="I198" s="99" t="s">
        <v>570</v>
      </c>
      <c r="J198" s="104"/>
      <c r="K198" s="66" t="str">
        <f>IFNA(VLOOKUP(D198,'EAN Codes'!A:C,2,False),"")</f>
        <v/>
      </c>
      <c r="L198" s="82"/>
      <c r="M198" s="67"/>
      <c r="S198" s="60"/>
      <c r="U198" s="69" t="b">
        <v>1</v>
      </c>
      <c r="Z198" t="b">
        <v>0</v>
      </c>
    </row>
    <row r="199" hidden="1">
      <c r="A199" s="86">
        <v>333.0</v>
      </c>
      <c r="B199" s="86" t="s">
        <v>241</v>
      </c>
      <c r="C199" s="86" t="s">
        <v>408</v>
      </c>
      <c r="D199" s="86">
        <v>3.03404600001E11</v>
      </c>
      <c r="E199" s="86" t="s">
        <v>409</v>
      </c>
      <c r="F199" s="86" t="s">
        <v>2508</v>
      </c>
      <c r="G199" s="86" t="s">
        <v>375</v>
      </c>
      <c r="H199" s="86" t="s">
        <v>517</v>
      </c>
      <c r="I199" s="91"/>
      <c r="J199" s="97"/>
      <c r="K199" s="66" t="str">
        <f>IFNA(VLOOKUP(D199,'EAN Codes'!A:C,2,False),"")</f>
        <v/>
      </c>
      <c r="L199" s="86"/>
      <c r="M199" s="92"/>
      <c r="N199" s="86"/>
      <c r="O199" s="86"/>
      <c r="P199" s="86"/>
      <c r="Q199" s="86"/>
      <c r="R199" s="86"/>
      <c r="S199" s="88"/>
      <c r="T199" s="86"/>
      <c r="U199" s="93" t="b">
        <v>1</v>
      </c>
      <c r="V199" s="86" t="s">
        <v>2516</v>
      </c>
      <c r="Z199" t="b">
        <v>0</v>
      </c>
    </row>
    <row r="200" hidden="1">
      <c r="A200" s="99">
        <v>875.0</v>
      </c>
      <c r="B200" s="99" t="s">
        <v>241</v>
      </c>
      <c r="C200" s="99" t="s">
        <v>760</v>
      </c>
      <c r="D200" s="99" t="s">
        <v>2519</v>
      </c>
      <c r="E200" s="99" t="s">
        <v>409</v>
      </c>
      <c r="F200" s="99" t="s">
        <v>2520</v>
      </c>
      <c r="G200" s="99" t="s">
        <v>1222</v>
      </c>
      <c r="H200" s="99" t="s">
        <v>189</v>
      </c>
      <c r="I200" s="99" t="s">
        <v>530</v>
      </c>
      <c r="J200" s="104"/>
      <c r="K200" s="66" t="str">
        <f>IFNA(VLOOKUP(D200,'EAN Codes'!A:C,2,False),"")</f>
        <v>5060128530662</v>
      </c>
      <c r="L200" s="82"/>
      <c r="M200" s="119"/>
      <c r="N200" s="99"/>
      <c r="O200" s="99"/>
      <c r="P200" s="99"/>
      <c r="Q200" s="99"/>
      <c r="R200" s="99"/>
      <c r="S200" s="104"/>
      <c r="T200" s="99"/>
      <c r="U200" s="69" t="b">
        <v>1</v>
      </c>
      <c r="V200" s="99" t="s">
        <v>2524</v>
      </c>
      <c r="Z200" t="b">
        <v>0</v>
      </c>
    </row>
    <row r="201" hidden="1">
      <c r="A201" s="99">
        <v>196.0</v>
      </c>
      <c r="B201" s="99"/>
      <c r="C201" s="99" t="s">
        <v>342</v>
      </c>
      <c r="D201" s="99" t="s">
        <v>2525</v>
      </c>
      <c r="E201" s="99" t="s">
        <v>409</v>
      </c>
      <c r="F201" s="99" t="s">
        <v>2526</v>
      </c>
      <c r="G201" s="99" t="s">
        <v>2346</v>
      </c>
      <c r="H201" s="99" t="s">
        <v>189</v>
      </c>
      <c r="I201" s="99" t="s">
        <v>570</v>
      </c>
      <c r="J201" s="104"/>
      <c r="K201" s="66" t="str">
        <f>IFNA(VLOOKUP(D201,'EAN Codes'!A:C,2,False),"")</f>
        <v>5907615801273</v>
      </c>
      <c r="L201" s="35"/>
      <c r="M201" s="67"/>
      <c r="S201" s="60"/>
      <c r="U201" s="69" t="b">
        <v>1</v>
      </c>
      <c r="Z201" t="b">
        <v>0</v>
      </c>
    </row>
    <row r="202" hidden="1">
      <c r="A202" s="99">
        <v>102.0</v>
      </c>
      <c r="B202" s="99"/>
      <c r="C202" s="99" t="s">
        <v>408</v>
      </c>
      <c r="D202" s="99">
        <v>303404.0</v>
      </c>
      <c r="E202" s="99" t="s">
        <v>409</v>
      </c>
      <c r="F202" s="99" t="s">
        <v>2532</v>
      </c>
      <c r="G202" s="99" t="s">
        <v>1222</v>
      </c>
      <c r="H202" s="99" t="s">
        <v>512</v>
      </c>
      <c r="I202" s="99" t="s">
        <v>1634</v>
      </c>
      <c r="J202" s="104"/>
      <c r="K202" s="66" t="str">
        <f>IFNA(VLOOKUP(D202,'EAN Codes'!A:C,2,False),"")</f>
        <v/>
      </c>
      <c r="L202" s="35"/>
      <c r="M202" s="119"/>
      <c r="N202" s="99"/>
      <c r="O202" s="99"/>
      <c r="P202" s="99"/>
      <c r="Q202" s="99"/>
      <c r="R202" s="99"/>
      <c r="S202" s="104"/>
      <c r="T202" s="99"/>
      <c r="U202" s="69" t="b">
        <v>1</v>
      </c>
      <c r="V202" s="99"/>
      <c r="Z202" t="b">
        <v>0</v>
      </c>
    </row>
    <row r="203" hidden="1">
      <c r="A203" s="99">
        <v>572.0</v>
      </c>
      <c r="B203" s="99" t="s">
        <v>241</v>
      </c>
      <c r="C203" s="99" t="s">
        <v>408</v>
      </c>
      <c r="D203" s="99">
        <v>303404.0</v>
      </c>
      <c r="E203" s="99" t="s">
        <v>373</v>
      </c>
      <c r="F203" s="99" t="s">
        <v>2536</v>
      </c>
      <c r="G203" s="99" t="s">
        <v>375</v>
      </c>
      <c r="H203" s="99" t="s">
        <v>189</v>
      </c>
      <c r="I203" s="99" t="s">
        <v>551</v>
      </c>
      <c r="J203" s="104"/>
      <c r="K203" s="66" t="str">
        <f>IFNA(VLOOKUP(D203,'EAN Codes'!A:C,2,False),"")</f>
        <v/>
      </c>
      <c r="L203" s="82"/>
      <c r="M203" s="67"/>
      <c r="S203" s="60"/>
      <c r="U203" s="69" t="b">
        <v>1</v>
      </c>
      <c r="Z203" t="b">
        <v>0</v>
      </c>
    </row>
    <row r="204" hidden="1">
      <c r="A204" s="91"/>
      <c r="B204" s="86"/>
      <c r="C204" s="86" t="s">
        <v>342</v>
      </c>
      <c r="D204" s="86" t="s">
        <v>2539</v>
      </c>
      <c r="E204" s="86" t="s">
        <v>346</v>
      </c>
      <c r="F204" s="86" t="s">
        <v>2540</v>
      </c>
      <c r="G204" s="86" t="s">
        <v>2541</v>
      </c>
      <c r="H204" s="86" t="s">
        <v>2542</v>
      </c>
      <c r="I204" s="91"/>
      <c r="J204" s="97"/>
      <c r="K204" s="66" t="str">
        <f>IFNA(VLOOKUP(D204,'EAN Codes'!A:C,2,False),"")</f>
        <v>5907615801204</v>
      </c>
      <c r="L204" s="35"/>
      <c r="M204" s="119"/>
      <c r="N204" s="99"/>
      <c r="O204" s="99"/>
      <c r="P204" s="99"/>
      <c r="Q204" s="99"/>
      <c r="R204" s="99"/>
      <c r="S204" s="104"/>
      <c r="T204" s="99"/>
      <c r="U204" s="69" t="b">
        <v>1</v>
      </c>
      <c r="V204" s="99" t="s">
        <v>2546</v>
      </c>
      <c r="Z204" t="b">
        <v>0</v>
      </c>
    </row>
    <row r="205" hidden="1">
      <c r="A205" s="99">
        <v>112.0</v>
      </c>
      <c r="B205" s="99"/>
      <c r="C205" s="99" t="s">
        <v>342</v>
      </c>
      <c r="D205" s="99" t="s">
        <v>2549</v>
      </c>
      <c r="E205" s="99" t="s">
        <v>409</v>
      </c>
      <c r="F205" s="99" t="s">
        <v>2540</v>
      </c>
      <c r="G205" s="99" t="s">
        <v>1028</v>
      </c>
      <c r="H205" s="99" t="s">
        <v>512</v>
      </c>
      <c r="I205" s="99" t="s">
        <v>1328</v>
      </c>
      <c r="J205" s="104"/>
      <c r="K205" s="66" t="str">
        <f>IFNA(VLOOKUP(D205,'EAN Codes'!A:C,2,False),"")</f>
        <v>5907615801211</v>
      </c>
      <c r="L205" s="35"/>
      <c r="M205" s="67"/>
      <c r="S205" s="60"/>
      <c r="U205" s="69" t="b">
        <v>1</v>
      </c>
      <c r="Z205" t="b">
        <v>0</v>
      </c>
    </row>
    <row r="206" hidden="1">
      <c r="A206" s="99">
        <v>33.0</v>
      </c>
      <c r="B206" s="99"/>
      <c r="C206" s="99" t="s">
        <v>1217</v>
      </c>
      <c r="D206" s="99" t="s">
        <v>2558</v>
      </c>
      <c r="E206" s="99" t="s">
        <v>409</v>
      </c>
      <c r="F206" s="99" t="s">
        <v>2540</v>
      </c>
      <c r="G206" s="99" t="s">
        <v>2559</v>
      </c>
      <c r="H206" s="99" t="s">
        <v>512</v>
      </c>
      <c r="I206" s="99" t="s">
        <v>585</v>
      </c>
      <c r="J206" s="104"/>
      <c r="K206" s="66" t="str">
        <f>IFNA(VLOOKUP(D206,'EAN Codes'!A:C,2,False),"")</f>
        <v/>
      </c>
      <c r="L206" s="35"/>
      <c r="M206" s="145"/>
      <c r="N206" s="35"/>
      <c r="O206" s="35"/>
      <c r="P206" s="35"/>
      <c r="Q206" s="35"/>
      <c r="R206" s="35"/>
      <c r="S206" s="146"/>
      <c r="T206" s="35"/>
      <c r="U206" s="69" t="b">
        <v>1</v>
      </c>
      <c r="V206" s="35"/>
      <c r="W206" s="82"/>
      <c r="Z206" t="b">
        <v>0</v>
      </c>
    </row>
    <row r="207" hidden="1">
      <c r="A207" s="99">
        <v>277.0</v>
      </c>
      <c r="B207" s="6" t="s">
        <v>241</v>
      </c>
      <c r="C207" s="99" t="s">
        <v>408</v>
      </c>
      <c r="D207" s="99">
        <v>303368.0</v>
      </c>
      <c r="E207" s="99" t="s">
        <v>409</v>
      </c>
      <c r="F207" s="99" t="s">
        <v>2540</v>
      </c>
      <c r="G207" s="101"/>
      <c r="H207" s="101"/>
      <c r="I207" s="99" t="s">
        <v>1007</v>
      </c>
      <c r="J207" s="104"/>
      <c r="K207" s="66" t="str">
        <f>IFNA(VLOOKUP(D207,'EAN Codes'!A:C,2,False),"")</f>
        <v/>
      </c>
      <c r="L207" s="35"/>
      <c r="M207" s="67"/>
      <c r="S207" s="60"/>
      <c r="U207" s="69" t="b">
        <v>1</v>
      </c>
      <c r="Z207" t="b">
        <v>0</v>
      </c>
    </row>
    <row r="208" hidden="1">
      <c r="A208" s="86">
        <v>785.0</v>
      </c>
      <c r="B208" s="86" t="s">
        <v>181</v>
      </c>
      <c r="C208" s="86" t="s">
        <v>408</v>
      </c>
      <c r="D208" s="86">
        <v>3.03451300113E11</v>
      </c>
      <c r="E208" s="86" t="s">
        <v>731</v>
      </c>
      <c r="F208" s="86" t="s">
        <v>2567</v>
      </c>
      <c r="G208" s="86" t="s">
        <v>2568</v>
      </c>
      <c r="H208" s="99" t="s">
        <v>189</v>
      </c>
      <c r="I208" s="86" t="s">
        <v>2569</v>
      </c>
      <c r="J208" s="88"/>
      <c r="K208" s="66" t="str">
        <f>IFNA(VLOOKUP(D208,'EAN Codes'!A:C,2,False),"")</f>
        <v/>
      </c>
      <c r="L208" s="101"/>
      <c r="M208" s="92"/>
      <c r="N208" s="86"/>
      <c r="O208" s="86"/>
      <c r="P208" s="86"/>
      <c r="Q208" s="86"/>
      <c r="R208" s="86"/>
      <c r="S208" s="88"/>
      <c r="T208" s="86"/>
      <c r="U208" s="113" t="b">
        <v>1</v>
      </c>
      <c r="V208" s="86" t="s">
        <v>2572</v>
      </c>
      <c r="Z208" t="b">
        <v>0</v>
      </c>
    </row>
    <row r="209" hidden="1">
      <c r="A209" s="6">
        <v>999.0</v>
      </c>
      <c r="B209" s="6" t="s">
        <v>241</v>
      </c>
      <c r="C209" s="6" t="s">
        <v>408</v>
      </c>
      <c r="D209" s="127" t="s">
        <v>2468</v>
      </c>
      <c r="E209" s="6" t="s">
        <v>409</v>
      </c>
      <c r="F209" s="6" t="s">
        <v>2469</v>
      </c>
      <c r="H209" s="6" t="s">
        <v>189</v>
      </c>
      <c r="I209" s="6" t="s">
        <v>570</v>
      </c>
      <c r="J209" s="84"/>
      <c r="K209" s="66" t="str">
        <f>IFNA(VLOOKUP(D209,'EAN Codes'!A:C,2,False),"")</f>
        <v>4250557509884</v>
      </c>
      <c r="L209" s="82"/>
      <c r="M209" s="67"/>
      <c r="S209" s="60"/>
      <c r="U209" s="69" t="b">
        <v>1</v>
      </c>
      <c r="Z209" t="b">
        <v>0</v>
      </c>
    </row>
    <row r="210" hidden="1">
      <c r="A210" s="99">
        <v>73.0</v>
      </c>
      <c r="B210" s="99"/>
      <c r="C210" s="99" t="s">
        <v>2578</v>
      </c>
      <c r="D210" s="99">
        <v>113073.0</v>
      </c>
      <c r="E210" s="99" t="s">
        <v>409</v>
      </c>
      <c r="F210" s="99" t="s">
        <v>2579</v>
      </c>
      <c r="G210" s="99">
        <v>2008.0</v>
      </c>
      <c r="H210" s="99" t="s">
        <v>135</v>
      </c>
      <c r="I210" s="99" t="s">
        <v>585</v>
      </c>
      <c r="J210" s="104"/>
      <c r="K210" s="66" t="str">
        <f>IFNA(VLOOKUP(D210,'EAN Codes'!A:C,2,False),"")</f>
        <v/>
      </c>
      <c r="L210" s="35"/>
      <c r="M210" s="119"/>
      <c r="N210" s="99"/>
      <c r="O210" s="99"/>
      <c r="P210" s="99"/>
      <c r="Q210" s="99"/>
      <c r="R210" s="99"/>
      <c r="S210" s="104"/>
      <c r="T210" s="99"/>
      <c r="U210" s="69" t="b">
        <v>1</v>
      </c>
      <c r="V210" s="99" t="s">
        <v>2583</v>
      </c>
      <c r="X210" s="106"/>
      <c r="Z210" t="b">
        <v>0</v>
      </c>
    </row>
    <row r="211" hidden="1">
      <c r="A211" s="99">
        <v>27.0</v>
      </c>
      <c r="B211" s="99" t="s">
        <v>181</v>
      </c>
      <c r="C211" s="99" t="s">
        <v>950</v>
      </c>
      <c r="D211" s="99">
        <v>736921.0</v>
      </c>
      <c r="E211" s="99" t="s">
        <v>733</v>
      </c>
      <c r="F211" s="287" t="s">
        <v>2586</v>
      </c>
      <c r="G211" s="101"/>
      <c r="H211" s="99" t="s">
        <v>189</v>
      </c>
      <c r="J211" s="60"/>
      <c r="K211" s="66" t="str">
        <f>IFNA(VLOOKUP(D211,'EAN Codes'!A:C,2,False),"")</f>
        <v/>
      </c>
      <c r="M211" s="67"/>
      <c r="S211" s="60"/>
      <c r="U211" s="85" t="b">
        <v>1</v>
      </c>
      <c r="Z211" t="b">
        <v>0</v>
      </c>
    </row>
    <row r="212" hidden="1">
      <c r="A212" s="99">
        <v>81.0</v>
      </c>
      <c r="B212" s="6" t="s">
        <v>241</v>
      </c>
      <c r="C212" s="99" t="s">
        <v>342</v>
      </c>
      <c r="D212" s="99" t="s">
        <v>2593</v>
      </c>
      <c r="E212" s="99" t="s">
        <v>346</v>
      </c>
      <c r="F212" s="99" t="s">
        <v>2594</v>
      </c>
      <c r="G212" s="99" t="s">
        <v>497</v>
      </c>
      <c r="H212" s="99" t="s">
        <v>512</v>
      </c>
      <c r="I212" s="99" t="s">
        <v>680</v>
      </c>
      <c r="J212" s="104"/>
      <c r="K212" s="66" t="str">
        <f>IFNA(VLOOKUP(D212,'EAN Codes'!A:C,2,False),"")</f>
        <v>5907615827648</v>
      </c>
      <c r="L212" s="35"/>
      <c r="M212" s="119"/>
      <c r="N212" s="99"/>
      <c r="O212" s="99"/>
      <c r="P212" s="99"/>
      <c r="Q212" s="99"/>
      <c r="R212" s="99"/>
      <c r="S212" s="104"/>
      <c r="T212" s="99"/>
      <c r="U212" s="69" t="b">
        <v>1</v>
      </c>
      <c r="V212" s="99" t="s">
        <v>2599</v>
      </c>
      <c r="W212" s="101"/>
      <c r="X212" s="6"/>
      <c r="Z212" t="b">
        <v>0</v>
      </c>
    </row>
    <row r="213" hidden="1">
      <c r="A213" s="6">
        <v>749.0</v>
      </c>
      <c r="B213" s="6" t="s">
        <v>241</v>
      </c>
      <c r="C213" s="6" t="s">
        <v>342</v>
      </c>
      <c r="D213" s="127" t="s">
        <v>2600</v>
      </c>
      <c r="E213" s="6" t="s">
        <v>373</v>
      </c>
      <c r="F213" s="6" t="s">
        <v>2602</v>
      </c>
      <c r="G213" s="106" t="s">
        <v>2604</v>
      </c>
      <c r="H213" s="6" t="s">
        <v>189</v>
      </c>
      <c r="I213" s="6" t="s">
        <v>626</v>
      </c>
      <c r="J213" s="84"/>
      <c r="K213" s="66" t="str">
        <f>IFNA(VLOOKUP(D213,'EAN Codes'!A:C,2,False),"")</f>
        <v>5907615801235</v>
      </c>
      <c r="L213" s="82"/>
      <c r="M213" s="119"/>
      <c r="N213" s="99"/>
      <c r="O213" s="99"/>
      <c r="P213" s="99"/>
      <c r="Q213" s="99"/>
      <c r="R213" s="99"/>
      <c r="S213" s="104"/>
      <c r="T213" s="99"/>
      <c r="U213" s="69" t="b">
        <v>1</v>
      </c>
      <c r="V213" s="99"/>
      <c r="Z213" t="b">
        <v>0</v>
      </c>
    </row>
    <row r="214" hidden="1">
      <c r="A214" s="99">
        <v>919.0</v>
      </c>
      <c r="B214" s="99" t="s">
        <v>241</v>
      </c>
      <c r="C214" s="99" t="s">
        <v>342</v>
      </c>
      <c r="D214" s="99" t="s">
        <v>2608</v>
      </c>
      <c r="E214" s="99" t="s">
        <v>346</v>
      </c>
      <c r="F214" s="99" t="s">
        <v>2609</v>
      </c>
      <c r="G214" s="99" t="s">
        <v>358</v>
      </c>
      <c r="H214" s="99" t="s">
        <v>189</v>
      </c>
      <c r="I214" s="99" t="s">
        <v>458</v>
      </c>
      <c r="J214" s="104"/>
      <c r="K214" s="66" t="str">
        <f>IFNA(VLOOKUP(D214,'EAN Codes'!A:C,2,False),"")</f>
        <v>5907615827549</v>
      </c>
      <c r="L214" s="101"/>
      <c r="M214" s="119"/>
      <c r="N214" s="99"/>
      <c r="O214" s="99"/>
      <c r="P214" s="99"/>
      <c r="Q214" s="99"/>
      <c r="R214" s="99"/>
      <c r="S214" s="104"/>
      <c r="T214" s="99"/>
      <c r="U214" s="113" t="b">
        <v>1</v>
      </c>
      <c r="V214" s="99" t="s">
        <v>2612</v>
      </c>
      <c r="Z214" t="b">
        <v>0</v>
      </c>
    </row>
    <row r="215" hidden="1">
      <c r="A215" s="99">
        <v>594.0</v>
      </c>
      <c r="B215" s="99" t="s">
        <v>241</v>
      </c>
      <c r="C215" s="99" t="s">
        <v>408</v>
      </c>
      <c r="D215" s="99">
        <v>342152.0</v>
      </c>
      <c r="E215" s="99" t="s">
        <v>346</v>
      </c>
      <c r="F215" s="99" t="s">
        <v>2613</v>
      </c>
      <c r="G215" s="99" t="s">
        <v>2614</v>
      </c>
      <c r="H215" s="99" t="s">
        <v>189</v>
      </c>
      <c r="I215" s="99" t="s">
        <v>680</v>
      </c>
      <c r="J215" s="104"/>
      <c r="K215" s="66" t="str">
        <f>IFNA(VLOOKUP(D215,'EAN Codes'!A:C,2,False),"")</f>
        <v/>
      </c>
      <c r="L215" s="99" t="s">
        <v>269</v>
      </c>
      <c r="M215" s="119"/>
      <c r="N215" s="99"/>
      <c r="O215" s="99"/>
      <c r="P215" s="99"/>
      <c r="Q215" s="99"/>
      <c r="R215" s="99"/>
      <c r="S215" s="104"/>
      <c r="T215" s="99"/>
      <c r="U215" s="113" t="b">
        <v>1</v>
      </c>
      <c r="V215" s="99" t="s">
        <v>2617</v>
      </c>
      <c r="Z215" t="b">
        <v>0</v>
      </c>
    </row>
    <row r="216" hidden="1">
      <c r="A216" s="99">
        <v>11.0</v>
      </c>
      <c r="B216" s="86"/>
      <c r="C216" s="86" t="s">
        <v>1217</v>
      </c>
      <c r="D216" s="99" t="s">
        <v>2618</v>
      </c>
      <c r="E216" s="86" t="s">
        <v>346</v>
      </c>
      <c r="F216" s="99" t="s">
        <v>2619</v>
      </c>
      <c r="G216" s="289">
        <v>42377.0</v>
      </c>
      <c r="H216" s="99" t="s">
        <v>512</v>
      </c>
      <c r="I216" s="99" t="s">
        <v>680</v>
      </c>
      <c r="J216" s="104"/>
      <c r="K216" s="66" t="str">
        <f>IFNA(VLOOKUP(D216,'EAN Codes'!A:C,2,False),"")</f>
        <v>07024</v>
      </c>
      <c r="L216" s="99"/>
      <c r="M216" s="119"/>
      <c r="N216" s="99"/>
      <c r="O216" s="99"/>
      <c r="P216" s="99"/>
      <c r="Q216" s="99"/>
      <c r="R216" s="99"/>
      <c r="S216" s="104"/>
      <c r="T216" s="99"/>
      <c r="U216" s="113" t="b">
        <v>1</v>
      </c>
      <c r="V216" s="99"/>
      <c r="W216" s="101"/>
      <c r="Z216" t="b">
        <v>0</v>
      </c>
    </row>
    <row r="217" hidden="1">
      <c r="A217" s="99">
        <v>546.0</v>
      </c>
      <c r="B217" s="99" t="s">
        <v>241</v>
      </c>
      <c r="C217" s="99" t="s">
        <v>342</v>
      </c>
      <c r="D217" s="99" t="s">
        <v>2626</v>
      </c>
      <c r="E217" s="99" t="s">
        <v>346</v>
      </c>
      <c r="F217" s="99" t="s">
        <v>2628</v>
      </c>
      <c r="G217" s="99" t="s">
        <v>2629</v>
      </c>
      <c r="H217" s="99" t="s">
        <v>189</v>
      </c>
      <c r="I217" s="99" t="s">
        <v>626</v>
      </c>
      <c r="J217" s="104"/>
      <c r="K217" s="66" t="str">
        <f>IFNA(VLOOKUP(D217,'EAN Codes'!A:C,2,False),"")</f>
        <v>5907615801624</v>
      </c>
      <c r="L217" s="35"/>
      <c r="M217" s="119"/>
      <c r="N217" s="99"/>
      <c r="O217" s="99"/>
      <c r="P217" s="99"/>
      <c r="Q217" s="99"/>
      <c r="R217" s="99"/>
      <c r="S217" s="104"/>
      <c r="T217" s="99"/>
      <c r="U217" s="69" t="b">
        <v>1</v>
      </c>
      <c r="V217" s="99" t="s">
        <v>2634</v>
      </c>
      <c r="Z217" t="b">
        <v>0</v>
      </c>
    </row>
    <row r="218" hidden="1">
      <c r="A218" s="99">
        <v>36.0</v>
      </c>
      <c r="B218" s="99"/>
      <c r="C218" s="99" t="s">
        <v>1217</v>
      </c>
      <c r="D218" s="99" t="s">
        <v>2638</v>
      </c>
      <c r="E218" s="99" t="s">
        <v>2639</v>
      </c>
      <c r="F218" s="99" t="s">
        <v>2640</v>
      </c>
      <c r="G218" s="99" t="s">
        <v>2641</v>
      </c>
      <c r="H218" s="99" t="s">
        <v>512</v>
      </c>
      <c r="I218" s="99"/>
      <c r="J218" s="104"/>
      <c r="K218" s="66" t="str">
        <f>IFNA(VLOOKUP(D218,'EAN Codes'!A:C,2,False),"")</f>
        <v/>
      </c>
      <c r="L218" s="35"/>
      <c r="M218" s="119"/>
      <c r="N218" s="99"/>
      <c r="O218" s="99"/>
      <c r="P218" s="99"/>
      <c r="Q218" s="99"/>
      <c r="R218" s="99"/>
      <c r="S218" s="104"/>
      <c r="T218" s="99"/>
      <c r="U218" s="69" t="b">
        <v>1</v>
      </c>
      <c r="V218" s="99"/>
      <c r="W218" s="101"/>
      <c r="Z218" t="b">
        <v>0</v>
      </c>
    </row>
    <row r="219" hidden="1">
      <c r="A219" s="99">
        <v>289.0</v>
      </c>
      <c r="B219" s="6" t="s">
        <v>241</v>
      </c>
      <c r="C219" s="99" t="s">
        <v>1250</v>
      </c>
      <c r="D219" s="99" t="s">
        <v>2645</v>
      </c>
      <c r="E219" s="99" t="s">
        <v>346</v>
      </c>
      <c r="F219" s="99" t="s">
        <v>2647</v>
      </c>
      <c r="G219" s="99" t="s">
        <v>1028</v>
      </c>
      <c r="H219" s="99" t="s">
        <v>189</v>
      </c>
      <c r="I219" s="99" t="s">
        <v>1328</v>
      </c>
      <c r="J219" s="104"/>
      <c r="K219" s="66" t="str">
        <f>IFNA(VLOOKUP(D219,'EAN Codes'!A:C,2,False),"")</f>
        <v/>
      </c>
      <c r="L219" s="35"/>
      <c r="M219" s="67"/>
      <c r="S219" s="60"/>
      <c r="U219" s="69" t="b">
        <v>1</v>
      </c>
      <c r="Z219" t="b">
        <v>0</v>
      </c>
    </row>
    <row r="220" hidden="1">
      <c r="A220" s="6">
        <v>418.0</v>
      </c>
      <c r="B220" s="6" t="s">
        <v>2651</v>
      </c>
      <c r="C220" s="6" t="s">
        <v>1759</v>
      </c>
      <c r="D220" s="290" t="s">
        <v>2652</v>
      </c>
      <c r="F220" s="6" t="s">
        <v>2655</v>
      </c>
      <c r="H220" s="6" t="s">
        <v>189</v>
      </c>
      <c r="I220" s="6" t="s">
        <v>2489</v>
      </c>
      <c r="J220" s="84"/>
      <c r="K220" s="66" t="str">
        <f>IFNA(VLOOKUP(D220,'EAN Codes'!A:C,2,False),"")</f>
        <v/>
      </c>
      <c r="L220" s="35"/>
      <c r="M220" s="67"/>
      <c r="S220" s="60"/>
      <c r="U220" s="69" t="b">
        <v>1</v>
      </c>
      <c r="Z220" t="b">
        <v>0</v>
      </c>
    </row>
    <row r="221" hidden="1">
      <c r="A221" s="6">
        <v>502.0</v>
      </c>
      <c r="B221" s="6" t="s">
        <v>241</v>
      </c>
      <c r="C221" s="6" t="s">
        <v>342</v>
      </c>
      <c r="D221" s="6" t="s">
        <v>2663</v>
      </c>
      <c r="E221" s="6" t="s">
        <v>2639</v>
      </c>
      <c r="F221" s="6" t="s">
        <v>2664</v>
      </c>
      <c r="G221" s="6" t="s">
        <v>1922</v>
      </c>
      <c r="H221" s="6" t="s">
        <v>189</v>
      </c>
      <c r="I221" s="6" t="s">
        <v>1863</v>
      </c>
      <c r="J221" s="84"/>
      <c r="K221" s="66" t="str">
        <f>IFNA(VLOOKUP(D221,'EAN Codes'!A:C,2,False),"")</f>
        <v>5907615801983</v>
      </c>
      <c r="L221" s="35" t="s">
        <v>92</v>
      </c>
      <c r="M221" s="119"/>
      <c r="N221" s="99"/>
      <c r="O221" s="99"/>
      <c r="P221" s="99"/>
      <c r="Q221" s="99"/>
      <c r="R221" s="99"/>
      <c r="S221" s="104"/>
      <c r="T221" s="99"/>
      <c r="U221" s="69" t="b">
        <v>1</v>
      </c>
      <c r="V221" s="99" t="s">
        <v>2670</v>
      </c>
      <c r="Z221" t="b">
        <v>0</v>
      </c>
    </row>
    <row r="222" hidden="1">
      <c r="A222" s="99">
        <v>424.0</v>
      </c>
      <c r="B222" s="99" t="s">
        <v>241</v>
      </c>
      <c r="C222" s="99" t="s">
        <v>408</v>
      </c>
      <c r="D222" s="99">
        <v>3.04091600001E11</v>
      </c>
      <c r="E222" s="99" t="s">
        <v>346</v>
      </c>
      <c r="F222" s="99" t="s">
        <v>2671</v>
      </c>
      <c r="G222" s="99" t="s">
        <v>1922</v>
      </c>
      <c r="H222" s="99" t="s">
        <v>189</v>
      </c>
      <c r="I222" s="99" t="s">
        <v>626</v>
      </c>
      <c r="J222" s="104"/>
      <c r="K222" s="66" t="str">
        <f>IFNA(VLOOKUP(D222,'EAN Codes'!A:C,2,False),"")</f>
        <v/>
      </c>
      <c r="L222" s="99"/>
      <c r="M222" s="119"/>
      <c r="N222" s="99"/>
      <c r="O222" s="99"/>
      <c r="P222" s="99"/>
      <c r="Q222" s="99"/>
      <c r="R222" s="99"/>
      <c r="S222" s="104"/>
      <c r="T222" s="99"/>
      <c r="U222" s="113" t="b">
        <v>1</v>
      </c>
      <c r="V222" s="99" t="s">
        <v>2675</v>
      </c>
      <c r="Z222" s="101" t="b">
        <v>0</v>
      </c>
      <c r="AA222" s="101"/>
      <c r="AB222" s="101"/>
      <c r="AC222" s="101"/>
      <c r="AD222" s="101"/>
      <c r="AE222" s="101"/>
    </row>
    <row r="223" hidden="1">
      <c r="A223" s="99">
        <v>967.0</v>
      </c>
      <c r="B223" s="99" t="s">
        <v>241</v>
      </c>
      <c r="C223" s="99" t="s">
        <v>1250</v>
      </c>
      <c r="D223" s="99" t="s">
        <v>2677</v>
      </c>
      <c r="E223" s="99" t="s">
        <v>373</v>
      </c>
      <c r="F223" s="99" t="s">
        <v>2664</v>
      </c>
      <c r="G223" s="99" t="s">
        <v>1132</v>
      </c>
      <c r="H223" s="99" t="s">
        <v>189</v>
      </c>
      <c r="I223" s="99" t="s">
        <v>1634</v>
      </c>
      <c r="J223" s="104"/>
      <c r="K223" s="66" t="str">
        <f>IFNA(VLOOKUP(D223,'EAN Codes'!A:C,2,False),"")</f>
        <v>8054521993107</v>
      </c>
      <c r="L223" s="101"/>
      <c r="M223" s="119"/>
      <c r="N223" s="99"/>
      <c r="O223" s="99"/>
      <c r="P223" s="99"/>
      <c r="Q223" s="99"/>
      <c r="R223" s="99"/>
      <c r="S223" s="104"/>
      <c r="T223" s="99"/>
      <c r="U223" s="113" t="b">
        <v>1</v>
      </c>
      <c r="V223" s="99" t="s">
        <v>2683</v>
      </c>
      <c r="Z223" t="b">
        <v>0</v>
      </c>
    </row>
    <row r="224" hidden="1">
      <c r="A224" s="99">
        <v>832.0</v>
      </c>
      <c r="B224" s="99" t="s">
        <v>241</v>
      </c>
      <c r="C224" s="99" t="s">
        <v>342</v>
      </c>
      <c r="D224" s="99" t="s">
        <v>2663</v>
      </c>
      <c r="E224" s="99" t="s">
        <v>346</v>
      </c>
      <c r="F224" s="99" t="s">
        <v>2686</v>
      </c>
      <c r="G224" s="99" t="s">
        <v>1922</v>
      </c>
      <c r="H224" s="99" t="s">
        <v>189</v>
      </c>
      <c r="I224" s="282" t="s">
        <v>1222</v>
      </c>
      <c r="J224" s="291"/>
      <c r="K224" s="66" t="str">
        <f>IFNA(VLOOKUP(D224,'EAN Codes'!A:C,2,False),"")</f>
        <v>5907615801983</v>
      </c>
      <c r="L224" s="101"/>
      <c r="M224" s="83"/>
      <c r="N224" s="6"/>
      <c r="O224" s="6"/>
      <c r="P224" s="6"/>
      <c r="Q224" s="6"/>
      <c r="R224" s="6"/>
      <c r="S224" s="84"/>
      <c r="T224" s="6"/>
      <c r="U224" s="113" t="b">
        <v>1</v>
      </c>
      <c r="V224" s="6" t="s">
        <v>2695</v>
      </c>
      <c r="Z224" t="b">
        <v>0</v>
      </c>
    </row>
    <row r="225" hidden="1">
      <c r="A225" s="99">
        <v>604.0</v>
      </c>
      <c r="B225" s="99" t="s">
        <v>241</v>
      </c>
      <c r="C225" s="99" t="s">
        <v>408</v>
      </c>
      <c r="D225" s="99">
        <v>304091.0</v>
      </c>
      <c r="E225" s="99" t="s">
        <v>346</v>
      </c>
      <c r="F225" s="99" t="s">
        <v>2686</v>
      </c>
      <c r="G225" s="99" t="s">
        <v>1922</v>
      </c>
      <c r="H225" s="99" t="s">
        <v>189</v>
      </c>
      <c r="I225" s="99" t="s">
        <v>2696</v>
      </c>
      <c r="J225" s="104"/>
      <c r="K225" s="66" t="str">
        <f>IFNA(VLOOKUP(D225,'EAN Codes'!A:C,2,False),"")</f>
        <v/>
      </c>
      <c r="L225" s="99" t="s">
        <v>269</v>
      </c>
      <c r="M225" s="119"/>
      <c r="N225" s="99"/>
      <c r="O225" s="99"/>
      <c r="P225" s="99"/>
      <c r="Q225" s="99"/>
      <c r="R225" s="99"/>
      <c r="S225" s="104"/>
      <c r="T225" s="99"/>
      <c r="U225" s="113" t="b">
        <v>1</v>
      </c>
      <c r="V225" s="99" t="s">
        <v>2702</v>
      </c>
      <c r="Y225" s="6" t="s">
        <v>452</v>
      </c>
      <c r="Z225" t="b">
        <v>0</v>
      </c>
    </row>
    <row r="226" hidden="1">
      <c r="A226" s="99">
        <v>940.0</v>
      </c>
      <c r="B226" s="99" t="s">
        <v>241</v>
      </c>
      <c r="C226" s="99" t="s">
        <v>342</v>
      </c>
      <c r="D226" s="99" t="s">
        <v>2703</v>
      </c>
      <c r="E226" s="101"/>
      <c r="F226" s="99" t="s">
        <v>2704</v>
      </c>
      <c r="G226" s="101"/>
      <c r="H226" s="99" t="s">
        <v>189</v>
      </c>
      <c r="I226" s="99" t="s">
        <v>570</v>
      </c>
      <c r="J226" s="104"/>
      <c r="K226" s="66" t="str">
        <f>IFNA(VLOOKUP(D226,'EAN Codes'!A:C,2,False),"")</f>
        <v>5907615801969</v>
      </c>
      <c r="L226" s="101"/>
      <c r="M226" s="119"/>
      <c r="N226" s="99"/>
      <c r="O226" s="99"/>
      <c r="P226" s="99"/>
      <c r="Q226" s="99"/>
      <c r="R226" s="99"/>
      <c r="S226" s="104"/>
      <c r="T226" s="99"/>
      <c r="U226" s="113" t="b">
        <v>1</v>
      </c>
      <c r="V226" s="99" t="s">
        <v>2711</v>
      </c>
      <c r="Z226" t="b">
        <v>0</v>
      </c>
    </row>
    <row r="227" hidden="1">
      <c r="A227" s="99">
        <v>801.0</v>
      </c>
      <c r="B227" s="99" t="s">
        <v>241</v>
      </c>
      <c r="C227" s="99" t="s">
        <v>1813</v>
      </c>
      <c r="D227" s="99" t="s">
        <v>2713</v>
      </c>
      <c r="E227" s="99" t="s">
        <v>346</v>
      </c>
      <c r="F227" s="99" t="s">
        <v>2715</v>
      </c>
      <c r="G227" s="99" t="s">
        <v>1132</v>
      </c>
      <c r="H227" s="99" t="s">
        <v>189</v>
      </c>
      <c r="I227" s="99" t="s">
        <v>570</v>
      </c>
      <c r="J227" s="104"/>
      <c r="K227" s="66" t="str">
        <f>IFNA(VLOOKUP(D227,'EAN Codes'!A:C,2,False),"")</f>
        <v/>
      </c>
      <c r="L227" s="101"/>
      <c r="M227" s="119"/>
      <c r="N227" s="99"/>
      <c r="O227" s="99"/>
      <c r="P227" s="99"/>
      <c r="Q227" s="99"/>
      <c r="R227" s="99"/>
      <c r="S227" s="104"/>
      <c r="T227" s="99"/>
      <c r="U227" s="113" t="b">
        <v>1</v>
      </c>
      <c r="V227" s="99" t="s">
        <v>2720</v>
      </c>
      <c r="Z227" t="b">
        <v>0</v>
      </c>
    </row>
    <row r="228" hidden="1">
      <c r="A228" s="99">
        <v>985.0</v>
      </c>
      <c r="B228" s="99" t="s">
        <v>241</v>
      </c>
      <c r="C228" s="99" t="s">
        <v>1250</v>
      </c>
      <c r="D228" s="99" t="s">
        <v>2721</v>
      </c>
      <c r="E228" s="99" t="s">
        <v>1390</v>
      </c>
      <c r="F228" s="99" t="s">
        <v>2723</v>
      </c>
      <c r="G228" s="99" t="s">
        <v>1922</v>
      </c>
      <c r="H228" s="99" t="s">
        <v>189</v>
      </c>
      <c r="I228" s="292" t="s">
        <v>626</v>
      </c>
      <c r="J228" s="294"/>
      <c r="K228" s="66" t="str">
        <f>IFNA(VLOOKUP(D228,'EAN Codes'!A:C,2,False),"")</f>
        <v>8054521993077</v>
      </c>
      <c r="L228" s="101"/>
      <c r="M228" s="83"/>
      <c r="N228" s="6"/>
      <c r="O228" s="6"/>
      <c r="P228" s="6"/>
      <c r="Q228" s="6"/>
      <c r="R228" s="6"/>
      <c r="S228" s="84"/>
      <c r="T228" s="6"/>
      <c r="U228" s="113" t="b">
        <v>1</v>
      </c>
      <c r="V228" s="6" t="s">
        <v>2730</v>
      </c>
      <c r="X228" s="6" t="s">
        <v>2732</v>
      </c>
      <c r="Z228" t="b">
        <v>0</v>
      </c>
    </row>
    <row r="229" hidden="1">
      <c r="A229" s="86">
        <v>891.0</v>
      </c>
      <c r="B229" s="86" t="s">
        <v>241</v>
      </c>
      <c r="C229" s="86" t="s">
        <v>342</v>
      </c>
      <c r="D229" s="86" t="s">
        <v>2663</v>
      </c>
      <c r="E229" s="86" t="s">
        <v>346</v>
      </c>
      <c r="F229" s="86" t="s">
        <v>2734</v>
      </c>
      <c r="G229" s="86" t="s">
        <v>1922</v>
      </c>
      <c r="H229" s="86" t="s">
        <v>614</v>
      </c>
      <c r="I229" s="86"/>
      <c r="J229" s="88"/>
      <c r="K229" s="66" t="str">
        <f>IFNA(VLOOKUP(D229,'EAN Codes'!A:C,2,False),"")</f>
        <v>5907615801983</v>
      </c>
      <c r="L229" s="91"/>
      <c r="M229" s="92"/>
      <c r="N229" s="86"/>
      <c r="O229" s="86"/>
      <c r="P229" s="86"/>
      <c r="Q229" s="86"/>
      <c r="R229" s="86"/>
      <c r="S229" s="88"/>
      <c r="T229" s="86"/>
      <c r="U229" s="93" t="b">
        <v>1</v>
      </c>
      <c r="V229" s="86" t="s">
        <v>2743</v>
      </c>
      <c r="Z229" t="b">
        <v>0</v>
      </c>
    </row>
    <row r="230" hidden="1">
      <c r="A230" s="86">
        <v>871.0</v>
      </c>
      <c r="B230" s="86" t="s">
        <v>241</v>
      </c>
      <c r="C230" s="86" t="s">
        <v>1250</v>
      </c>
      <c r="D230" s="86" t="s">
        <v>2677</v>
      </c>
      <c r="E230" s="86" t="s">
        <v>409</v>
      </c>
      <c r="F230" s="86" t="s">
        <v>2746</v>
      </c>
      <c r="G230" s="86" t="s">
        <v>1922</v>
      </c>
      <c r="H230" s="86" t="s">
        <v>255</v>
      </c>
      <c r="I230" s="91"/>
      <c r="J230" s="97"/>
      <c r="K230" s="66" t="str">
        <f>IFNA(VLOOKUP(D230,'EAN Codes'!A:C,2,False),"")</f>
        <v>8054521993107</v>
      </c>
      <c r="L230" s="91"/>
      <c r="M230" s="92"/>
      <c r="N230" s="86"/>
      <c r="O230" s="86"/>
      <c r="P230" s="86"/>
      <c r="Q230" s="86"/>
      <c r="R230" s="86"/>
      <c r="S230" s="88"/>
      <c r="T230" s="86"/>
      <c r="U230" s="93" t="b">
        <v>1</v>
      </c>
      <c r="V230" s="86" t="s">
        <v>2751</v>
      </c>
      <c r="Z230" t="b">
        <v>0</v>
      </c>
    </row>
    <row r="231" hidden="1">
      <c r="A231" s="99">
        <v>692.0</v>
      </c>
      <c r="B231" s="99" t="s">
        <v>241</v>
      </c>
      <c r="C231" s="99" t="s">
        <v>342</v>
      </c>
      <c r="D231" s="99" t="s">
        <v>2756</v>
      </c>
      <c r="E231" s="99" t="s">
        <v>346</v>
      </c>
      <c r="F231" s="99" t="s">
        <v>2757</v>
      </c>
      <c r="G231" s="153">
        <v>43573.0</v>
      </c>
      <c r="H231" s="99" t="s">
        <v>189</v>
      </c>
      <c r="I231" s="99" t="s">
        <v>1863</v>
      </c>
      <c r="J231" s="104"/>
      <c r="K231" s="66" t="str">
        <f>IFNA(VLOOKUP(D231,'EAN Codes'!A:C,2,False),"")</f>
        <v/>
      </c>
      <c r="L231" s="35" t="s">
        <v>269</v>
      </c>
      <c r="M231" s="83"/>
      <c r="N231" s="6"/>
      <c r="O231" s="6"/>
      <c r="P231" s="6"/>
      <c r="Q231" s="6"/>
      <c r="R231" s="6"/>
      <c r="S231" s="84"/>
      <c r="T231" s="6"/>
      <c r="U231" s="69" t="b">
        <v>1</v>
      </c>
      <c r="V231" s="6" t="s">
        <v>2762</v>
      </c>
      <c r="Z231" t="b">
        <v>0</v>
      </c>
    </row>
    <row r="232" hidden="1">
      <c r="A232" s="106">
        <v>800.0</v>
      </c>
      <c r="B232" s="6" t="s">
        <v>2484</v>
      </c>
      <c r="C232" s="6" t="s">
        <v>2768</v>
      </c>
      <c r="D232" s="127" t="s">
        <v>2770</v>
      </c>
      <c r="E232" s="6" t="s">
        <v>1156</v>
      </c>
      <c r="F232" s="6" t="s">
        <v>2772</v>
      </c>
      <c r="G232" s="6" t="s">
        <v>2773</v>
      </c>
      <c r="H232" s="6" t="s">
        <v>189</v>
      </c>
      <c r="I232" s="6" t="s">
        <v>498</v>
      </c>
      <c r="J232" s="84"/>
      <c r="K232" s="66" t="str">
        <f>IFNA(VLOOKUP(D232,'EAN Codes'!A:C,2,False),"")</f>
        <v/>
      </c>
      <c r="L232" s="82"/>
      <c r="M232" s="83"/>
      <c r="N232" s="6"/>
      <c r="O232" s="6"/>
      <c r="P232" s="6"/>
      <c r="Q232" s="6"/>
      <c r="R232" s="6"/>
      <c r="S232" s="84"/>
      <c r="T232" s="6"/>
      <c r="U232" s="69" t="b">
        <v>1</v>
      </c>
      <c r="V232" s="6" t="s">
        <v>2779</v>
      </c>
      <c r="Z232" t="b">
        <v>0</v>
      </c>
    </row>
    <row r="233" hidden="1">
      <c r="A233" s="99">
        <v>958.0</v>
      </c>
      <c r="B233" s="99" t="s">
        <v>241</v>
      </c>
      <c r="C233" s="99" t="s">
        <v>342</v>
      </c>
      <c r="D233" s="99" t="s">
        <v>2663</v>
      </c>
      <c r="E233" s="99" t="s">
        <v>346</v>
      </c>
      <c r="F233" s="99" t="s">
        <v>2781</v>
      </c>
      <c r="G233" s="99" t="s">
        <v>1922</v>
      </c>
      <c r="H233" s="99" t="s">
        <v>189</v>
      </c>
      <c r="I233" s="99" t="s">
        <v>626</v>
      </c>
      <c r="J233" s="104"/>
      <c r="K233" s="66" t="str">
        <f>IFNA(VLOOKUP(D233,'EAN Codes'!A:C,2,False),"")</f>
        <v>5907615801983</v>
      </c>
      <c r="L233" s="101"/>
      <c r="M233" s="119"/>
      <c r="N233" s="99"/>
      <c r="O233" s="99"/>
      <c r="P233" s="99"/>
      <c r="Q233" s="99"/>
      <c r="R233" s="99"/>
      <c r="S233" s="104"/>
      <c r="T233" s="99"/>
      <c r="U233" s="113" t="b">
        <v>1</v>
      </c>
      <c r="V233" s="99" t="s">
        <v>2788</v>
      </c>
      <c r="Z233" t="b">
        <v>0</v>
      </c>
    </row>
    <row r="234" hidden="1">
      <c r="A234" s="86">
        <v>935.0</v>
      </c>
      <c r="B234" s="86" t="s">
        <v>241</v>
      </c>
      <c r="C234" s="86" t="s">
        <v>408</v>
      </c>
      <c r="D234" s="86">
        <v>304207.0</v>
      </c>
      <c r="E234" s="86" t="s">
        <v>346</v>
      </c>
      <c r="F234" s="86" t="s">
        <v>2789</v>
      </c>
      <c r="G234" s="86" t="s">
        <v>1057</v>
      </c>
      <c r="H234" s="86" t="s">
        <v>2790</v>
      </c>
      <c r="I234" s="91"/>
      <c r="J234" s="97"/>
      <c r="K234" s="66" t="str">
        <f>IFNA(VLOOKUP(D234,'EAN Codes'!A:C,2,False),"")</f>
        <v/>
      </c>
      <c r="L234" s="91"/>
      <c r="M234" s="92"/>
      <c r="N234" s="86"/>
      <c r="O234" s="86"/>
      <c r="P234" s="86"/>
      <c r="Q234" s="86"/>
      <c r="R234" s="86"/>
      <c r="S234" s="88"/>
      <c r="T234" s="86"/>
      <c r="U234" s="93" t="b">
        <v>1</v>
      </c>
      <c r="V234" s="86" t="s">
        <v>2795</v>
      </c>
      <c r="X234" s="6" t="s">
        <v>2796</v>
      </c>
      <c r="Z234" t="b">
        <v>0</v>
      </c>
    </row>
    <row r="235" hidden="1">
      <c r="A235" s="91"/>
      <c r="B235" s="86" t="s">
        <v>241</v>
      </c>
      <c r="C235" s="86" t="s">
        <v>342</v>
      </c>
      <c r="D235" s="87" t="s">
        <v>2798</v>
      </c>
      <c r="E235" s="86" t="s">
        <v>346</v>
      </c>
      <c r="F235" s="86" t="s">
        <v>2799</v>
      </c>
      <c r="G235" s="91"/>
      <c r="H235" s="86" t="s">
        <v>255</v>
      </c>
      <c r="I235" s="91"/>
      <c r="J235" s="97"/>
      <c r="K235" s="90" t="str">
        <f>IFNA(VLOOKUP(D235,'EAN Codes'!A:C,2,False),"")</f>
        <v>5907615823664</v>
      </c>
      <c r="L235" s="91"/>
      <c r="M235" s="92"/>
      <c r="N235" s="86"/>
      <c r="O235" s="86"/>
      <c r="P235" s="86"/>
      <c r="Q235" s="86"/>
      <c r="R235" s="86"/>
      <c r="S235" s="88"/>
      <c r="T235" s="86"/>
      <c r="U235" s="93" t="b">
        <v>1</v>
      </c>
      <c r="V235" s="86" t="s">
        <v>2805</v>
      </c>
      <c r="Z235" t="b">
        <v>0</v>
      </c>
    </row>
    <row r="236" hidden="1">
      <c r="A236" s="6">
        <v>969.0</v>
      </c>
      <c r="B236" s="6" t="s">
        <v>241</v>
      </c>
      <c r="C236" s="6" t="s">
        <v>1250</v>
      </c>
      <c r="D236" s="127" t="s">
        <v>2807</v>
      </c>
      <c r="E236" s="6" t="s">
        <v>1390</v>
      </c>
      <c r="F236" s="6" t="s">
        <v>2808</v>
      </c>
      <c r="H236" s="6" t="s">
        <v>189</v>
      </c>
      <c r="I236" s="6" t="s">
        <v>1863</v>
      </c>
      <c r="J236" s="84"/>
      <c r="K236" s="66" t="str">
        <f>IFNA(VLOOKUP(D236,'EAN Codes'!A:C,2,False),"")</f>
        <v/>
      </c>
      <c r="L236" s="82"/>
      <c r="M236" s="67"/>
      <c r="S236" s="60"/>
      <c r="U236" s="69" t="b">
        <v>1</v>
      </c>
      <c r="Z236" t="b">
        <v>0</v>
      </c>
    </row>
    <row r="237" hidden="1">
      <c r="A237" s="101"/>
      <c r="B237" s="99" t="s">
        <v>241</v>
      </c>
      <c r="C237" s="99" t="s">
        <v>1250</v>
      </c>
      <c r="D237" s="100" t="s">
        <v>2807</v>
      </c>
      <c r="E237" s="99" t="s">
        <v>1390</v>
      </c>
      <c r="F237" s="99" t="s">
        <v>2808</v>
      </c>
      <c r="G237" s="101"/>
      <c r="H237" s="99" t="s">
        <v>2816</v>
      </c>
      <c r="I237" s="101"/>
      <c r="J237" s="110"/>
      <c r="K237" s="107" t="str">
        <f>IFNA(VLOOKUP(D237,'EAN Codes'!A:C,2,False),"")</f>
        <v/>
      </c>
      <c r="L237" s="101"/>
      <c r="M237" s="119"/>
      <c r="N237" s="99"/>
      <c r="O237" s="99"/>
      <c r="P237" s="99"/>
      <c r="Q237" s="99"/>
      <c r="R237" s="99"/>
      <c r="S237" s="104"/>
      <c r="T237" s="99"/>
      <c r="U237" s="113" t="b">
        <v>1</v>
      </c>
      <c r="V237" s="99" t="s">
        <v>2822</v>
      </c>
      <c r="W237" s="101"/>
      <c r="Z237" t="b">
        <v>0</v>
      </c>
    </row>
    <row r="238" hidden="1">
      <c r="A238" s="99">
        <v>430.0</v>
      </c>
      <c r="B238" s="99" t="s">
        <v>241</v>
      </c>
      <c r="C238" s="99" t="s">
        <v>1250</v>
      </c>
      <c r="D238" s="99" t="s">
        <v>2824</v>
      </c>
      <c r="E238" s="99" t="s">
        <v>409</v>
      </c>
      <c r="F238" s="99" t="s">
        <v>2826</v>
      </c>
      <c r="G238" s="99" t="s">
        <v>2194</v>
      </c>
      <c r="H238" s="99" t="s">
        <v>189</v>
      </c>
      <c r="I238" s="99" t="s">
        <v>1328</v>
      </c>
      <c r="J238" s="104"/>
      <c r="K238" s="66" t="str">
        <f>IFNA(VLOOKUP(D238,'EAN Codes'!A:C,2,False),"")</f>
        <v/>
      </c>
      <c r="L238" s="35"/>
      <c r="M238" s="83"/>
      <c r="N238" s="6"/>
      <c r="O238" s="6"/>
      <c r="P238" s="6"/>
      <c r="Q238" s="6"/>
      <c r="R238" s="6"/>
      <c r="S238" s="84"/>
      <c r="T238" s="6"/>
      <c r="U238" s="69" t="b">
        <v>1</v>
      </c>
      <c r="V238" s="6" t="s">
        <v>2829</v>
      </c>
      <c r="Z238" t="b">
        <v>0</v>
      </c>
    </row>
    <row r="239" hidden="1">
      <c r="A239" s="99">
        <v>971.0</v>
      </c>
      <c r="B239" s="99" t="s">
        <v>241</v>
      </c>
      <c r="C239" s="99" t="s">
        <v>1813</v>
      </c>
      <c r="D239" s="100" t="s">
        <v>2832</v>
      </c>
      <c r="E239" s="99" t="s">
        <v>346</v>
      </c>
      <c r="F239" s="99" t="s">
        <v>2833</v>
      </c>
      <c r="G239" s="99" t="s">
        <v>2834</v>
      </c>
      <c r="H239" s="99" t="s">
        <v>189</v>
      </c>
      <c r="I239" s="99" t="s">
        <v>1328</v>
      </c>
      <c r="J239" s="104"/>
      <c r="K239" s="107" t="str">
        <f>IFNA(VLOOKUP(D239,'EAN Codes'!A:C,2,False),"")</f>
        <v/>
      </c>
      <c r="L239" s="101"/>
      <c r="M239" s="119"/>
      <c r="N239" s="99"/>
      <c r="O239" s="99"/>
      <c r="P239" s="99"/>
      <c r="Q239" s="99"/>
      <c r="R239" s="99"/>
      <c r="S239" s="104"/>
      <c r="T239" s="99"/>
      <c r="U239" s="113" t="b">
        <v>1</v>
      </c>
      <c r="V239" s="99" t="s">
        <v>2838</v>
      </c>
      <c r="Z239" t="b">
        <v>0</v>
      </c>
    </row>
    <row r="240" hidden="1">
      <c r="A240" s="99">
        <v>979.0</v>
      </c>
      <c r="B240" s="99" t="s">
        <v>241</v>
      </c>
      <c r="C240" s="99" t="s">
        <v>342</v>
      </c>
      <c r="D240" s="99" t="s">
        <v>2839</v>
      </c>
      <c r="E240" s="99" t="s">
        <v>346</v>
      </c>
      <c r="F240" s="99" t="s">
        <v>2840</v>
      </c>
      <c r="G240" s="99" t="s">
        <v>2841</v>
      </c>
      <c r="H240" s="99" t="s">
        <v>189</v>
      </c>
      <c r="I240" s="99" t="s">
        <v>458</v>
      </c>
      <c r="J240" s="104"/>
      <c r="K240" s="66" t="str">
        <f>IFNA(VLOOKUP(D240,'EAN Codes'!A:C,2,False),"")</f>
        <v>5907615802010</v>
      </c>
      <c r="L240" s="82"/>
      <c r="M240" s="67"/>
      <c r="S240" s="60"/>
      <c r="U240" s="69" t="b">
        <v>1</v>
      </c>
      <c r="Z240" t="b">
        <v>0</v>
      </c>
    </row>
    <row r="241" hidden="1">
      <c r="A241" s="99">
        <v>49.0</v>
      </c>
      <c r="B241" s="99"/>
      <c r="C241" s="99" t="s">
        <v>408</v>
      </c>
      <c r="D241" s="99">
        <v>304152.0</v>
      </c>
      <c r="E241" s="99" t="s">
        <v>527</v>
      </c>
      <c r="F241" s="99" t="s">
        <v>2846</v>
      </c>
      <c r="G241" s="303" t="s">
        <v>1155</v>
      </c>
      <c r="H241" s="99" t="s">
        <v>512</v>
      </c>
      <c r="I241" s="99" t="s">
        <v>530</v>
      </c>
      <c r="J241" s="104"/>
      <c r="K241" s="66" t="str">
        <f>IFNA(VLOOKUP(D241,'EAN Codes'!A:C,2,False),"")</f>
        <v/>
      </c>
      <c r="L241" s="35"/>
      <c r="M241" s="119"/>
      <c r="N241" s="99"/>
      <c r="O241" s="99"/>
      <c r="P241" s="99"/>
      <c r="Q241" s="99"/>
      <c r="R241" s="99"/>
      <c r="S241" s="104"/>
      <c r="T241" s="99"/>
      <c r="U241" s="69" t="b">
        <v>1</v>
      </c>
      <c r="V241" s="99"/>
      <c r="W241" s="101"/>
      <c r="Z241" t="b">
        <v>0</v>
      </c>
    </row>
    <row r="242" hidden="1">
      <c r="A242" s="99">
        <v>311.0</v>
      </c>
      <c r="B242" s="99" t="s">
        <v>241</v>
      </c>
      <c r="C242" s="99" t="s">
        <v>1250</v>
      </c>
      <c r="D242" s="99" t="s">
        <v>2851</v>
      </c>
      <c r="E242" s="99" t="s">
        <v>346</v>
      </c>
      <c r="F242" s="99" t="s">
        <v>2852</v>
      </c>
      <c r="G242" s="99" t="s">
        <v>1155</v>
      </c>
      <c r="H242" s="99" t="s">
        <v>189</v>
      </c>
      <c r="I242" s="99" t="s">
        <v>585</v>
      </c>
      <c r="J242" s="104"/>
      <c r="K242" s="66" t="str">
        <f>IFNA(VLOOKUP(D242,'EAN Codes'!A:C,2,False),"")</f>
        <v>8058772221903</v>
      </c>
      <c r="L242" s="99" t="s">
        <v>269</v>
      </c>
      <c r="M242" s="119"/>
      <c r="N242" s="99"/>
      <c r="O242" s="99"/>
      <c r="P242" s="99"/>
      <c r="Q242" s="99"/>
      <c r="R242" s="99"/>
      <c r="S242" s="104"/>
      <c r="T242" s="99"/>
      <c r="U242" s="113" t="b">
        <v>1</v>
      </c>
      <c r="V242" s="99" t="s">
        <v>2856</v>
      </c>
      <c r="Z242" t="b">
        <v>0</v>
      </c>
    </row>
    <row r="243" hidden="1">
      <c r="A243" s="99">
        <v>257.0</v>
      </c>
      <c r="B243" s="99" t="s">
        <v>241</v>
      </c>
      <c r="C243" s="86" t="s">
        <v>1250</v>
      </c>
      <c r="D243" s="86" t="s">
        <v>2859</v>
      </c>
      <c r="E243" s="86" t="s">
        <v>1390</v>
      </c>
      <c r="F243" s="86" t="s">
        <v>2860</v>
      </c>
      <c r="G243" s="303" t="s">
        <v>2861</v>
      </c>
      <c r="H243" s="99" t="s">
        <v>189</v>
      </c>
      <c r="I243" s="99" t="s">
        <v>1328</v>
      </c>
      <c r="J243" s="104"/>
      <c r="K243" s="66" t="str">
        <f>IFNA(VLOOKUP(D243,'EAN Codes'!A:C,2,False),"")</f>
        <v>8058772227905</v>
      </c>
      <c r="L243" s="35" t="s">
        <v>269</v>
      </c>
      <c r="M243" s="119"/>
      <c r="N243" s="99"/>
      <c r="O243" s="99"/>
      <c r="P243" s="99"/>
      <c r="Q243" s="99"/>
      <c r="R243" s="99"/>
      <c r="S243" s="104"/>
      <c r="T243" s="99"/>
      <c r="U243" s="69" t="b">
        <v>1</v>
      </c>
      <c r="V243" s="99" t="s">
        <v>2866</v>
      </c>
      <c r="W243" s="101"/>
      <c r="Z243" t="b">
        <v>0</v>
      </c>
    </row>
    <row r="244" hidden="1">
      <c r="A244" s="99">
        <v>724.0</v>
      </c>
      <c r="B244" s="99" t="s">
        <v>241</v>
      </c>
      <c r="C244" s="99" t="s">
        <v>1250</v>
      </c>
      <c r="D244" s="99" t="s">
        <v>2867</v>
      </c>
      <c r="E244" s="99" t="s">
        <v>409</v>
      </c>
      <c r="F244" s="99" t="s">
        <v>2868</v>
      </c>
      <c r="G244" s="99" t="s">
        <v>1155</v>
      </c>
      <c r="H244" s="99" t="s">
        <v>189</v>
      </c>
      <c r="I244" s="99" t="s">
        <v>551</v>
      </c>
      <c r="J244" s="104"/>
      <c r="K244" s="66" t="str">
        <f>IFNA(VLOOKUP(D244,'EAN Codes'!A:C,2,False),"")</f>
        <v>8058772221927</v>
      </c>
      <c r="L244" s="35" t="s">
        <v>269</v>
      </c>
      <c r="M244" s="83"/>
      <c r="N244" s="6"/>
      <c r="O244" s="6"/>
      <c r="P244" s="6"/>
      <c r="Q244" s="6"/>
      <c r="R244" s="6"/>
      <c r="S244" s="84"/>
      <c r="T244" s="6"/>
      <c r="U244" s="69" t="b">
        <v>1</v>
      </c>
      <c r="V244" s="6" t="s">
        <v>2871</v>
      </c>
      <c r="Z244" t="b">
        <v>0</v>
      </c>
    </row>
    <row r="245" hidden="1">
      <c r="A245" s="99">
        <v>698.0</v>
      </c>
      <c r="B245" s="99" t="s">
        <v>241</v>
      </c>
      <c r="C245" s="99" t="s">
        <v>342</v>
      </c>
      <c r="D245" s="99" t="s">
        <v>2872</v>
      </c>
      <c r="E245" s="99" t="s">
        <v>346</v>
      </c>
      <c r="F245" s="99" t="s">
        <v>2874</v>
      </c>
      <c r="G245" s="99" t="s">
        <v>2773</v>
      </c>
      <c r="H245" s="99" t="s">
        <v>189</v>
      </c>
      <c r="I245" s="99" t="s">
        <v>458</v>
      </c>
      <c r="J245" s="104"/>
      <c r="K245" s="66" t="str">
        <f>IFNA(VLOOKUP(D245,'EAN Codes'!A:C,2,False),"")</f>
        <v>5907615802164</v>
      </c>
      <c r="L245" s="35" t="s">
        <v>269</v>
      </c>
      <c r="M245" s="83"/>
      <c r="N245" s="6"/>
      <c r="O245" s="6"/>
      <c r="P245" s="6"/>
      <c r="Q245" s="6"/>
      <c r="R245" s="6"/>
      <c r="S245" s="84"/>
      <c r="T245" s="6"/>
      <c r="U245" s="69" t="b">
        <v>1</v>
      </c>
      <c r="V245" s="6" t="s">
        <v>2878</v>
      </c>
      <c r="Z245" t="b">
        <v>0</v>
      </c>
    </row>
    <row r="246" hidden="1">
      <c r="A246" s="99">
        <v>926.0</v>
      </c>
      <c r="B246" s="99" t="s">
        <v>241</v>
      </c>
      <c r="C246" s="99" t="s">
        <v>342</v>
      </c>
      <c r="D246" s="99" t="s">
        <v>2839</v>
      </c>
      <c r="E246" s="99" t="s">
        <v>346</v>
      </c>
      <c r="F246" s="99" t="s">
        <v>2879</v>
      </c>
      <c r="G246" s="99" t="s">
        <v>2880</v>
      </c>
      <c r="H246" s="99" t="s">
        <v>189</v>
      </c>
      <c r="I246" s="99" t="s">
        <v>1328</v>
      </c>
      <c r="J246" s="104"/>
      <c r="K246" s="66" t="str">
        <f>IFNA(VLOOKUP(D246,'EAN Codes'!A:C,2,False),"")</f>
        <v>5907615802010</v>
      </c>
      <c r="L246" s="82"/>
      <c r="M246" s="83"/>
      <c r="N246" s="6"/>
      <c r="O246" s="6"/>
      <c r="P246" s="6"/>
      <c r="Q246" s="6"/>
      <c r="R246" s="6"/>
      <c r="S246" s="84"/>
      <c r="T246" s="6"/>
      <c r="U246" s="69" t="b">
        <v>1</v>
      </c>
      <c r="V246" s="6" t="s">
        <v>2885</v>
      </c>
      <c r="Z246" t="b">
        <v>0</v>
      </c>
    </row>
    <row r="247" hidden="1">
      <c r="A247" s="99">
        <v>889.0</v>
      </c>
      <c r="B247" s="99" t="s">
        <v>241</v>
      </c>
      <c r="C247" s="99" t="s">
        <v>2886</v>
      </c>
      <c r="D247" s="99" t="s">
        <v>2887</v>
      </c>
      <c r="E247" s="99" t="s">
        <v>409</v>
      </c>
      <c r="F247" s="99" t="s">
        <v>2888</v>
      </c>
      <c r="G247" s="99" t="s">
        <v>1922</v>
      </c>
      <c r="H247" s="99" t="s">
        <v>189</v>
      </c>
      <c r="I247" s="99" t="s">
        <v>1863</v>
      </c>
      <c r="J247" s="104"/>
      <c r="K247" s="66" t="str">
        <f>IFNA(VLOOKUP(D247,'EAN Codes'!A:C,2,False),"")</f>
        <v/>
      </c>
      <c r="L247" s="101"/>
      <c r="M247" s="119"/>
      <c r="N247" s="99"/>
      <c r="O247" s="99"/>
      <c r="P247" s="99"/>
      <c r="Q247" s="99"/>
      <c r="R247" s="99"/>
      <c r="S247" s="104"/>
      <c r="T247" s="99"/>
      <c r="U247" s="113" t="b">
        <v>1</v>
      </c>
      <c r="V247" s="99" t="s">
        <v>2893</v>
      </c>
      <c r="Z247" t="b">
        <v>0</v>
      </c>
    </row>
    <row r="248" hidden="1">
      <c r="A248" s="99">
        <v>220.0</v>
      </c>
      <c r="B248" s="99"/>
      <c r="C248" s="99" t="s">
        <v>408</v>
      </c>
      <c r="D248" s="99">
        <v>304145.0</v>
      </c>
      <c r="E248" s="99" t="s">
        <v>373</v>
      </c>
      <c r="F248" s="99" t="s">
        <v>2894</v>
      </c>
      <c r="G248" s="99" t="s">
        <v>2895</v>
      </c>
      <c r="H248" s="99" t="s">
        <v>1726</v>
      </c>
      <c r="I248" s="99" t="s">
        <v>1007</v>
      </c>
      <c r="J248" s="104"/>
      <c r="K248" s="66" t="str">
        <f>IFNA(VLOOKUP(D248,'EAN Codes'!A:C,2,False),"")</f>
        <v/>
      </c>
      <c r="L248" s="35"/>
      <c r="M248" s="119"/>
      <c r="N248" s="99"/>
      <c r="O248" s="99"/>
      <c r="P248" s="99"/>
      <c r="Q248" s="99"/>
      <c r="R248" s="99"/>
      <c r="S248" s="104"/>
      <c r="T248" s="99"/>
      <c r="U248" s="69" t="b">
        <v>1</v>
      </c>
      <c r="V248" s="99" t="s">
        <v>2899</v>
      </c>
      <c r="Z248" t="b">
        <v>0</v>
      </c>
    </row>
    <row r="249" hidden="1">
      <c r="A249" s="86">
        <v>881.0</v>
      </c>
      <c r="B249" s="86" t="s">
        <v>241</v>
      </c>
      <c r="C249" s="86" t="s">
        <v>1250</v>
      </c>
      <c r="D249" s="87" t="s">
        <v>2824</v>
      </c>
      <c r="E249" s="86" t="s">
        <v>2900</v>
      </c>
      <c r="F249" s="86" t="s">
        <v>2902</v>
      </c>
      <c r="G249" s="86" t="s">
        <v>2194</v>
      </c>
      <c r="H249" s="86" t="s">
        <v>1713</v>
      </c>
      <c r="I249" s="86"/>
      <c r="J249" s="88"/>
      <c r="K249" s="66" t="str">
        <f>IFNA(VLOOKUP(D249,'EAN Codes'!A:C,2,False),"")</f>
        <v/>
      </c>
      <c r="L249" s="91"/>
      <c r="M249" s="92"/>
      <c r="N249" s="86"/>
      <c r="O249" s="86"/>
      <c r="P249" s="86"/>
      <c r="Q249" s="86"/>
      <c r="R249" s="86"/>
      <c r="S249" s="88"/>
      <c r="T249" s="86"/>
      <c r="U249" s="93" t="b">
        <v>1</v>
      </c>
      <c r="V249" s="86" t="s">
        <v>2908</v>
      </c>
      <c r="Z249" t="b">
        <v>0</v>
      </c>
    </row>
    <row r="250" hidden="1">
      <c r="A250" s="99">
        <v>19.0</v>
      </c>
      <c r="B250" s="99" t="s">
        <v>241</v>
      </c>
      <c r="C250" s="99" t="s">
        <v>342</v>
      </c>
      <c r="D250" s="99" t="s">
        <v>2909</v>
      </c>
      <c r="E250" s="99" t="s">
        <v>409</v>
      </c>
      <c r="F250" s="99" t="s">
        <v>2912</v>
      </c>
      <c r="G250" s="99" t="s">
        <v>901</v>
      </c>
      <c r="H250" s="99" t="s">
        <v>1726</v>
      </c>
      <c r="I250" s="99" t="s">
        <v>819</v>
      </c>
      <c r="J250" s="104"/>
      <c r="K250" s="66" t="str">
        <f>IFNA(VLOOKUP(D250,'EAN Codes'!A:C,2,False),"")</f>
        <v>5907615802119</v>
      </c>
      <c r="L250" s="35"/>
      <c r="M250" s="83"/>
      <c r="N250" s="6"/>
      <c r="O250" s="6"/>
      <c r="P250" s="6"/>
      <c r="Q250" s="6"/>
      <c r="R250" s="6"/>
      <c r="S250" s="84"/>
      <c r="T250" s="6"/>
      <c r="U250" s="69" t="b">
        <v>1</v>
      </c>
      <c r="V250" s="6"/>
      <c r="X250" s="101"/>
      <c r="Y250" s="101"/>
      <c r="Z250" t="b">
        <v>0</v>
      </c>
    </row>
    <row r="251" hidden="1">
      <c r="A251" s="99">
        <v>131.0</v>
      </c>
      <c r="B251" s="99"/>
      <c r="C251" s="99" t="s">
        <v>408</v>
      </c>
      <c r="D251" s="306">
        <v>986522.0</v>
      </c>
      <c r="E251" s="99" t="s">
        <v>373</v>
      </c>
      <c r="F251" s="99" t="s">
        <v>2918</v>
      </c>
      <c r="G251" s="99" t="s">
        <v>1922</v>
      </c>
      <c r="H251" s="99" t="s">
        <v>512</v>
      </c>
      <c r="I251" s="99" t="s">
        <v>1007</v>
      </c>
      <c r="J251" s="104"/>
      <c r="K251" s="66" t="str">
        <f>IFNA(VLOOKUP(D251,'EAN Codes'!A:C,2,False),"")</f>
        <v/>
      </c>
      <c r="L251" s="99"/>
      <c r="M251" s="119"/>
      <c r="N251" s="99"/>
      <c r="O251" s="99"/>
      <c r="P251" s="99"/>
      <c r="Q251" s="99"/>
      <c r="R251" s="99"/>
      <c r="S251" s="104"/>
      <c r="T251" s="99"/>
      <c r="U251" s="113" t="b">
        <v>1</v>
      </c>
      <c r="V251" s="99" t="s">
        <v>2925</v>
      </c>
      <c r="Z251" s="101" t="b">
        <v>0</v>
      </c>
      <c r="AA251" s="101"/>
      <c r="AB251" s="101"/>
      <c r="AC251" s="101"/>
      <c r="AD251" s="101"/>
      <c r="AE251" s="101"/>
    </row>
    <row r="252" hidden="1">
      <c r="A252" s="86">
        <v>263.0</v>
      </c>
      <c r="B252" s="86" t="s">
        <v>241</v>
      </c>
      <c r="C252" s="86" t="s">
        <v>342</v>
      </c>
      <c r="D252" s="86" t="s">
        <v>2926</v>
      </c>
      <c r="E252" s="86" t="s">
        <v>409</v>
      </c>
      <c r="F252" s="86" t="s">
        <v>2928</v>
      </c>
      <c r="G252" s="86" t="s">
        <v>1922</v>
      </c>
      <c r="H252" s="86" t="s">
        <v>298</v>
      </c>
      <c r="I252" s="86" t="s">
        <v>418</v>
      </c>
      <c r="J252" s="88"/>
      <c r="K252" s="66" t="str">
        <f>IFNA(VLOOKUP(D252,'EAN Codes'!A:C,2,False),"")</f>
        <v>5907615802157</v>
      </c>
      <c r="L252" s="6"/>
      <c r="M252" s="92"/>
      <c r="N252" s="86"/>
      <c r="O252" s="86"/>
      <c r="P252" s="86"/>
      <c r="Q252" s="86"/>
      <c r="R252" s="86"/>
      <c r="S252" s="88"/>
      <c r="T252" s="86"/>
      <c r="U252" s="85" t="b">
        <v>1</v>
      </c>
      <c r="V252" s="86" t="s">
        <v>2930</v>
      </c>
      <c r="Z252" t="b">
        <v>0</v>
      </c>
    </row>
    <row r="253" hidden="1">
      <c r="A253" s="99">
        <v>968.0</v>
      </c>
      <c r="B253" s="99" t="s">
        <v>241</v>
      </c>
      <c r="C253" s="99" t="s">
        <v>2886</v>
      </c>
      <c r="D253" s="99" t="s">
        <v>2935</v>
      </c>
      <c r="E253" s="99" t="s">
        <v>1390</v>
      </c>
      <c r="F253" s="99" t="s">
        <v>2936</v>
      </c>
      <c r="G253" s="101"/>
      <c r="H253" s="99" t="s">
        <v>189</v>
      </c>
      <c r="I253" s="99" t="s">
        <v>1634</v>
      </c>
      <c r="J253" s="104"/>
      <c r="K253" s="66" t="str">
        <f>IFNA(VLOOKUP(D253,'EAN Codes'!A:C,2,False),"")</f>
        <v>09103</v>
      </c>
      <c r="L253" s="82"/>
      <c r="M253" s="67"/>
      <c r="S253" s="60"/>
      <c r="U253" s="69" t="b">
        <v>1</v>
      </c>
      <c r="Z253" s="115" t="b">
        <v>0</v>
      </c>
      <c r="AA253" s="115"/>
      <c r="AB253" s="115"/>
      <c r="AC253" s="115"/>
      <c r="AD253" s="115"/>
      <c r="AE253" s="115"/>
    </row>
    <row r="254" hidden="1">
      <c r="A254" s="99">
        <v>201.0</v>
      </c>
      <c r="B254" s="99"/>
      <c r="C254" s="99" t="s">
        <v>408</v>
      </c>
      <c r="D254" s="306">
        <v>988348.0</v>
      </c>
      <c r="E254" s="99" t="s">
        <v>2941</v>
      </c>
      <c r="F254" s="99" t="s">
        <v>2942</v>
      </c>
      <c r="G254" s="99" t="s">
        <v>1922</v>
      </c>
      <c r="H254" s="99" t="s">
        <v>512</v>
      </c>
      <c r="I254" s="99" t="s">
        <v>1328</v>
      </c>
      <c r="J254" s="104"/>
      <c r="K254" s="66" t="str">
        <f>IFNA(VLOOKUP(D254,'EAN Codes'!A:C,2,False),"")</f>
        <v/>
      </c>
      <c r="L254" s="35"/>
      <c r="M254" s="67"/>
      <c r="S254" s="60"/>
      <c r="U254" s="69" t="b">
        <v>1</v>
      </c>
      <c r="Z254" t="b">
        <v>0</v>
      </c>
    </row>
    <row r="255" hidden="1">
      <c r="A255" s="99">
        <v>365.0</v>
      </c>
      <c r="B255" s="99" t="s">
        <v>241</v>
      </c>
      <c r="C255" s="99" t="s">
        <v>408</v>
      </c>
      <c r="D255" s="99" t="s">
        <v>2947</v>
      </c>
      <c r="E255" s="99" t="s">
        <v>2070</v>
      </c>
      <c r="F255" s="99" t="s">
        <v>2949</v>
      </c>
      <c r="G255" s="101"/>
      <c r="H255" s="99" t="s">
        <v>189</v>
      </c>
      <c r="I255" s="99" t="s">
        <v>530</v>
      </c>
      <c r="J255" s="104"/>
      <c r="K255" s="66" t="str">
        <f>IFNA(VLOOKUP(D255,'EAN Codes'!A:C,2,False),"")</f>
        <v/>
      </c>
      <c r="L255" s="99"/>
      <c r="M255" s="67"/>
      <c r="S255" s="60"/>
      <c r="U255" s="113" t="b">
        <v>1</v>
      </c>
      <c r="Z255" t="b">
        <v>0</v>
      </c>
    </row>
    <row r="256" hidden="1">
      <c r="A256" s="99">
        <v>55.0</v>
      </c>
      <c r="B256" s="99" t="s">
        <v>241</v>
      </c>
      <c r="C256" s="99" t="s">
        <v>1217</v>
      </c>
      <c r="D256" s="99" t="s">
        <v>2953</v>
      </c>
      <c r="E256" s="99" t="s">
        <v>2639</v>
      </c>
      <c r="F256" s="99" t="s">
        <v>2954</v>
      </c>
      <c r="G256" s="99" t="s">
        <v>2955</v>
      </c>
      <c r="H256" s="99" t="s">
        <v>189</v>
      </c>
      <c r="I256" s="99" t="s">
        <v>585</v>
      </c>
      <c r="J256" s="104"/>
      <c r="K256" s="66" t="str">
        <f>IFNA(VLOOKUP(D256,'EAN Codes'!A:C,2,False),"")</f>
        <v/>
      </c>
      <c r="L256" s="99" t="s">
        <v>269</v>
      </c>
      <c r="M256" s="67"/>
      <c r="S256" s="60"/>
      <c r="U256" s="113" t="b">
        <v>1</v>
      </c>
      <c r="X256" s="101"/>
      <c r="Y256" s="101"/>
      <c r="Z256" t="b">
        <v>0</v>
      </c>
    </row>
    <row r="257" hidden="1">
      <c r="A257" s="6">
        <v>224.0</v>
      </c>
      <c r="B257" s="6" t="s">
        <v>241</v>
      </c>
      <c r="C257" s="6" t="s">
        <v>342</v>
      </c>
      <c r="D257" s="127" t="s">
        <v>2909</v>
      </c>
      <c r="E257" s="6" t="s">
        <v>409</v>
      </c>
      <c r="F257" s="6" t="s">
        <v>2959</v>
      </c>
      <c r="G257" s="6" t="s">
        <v>901</v>
      </c>
      <c r="H257" s="6" t="s">
        <v>189</v>
      </c>
      <c r="I257" s="6" t="s">
        <v>418</v>
      </c>
      <c r="J257" s="84"/>
      <c r="K257" s="66" t="str">
        <f>IFNA(VLOOKUP(D257,'EAN Codes'!A:C,2,False),"")</f>
        <v>5907615802119</v>
      </c>
      <c r="L257" s="35" t="s">
        <v>269</v>
      </c>
      <c r="M257" s="159"/>
      <c r="N257" s="160"/>
      <c r="O257" s="160"/>
      <c r="P257" s="160"/>
      <c r="Q257" s="160"/>
      <c r="R257" s="160"/>
      <c r="S257" s="161"/>
      <c r="T257" s="160"/>
      <c r="U257" s="69" t="b">
        <v>1</v>
      </c>
      <c r="V257" s="160" t="s">
        <v>2963</v>
      </c>
      <c r="Z257" t="b">
        <v>0</v>
      </c>
    </row>
    <row r="258" hidden="1">
      <c r="A258" s="86">
        <v>651.0</v>
      </c>
      <c r="B258" s="99" t="s">
        <v>241</v>
      </c>
      <c r="C258" s="99" t="s">
        <v>1250</v>
      </c>
      <c r="D258" s="99" t="s">
        <v>2859</v>
      </c>
      <c r="E258" s="99" t="s">
        <v>1390</v>
      </c>
      <c r="F258" s="99" t="s">
        <v>2966</v>
      </c>
      <c r="G258" s="99" t="s">
        <v>2861</v>
      </c>
      <c r="H258" s="99" t="s">
        <v>189</v>
      </c>
      <c r="I258" s="99" t="s">
        <v>570</v>
      </c>
      <c r="J258" s="104"/>
      <c r="K258" s="66" t="str">
        <f>IFNA(VLOOKUP(D258,'EAN Codes'!A:C,2,False),"")</f>
        <v>8058772227905</v>
      </c>
      <c r="L258" s="35" t="s">
        <v>269</v>
      </c>
      <c r="M258" s="67"/>
      <c r="S258" s="60"/>
      <c r="U258" s="69" t="b">
        <v>1</v>
      </c>
      <c r="Z258" t="b">
        <v>0</v>
      </c>
    </row>
    <row r="259" hidden="1">
      <c r="A259" s="99">
        <v>50.0</v>
      </c>
      <c r="B259" s="99"/>
      <c r="C259" s="99" t="s">
        <v>342</v>
      </c>
      <c r="D259" s="99" t="s">
        <v>2970</v>
      </c>
      <c r="E259" s="99" t="s">
        <v>527</v>
      </c>
      <c r="F259" s="99" t="s">
        <v>2971</v>
      </c>
      <c r="G259" s="99" t="s">
        <v>1155</v>
      </c>
      <c r="H259" s="99" t="s">
        <v>512</v>
      </c>
      <c r="I259" s="99" t="s">
        <v>1007</v>
      </c>
      <c r="J259" s="104"/>
      <c r="K259" s="66" t="str">
        <f>IFNA(VLOOKUP(D259,'EAN Codes'!A:C,2,False),"")</f>
        <v>5907615802683</v>
      </c>
      <c r="L259" s="35"/>
      <c r="M259" s="67"/>
      <c r="S259" s="60"/>
      <c r="U259" s="69" t="b">
        <v>1</v>
      </c>
      <c r="X259" s="101"/>
      <c r="Z259" t="b">
        <v>0</v>
      </c>
    </row>
    <row r="260" hidden="1">
      <c r="A260" s="99">
        <v>423.0</v>
      </c>
      <c r="B260" s="99" t="s">
        <v>241</v>
      </c>
      <c r="C260" s="99" t="s">
        <v>342</v>
      </c>
      <c r="D260" s="99" t="s">
        <v>2978</v>
      </c>
      <c r="E260" s="99" t="s">
        <v>346</v>
      </c>
      <c r="F260" s="99" t="s">
        <v>2971</v>
      </c>
      <c r="G260" s="99" t="s">
        <v>1155</v>
      </c>
      <c r="H260" s="99" t="s">
        <v>189</v>
      </c>
      <c r="I260" s="99" t="s">
        <v>819</v>
      </c>
      <c r="J260" s="104"/>
      <c r="K260" s="66" t="str">
        <f>IFNA(VLOOKUP(D260,'EAN Codes'!A:C,2,False),"")</f>
        <v>5907615802676</v>
      </c>
      <c r="L260" s="99"/>
      <c r="M260" s="119"/>
      <c r="N260" s="99"/>
      <c r="O260" s="99"/>
      <c r="P260" s="99"/>
      <c r="Q260" s="99"/>
      <c r="R260" s="99"/>
      <c r="S260" s="104"/>
      <c r="T260" s="99"/>
      <c r="U260" s="113" t="b">
        <v>1</v>
      </c>
      <c r="V260" s="99" t="s">
        <v>2981</v>
      </c>
      <c r="Z260" t="b">
        <v>0</v>
      </c>
    </row>
    <row r="261" hidden="1">
      <c r="A261" s="99">
        <v>678.0</v>
      </c>
      <c r="B261" s="99" t="s">
        <v>241</v>
      </c>
      <c r="C261" s="99" t="s">
        <v>342</v>
      </c>
      <c r="D261" s="99" t="s">
        <v>2978</v>
      </c>
      <c r="E261" s="99" t="s">
        <v>346</v>
      </c>
      <c r="F261" s="99" t="s">
        <v>2971</v>
      </c>
      <c r="G261" s="99" t="s">
        <v>1155</v>
      </c>
      <c r="H261" s="99" t="s">
        <v>189</v>
      </c>
      <c r="I261" s="99" t="s">
        <v>570</v>
      </c>
      <c r="J261" s="104"/>
      <c r="K261" s="66" t="str">
        <f>IFNA(VLOOKUP(D261,'EAN Codes'!A:C,2,False),"")</f>
        <v>5907615802676</v>
      </c>
      <c r="L261" s="35" t="s">
        <v>269</v>
      </c>
      <c r="M261" s="83"/>
      <c r="N261" s="6"/>
      <c r="O261" s="6"/>
      <c r="P261" s="6"/>
      <c r="Q261" s="6"/>
      <c r="R261" s="6"/>
      <c r="S261" s="84"/>
      <c r="T261" s="6"/>
      <c r="U261" s="69" t="b">
        <v>1</v>
      </c>
      <c r="V261" s="6" t="s">
        <v>2988</v>
      </c>
      <c r="Z261" t="b">
        <v>0</v>
      </c>
    </row>
    <row r="262" hidden="1">
      <c r="A262" s="99">
        <v>76.0</v>
      </c>
      <c r="B262" s="99" t="s">
        <v>241</v>
      </c>
      <c r="C262" s="99" t="s">
        <v>408</v>
      </c>
      <c r="D262" s="99">
        <v>316315.0</v>
      </c>
      <c r="E262" s="99" t="s">
        <v>373</v>
      </c>
      <c r="F262" s="99" t="s">
        <v>2971</v>
      </c>
      <c r="G262" s="99" t="s">
        <v>2992</v>
      </c>
      <c r="H262" s="99" t="s">
        <v>189</v>
      </c>
      <c r="I262" s="99" t="s">
        <v>819</v>
      </c>
      <c r="J262" s="104"/>
      <c r="K262" s="66" t="str">
        <f>IFNA(VLOOKUP(D262,'EAN Codes'!A:C,2,False),"")</f>
        <v/>
      </c>
      <c r="L262" s="99" t="s">
        <v>269</v>
      </c>
      <c r="M262" s="83"/>
      <c r="N262" s="6"/>
      <c r="O262" s="6"/>
      <c r="P262" s="6"/>
      <c r="Q262" s="6"/>
      <c r="R262" s="6"/>
      <c r="S262" s="84"/>
      <c r="T262" s="6"/>
      <c r="U262" s="113" t="b">
        <v>1</v>
      </c>
      <c r="V262" s="6" t="s">
        <v>2997</v>
      </c>
      <c r="Y262" s="6" t="s">
        <v>452</v>
      </c>
      <c r="Z262" t="b">
        <v>0</v>
      </c>
    </row>
    <row r="263" hidden="1">
      <c r="A263" s="99">
        <v>826.0</v>
      </c>
      <c r="B263" s="99" t="s">
        <v>241</v>
      </c>
      <c r="C263" s="99" t="s">
        <v>342</v>
      </c>
      <c r="D263" s="99" t="s">
        <v>2978</v>
      </c>
      <c r="E263" s="99" t="s">
        <v>346</v>
      </c>
      <c r="F263" s="99" t="s">
        <v>3000</v>
      </c>
      <c r="G263" s="99" t="s">
        <v>1155</v>
      </c>
      <c r="H263" s="99" t="s">
        <v>189</v>
      </c>
      <c r="I263" s="99" t="s">
        <v>418</v>
      </c>
      <c r="J263" s="104"/>
      <c r="K263" s="66" t="str">
        <f>IFNA(VLOOKUP(D263,'EAN Codes'!A:C,2,False),"")</f>
        <v>5907615802676</v>
      </c>
      <c r="L263" s="82"/>
      <c r="M263" s="83"/>
      <c r="N263" s="6"/>
      <c r="O263" s="6"/>
      <c r="P263" s="6"/>
      <c r="Q263" s="6"/>
      <c r="R263" s="6"/>
      <c r="S263" s="84"/>
      <c r="T263" s="6"/>
      <c r="U263" s="69" t="b">
        <v>1</v>
      </c>
      <c r="V263" s="6" t="s">
        <v>3003</v>
      </c>
      <c r="Z263" t="b">
        <v>0</v>
      </c>
    </row>
    <row r="264" hidden="1">
      <c r="A264" s="99">
        <v>206.0</v>
      </c>
      <c r="B264" s="122" t="s">
        <v>241</v>
      </c>
      <c r="C264" s="122" t="s">
        <v>342</v>
      </c>
      <c r="D264" s="99" t="s">
        <v>2970</v>
      </c>
      <c r="E264" s="99" t="s">
        <v>373</v>
      </c>
      <c r="F264" s="99" t="s">
        <v>3005</v>
      </c>
      <c r="G264" s="99" t="s">
        <v>1155</v>
      </c>
      <c r="H264" s="122" t="s">
        <v>189</v>
      </c>
      <c r="I264" s="99" t="s">
        <v>458</v>
      </c>
      <c r="J264" s="104"/>
      <c r="K264" s="66" t="str">
        <f>IFNA(VLOOKUP(D264,'EAN Codes'!A:C,2,False),"")</f>
        <v>5907615802683</v>
      </c>
      <c r="L264" s="101"/>
      <c r="M264" s="159"/>
      <c r="N264" s="160"/>
      <c r="O264" s="160"/>
      <c r="P264" s="160"/>
      <c r="Q264" s="160"/>
      <c r="R264" s="160"/>
      <c r="S264" s="161"/>
      <c r="T264" s="160"/>
      <c r="U264" s="113" t="b">
        <v>1</v>
      </c>
      <c r="V264" s="160" t="s">
        <v>3009</v>
      </c>
      <c r="Z264" t="b">
        <v>0</v>
      </c>
    </row>
    <row r="265" hidden="1">
      <c r="A265" s="6">
        <v>627.0</v>
      </c>
      <c r="B265" s="6" t="s">
        <v>241</v>
      </c>
      <c r="C265" s="6" t="s">
        <v>1813</v>
      </c>
      <c r="D265" s="6" t="s">
        <v>3012</v>
      </c>
      <c r="E265" s="6" t="s">
        <v>346</v>
      </c>
      <c r="F265" s="6" t="s">
        <v>3013</v>
      </c>
      <c r="G265" s="6" t="s">
        <v>437</v>
      </c>
      <c r="H265" s="6" t="s">
        <v>421</v>
      </c>
      <c r="J265" s="60"/>
      <c r="K265" s="66" t="str">
        <f>IFNA(VLOOKUP(D265,'EAN Codes'!A:C,2,False),"")</f>
        <v/>
      </c>
      <c r="L265" s="35" t="s">
        <v>92</v>
      </c>
      <c r="M265" s="83"/>
      <c r="N265" s="6"/>
      <c r="O265" s="6"/>
      <c r="P265" s="6"/>
      <c r="Q265" s="6"/>
      <c r="R265" s="6"/>
      <c r="S265" s="84"/>
      <c r="T265" s="6"/>
      <c r="U265" s="69" t="b">
        <v>1</v>
      </c>
      <c r="V265" s="6" t="s">
        <v>3021</v>
      </c>
      <c r="Z265" t="b">
        <v>0</v>
      </c>
    </row>
    <row r="266" hidden="1">
      <c r="A266" s="6">
        <v>687.0</v>
      </c>
      <c r="B266" s="6" t="s">
        <v>2651</v>
      </c>
      <c r="C266" s="6" t="s">
        <v>1759</v>
      </c>
      <c r="F266" s="6" t="s">
        <v>3022</v>
      </c>
      <c r="H266" s="6" t="s">
        <v>189</v>
      </c>
      <c r="I266" s="6" t="s">
        <v>1971</v>
      </c>
      <c r="J266" s="84"/>
      <c r="K266" s="66" t="str">
        <f>IFNA(VLOOKUP(D266,'EAN Codes'!A:C,2,False),"")</f>
        <v/>
      </c>
      <c r="L266" s="82"/>
      <c r="M266" s="83"/>
      <c r="N266" s="6"/>
      <c r="O266" s="6"/>
      <c r="P266" s="6"/>
      <c r="Q266" s="6"/>
      <c r="R266" s="6"/>
      <c r="S266" s="84"/>
      <c r="T266" s="6"/>
      <c r="U266" s="69" t="b">
        <v>1</v>
      </c>
      <c r="V266" s="6" t="s">
        <v>3028</v>
      </c>
      <c r="Z266" t="b">
        <v>0</v>
      </c>
    </row>
    <row r="267" hidden="1">
      <c r="A267" s="99">
        <v>21.0</v>
      </c>
      <c r="B267" s="6" t="s">
        <v>241</v>
      </c>
      <c r="C267" s="99" t="s">
        <v>408</v>
      </c>
      <c r="D267" s="99">
        <v>3.03352300113E11</v>
      </c>
      <c r="E267" s="99" t="s">
        <v>1110</v>
      </c>
      <c r="F267" s="99" t="s">
        <v>3030</v>
      </c>
      <c r="G267" s="99" t="s">
        <v>2194</v>
      </c>
      <c r="H267" s="99" t="s">
        <v>189</v>
      </c>
      <c r="J267" s="60"/>
      <c r="K267" s="66" t="str">
        <f>IFNA(VLOOKUP(D267,'EAN Codes'!A:C,2,False),"")</f>
        <v/>
      </c>
      <c r="L267" s="6"/>
      <c r="M267" s="67"/>
      <c r="S267" s="60"/>
      <c r="U267" s="85" t="b">
        <v>1</v>
      </c>
      <c r="Z267" t="b">
        <v>0</v>
      </c>
    </row>
    <row r="268" hidden="1">
      <c r="A268" s="99">
        <v>22.0</v>
      </c>
      <c r="B268" s="6" t="s">
        <v>241</v>
      </c>
      <c r="C268" s="99" t="s">
        <v>408</v>
      </c>
      <c r="D268" s="99">
        <v>3.03352300113E11</v>
      </c>
      <c r="E268" s="99" t="s">
        <v>1110</v>
      </c>
      <c r="F268" s="99" t="s">
        <v>3030</v>
      </c>
      <c r="G268" s="99" t="s">
        <v>2194</v>
      </c>
      <c r="H268" s="99" t="s">
        <v>189</v>
      </c>
      <c r="I268" s="101"/>
      <c r="J268" s="110"/>
      <c r="K268" s="66" t="str">
        <f>IFNA(VLOOKUP(D268,'EAN Codes'!A:C,2,False),"")</f>
        <v/>
      </c>
      <c r="L268" s="6"/>
      <c r="M268" s="67"/>
      <c r="S268" s="60"/>
      <c r="U268" s="85" t="b">
        <v>1</v>
      </c>
      <c r="Z268" t="b">
        <v>0</v>
      </c>
    </row>
    <row r="269" hidden="1">
      <c r="A269" s="99">
        <v>20.0</v>
      </c>
      <c r="B269" s="99"/>
      <c r="C269" s="99" t="s">
        <v>408</v>
      </c>
      <c r="D269" s="99">
        <v>3.03460300113E11</v>
      </c>
      <c r="E269" s="99" t="s">
        <v>1110</v>
      </c>
      <c r="F269" s="99" t="s">
        <v>3030</v>
      </c>
      <c r="G269" s="99" t="s">
        <v>3039</v>
      </c>
      <c r="J269" s="60"/>
      <c r="K269" s="66" t="str">
        <f>IFNA(VLOOKUP(D269,'EAN Codes'!A:C,2,False),"")</f>
        <v/>
      </c>
      <c r="L269" s="6"/>
      <c r="M269" s="67"/>
      <c r="S269" s="60"/>
      <c r="U269" s="85" t="b">
        <v>1</v>
      </c>
      <c r="Z269" t="b">
        <v>0</v>
      </c>
    </row>
    <row r="270" hidden="1">
      <c r="B270" s="6" t="s">
        <v>241</v>
      </c>
      <c r="C270" s="6" t="s">
        <v>408</v>
      </c>
      <c r="D270" s="6">
        <v>3.00096300157E11</v>
      </c>
      <c r="E270" s="6" t="s">
        <v>733</v>
      </c>
      <c r="F270" s="6" t="s">
        <v>3042</v>
      </c>
      <c r="H270" s="6" t="s">
        <v>255</v>
      </c>
      <c r="J270" s="60"/>
      <c r="K270" s="66" t="str">
        <f>IFNA(VLOOKUP(D270,'EAN Codes'!A:C,2,False),"")</f>
        <v/>
      </c>
      <c r="L270" s="35"/>
      <c r="M270" s="83"/>
      <c r="N270" s="6"/>
      <c r="O270" s="6"/>
      <c r="P270" s="6"/>
      <c r="Q270" s="6"/>
      <c r="R270" s="6"/>
      <c r="S270" s="84"/>
      <c r="T270" s="6"/>
      <c r="U270" s="69" t="b">
        <v>1</v>
      </c>
      <c r="V270" s="6" t="s">
        <v>3045</v>
      </c>
      <c r="Z270" t="b">
        <v>0</v>
      </c>
    </row>
    <row r="271" hidden="1">
      <c r="A271" s="6">
        <v>94.0</v>
      </c>
      <c r="B271" s="6" t="s">
        <v>241</v>
      </c>
      <c r="C271" s="6" t="s">
        <v>408</v>
      </c>
      <c r="F271" s="6" t="s">
        <v>3046</v>
      </c>
      <c r="H271" s="6" t="s">
        <v>189</v>
      </c>
      <c r="I271" s="6" t="s">
        <v>2489</v>
      </c>
      <c r="J271" s="84"/>
      <c r="K271" s="66" t="str">
        <f>IFNA(VLOOKUP(D271,'EAN Codes'!A:C,2,False),"")</f>
        <v/>
      </c>
      <c r="L271" s="82"/>
      <c r="M271" s="67"/>
      <c r="S271" s="60"/>
      <c r="U271" s="69" t="b">
        <v>1</v>
      </c>
      <c r="Z271" t="b">
        <v>0</v>
      </c>
    </row>
    <row r="272" hidden="1">
      <c r="A272" s="99">
        <v>340.0</v>
      </c>
      <c r="B272" s="99" t="s">
        <v>241</v>
      </c>
      <c r="C272" s="99" t="s">
        <v>342</v>
      </c>
      <c r="D272" s="99" t="s">
        <v>3052</v>
      </c>
      <c r="E272" s="99" t="s">
        <v>346</v>
      </c>
      <c r="F272" s="99" t="s">
        <v>3053</v>
      </c>
      <c r="G272" s="99" t="s">
        <v>2194</v>
      </c>
      <c r="H272" s="99" t="s">
        <v>189</v>
      </c>
      <c r="I272" s="99" t="s">
        <v>1328</v>
      </c>
      <c r="J272" s="104"/>
      <c r="K272" s="66" t="str">
        <f>IFNA(VLOOKUP(D272,'EAN Codes'!A:C,2,False),"")</f>
        <v>5907615808180</v>
      </c>
      <c r="L272" s="35" t="s">
        <v>269</v>
      </c>
      <c r="M272" s="67"/>
      <c r="S272" s="60"/>
      <c r="U272" s="69" t="b">
        <v>1</v>
      </c>
      <c r="Z272" t="b">
        <v>0</v>
      </c>
    </row>
    <row r="273" hidden="1">
      <c r="A273" s="99">
        <v>671.0</v>
      </c>
      <c r="B273" s="99" t="s">
        <v>241</v>
      </c>
      <c r="C273" s="99" t="s">
        <v>342</v>
      </c>
      <c r="D273" s="309" t="s">
        <v>3057</v>
      </c>
      <c r="E273" s="99" t="s">
        <v>346</v>
      </c>
      <c r="F273" s="99" t="s">
        <v>3058</v>
      </c>
      <c r="G273" s="99" t="s">
        <v>375</v>
      </c>
      <c r="H273" s="99" t="s">
        <v>189</v>
      </c>
      <c r="I273" s="99" t="s">
        <v>680</v>
      </c>
      <c r="J273" s="104"/>
      <c r="K273" s="66" t="str">
        <f>IFNA(VLOOKUP(D273,'EAN Codes'!A:C,2,False),"")</f>
        <v>5907615804137</v>
      </c>
      <c r="L273" s="82"/>
      <c r="M273" s="67"/>
      <c r="S273" s="60"/>
      <c r="U273" s="69" t="b">
        <v>1</v>
      </c>
      <c r="Z273" t="b">
        <v>0</v>
      </c>
    </row>
    <row r="274" hidden="1">
      <c r="A274" s="99">
        <v>845.0</v>
      </c>
      <c r="B274" s="99" t="s">
        <v>241</v>
      </c>
      <c r="C274" s="99" t="s">
        <v>1217</v>
      </c>
      <c r="D274" s="99" t="s">
        <v>3064</v>
      </c>
      <c r="E274" s="217" t="s">
        <v>346</v>
      </c>
      <c r="F274" s="99" t="s">
        <v>3065</v>
      </c>
      <c r="G274" s="99" t="s">
        <v>1222</v>
      </c>
      <c r="H274" s="99" t="s">
        <v>189</v>
      </c>
      <c r="I274" s="99" t="s">
        <v>530</v>
      </c>
      <c r="J274" s="104"/>
      <c r="K274" s="66" t="str">
        <f>IFNA(VLOOKUP(D274,'EAN Codes'!A:C,2,False),"")</f>
        <v/>
      </c>
      <c r="L274" s="101"/>
      <c r="M274" s="119"/>
      <c r="N274" s="99"/>
      <c r="O274" s="99"/>
      <c r="P274" s="99"/>
      <c r="Q274" s="99"/>
      <c r="R274" s="99"/>
      <c r="S274" s="104"/>
      <c r="T274" s="99"/>
      <c r="U274" s="113" t="b">
        <v>1</v>
      </c>
      <c r="V274" s="99" t="s">
        <v>3070</v>
      </c>
      <c r="Z274" t="b">
        <v>0</v>
      </c>
    </row>
    <row r="275" hidden="1">
      <c r="A275" s="99">
        <v>830.0</v>
      </c>
      <c r="B275" s="99" t="s">
        <v>241</v>
      </c>
      <c r="C275" s="99" t="s">
        <v>1217</v>
      </c>
      <c r="D275" s="99" t="s">
        <v>3071</v>
      </c>
      <c r="E275" s="99" t="s">
        <v>346</v>
      </c>
      <c r="F275" s="99" t="s">
        <v>3065</v>
      </c>
      <c r="G275" s="99" t="s">
        <v>1222</v>
      </c>
      <c r="H275" s="99" t="s">
        <v>3072</v>
      </c>
      <c r="I275" s="101"/>
      <c r="J275" s="110"/>
      <c r="K275" s="66" t="str">
        <f>IFNA(VLOOKUP(D275,'EAN Codes'!A:C,2,False),"")</f>
        <v/>
      </c>
      <c r="L275" s="101"/>
      <c r="M275" s="119"/>
      <c r="N275" s="99"/>
      <c r="O275" s="99"/>
      <c r="P275" s="99"/>
      <c r="Q275" s="99"/>
      <c r="R275" s="99"/>
      <c r="S275" s="104"/>
      <c r="T275" s="99"/>
      <c r="U275" s="113" t="b">
        <v>1</v>
      </c>
      <c r="V275" s="99" t="s">
        <v>3078</v>
      </c>
      <c r="W275" s="99" t="s">
        <v>3079</v>
      </c>
      <c r="Z275" t="b">
        <v>0</v>
      </c>
    </row>
    <row r="276" hidden="1">
      <c r="A276" s="86">
        <v>701.0</v>
      </c>
      <c r="B276" s="86" t="s">
        <v>241</v>
      </c>
      <c r="C276" s="86" t="s">
        <v>1813</v>
      </c>
      <c r="D276" s="86" t="s">
        <v>3082</v>
      </c>
      <c r="E276" s="86" t="s">
        <v>346</v>
      </c>
      <c r="F276" s="86" t="s">
        <v>3084</v>
      </c>
      <c r="G276" s="86" t="s">
        <v>3085</v>
      </c>
      <c r="H276" s="86" t="s">
        <v>189</v>
      </c>
      <c r="I276" s="86" t="s">
        <v>819</v>
      </c>
      <c r="J276" s="88"/>
      <c r="K276" s="66" t="str">
        <f>IFNA(VLOOKUP(D276,'EAN Codes'!A:C,2,False),"")</f>
        <v/>
      </c>
      <c r="L276" s="91"/>
      <c r="M276" s="92"/>
      <c r="N276" s="86"/>
      <c r="O276" s="86"/>
      <c r="P276" s="86"/>
      <c r="Q276" s="86"/>
      <c r="R276" s="86"/>
      <c r="S276" s="88"/>
      <c r="T276" s="86"/>
      <c r="U276" s="93" t="b">
        <v>1</v>
      </c>
      <c r="V276" s="86" t="s">
        <v>3099</v>
      </c>
      <c r="Z276" t="b">
        <v>0</v>
      </c>
    </row>
    <row r="277" hidden="1">
      <c r="A277" s="86">
        <v>860.0</v>
      </c>
      <c r="B277" s="86" t="s">
        <v>241</v>
      </c>
      <c r="C277" s="86" t="s">
        <v>1713</v>
      </c>
      <c r="D277" s="86" t="s">
        <v>1713</v>
      </c>
      <c r="E277" s="86" t="s">
        <v>346</v>
      </c>
      <c r="F277" s="86" t="s">
        <v>3101</v>
      </c>
      <c r="G277" s="86" t="s">
        <v>987</v>
      </c>
      <c r="H277" s="86" t="s">
        <v>255</v>
      </c>
      <c r="I277" s="86"/>
      <c r="J277" s="88"/>
      <c r="K277" s="66" t="str">
        <f>IFNA(VLOOKUP(D277,'EAN Codes'!A:C,2,False),"")</f>
        <v/>
      </c>
      <c r="L277" s="91"/>
      <c r="M277" s="92"/>
      <c r="N277" s="86"/>
      <c r="O277" s="86"/>
      <c r="P277" s="86"/>
      <c r="Q277" s="86"/>
      <c r="R277" s="86"/>
      <c r="S277" s="88"/>
      <c r="T277" s="86"/>
      <c r="U277" s="93" t="b">
        <v>1</v>
      </c>
      <c r="V277" s="86" t="s">
        <v>3119</v>
      </c>
      <c r="Z277" t="b">
        <v>0</v>
      </c>
    </row>
    <row r="278" hidden="1">
      <c r="A278" s="99">
        <v>485.0</v>
      </c>
      <c r="B278" s="99" t="s">
        <v>241</v>
      </c>
      <c r="C278" s="99" t="s">
        <v>342</v>
      </c>
      <c r="D278" s="99" t="s">
        <v>3124</v>
      </c>
      <c r="E278" s="99" t="s">
        <v>346</v>
      </c>
      <c r="F278" s="99" t="s">
        <v>3127</v>
      </c>
      <c r="G278" s="101"/>
      <c r="H278" s="99" t="s">
        <v>189</v>
      </c>
      <c r="I278" s="99" t="s">
        <v>570</v>
      </c>
      <c r="J278" s="104"/>
      <c r="K278" s="66" t="str">
        <f>IFNA(VLOOKUP(D278,'EAN Codes'!A:C,2,False),"")</f>
        <v>5907615804120</v>
      </c>
      <c r="L278" s="99"/>
      <c r="M278" s="67"/>
      <c r="S278" s="60"/>
      <c r="U278" s="113" t="b">
        <v>1</v>
      </c>
      <c r="Z278" t="b">
        <v>0</v>
      </c>
    </row>
    <row r="279" hidden="1">
      <c r="A279" s="99">
        <v>137.0</v>
      </c>
      <c r="B279" s="99"/>
      <c r="C279" s="99" t="s">
        <v>408</v>
      </c>
      <c r="D279" s="101"/>
      <c r="E279" s="99" t="s">
        <v>2639</v>
      </c>
      <c r="F279" s="99" t="s">
        <v>3141</v>
      </c>
      <c r="G279" s="101"/>
      <c r="H279" s="101"/>
      <c r="I279" s="99" t="s">
        <v>1634</v>
      </c>
      <c r="J279" s="104"/>
      <c r="K279" s="66" t="str">
        <f>IFNA(VLOOKUP(D279,'EAN Codes'!A:C,2,False),"")</f>
        <v/>
      </c>
      <c r="L279" s="35"/>
      <c r="M279" s="67"/>
      <c r="S279" s="60"/>
      <c r="U279" s="69" t="b">
        <v>1</v>
      </c>
      <c r="X279" s="101"/>
      <c r="Z279" t="b">
        <v>0</v>
      </c>
    </row>
    <row r="280" hidden="1">
      <c r="A280" s="99">
        <v>552.0</v>
      </c>
      <c r="B280" s="86" t="s">
        <v>241</v>
      </c>
      <c r="C280" s="86" t="s">
        <v>342</v>
      </c>
      <c r="D280" s="86" t="s">
        <v>3158</v>
      </c>
      <c r="E280" s="86" t="s">
        <v>346</v>
      </c>
      <c r="F280" s="282" t="s">
        <v>3141</v>
      </c>
      <c r="G280" s="86" t="s">
        <v>3159</v>
      </c>
      <c r="H280" s="86" t="s">
        <v>3160</v>
      </c>
      <c r="I280" s="91"/>
      <c r="J280" s="97"/>
      <c r="K280" s="66" t="str">
        <f>IFNA(VLOOKUP(D280,'EAN Codes'!A:C,2,False),"")</f>
        <v>5907615804199</v>
      </c>
      <c r="L280" s="86"/>
      <c r="M280" s="92"/>
      <c r="N280" s="86"/>
      <c r="O280" s="86"/>
      <c r="P280" s="86"/>
      <c r="Q280" s="86"/>
      <c r="R280" s="86"/>
      <c r="S280" s="88"/>
      <c r="T280" s="86"/>
      <c r="U280" s="93" t="b">
        <v>1</v>
      </c>
      <c r="V280" s="86" t="s">
        <v>3164</v>
      </c>
      <c r="W280" s="101"/>
      <c r="X280" s="101"/>
      <c r="Y280" s="101"/>
      <c r="Z280" t="b">
        <v>0</v>
      </c>
    </row>
    <row r="281" hidden="1">
      <c r="A281" s="99">
        <v>343.0</v>
      </c>
      <c r="B281" s="6" t="s">
        <v>241</v>
      </c>
      <c r="C281" s="99" t="s">
        <v>342</v>
      </c>
      <c r="D281" s="99" t="s">
        <v>3158</v>
      </c>
      <c r="E281" s="99" t="s">
        <v>346</v>
      </c>
      <c r="F281" s="99" t="s">
        <v>3171</v>
      </c>
      <c r="G281" s="99" t="s">
        <v>375</v>
      </c>
      <c r="H281" s="99" t="s">
        <v>189</v>
      </c>
      <c r="I281" s="99" t="s">
        <v>1328</v>
      </c>
      <c r="J281" s="104"/>
      <c r="K281" s="66" t="str">
        <f>IFNA(VLOOKUP(D281,'EAN Codes'!A:C,2,False),"")</f>
        <v>5907615804199</v>
      </c>
      <c r="L281" s="99"/>
      <c r="M281" s="119"/>
      <c r="N281" s="99"/>
      <c r="O281" s="99"/>
      <c r="P281" s="99"/>
      <c r="Q281" s="99"/>
      <c r="R281" s="99"/>
      <c r="S281" s="104"/>
      <c r="T281" s="99"/>
      <c r="U281" s="113" t="b">
        <v>1</v>
      </c>
      <c r="V281" s="99" t="s">
        <v>3180</v>
      </c>
      <c r="W281" s="101"/>
      <c r="Z281" t="b">
        <v>0</v>
      </c>
    </row>
    <row r="282" hidden="1">
      <c r="A282" s="99">
        <v>672.0</v>
      </c>
      <c r="B282" s="99" t="s">
        <v>241</v>
      </c>
      <c r="C282" s="99" t="s">
        <v>342</v>
      </c>
      <c r="D282" s="309" t="s">
        <v>3181</v>
      </c>
      <c r="E282" s="99" t="s">
        <v>346</v>
      </c>
      <c r="F282" s="99" t="s">
        <v>3184</v>
      </c>
      <c r="G282" s="99" t="s">
        <v>793</v>
      </c>
      <c r="H282" s="99" t="s">
        <v>189</v>
      </c>
      <c r="I282" s="99" t="s">
        <v>680</v>
      </c>
      <c r="J282" s="104"/>
      <c r="K282" s="66" t="str">
        <f>IFNA(VLOOKUP(D282,'EAN Codes'!A:C,2,False),"")</f>
        <v>5907615804670</v>
      </c>
      <c r="L282" s="99" t="s">
        <v>269</v>
      </c>
      <c r="M282" s="119"/>
      <c r="N282" s="99"/>
      <c r="O282" s="99"/>
      <c r="P282" s="99"/>
      <c r="Q282" s="99"/>
      <c r="R282" s="99"/>
      <c r="S282" s="104"/>
      <c r="T282" s="99"/>
      <c r="U282" s="113" t="b">
        <v>1</v>
      </c>
      <c r="V282" s="99" t="s">
        <v>3193</v>
      </c>
      <c r="Z282" t="b">
        <v>0</v>
      </c>
    </row>
    <row r="283" hidden="1">
      <c r="A283" s="91"/>
      <c r="B283" s="86" t="s">
        <v>241</v>
      </c>
      <c r="C283" s="86" t="s">
        <v>342</v>
      </c>
      <c r="D283" s="87" t="s">
        <v>3197</v>
      </c>
      <c r="E283" s="86" t="s">
        <v>346</v>
      </c>
      <c r="F283" s="86" t="s">
        <v>3198</v>
      </c>
      <c r="G283" s="91"/>
      <c r="H283" s="86" t="s">
        <v>120</v>
      </c>
      <c r="I283" s="91"/>
      <c r="J283" s="97"/>
      <c r="K283" s="66" t="str">
        <f>IFNA(VLOOKUP(D283,'EAN Codes'!A:C,2,False),"")</f>
        <v>5907615804755</v>
      </c>
      <c r="L283" s="91"/>
      <c r="M283" s="92"/>
      <c r="N283" s="86"/>
      <c r="O283" s="86"/>
      <c r="P283" s="86"/>
      <c r="Q283" s="86"/>
      <c r="R283" s="86"/>
      <c r="S283" s="88"/>
      <c r="T283" s="86"/>
      <c r="U283" s="93" t="b">
        <v>1</v>
      </c>
      <c r="V283" s="86" t="s">
        <v>3204</v>
      </c>
      <c r="Z283" t="b">
        <v>0</v>
      </c>
    </row>
    <row r="284" hidden="1">
      <c r="A284" s="99">
        <v>673.0</v>
      </c>
      <c r="B284" s="99" t="s">
        <v>241</v>
      </c>
      <c r="C284" s="99" t="s">
        <v>342</v>
      </c>
      <c r="D284" s="334" t="s">
        <v>3210</v>
      </c>
      <c r="E284" s="99" t="s">
        <v>346</v>
      </c>
      <c r="F284" s="99" t="s">
        <v>3213</v>
      </c>
      <c r="G284" s="99" t="s">
        <v>793</v>
      </c>
      <c r="H284" s="99" t="s">
        <v>189</v>
      </c>
      <c r="I284" s="99" t="s">
        <v>680</v>
      </c>
      <c r="J284" s="104"/>
      <c r="K284" s="107" t="str">
        <f>IFNA(VLOOKUP(D284,'EAN Codes'!A:C,2,False),"")</f>
        <v>5907615804359</v>
      </c>
      <c r="L284" s="99" t="s">
        <v>269</v>
      </c>
      <c r="M284" s="119"/>
      <c r="N284" s="99"/>
      <c r="O284" s="99"/>
      <c r="P284" s="99"/>
      <c r="Q284" s="99"/>
      <c r="R284" s="99"/>
      <c r="S284" s="104"/>
      <c r="T284" s="99"/>
      <c r="U284" s="113" t="b">
        <v>1</v>
      </c>
      <c r="V284" s="99" t="s">
        <v>3223</v>
      </c>
      <c r="Z284" t="b">
        <v>0</v>
      </c>
    </row>
    <row r="285" hidden="1">
      <c r="A285" s="99">
        <v>125.0</v>
      </c>
      <c r="B285" s="99"/>
      <c r="C285" s="99" t="s">
        <v>408</v>
      </c>
      <c r="D285" s="99">
        <v>307507.0</v>
      </c>
      <c r="E285" s="99" t="s">
        <v>409</v>
      </c>
      <c r="F285" s="99" t="s">
        <v>3224</v>
      </c>
      <c r="G285" s="99" t="s">
        <v>3225</v>
      </c>
      <c r="H285" s="99" t="s">
        <v>512</v>
      </c>
      <c r="I285" s="99" t="s">
        <v>458</v>
      </c>
      <c r="J285" s="104"/>
      <c r="K285" s="66" t="str">
        <f>IFNA(VLOOKUP(D285,'EAN Codes'!A:C,2,False),"")</f>
        <v/>
      </c>
      <c r="L285" s="35"/>
      <c r="M285" s="119"/>
      <c r="N285" s="99"/>
      <c r="O285" s="99"/>
      <c r="P285" s="99"/>
      <c r="Q285" s="99"/>
      <c r="R285" s="99"/>
      <c r="S285" s="104"/>
      <c r="T285" s="99"/>
      <c r="U285" s="69" t="b">
        <v>1</v>
      </c>
      <c r="V285" s="99" t="s">
        <v>3235</v>
      </c>
      <c r="W285" s="101"/>
      <c r="Z285" t="b">
        <v>0</v>
      </c>
    </row>
    <row r="286" hidden="1">
      <c r="A286" s="99">
        <v>143.0</v>
      </c>
      <c r="B286" s="99"/>
      <c r="C286" s="99" t="s">
        <v>342</v>
      </c>
      <c r="D286" s="99" t="s">
        <v>3241</v>
      </c>
      <c r="E286" s="99" t="s">
        <v>346</v>
      </c>
      <c r="F286" s="99" t="s">
        <v>3243</v>
      </c>
      <c r="G286" s="99" t="s">
        <v>1769</v>
      </c>
      <c r="H286" s="99" t="s">
        <v>189</v>
      </c>
      <c r="I286" s="99" t="s">
        <v>1634</v>
      </c>
      <c r="J286" s="104"/>
      <c r="K286" s="66" t="str">
        <f>IFNA(VLOOKUP(D286,'EAN Codes'!A:C,2,False),"")</f>
        <v>5907615805288</v>
      </c>
      <c r="L286" s="160"/>
      <c r="M286" s="92"/>
      <c r="N286" s="86"/>
      <c r="O286" s="86"/>
      <c r="P286" s="86"/>
      <c r="Q286" s="86"/>
      <c r="R286" s="86"/>
      <c r="S286" s="88"/>
      <c r="T286" s="86"/>
      <c r="U286" s="189" t="b">
        <v>1</v>
      </c>
      <c r="V286" s="86" t="s">
        <v>3245</v>
      </c>
      <c r="Z286" t="b">
        <v>0</v>
      </c>
    </row>
    <row r="287" hidden="1">
      <c r="A287" s="99">
        <v>583.0</v>
      </c>
      <c r="B287" s="99" t="s">
        <v>241</v>
      </c>
      <c r="C287" s="99" t="s">
        <v>408</v>
      </c>
      <c r="D287" s="99">
        <v>307459.0</v>
      </c>
      <c r="E287" s="99" t="s">
        <v>346</v>
      </c>
      <c r="F287" s="99" t="s">
        <v>3252</v>
      </c>
      <c r="G287" s="99" t="s">
        <v>375</v>
      </c>
      <c r="H287" s="99" t="s">
        <v>189</v>
      </c>
      <c r="I287" s="99" t="s">
        <v>1863</v>
      </c>
      <c r="J287" s="104"/>
      <c r="K287" s="66" t="str">
        <f>IFNA(VLOOKUP(D287,'EAN Codes'!A:C,2,False),"")</f>
        <v/>
      </c>
      <c r="L287" s="35" t="s">
        <v>269</v>
      </c>
      <c r="M287" s="83"/>
      <c r="N287" s="6"/>
      <c r="O287" s="6"/>
      <c r="P287" s="6"/>
      <c r="Q287" s="6"/>
      <c r="R287" s="6"/>
      <c r="S287" s="84"/>
      <c r="T287" s="6"/>
      <c r="U287" s="69" t="b">
        <v>1</v>
      </c>
      <c r="V287" s="6" t="s">
        <v>3259</v>
      </c>
      <c r="Y287" s="6" t="s">
        <v>452</v>
      </c>
      <c r="Z287" t="b">
        <v>0</v>
      </c>
    </row>
    <row r="288" hidden="1">
      <c r="A288" s="99">
        <v>200.0</v>
      </c>
      <c r="B288" s="99"/>
      <c r="C288" s="99" t="s">
        <v>408</v>
      </c>
      <c r="D288" s="99">
        <v>307456.0</v>
      </c>
      <c r="E288" s="99" t="s">
        <v>346</v>
      </c>
      <c r="F288" s="99" t="s">
        <v>3261</v>
      </c>
      <c r="G288" s="99" t="s">
        <v>375</v>
      </c>
      <c r="H288" s="99" t="s">
        <v>189</v>
      </c>
      <c r="I288" s="99" t="s">
        <v>458</v>
      </c>
      <c r="J288" s="104"/>
      <c r="K288" s="66" t="str">
        <f>IFNA(VLOOKUP(D288,'EAN Codes'!A:C,2,False),"")</f>
        <v/>
      </c>
      <c r="L288" s="35"/>
      <c r="M288" s="83"/>
      <c r="N288" s="6"/>
      <c r="O288" s="6"/>
      <c r="P288" s="6"/>
      <c r="Q288" s="6"/>
      <c r="R288" s="6"/>
      <c r="S288" s="84"/>
      <c r="T288" s="6"/>
      <c r="U288" s="69" t="b">
        <v>1</v>
      </c>
      <c r="V288" s="6" t="s">
        <v>3269</v>
      </c>
      <c r="Z288" t="b">
        <v>0</v>
      </c>
    </row>
    <row r="289" hidden="1">
      <c r="A289" s="86">
        <v>296.0</v>
      </c>
      <c r="B289" s="6" t="s">
        <v>241</v>
      </c>
      <c r="C289" s="86" t="s">
        <v>1250</v>
      </c>
      <c r="D289" s="86" t="s">
        <v>3272</v>
      </c>
      <c r="E289" s="86" t="s">
        <v>346</v>
      </c>
      <c r="F289" s="86" t="s">
        <v>3273</v>
      </c>
      <c r="G289" s="86" t="s">
        <v>1819</v>
      </c>
      <c r="H289" s="86" t="s">
        <v>3274</v>
      </c>
      <c r="I289" s="91"/>
      <c r="J289" s="97"/>
      <c r="K289" s="66" t="str">
        <f>IFNA(VLOOKUP(D289,'EAN Codes'!A:C,2,False),"")</f>
        <v>8058772222719</v>
      </c>
      <c r="L289" s="86"/>
      <c r="M289" s="92"/>
      <c r="N289" s="86"/>
      <c r="O289" s="86"/>
      <c r="P289" s="86"/>
      <c r="Q289" s="86"/>
      <c r="R289" s="86"/>
      <c r="S289" s="88"/>
      <c r="T289" s="86"/>
      <c r="U289" s="93" t="b">
        <v>1</v>
      </c>
      <c r="V289" s="86" t="s">
        <v>3279</v>
      </c>
      <c r="Z289" t="b">
        <v>0</v>
      </c>
    </row>
    <row r="290" hidden="1">
      <c r="A290" s="99">
        <v>547.0</v>
      </c>
      <c r="B290" s="99" t="s">
        <v>241</v>
      </c>
      <c r="C290" s="99" t="s">
        <v>342</v>
      </c>
      <c r="D290" s="99" t="s">
        <v>3280</v>
      </c>
      <c r="E290" s="99" t="s">
        <v>346</v>
      </c>
      <c r="F290" s="99" t="s">
        <v>3281</v>
      </c>
      <c r="G290" s="99" t="s">
        <v>2614</v>
      </c>
      <c r="H290" s="99" t="s">
        <v>189</v>
      </c>
      <c r="I290" s="99" t="s">
        <v>458</v>
      </c>
      <c r="J290" s="104"/>
      <c r="K290" s="66" t="str">
        <f>IFNA(VLOOKUP(D290,'EAN Codes'!A:C,2,False),"")</f>
        <v>5907615805196</v>
      </c>
      <c r="L290" s="82"/>
      <c r="M290" s="67"/>
      <c r="S290" s="60"/>
      <c r="U290" s="69" t="b">
        <v>1</v>
      </c>
      <c r="Z290" t="b">
        <v>0</v>
      </c>
    </row>
    <row r="291" hidden="1">
      <c r="A291" s="99">
        <v>30.0</v>
      </c>
      <c r="B291" s="99"/>
      <c r="C291" s="99" t="s">
        <v>408</v>
      </c>
      <c r="D291" s="99">
        <v>307458.0</v>
      </c>
      <c r="E291" s="99" t="s">
        <v>527</v>
      </c>
      <c r="F291" s="99" t="s">
        <v>3281</v>
      </c>
      <c r="G291" s="99" t="s">
        <v>437</v>
      </c>
      <c r="H291" s="99" t="s">
        <v>512</v>
      </c>
      <c r="I291" s="99" t="s">
        <v>458</v>
      </c>
      <c r="J291" s="104"/>
      <c r="K291" s="66" t="str">
        <f>IFNA(VLOOKUP(D291,'EAN Codes'!A:C,2,False),"")</f>
        <v/>
      </c>
      <c r="L291" s="35"/>
      <c r="M291" s="119"/>
      <c r="N291" s="99"/>
      <c r="O291" s="99"/>
      <c r="P291" s="99"/>
      <c r="Q291" s="99"/>
      <c r="R291" s="99"/>
      <c r="S291" s="104"/>
      <c r="T291" s="99"/>
      <c r="U291" s="69" t="b">
        <v>1</v>
      </c>
      <c r="V291" s="99"/>
      <c r="Z291" t="b">
        <v>0</v>
      </c>
    </row>
    <row r="292" hidden="1">
      <c r="A292" s="99">
        <v>178.0</v>
      </c>
      <c r="B292" s="99"/>
      <c r="C292" s="99" t="s">
        <v>342</v>
      </c>
      <c r="D292" s="99" t="s">
        <v>3282</v>
      </c>
      <c r="E292" s="99" t="s">
        <v>346</v>
      </c>
      <c r="F292" s="99" t="s">
        <v>3283</v>
      </c>
      <c r="G292" s="99" t="s">
        <v>1769</v>
      </c>
      <c r="H292" s="99" t="s">
        <v>189</v>
      </c>
      <c r="I292" s="99" t="s">
        <v>1634</v>
      </c>
      <c r="J292" s="104"/>
      <c r="K292" s="66" t="str">
        <f>IFNA(VLOOKUP(D292,'EAN Codes'!A:C,2,False),"")</f>
        <v>5907615805257</v>
      </c>
      <c r="L292" s="35"/>
      <c r="M292" s="83"/>
      <c r="N292" s="6"/>
      <c r="O292" s="6"/>
      <c r="P292" s="6"/>
      <c r="Q292" s="6"/>
      <c r="R292" s="6"/>
      <c r="S292" s="84"/>
      <c r="T292" s="6"/>
      <c r="U292" s="69" t="b">
        <v>1</v>
      </c>
      <c r="V292" s="6" t="s">
        <v>3284</v>
      </c>
      <c r="Z292" t="b">
        <v>0</v>
      </c>
    </row>
    <row r="293" hidden="1">
      <c r="A293" s="99">
        <v>813.0</v>
      </c>
      <c r="B293" s="99" t="s">
        <v>241</v>
      </c>
      <c r="C293" s="99" t="s">
        <v>342</v>
      </c>
      <c r="D293" s="99" t="s">
        <v>3282</v>
      </c>
      <c r="E293" s="99" t="s">
        <v>346</v>
      </c>
      <c r="F293" s="99" t="s">
        <v>3283</v>
      </c>
      <c r="G293" s="99" t="s">
        <v>1222</v>
      </c>
      <c r="H293" s="101"/>
      <c r="I293" s="101"/>
      <c r="J293" s="110"/>
      <c r="K293" s="66" t="str">
        <f>IFNA(VLOOKUP(D293,'EAN Codes'!A:C,2,False),"")</f>
        <v>5907615805257</v>
      </c>
      <c r="L293" s="82"/>
      <c r="M293" s="67"/>
      <c r="S293" s="60"/>
      <c r="U293" s="69" t="b">
        <v>1</v>
      </c>
      <c r="Z293" s="101" t="b">
        <v>0</v>
      </c>
      <c r="AA293" s="101"/>
      <c r="AB293" s="101"/>
      <c r="AC293" s="101"/>
      <c r="AD293" s="101"/>
      <c r="AE293" s="101"/>
    </row>
    <row r="294" hidden="1">
      <c r="A294" s="335"/>
      <c r="B294" s="336" t="s">
        <v>241</v>
      </c>
      <c r="C294" s="336" t="s">
        <v>342</v>
      </c>
      <c r="D294" s="337" t="s">
        <v>3288</v>
      </c>
      <c r="E294" s="336" t="s">
        <v>346</v>
      </c>
      <c r="F294" s="336" t="s">
        <v>3290</v>
      </c>
      <c r="G294" s="336" t="s">
        <v>1185</v>
      </c>
      <c r="H294" s="336" t="s">
        <v>3292</v>
      </c>
      <c r="I294" s="336" t="s">
        <v>458</v>
      </c>
      <c r="J294" s="338"/>
      <c r="K294" s="339" t="str">
        <f>IFNA(VLOOKUP(D294,'EAN Codes'!A:C,2,False),"")</f>
        <v/>
      </c>
      <c r="L294" s="340"/>
      <c r="M294" s="341"/>
      <c r="N294" s="336"/>
      <c r="O294" s="336"/>
      <c r="P294" s="336"/>
      <c r="Q294" s="336"/>
      <c r="R294" s="336"/>
      <c r="S294" s="338"/>
      <c r="T294" s="336"/>
      <c r="U294" s="342" t="b">
        <v>1</v>
      </c>
      <c r="V294" s="336" t="s">
        <v>3295</v>
      </c>
      <c r="Z294" t="b">
        <v>0</v>
      </c>
    </row>
    <row r="295" hidden="1">
      <c r="A295" s="6">
        <v>667.0</v>
      </c>
      <c r="B295" s="6" t="s">
        <v>241</v>
      </c>
      <c r="C295" s="6" t="s">
        <v>342</v>
      </c>
      <c r="D295" s="127" t="s">
        <v>3297</v>
      </c>
      <c r="E295" s="6" t="s">
        <v>346</v>
      </c>
      <c r="F295" s="6" t="s">
        <v>3300</v>
      </c>
      <c r="G295" s="6" t="s">
        <v>1057</v>
      </c>
      <c r="H295" s="6" t="s">
        <v>189</v>
      </c>
      <c r="I295" s="6" t="s">
        <v>1863</v>
      </c>
      <c r="J295" s="84"/>
      <c r="K295" s="66" t="str">
        <f>IFNA(VLOOKUP(D295,'EAN Codes'!A:C,2,False),"")</f>
        <v/>
      </c>
      <c r="L295" s="82"/>
      <c r="M295" s="67"/>
      <c r="S295" s="60"/>
      <c r="U295" s="69" t="b">
        <v>1</v>
      </c>
      <c r="Z295" t="b">
        <v>0</v>
      </c>
    </row>
    <row r="296" hidden="1">
      <c r="A296" s="99">
        <v>831.0</v>
      </c>
      <c r="B296" s="99" t="s">
        <v>241</v>
      </c>
      <c r="C296" s="99" t="s">
        <v>342</v>
      </c>
      <c r="D296" s="99" t="s">
        <v>3282</v>
      </c>
      <c r="E296" s="99" t="s">
        <v>346</v>
      </c>
      <c r="F296" s="99" t="s">
        <v>3307</v>
      </c>
      <c r="G296" s="99" t="s">
        <v>1222</v>
      </c>
      <c r="H296" s="99" t="s">
        <v>189</v>
      </c>
      <c r="I296" s="99" t="s">
        <v>1328</v>
      </c>
      <c r="J296" s="104"/>
      <c r="K296" s="66" t="str">
        <f>IFNA(VLOOKUP(D296,'EAN Codes'!A:C,2,False),"")</f>
        <v>5907615805257</v>
      </c>
      <c r="L296" s="82"/>
      <c r="M296" s="83"/>
      <c r="N296" s="6"/>
      <c r="O296" s="6"/>
      <c r="P296" s="6"/>
      <c r="Q296" s="6"/>
      <c r="R296" s="6"/>
      <c r="S296" s="84"/>
      <c r="T296" s="6"/>
      <c r="U296" s="69" t="b">
        <v>1</v>
      </c>
      <c r="V296" s="6" t="s">
        <v>3313</v>
      </c>
      <c r="Z296" t="b">
        <v>0</v>
      </c>
    </row>
    <row r="297" hidden="1">
      <c r="A297" s="86">
        <v>848.0</v>
      </c>
      <c r="B297" s="86" t="s">
        <v>241</v>
      </c>
      <c r="C297" s="86" t="s">
        <v>1813</v>
      </c>
      <c r="D297" s="86" t="s">
        <v>3314</v>
      </c>
      <c r="E297" s="86" t="s">
        <v>2639</v>
      </c>
      <c r="F297" s="86" t="s">
        <v>3307</v>
      </c>
      <c r="G297" s="91"/>
      <c r="H297" s="86" t="s">
        <v>788</v>
      </c>
      <c r="I297" s="91"/>
      <c r="J297" s="97"/>
      <c r="K297" s="66" t="str">
        <f>IFNA(VLOOKUP(D297,'EAN Codes'!A:C,2,False),"")</f>
        <v/>
      </c>
      <c r="L297" s="91"/>
      <c r="M297" s="92"/>
      <c r="N297" s="86"/>
      <c r="O297" s="86"/>
      <c r="P297" s="86"/>
      <c r="Q297" s="86"/>
      <c r="R297" s="86"/>
      <c r="S297" s="88"/>
      <c r="T297" s="86"/>
      <c r="U297" s="93" t="b">
        <v>1</v>
      </c>
      <c r="V297" s="86" t="s">
        <v>3322</v>
      </c>
      <c r="X297" s="6" t="s">
        <v>3324</v>
      </c>
      <c r="Z297" t="b">
        <v>0</v>
      </c>
    </row>
    <row r="298" hidden="1">
      <c r="A298" s="6">
        <v>1018.0</v>
      </c>
      <c r="B298" s="6" t="s">
        <v>241</v>
      </c>
      <c r="C298" s="6" t="s">
        <v>342</v>
      </c>
      <c r="D298" s="127" t="s">
        <v>3297</v>
      </c>
      <c r="E298" s="6" t="s">
        <v>346</v>
      </c>
      <c r="F298" s="6" t="s">
        <v>3328</v>
      </c>
      <c r="G298" s="6" t="s">
        <v>1057</v>
      </c>
      <c r="H298" s="6" t="s">
        <v>189</v>
      </c>
      <c r="I298" s="6" t="s">
        <v>2253</v>
      </c>
      <c r="J298" s="84"/>
      <c r="K298" s="66" t="str">
        <f>IFNA(VLOOKUP(D298,'EAN Codes'!A:C,2,False),"")</f>
        <v/>
      </c>
      <c r="L298" s="82"/>
      <c r="M298" s="67"/>
      <c r="S298" s="60"/>
      <c r="U298" s="93" t="b">
        <v>1</v>
      </c>
      <c r="Z298" t="b">
        <v>0</v>
      </c>
    </row>
    <row r="299" hidden="1">
      <c r="A299" s="86">
        <v>936.0</v>
      </c>
      <c r="B299" s="86" t="s">
        <v>241</v>
      </c>
      <c r="C299" s="86" t="s">
        <v>342</v>
      </c>
      <c r="D299" s="86" t="s">
        <v>3282</v>
      </c>
      <c r="E299" s="86" t="s">
        <v>346</v>
      </c>
      <c r="F299" s="86" t="s">
        <v>3307</v>
      </c>
      <c r="G299" s="86" t="s">
        <v>2409</v>
      </c>
      <c r="H299" s="86" t="s">
        <v>298</v>
      </c>
      <c r="I299" s="91"/>
      <c r="J299" s="97"/>
      <c r="K299" s="66" t="str">
        <f>IFNA(VLOOKUP(D299,'EAN Codes'!A:C,2,False),"")</f>
        <v>5907615805257</v>
      </c>
      <c r="L299" s="91"/>
      <c r="M299" s="92"/>
      <c r="N299" s="86"/>
      <c r="O299" s="86"/>
      <c r="P299" s="86"/>
      <c r="Q299" s="86"/>
      <c r="R299" s="86"/>
      <c r="S299" s="88"/>
      <c r="T299" s="86"/>
      <c r="U299" s="93" t="b">
        <v>1</v>
      </c>
      <c r="V299" s="86" t="s">
        <v>3336</v>
      </c>
      <c r="Z299" t="b">
        <v>0</v>
      </c>
    </row>
    <row r="300" hidden="1">
      <c r="A300" s="35"/>
      <c r="B300" s="99" t="s">
        <v>241</v>
      </c>
      <c r="C300" s="99" t="s">
        <v>342</v>
      </c>
      <c r="D300" s="99" t="s">
        <v>3282</v>
      </c>
      <c r="E300" s="99" t="s">
        <v>346</v>
      </c>
      <c r="F300" s="99" t="s">
        <v>3307</v>
      </c>
      <c r="G300" s="99" t="s">
        <v>3337</v>
      </c>
      <c r="H300" s="99"/>
      <c r="I300" s="101"/>
      <c r="J300" s="110"/>
      <c r="K300" s="66" t="str">
        <f>IFNA(VLOOKUP(D300,'EAN Codes'!A:C,2,False),"")</f>
        <v>5907615805257</v>
      </c>
      <c r="L300" s="101"/>
      <c r="M300" s="119"/>
      <c r="N300" s="99"/>
      <c r="O300" s="99"/>
      <c r="P300" s="99"/>
      <c r="Q300" s="99"/>
      <c r="R300" s="99"/>
      <c r="S300" s="104"/>
      <c r="T300" s="99"/>
      <c r="U300" s="93" t="b">
        <v>1</v>
      </c>
      <c r="V300" s="99" t="s">
        <v>3343</v>
      </c>
      <c r="W300" s="101"/>
      <c r="Y300" s="6" t="s">
        <v>452</v>
      </c>
      <c r="Z300" t="b">
        <v>0</v>
      </c>
    </row>
    <row r="301" hidden="1">
      <c r="A301" s="99">
        <v>391.0</v>
      </c>
      <c r="B301" s="99" t="s">
        <v>241</v>
      </c>
      <c r="C301" s="122" t="s">
        <v>858</v>
      </c>
      <c r="D301" s="217" t="s">
        <v>3344</v>
      </c>
      <c r="E301" s="122" t="s">
        <v>454</v>
      </c>
      <c r="F301" s="122" t="s">
        <v>3345</v>
      </c>
      <c r="G301" s="101"/>
      <c r="H301" s="99" t="s">
        <v>189</v>
      </c>
      <c r="I301" s="99" t="s">
        <v>1863</v>
      </c>
      <c r="J301" s="104"/>
      <c r="K301" s="66" t="str">
        <f>IFNA(VLOOKUP(D301,'EAN Codes'!A:C,2,False),"")</f>
        <v>5060128532710</v>
      </c>
      <c r="L301" s="35"/>
      <c r="M301" s="67"/>
      <c r="S301" s="60"/>
      <c r="U301" s="93" t="b">
        <v>1</v>
      </c>
      <c r="Z301" t="b">
        <v>0</v>
      </c>
    </row>
    <row r="302" hidden="1">
      <c r="A302" s="99">
        <v>199.0</v>
      </c>
      <c r="B302" s="99"/>
      <c r="C302" s="99" t="s">
        <v>342</v>
      </c>
      <c r="D302" s="99" t="s">
        <v>3351</v>
      </c>
      <c r="E302" s="99" t="s">
        <v>346</v>
      </c>
      <c r="F302" s="99" t="s">
        <v>3352</v>
      </c>
      <c r="G302" s="99" t="s">
        <v>3159</v>
      </c>
      <c r="H302" s="6" t="s">
        <v>189</v>
      </c>
      <c r="I302" s="99" t="s">
        <v>3353</v>
      </c>
      <c r="J302" s="104"/>
      <c r="K302" s="66" t="str">
        <f>IFNA(VLOOKUP(D302,'EAN Codes'!A:C,2,False),"")</f>
        <v>5907615804854</v>
      </c>
      <c r="L302" s="35"/>
      <c r="M302" s="67"/>
      <c r="S302" s="60"/>
      <c r="U302" s="93" t="b">
        <v>1</v>
      </c>
      <c r="Z302" t="b">
        <v>0</v>
      </c>
    </row>
    <row r="303" hidden="1">
      <c r="A303" s="99">
        <v>960.0</v>
      </c>
      <c r="B303" s="99" t="s">
        <v>241</v>
      </c>
      <c r="C303" s="99" t="s">
        <v>760</v>
      </c>
      <c r="D303" s="99" t="s">
        <v>3356</v>
      </c>
      <c r="E303" s="99" t="s">
        <v>346</v>
      </c>
      <c r="F303" s="99" t="s">
        <v>3357</v>
      </c>
      <c r="G303" s="99" t="s">
        <v>3358</v>
      </c>
      <c r="H303" s="99" t="s">
        <v>189</v>
      </c>
      <c r="I303" s="99" t="s">
        <v>418</v>
      </c>
      <c r="J303" s="104"/>
      <c r="K303" s="66" t="str">
        <f>IFNA(VLOOKUP(D303,'EAN Codes'!A:C,2,False),"")</f>
        <v>5060128532819</v>
      </c>
      <c r="L303" s="101"/>
      <c r="M303" s="119"/>
      <c r="N303" s="99"/>
      <c r="O303" s="99"/>
      <c r="P303" s="99"/>
      <c r="Q303" s="99"/>
      <c r="R303" s="99"/>
      <c r="S303" s="104"/>
      <c r="T303" s="99"/>
      <c r="U303" s="93" t="b">
        <v>1</v>
      </c>
      <c r="V303" s="99" t="s">
        <v>3364</v>
      </c>
      <c r="Z303" t="b">
        <v>0</v>
      </c>
    </row>
    <row r="304" hidden="1">
      <c r="A304" s="99">
        <v>637.0</v>
      </c>
      <c r="B304" s="86" t="s">
        <v>241</v>
      </c>
      <c r="C304" s="99" t="s">
        <v>3365</v>
      </c>
      <c r="D304" s="99">
        <v>5749.0</v>
      </c>
      <c r="E304" s="99" t="s">
        <v>346</v>
      </c>
      <c r="F304" s="99" t="s">
        <v>3366</v>
      </c>
      <c r="G304" s="101"/>
      <c r="H304" s="99" t="s">
        <v>189</v>
      </c>
      <c r="I304" s="99" t="s">
        <v>570</v>
      </c>
      <c r="J304" s="104"/>
      <c r="K304" s="66" t="str">
        <f>IFNA(VLOOKUP(D304,'EAN Codes'!A:C,2,False),"")</f>
        <v/>
      </c>
      <c r="L304" s="35"/>
      <c r="M304" s="83"/>
      <c r="N304" s="6"/>
      <c r="O304" s="6"/>
      <c r="P304" s="6"/>
      <c r="Q304" s="6"/>
      <c r="R304" s="6"/>
      <c r="S304" s="84"/>
      <c r="T304" s="6"/>
      <c r="U304" s="93" t="b">
        <v>1</v>
      </c>
      <c r="V304" s="6" t="s">
        <v>3374</v>
      </c>
      <c r="Z304" t="b">
        <v>0</v>
      </c>
    </row>
    <row r="305" hidden="1">
      <c r="A305" s="99">
        <v>217.0</v>
      </c>
      <c r="B305" s="99" t="s">
        <v>241</v>
      </c>
      <c r="C305" s="99" t="s">
        <v>342</v>
      </c>
      <c r="D305" s="99" t="s">
        <v>3379</v>
      </c>
      <c r="E305" s="99" t="s">
        <v>373</v>
      </c>
      <c r="F305" s="99" t="s">
        <v>3380</v>
      </c>
      <c r="G305" s="99" t="s">
        <v>2194</v>
      </c>
      <c r="H305" s="99" t="s">
        <v>1726</v>
      </c>
      <c r="I305" s="99" t="s">
        <v>1634</v>
      </c>
      <c r="J305" s="104"/>
      <c r="K305" s="66" t="str">
        <f>IFNA(VLOOKUP(D305,'EAN Codes'!A:C,2,False),"")</f>
        <v>5907615805554</v>
      </c>
      <c r="L305" s="99"/>
      <c r="M305" s="119"/>
      <c r="N305" s="99"/>
      <c r="O305" s="99"/>
      <c r="P305" s="99"/>
      <c r="Q305" s="99"/>
      <c r="R305" s="99"/>
      <c r="S305" s="104"/>
      <c r="T305" s="99"/>
      <c r="U305" s="93" t="b">
        <v>1</v>
      </c>
      <c r="V305" s="99"/>
      <c r="Z305" t="b">
        <v>0</v>
      </c>
    </row>
    <row r="306" hidden="1">
      <c r="A306" s="86">
        <v>270.0</v>
      </c>
      <c r="B306" s="99" t="s">
        <v>241</v>
      </c>
      <c r="C306" s="86" t="s">
        <v>342</v>
      </c>
      <c r="D306" s="86" t="s">
        <v>3381</v>
      </c>
      <c r="E306" s="86" t="s">
        <v>346</v>
      </c>
      <c r="F306" s="99" t="s">
        <v>3380</v>
      </c>
      <c r="G306" s="86" t="s">
        <v>2194</v>
      </c>
      <c r="H306" s="86" t="s">
        <v>189</v>
      </c>
      <c r="I306" s="86" t="s">
        <v>418</v>
      </c>
      <c r="J306" s="88"/>
      <c r="K306" s="66" t="str">
        <f>IFNA(VLOOKUP(D306,'EAN Codes'!A:C,2,False),"")</f>
        <v>5907615805547</v>
      </c>
      <c r="L306" s="86"/>
      <c r="M306" s="276"/>
      <c r="N306" s="106"/>
      <c r="O306" s="106"/>
      <c r="P306" s="106"/>
      <c r="Q306" s="106"/>
      <c r="R306" s="106"/>
      <c r="S306" s="274"/>
      <c r="T306" s="106"/>
      <c r="U306" s="93" t="b">
        <v>1</v>
      </c>
      <c r="V306" s="106" t="s">
        <v>3382</v>
      </c>
      <c r="Z306" t="b">
        <v>0</v>
      </c>
    </row>
    <row r="307" hidden="1">
      <c r="A307" s="99">
        <v>12.0</v>
      </c>
      <c r="B307" s="99" t="s">
        <v>181</v>
      </c>
      <c r="C307" s="99" t="s">
        <v>731</v>
      </c>
      <c r="D307" s="99" t="s">
        <v>3383</v>
      </c>
      <c r="E307" s="99" t="s">
        <v>733</v>
      </c>
      <c r="F307" s="99" t="s">
        <v>3386</v>
      </c>
      <c r="G307" s="99" t="s">
        <v>3388</v>
      </c>
      <c r="H307" s="99" t="s">
        <v>189</v>
      </c>
      <c r="J307" s="60"/>
      <c r="K307" s="66" t="str">
        <f>IFNA(VLOOKUP(D307,'EAN Codes'!A:C,2,False),"")</f>
        <v/>
      </c>
      <c r="M307" s="67"/>
      <c r="S307" s="60"/>
      <c r="U307" s="93" t="b">
        <v>1</v>
      </c>
      <c r="Z307" t="b">
        <v>0</v>
      </c>
    </row>
    <row r="308" hidden="1">
      <c r="A308" s="99">
        <v>608.0</v>
      </c>
      <c r="B308" s="99" t="s">
        <v>241</v>
      </c>
      <c r="C308" s="99" t="s">
        <v>408</v>
      </c>
      <c r="D308" s="99">
        <v>307403.0</v>
      </c>
      <c r="E308" s="99" t="s">
        <v>346</v>
      </c>
      <c r="F308" s="99" t="s">
        <v>3391</v>
      </c>
      <c r="G308" s="99" t="s">
        <v>1032</v>
      </c>
      <c r="H308" s="99" t="s">
        <v>189</v>
      </c>
      <c r="I308" s="99" t="s">
        <v>942</v>
      </c>
      <c r="J308" s="104"/>
      <c r="K308" s="66" t="str">
        <f>IFNA(VLOOKUP(D308,'EAN Codes'!A:C,2,False),"")</f>
        <v/>
      </c>
      <c r="L308" s="82"/>
      <c r="M308" s="83"/>
      <c r="N308" s="6"/>
      <c r="O308" s="6"/>
      <c r="P308" s="6"/>
      <c r="Q308" s="6"/>
      <c r="R308" s="6"/>
      <c r="S308" s="84"/>
      <c r="T308" s="6"/>
      <c r="U308" s="93" t="b">
        <v>1</v>
      </c>
      <c r="V308" s="6" t="s">
        <v>3398</v>
      </c>
      <c r="Z308" t="b">
        <v>0</v>
      </c>
    </row>
    <row r="309" hidden="1">
      <c r="A309" s="86">
        <v>645.0</v>
      </c>
      <c r="B309" s="86" t="s">
        <v>241</v>
      </c>
      <c r="C309" s="86" t="s">
        <v>342</v>
      </c>
      <c r="D309" s="86" t="s">
        <v>3403</v>
      </c>
      <c r="E309" s="86" t="s">
        <v>346</v>
      </c>
      <c r="F309" s="86" t="s">
        <v>3404</v>
      </c>
      <c r="G309" s="86" t="s">
        <v>2568</v>
      </c>
      <c r="H309" s="99" t="s">
        <v>189</v>
      </c>
      <c r="I309" s="86" t="s">
        <v>570</v>
      </c>
      <c r="J309" s="88"/>
      <c r="K309" s="66" t="str">
        <f>IFNA(VLOOKUP(D309,'EAN Codes'!A:C,2,False),"")</f>
        <v>5907615805523</v>
      </c>
      <c r="L309" s="86" t="s">
        <v>269</v>
      </c>
      <c r="M309" s="92"/>
      <c r="N309" s="86"/>
      <c r="O309" s="86"/>
      <c r="P309" s="86"/>
      <c r="Q309" s="86"/>
      <c r="R309" s="86"/>
      <c r="S309" s="88"/>
      <c r="T309" s="86"/>
      <c r="U309" s="93" t="b">
        <v>1</v>
      </c>
      <c r="V309" s="86" t="s">
        <v>3410</v>
      </c>
      <c r="W309" s="115"/>
      <c r="X309" s="106" t="s">
        <v>3411</v>
      </c>
      <c r="Y309" s="115"/>
      <c r="Z309" t="b">
        <v>0</v>
      </c>
    </row>
    <row r="310" hidden="1">
      <c r="A310" s="99">
        <v>327.0</v>
      </c>
      <c r="B310" s="6" t="s">
        <v>241</v>
      </c>
      <c r="C310" s="99" t="s">
        <v>1250</v>
      </c>
      <c r="D310" s="99">
        <v>14095.0</v>
      </c>
      <c r="E310" s="99" t="s">
        <v>3412</v>
      </c>
      <c r="F310" s="99" t="s">
        <v>3414</v>
      </c>
      <c r="G310" s="99" t="s">
        <v>2194</v>
      </c>
      <c r="H310" s="99" t="s">
        <v>189</v>
      </c>
      <c r="I310" s="99"/>
      <c r="J310" s="104"/>
      <c r="K310" s="66" t="str">
        <f>IFNA(VLOOKUP(D310,'EAN Codes'!A:C,2,False),"")</f>
        <v/>
      </c>
      <c r="L310" s="99"/>
      <c r="M310" s="119"/>
      <c r="N310" s="99"/>
      <c r="O310" s="99"/>
      <c r="P310" s="99"/>
      <c r="Q310" s="99"/>
      <c r="R310" s="99"/>
      <c r="S310" s="104"/>
      <c r="T310" s="99"/>
      <c r="U310" s="93" t="b">
        <v>1</v>
      </c>
      <c r="V310" s="99" t="s">
        <v>3423</v>
      </c>
      <c r="Z310" t="b">
        <v>0</v>
      </c>
    </row>
    <row r="311" hidden="1">
      <c r="A311" s="99">
        <v>24.0</v>
      </c>
      <c r="B311" s="6" t="s">
        <v>241</v>
      </c>
      <c r="C311" s="99" t="s">
        <v>408</v>
      </c>
      <c r="D311" s="99">
        <v>3.07400300113E11</v>
      </c>
      <c r="E311" s="99" t="s">
        <v>1110</v>
      </c>
      <c r="F311" s="99" t="s">
        <v>3427</v>
      </c>
      <c r="G311" s="99" t="s">
        <v>987</v>
      </c>
      <c r="H311" s="99" t="s">
        <v>189</v>
      </c>
      <c r="I311" s="101"/>
      <c r="J311" s="110"/>
      <c r="K311" s="66" t="str">
        <f>IFNA(VLOOKUP(D311,'EAN Codes'!A:C,2,False),"")</f>
        <v/>
      </c>
      <c r="L311" s="6"/>
      <c r="M311" s="67"/>
      <c r="S311" s="60"/>
      <c r="U311" s="93" t="b">
        <v>1</v>
      </c>
      <c r="Z311" t="b">
        <v>0</v>
      </c>
    </row>
    <row r="312" hidden="1">
      <c r="A312" s="99">
        <v>297.0</v>
      </c>
      <c r="B312" s="6" t="s">
        <v>241</v>
      </c>
      <c r="C312" s="99" t="s">
        <v>1250</v>
      </c>
      <c r="D312" s="99" t="s">
        <v>3434</v>
      </c>
      <c r="E312" s="99" t="s">
        <v>1390</v>
      </c>
      <c r="F312" s="99" t="s">
        <v>3435</v>
      </c>
      <c r="G312" s="99" t="s">
        <v>2194</v>
      </c>
      <c r="H312" s="99" t="s">
        <v>189</v>
      </c>
      <c r="I312" s="99" t="s">
        <v>1328</v>
      </c>
      <c r="J312" s="104"/>
      <c r="K312" s="66" t="str">
        <f>IFNA(VLOOKUP(D312,'EAN Codes'!A:C,2,False),"")</f>
        <v>8054521996313</v>
      </c>
      <c r="L312" s="35"/>
      <c r="M312" s="83"/>
      <c r="N312" s="6"/>
      <c r="O312" s="6"/>
      <c r="P312" s="6"/>
      <c r="Q312" s="6"/>
      <c r="R312" s="6"/>
      <c r="S312" s="84"/>
      <c r="T312" s="6"/>
      <c r="U312" s="93" t="b">
        <v>1</v>
      </c>
      <c r="V312" s="6"/>
      <c r="Z312" t="b">
        <v>0</v>
      </c>
    </row>
    <row r="313" hidden="1">
      <c r="A313" s="99">
        <v>280.0</v>
      </c>
      <c r="B313" s="6" t="s">
        <v>241</v>
      </c>
      <c r="C313" s="99" t="s">
        <v>408</v>
      </c>
      <c r="D313" s="99">
        <v>307328.0</v>
      </c>
      <c r="E313" s="99" t="s">
        <v>346</v>
      </c>
      <c r="F313" s="99" t="s">
        <v>3436</v>
      </c>
      <c r="G313" s="99" t="s">
        <v>3437</v>
      </c>
      <c r="H313" s="99" t="s">
        <v>512</v>
      </c>
      <c r="I313" s="99" t="s">
        <v>1007</v>
      </c>
      <c r="J313" s="104"/>
      <c r="K313" s="66" t="str">
        <f>IFNA(VLOOKUP(D313,'EAN Codes'!A:C,2,False),"")</f>
        <v/>
      </c>
      <c r="L313" s="35"/>
      <c r="M313" s="119"/>
      <c r="N313" s="99"/>
      <c r="O313" s="99"/>
      <c r="P313" s="99"/>
      <c r="Q313" s="99"/>
      <c r="R313" s="99"/>
      <c r="S313" s="104"/>
      <c r="T313" s="99"/>
      <c r="U313" s="93" t="b">
        <v>1</v>
      </c>
      <c r="V313" s="99" t="s">
        <v>3438</v>
      </c>
      <c r="Z313" t="b">
        <v>0</v>
      </c>
    </row>
    <row r="314" hidden="1">
      <c r="A314" s="99">
        <v>865.0</v>
      </c>
      <c r="B314" s="99" t="s">
        <v>241</v>
      </c>
      <c r="C314" s="99" t="s">
        <v>1813</v>
      </c>
      <c r="D314" s="99" t="s">
        <v>3439</v>
      </c>
      <c r="E314" s="99" t="s">
        <v>346</v>
      </c>
      <c r="F314" s="99" t="s">
        <v>3440</v>
      </c>
      <c r="G314" s="101"/>
      <c r="H314" s="99" t="s">
        <v>189</v>
      </c>
      <c r="I314" s="99" t="s">
        <v>1634</v>
      </c>
      <c r="J314" s="104"/>
      <c r="K314" s="66" t="str">
        <f>IFNA(VLOOKUP(D314,'EAN Codes'!A:C,2,False),"")</f>
        <v/>
      </c>
      <c r="L314" s="101"/>
      <c r="M314" s="119"/>
      <c r="N314" s="99"/>
      <c r="O314" s="99"/>
      <c r="P314" s="99"/>
      <c r="Q314" s="99"/>
      <c r="R314" s="99"/>
      <c r="S314" s="104"/>
      <c r="T314" s="99"/>
      <c r="U314" s="93" t="b">
        <v>1</v>
      </c>
      <c r="V314" s="99" t="s">
        <v>3441</v>
      </c>
      <c r="W314" s="99" t="s">
        <v>3442</v>
      </c>
      <c r="Z314" t="b">
        <v>0</v>
      </c>
    </row>
    <row r="315" hidden="1">
      <c r="A315" s="99">
        <v>225.0</v>
      </c>
      <c r="B315" s="99"/>
      <c r="C315" s="99" t="s">
        <v>342</v>
      </c>
      <c r="D315" s="99" t="s">
        <v>3443</v>
      </c>
      <c r="E315" s="99" t="s">
        <v>346</v>
      </c>
      <c r="F315" s="99" t="s">
        <v>3444</v>
      </c>
      <c r="G315" s="99" t="s">
        <v>2194</v>
      </c>
      <c r="H315" s="99" t="s">
        <v>1726</v>
      </c>
      <c r="I315" s="99" t="s">
        <v>626</v>
      </c>
      <c r="J315" s="104"/>
      <c r="K315" s="66" t="str">
        <f>IFNA(VLOOKUP(D315,'EAN Codes'!A:C,2,False),"")</f>
        <v>5907615805868</v>
      </c>
      <c r="L315" s="35"/>
      <c r="M315" s="67"/>
      <c r="S315" s="60"/>
      <c r="U315" s="93" t="b">
        <v>1</v>
      </c>
      <c r="Z315" t="b">
        <v>0</v>
      </c>
    </row>
    <row r="316" hidden="1">
      <c r="A316" s="99">
        <v>996.0</v>
      </c>
      <c r="B316" s="99" t="s">
        <v>241</v>
      </c>
      <c r="C316" s="99" t="s">
        <v>342</v>
      </c>
      <c r="D316" s="100" t="s">
        <v>3449</v>
      </c>
      <c r="E316" s="99" t="s">
        <v>3450</v>
      </c>
      <c r="F316" s="99" t="s">
        <v>3451</v>
      </c>
      <c r="G316" s="99" t="s">
        <v>3452</v>
      </c>
      <c r="H316" s="99" t="s">
        <v>189</v>
      </c>
      <c r="I316" s="99" t="s">
        <v>458</v>
      </c>
      <c r="J316" s="104"/>
      <c r="K316" s="66" t="str">
        <f>IFNA(VLOOKUP(D316,'EAN Codes'!A:C,2,False),"")</f>
        <v/>
      </c>
      <c r="L316" s="82"/>
      <c r="M316" s="119"/>
      <c r="N316" s="99"/>
      <c r="O316" s="99"/>
      <c r="P316" s="99"/>
      <c r="Q316" s="99"/>
      <c r="R316" s="99"/>
      <c r="S316" s="104"/>
      <c r="T316" s="99"/>
      <c r="U316" s="93" t="b">
        <v>1</v>
      </c>
      <c r="V316" s="99" t="s">
        <v>3454</v>
      </c>
      <c r="Z316" t="b">
        <v>0</v>
      </c>
    </row>
    <row r="317" hidden="1">
      <c r="A317" s="99">
        <v>53.0</v>
      </c>
      <c r="B317" s="99"/>
      <c r="C317" s="99" t="s">
        <v>1217</v>
      </c>
      <c r="D317" s="99" t="s">
        <v>3455</v>
      </c>
      <c r="E317" s="99" t="s">
        <v>2639</v>
      </c>
      <c r="F317" s="99" t="s">
        <v>3456</v>
      </c>
      <c r="G317" s="99" t="s">
        <v>1922</v>
      </c>
      <c r="H317" s="99" t="s">
        <v>512</v>
      </c>
      <c r="I317" s="99"/>
      <c r="J317" s="104"/>
      <c r="K317" s="66" t="str">
        <f>IFNA(VLOOKUP(D317,'EAN Codes'!A:C,2,False),"")</f>
        <v/>
      </c>
      <c r="L317" s="35"/>
      <c r="M317" s="119"/>
      <c r="N317" s="99"/>
      <c r="O317" s="99"/>
      <c r="P317" s="99"/>
      <c r="Q317" s="99"/>
      <c r="R317" s="99"/>
      <c r="S317" s="104"/>
      <c r="T317" s="99"/>
      <c r="U317" s="93" t="b">
        <v>1</v>
      </c>
      <c r="V317" s="99"/>
      <c r="Z317" t="b">
        <v>0</v>
      </c>
    </row>
    <row r="318" hidden="1">
      <c r="A318" s="99">
        <v>971.0</v>
      </c>
      <c r="B318" s="99" t="s">
        <v>241</v>
      </c>
      <c r="C318" s="99" t="s">
        <v>3457</v>
      </c>
      <c r="D318" s="344" t="s">
        <v>3458</v>
      </c>
      <c r="E318" s="99" t="s">
        <v>346</v>
      </c>
      <c r="F318" s="99" t="s">
        <v>3459</v>
      </c>
      <c r="G318" s="101"/>
      <c r="H318" s="99" t="s">
        <v>189</v>
      </c>
      <c r="I318" s="101"/>
      <c r="J318" s="110"/>
      <c r="K318" s="66" t="str">
        <f>IFNA(VLOOKUP(D318,'EAN Codes'!A:C,2,False),"")</f>
        <v/>
      </c>
      <c r="L318" s="101"/>
      <c r="M318" s="119"/>
      <c r="N318" s="99"/>
      <c r="O318" s="99"/>
      <c r="P318" s="99"/>
      <c r="Q318" s="99"/>
      <c r="R318" s="99"/>
      <c r="S318" s="104"/>
      <c r="T318" s="99"/>
      <c r="U318" s="93" t="b">
        <v>1</v>
      </c>
      <c r="V318" s="99" t="s">
        <v>3465</v>
      </c>
      <c r="Z318" t="b">
        <v>0</v>
      </c>
    </row>
    <row r="319" hidden="1">
      <c r="A319" s="99">
        <v>642.0</v>
      </c>
      <c r="B319" s="86" t="s">
        <v>241</v>
      </c>
      <c r="C319" s="99" t="s">
        <v>342</v>
      </c>
      <c r="D319" s="99" t="s">
        <v>3466</v>
      </c>
      <c r="E319" s="99" t="s">
        <v>346</v>
      </c>
      <c r="F319" s="99" t="s">
        <v>3467</v>
      </c>
      <c r="G319" s="99" t="s">
        <v>2194</v>
      </c>
      <c r="H319" s="99" t="s">
        <v>189</v>
      </c>
      <c r="I319" s="99" t="s">
        <v>570</v>
      </c>
      <c r="J319" s="104"/>
      <c r="K319" s="66" t="str">
        <f>IFNA(VLOOKUP(D319,'EAN Codes'!A:C,2,False),"")</f>
        <v>5907615806575</v>
      </c>
      <c r="L319" s="99" t="s">
        <v>269</v>
      </c>
      <c r="M319" s="83"/>
      <c r="N319" s="6"/>
      <c r="O319" s="6"/>
      <c r="P319" s="6"/>
      <c r="Q319" s="6"/>
      <c r="R319" s="6"/>
      <c r="S319" s="84"/>
      <c r="T319" s="6"/>
      <c r="U319" s="93" t="b">
        <v>1</v>
      </c>
      <c r="V319" s="6" t="s">
        <v>3468</v>
      </c>
      <c r="Z319" t="b">
        <v>0</v>
      </c>
    </row>
    <row r="320" hidden="1">
      <c r="A320" s="99">
        <v>689.0</v>
      </c>
      <c r="B320" s="99" t="s">
        <v>241</v>
      </c>
      <c r="C320" s="99" t="s">
        <v>342</v>
      </c>
      <c r="D320" s="99" t="s">
        <v>3469</v>
      </c>
      <c r="E320" s="99" t="s">
        <v>346</v>
      </c>
      <c r="F320" s="99" t="s">
        <v>3467</v>
      </c>
      <c r="G320" s="99" t="s">
        <v>3470</v>
      </c>
      <c r="H320" s="99" t="s">
        <v>101</v>
      </c>
      <c r="I320" s="101"/>
      <c r="J320" s="110"/>
      <c r="K320" s="66" t="str">
        <f>IFNA(VLOOKUP(D320,'EAN Codes'!A:C,2,False),"")</f>
        <v>5907615806315</v>
      </c>
      <c r="L320" s="99" t="s">
        <v>92</v>
      </c>
      <c r="M320" s="119"/>
      <c r="N320" s="99"/>
      <c r="O320" s="99"/>
      <c r="P320" s="99"/>
      <c r="Q320" s="99"/>
      <c r="R320" s="99"/>
      <c r="S320" s="104"/>
      <c r="T320" s="99"/>
      <c r="U320" s="93" t="b">
        <v>1</v>
      </c>
      <c r="V320" s="99" t="s">
        <v>3471</v>
      </c>
      <c r="W320" s="6" t="s">
        <v>3472</v>
      </c>
      <c r="Z320" t="b">
        <v>0</v>
      </c>
    </row>
    <row r="321" hidden="1">
      <c r="A321" s="6">
        <v>921.0</v>
      </c>
      <c r="B321" s="6" t="s">
        <v>241</v>
      </c>
      <c r="C321" s="6" t="s">
        <v>1813</v>
      </c>
      <c r="D321" s="127" t="s">
        <v>3473</v>
      </c>
      <c r="E321" s="6" t="s">
        <v>346</v>
      </c>
      <c r="F321" s="6" t="s">
        <v>3475</v>
      </c>
      <c r="G321" s="6" t="s">
        <v>3477</v>
      </c>
      <c r="H321" s="6" t="s">
        <v>189</v>
      </c>
      <c r="I321" s="6" t="s">
        <v>680</v>
      </c>
      <c r="J321" s="84"/>
      <c r="K321" s="66" t="str">
        <f>IFNA(VLOOKUP(D321,'EAN Codes'!A:C,2,False),"")</f>
        <v/>
      </c>
      <c r="L321" s="82"/>
      <c r="M321" s="67"/>
      <c r="S321" s="60"/>
      <c r="U321" s="93" t="b">
        <v>1</v>
      </c>
      <c r="Z321" s="82" t="b">
        <v>0</v>
      </c>
      <c r="AA321" s="82"/>
      <c r="AB321" s="82"/>
      <c r="AC321" s="82"/>
      <c r="AD321" s="82"/>
      <c r="AE321" s="82"/>
    </row>
    <row r="322" hidden="1">
      <c r="A322" s="99">
        <v>867.0</v>
      </c>
      <c r="B322" s="86" t="s">
        <v>241</v>
      </c>
      <c r="C322" s="86" t="s">
        <v>1813</v>
      </c>
      <c r="D322" s="99" t="s">
        <v>3483</v>
      </c>
      <c r="E322" s="99" t="s">
        <v>346</v>
      </c>
      <c r="F322" s="99" t="s">
        <v>3487</v>
      </c>
      <c r="G322" s="99" t="s">
        <v>437</v>
      </c>
      <c r="H322" s="99" t="s">
        <v>189</v>
      </c>
      <c r="I322" s="99" t="s">
        <v>819</v>
      </c>
      <c r="J322" s="104"/>
      <c r="K322" s="66" t="str">
        <f>IFNA(VLOOKUP(D322,'EAN Codes'!A:C,2,False),"")</f>
        <v/>
      </c>
      <c r="L322" s="101"/>
      <c r="M322" s="119"/>
      <c r="N322" s="99"/>
      <c r="O322" s="99"/>
      <c r="P322" s="99"/>
      <c r="Q322" s="99"/>
      <c r="R322" s="99"/>
      <c r="S322" s="104"/>
      <c r="T322" s="99"/>
      <c r="U322" s="93" t="b">
        <v>1</v>
      </c>
      <c r="V322" s="99" t="s">
        <v>3491</v>
      </c>
      <c r="Z322" t="b">
        <v>0</v>
      </c>
    </row>
    <row r="323" hidden="1">
      <c r="A323" s="99">
        <v>251.0</v>
      </c>
      <c r="B323" s="6" t="s">
        <v>241</v>
      </c>
      <c r="C323" s="99" t="s">
        <v>342</v>
      </c>
      <c r="D323" s="99" t="s">
        <v>3466</v>
      </c>
      <c r="E323" s="99" t="s">
        <v>346</v>
      </c>
      <c r="F323" s="99" t="s">
        <v>3495</v>
      </c>
      <c r="G323" s="99" t="s">
        <v>2194</v>
      </c>
      <c r="H323" s="99" t="s">
        <v>189</v>
      </c>
      <c r="I323" s="99" t="s">
        <v>680</v>
      </c>
      <c r="J323" s="104"/>
      <c r="K323" s="66" t="str">
        <f>IFNA(VLOOKUP(D323,'EAN Codes'!A:C,2,False),"")</f>
        <v>5907615806575</v>
      </c>
      <c r="L323" s="35"/>
      <c r="M323" s="119"/>
      <c r="N323" s="99"/>
      <c r="O323" s="99"/>
      <c r="P323" s="99"/>
      <c r="Q323" s="99"/>
      <c r="R323" s="99"/>
      <c r="S323" s="104"/>
      <c r="T323" s="99"/>
      <c r="U323" s="93" t="b">
        <v>1</v>
      </c>
      <c r="V323" s="99"/>
      <c r="Z323" t="b">
        <v>0</v>
      </c>
    </row>
    <row r="324" hidden="1">
      <c r="A324" s="106">
        <v>1013.0</v>
      </c>
      <c r="B324" s="106" t="s">
        <v>241</v>
      </c>
      <c r="C324" s="106" t="s">
        <v>760</v>
      </c>
      <c r="D324" s="273" t="s">
        <v>3503</v>
      </c>
      <c r="E324" s="106" t="s">
        <v>409</v>
      </c>
      <c r="F324" s="106" t="s">
        <v>3307</v>
      </c>
      <c r="G324" s="106" t="s">
        <v>1222</v>
      </c>
      <c r="H324" s="106" t="s">
        <v>3292</v>
      </c>
      <c r="I324" s="106" t="s">
        <v>680</v>
      </c>
      <c r="J324" s="274"/>
      <c r="K324" s="275" t="str">
        <f>IFNA(VLOOKUP(D324,'EAN Codes'!A:C,2,False),"")</f>
        <v>5060128532697</v>
      </c>
      <c r="L324" s="261"/>
      <c r="M324" s="276"/>
      <c r="N324" s="106"/>
      <c r="O324" s="106"/>
      <c r="P324" s="106"/>
      <c r="Q324" s="106"/>
      <c r="R324" s="106"/>
      <c r="S324" s="274"/>
      <c r="T324" s="106"/>
      <c r="U324" s="93" t="b">
        <v>1</v>
      </c>
      <c r="V324" s="106" t="s">
        <v>3508</v>
      </c>
      <c r="W324" s="86" t="s">
        <v>3510</v>
      </c>
      <c r="X324" s="115"/>
      <c r="Y324" s="115"/>
      <c r="Z324" s="115" t="b">
        <v>0</v>
      </c>
      <c r="AA324" s="115"/>
      <c r="AB324" s="115"/>
      <c r="AC324" s="115"/>
      <c r="AD324" s="115"/>
      <c r="AE324" s="115"/>
    </row>
    <row r="325" hidden="1">
      <c r="A325" s="86">
        <v>770.0</v>
      </c>
      <c r="B325" s="99" t="s">
        <v>241</v>
      </c>
      <c r="C325" s="99" t="s">
        <v>342</v>
      </c>
      <c r="D325" s="99" t="s">
        <v>3513</v>
      </c>
      <c r="E325" s="99" t="s">
        <v>346</v>
      </c>
      <c r="F325" s="99" t="s">
        <v>3514</v>
      </c>
      <c r="G325" s="99" t="s">
        <v>3515</v>
      </c>
      <c r="H325" s="99" t="s">
        <v>189</v>
      </c>
      <c r="I325" s="99" t="s">
        <v>585</v>
      </c>
      <c r="J325" s="104"/>
      <c r="K325" s="66" t="str">
        <f>IFNA(VLOOKUP(D325,'EAN Codes'!A:C,2,False),"")</f>
        <v>5907615806551</v>
      </c>
      <c r="L325" s="35"/>
      <c r="M325" s="119"/>
      <c r="N325" s="99"/>
      <c r="O325" s="99"/>
      <c r="P325" s="99"/>
      <c r="Q325" s="99"/>
      <c r="R325" s="99"/>
      <c r="S325" s="104"/>
      <c r="T325" s="99"/>
      <c r="U325" s="93" t="b">
        <v>1</v>
      </c>
      <c r="V325" s="99" t="s">
        <v>3518</v>
      </c>
      <c r="Z325" t="b">
        <v>0</v>
      </c>
    </row>
    <row r="326" hidden="1">
      <c r="A326" s="86">
        <v>860.0</v>
      </c>
      <c r="B326" s="86" t="s">
        <v>241</v>
      </c>
      <c r="C326" s="86" t="s">
        <v>760</v>
      </c>
      <c r="D326" s="86" t="s">
        <v>3523</v>
      </c>
      <c r="E326" s="86" t="s">
        <v>346</v>
      </c>
      <c r="F326" s="86" t="s">
        <v>3524</v>
      </c>
      <c r="G326" s="91"/>
      <c r="H326" s="86"/>
      <c r="I326" s="91"/>
      <c r="J326" s="97"/>
      <c r="K326" s="66" t="str">
        <f>IFNA(VLOOKUP(D326,'EAN Codes'!A:C,2,False),"")</f>
        <v>5060128534264</v>
      </c>
      <c r="L326" s="91"/>
      <c r="M326" s="92"/>
      <c r="N326" s="86"/>
      <c r="O326" s="86"/>
      <c r="P326" s="86"/>
      <c r="Q326" s="86"/>
      <c r="R326" s="86"/>
      <c r="S326" s="88"/>
      <c r="T326" s="86"/>
      <c r="U326" s="93" t="b">
        <v>1</v>
      </c>
      <c r="V326" s="86"/>
      <c r="Z326" t="b">
        <v>0</v>
      </c>
    </row>
    <row r="327" hidden="1">
      <c r="A327" s="99">
        <v>902.0</v>
      </c>
      <c r="B327" s="99" t="s">
        <v>241</v>
      </c>
      <c r="C327" s="99" t="s">
        <v>760</v>
      </c>
      <c r="D327" s="345" t="s">
        <v>3523</v>
      </c>
      <c r="E327" s="99" t="s">
        <v>346</v>
      </c>
      <c r="F327" s="99" t="s">
        <v>3531</v>
      </c>
      <c r="G327" s="101"/>
      <c r="H327" s="99" t="s">
        <v>189</v>
      </c>
      <c r="I327" s="99" t="s">
        <v>570</v>
      </c>
      <c r="J327" s="104"/>
      <c r="K327" s="66" t="str">
        <f>IFNA(VLOOKUP(D327,'EAN Codes'!A:C,2,False),"")</f>
        <v>5060128534264</v>
      </c>
      <c r="L327" s="101"/>
      <c r="M327" s="119"/>
      <c r="N327" s="99"/>
      <c r="O327" s="99"/>
      <c r="P327" s="99"/>
      <c r="Q327" s="99"/>
      <c r="R327" s="99"/>
      <c r="S327" s="104"/>
      <c r="T327" s="99"/>
      <c r="U327" s="93" t="b">
        <v>1</v>
      </c>
      <c r="V327" s="99" t="s">
        <v>3540</v>
      </c>
      <c r="W327" s="6" t="s">
        <v>3541</v>
      </c>
      <c r="Z327" t="b">
        <v>0</v>
      </c>
    </row>
    <row r="328" hidden="1">
      <c r="A328" s="99">
        <v>95.0</v>
      </c>
      <c r="B328" s="86"/>
      <c r="C328" s="86" t="s">
        <v>342</v>
      </c>
      <c r="D328" s="99" t="s">
        <v>3513</v>
      </c>
      <c r="E328" s="99" t="s">
        <v>346</v>
      </c>
      <c r="F328" s="99" t="s">
        <v>3542</v>
      </c>
      <c r="G328" s="99" t="s">
        <v>3515</v>
      </c>
      <c r="H328" s="99" t="s">
        <v>135</v>
      </c>
      <c r="I328" s="99" t="s">
        <v>585</v>
      </c>
      <c r="J328" s="104"/>
      <c r="K328" s="66" t="str">
        <f>IFNA(VLOOKUP(D328,'EAN Codes'!A:C,2,False),"")</f>
        <v>5907615806551</v>
      </c>
      <c r="L328" s="35"/>
      <c r="M328" s="67"/>
      <c r="S328" s="60"/>
      <c r="U328" s="93" t="b">
        <v>1</v>
      </c>
      <c r="Z328" t="b">
        <v>0</v>
      </c>
    </row>
    <row r="329" hidden="1">
      <c r="A329" s="99">
        <v>10.0</v>
      </c>
      <c r="B329" s="86"/>
      <c r="C329" s="86" t="s">
        <v>342</v>
      </c>
      <c r="D329" s="99" t="s">
        <v>3513</v>
      </c>
      <c r="E329" s="99" t="s">
        <v>346</v>
      </c>
      <c r="F329" s="99" t="s">
        <v>3542</v>
      </c>
      <c r="G329" s="99" t="s">
        <v>3515</v>
      </c>
      <c r="H329" s="99" t="s">
        <v>135</v>
      </c>
      <c r="I329" s="99" t="s">
        <v>626</v>
      </c>
      <c r="J329" s="104"/>
      <c r="K329" s="66" t="str">
        <f>IFNA(VLOOKUP(D329,'EAN Codes'!A:C,2,False),"")</f>
        <v>5907615806551</v>
      </c>
      <c r="L329" s="35"/>
      <c r="M329" s="83"/>
      <c r="N329" s="6"/>
      <c r="O329" s="6"/>
      <c r="P329" s="6"/>
      <c r="Q329" s="6"/>
      <c r="R329" s="6"/>
      <c r="S329" s="84"/>
      <c r="T329" s="6"/>
      <c r="U329" s="93" t="b">
        <v>1</v>
      </c>
      <c r="V329" s="6"/>
      <c r="Z329" s="115" t="b">
        <v>0</v>
      </c>
      <c r="AA329" s="115"/>
      <c r="AB329" s="115"/>
      <c r="AC329" s="115"/>
      <c r="AD329" s="115"/>
      <c r="AE329" s="115"/>
    </row>
    <row r="330" hidden="1">
      <c r="A330" s="99">
        <v>42.0</v>
      </c>
      <c r="B330" s="99"/>
      <c r="C330" s="99" t="s">
        <v>408</v>
      </c>
      <c r="D330" s="99" t="s">
        <v>3557</v>
      </c>
      <c r="E330" s="99" t="s">
        <v>527</v>
      </c>
      <c r="F330" s="86" t="s">
        <v>3558</v>
      </c>
      <c r="G330" s="99" t="s">
        <v>375</v>
      </c>
      <c r="H330" s="99" t="s">
        <v>3559</v>
      </c>
      <c r="J330" s="60"/>
      <c r="K330" s="66" t="str">
        <f>IFNA(VLOOKUP(D330,'EAN Codes'!A:C,2,False),"")</f>
        <v/>
      </c>
      <c r="L330" s="35"/>
      <c r="M330" s="67"/>
      <c r="S330" s="60"/>
      <c r="U330" s="93" t="b">
        <v>1</v>
      </c>
      <c r="X330" s="101"/>
      <c r="Y330" s="101"/>
      <c r="Z330" t="b">
        <v>0</v>
      </c>
    </row>
    <row r="331" hidden="1">
      <c r="A331" s="99">
        <v>683.0</v>
      </c>
      <c r="B331" s="99" t="s">
        <v>241</v>
      </c>
      <c r="C331" s="99" t="s">
        <v>342</v>
      </c>
      <c r="D331" s="100" t="s">
        <v>3570</v>
      </c>
      <c r="E331" s="99" t="s">
        <v>346</v>
      </c>
      <c r="F331" s="99" t="s">
        <v>3571</v>
      </c>
      <c r="G331" s="99" t="s">
        <v>2194</v>
      </c>
      <c r="H331" s="99" t="s">
        <v>189</v>
      </c>
      <c r="I331" s="99" t="s">
        <v>680</v>
      </c>
      <c r="J331" s="104"/>
      <c r="K331" s="66" t="str">
        <f>IFNA(VLOOKUP(D331,'EAN Codes'!A:C,2,False),"")</f>
        <v>5907615805875</v>
      </c>
      <c r="L331" s="99" t="s">
        <v>269</v>
      </c>
      <c r="M331" s="108"/>
      <c r="N331" s="101"/>
      <c r="O331" s="101"/>
      <c r="P331" s="101"/>
      <c r="Q331" s="101"/>
      <c r="R331" s="101"/>
      <c r="S331" s="110"/>
      <c r="T331" s="101"/>
      <c r="U331" s="93" t="b">
        <v>1</v>
      </c>
      <c r="V331" s="101"/>
      <c r="Z331" t="b">
        <v>0</v>
      </c>
    </row>
    <row r="332" hidden="1">
      <c r="A332" s="99">
        <v>80.0</v>
      </c>
      <c r="B332" s="99"/>
      <c r="C332" s="99" t="s">
        <v>1217</v>
      </c>
      <c r="D332" s="99" t="s">
        <v>3583</v>
      </c>
      <c r="E332" s="99" t="s">
        <v>409</v>
      </c>
      <c r="F332" s="86" t="s">
        <v>3584</v>
      </c>
      <c r="G332" s="99" t="s">
        <v>497</v>
      </c>
      <c r="H332" s="99" t="s">
        <v>135</v>
      </c>
      <c r="J332" s="60"/>
      <c r="K332" s="66" t="str">
        <f>IFNA(VLOOKUP(D332,'EAN Codes'!A:C,2,False),"")</f>
        <v/>
      </c>
      <c r="L332" s="35"/>
      <c r="M332" s="67"/>
      <c r="S332" s="60"/>
      <c r="U332" s="93" t="b">
        <v>1</v>
      </c>
      <c r="Z332" s="82" t="b">
        <v>0</v>
      </c>
      <c r="AA332" s="82"/>
      <c r="AB332" s="82"/>
      <c r="AC332" s="82"/>
      <c r="AD332" s="82"/>
      <c r="AE332" s="82"/>
    </row>
    <row r="333" hidden="1">
      <c r="A333" s="86">
        <v>254.0</v>
      </c>
      <c r="B333" s="99" t="s">
        <v>241</v>
      </c>
      <c r="C333" s="86" t="s">
        <v>342</v>
      </c>
      <c r="D333" s="86" t="s">
        <v>3590</v>
      </c>
      <c r="E333" s="86" t="s">
        <v>346</v>
      </c>
      <c r="F333" s="86" t="s">
        <v>3591</v>
      </c>
      <c r="G333" s="86" t="s">
        <v>3592</v>
      </c>
      <c r="H333" s="86" t="s">
        <v>189</v>
      </c>
      <c r="I333" s="86" t="s">
        <v>680</v>
      </c>
      <c r="J333" s="88"/>
      <c r="K333" s="66" t="str">
        <f>IFNA(VLOOKUP(D333,'EAN Codes'!A:C,2,False),"")</f>
        <v>5907615807152</v>
      </c>
      <c r="L333" s="86"/>
      <c r="M333" s="92"/>
      <c r="N333" s="86"/>
      <c r="O333" s="86"/>
      <c r="P333" s="86"/>
      <c r="Q333" s="86"/>
      <c r="R333" s="86"/>
      <c r="S333" s="88"/>
      <c r="T333" s="86"/>
      <c r="U333" s="93" t="b">
        <v>1</v>
      </c>
      <c r="V333" s="86" t="s">
        <v>3601</v>
      </c>
      <c r="W333" s="99" t="s">
        <v>3604</v>
      </c>
      <c r="X333" s="99" t="s">
        <v>3606</v>
      </c>
      <c r="Z333" t="b">
        <v>0</v>
      </c>
    </row>
    <row r="334" hidden="1">
      <c r="A334" s="99">
        <v>61.0</v>
      </c>
      <c r="B334" s="99"/>
      <c r="C334" s="99" t="s">
        <v>342</v>
      </c>
      <c r="D334" s="99" t="s">
        <v>3590</v>
      </c>
      <c r="E334" s="99" t="s">
        <v>346</v>
      </c>
      <c r="F334" s="86" t="s">
        <v>3591</v>
      </c>
      <c r="G334" s="99" t="s">
        <v>3607</v>
      </c>
      <c r="H334" s="99" t="s">
        <v>135</v>
      </c>
      <c r="I334" s="99" t="s">
        <v>1971</v>
      </c>
      <c r="J334" s="104"/>
      <c r="K334" s="66" t="str">
        <f>IFNA(VLOOKUP(D334,'EAN Codes'!A:C,2,False),"")</f>
        <v>5907615807152</v>
      </c>
      <c r="L334" s="35"/>
      <c r="M334" s="119"/>
      <c r="N334" s="99"/>
      <c r="O334" s="99"/>
      <c r="P334" s="99"/>
      <c r="Q334" s="99"/>
      <c r="R334" s="99"/>
      <c r="S334" s="104"/>
      <c r="T334" s="99"/>
      <c r="U334" s="93" t="b">
        <v>1</v>
      </c>
      <c r="V334" s="99" t="s">
        <v>3614</v>
      </c>
      <c r="Z334" s="101" t="b">
        <v>0</v>
      </c>
      <c r="AA334" s="101"/>
      <c r="AB334" s="101"/>
      <c r="AC334" s="101"/>
      <c r="AD334" s="101"/>
      <c r="AE334" s="101"/>
    </row>
    <row r="335" hidden="1">
      <c r="A335" s="99">
        <v>40.0</v>
      </c>
      <c r="B335" s="99"/>
      <c r="C335" s="99" t="s">
        <v>1217</v>
      </c>
      <c r="D335" s="99" t="s">
        <v>3619</v>
      </c>
      <c r="E335" s="99" t="s">
        <v>527</v>
      </c>
      <c r="F335" s="86" t="s">
        <v>3620</v>
      </c>
      <c r="G335" s="99" t="s">
        <v>437</v>
      </c>
      <c r="H335" s="99" t="s">
        <v>512</v>
      </c>
      <c r="I335" s="303" t="s">
        <v>1328</v>
      </c>
      <c r="J335" s="346"/>
      <c r="K335" s="66" t="str">
        <f>IFNA(VLOOKUP(D335,'EAN Codes'!A:C,2,False),"")</f>
        <v/>
      </c>
      <c r="L335" s="347"/>
      <c r="M335" s="348"/>
      <c r="N335" s="303"/>
      <c r="O335" s="303"/>
      <c r="P335" s="303"/>
      <c r="Q335" s="303"/>
      <c r="R335" s="303"/>
      <c r="S335" s="346"/>
      <c r="T335" s="303"/>
      <c r="U335" s="93" t="b">
        <v>1</v>
      </c>
      <c r="V335" s="303"/>
      <c r="W335" s="101"/>
      <c r="Z335" t="b">
        <v>0</v>
      </c>
    </row>
    <row r="336" hidden="1">
      <c r="A336" s="99">
        <v>45.0</v>
      </c>
      <c r="B336" s="99"/>
      <c r="C336" s="99" t="s">
        <v>342</v>
      </c>
      <c r="D336" s="99" t="s">
        <v>3590</v>
      </c>
      <c r="E336" s="99" t="s">
        <v>346</v>
      </c>
      <c r="F336" s="86" t="s">
        <v>3620</v>
      </c>
      <c r="G336" s="99" t="s">
        <v>3592</v>
      </c>
      <c r="H336" s="99" t="s">
        <v>512</v>
      </c>
      <c r="J336" s="60"/>
      <c r="K336" s="66" t="str">
        <f>IFNA(VLOOKUP(D336,'EAN Codes'!A:C,2,False),"")</f>
        <v>5907615807152</v>
      </c>
      <c r="L336" s="35"/>
      <c r="M336" s="67"/>
      <c r="S336" s="60"/>
      <c r="U336" s="93" t="b">
        <v>1</v>
      </c>
      <c r="Z336" t="b">
        <v>0</v>
      </c>
    </row>
    <row r="337" hidden="1">
      <c r="A337" s="99">
        <v>384.0</v>
      </c>
      <c r="B337" s="99" t="s">
        <v>241</v>
      </c>
      <c r="C337" s="122" t="s">
        <v>453</v>
      </c>
      <c r="D337" s="121">
        <v>32240.0</v>
      </c>
      <c r="E337" s="122" t="s">
        <v>454</v>
      </c>
      <c r="F337" s="122" t="s">
        <v>3639</v>
      </c>
      <c r="G337" s="122" t="s">
        <v>1897</v>
      </c>
      <c r="H337" s="99" t="s">
        <v>189</v>
      </c>
      <c r="I337" s="99" t="s">
        <v>1328</v>
      </c>
      <c r="J337" s="104"/>
      <c r="K337" s="66" t="str">
        <f>IFNA(VLOOKUP(D337,'EAN Codes'!A:C,2,False),"")</f>
        <v/>
      </c>
      <c r="L337" s="99"/>
      <c r="M337" s="119"/>
      <c r="N337" s="99"/>
      <c r="O337" s="99"/>
      <c r="P337" s="99"/>
      <c r="Q337" s="99"/>
      <c r="R337" s="99"/>
      <c r="S337" s="104"/>
      <c r="T337" s="99"/>
      <c r="U337" s="93" t="b">
        <v>1</v>
      </c>
      <c r="V337" s="99" t="s">
        <v>3645</v>
      </c>
      <c r="Z337" t="b">
        <v>0</v>
      </c>
    </row>
    <row r="338" hidden="1">
      <c r="A338" s="99">
        <v>29.0</v>
      </c>
      <c r="B338" s="99"/>
      <c r="C338" s="99" t="s">
        <v>1217</v>
      </c>
      <c r="D338" s="99" t="s">
        <v>3647</v>
      </c>
      <c r="E338" s="99" t="s">
        <v>2639</v>
      </c>
      <c r="F338" s="86" t="s">
        <v>3650</v>
      </c>
      <c r="G338" s="99" t="s">
        <v>375</v>
      </c>
      <c r="H338" s="99" t="s">
        <v>3559</v>
      </c>
      <c r="I338" s="6"/>
      <c r="J338" s="84"/>
      <c r="K338" s="66" t="str">
        <f>IFNA(VLOOKUP(D338,'EAN Codes'!A:C,2,False),"")</f>
        <v/>
      </c>
      <c r="L338" s="35"/>
      <c r="M338" s="83"/>
      <c r="N338" s="6"/>
      <c r="O338" s="6"/>
      <c r="P338" s="6"/>
      <c r="Q338" s="6"/>
      <c r="R338" s="6"/>
      <c r="S338" s="84"/>
      <c r="T338" s="6"/>
      <c r="U338" s="93" t="b">
        <v>1</v>
      </c>
      <c r="V338" s="6"/>
      <c r="Z338" t="b">
        <v>0</v>
      </c>
    </row>
    <row r="339" hidden="1">
      <c r="A339" s="99"/>
      <c r="B339" s="6" t="s">
        <v>241</v>
      </c>
      <c r="C339" s="106" t="s">
        <v>1217</v>
      </c>
      <c r="D339" s="35" t="s">
        <v>3657</v>
      </c>
      <c r="E339" s="106" t="s">
        <v>346</v>
      </c>
      <c r="F339" s="160" t="s">
        <v>3658</v>
      </c>
      <c r="G339" s="35" t="s">
        <v>3659</v>
      </c>
      <c r="H339" s="35" t="s">
        <v>763</v>
      </c>
      <c r="I339" s="99"/>
      <c r="J339" s="104"/>
      <c r="K339" s="66" t="str">
        <f>IFNA(VLOOKUP(D339,'EAN Codes'!A:C,2,False),"")</f>
        <v/>
      </c>
      <c r="L339" s="35"/>
      <c r="M339" s="276"/>
      <c r="N339" s="106"/>
      <c r="O339" s="106"/>
      <c r="P339" s="106"/>
      <c r="Q339" s="106"/>
      <c r="R339" s="106"/>
      <c r="S339" s="274"/>
      <c r="T339" s="106"/>
      <c r="U339" s="93" t="b">
        <v>1</v>
      </c>
      <c r="V339" s="106" t="s">
        <v>3664</v>
      </c>
      <c r="Z339" t="b">
        <v>0</v>
      </c>
    </row>
    <row r="340" hidden="1">
      <c r="A340" s="99">
        <v>513.0</v>
      </c>
      <c r="B340" s="99" t="s">
        <v>493</v>
      </c>
      <c r="C340" s="99" t="s">
        <v>3665</v>
      </c>
      <c r="D340" s="99">
        <v>230632.0</v>
      </c>
      <c r="E340" s="101"/>
      <c r="F340" s="99" t="s">
        <v>3671</v>
      </c>
      <c r="G340" s="99" t="s">
        <v>3672</v>
      </c>
      <c r="H340" s="99" t="s">
        <v>189</v>
      </c>
      <c r="I340" s="99" t="s">
        <v>498</v>
      </c>
      <c r="J340" s="104"/>
      <c r="K340" s="66" t="str">
        <f>IFNA(VLOOKUP(D340,'EAN Codes'!A:C,2,False),"")</f>
        <v/>
      </c>
      <c r="L340" s="35"/>
      <c r="M340" s="119"/>
      <c r="N340" s="99"/>
      <c r="O340" s="99"/>
      <c r="P340" s="99"/>
      <c r="Q340" s="99"/>
      <c r="R340" s="99"/>
      <c r="S340" s="104"/>
      <c r="T340" s="99"/>
      <c r="U340" s="93" t="b">
        <v>1</v>
      </c>
      <c r="V340" s="99" t="s">
        <v>3680</v>
      </c>
      <c r="Z340" t="b">
        <v>0</v>
      </c>
    </row>
    <row r="341" hidden="1">
      <c r="A341" s="6">
        <v>229.0</v>
      </c>
      <c r="B341" s="6" t="s">
        <v>241</v>
      </c>
      <c r="C341" s="6" t="s">
        <v>342</v>
      </c>
      <c r="D341" s="127" t="s">
        <v>3681</v>
      </c>
      <c r="E341" s="6" t="s">
        <v>3450</v>
      </c>
      <c r="F341" s="6" t="s">
        <v>3682</v>
      </c>
      <c r="G341" s="6" t="s">
        <v>437</v>
      </c>
      <c r="H341" s="6" t="s">
        <v>189</v>
      </c>
      <c r="I341" s="6" t="s">
        <v>1328</v>
      </c>
      <c r="J341" s="84"/>
      <c r="K341" s="66" t="str">
        <f>IFNA(VLOOKUP(D341,'EAN Codes'!A:C,2,False),"")</f>
        <v>5907615806599</v>
      </c>
      <c r="L341" s="35" t="s">
        <v>269</v>
      </c>
      <c r="M341" s="119"/>
      <c r="N341" s="99"/>
      <c r="O341" s="99"/>
      <c r="P341" s="99"/>
      <c r="Q341" s="99"/>
      <c r="R341" s="99"/>
      <c r="S341" s="104"/>
      <c r="T341" s="99"/>
      <c r="U341" s="93" t="b">
        <v>1</v>
      </c>
      <c r="V341" s="99" t="s">
        <v>3690</v>
      </c>
      <c r="Z341" t="b">
        <v>0</v>
      </c>
    </row>
    <row r="342" hidden="1">
      <c r="A342" s="99">
        <v>501.0</v>
      </c>
      <c r="B342" s="99" t="s">
        <v>241</v>
      </c>
      <c r="C342" s="99" t="s">
        <v>342</v>
      </c>
      <c r="D342" s="99" t="s">
        <v>3696</v>
      </c>
      <c r="E342" s="99" t="s">
        <v>2639</v>
      </c>
      <c r="F342" s="99" t="s">
        <v>3697</v>
      </c>
      <c r="G342" s="99" t="s">
        <v>751</v>
      </c>
      <c r="H342" s="99" t="s">
        <v>189</v>
      </c>
      <c r="I342" s="99" t="s">
        <v>1634</v>
      </c>
      <c r="J342" s="104"/>
      <c r="K342" s="66" t="str">
        <f>IFNA(VLOOKUP(D342,'EAN Codes'!A:C,2,False),"")</f>
        <v>5907615807503</v>
      </c>
      <c r="L342" s="99"/>
      <c r="M342" s="67"/>
      <c r="S342" s="60"/>
      <c r="U342" s="93" t="b">
        <v>1</v>
      </c>
      <c r="Z342" t="b">
        <v>0</v>
      </c>
    </row>
    <row r="343" hidden="1">
      <c r="A343" s="6">
        <v>911.0</v>
      </c>
      <c r="B343" s="6" t="s">
        <v>181</v>
      </c>
      <c r="C343" s="6" t="s">
        <v>950</v>
      </c>
      <c r="D343" s="6">
        <v>747228.0</v>
      </c>
      <c r="E343" s="6" t="s">
        <v>1110</v>
      </c>
      <c r="F343" s="6" t="s">
        <v>3699</v>
      </c>
      <c r="H343" s="6" t="s">
        <v>2158</v>
      </c>
      <c r="J343" s="60"/>
      <c r="K343" s="66" t="str">
        <f>IFNA(VLOOKUP(D343,'EAN Codes'!A:C,2,False),"")</f>
        <v/>
      </c>
      <c r="L343" s="82"/>
      <c r="M343" s="83"/>
      <c r="N343" s="6"/>
      <c r="O343" s="6"/>
      <c r="P343" s="6"/>
      <c r="Q343" s="6"/>
      <c r="R343" s="6"/>
      <c r="S343" s="84"/>
      <c r="T343" s="6"/>
      <c r="U343" s="93" t="b">
        <v>1</v>
      </c>
      <c r="V343" s="6" t="s">
        <v>3700</v>
      </c>
      <c r="Z343" t="b">
        <v>0</v>
      </c>
    </row>
    <row r="344" hidden="1">
      <c r="A344" s="99">
        <v>684.0</v>
      </c>
      <c r="B344" s="99" t="s">
        <v>241</v>
      </c>
      <c r="C344" s="99" t="s">
        <v>3701</v>
      </c>
      <c r="D344" s="99">
        <v>1162.0</v>
      </c>
      <c r="E344" s="99" t="s">
        <v>346</v>
      </c>
      <c r="F344" s="99" t="s">
        <v>3702</v>
      </c>
      <c r="G344" s="99" t="s">
        <v>3703</v>
      </c>
      <c r="H344" s="99" t="s">
        <v>189</v>
      </c>
      <c r="I344" s="99" t="s">
        <v>819</v>
      </c>
      <c r="J344" s="104"/>
      <c r="K344" s="66" t="str">
        <f>IFNA(VLOOKUP(D344,'EAN Codes'!A:C,2,False),"")</f>
        <v/>
      </c>
      <c r="L344" s="99" t="s">
        <v>269</v>
      </c>
      <c r="M344" s="119"/>
      <c r="N344" s="99"/>
      <c r="O344" s="99"/>
      <c r="P344" s="99"/>
      <c r="Q344" s="99"/>
      <c r="R344" s="99"/>
      <c r="S344" s="104"/>
      <c r="T344" s="99"/>
      <c r="U344" s="93" t="b">
        <v>1</v>
      </c>
      <c r="V344" s="99" t="s">
        <v>3704</v>
      </c>
      <c r="Z344" s="101" t="b">
        <v>0</v>
      </c>
      <c r="AA344" s="101"/>
      <c r="AB344" s="101"/>
      <c r="AC344" s="101"/>
      <c r="AD344" s="101"/>
      <c r="AE344" s="101"/>
    </row>
    <row r="345" hidden="1">
      <c r="A345" s="86">
        <v>1034.0</v>
      </c>
      <c r="B345" s="86" t="s">
        <v>241</v>
      </c>
      <c r="C345" s="86" t="s">
        <v>1813</v>
      </c>
      <c r="D345" s="87" t="s">
        <v>3705</v>
      </c>
      <c r="E345" s="86" t="s">
        <v>3706</v>
      </c>
      <c r="F345" s="86" t="s">
        <v>3707</v>
      </c>
      <c r="G345" s="86" t="s">
        <v>3708</v>
      </c>
      <c r="H345" s="86" t="s">
        <v>3292</v>
      </c>
      <c r="I345" s="86" t="s">
        <v>1328</v>
      </c>
      <c r="J345" s="88"/>
      <c r="K345" s="90" t="str">
        <f>IFNA(VLOOKUP(D345,'EAN Codes'!A:C,2,False),"")</f>
        <v/>
      </c>
      <c r="L345" s="91"/>
      <c r="M345" s="92"/>
      <c r="N345" s="86"/>
      <c r="O345" s="86"/>
      <c r="P345" s="86"/>
      <c r="Q345" s="86"/>
      <c r="R345" s="86"/>
      <c r="S345" s="88"/>
      <c r="T345" s="86"/>
      <c r="U345" s="93" t="b">
        <v>1</v>
      </c>
      <c r="V345" s="86" t="s">
        <v>3709</v>
      </c>
      <c r="W345" s="115"/>
      <c r="X345" s="115"/>
      <c r="Y345" s="115"/>
      <c r="Z345" s="115" t="b">
        <v>0</v>
      </c>
      <c r="AA345" s="115"/>
      <c r="AB345" s="115"/>
      <c r="AC345" s="115"/>
      <c r="AD345" s="115"/>
      <c r="AE345" s="115"/>
    </row>
    <row r="346" hidden="1">
      <c r="A346" s="99">
        <v>185.0</v>
      </c>
      <c r="B346" s="99"/>
      <c r="C346" s="99" t="s">
        <v>342</v>
      </c>
      <c r="D346" s="99" t="s">
        <v>3710</v>
      </c>
      <c r="E346" s="99" t="s">
        <v>373</v>
      </c>
      <c r="F346" s="99" t="s">
        <v>3711</v>
      </c>
      <c r="G346" s="99" t="s">
        <v>3712</v>
      </c>
      <c r="H346" s="99" t="s">
        <v>189</v>
      </c>
      <c r="I346" s="99" t="s">
        <v>458</v>
      </c>
      <c r="J346" s="104"/>
      <c r="K346" s="66" t="str">
        <f>IFNA(VLOOKUP(D346,'EAN Codes'!A:C,2,False),"")</f>
        <v>5907615808166</v>
      </c>
      <c r="L346" s="35"/>
      <c r="M346" s="119"/>
      <c r="N346" s="99"/>
      <c r="O346" s="99"/>
      <c r="P346" s="99"/>
      <c r="Q346" s="99"/>
      <c r="R346" s="99"/>
      <c r="S346" s="104"/>
      <c r="T346" s="99"/>
      <c r="U346" s="93" t="b">
        <v>1</v>
      </c>
      <c r="V346" s="99" t="s">
        <v>3713</v>
      </c>
      <c r="Z346" t="b">
        <v>0</v>
      </c>
    </row>
    <row r="347" hidden="1">
      <c r="A347" s="99">
        <v>189.0</v>
      </c>
      <c r="B347" s="99"/>
      <c r="C347" s="99" t="s">
        <v>342</v>
      </c>
      <c r="D347" s="99" t="s">
        <v>3710</v>
      </c>
      <c r="E347" s="99" t="s">
        <v>373</v>
      </c>
      <c r="F347" s="99" t="s">
        <v>3711</v>
      </c>
      <c r="G347" s="99" t="s">
        <v>3712</v>
      </c>
      <c r="H347" s="99" t="s">
        <v>189</v>
      </c>
      <c r="I347" s="99" t="s">
        <v>626</v>
      </c>
      <c r="J347" s="104"/>
      <c r="K347" s="66" t="str">
        <f>IFNA(VLOOKUP(D347,'EAN Codes'!A:C,2,False),"")</f>
        <v>5907615808166</v>
      </c>
      <c r="L347" s="35"/>
      <c r="M347" s="119"/>
      <c r="N347" s="99"/>
      <c r="O347" s="99"/>
      <c r="P347" s="99"/>
      <c r="Q347" s="99"/>
      <c r="R347" s="99"/>
      <c r="S347" s="104"/>
      <c r="T347" s="99"/>
      <c r="U347" s="93" t="b">
        <v>1</v>
      </c>
      <c r="V347" s="99" t="s">
        <v>3714</v>
      </c>
      <c r="Z347" t="b">
        <v>0</v>
      </c>
    </row>
    <row r="348" hidden="1">
      <c r="A348" s="99">
        <v>183.0</v>
      </c>
      <c r="B348" s="6" t="s">
        <v>241</v>
      </c>
      <c r="C348" s="99" t="s">
        <v>342</v>
      </c>
      <c r="D348" s="99" t="s">
        <v>3715</v>
      </c>
      <c r="E348" s="99" t="s">
        <v>346</v>
      </c>
      <c r="F348" s="99" t="s">
        <v>3711</v>
      </c>
      <c r="G348" s="99" t="s">
        <v>3712</v>
      </c>
      <c r="H348" s="99" t="s">
        <v>189</v>
      </c>
      <c r="I348" s="99" t="s">
        <v>1007</v>
      </c>
      <c r="J348" s="104"/>
      <c r="K348" s="66" t="str">
        <f>IFNA(VLOOKUP(D348,'EAN Codes'!A:C,2,False),"")</f>
        <v>5907615808159</v>
      </c>
      <c r="L348" s="35"/>
      <c r="M348" s="83"/>
      <c r="N348" s="6"/>
      <c r="O348" s="6"/>
      <c r="P348" s="6"/>
      <c r="Q348" s="6"/>
      <c r="R348" s="6"/>
      <c r="S348" s="84"/>
      <c r="T348" s="6"/>
      <c r="U348" s="93" t="b">
        <v>1</v>
      </c>
      <c r="V348" s="6"/>
      <c r="Z348" t="b">
        <v>0</v>
      </c>
    </row>
    <row r="349" hidden="1">
      <c r="A349" s="99">
        <v>317.0</v>
      </c>
      <c r="B349" s="99" t="s">
        <v>241</v>
      </c>
      <c r="C349" s="99" t="s">
        <v>342</v>
      </c>
      <c r="D349" s="99" t="s">
        <v>3715</v>
      </c>
      <c r="E349" s="99" t="s">
        <v>346</v>
      </c>
      <c r="F349" s="99" t="s">
        <v>3716</v>
      </c>
      <c r="G349" s="99" t="s">
        <v>2194</v>
      </c>
      <c r="H349" s="99" t="s">
        <v>189</v>
      </c>
      <c r="I349" s="99" t="s">
        <v>585</v>
      </c>
      <c r="J349" s="104"/>
      <c r="K349" s="66" t="str">
        <f>IFNA(VLOOKUP(D349,'EAN Codes'!A:C,2,False),"")</f>
        <v>5907615808159</v>
      </c>
      <c r="L349" s="35" t="s">
        <v>269</v>
      </c>
      <c r="M349" s="67"/>
      <c r="S349" s="60"/>
      <c r="U349" s="93" t="b">
        <v>1</v>
      </c>
      <c r="Z349" t="b">
        <v>0</v>
      </c>
    </row>
    <row r="350" hidden="1">
      <c r="A350" s="106"/>
      <c r="B350" s="106" t="s">
        <v>241</v>
      </c>
      <c r="C350" s="106" t="s">
        <v>1217</v>
      </c>
      <c r="D350" s="106" t="s">
        <v>3717</v>
      </c>
      <c r="E350" s="106" t="s">
        <v>346</v>
      </c>
      <c r="F350" s="106" t="s">
        <v>3718</v>
      </c>
      <c r="G350" s="115"/>
      <c r="H350" s="106" t="s">
        <v>2253</v>
      </c>
      <c r="I350" s="115"/>
      <c r="J350" s="263"/>
      <c r="K350" s="66" t="str">
        <f>IFNA(VLOOKUP(D350,'EAN Codes'!A:C,2,False),"")</f>
        <v>24007</v>
      </c>
      <c r="L350" s="261"/>
      <c r="M350" s="350"/>
      <c r="N350" s="191"/>
      <c r="O350" s="191"/>
      <c r="P350" s="191"/>
      <c r="Q350" s="191"/>
      <c r="R350" s="191"/>
      <c r="S350" s="351"/>
      <c r="T350" s="191"/>
      <c r="U350" s="93" t="b">
        <v>1</v>
      </c>
      <c r="V350" s="191" t="s">
        <v>3719</v>
      </c>
      <c r="Z350" t="b">
        <v>0</v>
      </c>
    </row>
    <row r="351" hidden="1">
      <c r="A351" s="106">
        <v>310.0</v>
      </c>
      <c r="B351" s="6" t="s">
        <v>241</v>
      </c>
      <c r="C351" s="106" t="s">
        <v>342</v>
      </c>
      <c r="D351" s="106" t="s">
        <v>3720</v>
      </c>
      <c r="E351" s="106" t="s">
        <v>409</v>
      </c>
      <c r="F351" s="106" t="s">
        <v>3721</v>
      </c>
      <c r="G351" s="106" t="s">
        <v>1222</v>
      </c>
      <c r="H351" s="106" t="s">
        <v>189</v>
      </c>
      <c r="I351" s="106" t="s">
        <v>2253</v>
      </c>
      <c r="J351" s="274"/>
      <c r="K351" s="66" t="str">
        <f>IFNA(VLOOKUP(D351,'EAN Codes'!A:C,2,False),"")</f>
        <v>5907615808074</v>
      </c>
      <c r="L351" s="160" t="s">
        <v>92</v>
      </c>
      <c r="M351" s="92"/>
      <c r="N351" s="86"/>
      <c r="O351" s="86"/>
      <c r="P351" s="86"/>
      <c r="Q351" s="86"/>
      <c r="R351" s="86"/>
      <c r="S351" s="88"/>
      <c r="T351" s="86"/>
      <c r="U351" s="93" t="b">
        <v>1</v>
      </c>
      <c r="V351" s="86" t="s">
        <v>3722</v>
      </c>
      <c r="Z351" t="b">
        <v>0</v>
      </c>
    </row>
    <row r="352" hidden="1">
      <c r="A352" s="99">
        <v>330.0</v>
      </c>
      <c r="B352" s="6" t="s">
        <v>241</v>
      </c>
      <c r="C352" s="99" t="s">
        <v>342</v>
      </c>
      <c r="D352" s="99" t="s">
        <v>3720</v>
      </c>
      <c r="E352" s="99" t="s">
        <v>373</v>
      </c>
      <c r="F352" s="99" t="s">
        <v>3721</v>
      </c>
      <c r="G352" s="99" t="s">
        <v>1222</v>
      </c>
      <c r="H352" s="99" t="s">
        <v>189</v>
      </c>
      <c r="I352" s="99" t="s">
        <v>1007</v>
      </c>
      <c r="J352" s="104"/>
      <c r="K352" s="66" t="str">
        <f>IFNA(VLOOKUP(D352,'EAN Codes'!A:C,2,False),"")</f>
        <v>5907615808074</v>
      </c>
      <c r="L352" s="35"/>
      <c r="M352" s="67"/>
      <c r="S352" s="60"/>
      <c r="U352" s="93" t="b">
        <v>1</v>
      </c>
      <c r="Z352" t="b">
        <v>0</v>
      </c>
    </row>
    <row r="353" hidden="1">
      <c r="A353" s="99">
        <v>203.0</v>
      </c>
      <c r="B353" s="99"/>
      <c r="C353" s="99" t="s">
        <v>342</v>
      </c>
      <c r="D353" s="99" t="s">
        <v>3720</v>
      </c>
      <c r="E353" s="99" t="s">
        <v>373</v>
      </c>
      <c r="F353" s="99" t="s">
        <v>3723</v>
      </c>
      <c r="G353" s="99" t="s">
        <v>1222</v>
      </c>
      <c r="H353" s="99" t="s">
        <v>1726</v>
      </c>
      <c r="I353" s="99" t="s">
        <v>1328</v>
      </c>
      <c r="J353" s="104"/>
      <c r="K353" s="66" t="str">
        <f>IFNA(VLOOKUP(D353,'EAN Codes'!A:C,2,False),"")</f>
        <v>5907615808074</v>
      </c>
      <c r="L353" s="35"/>
      <c r="M353" s="119"/>
      <c r="N353" s="99"/>
      <c r="O353" s="99"/>
      <c r="P353" s="99"/>
      <c r="Q353" s="99"/>
      <c r="R353" s="99"/>
      <c r="S353" s="104"/>
      <c r="T353" s="99"/>
      <c r="U353" s="93" t="b">
        <v>1</v>
      </c>
      <c r="V353" s="99" t="s">
        <v>3724</v>
      </c>
      <c r="Z353" t="b">
        <v>0</v>
      </c>
    </row>
    <row r="354" hidden="1">
      <c r="A354" s="99">
        <v>204.0</v>
      </c>
      <c r="B354" s="99"/>
      <c r="C354" s="99" t="s">
        <v>342</v>
      </c>
      <c r="D354" s="99" t="s">
        <v>3720</v>
      </c>
      <c r="E354" s="99" t="s">
        <v>373</v>
      </c>
      <c r="F354" s="99" t="s">
        <v>3723</v>
      </c>
      <c r="G354" s="99" t="s">
        <v>1222</v>
      </c>
      <c r="H354" s="99" t="s">
        <v>1726</v>
      </c>
      <c r="I354" s="99" t="s">
        <v>1328</v>
      </c>
      <c r="J354" s="104"/>
      <c r="K354" s="66" t="str">
        <f>IFNA(VLOOKUP(D354,'EAN Codes'!A:C,2,False),"")</f>
        <v>5907615808074</v>
      </c>
      <c r="L354" s="35"/>
      <c r="M354" s="67"/>
      <c r="S354" s="60"/>
      <c r="U354" s="93" t="b">
        <v>1</v>
      </c>
      <c r="Z354" t="b">
        <v>0</v>
      </c>
    </row>
    <row r="355" hidden="1">
      <c r="A355" s="99">
        <v>205.0</v>
      </c>
      <c r="B355" s="99"/>
      <c r="C355" s="99" t="s">
        <v>342</v>
      </c>
      <c r="D355" s="99" t="s">
        <v>3720</v>
      </c>
      <c r="E355" s="99" t="s">
        <v>373</v>
      </c>
      <c r="F355" s="99" t="s">
        <v>3723</v>
      </c>
      <c r="G355" s="99" t="s">
        <v>1222</v>
      </c>
      <c r="H355" s="99" t="s">
        <v>1726</v>
      </c>
      <c r="I355" s="99" t="s">
        <v>1328</v>
      </c>
      <c r="J355" s="104"/>
      <c r="K355" s="66" t="str">
        <f>IFNA(VLOOKUP(D355,'EAN Codes'!A:C,2,False),"")</f>
        <v>5907615808074</v>
      </c>
      <c r="L355" s="35"/>
      <c r="M355" s="119"/>
      <c r="N355" s="99"/>
      <c r="O355" s="99"/>
      <c r="P355" s="99"/>
      <c r="Q355" s="99"/>
      <c r="R355" s="99"/>
      <c r="S355" s="104"/>
      <c r="T355" s="99"/>
      <c r="U355" s="93" t="b">
        <v>1</v>
      </c>
      <c r="V355" s="99" t="s">
        <v>3725</v>
      </c>
      <c r="Z355" t="b">
        <v>0</v>
      </c>
    </row>
    <row r="356" hidden="1">
      <c r="A356" s="99">
        <v>852.0</v>
      </c>
      <c r="B356" s="99" t="s">
        <v>241</v>
      </c>
      <c r="C356" s="99" t="s">
        <v>342</v>
      </c>
      <c r="D356" s="99" t="s">
        <v>3726</v>
      </c>
      <c r="E356" s="99" t="s">
        <v>373</v>
      </c>
      <c r="F356" s="99" t="s">
        <v>3727</v>
      </c>
      <c r="G356" s="99" t="s">
        <v>1155</v>
      </c>
      <c r="H356" s="99" t="s">
        <v>1726</v>
      </c>
      <c r="I356" s="99" t="s">
        <v>680</v>
      </c>
      <c r="J356" s="104"/>
      <c r="K356" s="66" t="str">
        <f>IFNA(VLOOKUP(D356,'EAN Codes'!A:C,2,False),"")</f>
        <v>5907615808142</v>
      </c>
      <c r="L356" s="35" t="s">
        <v>92</v>
      </c>
      <c r="M356" s="67"/>
      <c r="S356" s="60"/>
      <c r="U356" s="93" t="b">
        <v>1</v>
      </c>
      <c r="Z356" t="b">
        <v>0</v>
      </c>
    </row>
    <row r="357" hidden="1">
      <c r="A357" s="99">
        <v>127.0</v>
      </c>
      <c r="B357" s="99"/>
      <c r="C357" s="99" t="s">
        <v>342</v>
      </c>
      <c r="D357" s="99" t="s">
        <v>3728</v>
      </c>
      <c r="E357" s="99" t="s">
        <v>373</v>
      </c>
      <c r="F357" s="99" t="s">
        <v>3729</v>
      </c>
      <c r="G357" s="99" t="s">
        <v>2194</v>
      </c>
      <c r="H357" s="99" t="s">
        <v>512</v>
      </c>
      <c r="I357" s="99" t="s">
        <v>1971</v>
      </c>
      <c r="J357" s="104"/>
      <c r="K357" s="66" t="str">
        <f>IFNA(VLOOKUP(D357,'EAN Codes'!A:C,2,False),"")</f>
        <v>5907615808197</v>
      </c>
      <c r="L357" s="35"/>
      <c r="M357" s="67"/>
      <c r="S357" s="60"/>
      <c r="U357" s="93" t="b">
        <v>1</v>
      </c>
      <c r="Z357" t="b">
        <v>0</v>
      </c>
    </row>
    <row r="358" hidden="1">
      <c r="A358" s="6">
        <v>313.0</v>
      </c>
      <c r="B358" s="6" t="s">
        <v>241</v>
      </c>
      <c r="C358" s="6" t="s">
        <v>342</v>
      </c>
      <c r="D358" s="35" t="s">
        <v>3052</v>
      </c>
      <c r="E358" s="35" t="s">
        <v>346</v>
      </c>
      <c r="F358" s="35" t="s">
        <v>3730</v>
      </c>
      <c r="G358" s="35" t="s">
        <v>2194</v>
      </c>
      <c r="H358" s="35"/>
      <c r="J358" s="60"/>
      <c r="K358" s="66" t="str">
        <f>IFNA(VLOOKUP(D358,'EAN Codes'!A:C,2,False),"")</f>
        <v>5907615808180</v>
      </c>
      <c r="L358" s="35" t="s">
        <v>92</v>
      </c>
      <c r="M358" s="83"/>
      <c r="N358" s="6"/>
      <c r="O358" s="6"/>
      <c r="P358" s="6"/>
      <c r="Q358" s="6"/>
      <c r="R358" s="6"/>
      <c r="S358" s="84"/>
      <c r="T358" s="6"/>
      <c r="U358" s="93" t="b">
        <v>1</v>
      </c>
      <c r="V358" s="6"/>
      <c r="Z358" t="b">
        <v>0</v>
      </c>
    </row>
    <row r="359" hidden="1">
      <c r="A359" s="99">
        <v>250.0</v>
      </c>
      <c r="B359" s="6" t="s">
        <v>241</v>
      </c>
      <c r="C359" s="99" t="s">
        <v>342</v>
      </c>
      <c r="D359" s="99" t="s">
        <v>3052</v>
      </c>
      <c r="E359" s="99" t="s">
        <v>346</v>
      </c>
      <c r="F359" s="99" t="s">
        <v>3730</v>
      </c>
      <c r="G359" s="99" t="s">
        <v>2194</v>
      </c>
      <c r="H359" s="99" t="s">
        <v>189</v>
      </c>
      <c r="I359" s="99" t="s">
        <v>680</v>
      </c>
      <c r="J359" s="104"/>
      <c r="K359" s="66" t="str">
        <f>IFNA(VLOOKUP(D359,'EAN Codes'!A:C,2,False),"")</f>
        <v>5907615808180</v>
      </c>
      <c r="L359" s="35"/>
      <c r="M359" s="108"/>
      <c r="N359" s="101"/>
      <c r="O359" s="101"/>
      <c r="P359" s="101"/>
      <c r="Q359" s="101"/>
      <c r="R359" s="101"/>
      <c r="S359" s="110"/>
      <c r="T359" s="101"/>
      <c r="U359" s="93" t="b">
        <v>1</v>
      </c>
      <c r="V359" s="101"/>
      <c r="Z359" t="b">
        <v>0</v>
      </c>
    </row>
    <row r="360" hidden="1">
      <c r="A360" s="99">
        <v>207.0</v>
      </c>
      <c r="B360" s="99"/>
      <c r="C360" s="99" t="s">
        <v>342</v>
      </c>
      <c r="D360" s="99" t="s">
        <v>3728</v>
      </c>
      <c r="E360" s="99" t="s">
        <v>373</v>
      </c>
      <c r="F360" s="99" t="s">
        <v>3731</v>
      </c>
      <c r="G360" s="99" t="s">
        <v>2194</v>
      </c>
      <c r="H360" s="99" t="s">
        <v>1726</v>
      </c>
      <c r="I360" s="99" t="s">
        <v>1328</v>
      </c>
      <c r="J360" s="104"/>
      <c r="K360" s="66" t="str">
        <f>IFNA(VLOOKUP(D360,'EAN Codes'!A:C,2,False),"")</f>
        <v>5907615808197</v>
      </c>
      <c r="L360" s="35"/>
      <c r="M360" s="67"/>
      <c r="S360" s="60"/>
      <c r="U360" s="93" t="b">
        <v>1</v>
      </c>
      <c r="Z360" t="b">
        <v>0</v>
      </c>
    </row>
    <row r="361" hidden="1">
      <c r="A361" s="99">
        <v>90.0</v>
      </c>
      <c r="B361" s="99"/>
      <c r="C361" s="99" t="s">
        <v>408</v>
      </c>
      <c r="D361" s="99" t="s">
        <v>3732</v>
      </c>
      <c r="E361" s="99" t="s">
        <v>1390</v>
      </c>
      <c r="F361" s="99" t="s">
        <v>3733</v>
      </c>
      <c r="G361" s="99" t="s">
        <v>1028</v>
      </c>
      <c r="H361" s="99" t="s">
        <v>512</v>
      </c>
      <c r="I361" s="99" t="s">
        <v>626</v>
      </c>
      <c r="J361" s="104"/>
      <c r="K361" s="66" t="str">
        <f>IFNA(VLOOKUP(D361,'EAN Codes'!A:C,2,False),"")</f>
        <v/>
      </c>
      <c r="L361" s="35"/>
      <c r="M361" s="83"/>
      <c r="N361" s="6"/>
      <c r="O361" s="6"/>
      <c r="P361" s="6"/>
      <c r="Q361" s="6"/>
      <c r="R361" s="6"/>
      <c r="S361" s="84"/>
      <c r="T361" s="6"/>
      <c r="U361" s="93" t="b">
        <v>1</v>
      </c>
      <c r="V361" s="6" t="s">
        <v>3734</v>
      </c>
      <c r="Z361" t="b">
        <v>0</v>
      </c>
    </row>
    <row r="362" hidden="1">
      <c r="A362" s="99">
        <v>241.0</v>
      </c>
      <c r="B362" s="6" t="s">
        <v>241</v>
      </c>
      <c r="C362" s="86" t="s">
        <v>342</v>
      </c>
      <c r="D362" s="99" t="s">
        <v>3735</v>
      </c>
      <c r="E362" s="99" t="s">
        <v>346</v>
      </c>
      <c r="F362" s="99" t="s">
        <v>3736</v>
      </c>
      <c r="G362" s="99" t="s">
        <v>1028</v>
      </c>
      <c r="H362" s="99" t="s">
        <v>189</v>
      </c>
      <c r="I362" s="99" t="s">
        <v>1328</v>
      </c>
      <c r="J362" s="104"/>
      <c r="K362" s="66" t="str">
        <f>IFNA(VLOOKUP(D362,'EAN Codes'!A:C,2,False),"")</f>
        <v>5907615808227</v>
      </c>
      <c r="L362" s="99"/>
      <c r="M362" s="67"/>
      <c r="S362" s="60"/>
      <c r="U362" s="93" t="b">
        <v>1</v>
      </c>
      <c r="Z362" t="b">
        <v>0</v>
      </c>
    </row>
    <row r="363" hidden="1">
      <c r="A363" s="99">
        <v>545.0</v>
      </c>
      <c r="B363" s="99" t="s">
        <v>241</v>
      </c>
      <c r="C363" s="99" t="s">
        <v>342</v>
      </c>
      <c r="D363" s="99" t="s">
        <v>3737</v>
      </c>
      <c r="E363" s="99" t="s">
        <v>346</v>
      </c>
      <c r="F363" s="282" t="s">
        <v>3738</v>
      </c>
      <c r="G363" s="99" t="s">
        <v>1155</v>
      </c>
      <c r="H363" s="99" t="s">
        <v>189</v>
      </c>
      <c r="I363" s="99" t="s">
        <v>1634</v>
      </c>
      <c r="J363" s="104"/>
      <c r="K363" s="66" t="str">
        <f>IFNA(VLOOKUP(D363,'EAN Codes'!A:C,2,False),"")</f>
        <v>5907615808548</v>
      </c>
      <c r="L363" s="35" t="s">
        <v>269</v>
      </c>
      <c r="M363" s="83"/>
      <c r="N363" s="6"/>
      <c r="O363" s="6"/>
      <c r="P363" s="6"/>
      <c r="Q363" s="6"/>
      <c r="R363" s="6"/>
      <c r="S363" s="84"/>
      <c r="T363" s="6"/>
      <c r="U363" s="93" t="b">
        <v>1</v>
      </c>
      <c r="V363" s="6" t="s">
        <v>3739</v>
      </c>
      <c r="Z363" t="b">
        <v>0</v>
      </c>
    </row>
    <row r="364" hidden="1">
      <c r="A364" s="99">
        <v>401.0</v>
      </c>
      <c r="B364" s="99" t="s">
        <v>241</v>
      </c>
      <c r="C364" s="122" t="s">
        <v>858</v>
      </c>
      <c r="D364" s="217" t="s">
        <v>3740</v>
      </c>
      <c r="E364" s="122" t="s">
        <v>454</v>
      </c>
      <c r="F364" s="122" t="s">
        <v>3741</v>
      </c>
      <c r="G364" s="99" t="s">
        <v>3742</v>
      </c>
      <c r="H364" s="99" t="s">
        <v>189</v>
      </c>
      <c r="I364" s="99" t="s">
        <v>570</v>
      </c>
      <c r="J364" s="104"/>
      <c r="K364" s="66" t="str">
        <f>IFNA(VLOOKUP(D364,'EAN Codes'!A:C,2,False),"")</f>
        <v>5056150102632</v>
      </c>
      <c r="L364" s="35" t="s">
        <v>269</v>
      </c>
      <c r="M364" s="67"/>
      <c r="S364" s="60"/>
      <c r="U364" s="93" t="b">
        <v>1</v>
      </c>
      <c r="Y364" s="6" t="s">
        <v>452</v>
      </c>
      <c r="Z364" t="b">
        <v>0</v>
      </c>
    </row>
    <row r="365" hidden="1">
      <c r="A365" s="91"/>
      <c r="B365" s="99" t="s">
        <v>241</v>
      </c>
      <c r="C365" s="86" t="s">
        <v>2241</v>
      </c>
      <c r="D365" s="352">
        <v>345112.0</v>
      </c>
      <c r="E365" s="86" t="s">
        <v>409</v>
      </c>
      <c r="F365" s="86" t="s">
        <v>3743</v>
      </c>
      <c r="G365" s="86" t="s">
        <v>528</v>
      </c>
      <c r="H365" s="86" t="s">
        <v>2158</v>
      </c>
      <c r="I365" s="91"/>
      <c r="J365" s="97"/>
      <c r="K365" s="66" t="str">
        <f>IFNA(VLOOKUP(D365,'EAN Codes'!A:C,2,False),"")</f>
        <v/>
      </c>
      <c r="L365" s="86"/>
      <c r="M365" s="92"/>
      <c r="N365" s="86"/>
      <c r="O365" s="86"/>
      <c r="P365" s="86"/>
      <c r="Q365" s="86"/>
      <c r="R365" s="86"/>
      <c r="S365" s="88"/>
      <c r="T365" s="86"/>
      <c r="U365" s="93" t="b">
        <v>1</v>
      </c>
      <c r="V365" s="86" t="s">
        <v>3744</v>
      </c>
      <c r="W365" s="91"/>
      <c r="X365" s="91"/>
      <c r="Y365" s="91"/>
      <c r="Z365" t="b">
        <v>0</v>
      </c>
    </row>
    <row r="366" hidden="1">
      <c r="A366" s="99">
        <v>179.0</v>
      </c>
      <c r="B366" s="99" t="s">
        <v>241</v>
      </c>
      <c r="C366" s="99" t="s">
        <v>342</v>
      </c>
      <c r="D366" s="99" t="s">
        <v>3745</v>
      </c>
      <c r="E366" s="99" t="s">
        <v>373</v>
      </c>
      <c r="F366" s="99" t="s">
        <v>1073</v>
      </c>
      <c r="G366" s="99" t="s">
        <v>497</v>
      </c>
      <c r="H366" s="99" t="s">
        <v>189</v>
      </c>
      <c r="I366" s="99" t="s">
        <v>530</v>
      </c>
      <c r="J366" s="104"/>
      <c r="K366" s="66" t="str">
        <f>IFNA(VLOOKUP(D366,'EAN Codes'!A:C,2,False),"")</f>
        <v>5907615808340</v>
      </c>
      <c r="L366" s="35"/>
      <c r="M366" s="67"/>
      <c r="S366" s="60"/>
      <c r="U366" s="93" t="b">
        <v>1</v>
      </c>
      <c r="Z366" t="b">
        <v>0</v>
      </c>
    </row>
    <row r="367" hidden="1">
      <c r="A367" s="99">
        <v>38.0</v>
      </c>
      <c r="B367" s="99" t="s">
        <v>241</v>
      </c>
      <c r="C367" s="99" t="s">
        <v>1217</v>
      </c>
      <c r="D367" s="99" t="s">
        <v>3746</v>
      </c>
      <c r="E367" s="99" t="s">
        <v>2639</v>
      </c>
      <c r="F367" s="99" t="s">
        <v>3747</v>
      </c>
      <c r="G367" s="99" t="s">
        <v>437</v>
      </c>
      <c r="H367" s="99" t="s">
        <v>512</v>
      </c>
      <c r="I367" s="99" t="s">
        <v>1328</v>
      </c>
      <c r="J367" s="104"/>
      <c r="K367" s="66" t="str">
        <f>IFNA(VLOOKUP(D367,'EAN Codes'!A:C,2,False),"")</f>
        <v/>
      </c>
      <c r="L367" s="35"/>
      <c r="M367" s="119"/>
      <c r="N367" s="99"/>
      <c r="O367" s="99"/>
      <c r="P367" s="99"/>
      <c r="Q367" s="99"/>
      <c r="R367" s="99"/>
      <c r="S367" s="104"/>
      <c r="T367" s="99"/>
      <c r="U367" s="93" t="b">
        <v>1</v>
      </c>
      <c r="V367" s="99" t="s">
        <v>3748</v>
      </c>
      <c r="Z367" t="b">
        <v>0</v>
      </c>
    </row>
    <row r="368" hidden="1">
      <c r="A368" s="99">
        <v>32.0</v>
      </c>
      <c r="B368" s="99" t="s">
        <v>241</v>
      </c>
      <c r="C368" s="99" t="s">
        <v>1217</v>
      </c>
      <c r="D368" s="99" t="s">
        <v>3749</v>
      </c>
      <c r="E368" s="99" t="s">
        <v>1390</v>
      </c>
      <c r="F368" s="99" t="s">
        <v>3747</v>
      </c>
      <c r="G368" s="99" t="s">
        <v>437</v>
      </c>
      <c r="H368" s="99" t="s">
        <v>512</v>
      </c>
      <c r="I368" s="99" t="s">
        <v>626</v>
      </c>
      <c r="J368" s="104"/>
      <c r="K368" s="66" t="str">
        <f>IFNA(VLOOKUP(D368,'EAN Codes'!A:C,2,False),"")</f>
        <v/>
      </c>
      <c r="L368" s="35"/>
      <c r="M368" s="83"/>
      <c r="N368" s="6"/>
      <c r="O368" s="6"/>
      <c r="P368" s="6"/>
      <c r="Q368" s="6"/>
      <c r="R368" s="6"/>
      <c r="S368" s="84"/>
      <c r="T368" s="6"/>
      <c r="U368" s="93" t="b">
        <v>1</v>
      </c>
      <c r="V368" s="6"/>
      <c r="Z368" t="b">
        <v>0</v>
      </c>
    </row>
    <row r="369" hidden="1">
      <c r="A369" s="99">
        <v>22.0</v>
      </c>
      <c r="B369" s="99" t="s">
        <v>241</v>
      </c>
      <c r="C369" s="99" t="s">
        <v>1217</v>
      </c>
      <c r="D369" s="99" t="s">
        <v>3746</v>
      </c>
      <c r="E369" s="99" t="s">
        <v>2639</v>
      </c>
      <c r="F369" s="99" t="s">
        <v>3750</v>
      </c>
      <c r="G369" s="99" t="s">
        <v>437</v>
      </c>
      <c r="H369" s="99" t="s">
        <v>135</v>
      </c>
      <c r="I369" s="99" t="s">
        <v>626</v>
      </c>
      <c r="J369" s="104"/>
      <c r="K369" s="66" t="str">
        <f>IFNA(VLOOKUP(D369,'EAN Codes'!A:C,2,False),"")</f>
        <v/>
      </c>
      <c r="L369" s="35"/>
      <c r="M369" s="67"/>
      <c r="S369" s="60"/>
      <c r="U369" s="93" t="b">
        <v>1</v>
      </c>
      <c r="X369" s="82"/>
      <c r="Y369" s="82"/>
      <c r="Z369" t="b">
        <v>0</v>
      </c>
    </row>
    <row r="370" hidden="1">
      <c r="A370" s="99">
        <v>86.0</v>
      </c>
      <c r="B370" s="99" t="s">
        <v>241</v>
      </c>
      <c r="C370" s="99" t="s">
        <v>3751</v>
      </c>
      <c r="D370" s="99">
        <v>561000.0</v>
      </c>
      <c r="E370" s="99" t="s">
        <v>346</v>
      </c>
      <c r="F370" s="99" t="s">
        <v>3752</v>
      </c>
      <c r="G370" s="99" t="s">
        <v>751</v>
      </c>
      <c r="H370" s="101"/>
      <c r="I370" s="99" t="s">
        <v>1634</v>
      </c>
      <c r="J370" s="104"/>
      <c r="K370" s="66" t="str">
        <f>IFNA(VLOOKUP(D370,'EAN Codes'!A:C,2,False),"")</f>
        <v/>
      </c>
      <c r="L370" s="35"/>
      <c r="M370" s="108"/>
      <c r="N370" s="101"/>
      <c r="O370" s="101"/>
      <c r="P370" s="101"/>
      <c r="Q370" s="101"/>
      <c r="R370" s="101"/>
      <c r="S370" s="110"/>
      <c r="T370" s="101"/>
      <c r="U370" s="93" t="b">
        <v>1</v>
      </c>
      <c r="V370" s="101"/>
      <c r="W370" s="101"/>
      <c r="Z370" s="101" t="b">
        <v>0</v>
      </c>
      <c r="AA370" s="101"/>
      <c r="AB370" s="101"/>
      <c r="AC370" s="101"/>
      <c r="AD370" s="101"/>
      <c r="AE370" s="101"/>
    </row>
    <row r="371" hidden="1">
      <c r="A371" s="99">
        <v>87.0</v>
      </c>
      <c r="B371" s="99" t="s">
        <v>241</v>
      </c>
      <c r="C371" s="99" t="s">
        <v>3751</v>
      </c>
      <c r="D371" s="99">
        <v>561000.0</v>
      </c>
      <c r="E371" s="99" t="s">
        <v>346</v>
      </c>
      <c r="F371" s="99" t="s">
        <v>3752</v>
      </c>
      <c r="G371" s="99" t="s">
        <v>751</v>
      </c>
      <c r="H371" s="101"/>
      <c r="I371" s="99" t="s">
        <v>1634</v>
      </c>
      <c r="J371" s="104"/>
      <c r="K371" s="66" t="str">
        <f>IFNA(VLOOKUP(D371,'EAN Codes'!A:C,2,False),"")</f>
        <v/>
      </c>
      <c r="L371" s="35"/>
      <c r="M371" s="108"/>
      <c r="N371" s="101"/>
      <c r="O371" s="101"/>
      <c r="P371" s="101"/>
      <c r="Q371" s="101"/>
      <c r="R371" s="101"/>
      <c r="S371" s="110"/>
      <c r="T371" s="101"/>
      <c r="U371" s="93" t="b">
        <v>1</v>
      </c>
      <c r="V371" s="101"/>
      <c r="W371" s="101"/>
      <c r="X371" s="101"/>
      <c r="Y371" s="101"/>
      <c r="Z371" t="b">
        <v>0</v>
      </c>
    </row>
    <row r="372" hidden="1">
      <c r="A372" s="99">
        <v>2.0</v>
      </c>
      <c r="B372" s="99" t="s">
        <v>241</v>
      </c>
      <c r="C372" s="99" t="s">
        <v>342</v>
      </c>
      <c r="D372" s="99" t="s">
        <v>3753</v>
      </c>
      <c r="E372" s="99" t="s">
        <v>409</v>
      </c>
      <c r="F372" s="99" t="s">
        <v>3754</v>
      </c>
      <c r="G372" s="99" t="s">
        <v>437</v>
      </c>
      <c r="H372" s="99" t="s">
        <v>189</v>
      </c>
      <c r="I372" s="99" t="s">
        <v>626</v>
      </c>
      <c r="J372" s="104"/>
      <c r="K372" s="66" t="str">
        <f>IFNA(VLOOKUP(D372,'EAN Codes'!A:C,2,False),"")</f>
        <v>5907615809965</v>
      </c>
      <c r="L372" s="99"/>
      <c r="M372" s="119"/>
      <c r="N372" s="99"/>
      <c r="O372" s="99"/>
      <c r="P372" s="99"/>
      <c r="Q372" s="99"/>
      <c r="R372" s="99"/>
      <c r="S372" s="104"/>
      <c r="T372" s="99"/>
      <c r="U372" s="93" t="b">
        <v>1</v>
      </c>
      <c r="V372" s="99" t="s">
        <v>3755</v>
      </c>
      <c r="Z372" t="b">
        <v>0</v>
      </c>
    </row>
    <row r="373" hidden="1">
      <c r="A373" s="99">
        <v>491.0</v>
      </c>
      <c r="B373" s="99" t="s">
        <v>241</v>
      </c>
      <c r="C373" s="99" t="s">
        <v>342</v>
      </c>
      <c r="D373" s="99" t="s">
        <v>3756</v>
      </c>
      <c r="E373" s="99" t="s">
        <v>346</v>
      </c>
      <c r="F373" s="282" t="s">
        <v>3757</v>
      </c>
      <c r="G373" s="99" t="s">
        <v>437</v>
      </c>
      <c r="H373" s="99" t="s">
        <v>189</v>
      </c>
      <c r="I373" s="99" t="s">
        <v>680</v>
      </c>
      <c r="J373" s="104"/>
      <c r="K373" s="66" t="str">
        <f>IFNA(VLOOKUP(D373,'EAN Codes'!A:C,2,False),"")</f>
        <v>5907615809958</v>
      </c>
      <c r="L373" s="99"/>
      <c r="M373" s="119"/>
      <c r="N373" s="99"/>
      <c r="O373" s="99"/>
      <c r="P373" s="99"/>
      <c r="Q373" s="99"/>
      <c r="R373" s="99"/>
      <c r="S373" s="104"/>
      <c r="T373" s="99"/>
      <c r="U373" s="93" t="b">
        <v>1</v>
      </c>
      <c r="V373" s="99" t="s">
        <v>3758</v>
      </c>
      <c r="Z373" t="b">
        <v>0</v>
      </c>
    </row>
    <row r="374" hidden="1">
      <c r="A374" s="99">
        <v>961.0</v>
      </c>
      <c r="B374" s="99" t="s">
        <v>241</v>
      </c>
      <c r="C374" s="99" t="s">
        <v>342</v>
      </c>
      <c r="D374" s="99" t="s">
        <v>3756</v>
      </c>
      <c r="E374" s="99" t="s">
        <v>346</v>
      </c>
      <c r="F374" s="99" t="s">
        <v>3759</v>
      </c>
      <c r="G374" s="101"/>
      <c r="H374" s="99" t="s">
        <v>189</v>
      </c>
      <c r="I374" s="99" t="s">
        <v>1328</v>
      </c>
      <c r="J374" s="104"/>
      <c r="K374" s="66" t="str">
        <f>IFNA(VLOOKUP(D374,'EAN Codes'!A:C,2,False),"")</f>
        <v>5907615809958</v>
      </c>
      <c r="L374" s="101"/>
      <c r="M374" s="119"/>
      <c r="N374" s="99"/>
      <c r="O374" s="99"/>
      <c r="P374" s="99"/>
      <c r="Q374" s="99"/>
      <c r="R374" s="99"/>
      <c r="S374" s="104"/>
      <c r="T374" s="99"/>
      <c r="U374" s="93" t="b">
        <v>1</v>
      </c>
      <c r="V374" s="99" t="s">
        <v>3760</v>
      </c>
      <c r="Z374" t="b">
        <v>0</v>
      </c>
    </row>
    <row r="375" hidden="1">
      <c r="A375" s="86">
        <v>833.0</v>
      </c>
      <c r="B375" s="86" t="s">
        <v>241</v>
      </c>
      <c r="C375" s="86" t="s">
        <v>1813</v>
      </c>
      <c r="D375" s="86" t="s">
        <v>3761</v>
      </c>
      <c r="E375" s="86" t="s">
        <v>346</v>
      </c>
      <c r="F375" s="86" t="s">
        <v>3762</v>
      </c>
      <c r="G375" s="91"/>
      <c r="H375" s="86" t="s">
        <v>3763</v>
      </c>
      <c r="I375" s="91"/>
      <c r="J375" s="97"/>
      <c r="K375" s="66" t="str">
        <f>IFNA(VLOOKUP(D375,'EAN Codes'!A:C,2,False),"")</f>
        <v/>
      </c>
      <c r="L375" s="91"/>
      <c r="M375" s="92"/>
      <c r="N375" s="86"/>
      <c r="O375" s="86"/>
      <c r="P375" s="86"/>
      <c r="Q375" s="86"/>
      <c r="R375" s="86"/>
      <c r="S375" s="88"/>
      <c r="T375" s="86"/>
      <c r="U375" s="93" t="b">
        <v>1</v>
      </c>
      <c r="V375" s="86" t="s">
        <v>3764</v>
      </c>
      <c r="Z375" t="b">
        <v>0</v>
      </c>
    </row>
    <row r="376" hidden="1">
      <c r="A376" s="99">
        <v>14.0</v>
      </c>
      <c r="B376" s="6"/>
      <c r="C376" s="6" t="s">
        <v>731</v>
      </c>
      <c r="D376" s="99" t="s">
        <v>3765</v>
      </c>
      <c r="E376" s="99" t="s">
        <v>1110</v>
      </c>
      <c r="F376" s="99" t="s">
        <v>3766</v>
      </c>
      <c r="G376" s="282" t="s">
        <v>437</v>
      </c>
      <c r="J376" s="60"/>
      <c r="K376" s="66" t="str">
        <f>IFNA(VLOOKUP(D376,'EAN Codes'!A:C,2,False),"")</f>
        <v/>
      </c>
      <c r="L376" s="6"/>
      <c r="M376" s="67"/>
      <c r="S376" s="60"/>
      <c r="U376" s="93" t="b">
        <v>1</v>
      </c>
      <c r="Z376" t="b">
        <v>0</v>
      </c>
    </row>
    <row r="377" hidden="1">
      <c r="A377" s="99"/>
      <c r="B377" s="6" t="s">
        <v>241</v>
      </c>
      <c r="C377" s="99" t="s">
        <v>342</v>
      </c>
      <c r="D377" s="292" t="s">
        <v>3767</v>
      </c>
      <c r="E377" s="99" t="s">
        <v>373</v>
      </c>
      <c r="F377" s="99" t="s">
        <v>3768</v>
      </c>
      <c r="G377" s="99" t="s">
        <v>437</v>
      </c>
      <c r="H377" s="99" t="s">
        <v>698</v>
      </c>
      <c r="I377" s="99"/>
      <c r="J377" s="104"/>
      <c r="K377" s="66" t="str">
        <f>IFNA(VLOOKUP(D377,'EAN Codes'!A:C,2,False),"")</f>
        <v>5907615808623</v>
      </c>
      <c r="L377" s="99"/>
      <c r="M377" s="119"/>
      <c r="N377" s="99"/>
      <c r="O377" s="99"/>
      <c r="P377" s="99"/>
      <c r="Q377" s="99"/>
      <c r="R377" s="99"/>
      <c r="S377" s="104"/>
      <c r="T377" s="99"/>
      <c r="U377" s="93" t="b">
        <v>1</v>
      </c>
      <c r="V377" s="99" t="s">
        <v>3769</v>
      </c>
      <c r="W377" s="101"/>
      <c r="X377" s="101"/>
      <c r="Z377" t="b">
        <v>0</v>
      </c>
    </row>
    <row r="378" hidden="1">
      <c r="A378" s="99">
        <v>421.0</v>
      </c>
      <c r="B378" s="99" t="s">
        <v>241</v>
      </c>
      <c r="C378" s="99" t="s">
        <v>342</v>
      </c>
      <c r="D378" s="99" t="s">
        <v>3770</v>
      </c>
      <c r="E378" s="99" t="s">
        <v>346</v>
      </c>
      <c r="F378" s="99" t="s">
        <v>3771</v>
      </c>
      <c r="G378" s="99" t="s">
        <v>437</v>
      </c>
      <c r="H378" s="99"/>
      <c r="I378" s="101"/>
      <c r="J378" s="110"/>
      <c r="K378" s="66" t="str">
        <f>IFNA(VLOOKUP(D378,'EAN Codes'!A:C,2,False),"")</f>
        <v>5907615808333</v>
      </c>
      <c r="L378" s="99"/>
      <c r="M378" s="119"/>
      <c r="N378" s="99"/>
      <c r="O378" s="99"/>
      <c r="P378" s="99"/>
      <c r="Q378" s="99"/>
      <c r="R378" s="99"/>
      <c r="S378" s="104"/>
      <c r="T378" s="99"/>
      <c r="U378" s="93" t="b">
        <v>1</v>
      </c>
      <c r="V378" s="99" t="s">
        <v>3772</v>
      </c>
      <c r="Z378" t="b">
        <v>0</v>
      </c>
    </row>
    <row r="379" hidden="1">
      <c r="A379" s="99">
        <v>539.0</v>
      </c>
      <c r="B379" s="99" t="s">
        <v>241</v>
      </c>
      <c r="C379" s="99" t="s">
        <v>342</v>
      </c>
      <c r="D379" s="99" t="s">
        <v>3770</v>
      </c>
      <c r="E379" s="99" t="s">
        <v>346</v>
      </c>
      <c r="F379" s="99" t="s">
        <v>3771</v>
      </c>
      <c r="G379" s="99" t="s">
        <v>437</v>
      </c>
      <c r="H379" s="99" t="s">
        <v>189</v>
      </c>
      <c r="I379" s="99" t="s">
        <v>570</v>
      </c>
      <c r="J379" s="104"/>
      <c r="K379" s="66" t="str">
        <f>IFNA(VLOOKUP(D379,'EAN Codes'!A:C,2,False),"")</f>
        <v>5907615808333</v>
      </c>
      <c r="L379" s="99"/>
      <c r="M379" s="119"/>
      <c r="N379" s="99"/>
      <c r="O379" s="99"/>
      <c r="P379" s="99"/>
      <c r="Q379" s="99"/>
      <c r="R379" s="99"/>
      <c r="S379" s="104"/>
      <c r="T379" s="99"/>
      <c r="U379" s="93" t="b">
        <v>1</v>
      </c>
      <c r="V379" s="99" t="s">
        <v>3773</v>
      </c>
      <c r="Z379" t="b">
        <v>0</v>
      </c>
    </row>
    <row r="380" hidden="1">
      <c r="A380" s="99">
        <v>635.0</v>
      </c>
      <c r="B380" s="99" t="s">
        <v>241</v>
      </c>
      <c r="C380" s="99" t="s">
        <v>342</v>
      </c>
      <c r="D380" s="99" t="s">
        <v>3770</v>
      </c>
      <c r="E380" s="99" t="s">
        <v>346</v>
      </c>
      <c r="F380" s="99" t="s">
        <v>3771</v>
      </c>
      <c r="G380" s="99" t="s">
        <v>437</v>
      </c>
      <c r="H380" s="99" t="s">
        <v>189</v>
      </c>
      <c r="I380" s="99" t="s">
        <v>570</v>
      </c>
      <c r="J380" s="104"/>
      <c r="K380" s="66" t="str">
        <f>IFNA(VLOOKUP(D380,'EAN Codes'!A:C,2,False),"")</f>
        <v>5907615808333</v>
      </c>
      <c r="L380" s="99"/>
      <c r="M380" s="119"/>
      <c r="N380" s="99"/>
      <c r="O380" s="99"/>
      <c r="P380" s="99"/>
      <c r="Q380" s="99"/>
      <c r="R380" s="99"/>
      <c r="S380" s="104"/>
      <c r="T380" s="99"/>
      <c r="U380" s="93" t="b">
        <v>1</v>
      </c>
      <c r="V380" s="99" t="s">
        <v>3774</v>
      </c>
      <c r="Z380" t="b">
        <v>0</v>
      </c>
    </row>
    <row r="381" hidden="1">
      <c r="A381" s="99">
        <v>156.0</v>
      </c>
      <c r="B381" s="99" t="s">
        <v>241</v>
      </c>
      <c r="C381" s="99" t="s">
        <v>342</v>
      </c>
      <c r="D381" s="282" t="s">
        <v>3775</v>
      </c>
      <c r="E381" s="99" t="s">
        <v>346</v>
      </c>
      <c r="F381" s="99" t="s">
        <v>3768</v>
      </c>
      <c r="G381" s="99" t="s">
        <v>437</v>
      </c>
      <c r="H381" s="99" t="s">
        <v>189</v>
      </c>
      <c r="I381" s="99" t="s">
        <v>1328</v>
      </c>
      <c r="J381" s="104"/>
      <c r="K381" s="66" t="str">
        <f>IFNA(VLOOKUP(D381,'EAN Codes'!A:C,2,False),"")</f>
        <v>5907615808579</v>
      </c>
      <c r="L381" s="35"/>
      <c r="M381" s="145"/>
      <c r="N381" s="35"/>
      <c r="O381" s="35"/>
      <c r="P381" s="35"/>
      <c r="Q381" s="35"/>
      <c r="R381" s="35"/>
      <c r="S381" s="146"/>
      <c r="T381" s="35"/>
      <c r="U381" s="93" t="b">
        <v>1</v>
      </c>
      <c r="V381" s="35"/>
      <c r="W381" s="82"/>
      <c r="X381" s="99"/>
      <c r="Y381" s="101"/>
      <c r="Z381" t="b">
        <v>0</v>
      </c>
    </row>
    <row r="382" hidden="1">
      <c r="A382" s="99">
        <v>617.0</v>
      </c>
      <c r="B382" s="99" t="s">
        <v>241</v>
      </c>
      <c r="C382" s="99" t="s">
        <v>342</v>
      </c>
      <c r="D382" s="99" t="s">
        <v>3770</v>
      </c>
      <c r="E382" s="99" t="s">
        <v>346</v>
      </c>
      <c r="F382" s="99" t="s">
        <v>3771</v>
      </c>
      <c r="G382" s="99" t="s">
        <v>437</v>
      </c>
      <c r="H382" s="99" t="s">
        <v>189</v>
      </c>
      <c r="I382" s="99" t="s">
        <v>680</v>
      </c>
      <c r="J382" s="104"/>
      <c r="K382" s="66" t="str">
        <f>IFNA(VLOOKUP(D382,'EAN Codes'!A:C,2,False),"")</f>
        <v>5907615808333</v>
      </c>
      <c r="L382" s="99"/>
      <c r="M382" s="119"/>
      <c r="N382" s="99"/>
      <c r="O382" s="99"/>
      <c r="P382" s="99"/>
      <c r="Q382" s="99"/>
      <c r="R382" s="99"/>
      <c r="S382" s="104"/>
      <c r="T382" s="99"/>
      <c r="U382" s="93" t="b">
        <v>1</v>
      </c>
      <c r="V382" s="99" t="s">
        <v>3776</v>
      </c>
      <c r="Z382" t="b">
        <v>0</v>
      </c>
    </row>
    <row r="383" hidden="1">
      <c r="A383" s="99">
        <v>537.0</v>
      </c>
      <c r="B383" s="99" t="s">
        <v>241</v>
      </c>
      <c r="C383" s="99" t="s">
        <v>342</v>
      </c>
      <c r="D383" s="99" t="s">
        <v>3770</v>
      </c>
      <c r="E383" s="99" t="s">
        <v>346</v>
      </c>
      <c r="F383" s="99" t="s">
        <v>3771</v>
      </c>
      <c r="G383" s="99" t="s">
        <v>437</v>
      </c>
      <c r="H383" s="99" t="s">
        <v>189</v>
      </c>
      <c r="I383" s="99" t="s">
        <v>1634</v>
      </c>
      <c r="J383" s="104"/>
      <c r="K383" s="66" t="str">
        <f>IFNA(VLOOKUP(D383,'EAN Codes'!A:C,2,False),"")</f>
        <v>5907615808333</v>
      </c>
      <c r="L383" s="35"/>
      <c r="M383" s="67"/>
      <c r="S383" s="60"/>
      <c r="U383" s="93" t="b">
        <v>1</v>
      </c>
      <c r="Z383" t="b">
        <v>0</v>
      </c>
    </row>
    <row r="384" hidden="1">
      <c r="A384" s="99">
        <v>144.0</v>
      </c>
      <c r="B384" s="99" t="s">
        <v>241</v>
      </c>
      <c r="C384" s="99" t="s">
        <v>342</v>
      </c>
      <c r="D384" s="99" t="s">
        <v>3767</v>
      </c>
      <c r="E384" s="99" t="s">
        <v>373</v>
      </c>
      <c r="F384" s="99" t="s">
        <v>3771</v>
      </c>
      <c r="G384" s="99" t="s">
        <v>497</v>
      </c>
      <c r="H384" s="99" t="s">
        <v>189</v>
      </c>
      <c r="I384" s="99" t="s">
        <v>530</v>
      </c>
      <c r="J384" s="104"/>
      <c r="K384" s="66" t="str">
        <f>IFNA(VLOOKUP(D384,'EAN Codes'!A:C,2,False),"")</f>
        <v>5907615808623</v>
      </c>
      <c r="L384" s="35"/>
      <c r="M384" s="67"/>
      <c r="S384" s="60"/>
      <c r="U384" s="93" t="b">
        <v>1</v>
      </c>
      <c r="Z384" t="b">
        <v>0</v>
      </c>
    </row>
    <row r="385" hidden="1">
      <c r="A385" s="99">
        <v>118.0</v>
      </c>
      <c r="B385" s="99" t="s">
        <v>241</v>
      </c>
      <c r="C385" s="99" t="s">
        <v>408</v>
      </c>
      <c r="D385" s="353">
        <v>1.8972222222222221</v>
      </c>
      <c r="E385" s="99" t="s">
        <v>346</v>
      </c>
      <c r="F385" s="99" t="s">
        <v>3768</v>
      </c>
      <c r="G385" s="99" t="s">
        <v>437</v>
      </c>
      <c r="H385" s="99" t="s">
        <v>512</v>
      </c>
      <c r="I385" s="99" t="s">
        <v>819</v>
      </c>
      <c r="J385" s="104"/>
      <c r="K385" s="66" t="str">
        <f>IFNA(VLOOKUP(D385,'EAN Codes'!A:C,2,False),"")</f>
        <v/>
      </c>
      <c r="L385" s="35"/>
      <c r="M385" s="119"/>
      <c r="N385" s="99"/>
      <c r="O385" s="99"/>
      <c r="P385" s="99"/>
      <c r="Q385" s="99"/>
      <c r="R385" s="99"/>
      <c r="S385" s="104"/>
      <c r="T385" s="99"/>
      <c r="U385" s="93" t="b">
        <v>1</v>
      </c>
      <c r="V385" s="99"/>
      <c r="W385" s="101"/>
      <c r="Z385" t="b">
        <v>0</v>
      </c>
    </row>
    <row r="386" hidden="1">
      <c r="A386" s="99">
        <v>633.0</v>
      </c>
      <c r="B386" s="99" t="s">
        <v>241</v>
      </c>
      <c r="C386" s="99" t="s">
        <v>342</v>
      </c>
      <c r="D386" s="99" t="s">
        <v>3770</v>
      </c>
      <c r="E386" s="99" t="s">
        <v>346</v>
      </c>
      <c r="F386" s="99" t="s">
        <v>3771</v>
      </c>
      <c r="G386" s="99" t="s">
        <v>437</v>
      </c>
      <c r="H386" s="99" t="s">
        <v>189</v>
      </c>
      <c r="I386" s="99" t="s">
        <v>570</v>
      </c>
      <c r="J386" s="104"/>
      <c r="K386" s="66" t="str">
        <f>IFNA(VLOOKUP(D386,'EAN Codes'!A:C,2,False),"")</f>
        <v>5907615808333</v>
      </c>
      <c r="L386" s="35" t="s">
        <v>269</v>
      </c>
      <c r="M386" s="83"/>
      <c r="N386" s="6"/>
      <c r="O386" s="6"/>
      <c r="P386" s="6"/>
      <c r="Q386" s="6"/>
      <c r="R386" s="6"/>
      <c r="S386" s="84"/>
      <c r="T386" s="6"/>
      <c r="U386" s="93" t="b">
        <v>1</v>
      </c>
      <c r="V386" s="6" t="s">
        <v>3777</v>
      </c>
      <c r="Z386" t="b">
        <v>0</v>
      </c>
    </row>
    <row r="387" hidden="1">
      <c r="A387" s="99">
        <v>634.0</v>
      </c>
      <c r="B387" s="99" t="s">
        <v>241</v>
      </c>
      <c r="C387" s="99" t="s">
        <v>342</v>
      </c>
      <c r="D387" s="99" t="s">
        <v>3770</v>
      </c>
      <c r="E387" s="99" t="s">
        <v>346</v>
      </c>
      <c r="F387" s="99" t="s">
        <v>3771</v>
      </c>
      <c r="G387" s="99" t="s">
        <v>437</v>
      </c>
      <c r="H387" s="99" t="s">
        <v>189</v>
      </c>
      <c r="I387" s="99" t="s">
        <v>570</v>
      </c>
      <c r="J387" s="104"/>
      <c r="K387" s="66" t="str">
        <f>IFNA(VLOOKUP(D387,'EAN Codes'!A:C,2,False),"")</f>
        <v>5907615808333</v>
      </c>
      <c r="L387" s="35" t="s">
        <v>269</v>
      </c>
      <c r="M387" s="83"/>
      <c r="N387" s="6"/>
      <c r="O387" s="6"/>
      <c r="P387" s="6"/>
      <c r="Q387" s="6"/>
      <c r="R387" s="6"/>
      <c r="S387" s="84"/>
      <c r="T387" s="6"/>
      <c r="U387" s="93" t="b">
        <v>1</v>
      </c>
      <c r="V387" s="6" t="s">
        <v>3778</v>
      </c>
      <c r="Z387" t="b">
        <v>0</v>
      </c>
    </row>
    <row r="388" hidden="1">
      <c r="A388" s="86">
        <v>759.0</v>
      </c>
      <c r="B388" s="99" t="s">
        <v>241</v>
      </c>
      <c r="C388" s="99" t="s">
        <v>1217</v>
      </c>
      <c r="D388" s="99" t="s">
        <v>3781</v>
      </c>
      <c r="E388" s="99" t="s">
        <v>1390</v>
      </c>
      <c r="F388" s="99" t="s">
        <v>3771</v>
      </c>
      <c r="G388" s="99" t="s">
        <v>3452</v>
      </c>
      <c r="H388" s="99" t="s">
        <v>189</v>
      </c>
      <c r="I388" s="99" t="s">
        <v>570</v>
      </c>
      <c r="J388" s="104"/>
      <c r="K388" s="66" t="str">
        <f>IFNA(VLOOKUP(D388,'EAN Codes'!A:C,2,False),"")</f>
        <v>27459</v>
      </c>
      <c r="L388" s="101"/>
      <c r="M388" s="119"/>
      <c r="N388" s="99"/>
      <c r="O388" s="99"/>
      <c r="P388" s="99"/>
      <c r="Q388" s="99"/>
      <c r="R388" s="99"/>
      <c r="S388" s="104"/>
      <c r="T388" s="99"/>
      <c r="U388" s="93" t="b">
        <v>1</v>
      </c>
      <c r="V388" s="99" t="s">
        <v>3785</v>
      </c>
      <c r="Z388" t="b">
        <v>0</v>
      </c>
    </row>
    <row r="389" hidden="1">
      <c r="A389" s="86">
        <v>763.0</v>
      </c>
      <c r="B389" s="99" t="s">
        <v>241</v>
      </c>
      <c r="C389" s="99" t="s">
        <v>342</v>
      </c>
      <c r="D389" s="99" t="s">
        <v>3770</v>
      </c>
      <c r="E389" s="99" t="s">
        <v>346</v>
      </c>
      <c r="F389" s="99" t="s">
        <v>3771</v>
      </c>
      <c r="G389" s="99" t="s">
        <v>3786</v>
      </c>
      <c r="H389" s="99" t="s">
        <v>189</v>
      </c>
      <c r="I389" s="99" t="s">
        <v>1328</v>
      </c>
      <c r="J389" s="104"/>
      <c r="K389" s="66" t="str">
        <f>IFNA(VLOOKUP(D389,'EAN Codes'!A:C,2,False),"")</f>
        <v>5907615808333</v>
      </c>
      <c r="L389" s="82"/>
      <c r="M389" s="83"/>
      <c r="N389" s="6"/>
      <c r="O389" s="6"/>
      <c r="P389" s="6"/>
      <c r="Q389" s="6"/>
      <c r="R389" s="6"/>
      <c r="S389" s="84"/>
      <c r="T389" s="6"/>
      <c r="U389" s="93" t="b">
        <v>1</v>
      </c>
      <c r="V389" s="6" t="s">
        <v>3791</v>
      </c>
      <c r="Z389" t="b">
        <v>0</v>
      </c>
    </row>
    <row r="390" hidden="1">
      <c r="A390" s="86">
        <v>650.0</v>
      </c>
      <c r="B390" s="99" t="s">
        <v>241</v>
      </c>
      <c r="C390" s="99" t="s">
        <v>342</v>
      </c>
      <c r="D390" s="99" t="s">
        <v>3770</v>
      </c>
      <c r="E390" s="99" t="s">
        <v>346</v>
      </c>
      <c r="F390" s="99" t="s">
        <v>3771</v>
      </c>
      <c r="G390" s="99" t="s">
        <v>437</v>
      </c>
      <c r="H390" s="99" t="s">
        <v>189</v>
      </c>
      <c r="I390" s="99" t="s">
        <v>680</v>
      </c>
      <c r="J390" s="104"/>
      <c r="K390" s="66" t="str">
        <f>IFNA(VLOOKUP(D390,'EAN Codes'!A:C,2,False),"")</f>
        <v>5907615808333</v>
      </c>
      <c r="L390" s="35" t="s">
        <v>269</v>
      </c>
      <c r="M390" s="67"/>
      <c r="S390" s="60"/>
      <c r="U390" s="93" t="b">
        <v>1</v>
      </c>
      <c r="Z390" t="b">
        <v>0</v>
      </c>
    </row>
    <row r="391" hidden="1">
      <c r="A391" s="86">
        <v>757.0</v>
      </c>
      <c r="B391" s="99" t="s">
        <v>241</v>
      </c>
      <c r="C391" s="99" t="s">
        <v>1217</v>
      </c>
      <c r="D391" s="99" t="s">
        <v>3798</v>
      </c>
      <c r="E391" s="99" t="s">
        <v>346</v>
      </c>
      <c r="F391" s="99" t="s">
        <v>3771</v>
      </c>
      <c r="G391" s="99" t="s">
        <v>1057</v>
      </c>
      <c r="H391" s="99" t="s">
        <v>189</v>
      </c>
      <c r="I391" s="99" t="s">
        <v>680</v>
      </c>
      <c r="J391" s="104"/>
      <c r="K391" s="66" t="str">
        <f>IFNA(VLOOKUP(D391,'EAN Codes'!A:C,2,False),"")</f>
        <v>25479</v>
      </c>
      <c r="L391" s="82"/>
      <c r="M391" s="67"/>
      <c r="S391" s="60"/>
      <c r="U391" s="93" t="b">
        <v>1</v>
      </c>
      <c r="Z391" t="b">
        <v>0</v>
      </c>
    </row>
    <row r="392" hidden="1">
      <c r="A392" s="99">
        <v>762.0</v>
      </c>
      <c r="B392" s="99" t="s">
        <v>241</v>
      </c>
      <c r="C392" s="99" t="s">
        <v>342</v>
      </c>
      <c r="D392" s="99" t="s">
        <v>3770</v>
      </c>
      <c r="E392" s="99" t="s">
        <v>346</v>
      </c>
      <c r="F392" s="99" t="s">
        <v>3771</v>
      </c>
      <c r="G392" s="99" t="s">
        <v>3786</v>
      </c>
      <c r="H392" s="99" t="s">
        <v>189</v>
      </c>
      <c r="I392" s="99" t="s">
        <v>680</v>
      </c>
      <c r="J392" s="104"/>
      <c r="K392" s="66" t="str">
        <f>IFNA(VLOOKUP(D392,'EAN Codes'!A:C,2,False),"")</f>
        <v>5907615808333</v>
      </c>
      <c r="L392" s="82"/>
      <c r="M392" s="67"/>
      <c r="S392" s="60"/>
      <c r="U392" s="93" t="b">
        <v>1</v>
      </c>
      <c r="Z392" t="b">
        <v>0</v>
      </c>
    </row>
    <row r="393" hidden="1">
      <c r="A393" s="99">
        <v>760.0</v>
      </c>
      <c r="B393" s="99" t="s">
        <v>241</v>
      </c>
      <c r="C393" s="99" t="s">
        <v>342</v>
      </c>
      <c r="D393" s="99" t="s">
        <v>3770</v>
      </c>
      <c r="E393" s="99" t="s">
        <v>346</v>
      </c>
      <c r="F393" s="99" t="s">
        <v>3771</v>
      </c>
      <c r="G393" s="99" t="s">
        <v>3786</v>
      </c>
      <c r="H393" s="99" t="s">
        <v>189</v>
      </c>
      <c r="I393" s="99" t="s">
        <v>1863</v>
      </c>
      <c r="J393" s="104"/>
      <c r="K393" s="66" t="str">
        <f>IFNA(VLOOKUP(D393,'EAN Codes'!A:C,2,False),"")</f>
        <v>5907615808333</v>
      </c>
      <c r="L393" s="82"/>
      <c r="M393" s="83"/>
      <c r="N393" s="6"/>
      <c r="O393" s="6"/>
      <c r="P393" s="6"/>
      <c r="Q393" s="6"/>
      <c r="R393" s="6"/>
      <c r="S393" s="84"/>
      <c r="T393" s="6"/>
      <c r="U393" s="93" t="b">
        <v>1</v>
      </c>
      <c r="V393" s="6" t="s">
        <v>3808</v>
      </c>
      <c r="Z393" t="b">
        <v>0</v>
      </c>
    </row>
    <row r="394" hidden="1">
      <c r="A394" s="99">
        <v>346.0</v>
      </c>
      <c r="B394" s="6" t="s">
        <v>241</v>
      </c>
      <c r="C394" s="99" t="s">
        <v>342</v>
      </c>
      <c r="D394" s="99" t="s">
        <v>3770</v>
      </c>
      <c r="E394" s="99" t="s">
        <v>346</v>
      </c>
      <c r="F394" s="99" t="s">
        <v>3809</v>
      </c>
      <c r="G394" s="99" t="s">
        <v>437</v>
      </c>
      <c r="H394" s="99" t="s">
        <v>189</v>
      </c>
      <c r="I394" s="99" t="s">
        <v>570</v>
      </c>
      <c r="J394" s="104"/>
      <c r="K394" s="66" t="str">
        <f>IFNA(VLOOKUP(D394,'EAN Codes'!A:C,2,False),"")</f>
        <v>5907615808333</v>
      </c>
      <c r="L394" s="35"/>
      <c r="M394" s="67"/>
      <c r="S394" s="60"/>
      <c r="U394" s="93" t="b">
        <v>1</v>
      </c>
      <c r="Z394" t="b">
        <v>0</v>
      </c>
    </row>
    <row r="395" hidden="1">
      <c r="A395" s="99">
        <v>304.0</v>
      </c>
      <c r="B395" s="6" t="s">
        <v>241</v>
      </c>
      <c r="C395" s="99" t="s">
        <v>342</v>
      </c>
      <c r="D395" s="99" t="s">
        <v>3770</v>
      </c>
      <c r="E395" s="99" t="s">
        <v>346</v>
      </c>
      <c r="F395" s="99" t="s">
        <v>3816</v>
      </c>
      <c r="G395" s="99" t="s">
        <v>437</v>
      </c>
      <c r="H395" s="99" t="s">
        <v>189</v>
      </c>
      <c r="I395" s="99" t="s">
        <v>585</v>
      </c>
      <c r="J395" s="104"/>
      <c r="K395" s="66" t="str">
        <f>IFNA(VLOOKUP(D395,'EAN Codes'!A:C,2,False),"")</f>
        <v>5907615808333</v>
      </c>
      <c r="L395" s="35"/>
      <c r="M395" s="119"/>
      <c r="N395" s="99"/>
      <c r="O395" s="99"/>
      <c r="P395" s="99"/>
      <c r="Q395" s="99"/>
      <c r="R395" s="99"/>
      <c r="S395" s="104"/>
      <c r="T395" s="99"/>
      <c r="U395" s="93" t="b">
        <v>1</v>
      </c>
      <c r="V395" s="99" t="s">
        <v>3822</v>
      </c>
      <c r="Z395" t="b">
        <v>0</v>
      </c>
    </row>
    <row r="396" hidden="1">
      <c r="A396" s="99">
        <v>344.0</v>
      </c>
      <c r="B396" s="6" t="s">
        <v>241</v>
      </c>
      <c r="C396" s="99" t="s">
        <v>342</v>
      </c>
      <c r="D396" s="99" t="s">
        <v>3770</v>
      </c>
      <c r="E396" s="99" t="s">
        <v>346</v>
      </c>
      <c r="F396" s="99" t="s">
        <v>3809</v>
      </c>
      <c r="G396" s="99" t="s">
        <v>437</v>
      </c>
      <c r="H396" s="99" t="s">
        <v>189</v>
      </c>
      <c r="I396" s="99" t="s">
        <v>626</v>
      </c>
      <c r="J396" s="104"/>
      <c r="K396" s="66" t="str">
        <f>IFNA(VLOOKUP(D396,'EAN Codes'!A:C,2,False),"")</f>
        <v>5907615808333</v>
      </c>
      <c r="L396" s="6"/>
      <c r="M396" s="67"/>
      <c r="S396" s="60"/>
      <c r="U396" s="93" t="b">
        <v>1</v>
      </c>
      <c r="Z396" t="b">
        <v>0</v>
      </c>
    </row>
    <row r="397" hidden="1">
      <c r="A397" s="99">
        <v>549.0</v>
      </c>
      <c r="B397" s="99" t="s">
        <v>241</v>
      </c>
      <c r="C397" s="99" t="s">
        <v>342</v>
      </c>
      <c r="D397" s="99" t="s">
        <v>3770</v>
      </c>
      <c r="E397" s="99" t="s">
        <v>346</v>
      </c>
      <c r="F397" s="99" t="s">
        <v>3823</v>
      </c>
      <c r="G397" s="99" t="s">
        <v>497</v>
      </c>
      <c r="H397" s="99" t="s">
        <v>189</v>
      </c>
      <c r="I397" s="99" t="s">
        <v>626</v>
      </c>
      <c r="J397" s="104"/>
      <c r="K397" s="66" t="str">
        <f>IFNA(VLOOKUP(D397,'EAN Codes'!A:C,2,False),"")</f>
        <v>5907615808333</v>
      </c>
      <c r="L397" s="99"/>
      <c r="M397" s="119"/>
      <c r="N397" s="99"/>
      <c r="O397" s="99"/>
      <c r="P397" s="99"/>
      <c r="Q397" s="99"/>
      <c r="R397" s="99"/>
      <c r="S397" s="104"/>
      <c r="T397" s="99"/>
      <c r="U397" s="93" t="b">
        <v>1</v>
      </c>
      <c r="V397" s="99" t="s">
        <v>3824</v>
      </c>
      <c r="Z397" t="b">
        <v>0</v>
      </c>
    </row>
    <row r="398" hidden="1">
      <c r="A398" s="99">
        <v>550.0</v>
      </c>
      <c r="B398" s="99" t="s">
        <v>241</v>
      </c>
      <c r="C398" s="99" t="s">
        <v>342</v>
      </c>
      <c r="D398" s="99" t="s">
        <v>3745</v>
      </c>
      <c r="E398" s="99" t="s">
        <v>373</v>
      </c>
      <c r="F398" s="99" t="s">
        <v>3823</v>
      </c>
      <c r="G398" s="99" t="s">
        <v>497</v>
      </c>
      <c r="H398" s="99" t="s">
        <v>189</v>
      </c>
      <c r="I398" s="99" t="s">
        <v>530</v>
      </c>
      <c r="J398" s="104"/>
      <c r="K398" s="66" t="str">
        <f>IFNA(VLOOKUP(D398,'EAN Codes'!A:C,2,False),"")</f>
        <v>5907615808340</v>
      </c>
      <c r="L398" s="6"/>
      <c r="M398" s="145"/>
      <c r="N398" s="35"/>
      <c r="O398" s="35"/>
      <c r="P398" s="35"/>
      <c r="Q398" s="35"/>
      <c r="R398" s="35"/>
      <c r="S398" s="146"/>
      <c r="T398" s="35"/>
      <c r="U398" s="93" t="b">
        <v>1</v>
      </c>
      <c r="V398" s="35" t="s">
        <v>3825</v>
      </c>
      <c r="Z398" t="b">
        <v>0</v>
      </c>
    </row>
    <row r="399" hidden="1">
      <c r="A399" s="99">
        <v>548.0</v>
      </c>
      <c r="B399" s="99" t="s">
        <v>241</v>
      </c>
      <c r="C399" s="99" t="s">
        <v>342</v>
      </c>
      <c r="D399" s="99" t="s">
        <v>3770</v>
      </c>
      <c r="E399" s="99" t="s">
        <v>346</v>
      </c>
      <c r="F399" s="99" t="s">
        <v>3823</v>
      </c>
      <c r="G399" s="99" t="s">
        <v>497</v>
      </c>
      <c r="H399" s="99" t="s">
        <v>189</v>
      </c>
      <c r="I399" s="99" t="s">
        <v>819</v>
      </c>
      <c r="J399" s="104"/>
      <c r="K399" s="66" t="str">
        <f>IFNA(VLOOKUP(D399,'EAN Codes'!A:C,2,False),"")</f>
        <v>5907615808333</v>
      </c>
      <c r="L399" s="99"/>
      <c r="M399" s="119"/>
      <c r="N399" s="99"/>
      <c r="O399" s="99"/>
      <c r="P399" s="99"/>
      <c r="Q399" s="99"/>
      <c r="R399" s="99"/>
      <c r="S399" s="104"/>
      <c r="T399" s="99"/>
      <c r="U399" s="93" t="b">
        <v>1</v>
      </c>
      <c r="V399" s="99" t="s">
        <v>3826</v>
      </c>
      <c r="Z399" t="b">
        <v>0</v>
      </c>
    </row>
    <row r="400" hidden="1">
      <c r="A400" s="86">
        <v>428.0</v>
      </c>
      <c r="B400" s="86" t="s">
        <v>241</v>
      </c>
      <c r="C400" s="86" t="s">
        <v>342</v>
      </c>
      <c r="D400" s="86" t="s">
        <v>3745</v>
      </c>
      <c r="E400" s="86" t="s">
        <v>409</v>
      </c>
      <c r="F400" s="86" t="s">
        <v>3827</v>
      </c>
      <c r="G400" s="86" t="s">
        <v>437</v>
      </c>
      <c r="H400" s="86" t="s">
        <v>189</v>
      </c>
      <c r="I400" s="86" t="s">
        <v>570</v>
      </c>
      <c r="J400" s="88"/>
      <c r="K400" s="66" t="str">
        <f>IFNA(VLOOKUP(D400,'EAN Codes'!A:C,2,False),"")</f>
        <v>5907615808340</v>
      </c>
      <c r="L400" s="6"/>
      <c r="M400" s="159"/>
      <c r="N400" s="160"/>
      <c r="O400" s="160"/>
      <c r="P400" s="160"/>
      <c r="Q400" s="160"/>
      <c r="R400" s="160"/>
      <c r="S400" s="161"/>
      <c r="T400" s="160"/>
      <c r="U400" s="93" t="b">
        <v>1</v>
      </c>
      <c r="V400" s="160" t="s">
        <v>3828</v>
      </c>
      <c r="Z400" t="b">
        <v>0</v>
      </c>
    </row>
    <row r="401" hidden="1">
      <c r="A401" s="99">
        <v>474.0</v>
      </c>
      <c r="B401" s="86" t="s">
        <v>241</v>
      </c>
      <c r="C401" s="86" t="s">
        <v>342</v>
      </c>
      <c r="D401" s="86" t="s">
        <v>3770</v>
      </c>
      <c r="E401" s="86" t="s">
        <v>346</v>
      </c>
      <c r="F401" s="86" t="s">
        <v>3827</v>
      </c>
      <c r="G401" s="86" t="s">
        <v>437</v>
      </c>
      <c r="H401" s="86" t="s">
        <v>189</v>
      </c>
      <c r="I401" s="99" t="s">
        <v>1328</v>
      </c>
      <c r="J401" s="104"/>
      <c r="K401" s="66" t="str">
        <f>IFNA(VLOOKUP(D401,'EAN Codes'!A:C,2,False),"")</f>
        <v>5907615808333</v>
      </c>
      <c r="L401" s="6"/>
      <c r="M401" s="145"/>
      <c r="N401" s="35"/>
      <c r="O401" s="35"/>
      <c r="P401" s="35"/>
      <c r="Q401" s="35"/>
      <c r="R401" s="35"/>
      <c r="S401" s="146"/>
      <c r="T401" s="35"/>
      <c r="U401" s="93" t="b">
        <v>1</v>
      </c>
      <c r="V401" s="35" t="s">
        <v>3829</v>
      </c>
      <c r="Z401" t="b">
        <v>0</v>
      </c>
    </row>
    <row r="402" hidden="1">
      <c r="A402" s="86">
        <v>426.0</v>
      </c>
      <c r="B402" s="86" t="s">
        <v>241</v>
      </c>
      <c r="C402" s="86" t="s">
        <v>342</v>
      </c>
      <c r="D402" s="86" t="s">
        <v>3770</v>
      </c>
      <c r="E402" s="86" t="s">
        <v>346</v>
      </c>
      <c r="F402" s="86" t="s">
        <v>3827</v>
      </c>
      <c r="G402" s="86" t="s">
        <v>437</v>
      </c>
      <c r="H402" s="86" t="s">
        <v>189</v>
      </c>
      <c r="I402" s="86" t="s">
        <v>680</v>
      </c>
      <c r="J402" s="88"/>
      <c r="K402" s="66" t="str">
        <f>IFNA(VLOOKUP(D402,'EAN Codes'!A:C,2,False),"")</f>
        <v>5907615808333</v>
      </c>
      <c r="L402" s="160"/>
      <c r="M402" s="262"/>
      <c r="N402" s="115"/>
      <c r="O402" s="115"/>
      <c r="P402" s="115"/>
      <c r="Q402" s="115"/>
      <c r="R402" s="115"/>
      <c r="S402" s="263"/>
      <c r="T402" s="115"/>
      <c r="U402" s="93" t="b">
        <v>1</v>
      </c>
      <c r="V402" s="115"/>
      <c r="Z402" t="b">
        <v>0</v>
      </c>
    </row>
    <row r="403" hidden="1">
      <c r="A403" s="86">
        <v>427.0</v>
      </c>
      <c r="B403" s="86" t="s">
        <v>241</v>
      </c>
      <c r="C403" s="86" t="s">
        <v>342</v>
      </c>
      <c r="D403" s="86" t="s">
        <v>3770</v>
      </c>
      <c r="E403" s="86" t="s">
        <v>346</v>
      </c>
      <c r="F403" s="86" t="s">
        <v>3827</v>
      </c>
      <c r="G403" s="86" t="s">
        <v>437</v>
      </c>
      <c r="H403" s="86" t="s">
        <v>189</v>
      </c>
      <c r="I403" s="86" t="s">
        <v>680</v>
      </c>
      <c r="J403" s="88"/>
      <c r="K403" s="66" t="str">
        <f>IFNA(VLOOKUP(D403,'EAN Codes'!A:C,2,False),"")</f>
        <v>5907615808333</v>
      </c>
      <c r="L403" s="6"/>
      <c r="M403" s="159"/>
      <c r="N403" s="160"/>
      <c r="O403" s="160"/>
      <c r="P403" s="160"/>
      <c r="Q403" s="160"/>
      <c r="R403" s="160"/>
      <c r="S403" s="161"/>
      <c r="T403" s="160"/>
      <c r="U403" s="93" t="b">
        <v>1</v>
      </c>
      <c r="V403" s="160" t="s">
        <v>3830</v>
      </c>
      <c r="Z403" t="b">
        <v>0</v>
      </c>
    </row>
    <row r="404" hidden="1">
      <c r="A404" s="99">
        <v>429.0</v>
      </c>
      <c r="B404" s="99" t="s">
        <v>241</v>
      </c>
      <c r="C404" s="99" t="s">
        <v>342</v>
      </c>
      <c r="D404" s="99" t="s">
        <v>3745</v>
      </c>
      <c r="E404" s="99" t="s">
        <v>409</v>
      </c>
      <c r="F404" s="99" t="s">
        <v>3827</v>
      </c>
      <c r="G404" s="99" t="s">
        <v>437</v>
      </c>
      <c r="H404" s="86" t="s">
        <v>189</v>
      </c>
      <c r="I404" s="99" t="s">
        <v>680</v>
      </c>
      <c r="J404" s="104"/>
      <c r="K404" s="66" t="str">
        <f>IFNA(VLOOKUP(D404,'EAN Codes'!A:C,2,False),"")</f>
        <v>5907615808340</v>
      </c>
      <c r="L404" s="99"/>
      <c r="M404" s="119"/>
      <c r="N404" s="99"/>
      <c r="O404" s="99"/>
      <c r="P404" s="99"/>
      <c r="Q404" s="99"/>
      <c r="R404" s="99"/>
      <c r="S404" s="104"/>
      <c r="T404" s="99"/>
      <c r="U404" s="93" t="b">
        <v>1</v>
      </c>
      <c r="V404" s="99" t="s">
        <v>3831</v>
      </c>
      <c r="Z404" t="b">
        <v>0</v>
      </c>
    </row>
    <row r="405" hidden="1">
      <c r="A405" s="99">
        <v>433.0</v>
      </c>
      <c r="B405" s="86" t="s">
        <v>241</v>
      </c>
      <c r="C405" s="86" t="s">
        <v>1250</v>
      </c>
      <c r="D405" s="86" t="s">
        <v>3832</v>
      </c>
      <c r="E405" s="99" t="s">
        <v>346</v>
      </c>
      <c r="F405" s="86" t="s">
        <v>3827</v>
      </c>
      <c r="G405" s="86" t="s">
        <v>437</v>
      </c>
      <c r="H405" s="99" t="s">
        <v>189</v>
      </c>
      <c r="I405" s="99" t="s">
        <v>1863</v>
      </c>
      <c r="J405" s="104"/>
      <c r="K405" s="66" t="str">
        <f>IFNA(VLOOKUP(D405,'EAN Codes'!A:C,2,False),"")</f>
        <v>8058772223242</v>
      </c>
      <c r="L405" s="6"/>
      <c r="M405" s="145"/>
      <c r="N405" s="35"/>
      <c r="O405" s="35"/>
      <c r="P405" s="35"/>
      <c r="Q405" s="35"/>
      <c r="R405" s="35"/>
      <c r="S405" s="146"/>
      <c r="T405" s="35"/>
      <c r="U405" s="93" t="b">
        <v>1</v>
      </c>
      <c r="V405" s="35" t="s">
        <v>3833</v>
      </c>
      <c r="Z405" t="b">
        <v>0</v>
      </c>
    </row>
    <row r="406" hidden="1">
      <c r="A406" s="99">
        <v>2.0</v>
      </c>
      <c r="B406" s="86"/>
      <c r="C406" s="86" t="s">
        <v>342</v>
      </c>
      <c r="D406" s="86" t="s">
        <v>3834</v>
      </c>
      <c r="E406" s="86" t="s">
        <v>346</v>
      </c>
      <c r="F406" s="86" t="s">
        <v>3835</v>
      </c>
      <c r="G406" s="86" t="s">
        <v>1005</v>
      </c>
      <c r="H406" s="99" t="s">
        <v>512</v>
      </c>
      <c r="I406" s="86" t="s">
        <v>458</v>
      </c>
      <c r="J406" s="88"/>
      <c r="K406" s="66" t="str">
        <f>IFNA(VLOOKUP(D406,'EAN Codes'!A:C,2,False),"")</f>
        <v>5907615808586</v>
      </c>
      <c r="L406" s="160"/>
      <c r="M406" s="92"/>
      <c r="N406" s="86"/>
      <c r="O406" s="86"/>
      <c r="P406" s="86"/>
      <c r="Q406" s="86"/>
      <c r="R406" s="86"/>
      <c r="S406" s="88"/>
      <c r="T406" s="86"/>
      <c r="U406" s="93" t="b">
        <v>1</v>
      </c>
      <c r="V406" s="86"/>
      <c r="W406" s="115"/>
      <c r="Z406" t="b">
        <v>0</v>
      </c>
    </row>
    <row r="407" hidden="1">
      <c r="A407" s="99">
        <v>841.0</v>
      </c>
      <c r="B407" s="99" t="s">
        <v>241</v>
      </c>
      <c r="C407" s="99" t="s">
        <v>1813</v>
      </c>
      <c r="D407" s="99" t="s">
        <v>3836</v>
      </c>
      <c r="E407" s="217" t="s">
        <v>346</v>
      </c>
      <c r="F407" s="99" t="s">
        <v>3837</v>
      </c>
      <c r="G407" s="99" t="s">
        <v>3515</v>
      </c>
      <c r="H407" s="99" t="s">
        <v>189</v>
      </c>
      <c r="I407" s="99" t="s">
        <v>1328</v>
      </c>
      <c r="J407" s="104"/>
      <c r="K407" s="66" t="str">
        <f>IFNA(VLOOKUP(D407,'EAN Codes'!A:C,2,False),"")</f>
        <v/>
      </c>
      <c r="L407" s="101"/>
      <c r="M407" s="83"/>
      <c r="N407" s="6"/>
      <c r="O407" s="6"/>
      <c r="P407" s="6"/>
      <c r="Q407" s="6"/>
      <c r="R407" s="6"/>
      <c r="S407" s="84"/>
      <c r="T407" s="6"/>
      <c r="U407" s="93" t="b">
        <v>1</v>
      </c>
      <c r="V407" s="6" t="s">
        <v>3838</v>
      </c>
      <c r="Z407" t="b">
        <v>0</v>
      </c>
    </row>
    <row r="408" hidden="1">
      <c r="A408" s="99">
        <v>814.0</v>
      </c>
      <c r="B408" s="99" t="s">
        <v>241</v>
      </c>
      <c r="C408" s="99" t="s">
        <v>342</v>
      </c>
      <c r="D408" s="99" t="s">
        <v>3770</v>
      </c>
      <c r="E408" s="99" t="s">
        <v>346</v>
      </c>
      <c r="F408" s="99" t="s">
        <v>3839</v>
      </c>
      <c r="G408" s="101"/>
      <c r="H408" s="99" t="s">
        <v>3840</v>
      </c>
      <c r="I408" s="101"/>
      <c r="J408" s="110"/>
      <c r="K408" s="66" t="str">
        <f>IFNA(VLOOKUP(D408,'EAN Codes'!A:C,2,False),"")</f>
        <v>5907615808333</v>
      </c>
      <c r="L408" s="101"/>
      <c r="M408" s="119"/>
      <c r="N408" s="99"/>
      <c r="O408" s="99"/>
      <c r="P408" s="99"/>
      <c r="Q408" s="99"/>
      <c r="R408" s="99"/>
      <c r="S408" s="104"/>
      <c r="T408" s="99"/>
      <c r="U408" s="93" t="b">
        <v>1</v>
      </c>
      <c r="V408" s="99" t="s">
        <v>3841</v>
      </c>
      <c r="Z408" t="b">
        <v>0</v>
      </c>
    </row>
    <row r="409" hidden="1">
      <c r="A409" s="86">
        <v>740.0</v>
      </c>
      <c r="B409" s="86" t="s">
        <v>241</v>
      </c>
      <c r="C409" s="86" t="s">
        <v>342</v>
      </c>
      <c r="D409" s="86" t="s">
        <v>3770</v>
      </c>
      <c r="E409" s="86" t="s">
        <v>346</v>
      </c>
      <c r="F409" s="86" t="s">
        <v>3839</v>
      </c>
      <c r="G409" s="86"/>
      <c r="H409" s="86" t="s">
        <v>614</v>
      </c>
      <c r="I409" s="91"/>
      <c r="J409" s="97"/>
      <c r="K409" s="66" t="str">
        <f>IFNA(VLOOKUP(D409,'EAN Codes'!A:C,2,False),"")</f>
        <v>5907615808333</v>
      </c>
      <c r="L409" s="91"/>
      <c r="M409" s="92"/>
      <c r="N409" s="86"/>
      <c r="O409" s="86"/>
      <c r="P409" s="86"/>
      <c r="Q409" s="86"/>
      <c r="R409" s="86"/>
      <c r="S409" s="88"/>
      <c r="T409" s="86"/>
      <c r="U409" s="93" t="b">
        <v>1</v>
      </c>
      <c r="V409" s="86" t="s">
        <v>3842</v>
      </c>
      <c r="Z409" t="b">
        <v>0</v>
      </c>
    </row>
    <row r="410" hidden="1">
      <c r="A410" s="86">
        <v>834.0</v>
      </c>
      <c r="B410" s="86" t="s">
        <v>241</v>
      </c>
      <c r="C410" s="86" t="s">
        <v>342</v>
      </c>
      <c r="D410" s="86" t="s">
        <v>3770</v>
      </c>
      <c r="E410" s="86" t="s">
        <v>346</v>
      </c>
      <c r="F410" s="86" t="s">
        <v>3839</v>
      </c>
      <c r="G410" s="91"/>
      <c r="H410" s="99" t="s">
        <v>189</v>
      </c>
      <c r="I410" s="91"/>
      <c r="J410" s="97"/>
      <c r="K410" s="66" t="str">
        <f>IFNA(VLOOKUP(D410,'EAN Codes'!A:C,2,False),"")</f>
        <v>5907615808333</v>
      </c>
      <c r="L410" s="91"/>
      <c r="M410" s="92"/>
      <c r="N410" s="86"/>
      <c r="O410" s="86"/>
      <c r="P410" s="86"/>
      <c r="Q410" s="86"/>
      <c r="R410" s="86"/>
      <c r="S410" s="88"/>
      <c r="T410" s="86"/>
      <c r="U410" s="93" t="b">
        <v>1</v>
      </c>
      <c r="V410" s="86" t="s">
        <v>3843</v>
      </c>
      <c r="Z410" t="b">
        <v>0</v>
      </c>
    </row>
    <row r="411" hidden="1">
      <c r="A411" s="99">
        <v>827.0</v>
      </c>
      <c r="B411" s="99" t="s">
        <v>3844</v>
      </c>
      <c r="C411" s="99" t="s">
        <v>2768</v>
      </c>
      <c r="D411" s="99">
        <v>201613.0</v>
      </c>
      <c r="E411" s="101"/>
      <c r="F411" s="99" t="s">
        <v>3839</v>
      </c>
      <c r="G411" s="101"/>
      <c r="H411" s="99" t="s">
        <v>189</v>
      </c>
      <c r="I411" s="99" t="s">
        <v>498</v>
      </c>
      <c r="J411" s="104"/>
      <c r="K411" s="66" t="str">
        <f>IFNA(VLOOKUP(D411,'EAN Codes'!A:C,2,False),"")</f>
        <v/>
      </c>
      <c r="L411" s="101"/>
      <c r="M411" s="119"/>
      <c r="N411" s="99"/>
      <c r="O411" s="99"/>
      <c r="P411" s="99"/>
      <c r="Q411" s="99"/>
      <c r="R411" s="99"/>
      <c r="S411" s="104"/>
      <c r="T411" s="99"/>
      <c r="U411" s="93" t="b">
        <v>1</v>
      </c>
      <c r="V411" s="99" t="s">
        <v>3845</v>
      </c>
      <c r="Z411" t="b">
        <v>0</v>
      </c>
    </row>
    <row r="412" hidden="1">
      <c r="A412" s="99">
        <v>856.0</v>
      </c>
      <c r="B412" s="99" t="s">
        <v>241</v>
      </c>
      <c r="C412" s="99" t="s">
        <v>342</v>
      </c>
      <c r="D412" s="99" t="s">
        <v>3770</v>
      </c>
      <c r="E412" s="99" t="s">
        <v>346</v>
      </c>
      <c r="F412" s="99" t="s">
        <v>3846</v>
      </c>
      <c r="G412" s="99" t="s">
        <v>3786</v>
      </c>
      <c r="H412" s="99" t="s">
        <v>542</v>
      </c>
      <c r="I412" s="99"/>
      <c r="J412" s="104"/>
      <c r="K412" s="66" t="str">
        <f>IFNA(VLOOKUP(D412,'EAN Codes'!A:C,2,False),"")</f>
        <v>5907615808333</v>
      </c>
      <c r="L412" s="101"/>
      <c r="M412" s="119"/>
      <c r="N412" s="99"/>
      <c r="O412" s="99"/>
      <c r="P412" s="99"/>
      <c r="Q412" s="99"/>
      <c r="R412" s="99"/>
      <c r="S412" s="104"/>
      <c r="T412" s="99"/>
      <c r="U412" s="93" t="b">
        <v>1</v>
      </c>
      <c r="V412" s="99" t="s">
        <v>3847</v>
      </c>
      <c r="Z412" t="b">
        <v>0</v>
      </c>
    </row>
    <row r="413" hidden="1">
      <c r="A413" s="86">
        <v>802.0</v>
      </c>
      <c r="B413" s="99" t="s">
        <v>241</v>
      </c>
      <c r="C413" s="99" t="s">
        <v>342</v>
      </c>
      <c r="D413" s="99" t="s">
        <v>3770</v>
      </c>
      <c r="E413" s="99" t="s">
        <v>346</v>
      </c>
      <c r="F413" s="99" t="s">
        <v>3848</v>
      </c>
      <c r="G413" s="99" t="s">
        <v>3849</v>
      </c>
      <c r="H413" s="99" t="s">
        <v>189</v>
      </c>
      <c r="I413" s="99" t="s">
        <v>570</v>
      </c>
      <c r="J413" s="104"/>
      <c r="K413" s="66" t="str">
        <f>IFNA(VLOOKUP(D413,'EAN Codes'!A:C,2,False),"")</f>
        <v>5907615808333</v>
      </c>
      <c r="L413" s="82"/>
      <c r="M413" s="67"/>
      <c r="S413" s="60"/>
      <c r="U413" s="93" t="b">
        <v>1</v>
      </c>
      <c r="Z413" t="b">
        <v>0</v>
      </c>
    </row>
    <row r="414" hidden="1">
      <c r="A414" s="86">
        <v>778.0</v>
      </c>
      <c r="B414" s="99" t="s">
        <v>241</v>
      </c>
      <c r="C414" s="99" t="s">
        <v>1217</v>
      </c>
      <c r="D414" s="99" t="s">
        <v>3850</v>
      </c>
      <c r="E414" s="99" t="s">
        <v>409</v>
      </c>
      <c r="F414" s="99" t="s">
        <v>3851</v>
      </c>
      <c r="G414" s="99" t="s">
        <v>3452</v>
      </c>
      <c r="H414" s="99" t="s">
        <v>189</v>
      </c>
      <c r="I414" s="99" t="s">
        <v>570</v>
      </c>
      <c r="J414" s="104"/>
      <c r="K414" s="66" t="str">
        <f>IFNA(VLOOKUP(D414,'EAN Codes'!A:C,2,False),"")</f>
        <v>27824</v>
      </c>
      <c r="L414" s="35"/>
      <c r="M414" s="83"/>
      <c r="N414" s="6"/>
      <c r="O414" s="6"/>
      <c r="P414" s="6"/>
      <c r="Q414" s="6"/>
      <c r="R414" s="6"/>
      <c r="S414" s="84"/>
      <c r="T414" s="6"/>
      <c r="U414" s="93" t="b">
        <v>1</v>
      </c>
      <c r="V414" s="6" t="s">
        <v>3852</v>
      </c>
      <c r="Z414" t="b">
        <v>0</v>
      </c>
    </row>
    <row r="415" hidden="1">
      <c r="A415" s="86">
        <v>779.0</v>
      </c>
      <c r="B415" s="99" t="s">
        <v>241</v>
      </c>
      <c r="C415" s="99" t="s">
        <v>1217</v>
      </c>
      <c r="D415" s="99" t="s">
        <v>3850</v>
      </c>
      <c r="E415" s="99" t="s">
        <v>409</v>
      </c>
      <c r="F415" s="99" t="s">
        <v>3851</v>
      </c>
      <c r="G415" s="99" t="s">
        <v>3452</v>
      </c>
      <c r="H415" s="99" t="s">
        <v>189</v>
      </c>
      <c r="I415" s="99" t="s">
        <v>570</v>
      </c>
      <c r="J415" s="104"/>
      <c r="K415" s="66" t="str">
        <f>IFNA(VLOOKUP(D415,'EAN Codes'!A:C,2,False),"")</f>
        <v>27824</v>
      </c>
      <c r="L415" s="35"/>
      <c r="M415" s="83"/>
      <c r="N415" s="6"/>
      <c r="O415" s="6"/>
      <c r="P415" s="6"/>
      <c r="Q415" s="6"/>
      <c r="R415" s="6"/>
      <c r="S415" s="84"/>
      <c r="T415" s="6"/>
      <c r="U415" s="93" t="b">
        <v>1</v>
      </c>
      <c r="V415" s="6" t="s">
        <v>3853</v>
      </c>
      <c r="Z415" t="b">
        <v>0</v>
      </c>
    </row>
    <row r="416" hidden="1">
      <c r="A416" s="99">
        <v>780.0</v>
      </c>
      <c r="B416" s="99" t="s">
        <v>241</v>
      </c>
      <c r="C416" s="99" t="s">
        <v>1217</v>
      </c>
      <c r="D416" s="99" t="s">
        <v>3850</v>
      </c>
      <c r="E416" s="99" t="s">
        <v>409</v>
      </c>
      <c r="F416" s="99" t="s">
        <v>3851</v>
      </c>
      <c r="G416" s="99" t="s">
        <v>3452</v>
      </c>
      <c r="H416" s="99" t="s">
        <v>189</v>
      </c>
      <c r="I416" s="99" t="s">
        <v>1328</v>
      </c>
      <c r="J416" s="104"/>
      <c r="K416" s="66" t="str">
        <f>IFNA(VLOOKUP(D416,'EAN Codes'!A:C,2,False),"")</f>
        <v>27824</v>
      </c>
      <c r="L416" s="35"/>
      <c r="M416" s="83"/>
      <c r="N416" s="6"/>
      <c r="O416" s="6"/>
      <c r="P416" s="6"/>
      <c r="Q416" s="6"/>
      <c r="R416" s="6"/>
      <c r="S416" s="84"/>
      <c r="T416" s="6"/>
      <c r="U416" s="93" t="b">
        <v>1</v>
      </c>
      <c r="V416" s="6" t="s">
        <v>3854</v>
      </c>
      <c r="Z416" t="b">
        <v>0</v>
      </c>
    </row>
    <row r="417" hidden="1">
      <c r="A417" s="86">
        <v>781.0</v>
      </c>
      <c r="B417" s="99" t="s">
        <v>241</v>
      </c>
      <c r="C417" s="99" t="s">
        <v>1217</v>
      </c>
      <c r="D417" s="99" t="s">
        <v>3850</v>
      </c>
      <c r="E417" s="99" t="s">
        <v>409</v>
      </c>
      <c r="F417" s="99" t="s">
        <v>3851</v>
      </c>
      <c r="G417" s="99" t="s">
        <v>3452</v>
      </c>
      <c r="H417" s="99" t="s">
        <v>189</v>
      </c>
      <c r="I417" s="99" t="s">
        <v>1328</v>
      </c>
      <c r="J417" s="104"/>
      <c r="K417" s="66" t="str">
        <f>IFNA(VLOOKUP(D417,'EAN Codes'!A:C,2,False),"")</f>
        <v>27824</v>
      </c>
      <c r="L417" s="99"/>
      <c r="M417" s="119"/>
      <c r="N417" s="99"/>
      <c r="O417" s="99"/>
      <c r="P417" s="99"/>
      <c r="Q417" s="99"/>
      <c r="R417" s="99"/>
      <c r="S417" s="104"/>
      <c r="T417" s="99"/>
      <c r="U417" s="93" t="b">
        <v>1</v>
      </c>
      <c r="V417" s="99" t="s">
        <v>3855</v>
      </c>
      <c r="Z417" t="b">
        <v>0</v>
      </c>
    </row>
    <row r="418" hidden="1">
      <c r="A418" s="86">
        <v>776.0</v>
      </c>
      <c r="B418" s="99" t="s">
        <v>241</v>
      </c>
      <c r="C418" s="99" t="s">
        <v>1217</v>
      </c>
      <c r="D418" s="99" t="s">
        <v>3798</v>
      </c>
      <c r="E418" s="99" t="s">
        <v>346</v>
      </c>
      <c r="F418" s="99" t="s">
        <v>3851</v>
      </c>
      <c r="G418" s="99" t="s">
        <v>3452</v>
      </c>
      <c r="H418" s="99" t="s">
        <v>189</v>
      </c>
      <c r="I418" s="99" t="s">
        <v>570</v>
      </c>
      <c r="J418" s="104"/>
      <c r="K418" s="66" t="str">
        <f>IFNA(VLOOKUP(D418,'EAN Codes'!A:C,2,False),"")</f>
        <v>25479</v>
      </c>
      <c r="L418" s="99"/>
      <c r="M418" s="83"/>
      <c r="N418" s="6"/>
      <c r="O418" s="6"/>
      <c r="P418" s="6"/>
      <c r="Q418" s="6"/>
      <c r="R418" s="6"/>
      <c r="S418" s="84"/>
      <c r="T418" s="6"/>
      <c r="U418" s="93" t="b">
        <v>1</v>
      </c>
      <c r="V418" s="6" t="s">
        <v>3856</v>
      </c>
      <c r="Z418" t="b">
        <v>0</v>
      </c>
    </row>
    <row r="419" hidden="1">
      <c r="A419" s="99">
        <v>3.0</v>
      </c>
      <c r="B419" s="99" t="s">
        <v>181</v>
      </c>
      <c r="C419" s="99" t="s">
        <v>731</v>
      </c>
      <c r="D419" s="99" t="s">
        <v>3857</v>
      </c>
      <c r="E419" s="99" t="s">
        <v>733</v>
      </c>
      <c r="F419" s="99" t="s">
        <v>3858</v>
      </c>
      <c r="G419" s="99" t="s">
        <v>3859</v>
      </c>
      <c r="H419" s="99" t="s">
        <v>189</v>
      </c>
      <c r="J419" s="60"/>
      <c r="K419" s="66" t="str">
        <f>IFNA(VLOOKUP(D419,'EAN Codes'!A:C,2,False),"")</f>
        <v/>
      </c>
      <c r="M419" s="67"/>
      <c r="S419" s="60"/>
      <c r="U419" s="93" t="b">
        <v>1</v>
      </c>
      <c r="Z419" t="b">
        <v>0</v>
      </c>
    </row>
    <row r="420" hidden="1">
      <c r="A420" s="99">
        <v>949.0</v>
      </c>
      <c r="B420" s="99" t="s">
        <v>241</v>
      </c>
      <c r="C420" s="99" t="s">
        <v>342</v>
      </c>
      <c r="D420" s="99" t="s">
        <v>3770</v>
      </c>
      <c r="E420" s="99" t="s">
        <v>346</v>
      </c>
      <c r="F420" s="99" t="s">
        <v>3860</v>
      </c>
      <c r="G420" s="99" t="s">
        <v>3861</v>
      </c>
      <c r="H420" s="99" t="s">
        <v>189</v>
      </c>
      <c r="I420" s="99" t="s">
        <v>570</v>
      </c>
      <c r="J420" s="104"/>
      <c r="K420" s="66" t="str">
        <f>IFNA(VLOOKUP(D420,'EAN Codes'!A:C,2,False),"")</f>
        <v>5907615808333</v>
      </c>
      <c r="L420" s="101"/>
      <c r="M420" s="83"/>
      <c r="N420" s="6"/>
      <c r="O420" s="6"/>
      <c r="P420" s="6"/>
      <c r="Q420" s="6"/>
      <c r="R420" s="6"/>
      <c r="S420" s="84"/>
      <c r="T420" s="6"/>
      <c r="U420" s="93" t="b">
        <v>1</v>
      </c>
      <c r="V420" s="6" t="s">
        <v>3862</v>
      </c>
      <c r="Z420" t="b">
        <v>0</v>
      </c>
    </row>
    <row r="421" hidden="1">
      <c r="A421" s="99">
        <v>777.0</v>
      </c>
      <c r="B421" s="99" t="s">
        <v>241</v>
      </c>
      <c r="C421" s="99" t="s">
        <v>3751</v>
      </c>
      <c r="D421" s="99">
        <v>561100.0</v>
      </c>
      <c r="E421" s="99" t="s">
        <v>409</v>
      </c>
      <c r="F421" s="99" t="s">
        <v>3860</v>
      </c>
      <c r="G421" s="99" t="s">
        <v>437</v>
      </c>
      <c r="H421" s="99" t="s">
        <v>189</v>
      </c>
      <c r="I421" s="99" t="s">
        <v>1328</v>
      </c>
      <c r="J421" s="104"/>
      <c r="K421" s="66" t="str">
        <f>IFNA(VLOOKUP(D421,'EAN Codes'!A:C,2,False),"")</f>
        <v/>
      </c>
      <c r="L421" s="99"/>
      <c r="M421" s="83"/>
      <c r="N421" s="6"/>
      <c r="O421" s="6"/>
      <c r="P421" s="6"/>
      <c r="Q421" s="6"/>
      <c r="R421" s="6"/>
      <c r="S421" s="84"/>
      <c r="T421" s="6"/>
      <c r="U421" s="93" t="b">
        <v>1</v>
      </c>
      <c r="V421" s="6" t="s">
        <v>3863</v>
      </c>
      <c r="Z421" t="b">
        <v>0</v>
      </c>
    </row>
    <row r="422" hidden="1">
      <c r="A422" s="99">
        <v>880.0</v>
      </c>
      <c r="B422" s="99" t="s">
        <v>241</v>
      </c>
      <c r="C422" s="99" t="s">
        <v>342</v>
      </c>
      <c r="D422" s="99" t="s">
        <v>3770</v>
      </c>
      <c r="E422" s="99" t="s">
        <v>346</v>
      </c>
      <c r="F422" s="99" t="s">
        <v>3860</v>
      </c>
      <c r="G422" s="99" t="s">
        <v>437</v>
      </c>
      <c r="H422" s="99" t="s">
        <v>189</v>
      </c>
      <c r="I422" s="99" t="s">
        <v>418</v>
      </c>
      <c r="J422" s="104"/>
      <c r="K422" s="66" t="str">
        <f>IFNA(VLOOKUP(D422,'EAN Codes'!A:C,2,False),"")</f>
        <v>5907615808333</v>
      </c>
      <c r="L422" s="101"/>
      <c r="M422" s="119"/>
      <c r="N422" s="99"/>
      <c r="O422" s="99"/>
      <c r="P422" s="99"/>
      <c r="Q422" s="99"/>
      <c r="R422" s="99"/>
      <c r="S422" s="104"/>
      <c r="T422" s="99"/>
      <c r="U422" s="93" t="b">
        <v>1</v>
      </c>
      <c r="V422" s="99" t="s">
        <v>3864</v>
      </c>
      <c r="Z422" t="b">
        <v>0</v>
      </c>
    </row>
    <row r="423" hidden="1">
      <c r="A423" s="99">
        <v>890.0</v>
      </c>
      <c r="B423" s="99" t="s">
        <v>241</v>
      </c>
      <c r="C423" s="99" t="s">
        <v>342</v>
      </c>
      <c r="D423" s="99" t="s">
        <v>3770</v>
      </c>
      <c r="E423" s="99" t="s">
        <v>346</v>
      </c>
      <c r="F423" s="99" t="s">
        <v>3860</v>
      </c>
      <c r="G423" s="99" t="s">
        <v>437</v>
      </c>
      <c r="H423" s="99" t="s">
        <v>189</v>
      </c>
      <c r="I423" s="99" t="s">
        <v>1328</v>
      </c>
      <c r="J423" s="104"/>
      <c r="K423" s="66" t="str">
        <f>IFNA(VLOOKUP(D423,'EAN Codes'!A:C,2,False),"")</f>
        <v>5907615808333</v>
      </c>
      <c r="L423" s="82"/>
      <c r="M423" s="67"/>
      <c r="S423" s="60"/>
      <c r="U423" s="93" t="b">
        <v>1</v>
      </c>
      <c r="Z423" t="b">
        <v>0</v>
      </c>
    </row>
    <row r="424" hidden="1">
      <c r="A424" s="99">
        <v>895.0</v>
      </c>
      <c r="B424" s="99" t="s">
        <v>241</v>
      </c>
      <c r="C424" s="99" t="s">
        <v>342</v>
      </c>
      <c r="D424" s="99" t="s">
        <v>3770</v>
      </c>
      <c r="E424" s="99" t="s">
        <v>346</v>
      </c>
      <c r="F424" s="99" t="s">
        <v>3860</v>
      </c>
      <c r="G424" s="99" t="s">
        <v>3865</v>
      </c>
      <c r="H424" s="99" t="s">
        <v>189</v>
      </c>
      <c r="I424" s="99" t="s">
        <v>680</v>
      </c>
      <c r="J424" s="104"/>
      <c r="K424" s="66" t="str">
        <f>IFNA(VLOOKUP(D424,'EAN Codes'!A:C,2,False),"")</f>
        <v>5907615808333</v>
      </c>
      <c r="L424" s="101"/>
      <c r="M424" s="119"/>
      <c r="N424" s="99"/>
      <c r="O424" s="99"/>
      <c r="P424" s="99"/>
      <c r="Q424" s="99"/>
      <c r="R424" s="99"/>
      <c r="S424" s="104"/>
      <c r="T424" s="99"/>
      <c r="U424" s="93" t="b">
        <v>1</v>
      </c>
      <c r="V424" s="99" t="s">
        <v>3866</v>
      </c>
      <c r="Z424" t="b">
        <v>0</v>
      </c>
    </row>
    <row r="425" hidden="1">
      <c r="A425" s="86">
        <v>652.0</v>
      </c>
      <c r="B425" s="99" t="s">
        <v>241</v>
      </c>
      <c r="C425" s="99" t="s">
        <v>1250</v>
      </c>
      <c r="D425" s="100" t="s">
        <v>3867</v>
      </c>
      <c r="E425" s="99" t="s">
        <v>346</v>
      </c>
      <c r="F425" s="99" t="s">
        <v>3868</v>
      </c>
      <c r="G425" s="99" t="s">
        <v>3869</v>
      </c>
      <c r="H425" s="99" t="s">
        <v>189</v>
      </c>
      <c r="I425" s="99" t="s">
        <v>680</v>
      </c>
      <c r="J425" s="104"/>
      <c r="K425" s="66" t="str">
        <f>IFNA(VLOOKUP(D425,'EAN Codes'!A:C,2,False),"")</f>
        <v>8058772226090</v>
      </c>
      <c r="L425" s="99" t="s">
        <v>269</v>
      </c>
      <c r="M425" s="83"/>
      <c r="N425" s="6"/>
      <c r="O425" s="6"/>
      <c r="P425" s="6"/>
      <c r="Q425" s="6"/>
      <c r="R425" s="6"/>
      <c r="S425" s="84"/>
      <c r="T425" s="6"/>
      <c r="U425" s="93" t="b">
        <v>1</v>
      </c>
      <c r="V425" s="6" t="s">
        <v>3870</v>
      </c>
      <c r="Z425" t="b">
        <v>0</v>
      </c>
    </row>
    <row r="426" hidden="1">
      <c r="A426" s="99">
        <v>198.0</v>
      </c>
      <c r="B426" s="99"/>
      <c r="C426" s="99" t="s">
        <v>342</v>
      </c>
      <c r="D426" s="99" t="s">
        <v>3770</v>
      </c>
      <c r="E426" s="99" t="s">
        <v>346</v>
      </c>
      <c r="F426" s="99" t="s">
        <v>3871</v>
      </c>
      <c r="G426" s="99" t="s">
        <v>497</v>
      </c>
      <c r="H426" s="99" t="s">
        <v>189</v>
      </c>
      <c r="I426" s="99" t="s">
        <v>626</v>
      </c>
      <c r="J426" s="104"/>
      <c r="K426" s="66" t="str">
        <f>IFNA(VLOOKUP(D426,'EAN Codes'!A:C,2,False),"")</f>
        <v>5907615808333</v>
      </c>
      <c r="L426" s="35"/>
      <c r="M426" s="119"/>
      <c r="N426" s="99"/>
      <c r="O426" s="99"/>
      <c r="P426" s="99"/>
      <c r="Q426" s="99"/>
      <c r="R426" s="99"/>
      <c r="S426" s="104"/>
      <c r="T426" s="99"/>
      <c r="U426" s="93" t="b">
        <v>1</v>
      </c>
      <c r="V426" s="99" t="s">
        <v>3872</v>
      </c>
      <c r="Z426" t="b">
        <v>0</v>
      </c>
    </row>
    <row r="427" hidden="1">
      <c r="A427" s="99">
        <v>242.0</v>
      </c>
      <c r="B427" s="99"/>
      <c r="C427" s="99" t="s">
        <v>342</v>
      </c>
      <c r="D427" s="99" t="s">
        <v>3770</v>
      </c>
      <c r="E427" s="99" t="s">
        <v>346</v>
      </c>
      <c r="F427" s="99" t="s">
        <v>3871</v>
      </c>
      <c r="G427" s="99" t="s">
        <v>497</v>
      </c>
      <c r="H427" s="99" t="s">
        <v>189</v>
      </c>
      <c r="I427" s="99" t="s">
        <v>626</v>
      </c>
      <c r="J427" s="104"/>
      <c r="K427" s="66" t="str">
        <f>IFNA(VLOOKUP(D427,'EAN Codes'!A:C,2,False),"")</f>
        <v>5907615808333</v>
      </c>
      <c r="L427" s="35"/>
      <c r="M427" s="83"/>
      <c r="N427" s="6"/>
      <c r="O427" s="6"/>
      <c r="P427" s="6"/>
      <c r="Q427" s="6"/>
      <c r="R427" s="6"/>
      <c r="S427" s="84"/>
      <c r="T427" s="6"/>
      <c r="U427" s="93" t="b">
        <v>1</v>
      </c>
      <c r="V427" s="6" t="s">
        <v>3873</v>
      </c>
      <c r="Z427" t="b">
        <v>0</v>
      </c>
    </row>
    <row r="428" hidden="1">
      <c r="A428" s="6">
        <v>172.0</v>
      </c>
      <c r="B428" s="99"/>
      <c r="C428" s="99" t="s">
        <v>342</v>
      </c>
      <c r="D428" s="99" t="s">
        <v>3770</v>
      </c>
      <c r="E428" s="99" t="s">
        <v>346</v>
      </c>
      <c r="F428" s="99" t="s">
        <v>3871</v>
      </c>
      <c r="G428" s="99" t="s">
        <v>497</v>
      </c>
      <c r="H428" s="99" t="s">
        <v>189</v>
      </c>
      <c r="I428" s="99" t="s">
        <v>418</v>
      </c>
      <c r="J428" s="104"/>
      <c r="K428" s="66" t="str">
        <f>IFNA(VLOOKUP(D428,'EAN Codes'!A:C,2,False),"")</f>
        <v>5907615808333</v>
      </c>
      <c r="L428" s="35"/>
      <c r="M428" s="67"/>
      <c r="S428" s="60"/>
      <c r="U428" s="93" t="b">
        <v>1</v>
      </c>
      <c r="Z428" t="b">
        <v>0</v>
      </c>
    </row>
    <row r="429" hidden="1">
      <c r="A429" s="86">
        <v>535.0</v>
      </c>
      <c r="B429" s="86" t="s">
        <v>241</v>
      </c>
      <c r="C429" s="86" t="s">
        <v>342</v>
      </c>
      <c r="D429" s="86" t="s">
        <v>3770</v>
      </c>
      <c r="E429" s="86" t="s">
        <v>346</v>
      </c>
      <c r="F429" s="86" t="s">
        <v>3874</v>
      </c>
      <c r="G429" s="86" t="s">
        <v>437</v>
      </c>
      <c r="H429" s="86" t="s">
        <v>189</v>
      </c>
      <c r="I429" s="86" t="s">
        <v>1863</v>
      </c>
      <c r="J429" s="88"/>
      <c r="K429" s="66" t="str">
        <f>IFNA(VLOOKUP(D429,'EAN Codes'!A:C,2,False),"")</f>
        <v>5907615808333</v>
      </c>
      <c r="L429" s="86"/>
      <c r="M429" s="83"/>
      <c r="N429" s="6"/>
      <c r="O429" s="6"/>
      <c r="P429" s="6"/>
      <c r="Q429" s="6"/>
      <c r="R429" s="6"/>
      <c r="S429" s="84"/>
      <c r="T429" s="6"/>
      <c r="U429" s="93" t="b">
        <v>1</v>
      </c>
      <c r="V429" s="6" t="s">
        <v>3875</v>
      </c>
      <c r="Z429" t="b">
        <v>0</v>
      </c>
    </row>
    <row r="430" hidden="1">
      <c r="A430" s="91"/>
      <c r="B430" s="86"/>
      <c r="C430" s="86" t="s">
        <v>408</v>
      </c>
      <c r="D430" s="86">
        <v>3.45111600001E11</v>
      </c>
      <c r="E430" s="86" t="s">
        <v>346</v>
      </c>
      <c r="F430" s="86" t="s">
        <v>3876</v>
      </c>
      <c r="G430" s="86" t="s">
        <v>437</v>
      </c>
      <c r="H430" s="86" t="s">
        <v>255</v>
      </c>
      <c r="I430" s="91"/>
      <c r="J430" s="97"/>
      <c r="K430" s="66" t="str">
        <f>IFNA(VLOOKUP(D430,'EAN Codes'!A:C,2,False),"")</f>
        <v/>
      </c>
      <c r="L430" s="86"/>
      <c r="M430" s="92"/>
      <c r="N430" s="86"/>
      <c r="O430" s="86"/>
      <c r="P430" s="86"/>
      <c r="Q430" s="86"/>
      <c r="R430" s="86"/>
      <c r="S430" s="88"/>
      <c r="T430" s="86"/>
      <c r="U430" s="93" t="b">
        <v>1</v>
      </c>
      <c r="V430" s="86" t="s">
        <v>3877</v>
      </c>
      <c r="W430" s="6" t="s">
        <v>3878</v>
      </c>
      <c r="Z430" t="b">
        <v>0</v>
      </c>
    </row>
    <row r="431" hidden="1">
      <c r="A431" s="99">
        <v>134.0</v>
      </c>
      <c r="B431" s="99"/>
      <c r="C431" s="99" t="s">
        <v>342</v>
      </c>
      <c r="D431" s="99" t="s">
        <v>3770</v>
      </c>
      <c r="E431" s="99" t="s">
        <v>346</v>
      </c>
      <c r="F431" s="99" t="s">
        <v>3879</v>
      </c>
      <c r="G431" s="99" t="s">
        <v>437</v>
      </c>
      <c r="H431" s="99" t="s">
        <v>2308</v>
      </c>
      <c r="I431" s="99" t="s">
        <v>1634</v>
      </c>
      <c r="J431" s="104"/>
      <c r="K431" s="66" t="str">
        <f>IFNA(VLOOKUP(D431,'EAN Codes'!A:C,2,False),"")</f>
        <v>5907615808333</v>
      </c>
      <c r="L431" s="35"/>
      <c r="M431" s="67"/>
      <c r="S431" s="60"/>
      <c r="U431" s="93" t="b">
        <v>1</v>
      </c>
      <c r="Z431" t="b">
        <v>0</v>
      </c>
    </row>
    <row r="432" hidden="1">
      <c r="A432" s="99">
        <v>671.0</v>
      </c>
      <c r="B432" s="99" t="s">
        <v>241</v>
      </c>
      <c r="C432" s="86" t="s">
        <v>342</v>
      </c>
      <c r="D432" s="99" t="s">
        <v>3770</v>
      </c>
      <c r="E432" s="99" t="s">
        <v>346</v>
      </c>
      <c r="F432" s="99" t="s">
        <v>3880</v>
      </c>
      <c r="G432" s="99" t="s">
        <v>437</v>
      </c>
      <c r="H432" s="99" t="s">
        <v>1726</v>
      </c>
      <c r="I432" s="99" t="s">
        <v>570</v>
      </c>
      <c r="J432" s="104"/>
      <c r="K432" s="66" t="str">
        <f>IFNA(VLOOKUP(D432,'EAN Codes'!A:C,2,False),"")</f>
        <v>5907615808333</v>
      </c>
      <c r="L432" s="6"/>
      <c r="M432" s="119"/>
      <c r="N432" s="99"/>
      <c r="O432" s="99"/>
      <c r="P432" s="99"/>
      <c r="Q432" s="99"/>
      <c r="R432" s="99"/>
      <c r="S432" s="104"/>
      <c r="T432" s="99"/>
      <c r="U432" s="93" t="b">
        <v>1</v>
      </c>
      <c r="V432" s="99" t="s">
        <v>3881</v>
      </c>
      <c r="Z432" t="b">
        <v>0</v>
      </c>
    </row>
    <row r="433" hidden="1">
      <c r="A433" s="99">
        <v>672.0</v>
      </c>
      <c r="B433" s="99" t="s">
        <v>241</v>
      </c>
      <c r="C433" s="86" t="s">
        <v>342</v>
      </c>
      <c r="D433" s="99" t="s">
        <v>3770</v>
      </c>
      <c r="E433" s="99" t="s">
        <v>346</v>
      </c>
      <c r="F433" s="99" t="s">
        <v>3880</v>
      </c>
      <c r="G433" s="99" t="s">
        <v>437</v>
      </c>
      <c r="H433" s="99" t="s">
        <v>1726</v>
      </c>
      <c r="I433" s="99" t="s">
        <v>3882</v>
      </c>
      <c r="J433" s="104"/>
      <c r="K433" s="66" t="str">
        <f>IFNA(VLOOKUP(D433,'EAN Codes'!A:C,2,False),"")</f>
        <v>5907615808333</v>
      </c>
      <c r="L433" s="6"/>
      <c r="M433" s="119"/>
      <c r="N433" s="99"/>
      <c r="O433" s="99"/>
      <c r="P433" s="99"/>
      <c r="Q433" s="99"/>
      <c r="R433" s="99"/>
      <c r="S433" s="104"/>
      <c r="T433" s="99"/>
      <c r="U433" s="93" t="b">
        <v>1</v>
      </c>
      <c r="V433" s="99" t="s">
        <v>3883</v>
      </c>
      <c r="Z433" t="b">
        <v>0</v>
      </c>
    </row>
    <row r="434" hidden="1">
      <c r="A434" s="99">
        <v>662.0</v>
      </c>
      <c r="B434" s="99" t="s">
        <v>181</v>
      </c>
      <c r="C434" s="86" t="s">
        <v>408</v>
      </c>
      <c r="D434" s="99">
        <v>3.45117300107E11</v>
      </c>
      <c r="E434" s="99" t="s">
        <v>733</v>
      </c>
      <c r="F434" s="99" t="s">
        <v>3884</v>
      </c>
      <c r="G434" s="99" t="s">
        <v>437</v>
      </c>
      <c r="H434" s="99" t="s">
        <v>189</v>
      </c>
      <c r="J434" s="60"/>
      <c r="K434" s="66" t="str">
        <f>IFNA(VLOOKUP(D434,'EAN Codes'!A:C,2,False),"")</f>
        <v/>
      </c>
      <c r="L434" s="82"/>
      <c r="M434" s="83"/>
      <c r="N434" s="6"/>
      <c r="O434" s="6"/>
      <c r="P434" s="6"/>
      <c r="Q434" s="6"/>
      <c r="R434" s="6"/>
      <c r="S434" s="84"/>
      <c r="T434" s="6"/>
      <c r="U434" s="93" t="b">
        <v>1</v>
      </c>
      <c r="V434" s="6" t="s">
        <v>3885</v>
      </c>
      <c r="Y434" s="6" t="s">
        <v>452</v>
      </c>
      <c r="Z434" t="b">
        <v>0</v>
      </c>
    </row>
    <row r="435" hidden="1">
      <c r="A435" s="99">
        <v>431.0</v>
      </c>
      <c r="B435" s="99" t="s">
        <v>241</v>
      </c>
      <c r="C435" s="99" t="s">
        <v>342</v>
      </c>
      <c r="D435" s="99" t="s">
        <v>3834</v>
      </c>
      <c r="E435" s="86" t="s">
        <v>346</v>
      </c>
      <c r="F435" s="99" t="s">
        <v>3886</v>
      </c>
      <c r="G435" s="99" t="s">
        <v>3887</v>
      </c>
      <c r="H435" s="99" t="s">
        <v>189</v>
      </c>
      <c r="I435" s="99" t="s">
        <v>1634</v>
      </c>
      <c r="J435" s="104"/>
      <c r="K435" s="66" t="str">
        <f>IFNA(VLOOKUP(D435,'EAN Codes'!A:C,2,False),"")</f>
        <v>5907615808586</v>
      </c>
      <c r="L435" s="35"/>
      <c r="M435" s="67"/>
      <c r="S435" s="60"/>
      <c r="U435" s="93" t="b">
        <v>1</v>
      </c>
      <c r="Z435" t="b">
        <v>0</v>
      </c>
    </row>
    <row r="436" hidden="1">
      <c r="A436" s="99">
        <v>916.0</v>
      </c>
      <c r="B436" s="99" t="s">
        <v>241</v>
      </c>
      <c r="C436" s="99" t="s">
        <v>1217</v>
      </c>
      <c r="D436" s="99" t="s">
        <v>3888</v>
      </c>
      <c r="E436" s="99" t="s">
        <v>373</v>
      </c>
      <c r="F436" s="99" t="s">
        <v>3889</v>
      </c>
      <c r="G436" s="99" t="s">
        <v>1057</v>
      </c>
      <c r="H436" s="99" t="s">
        <v>189</v>
      </c>
      <c r="I436" s="99" t="s">
        <v>458</v>
      </c>
      <c r="J436" s="104"/>
      <c r="K436" s="66" t="str">
        <f>IFNA(VLOOKUP(D436,'EAN Codes'!A:C,2,False),"")</f>
        <v/>
      </c>
      <c r="L436" s="101"/>
      <c r="M436" s="119"/>
      <c r="N436" s="99"/>
      <c r="O436" s="99"/>
      <c r="P436" s="99"/>
      <c r="Q436" s="99"/>
      <c r="R436" s="99"/>
      <c r="S436" s="104"/>
      <c r="T436" s="99"/>
      <c r="U436" s="93" t="b">
        <v>1</v>
      </c>
      <c r="V436" s="99" t="s">
        <v>3890</v>
      </c>
      <c r="Z436" t="b">
        <v>0</v>
      </c>
    </row>
    <row r="437" hidden="1">
      <c r="A437" s="99">
        <v>184.0</v>
      </c>
      <c r="B437" s="6" t="s">
        <v>241</v>
      </c>
      <c r="C437" s="99" t="s">
        <v>342</v>
      </c>
      <c r="D437" s="99" t="s">
        <v>3745</v>
      </c>
      <c r="E437" s="99" t="s">
        <v>373</v>
      </c>
      <c r="F437" s="99" t="s">
        <v>3891</v>
      </c>
      <c r="G437" s="99" t="s">
        <v>497</v>
      </c>
      <c r="H437" s="99" t="s">
        <v>189</v>
      </c>
      <c r="I437" s="99" t="s">
        <v>1971</v>
      </c>
      <c r="J437" s="104"/>
      <c r="K437" s="66" t="str">
        <f>IFNA(VLOOKUP(D437,'EAN Codes'!A:C,2,False),"")</f>
        <v>5907615808340</v>
      </c>
      <c r="L437" s="99"/>
      <c r="M437" s="119"/>
      <c r="N437" s="99"/>
      <c r="O437" s="99"/>
      <c r="P437" s="99"/>
      <c r="Q437" s="99"/>
      <c r="R437" s="99"/>
      <c r="S437" s="104"/>
      <c r="T437" s="99"/>
      <c r="U437" s="93" t="b">
        <v>1</v>
      </c>
      <c r="V437" s="99" t="s">
        <v>3892</v>
      </c>
      <c r="Z437" s="101" t="b">
        <v>0</v>
      </c>
      <c r="AA437" s="101"/>
      <c r="AB437" s="101"/>
      <c r="AC437" s="101"/>
      <c r="AD437" s="101"/>
      <c r="AE437" s="101"/>
    </row>
    <row r="438" hidden="1">
      <c r="A438" s="99">
        <v>345.0</v>
      </c>
      <c r="B438" s="6" t="s">
        <v>241</v>
      </c>
      <c r="C438" s="99" t="s">
        <v>1217</v>
      </c>
      <c r="D438" s="99" t="s">
        <v>3893</v>
      </c>
      <c r="E438" s="99" t="s">
        <v>373</v>
      </c>
      <c r="F438" s="99" t="s">
        <v>3894</v>
      </c>
      <c r="G438" s="99">
        <v>2016.0</v>
      </c>
      <c r="H438" s="99" t="s">
        <v>189</v>
      </c>
      <c r="I438" s="99" t="s">
        <v>626</v>
      </c>
      <c r="J438" s="104"/>
      <c r="K438" s="66" t="str">
        <f>IFNA(VLOOKUP(D438,'EAN Codes'!A:C,2,False),"")</f>
        <v/>
      </c>
      <c r="L438" s="35"/>
      <c r="M438" s="67"/>
      <c r="S438" s="60"/>
      <c r="U438" s="93" t="b">
        <v>1</v>
      </c>
      <c r="Z438" t="b">
        <v>0</v>
      </c>
    </row>
    <row r="439" hidden="1">
      <c r="A439" s="99">
        <v>348.0</v>
      </c>
      <c r="B439" s="99" t="s">
        <v>241</v>
      </c>
      <c r="C439" s="99" t="s">
        <v>342</v>
      </c>
      <c r="D439" s="99" t="s">
        <v>3895</v>
      </c>
      <c r="E439" s="99" t="s">
        <v>409</v>
      </c>
      <c r="F439" s="99" t="s">
        <v>3894</v>
      </c>
      <c r="G439" s="99" t="s">
        <v>793</v>
      </c>
      <c r="H439" s="99" t="s">
        <v>189</v>
      </c>
      <c r="I439" s="99" t="s">
        <v>1634</v>
      </c>
      <c r="J439" s="104"/>
      <c r="K439" s="66" t="str">
        <f>IFNA(VLOOKUP(D439,'EAN Codes'!A:C,2,False),"")</f>
        <v>5907615808425</v>
      </c>
      <c r="L439" s="99"/>
      <c r="M439" s="119"/>
      <c r="N439" s="99"/>
      <c r="O439" s="99"/>
      <c r="P439" s="99"/>
      <c r="Q439" s="99"/>
      <c r="R439" s="99"/>
      <c r="S439" s="104"/>
      <c r="T439" s="99"/>
      <c r="U439" s="93" t="b">
        <v>1</v>
      </c>
      <c r="V439" s="99" t="s">
        <v>3896</v>
      </c>
      <c r="Z439" t="b">
        <v>0</v>
      </c>
    </row>
    <row r="440" hidden="1">
      <c r="A440" s="99">
        <v>974.0</v>
      </c>
      <c r="B440" s="99" t="s">
        <v>241</v>
      </c>
      <c r="C440" s="99" t="s">
        <v>342</v>
      </c>
      <c r="D440" s="99" t="s">
        <v>3897</v>
      </c>
      <c r="E440" s="99" t="s">
        <v>346</v>
      </c>
      <c r="F440" s="99" t="s">
        <v>1196</v>
      </c>
      <c r="G440" s="99" t="s">
        <v>793</v>
      </c>
      <c r="H440" s="99" t="s">
        <v>189</v>
      </c>
      <c r="I440" s="99" t="s">
        <v>1328</v>
      </c>
      <c r="J440" s="104"/>
      <c r="K440" s="66" t="str">
        <f>IFNA(VLOOKUP(D440,'EAN Codes'!A:C,2,False),"")</f>
        <v>5907615808418</v>
      </c>
      <c r="L440" s="101"/>
      <c r="M440" s="119"/>
      <c r="N440" s="99"/>
      <c r="O440" s="99"/>
      <c r="P440" s="99"/>
      <c r="Q440" s="99"/>
      <c r="R440" s="99"/>
      <c r="S440" s="104"/>
      <c r="T440" s="99"/>
      <c r="U440" s="93" t="b">
        <v>1</v>
      </c>
      <c r="V440" s="99" t="s">
        <v>3898</v>
      </c>
      <c r="Z440" t="b">
        <v>0</v>
      </c>
    </row>
    <row r="441" hidden="1">
      <c r="A441" s="99">
        <v>688.0</v>
      </c>
      <c r="B441" s="99" t="s">
        <v>241</v>
      </c>
      <c r="C441" s="99" t="s">
        <v>342</v>
      </c>
      <c r="D441" s="99" t="s">
        <v>3897</v>
      </c>
      <c r="E441" s="99" t="s">
        <v>346</v>
      </c>
      <c r="F441" s="99" t="s">
        <v>1196</v>
      </c>
      <c r="G441" s="101"/>
      <c r="H441" s="99" t="s">
        <v>189</v>
      </c>
      <c r="I441" s="99" t="s">
        <v>680</v>
      </c>
      <c r="J441" s="104"/>
      <c r="K441" s="66" t="str">
        <f>IFNA(VLOOKUP(D441,'EAN Codes'!A:C,2,False),"")</f>
        <v>5907615808418</v>
      </c>
      <c r="L441" s="99" t="s">
        <v>92</v>
      </c>
      <c r="M441" s="119"/>
      <c r="N441" s="99"/>
      <c r="O441" s="99"/>
      <c r="P441" s="99"/>
      <c r="Q441" s="99"/>
      <c r="R441" s="99"/>
      <c r="S441" s="104"/>
      <c r="T441" s="99"/>
      <c r="U441" s="93" t="b">
        <v>1</v>
      </c>
      <c r="V441" s="99" t="s">
        <v>3899</v>
      </c>
      <c r="Z441" t="b">
        <v>0</v>
      </c>
    </row>
    <row r="442" hidden="1">
      <c r="A442" s="99">
        <v>718.0</v>
      </c>
      <c r="B442" s="99" t="s">
        <v>241</v>
      </c>
      <c r="C442" s="99" t="s">
        <v>342</v>
      </c>
      <c r="D442" s="99" t="s">
        <v>3897</v>
      </c>
      <c r="E442" s="99" t="s">
        <v>346</v>
      </c>
      <c r="F442" s="99" t="s">
        <v>1196</v>
      </c>
      <c r="G442" s="101"/>
      <c r="H442" s="99" t="s">
        <v>189</v>
      </c>
      <c r="I442" s="99" t="s">
        <v>819</v>
      </c>
      <c r="J442" s="104"/>
      <c r="K442" s="66" t="str">
        <f>IFNA(VLOOKUP(D442,'EAN Codes'!A:C,2,False),"")</f>
        <v>5907615808418</v>
      </c>
      <c r="L442" s="99" t="s">
        <v>269</v>
      </c>
      <c r="M442" s="119"/>
      <c r="N442" s="99"/>
      <c r="O442" s="99"/>
      <c r="P442" s="99"/>
      <c r="Q442" s="99"/>
      <c r="R442" s="99"/>
      <c r="S442" s="104"/>
      <c r="T442" s="99"/>
      <c r="U442" s="93" t="b">
        <v>1</v>
      </c>
      <c r="V442" s="99" t="s">
        <v>3900</v>
      </c>
      <c r="Z442" s="82" t="b">
        <v>0</v>
      </c>
      <c r="AA442" s="82"/>
      <c r="AB442" s="82"/>
      <c r="AC442" s="82"/>
      <c r="AD442" s="82"/>
      <c r="AE442" s="82"/>
    </row>
    <row r="443" hidden="1">
      <c r="A443" s="99">
        <v>851.0</v>
      </c>
      <c r="B443" s="99" t="s">
        <v>241</v>
      </c>
      <c r="C443" s="99" t="s">
        <v>342</v>
      </c>
      <c r="D443" s="99" t="s">
        <v>3897</v>
      </c>
      <c r="E443" s="99" t="s">
        <v>346</v>
      </c>
      <c r="F443" s="99" t="s">
        <v>1196</v>
      </c>
      <c r="G443" s="99" t="s">
        <v>870</v>
      </c>
      <c r="H443" s="99" t="s">
        <v>189</v>
      </c>
      <c r="I443" s="99" t="s">
        <v>819</v>
      </c>
      <c r="J443" s="104"/>
      <c r="K443" s="66" t="str">
        <f>IFNA(VLOOKUP(D443,'EAN Codes'!A:C,2,False),"")</f>
        <v>5907615808418</v>
      </c>
      <c r="L443" s="82"/>
      <c r="M443" s="83"/>
      <c r="N443" s="6"/>
      <c r="O443" s="6"/>
      <c r="P443" s="6"/>
      <c r="Q443" s="6"/>
      <c r="R443" s="6"/>
      <c r="S443" s="84"/>
      <c r="T443" s="6"/>
      <c r="U443" s="93" t="b">
        <v>1</v>
      </c>
      <c r="V443" s="6" t="s">
        <v>3901</v>
      </c>
      <c r="Z443" t="b">
        <v>0</v>
      </c>
    </row>
    <row r="444" hidden="1">
      <c r="A444" s="99">
        <v>705.0</v>
      </c>
      <c r="B444" s="99" t="s">
        <v>241</v>
      </c>
      <c r="C444" s="99" t="s">
        <v>342</v>
      </c>
      <c r="D444" s="100" t="s">
        <v>3902</v>
      </c>
      <c r="E444" s="99" t="s">
        <v>409</v>
      </c>
      <c r="F444" s="99" t="s">
        <v>3903</v>
      </c>
      <c r="G444" s="99" t="s">
        <v>3786</v>
      </c>
      <c r="H444" s="99" t="s">
        <v>189</v>
      </c>
      <c r="I444" s="99" t="s">
        <v>418</v>
      </c>
      <c r="J444" s="104"/>
      <c r="K444" s="107" t="str">
        <f>IFNA(VLOOKUP(D444,'EAN Codes'!A:C,2,False),"")</f>
        <v>5907615808869</v>
      </c>
      <c r="L444" s="99" t="s">
        <v>269</v>
      </c>
      <c r="M444" s="92"/>
      <c r="N444" s="86"/>
      <c r="O444" s="86"/>
      <c r="P444" s="86"/>
      <c r="Q444" s="86"/>
      <c r="R444" s="86"/>
      <c r="S444" s="88"/>
      <c r="T444" s="86"/>
      <c r="U444" s="93" t="b">
        <v>1</v>
      </c>
      <c r="V444" s="86" t="s">
        <v>3904</v>
      </c>
      <c r="Z444" t="b">
        <v>0</v>
      </c>
    </row>
    <row r="445" hidden="1">
      <c r="A445" s="99">
        <v>362.0</v>
      </c>
      <c r="B445" s="99" t="s">
        <v>241</v>
      </c>
      <c r="C445" s="99" t="s">
        <v>342</v>
      </c>
      <c r="D445" s="99" t="s">
        <v>3905</v>
      </c>
      <c r="E445" s="99" t="s">
        <v>346</v>
      </c>
      <c r="F445" s="99" t="s">
        <v>964</v>
      </c>
      <c r="G445" s="99" t="s">
        <v>793</v>
      </c>
      <c r="H445" s="99" t="s">
        <v>189</v>
      </c>
      <c r="I445" s="99" t="s">
        <v>585</v>
      </c>
      <c r="J445" s="104"/>
      <c r="K445" s="66" t="str">
        <f>IFNA(VLOOKUP(D445,'EAN Codes'!A:C,2,False),"")</f>
        <v>5907615808371</v>
      </c>
      <c r="L445" s="99"/>
      <c r="M445" s="119"/>
      <c r="N445" s="99"/>
      <c r="O445" s="99"/>
      <c r="P445" s="99"/>
      <c r="Q445" s="99"/>
      <c r="R445" s="99"/>
      <c r="S445" s="104"/>
      <c r="T445" s="99"/>
      <c r="U445" s="93" t="b">
        <v>1</v>
      </c>
      <c r="V445" s="99" t="s">
        <v>3906</v>
      </c>
      <c r="Z445" t="b">
        <v>0</v>
      </c>
    </row>
    <row r="446" hidden="1">
      <c r="A446" s="99">
        <v>286.0</v>
      </c>
      <c r="B446" s="99" t="s">
        <v>241</v>
      </c>
      <c r="C446" s="99" t="s">
        <v>342</v>
      </c>
      <c r="D446" s="99" t="s">
        <v>3907</v>
      </c>
      <c r="E446" s="99" t="s">
        <v>409</v>
      </c>
      <c r="F446" s="99" t="s">
        <v>964</v>
      </c>
      <c r="G446" s="99" t="s">
        <v>793</v>
      </c>
      <c r="H446" s="99" t="s">
        <v>189</v>
      </c>
      <c r="I446" s="99" t="s">
        <v>680</v>
      </c>
      <c r="J446" s="104"/>
      <c r="K446" s="66" t="str">
        <f>IFNA(VLOOKUP(D446,'EAN Codes'!A:C,2,False),"")</f>
        <v>5907615808388</v>
      </c>
      <c r="L446" s="35" t="s">
        <v>269</v>
      </c>
      <c r="M446" s="119"/>
      <c r="N446" s="99"/>
      <c r="O446" s="99"/>
      <c r="P446" s="99"/>
      <c r="Q446" s="99"/>
      <c r="R446" s="99"/>
      <c r="S446" s="104"/>
      <c r="T446" s="99"/>
      <c r="U446" s="93" t="b">
        <v>1</v>
      </c>
      <c r="V446" s="99" t="s">
        <v>3908</v>
      </c>
      <c r="Z446" t="b">
        <v>0</v>
      </c>
    </row>
    <row r="447" hidden="1">
      <c r="A447" s="99">
        <v>927.0</v>
      </c>
      <c r="B447" s="99" t="s">
        <v>241</v>
      </c>
      <c r="C447" s="99" t="s">
        <v>342</v>
      </c>
      <c r="D447" s="99" t="s">
        <v>3907</v>
      </c>
      <c r="E447" s="99" t="s">
        <v>346</v>
      </c>
      <c r="F447" s="99" t="s">
        <v>3909</v>
      </c>
      <c r="G447" s="99" t="s">
        <v>793</v>
      </c>
      <c r="H447" s="99" t="s">
        <v>189</v>
      </c>
      <c r="I447" s="99" t="s">
        <v>585</v>
      </c>
      <c r="J447" s="104"/>
      <c r="K447" s="66" t="str">
        <f>IFNA(VLOOKUP(D447,'EAN Codes'!A:C,2,False),"")</f>
        <v>5907615808388</v>
      </c>
      <c r="L447" s="82"/>
      <c r="M447" s="119"/>
      <c r="N447" s="99"/>
      <c r="O447" s="99"/>
      <c r="P447" s="99"/>
      <c r="Q447" s="99"/>
      <c r="R447" s="99"/>
      <c r="S447" s="104"/>
      <c r="T447" s="99"/>
      <c r="U447" s="93" t="b">
        <v>1</v>
      </c>
      <c r="V447" s="99" t="s">
        <v>3910</v>
      </c>
      <c r="Z447" t="b">
        <v>0</v>
      </c>
    </row>
    <row r="448" hidden="1">
      <c r="A448" s="99">
        <v>794.0</v>
      </c>
      <c r="B448" s="99" t="s">
        <v>241</v>
      </c>
      <c r="C448" s="86" t="s">
        <v>3701</v>
      </c>
      <c r="D448" s="86" t="s">
        <v>3911</v>
      </c>
      <c r="E448" s="99" t="s">
        <v>409</v>
      </c>
      <c r="F448" s="86" t="s">
        <v>3912</v>
      </c>
      <c r="G448" s="86"/>
      <c r="H448" s="99" t="s">
        <v>189</v>
      </c>
      <c r="I448" s="86" t="s">
        <v>1863</v>
      </c>
      <c r="J448" s="88"/>
      <c r="K448" s="66" t="str">
        <f>IFNA(VLOOKUP(D448,'EAN Codes'!A:C,2,False),"")</f>
        <v/>
      </c>
      <c r="M448" s="83"/>
      <c r="N448" s="6"/>
      <c r="O448" s="6"/>
      <c r="P448" s="6"/>
      <c r="Q448" s="6"/>
      <c r="R448" s="6"/>
      <c r="S448" s="84"/>
      <c r="T448" s="6"/>
      <c r="U448" s="93" t="b">
        <v>1</v>
      </c>
      <c r="V448" s="6" t="s">
        <v>3913</v>
      </c>
      <c r="Z448" t="b">
        <v>0</v>
      </c>
    </row>
    <row r="449" hidden="1">
      <c r="A449" s="99">
        <v>796.0</v>
      </c>
      <c r="B449" s="99" t="s">
        <v>241</v>
      </c>
      <c r="C449" s="86" t="s">
        <v>3701</v>
      </c>
      <c r="D449" s="86" t="s">
        <v>3911</v>
      </c>
      <c r="E449" s="99" t="s">
        <v>409</v>
      </c>
      <c r="F449" s="86" t="s">
        <v>3912</v>
      </c>
      <c r="G449" s="99"/>
      <c r="H449" s="99" t="s">
        <v>189</v>
      </c>
      <c r="I449" s="86" t="s">
        <v>1863</v>
      </c>
      <c r="J449" s="88"/>
      <c r="K449" s="66" t="str">
        <f>IFNA(VLOOKUP(D449,'EAN Codes'!A:C,2,False),"")</f>
        <v/>
      </c>
      <c r="L449" s="101"/>
      <c r="M449" s="119"/>
      <c r="N449" s="99"/>
      <c r="O449" s="99"/>
      <c r="P449" s="99"/>
      <c r="Q449" s="99"/>
      <c r="R449" s="99"/>
      <c r="S449" s="104"/>
      <c r="T449" s="99"/>
      <c r="U449" s="93" t="b">
        <v>1</v>
      </c>
      <c r="V449" s="99" t="s">
        <v>3914</v>
      </c>
      <c r="Z449" t="b">
        <v>0</v>
      </c>
    </row>
    <row r="450" hidden="1">
      <c r="A450" s="86">
        <v>795.0</v>
      </c>
      <c r="B450" s="99" t="s">
        <v>241</v>
      </c>
      <c r="C450" s="86" t="s">
        <v>3701</v>
      </c>
      <c r="D450" s="86" t="s">
        <v>3911</v>
      </c>
      <c r="E450" s="99" t="s">
        <v>409</v>
      </c>
      <c r="F450" s="86" t="s">
        <v>3912</v>
      </c>
      <c r="G450" s="99"/>
      <c r="H450" s="99" t="s">
        <v>189</v>
      </c>
      <c r="I450" s="86" t="s">
        <v>1863</v>
      </c>
      <c r="J450" s="88"/>
      <c r="K450" s="66" t="str">
        <f>IFNA(VLOOKUP(D450,'EAN Codes'!A:C,2,False),"")</f>
        <v/>
      </c>
      <c r="L450" s="35"/>
      <c r="M450" s="119"/>
      <c r="N450" s="99"/>
      <c r="O450" s="99"/>
      <c r="P450" s="99"/>
      <c r="Q450" s="99"/>
      <c r="R450" s="99"/>
      <c r="S450" s="104"/>
      <c r="T450" s="99"/>
      <c r="U450" s="93" t="b">
        <v>1</v>
      </c>
      <c r="V450" s="99" t="s">
        <v>3915</v>
      </c>
      <c r="Z450" t="b">
        <v>0</v>
      </c>
    </row>
    <row r="451" hidden="1">
      <c r="A451" s="99">
        <v>797.0</v>
      </c>
      <c r="B451" s="99" t="s">
        <v>241</v>
      </c>
      <c r="C451" s="86" t="s">
        <v>3701</v>
      </c>
      <c r="D451" s="86" t="s">
        <v>3911</v>
      </c>
      <c r="E451" s="99" t="s">
        <v>409</v>
      </c>
      <c r="F451" s="86" t="s">
        <v>3912</v>
      </c>
      <c r="G451" s="91"/>
      <c r="H451" s="99" t="s">
        <v>189</v>
      </c>
      <c r="I451" s="86" t="s">
        <v>1863</v>
      </c>
      <c r="J451" s="88"/>
      <c r="K451" s="66" t="str">
        <f>IFNA(VLOOKUP(D451,'EAN Codes'!A:C,2,False),"")</f>
        <v/>
      </c>
      <c r="L451" s="91"/>
      <c r="M451" s="92"/>
      <c r="N451" s="86"/>
      <c r="O451" s="86"/>
      <c r="P451" s="86"/>
      <c r="Q451" s="86"/>
      <c r="R451" s="86"/>
      <c r="S451" s="88"/>
      <c r="T451" s="86"/>
      <c r="U451" s="93" t="b">
        <v>1</v>
      </c>
      <c r="V451" s="86" t="s">
        <v>3916</v>
      </c>
      <c r="Z451" t="b">
        <v>0</v>
      </c>
    </row>
    <row r="452" hidden="1">
      <c r="A452" s="86">
        <v>798.0</v>
      </c>
      <c r="B452" s="99" t="s">
        <v>241</v>
      </c>
      <c r="C452" s="86" t="s">
        <v>3701</v>
      </c>
      <c r="D452" s="86" t="s">
        <v>3911</v>
      </c>
      <c r="E452" s="99" t="s">
        <v>409</v>
      </c>
      <c r="F452" s="86" t="s">
        <v>3912</v>
      </c>
      <c r="G452" s="101"/>
      <c r="H452" s="99" t="s">
        <v>189</v>
      </c>
      <c r="I452" s="86" t="s">
        <v>1863</v>
      </c>
      <c r="J452" s="88"/>
      <c r="K452" s="66" t="str">
        <f>IFNA(VLOOKUP(D452,'EAN Codes'!A:C,2,False),"")</f>
        <v/>
      </c>
      <c r="L452" s="101"/>
      <c r="M452" s="119"/>
      <c r="N452" s="99"/>
      <c r="O452" s="99"/>
      <c r="P452" s="99"/>
      <c r="Q452" s="99"/>
      <c r="R452" s="99"/>
      <c r="S452" s="104"/>
      <c r="T452" s="99"/>
      <c r="U452" s="93" t="b">
        <v>1</v>
      </c>
      <c r="V452" s="99" t="s">
        <v>3917</v>
      </c>
      <c r="Z452" t="b">
        <v>0</v>
      </c>
    </row>
    <row r="453" hidden="1">
      <c r="A453" s="6">
        <v>931.0</v>
      </c>
      <c r="B453" s="6" t="s">
        <v>241</v>
      </c>
      <c r="C453" s="6" t="s">
        <v>3918</v>
      </c>
      <c r="D453" s="127" t="s">
        <v>3919</v>
      </c>
      <c r="E453" s="6" t="s">
        <v>373</v>
      </c>
      <c r="F453" s="6" t="s">
        <v>3920</v>
      </c>
      <c r="G453" s="6" t="s">
        <v>751</v>
      </c>
      <c r="H453" s="6" t="s">
        <v>189</v>
      </c>
      <c r="I453" s="6" t="s">
        <v>626</v>
      </c>
      <c r="J453" s="84"/>
      <c r="K453" s="66" t="str">
        <f>IFNA(VLOOKUP(D453,'EAN Codes'!A:C,2,False),"")</f>
        <v/>
      </c>
      <c r="L453" s="82"/>
      <c r="M453" s="83"/>
      <c r="N453" s="6"/>
      <c r="O453" s="6"/>
      <c r="P453" s="6"/>
      <c r="Q453" s="6"/>
      <c r="R453" s="6"/>
      <c r="S453" s="84"/>
      <c r="T453" s="6"/>
      <c r="U453" s="93" t="b">
        <v>1</v>
      </c>
      <c r="V453" s="6" t="s">
        <v>3921</v>
      </c>
      <c r="Z453" t="b">
        <v>0</v>
      </c>
    </row>
    <row r="454" hidden="1">
      <c r="A454" s="6">
        <v>1038.0</v>
      </c>
      <c r="B454" s="6" t="s">
        <v>241</v>
      </c>
      <c r="C454" s="6" t="s">
        <v>1217</v>
      </c>
      <c r="D454" s="127" t="s">
        <v>3922</v>
      </c>
      <c r="E454" s="6" t="s">
        <v>346</v>
      </c>
      <c r="F454" s="6" t="s">
        <v>3718</v>
      </c>
      <c r="G454" s="6" t="s">
        <v>3923</v>
      </c>
      <c r="H454" s="6" t="s">
        <v>189</v>
      </c>
      <c r="I454" s="6" t="s">
        <v>680</v>
      </c>
      <c r="J454" s="84"/>
      <c r="K454" s="66" t="str">
        <f>IFNA(VLOOKUP(D454,'EAN Codes'!A:C,2,False),"")</f>
        <v/>
      </c>
      <c r="L454" s="82"/>
      <c r="M454" s="67"/>
      <c r="S454" s="60"/>
      <c r="U454" s="93" t="b">
        <v>1</v>
      </c>
      <c r="Z454" t="b">
        <v>0</v>
      </c>
    </row>
    <row r="455" hidden="1">
      <c r="A455" s="99">
        <v>917.0</v>
      </c>
      <c r="B455" s="99" t="s">
        <v>241</v>
      </c>
      <c r="C455" s="99" t="s">
        <v>3701</v>
      </c>
      <c r="D455" s="99" t="s">
        <v>3911</v>
      </c>
      <c r="E455" s="99" t="s">
        <v>373</v>
      </c>
      <c r="F455" s="99" t="s">
        <v>3924</v>
      </c>
      <c r="G455" s="99" t="s">
        <v>793</v>
      </c>
      <c r="H455" s="99" t="s">
        <v>189</v>
      </c>
      <c r="I455" s="99" t="s">
        <v>1863</v>
      </c>
      <c r="J455" s="104"/>
      <c r="K455" s="66" t="str">
        <f>IFNA(VLOOKUP(D455,'EAN Codes'!A:C,2,False),"")</f>
        <v/>
      </c>
      <c r="L455" s="82"/>
      <c r="M455" s="67"/>
      <c r="S455" s="60"/>
      <c r="U455" s="93" t="b">
        <v>1</v>
      </c>
      <c r="Z455" t="b">
        <v>0</v>
      </c>
    </row>
    <row r="456" hidden="1">
      <c r="A456" s="99">
        <v>918.0</v>
      </c>
      <c r="B456" s="99" t="s">
        <v>241</v>
      </c>
      <c r="C456" s="99" t="s">
        <v>3701</v>
      </c>
      <c r="D456" s="99" t="s">
        <v>3911</v>
      </c>
      <c r="E456" s="99" t="s">
        <v>373</v>
      </c>
      <c r="F456" s="99" t="s">
        <v>3924</v>
      </c>
      <c r="G456" s="99" t="s">
        <v>793</v>
      </c>
      <c r="H456" s="99" t="s">
        <v>189</v>
      </c>
      <c r="I456" s="99" t="s">
        <v>1863</v>
      </c>
      <c r="J456" s="104"/>
      <c r="K456" s="66" t="str">
        <f>IFNA(VLOOKUP(D456,'EAN Codes'!A:C,2,False),"")</f>
        <v/>
      </c>
      <c r="L456" s="82"/>
      <c r="M456" s="83"/>
      <c r="N456" s="6"/>
      <c r="O456" s="6"/>
      <c r="P456" s="6"/>
      <c r="Q456" s="6"/>
      <c r="R456" s="6"/>
      <c r="S456" s="84"/>
      <c r="T456" s="6"/>
      <c r="U456" s="93" t="b">
        <v>1</v>
      </c>
      <c r="V456" s="6" t="s">
        <v>3925</v>
      </c>
      <c r="Z456" t="b">
        <v>0</v>
      </c>
    </row>
    <row r="457" hidden="1">
      <c r="A457" s="99">
        <v>922.0</v>
      </c>
      <c r="B457" s="99" t="s">
        <v>241</v>
      </c>
      <c r="C457" s="99" t="s">
        <v>3701</v>
      </c>
      <c r="D457" s="99" t="s">
        <v>3911</v>
      </c>
      <c r="E457" s="99" t="s">
        <v>373</v>
      </c>
      <c r="F457" s="99" t="s">
        <v>3924</v>
      </c>
      <c r="G457" s="99" t="s">
        <v>793</v>
      </c>
      <c r="H457" s="99" t="s">
        <v>189</v>
      </c>
      <c r="I457" s="99" t="s">
        <v>1863</v>
      </c>
      <c r="J457" s="104"/>
      <c r="K457" s="66" t="str">
        <f>IFNA(VLOOKUP(D457,'EAN Codes'!A:C,2,False),"")</f>
        <v/>
      </c>
      <c r="L457" s="101"/>
      <c r="M457" s="119"/>
      <c r="N457" s="99"/>
      <c r="O457" s="99"/>
      <c r="P457" s="99"/>
      <c r="Q457" s="99"/>
      <c r="R457" s="99"/>
      <c r="S457" s="104"/>
      <c r="T457" s="99"/>
      <c r="U457" s="93" t="b">
        <v>1</v>
      </c>
      <c r="V457" s="99" t="s">
        <v>3926</v>
      </c>
      <c r="Z457" t="b">
        <v>0</v>
      </c>
    </row>
    <row r="458" hidden="1">
      <c r="A458" s="99">
        <v>923.0</v>
      </c>
      <c r="B458" s="99" t="s">
        <v>241</v>
      </c>
      <c r="C458" s="99" t="s">
        <v>3701</v>
      </c>
      <c r="D458" s="99" t="s">
        <v>3911</v>
      </c>
      <c r="E458" s="99" t="s">
        <v>373</v>
      </c>
      <c r="F458" s="99" t="s">
        <v>3924</v>
      </c>
      <c r="G458" s="99" t="s">
        <v>793</v>
      </c>
      <c r="H458" s="99" t="s">
        <v>189</v>
      </c>
      <c r="I458" s="99" t="s">
        <v>1863</v>
      </c>
      <c r="J458" s="104"/>
      <c r="K458" s="66" t="str">
        <f>IFNA(VLOOKUP(D458,'EAN Codes'!A:C,2,False),"")</f>
        <v/>
      </c>
      <c r="L458" s="82"/>
      <c r="M458" s="67"/>
      <c r="S458" s="60"/>
      <c r="U458" s="93" t="b">
        <v>1</v>
      </c>
      <c r="Z458" t="b">
        <v>0</v>
      </c>
    </row>
    <row r="459" hidden="1">
      <c r="A459" s="101"/>
      <c r="B459" s="99" t="s">
        <v>241</v>
      </c>
      <c r="C459" s="99" t="s">
        <v>3701</v>
      </c>
      <c r="D459" s="99" t="s">
        <v>3911</v>
      </c>
      <c r="E459" s="99" t="s">
        <v>373</v>
      </c>
      <c r="F459" s="99" t="s">
        <v>3924</v>
      </c>
      <c r="G459" s="99" t="s">
        <v>793</v>
      </c>
      <c r="H459" s="99" t="s">
        <v>189</v>
      </c>
      <c r="I459" s="99" t="s">
        <v>1863</v>
      </c>
      <c r="J459" s="104"/>
      <c r="K459" s="66" t="str">
        <f>IFNA(VLOOKUP(D459,'EAN Codes'!A:C,2,False),"")</f>
        <v/>
      </c>
      <c r="L459" s="82"/>
      <c r="M459" s="67"/>
      <c r="S459" s="60"/>
      <c r="U459" s="93" t="b">
        <v>1</v>
      </c>
      <c r="Z459" s="82" t="b">
        <v>0</v>
      </c>
      <c r="AA459" s="82"/>
      <c r="AB459" s="82"/>
      <c r="AC459" s="82"/>
      <c r="AD459" s="82"/>
      <c r="AE459" s="82"/>
    </row>
    <row r="460" hidden="1">
      <c r="B460" s="99" t="s">
        <v>241</v>
      </c>
      <c r="C460" s="99" t="s">
        <v>3701</v>
      </c>
      <c r="D460" s="99" t="s">
        <v>3911</v>
      </c>
      <c r="E460" s="99" t="s">
        <v>373</v>
      </c>
      <c r="F460" s="99" t="s">
        <v>3924</v>
      </c>
      <c r="G460" s="99" t="s">
        <v>793</v>
      </c>
      <c r="H460" s="99" t="s">
        <v>189</v>
      </c>
      <c r="I460" s="99" t="s">
        <v>1863</v>
      </c>
      <c r="J460" s="104"/>
      <c r="K460" s="66" t="str">
        <f>IFNA(VLOOKUP(D460,'EAN Codes'!A:C,2,False),"")</f>
        <v/>
      </c>
      <c r="L460" s="82"/>
      <c r="M460" s="67"/>
      <c r="S460" s="60"/>
      <c r="U460" s="93" t="b">
        <v>1</v>
      </c>
      <c r="Z460" t="b">
        <v>0</v>
      </c>
    </row>
    <row r="461" hidden="1">
      <c r="B461" s="122" t="s">
        <v>241</v>
      </c>
      <c r="C461" s="122" t="s">
        <v>3701</v>
      </c>
      <c r="D461" s="122" t="s">
        <v>3911</v>
      </c>
      <c r="E461" s="122" t="s">
        <v>373</v>
      </c>
      <c r="F461" s="122" t="s">
        <v>3924</v>
      </c>
      <c r="G461" s="122" t="s">
        <v>793</v>
      </c>
      <c r="H461" s="122" t="s">
        <v>189</v>
      </c>
      <c r="I461" s="122" t="s">
        <v>1863</v>
      </c>
      <c r="J461" s="354"/>
      <c r="K461" s="66" t="str">
        <f>IFNA(VLOOKUP(D461,'EAN Codes'!A:C,2,False),"")</f>
        <v/>
      </c>
      <c r="L461" s="82"/>
      <c r="M461" s="67"/>
      <c r="S461" s="60"/>
      <c r="U461" s="93" t="b">
        <v>1</v>
      </c>
      <c r="Z461" t="b">
        <v>0</v>
      </c>
    </row>
    <row r="462" hidden="1">
      <c r="A462" s="6">
        <v>1025.0</v>
      </c>
      <c r="B462" s="6" t="s">
        <v>241</v>
      </c>
      <c r="C462" s="6" t="s">
        <v>408</v>
      </c>
      <c r="D462" s="127" t="s">
        <v>3927</v>
      </c>
      <c r="E462" s="6" t="s">
        <v>373</v>
      </c>
      <c r="F462" s="6" t="s">
        <v>3759</v>
      </c>
      <c r="G462" s="6" t="s">
        <v>3865</v>
      </c>
      <c r="H462" s="6" t="s">
        <v>189</v>
      </c>
      <c r="I462" s="6" t="s">
        <v>585</v>
      </c>
      <c r="J462" s="84"/>
      <c r="K462" s="66" t="str">
        <f>IFNA(VLOOKUP(D462,'EAN Codes'!A:C,2,False),"")</f>
        <v/>
      </c>
      <c r="L462" s="82"/>
      <c r="M462" s="67"/>
      <c r="S462" s="60"/>
      <c r="U462" s="93" t="b">
        <v>1</v>
      </c>
      <c r="Z462" t="b">
        <v>0</v>
      </c>
    </row>
    <row r="463" hidden="1">
      <c r="A463" s="86">
        <v>993.0</v>
      </c>
      <c r="B463" s="86" t="s">
        <v>241</v>
      </c>
      <c r="C463" s="86" t="s">
        <v>342</v>
      </c>
      <c r="D463" s="87" t="s">
        <v>3770</v>
      </c>
      <c r="E463" s="86" t="s">
        <v>346</v>
      </c>
      <c r="F463" s="86" t="s">
        <v>3860</v>
      </c>
      <c r="G463" s="86" t="s">
        <v>3786</v>
      </c>
      <c r="H463" s="86" t="s">
        <v>698</v>
      </c>
      <c r="I463" s="91"/>
      <c r="J463" s="97"/>
      <c r="K463" s="66" t="str">
        <f>IFNA(VLOOKUP(D463,'EAN Codes'!A:C,2,False),"")</f>
        <v>5907615808333</v>
      </c>
      <c r="L463" s="91"/>
      <c r="M463" s="92"/>
      <c r="N463" s="86"/>
      <c r="O463" s="86"/>
      <c r="P463" s="86"/>
      <c r="Q463" s="86"/>
      <c r="R463" s="86"/>
      <c r="S463" s="88"/>
      <c r="T463" s="86"/>
      <c r="U463" s="93" t="b">
        <v>1</v>
      </c>
      <c r="V463" s="86" t="s">
        <v>3928</v>
      </c>
      <c r="Z463" t="b">
        <v>0</v>
      </c>
    </row>
    <row r="464" hidden="1">
      <c r="A464" s="99">
        <v>534.0</v>
      </c>
      <c r="B464" s="99" t="s">
        <v>181</v>
      </c>
      <c r="C464" s="99" t="s">
        <v>408</v>
      </c>
      <c r="D464" s="99">
        <v>3.45168300113E11</v>
      </c>
      <c r="E464" s="99" t="s">
        <v>1110</v>
      </c>
      <c r="F464" s="99" t="s">
        <v>3929</v>
      </c>
      <c r="G464" s="99" t="s">
        <v>793</v>
      </c>
      <c r="H464" s="99" t="s">
        <v>189</v>
      </c>
      <c r="I464" s="99" t="s">
        <v>189</v>
      </c>
      <c r="J464" s="104"/>
      <c r="K464" s="66" t="str">
        <f>IFNA(VLOOKUP(D464,'EAN Codes'!A:C,2,False),"")</f>
        <v/>
      </c>
      <c r="L464" s="82"/>
      <c r="M464" s="83"/>
      <c r="N464" s="6"/>
      <c r="O464" s="6"/>
      <c r="P464" s="6"/>
      <c r="Q464" s="6"/>
      <c r="R464" s="6"/>
      <c r="S464" s="84"/>
      <c r="T464" s="6"/>
      <c r="U464" s="93" t="b">
        <v>1</v>
      </c>
      <c r="V464" s="6" t="s">
        <v>3930</v>
      </c>
      <c r="Z464" t="b">
        <v>0</v>
      </c>
    </row>
    <row r="465" hidden="1">
      <c r="A465" s="99">
        <v>393.0</v>
      </c>
      <c r="B465" s="99" t="s">
        <v>241</v>
      </c>
      <c r="C465" s="122" t="s">
        <v>858</v>
      </c>
      <c r="D465" s="217" t="s">
        <v>3931</v>
      </c>
      <c r="E465" s="122" t="s">
        <v>454</v>
      </c>
      <c r="F465" s="122" t="s">
        <v>3932</v>
      </c>
      <c r="G465" s="122" t="s">
        <v>870</v>
      </c>
      <c r="H465" s="99" t="s">
        <v>189</v>
      </c>
      <c r="I465" s="86" t="s">
        <v>570</v>
      </c>
      <c r="J465" s="88"/>
      <c r="K465" s="66" t="str">
        <f>IFNA(VLOOKUP(D465,'EAN Codes'!A:C,2,False),"")</f>
        <v/>
      </c>
      <c r="L465" s="99"/>
      <c r="M465" s="119"/>
      <c r="N465" s="99"/>
      <c r="O465" s="99"/>
      <c r="P465" s="99"/>
      <c r="Q465" s="99"/>
      <c r="R465" s="99"/>
      <c r="S465" s="104"/>
      <c r="T465" s="99"/>
      <c r="U465" s="93" t="b">
        <v>1</v>
      </c>
      <c r="V465" s="99" t="s">
        <v>3933</v>
      </c>
      <c r="Z465" t="b">
        <v>0</v>
      </c>
    </row>
    <row r="466" hidden="1">
      <c r="A466" s="99">
        <v>24.0</v>
      </c>
      <c r="B466" s="99" t="s">
        <v>241</v>
      </c>
      <c r="C466" s="99" t="s">
        <v>342</v>
      </c>
      <c r="D466" s="99" t="s">
        <v>3934</v>
      </c>
      <c r="E466" s="99" t="s">
        <v>1390</v>
      </c>
      <c r="F466" s="99" t="s">
        <v>3935</v>
      </c>
      <c r="G466" s="99" t="s">
        <v>1155</v>
      </c>
      <c r="H466" s="99" t="s">
        <v>189</v>
      </c>
      <c r="I466" s="99" t="s">
        <v>585</v>
      </c>
      <c r="J466" s="104"/>
      <c r="K466" s="66" t="str">
        <f>IFNA(VLOOKUP(D466,'EAN Codes'!A:C,2,False),"")</f>
        <v>5907615808326</v>
      </c>
      <c r="L466" s="99" t="s">
        <v>269</v>
      </c>
      <c r="M466" s="149"/>
      <c r="N466" s="116"/>
      <c r="O466" s="116"/>
      <c r="P466" s="116"/>
      <c r="Q466" s="116"/>
      <c r="R466" s="116"/>
      <c r="S466" s="355"/>
      <c r="T466" s="116"/>
      <c r="U466" s="93" t="b">
        <v>1</v>
      </c>
      <c r="V466" s="116" t="s">
        <v>3936</v>
      </c>
      <c r="Z466" t="b">
        <v>0</v>
      </c>
    </row>
    <row r="467" hidden="1">
      <c r="A467" s="86">
        <v>1032.0</v>
      </c>
      <c r="B467" s="86" t="s">
        <v>241</v>
      </c>
      <c r="C467" s="86" t="s">
        <v>342</v>
      </c>
      <c r="D467" s="87" t="s">
        <v>3897</v>
      </c>
      <c r="E467" s="86" t="s">
        <v>346</v>
      </c>
      <c r="F467" s="86" t="s">
        <v>3937</v>
      </c>
      <c r="G467" s="86" t="s">
        <v>3938</v>
      </c>
      <c r="H467" s="86" t="s">
        <v>3939</v>
      </c>
      <c r="I467" s="91"/>
      <c r="J467" s="97"/>
      <c r="K467" s="90" t="str">
        <f>IFNA(VLOOKUP(D467,'EAN Codes'!A:C,2,False),"")</f>
        <v>5907615808418</v>
      </c>
      <c r="L467" s="91"/>
      <c r="M467" s="92"/>
      <c r="N467" s="86"/>
      <c r="O467" s="86"/>
      <c r="P467" s="86"/>
      <c r="Q467" s="86"/>
      <c r="R467" s="86"/>
      <c r="S467" s="88"/>
      <c r="T467" s="86"/>
      <c r="U467" s="93" t="b">
        <v>1</v>
      </c>
      <c r="V467" s="86" t="s">
        <v>3940</v>
      </c>
      <c r="W467" s="86" t="s">
        <v>3941</v>
      </c>
      <c r="X467" s="6" t="s">
        <v>3942</v>
      </c>
      <c r="Z467" t="b">
        <v>0</v>
      </c>
    </row>
    <row r="468" hidden="1">
      <c r="A468" s="6">
        <v>442.0</v>
      </c>
      <c r="B468" s="6" t="s">
        <v>493</v>
      </c>
      <c r="C468" s="6" t="s">
        <v>494</v>
      </c>
      <c r="D468" s="127" t="s">
        <v>3943</v>
      </c>
      <c r="F468" s="284" t="s">
        <v>3944</v>
      </c>
      <c r="H468" s="6" t="s">
        <v>189</v>
      </c>
      <c r="I468" s="6" t="s">
        <v>498</v>
      </c>
      <c r="J468" s="84"/>
      <c r="K468" s="66" t="str">
        <f>IFNA(VLOOKUP(D468,'EAN Codes'!A:C,2,False),"")</f>
        <v/>
      </c>
      <c r="L468" s="35"/>
      <c r="M468" s="83"/>
      <c r="N468" s="6"/>
      <c r="O468" s="6"/>
      <c r="P468" s="6"/>
      <c r="Q468" s="6"/>
      <c r="R468" s="6"/>
      <c r="S468" s="84"/>
      <c r="T468" s="6"/>
      <c r="U468" s="93" t="b">
        <v>1</v>
      </c>
      <c r="V468" s="6" t="s">
        <v>3945</v>
      </c>
      <c r="Z468" t="b">
        <v>0</v>
      </c>
    </row>
    <row r="469" hidden="1">
      <c r="A469" s="86">
        <v>12.0</v>
      </c>
      <c r="B469" s="86"/>
      <c r="C469" s="86" t="s">
        <v>1217</v>
      </c>
      <c r="D469" s="86" t="s">
        <v>3946</v>
      </c>
      <c r="E469" s="86" t="s">
        <v>346</v>
      </c>
      <c r="F469" s="86" t="s">
        <v>3947</v>
      </c>
      <c r="G469" s="86" t="s">
        <v>3948</v>
      </c>
      <c r="H469" s="86" t="s">
        <v>512</v>
      </c>
      <c r="I469" s="86" t="s">
        <v>1007</v>
      </c>
      <c r="J469" s="88"/>
      <c r="K469" s="66" t="str">
        <f>IFNA(VLOOKUP(D469,'EAN Codes'!A:C,2,False),"")</f>
        <v>25271</v>
      </c>
      <c r="L469" s="160"/>
      <c r="M469" s="92"/>
      <c r="N469" s="86"/>
      <c r="O469" s="86"/>
      <c r="P469" s="86"/>
      <c r="Q469" s="86"/>
      <c r="R469" s="86"/>
      <c r="S469" s="88"/>
      <c r="T469" s="86"/>
      <c r="U469" s="93" t="b">
        <v>1</v>
      </c>
      <c r="V469" s="86" t="s">
        <v>3949</v>
      </c>
      <c r="Z469" t="b">
        <v>0</v>
      </c>
    </row>
    <row r="470" hidden="1">
      <c r="A470" s="99">
        <v>768.0</v>
      </c>
      <c r="B470" s="99" t="s">
        <v>241</v>
      </c>
      <c r="C470" s="99" t="s">
        <v>342</v>
      </c>
      <c r="D470" s="356" t="s">
        <v>3950</v>
      </c>
      <c r="E470" s="99" t="s">
        <v>346</v>
      </c>
      <c r="F470" s="99" t="s">
        <v>3951</v>
      </c>
      <c r="G470" s="99" t="s">
        <v>751</v>
      </c>
      <c r="H470" s="99" t="s">
        <v>189</v>
      </c>
      <c r="I470" s="99" t="s">
        <v>570</v>
      </c>
      <c r="J470" s="104"/>
      <c r="K470" s="66" t="str">
        <f>IFNA(VLOOKUP(D470,'EAN Codes'!A:C,2,False),"")</f>
        <v>5907615808944</v>
      </c>
      <c r="L470" s="99"/>
      <c r="M470" s="119"/>
      <c r="N470" s="99"/>
      <c r="O470" s="99"/>
      <c r="P470" s="99"/>
      <c r="Q470" s="99"/>
      <c r="R470" s="99"/>
      <c r="S470" s="104"/>
      <c r="T470" s="99"/>
      <c r="U470" s="93" t="b">
        <v>1</v>
      </c>
      <c r="V470" s="99" t="s">
        <v>3952</v>
      </c>
      <c r="Z470" t="b">
        <v>0</v>
      </c>
    </row>
    <row r="471" hidden="1">
      <c r="A471" s="99">
        <v>905.0</v>
      </c>
      <c r="B471" s="99" t="s">
        <v>241</v>
      </c>
      <c r="C471" s="99" t="s">
        <v>342</v>
      </c>
      <c r="D471" s="99" t="s">
        <v>3950</v>
      </c>
      <c r="E471" s="99" t="s">
        <v>346</v>
      </c>
      <c r="F471" s="99" t="s">
        <v>3953</v>
      </c>
      <c r="G471" s="99" t="s">
        <v>3954</v>
      </c>
      <c r="H471" s="99" t="s">
        <v>189</v>
      </c>
      <c r="I471" s="99" t="s">
        <v>1863</v>
      </c>
      <c r="J471" s="104"/>
      <c r="K471" s="66" t="str">
        <f>IFNA(VLOOKUP(D471,'EAN Codes'!A:C,2,False),"")</f>
        <v>5907615808944</v>
      </c>
      <c r="L471" s="101"/>
      <c r="M471" s="119"/>
      <c r="N471" s="99"/>
      <c r="O471" s="99"/>
      <c r="P471" s="99"/>
      <c r="Q471" s="99"/>
      <c r="R471" s="99"/>
      <c r="S471" s="104"/>
      <c r="T471" s="99"/>
      <c r="U471" s="93" t="b">
        <v>1</v>
      </c>
      <c r="V471" s="99" t="s">
        <v>3955</v>
      </c>
      <c r="Z471" t="b">
        <v>0</v>
      </c>
    </row>
    <row r="472" hidden="1">
      <c r="A472" s="99">
        <v>218.0</v>
      </c>
      <c r="B472" s="99" t="s">
        <v>241</v>
      </c>
      <c r="C472" s="99" t="s">
        <v>408</v>
      </c>
      <c r="D472" s="99">
        <v>345095.0</v>
      </c>
      <c r="E472" s="99" t="s">
        <v>346</v>
      </c>
      <c r="F472" s="99" t="s">
        <v>3956</v>
      </c>
      <c r="G472" s="99" t="s">
        <v>2194</v>
      </c>
      <c r="H472" s="99" t="s">
        <v>1726</v>
      </c>
      <c r="I472" s="99" t="s">
        <v>530</v>
      </c>
      <c r="J472" s="104"/>
      <c r="K472" s="66" t="str">
        <f>IFNA(VLOOKUP(D472,'EAN Codes'!A:C,2,False),"")</f>
        <v/>
      </c>
      <c r="L472" s="35" t="s">
        <v>269</v>
      </c>
      <c r="M472" s="83"/>
      <c r="N472" s="6"/>
      <c r="O472" s="6"/>
      <c r="P472" s="6"/>
      <c r="Q472" s="6"/>
      <c r="R472" s="6"/>
      <c r="S472" s="84"/>
      <c r="T472" s="6"/>
      <c r="U472" s="93" t="b">
        <v>1</v>
      </c>
      <c r="V472" s="6" t="s">
        <v>3957</v>
      </c>
      <c r="Y472" s="6" t="s">
        <v>452</v>
      </c>
      <c r="Z472" t="b">
        <v>0</v>
      </c>
    </row>
    <row r="473" hidden="1">
      <c r="A473" s="99">
        <v>238.0</v>
      </c>
      <c r="B473" s="99" t="s">
        <v>241</v>
      </c>
      <c r="C473" s="99" t="s">
        <v>1217</v>
      </c>
      <c r="D473" s="99" t="s">
        <v>3958</v>
      </c>
      <c r="E473" s="99" t="s">
        <v>346</v>
      </c>
      <c r="F473" s="99" t="s">
        <v>3959</v>
      </c>
      <c r="G473" s="99" t="s">
        <v>3960</v>
      </c>
      <c r="H473" s="99" t="s">
        <v>189</v>
      </c>
      <c r="I473" s="99" t="s">
        <v>680</v>
      </c>
      <c r="J473" s="104"/>
      <c r="K473" s="66" t="str">
        <f>IFNA(VLOOKUP(D473,'EAN Codes'!A:C,2,False),"")</f>
        <v>25318</v>
      </c>
      <c r="L473" s="99" t="s">
        <v>269</v>
      </c>
      <c r="M473" s="83"/>
      <c r="N473" s="6"/>
      <c r="O473" s="6"/>
      <c r="P473" s="6"/>
      <c r="Q473" s="6"/>
      <c r="R473" s="6"/>
      <c r="S473" s="84"/>
      <c r="T473" s="6"/>
      <c r="U473" s="93" t="b">
        <v>1</v>
      </c>
      <c r="V473" s="6" t="s">
        <v>3961</v>
      </c>
      <c r="Z473" t="b">
        <v>0</v>
      </c>
    </row>
    <row r="474" hidden="1">
      <c r="A474" s="99">
        <v>211.0</v>
      </c>
      <c r="B474" s="6" t="s">
        <v>241</v>
      </c>
      <c r="C474" s="99" t="s">
        <v>1250</v>
      </c>
      <c r="D474" s="99" t="s">
        <v>3962</v>
      </c>
      <c r="E474" s="99" t="s">
        <v>346</v>
      </c>
      <c r="F474" s="99" t="s">
        <v>3963</v>
      </c>
      <c r="G474" s="99" t="s">
        <v>793</v>
      </c>
      <c r="H474" s="99" t="s">
        <v>189</v>
      </c>
      <c r="I474" s="99" t="s">
        <v>585</v>
      </c>
      <c r="J474" s="104"/>
      <c r="K474" s="66" t="str">
        <f>IFNA(VLOOKUP(D474,'EAN Codes'!A:C,2,False),"")</f>
        <v>8058772223167</v>
      </c>
      <c r="L474" s="35"/>
      <c r="M474" s="67"/>
      <c r="S474" s="60"/>
      <c r="U474" s="93" t="b">
        <v>1</v>
      </c>
      <c r="Z474" t="b">
        <v>0</v>
      </c>
    </row>
    <row r="475" hidden="1">
      <c r="A475" s="99">
        <v>110.0</v>
      </c>
      <c r="B475" s="99"/>
      <c r="C475" s="99" t="s">
        <v>342</v>
      </c>
      <c r="D475" s="99" t="s">
        <v>3964</v>
      </c>
      <c r="E475" s="99" t="s">
        <v>346</v>
      </c>
      <c r="F475" s="99" t="s">
        <v>3963</v>
      </c>
      <c r="G475" s="99" t="s">
        <v>375</v>
      </c>
      <c r="H475" s="99" t="s">
        <v>512</v>
      </c>
      <c r="I475" s="99" t="s">
        <v>680</v>
      </c>
      <c r="J475" s="104"/>
      <c r="K475" s="66" t="str">
        <f>IFNA(VLOOKUP(D475,'EAN Codes'!A:C,2,False),"")</f>
        <v>5907615808777</v>
      </c>
      <c r="L475" s="35"/>
      <c r="M475" s="67"/>
      <c r="S475" s="60"/>
      <c r="U475" s="93" t="b">
        <v>1</v>
      </c>
      <c r="Z475" t="b">
        <v>0</v>
      </c>
    </row>
    <row r="476" hidden="1">
      <c r="A476" s="99">
        <v>120.0</v>
      </c>
      <c r="B476" s="99"/>
      <c r="C476" s="99" t="s">
        <v>1217</v>
      </c>
      <c r="D476" s="99" t="s">
        <v>3965</v>
      </c>
      <c r="E476" s="99" t="s">
        <v>346</v>
      </c>
      <c r="F476" s="99" t="s">
        <v>3963</v>
      </c>
      <c r="G476" s="99" t="s">
        <v>3966</v>
      </c>
      <c r="H476" s="99" t="s">
        <v>271</v>
      </c>
      <c r="I476" s="99" t="s">
        <v>680</v>
      </c>
      <c r="J476" s="104"/>
      <c r="K476" s="66" t="str">
        <f>IFNA(VLOOKUP(D476,'EAN Codes'!A:C,2,False),"")</f>
        <v>25400</v>
      </c>
      <c r="L476" s="35"/>
      <c r="M476" s="119"/>
      <c r="N476" s="99"/>
      <c r="O476" s="99"/>
      <c r="P476" s="99"/>
      <c r="Q476" s="99"/>
      <c r="R476" s="99"/>
      <c r="S476" s="104"/>
      <c r="T476" s="99"/>
      <c r="U476" s="93" t="b">
        <v>1</v>
      </c>
      <c r="V476" s="99" t="s">
        <v>3967</v>
      </c>
      <c r="X476" s="99"/>
      <c r="Y476" s="101"/>
      <c r="Z476" t="b">
        <v>0</v>
      </c>
    </row>
    <row r="477" hidden="1">
      <c r="A477" s="99">
        <v>88.0</v>
      </c>
      <c r="B477" s="99"/>
      <c r="C477" s="99" t="s">
        <v>1217</v>
      </c>
      <c r="D477" s="99" t="s">
        <v>3968</v>
      </c>
      <c r="E477" s="99" t="s">
        <v>409</v>
      </c>
      <c r="F477" s="99" t="s">
        <v>3963</v>
      </c>
      <c r="G477" s="99" t="s">
        <v>3966</v>
      </c>
      <c r="H477" s="101"/>
      <c r="I477" s="99" t="s">
        <v>1634</v>
      </c>
      <c r="J477" s="104"/>
      <c r="K477" s="66" t="str">
        <f>IFNA(VLOOKUP(D477,'EAN Codes'!A:C,2,False),"")</f>
        <v>27909</v>
      </c>
      <c r="L477" s="35"/>
      <c r="M477" s="67"/>
      <c r="S477" s="60"/>
      <c r="U477" s="93" t="b">
        <v>1</v>
      </c>
      <c r="Z477" t="b">
        <v>0</v>
      </c>
    </row>
    <row r="478" hidden="1">
      <c r="A478" s="99">
        <v>500.0</v>
      </c>
      <c r="B478" s="99" t="s">
        <v>241</v>
      </c>
      <c r="C478" s="99" t="s">
        <v>1250</v>
      </c>
      <c r="D478" s="99">
        <v>45024.0</v>
      </c>
      <c r="E478" s="99" t="s">
        <v>2639</v>
      </c>
      <c r="F478" s="99" t="s">
        <v>3963</v>
      </c>
      <c r="G478" s="99" t="s">
        <v>793</v>
      </c>
      <c r="H478" s="99" t="s">
        <v>189</v>
      </c>
      <c r="I478" s="99" t="s">
        <v>819</v>
      </c>
      <c r="J478" s="104"/>
      <c r="K478" s="66" t="str">
        <f>IFNA(VLOOKUP(D478,'EAN Codes'!A:C,2,False),"")</f>
        <v/>
      </c>
      <c r="L478" s="99"/>
      <c r="M478" s="119"/>
      <c r="N478" s="99"/>
      <c r="O478" s="99"/>
      <c r="P478" s="99"/>
      <c r="Q478" s="99"/>
      <c r="R478" s="99"/>
      <c r="S478" s="104"/>
      <c r="T478" s="99"/>
      <c r="U478" s="93" t="b">
        <v>1</v>
      </c>
      <c r="V478" s="99" t="s">
        <v>3969</v>
      </c>
      <c r="Z478" t="b">
        <v>0</v>
      </c>
    </row>
    <row r="479" hidden="1">
      <c r="A479" s="99">
        <v>341.0</v>
      </c>
      <c r="B479" s="99" t="s">
        <v>241</v>
      </c>
      <c r="C479" s="99" t="s">
        <v>408</v>
      </c>
      <c r="D479" s="99">
        <v>3.45155300107E11</v>
      </c>
      <c r="E479" s="99" t="s">
        <v>733</v>
      </c>
      <c r="F479" s="99" t="s">
        <v>3963</v>
      </c>
      <c r="G479" s="99" t="s">
        <v>751</v>
      </c>
      <c r="H479" s="99" t="s">
        <v>189</v>
      </c>
      <c r="I479" s="101"/>
      <c r="J479" s="110"/>
      <c r="K479" s="66" t="str">
        <f>IFNA(VLOOKUP(D479,'EAN Codes'!A:C,2,False),"")</f>
        <v/>
      </c>
      <c r="L479" s="35"/>
      <c r="M479" s="67"/>
      <c r="S479" s="60"/>
      <c r="U479" s="93" t="b">
        <v>1</v>
      </c>
      <c r="Z479" t="b">
        <v>0</v>
      </c>
    </row>
    <row r="480" hidden="1">
      <c r="A480" s="99">
        <v>531.0</v>
      </c>
      <c r="B480" s="99" t="s">
        <v>241</v>
      </c>
      <c r="C480" s="99" t="s">
        <v>950</v>
      </c>
      <c r="D480" s="99">
        <v>737402.0</v>
      </c>
      <c r="E480" s="99" t="s">
        <v>733</v>
      </c>
      <c r="F480" s="99" t="s">
        <v>3963</v>
      </c>
      <c r="G480" s="99" t="s">
        <v>793</v>
      </c>
      <c r="H480" s="99" t="s">
        <v>189</v>
      </c>
      <c r="I480" s="101"/>
      <c r="J480" s="110"/>
      <c r="K480" s="66" t="str">
        <f>IFNA(VLOOKUP(D480,'EAN Codes'!A:C,2,False),"")</f>
        <v/>
      </c>
      <c r="L480" s="99"/>
      <c r="M480" s="119"/>
      <c r="N480" s="99"/>
      <c r="O480" s="99"/>
      <c r="P480" s="99"/>
      <c r="Q480" s="99"/>
      <c r="R480" s="99"/>
      <c r="S480" s="104"/>
      <c r="T480" s="99"/>
      <c r="U480" s="93" t="b">
        <v>1</v>
      </c>
      <c r="V480" s="99" t="s">
        <v>3970</v>
      </c>
      <c r="Z480" t="b">
        <v>0</v>
      </c>
    </row>
    <row r="481" hidden="1">
      <c r="A481" s="86"/>
      <c r="B481" s="6" t="s">
        <v>241</v>
      </c>
      <c r="C481" s="86" t="s">
        <v>342</v>
      </c>
      <c r="D481" s="86" t="s">
        <v>3964</v>
      </c>
      <c r="E481" s="86" t="s">
        <v>346</v>
      </c>
      <c r="F481" s="86" t="s">
        <v>3963</v>
      </c>
      <c r="G481" s="86" t="s">
        <v>3971</v>
      </c>
      <c r="H481" s="86" t="s">
        <v>763</v>
      </c>
      <c r="I481" s="160"/>
      <c r="J481" s="161"/>
      <c r="K481" s="66" t="str">
        <f>IFNA(VLOOKUP(D481,'EAN Codes'!A:C,2,False),"")</f>
        <v>5907615808777</v>
      </c>
      <c r="L481" s="160"/>
      <c r="M481" s="159"/>
      <c r="N481" s="160"/>
      <c r="O481" s="160"/>
      <c r="P481" s="160"/>
      <c r="Q481" s="160"/>
      <c r="R481" s="160"/>
      <c r="S481" s="161"/>
      <c r="T481" s="160"/>
      <c r="U481" s="93" t="b">
        <v>1</v>
      </c>
      <c r="V481" s="160" t="s">
        <v>3972</v>
      </c>
      <c r="X481" s="101"/>
      <c r="Y481" s="82"/>
      <c r="Z481" t="b">
        <v>0</v>
      </c>
    </row>
    <row r="482" hidden="1">
      <c r="A482" s="99">
        <v>843.0</v>
      </c>
      <c r="B482" s="99" t="s">
        <v>241</v>
      </c>
      <c r="C482" s="99" t="s">
        <v>1813</v>
      </c>
      <c r="D482" s="99" t="s">
        <v>3973</v>
      </c>
      <c r="E482" s="217" t="s">
        <v>346</v>
      </c>
      <c r="F482" s="99" t="s">
        <v>3974</v>
      </c>
      <c r="G482" s="99" t="s">
        <v>3954</v>
      </c>
      <c r="H482" s="99" t="s">
        <v>189</v>
      </c>
      <c r="I482" s="99" t="s">
        <v>458</v>
      </c>
      <c r="J482" s="104"/>
      <c r="K482" s="66" t="str">
        <f>IFNA(VLOOKUP(D482,'EAN Codes'!A:C,2,False),"")</f>
        <v/>
      </c>
      <c r="L482" s="101"/>
      <c r="M482" s="83"/>
      <c r="N482" s="6"/>
      <c r="O482" s="6"/>
      <c r="P482" s="6"/>
      <c r="Q482" s="6"/>
      <c r="R482" s="6"/>
      <c r="S482" s="84"/>
      <c r="T482" s="6"/>
      <c r="U482" s="93" t="b">
        <v>1</v>
      </c>
      <c r="V482" s="6" t="s">
        <v>3975</v>
      </c>
      <c r="Z482" t="b">
        <v>0</v>
      </c>
    </row>
    <row r="483" hidden="1">
      <c r="A483" s="99">
        <v>663.0</v>
      </c>
      <c r="B483" s="99" t="s">
        <v>181</v>
      </c>
      <c r="C483" s="86" t="s">
        <v>408</v>
      </c>
      <c r="D483" s="99">
        <v>3.45155300107E11</v>
      </c>
      <c r="E483" s="99" t="s">
        <v>733</v>
      </c>
      <c r="F483" s="99" t="s">
        <v>3963</v>
      </c>
      <c r="G483" s="99" t="s">
        <v>3976</v>
      </c>
      <c r="H483" s="99" t="s">
        <v>189</v>
      </c>
      <c r="I483" s="101"/>
      <c r="J483" s="110"/>
      <c r="K483" s="66" t="str">
        <f>IFNA(VLOOKUP(D483,'EAN Codes'!A:C,2,False),"")</f>
        <v/>
      </c>
      <c r="L483" s="101"/>
      <c r="M483" s="119"/>
      <c r="N483" s="99"/>
      <c r="O483" s="99"/>
      <c r="P483" s="99"/>
      <c r="Q483" s="99"/>
      <c r="R483" s="99"/>
      <c r="S483" s="104"/>
      <c r="T483" s="99"/>
      <c r="U483" s="93" t="b">
        <v>1</v>
      </c>
      <c r="V483" s="99" t="s">
        <v>3977</v>
      </c>
      <c r="Y483" s="6" t="s">
        <v>452</v>
      </c>
      <c r="Z483" t="b">
        <v>0</v>
      </c>
    </row>
    <row r="484" hidden="1">
      <c r="A484" s="86">
        <v>754.0</v>
      </c>
      <c r="B484" s="99" t="s">
        <v>181</v>
      </c>
      <c r="C484" s="99" t="s">
        <v>1180</v>
      </c>
      <c r="D484" s="99">
        <v>191113.0</v>
      </c>
      <c r="E484" s="99" t="s">
        <v>1110</v>
      </c>
      <c r="F484" s="99" t="s">
        <v>3963</v>
      </c>
      <c r="G484" s="153">
        <v>43693.0</v>
      </c>
      <c r="H484" s="99" t="s">
        <v>189</v>
      </c>
      <c r="I484" s="99" t="s">
        <v>3978</v>
      </c>
      <c r="J484" s="104"/>
      <c r="K484" s="66" t="str">
        <f>IFNA(VLOOKUP(D484,'EAN Codes'!A:C,2,False),"")</f>
        <v/>
      </c>
      <c r="L484" s="82"/>
      <c r="M484" s="67"/>
      <c r="S484" s="60"/>
      <c r="U484" s="93" t="b">
        <v>1</v>
      </c>
      <c r="Z484" t="b">
        <v>0</v>
      </c>
    </row>
    <row r="485" hidden="1">
      <c r="A485" s="86">
        <v>632.0</v>
      </c>
      <c r="B485" s="86" t="s">
        <v>241</v>
      </c>
      <c r="C485" s="86" t="s">
        <v>342</v>
      </c>
      <c r="D485" s="86" t="s">
        <v>3979</v>
      </c>
      <c r="E485" s="86" t="s">
        <v>409</v>
      </c>
      <c r="F485" s="86" t="s">
        <v>3963</v>
      </c>
      <c r="G485" s="86" t="s">
        <v>3980</v>
      </c>
      <c r="H485" s="99" t="s">
        <v>189</v>
      </c>
      <c r="I485" s="86" t="s">
        <v>570</v>
      </c>
      <c r="J485" s="88"/>
      <c r="K485" s="66" t="str">
        <f>IFNA(VLOOKUP(D485,'EAN Codes'!A:C,2,False),"")</f>
        <v>5907615808784</v>
      </c>
      <c r="L485" s="86" t="s">
        <v>269</v>
      </c>
      <c r="M485" s="92"/>
      <c r="N485" s="86"/>
      <c r="O485" s="86"/>
      <c r="P485" s="86"/>
      <c r="Q485" s="86"/>
      <c r="R485" s="86"/>
      <c r="S485" s="88"/>
      <c r="T485" s="86"/>
      <c r="U485" s="93" t="b">
        <v>1</v>
      </c>
      <c r="V485" s="86" t="s">
        <v>3981</v>
      </c>
      <c r="Z485" t="b">
        <v>0</v>
      </c>
    </row>
    <row r="486" hidden="1">
      <c r="A486" s="99">
        <v>544.0</v>
      </c>
      <c r="B486" s="99" t="s">
        <v>241</v>
      </c>
      <c r="C486" s="99" t="s">
        <v>342</v>
      </c>
      <c r="D486" s="99" t="s">
        <v>3964</v>
      </c>
      <c r="E486" s="99" t="s">
        <v>346</v>
      </c>
      <c r="F486" s="282" t="s">
        <v>3982</v>
      </c>
      <c r="G486" s="282" t="s">
        <v>375</v>
      </c>
      <c r="H486" s="99" t="s">
        <v>189</v>
      </c>
      <c r="I486" s="99" t="s">
        <v>570</v>
      </c>
      <c r="J486" s="104"/>
      <c r="K486" s="66" t="str">
        <f>IFNA(VLOOKUP(D486,'EAN Codes'!A:C,2,False),"")</f>
        <v>5907615808777</v>
      </c>
      <c r="L486" s="82"/>
      <c r="M486" s="83"/>
      <c r="N486" s="6"/>
      <c r="O486" s="6"/>
      <c r="P486" s="6"/>
      <c r="Q486" s="6"/>
      <c r="R486" s="6"/>
      <c r="S486" s="84"/>
      <c r="T486" s="6"/>
      <c r="U486" s="93" t="b">
        <v>1</v>
      </c>
      <c r="V486" s="6" t="s">
        <v>3983</v>
      </c>
      <c r="Z486" t="b">
        <v>0</v>
      </c>
    </row>
    <row r="487" hidden="1">
      <c r="A487" s="99"/>
      <c r="B487" s="99"/>
      <c r="C487" s="99" t="s">
        <v>408</v>
      </c>
      <c r="D487" s="99" t="s">
        <v>3984</v>
      </c>
      <c r="E487" s="99" t="s">
        <v>346</v>
      </c>
      <c r="F487" s="99" t="s">
        <v>3982</v>
      </c>
      <c r="G487" s="99" t="s">
        <v>1013</v>
      </c>
      <c r="H487" s="99" t="s">
        <v>1726</v>
      </c>
      <c r="I487" s="99" t="s">
        <v>458</v>
      </c>
      <c r="J487" s="104"/>
      <c r="K487" s="66" t="str">
        <f>IFNA(VLOOKUP(D487,'EAN Codes'!A:C,2,False),"")</f>
        <v/>
      </c>
      <c r="L487" s="35"/>
      <c r="M487" s="119"/>
      <c r="N487" s="99"/>
      <c r="O487" s="99"/>
      <c r="P487" s="99"/>
      <c r="Q487" s="99"/>
      <c r="R487" s="99"/>
      <c r="S487" s="104"/>
      <c r="T487" s="99"/>
      <c r="U487" s="93" t="b">
        <v>1</v>
      </c>
      <c r="V487" s="99" t="s">
        <v>3985</v>
      </c>
      <c r="Z487" t="b">
        <v>0</v>
      </c>
    </row>
    <row r="488" hidden="1">
      <c r="A488" s="99">
        <v>316.0</v>
      </c>
      <c r="B488" s="99" t="s">
        <v>241</v>
      </c>
      <c r="C488" s="99" t="s">
        <v>342</v>
      </c>
      <c r="D488" s="99" t="s">
        <v>3964</v>
      </c>
      <c r="E488" s="99" t="s">
        <v>346</v>
      </c>
      <c r="F488" s="99" t="s">
        <v>3982</v>
      </c>
      <c r="G488" s="282" t="s">
        <v>375</v>
      </c>
      <c r="H488" s="99" t="s">
        <v>189</v>
      </c>
      <c r="I488" s="99" t="s">
        <v>1634</v>
      </c>
      <c r="J488" s="104"/>
      <c r="K488" s="66" t="str">
        <f>IFNA(VLOOKUP(D488,'EAN Codes'!A:C,2,False),"")</f>
        <v>5907615808777</v>
      </c>
      <c r="L488" s="99"/>
      <c r="M488" s="119"/>
      <c r="N488" s="99"/>
      <c r="O488" s="99"/>
      <c r="P488" s="99"/>
      <c r="Q488" s="99"/>
      <c r="R488" s="99"/>
      <c r="S488" s="104"/>
      <c r="T488" s="99"/>
      <c r="U488" s="93" t="b">
        <v>1</v>
      </c>
      <c r="V488" s="99" t="s">
        <v>3986</v>
      </c>
      <c r="W488" s="6"/>
      <c r="Z488" t="b">
        <v>0</v>
      </c>
    </row>
    <row r="489" hidden="1">
      <c r="A489" s="99">
        <v>10.0</v>
      </c>
      <c r="B489" s="6"/>
      <c r="C489" s="6" t="s">
        <v>731</v>
      </c>
      <c r="D489" s="99" t="s">
        <v>3987</v>
      </c>
      <c r="E489" s="99" t="s">
        <v>733</v>
      </c>
      <c r="F489" s="99" t="s">
        <v>3982</v>
      </c>
      <c r="G489" s="99" t="s">
        <v>3988</v>
      </c>
      <c r="J489" s="60"/>
      <c r="K489" s="66" t="str">
        <f>IFNA(VLOOKUP(D489,'EAN Codes'!A:C,2,False),"")</f>
        <v/>
      </c>
      <c r="L489" s="6"/>
      <c r="M489" s="67"/>
      <c r="S489" s="60"/>
      <c r="U489" s="93" t="b">
        <v>1</v>
      </c>
      <c r="Z489" t="b">
        <v>0</v>
      </c>
    </row>
    <row r="490" hidden="1">
      <c r="A490" s="99">
        <v>751.0</v>
      </c>
      <c r="B490" s="99" t="s">
        <v>241</v>
      </c>
      <c r="C490" s="99" t="s">
        <v>1966</v>
      </c>
      <c r="D490" s="99" t="s">
        <v>3989</v>
      </c>
      <c r="E490" s="99" t="s">
        <v>373</v>
      </c>
      <c r="F490" s="99" t="s">
        <v>3982</v>
      </c>
      <c r="G490" s="153">
        <v>43693.0</v>
      </c>
      <c r="H490" s="99" t="s">
        <v>189</v>
      </c>
      <c r="I490" s="99" t="s">
        <v>1634</v>
      </c>
      <c r="J490" s="104"/>
      <c r="K490" s="66" t="str">
        <f>IFNA(VLOOKUP(D490,'EAN Codes'!A:C,2,False),"")</f>
        <v/>
      </c>
      <c r="L490" s="101"/>
      <c r="M490" s="119"/>
      <c r="N490" s="99"/>
      <c r="O490" s="99"/>
      <c r="P490" s="99"/>
      <c r="Q490" s="99"/>
      <c r="R490" s="99"/>
      <c r="S490" s="104"/>
      <c r="T490" s="99"/>
      <c r="U490" s="93" t="b">
        <v>1</v>
      </c>
      <c r="V490" s="99" t="s">
        <v>3990</v>
      </c>
      <c r="Z490" t="b">
        <v>0</v>
      </c>
    </row>
    <row r="491" hidden="1">
      <c r="A491" s="99">
        <v>232.0</v>
      </c>
      <c r="B491" s="99"/>
      <c r="C491" s="99" t="s">
        <v>342</v>
      </c>
      <c r="D491" s="99" t="s">
        <v>3696</v>
      </c>
      <c r="E491" s="99" t="s">
        <v>346</v>
      </c>
      <c r="F491" s="99" t="s">
        <v>3991</v>
      </c>
      <c r="G491" s="99" t="s">
        <v>793</v>
      </c>
      <c r="H491" s="99" t="s">
        <v>189</v>
      </c>
      <c r="I491" s="99" t="s">
        <v>1634</v>
      </c>
      <c r="J491" s="104"/>
      <c r="K491" s="66" t="str">
        <f>IFNA(VLOOKUP(D491,'EAN Codes'!A:C,2,False),"")</f>
        <v>5907615807503</v>
      </c>
      <c r="L491" s="35"/>
      <c r="M491" s="67"/>
      <c r="S491" s="60"/>
      <c r="U491" s="93" t="b">
        <v>1</v>
      </c>
      <c r="Z491" t="b">
        <v>0</v>
      </c>
    </row>
    <row r="492" hidden="1">
      <c r="A492" s="99">
        <v>854.0</v>
      </c>
      <c r="B492" s="99" t="s">
        <v>241</v>
      </c>
      <c r="C492" s="99" t="s">
        <v>342</v>
      </c>
      <c r="D492" s="99" t="s">
        <v>3964</v>
      </c>
      <c r="E492" s="99" t="s">
        <v>346</v>
      </c>
      <c r="F492" s="99" t="s">
        <v>3992</v>
      </c>
      <c r="G492" s="99" t="s">
        <v>3993</v>
      </c>
      <c r="H492" s="99" t="s">
        <v>189</v>
      </c>
      <c r="I492" s="99" t="s">
        <v>458</v>
      </c>
      <c r="J492" s="104"/>
      <c r="K492" s="66" t="str">
        <f>IFNA(VLOOKUP(D492,'EAN Codes'!A:C,2,False),"")</f>
        <v>5907615808777</v>
      </c>
      <c r="L492" s="101"/>
      <c r="M492" s="119"/>
      <c r="N492" s="99"/>
      <c r="O492" s="99"/>
      <c r="P492" s="99"/>
      <c r="Q492" s="99"/>
      <c r="R492" s="99"/>
      <c r="S492" s="104"/>
      <c r="T492" s="99"/>
      <c r="U492" s="93" t="b">
        <v>1</v>
      </c>
      <c r="V492" s="99" t="s">
        <v>3994</v>
      </c>
      <c r="Z492" t="b">
        <v>0</v>
      </c>
    </row>
    <row r="493" hidden="1">
      <c r="B493" s="122" t="s">
        <v>241</v>
      </c>
      <c r="C493" s="122" t="s">
        <v>3701</v>
      </c>
      <c r="D493" s="222" t="s">
        <v>3911</v>
      </c>
      <c r="E493" s="122" t="s">
        <v>373</v>
      </c>
      <c r="F493" s="122" t="s">
        <v>3924</v>
      </c>
      <c r="G493" s="122" t="s">
        <v>793</v>
      </c>
      <c r="H493" s="122" t="s">
        <v>189</v>
      </c>
      <c r="I493" s="122" t="s">
        <v>1863</v>
      </c>
      <c r="J493" s="354"/>
      <c r="K493" s="66" t="str">
        <f>IFNA(VLOOKUP(D493,'EAN Codes'!A:C,2,False),"")</f>
        <v/>
      </c>
      <c r="L493" s="82"/>
      <c r="M493" s="67"/>
      <c r="S493" s="60"/>
      <c r="U493" s="93" t="b">
        <v>1</v>
      </c>
      <c r="Z493" t="b">
        <v>0</v>
      </c>
    </row>
    <row r="494" hidden="1">
      <c r="A494" s="99">
        <v>838.0</v>
      </c>
      <c r="B494" s="99" t="s">
        <v>241</v>
      </c>
      <c r="C494" s="99" t="s">
        <v>342</v>
      </c>
      <c r="D494" s="99" t="s">
        <v>3696</v>
      </c>
      <c r="E494" s="99" t="s">
        <v>346</v>
      </c>
      <c r="F494" s="99" t="s">
        <v>3995</v>
      </c>
      <c r="G494" s="99" t="s">
        <v>3996</v>
      </c>
      <c r="H494" s="99" t="s">
        <v>3997</v>
      </c>
      <c r="I494" s="101"/>
      <c r="J494" s="110"/>
      <c r="K494" s="66" t="str">
        <f>IFNA(VLOOKUP(D494,'EAN Codes'!A:C,2,False),"")</f>
        <v>5907615807503</v>
      </c>
      <c r="L494" s="101"/>
      <c r="M494" s="119"/>
      <c r="N494" s="99"/>
      <c r="O494" s="99"/>
      <c r="P494" s="99"/>
      <c r="Q494" s="99"/>
      <c r="R494" s="99"/>
      <c r="S494" s="104"/>
      <c r="T494" s="99"/>
      <c r="U494" s="93" t="b">
        <v>1</v>
      </c>
      <c r="V494" s="99" t="s">
        <v>3998</v>
      </c>
      <c r="Z494" t="b">
        <v>0</v>
      </c>
    </row>
    <row r="495" hidden="1">
      <c r="A495" s="99">
        <v>811.0</v>
      </c>
      <c r="B495" s="99" t="s">
        <v>241</v>
      </c>
      <c r="C495" s="99" t="s">
        <v>1813</v>
      </c>
      <c r="D495" s="99" t="s">
        <v>3973</v>
      </c>
      <c r="E495" s="99" t="s">
        <v>346</v>
      </c>
      <c r="F495" s="99" t="s">
        <v>3995</v>
      </c>
      <c r="G495" s="99" t="s">
        <v>3996</v>
      </c>
      <c r="H495" s="99" t="s">
        <v>3999</v>
      </c>
      <c r="I495" s="101"/>
      <c r="J495" s="110"/>
      <c r="K495" s="66" t="str">
        <f>IFNA(VLOOKUP(D495,'EAN Codes'!A:C,2,False),"")</f>
        <v/>
      </c>
      <c r="L495" s="101"/>
      <c r="M495" s="119"/>
      <c r="N495" s="99"/>
      <c r="O495" s="99"/>
      <c r="P495" s="99"/>
      <c r="Q495" s="99"/>
      <c r="R495" s="99"/>
      <c r="S495" s="104"/>
      <c r="T495" s="99"/>
      <c r="U495" s="93" t="b">
        <v>1</v>
      </c>
      <c r="V495" s="99" t="s">
        <v>4000</v>
      </c>
      <c r="X495" s="6" t="s">
        <v>4001</v>
      </c>
      <c r="Z495" t="b">
        <v>0</v>
      </c>
    </row>
    <row r="496" hidden="1">
      <c r="A496" s="99">
        <v>5.0</v>
      </c>
      <c r="B496" s="86"/>
      <c r="C496" s="86" t="s">
        <v>1966</v>
      </c>
      <c r="D496" s="86" t="s">
        <v>4002</v>
      </c>
      <c r="E496" s="86" t="s">
        <v>346</v>
      </c>
      <c r="F496" s="86" t="s">
        <v>4003</v>
      </c>
      <c r="G496" s="86" t="s">
        <v>375</v>
      </c>
      <c r="H496" s="99" t="s">
        <v>3559</v>
      </c>
      <c r="I496" s="115"/>
      <c r="J496" s="263"/>
      <c r="K496" s="66" t="str">
        <f>IFNA(VLOOKUP(D496,'EAN Codes'!A:C,2,False),"")</f>
        <v/>
      </c>
      <c r="L496" s="160"/>
      <c r="M496" s="262"/>
      <c r="N496" s="115"/>
      <c r="O496" s="115"/>
      <c r="P496" s="115"/>
      <c r="Q496" s="115"/>
      <c r="R496" s="115"/>
      <c r="S496" s="263"/>
      <c r="T496" s="115"/>
      <c r="U496" s="93" t="b">
        <v>1</v>
      </c>
      <c r="V496" s="115"/>
      <c r="W496" s="115"/>
      <c r="Z496" t="b">
        <v>0</v>
      </c>
    </row>
    <row r="497" hidden="1">
      <c r="A497" s="99">
        <v>8.0</v>
      </c>
      <c r="B497" s="86"/>
      <c r="C497" s="86" t="s">
        <v>342</v>
      </c>
      <c r="D497" s="86" t="s">
        <v>3964</v>
      </c>
      <c r="E497" s="86" t="s">
        <v>346</v>
      </c>
      <c r="F497" s="86" t="s">
        <v>4003</v>
      </c>
      <c r="G497" s="86" t="s">
        <v>375</v>
      </c>
      <c r="H497" s="99" t="s">
        <v>512</v>
      </c>
      <c r="I497" s="106"/>
      <c r="J497" s="274"/>
      <c r="K497" s="66" t="str">
        <f>IFNA(VLOOKUP(D497,'EAN Codes'!A:C,2,False),"")</f>
        <v>5907615808777</v>
      </c>
      <c r="L497" s="160"/>
      <c r="M497" s="276"/>
      <c r="N497" s="106"/>
      <c r="O497" s="106"/>
      <c r="P497" s="106"/>
      <c r="Q497" s="106"/>
      <c r="R497" s="106"/>
      <c r="S497" s="274"/>
      <c r="T497" s="106"/>
      <c r="U497" s="93" t="b">
        <v>1</v>
      </c>
      <c r="V497" s="106"/>
      <c r="W497" s="106"/>
      <c r="Z497" t="b">
        <v>0</v>
      </c>
    </row>
    <row r="498" hidden="1">
      <c r="A498" s="99">
        <v>693.0</v>
      </c>
      <c r="B498" s="99" t="s">
        <v>241</v>
      </c>
      <c r="C498" s="99" t="s">
        <v>342</v>
      </c>
      <c r="D498" s="99" t="s">
        <v>3696</v>
      </c>
      <c r="E498" s="99" t="s">
        <v>346</v>
      </c>
      <c r="F498" s="99" t="s">
        <v>4004</v>
      </c>
      <c r="G498" s="99" t="s">
        <v>793</v>
      </c>
      <c r="H498" s="99" t="s">
        <v>189</v>
      </c>
      <c r="I498" s="99" t="s">
        <v>1863</v>
      </c>
      <c r="J498" s="104"/>
      <c r="K498" s="66" t="str">
        <f>IFNA(VLOOKUP(D498,'EAN Codes'!A:C,2,False),"")</f>
        <v>5907615807503</v>
      </c>
      <c r="L498" s="99" t="s">
        <v>269</v>
      </c>
      <c r="M498" s="119"/>
      <c r="N498" s="99"/>
      <c r="O498" s="99"/>
      <c r="P498" s="99"/>
      <c r="Q498" s="99"/>
      <c r="R498" s="99"/>
      <c r="S498" s="104"/>
      <c r="T498" s="99"/>
      <c r="U498" s="93" t="b">
        <v>1</v>
      </c>
      <c r="V498" s="99" t="s">
        <v>4012</v>
      </c>
      <c r="Z498" t="b">
        <v>0</v>
      </c>
    </row>
    <row r="499" hidden="1">
      <c r="A499" s="99">
        <v>89.0</v>
      </c>
      <c r="B499" s="6" t="s">
        <v>241</v>
      </c>
      <c r="C499" s="99" t="s">
        <v>1217</v>
      </c>
      <c r="D499" s="99" t="s">
        <v>3968</v>
      </c>
      <c r="E499" s="99" t="s">
        <v>409</v>
      </c>
      <c r="F499" s="99" t="s">
        <v>4015</v>
      </c>
      <c r="G499" s="99" t="s">
        <v>3966</v>
      </c>
      <c r="H499" s="101"/>
      <c r="I499" s="99" t="s">
        <v>1634</v>
      </c>
      <c r="J499" s="104"/>
      <c r="K499" s="66" t="str">
        <f>IFNA(VLOOKUP(D499,'EAN Codes'!A:C,2,False),"")</f>
        <v>27909</v>
      </c>
      <c r="L499" s="99"/>
      <c r="M499" s="119"/>
      <c r="N499" s="99"/>
      <c r="O499" s="99"/>
      <c r="P499" s="99"/>
      <c r="Q499" s="99"/>
      <c r="R499" s="99"/>
      <c r="S499" s="104"/>
      <c r="T499" s="99"/>
      <c r="U499" s="93" t="b">
        <v>1</v>
      </c>
      <c r="V499" s="99" t="s">
        <v>4020</v>
      </c>
      <c r="X499" s="101"/>
      <c r="Y499" s="82"/>
      <c r="Z499" t="b">
        <v>0</v>
      </c>
    </row>
    <row r="500" hidden="1">
      <c r="A500" s="99"/>
      <c r="B500" s="99"/>
      <c r="C500" s="99" t="s">
        <v>342</v>
      </c>
      <c r="D500" s="99" t="s">
        <v>3696</v>
      </c>
      <c r="E500" s="99" t="s">
        <v>346</v>
      </c>
      <c r="F500" s="99" t="s">
        <v>4015</v>
      </c>
      <c r="G500" s="99" t="s">
        <v>751</v>
      </c>
      <c r="H500" s="99" t="s">
        <v>2253</v>
      </c>
      <c r="I500" s="101"/>
      <c r="J500" s="110"/>
      <c r="K500" s="66" t="str">
        <f>IFNA(VLOOKUP(D500,'EAN Codes'!A:C,2,False),"")</f>
        <v>5907615807503</v>
      </c>
      <c r="L500" s="35"/>
      <c r="M500" s="67"/>
      <c r="S500" s="60"/>
      <c r="U500" s="93" t="b">
        <v>1</v>
      </c>
      <c r="Z500" t="b">
        <v>0</v>
      </c>
    </row>
    <row r="501" hidden="1">
      <c r="A501" s="6">
        <v>39.0</v>
      </c>
      <c r="B501" s="6" t="s">
        <v>241</v>
      </c>
      <c r="C501" s="6" t="s">
        <v>408</v>
      </c>
      <c r="E501" s="6" t="s">
        <v>2639</v>
      </c>
      <c r="F501" s="6" t="s">
        <v>4021</v>
      </c>
      <c r="H501" s="6" t="s">
        <v>512</v>
      </c>
      <c r="J501" s="60"/>
      <c r="K501" s="66" t="str">
        <f>IFNA(VLOOKUP(D501,'EAN Codes'!A:C,2,False),"")</f>
        <v/>
      </c>
      <c r="L501" s="82"/>
      <c r="M501" s="67"/>
      <c r="S501" s="60"/>
      <c r="U501" s="93" t="b">
        <v>1</v>
      </c>
      <c r="Z501" t="b">
        <v>0</v>
      </c>
    </row>
    <row r="502" hidden="1">
      <c r="A502" s="99">
        <v>74.0</v>
      </c>
      <c r="B502" s="6" t="s">
        <v>241</v>
      </c>
      <c r="C502" s="99" t="s">
        <v>342</v>
      </c>
      <c r="D502" s="99" t="s">
        <v>4022</v>
      </c>
      <c r="E502" s="99" t="s">
        <v>409</v>
      </c>
      <c r="F502" s="99" t="s">
        <v>4023</v>
      </c>
      <c r="G502" s="99" t="s">
        <v>2009</v>
      </c>
      <c r="H502" s="99" t="s">
        <v>135</v>
      </c>
      <c r="I502" s="99" t="s">
        <v>1007</v>
      </c>
      <c r="J502" s="104"/>
      <c r="K502" s="66" t="str">
        <f>IFNA(VLOOKUP(D502,'EAN Codes'!A:C,2,False),"")</f>
        <v>5907615809361</v>
      </c>
      <c r="L502" s="99"/>
      <c r="M502" s="119"/>
      <c r="N502" s="99"/>
      <c r="O502" s="99"/>
      <c r="P502" s="99"/>
      <c r="Q502" s="99"/>
      <c r="R502" s="99"/>
      <c r="S502" s="104"/>
      <c r="T502" s="99"/>
      <c r="U502" s="93" t="b">
        <v>1</v>
      </c>
      <c r="V502" s="99" t="s">
        <v>4024</v>
      </c>
      <c r="X502" s="101"/>
      <c r="Y502" s="101"/>
      <c r="Z502" t="b">
        <v>0</v>
      </c>
    </row>
    <row r="503" hidden="1">
      <c r="B503" s="122" t="s">
        <v>241</v>
      </c>
      <c r="C503" s="122" t="s">
        <v>3701</v>
      </c>
      <c r="D503" s="120" t="s">
        <v>3911</v>
      </c>
      <c r="E503" s="122" t="s">
        <v>373</v>
      </c>
      <c r="F503" s="122" t="s">
        <v>3924</v>
      </c>
      <c r="G503" s="122" t="s">
        <v>793</v>
      </c>
      <c r="H503" s="122" t="s">
        <v>189</v>
      </c>
      <c r="I503" s="122" t="s">
        <v>1863</v>
      </c>
      <c r="J503" s="354"/>
      <c r="K503" s="66" t="str">
        <f>IFNA(VLOOKUP(D503,'EAN Codes'!A:C,2,False),"")</f>
        <v/>
      </c>
      <c r="L503" s="82"/>
      <c r="M503" s="67"/>
      <c r="S503" s="60"/>
      <c r="U503" s="93" t="b">
        <v>1</v>
      </c>
      <c r="Z503" t="b">
        <v>0</v>
      </c>
    </row>
    <row r="504" hidden="1">
      <c r="A504" s="99">
        <v>85.0</v>
      </c>
      <c r="B504" s="99"/>
      <c r="C504" s="99" t="s">
        <v>342</v>
      </c>
      <c r="D504" s="99" t="s">
        <v>4025</v>
      </c>
      <c r="E504" s="99" t="s">
        <v>346</v>
      </c>
      <c r="F504" s="99" t="s">
        <v>4026</v>
      </c>
      <c r="G504" s="99" t="s">
        <v>1005</v>
      </c>
      <c r="H504" s="99" t="s">
        <v>135</v>
      </c>
      <c r="J504" s="60"/>
      <c r="K504" s="66" t="str">
        <f>IFNA(VLOOKUP(D504,'EAN Codes'!A:C,2,False),"")</f>
        <v>5907615809330</v>
      </c>
      <c r="L504" s="35"/>
      <c r="M504" s="67"/>
      <c r="S504" s="60"/>
      <c r="U504" s="93" t="b">
        <v>1</v>
      </c>
      <c r="Z504" t="b">
        <v>0</v>
      </c>
    </row>
    <row r="505" hidden="1">
      <c r="A505" s="99">
        <v>416.0</v>
      </c>
      <c r="B505" s="99" t="s">
        <v>241</v>
      </c>
      <c r="C505" s="99" t="s">
        <v>1759</v>
      </c>
      <c r="D505" s="99">
        <v>8.86E7</v>
      </c>
      <c r="E505" s="99" t="s">
        <v>4027</v>
      </c>
      <c r="F505" s="99" t="s">
        <v>4028</v>
      </c>
      <c r="G505" s="101"/>
      <c r="H505" s="101"/>
      <c r="I505" s="99" t="s">
        <v>2489</v>
      </c>
      <c r="J505" s="104"/>
      <c r="K505" s="66" t="str">
        <f>IFNA(VLOOKUP(D505,'EAN Codes'!A:C,2,False),"")</f>
        <v/>
      </c>
      <c r="L505" s="99"/>
      <c r="M505" s="119"/>
      <c r="N505" s="99"/>
      <c r="O505" s="99"/>
      <c r="P505" s="99"/>
      <c r="Q505" s="99"/>
      <c r="R505" s="99"/>
      <c r="S505" s="104"/>
      <c r="T505" s="99"/>
      <c r="U505" s="93" t="b">
        <v>1</v>
      </c>
      <c r="V505" s="99" t="s">
        <v>4029</v>
      </c>
      <c r="Z505" t="b">
        <v>0</v>
      </c>
    </row>
    <row r="506" hidden="1">
      <c r="A506" s="99">
        <v>425.0</v>
      </c>
      <c r="B506" s="99" t="s">
        <v>2651</v>
      </c>
      <c r="C506" s="99" t="s">
        <v>1759</v>
      </c>
      <c r="D506" s="99">
        <v>8.86E7</v>
      </c>
      <c r="E506" s="99" t="s">
        <v>4027</v>
      </c>
      <c r="F506" s="99" t="s">
        <v>4028</v>
      </c>
      <c r="G506" s="101"/>
      <c r="H506" s="99" t="s">
        <v>189</v>
      </c>
      <c r="I506" s="99" t="s">
        <v>2489</v>
      </c>
      <c r="J506" s="104"/>
      <c r="K506" s="66" t="str">
        <f>IFNA(VLOOKUP(D506,'EAN Codes'!A:C,2,False),"")</f>
        <v/>
      </c>
      <c r="L506" s="99"/>
      <c r="M506" s="119"/>
      <c r="N506" s="99"/>
      <c r="O506" s="99"/>
      <c r="P506" s="99"/>
      <c r="Q506" s="99"/>
      <c r="R506" s="99"/>
      <c r="S506" s="104"/>
      <c r="T506" s="99"/>
      <c r="U506" s="93" t="b">
        <v>1</v>
      </c>
      <c r="V506" s="99" t="s">
        <v>4030</v>
      </c>
      <c r="Z506" t="b">
        <v>0</v>
      </c>
    </row>
    <row r="507" hidden="1">
      <c r="A507" s="99">
        <v>489.0</v>
      </c>
      <c r="B507" s="99" t="s">
        <v>241</v>
      </c>
      <c r="C507" s="99" t="s">
        <v>342</v>
      </c>
      <c r="D507" s="99" t="s">
        <v>4031</v>
      </c>
      <c r="E507" s="99" t="s">
        <v>373</v>
      </c>
      <c r="F507" s="99" t="s">
        <v>4032</v>
      </c>
      <c r="G507" s="101"/>
      <c r="H507" s="99" t="s">
        <v>189</v>
      </c>
      <c r="I507" s="99" t="s">
        <v>570</v>
      </c>
      <c r="J507" s="104"/>
      <c r="K507" s="66" t="str">
        <f>IFNA(VLOOKUP(D507,'EAN Codes'!A:C,2,False),"")</f>
        <v>5907615809576</v>
      </c>
      <c r="L507" s="99" t="s">
        <v>269</v>
      </c>
      <c r="M507" s="119"/>
      <c r="N507" s="99"/>
      <c r="O507" s="99"/>
      <c r="P507" s="99"/>
      <c r="Q507" s="99"/>
      <c r="R507" s="99"/>
      <c r="S507" s="104"/>
      <c r="T507" s="99"/>
      <c r="U507" s="93" t="b">
        <v>1</v>
      </c>
      <c r="V507" s="99" t="s">
        <v>4033</v>
      </c>
      <c r="Z507" t="b">
        <v>0</v>
      </c>
    </row>
    <row r="508" hidden="1">
      <c r="B508" s="99" t="s">
        <v>241</v>
      </c>
      <c r="C508" s="99" t="s">
        <v>408</v>
      </c>
      <c r="D508" s="100" t="s">
        <v>4034</v>
      </c>
      <c r="E508" s="99" t="s">
        <v>346</v>
      </c>
      <c r="F508" s="99" t="s">
        <v>4035</v>
      </c>
      <c r="G508" s="99" t="s">
        <v>4036</v>
      </c>
      <c r="H508" s="99" t="s">
        <v>135</v>
      </c>
      <c r="I508" s="101"/>
      <c r="J508" s="110"/>
      <c r="K508" s="107" t="str">
        <f>IFNA(VLOOKUP(D508,'EAN Codes'!A:C,2,False),"")</f>
        <v>4250557514895</v>
      </c>
      <c r="L508" s="101"/>
      <c r="M508" s="119"/>
      <c r="N508" s="99"/>
      <c r="O508" s="99"/>
      <c r="P508" s="99"/>
      <c r="Q508" s="99"/>
      <c r="R508" s="99"/>
      <c r="S508" s="104"/>
      <c r="T508" s="99"/>
      <c r="U508" s="93" t="b">
        <v>1</v>
      </c>
      <c r="V508" s="99" t="s">
        <v>4037</v>
      </c>
      <c r="Z508" t="b">
        <v>0</v>
      </c>
    </row>
    <row r="509" hidden="1">
      <c r="A509" s="99">
        <v>65.0</v>
      </c>
      <c r="B509" s="99" t="s">
        <v>241</v>
      </c>
      <c r="C509" s="99" t="s">
        <v>3751</v>
      </c>
      <c r="D509" s="99">
        <v>284100.0</v>
      </c>
      <c r="E509" s="99" t="s">
        <v>346</v>
      </c>
      <c r="F509" s="99" t="s">
        <v>4038</v>
      </c>
      <c r="G509" s="99" t="s">
        <v>4039</v>
      </c>
      <c r="H509" s="99" t="s">
        <v>135</v>
      </c>
      <c r="I509" s="99" t="s">
        <v>1328</v>
      </c>
      <c r="J509" s="104"/>
      <c r="K509" s="66" t="str">
        <f>IFNA(VLOOKUP(D509,'EAN Codes'!A:C,2,False),"")</f>
        <v/>
      </c>
      <c r="L509" s="99"/>
      <c r="M509" s="119"/>
      <c r="N509" s="99"/>
      <c r="O509" s="99"/>
      <c r="P509" s="99"/>
      <c r="Q509" s="99"/>
      <c r="R509" s="99"/>
      <c r="S509" s="104"/>
      <c r="T509" s="99"/>
      <c r="U509" s="93" t="b">
        <v>1</v>
      </c>
      <c r="V509" s="99" t="s">
        <v>4040</v>
      </c>
      <c r="Z509" t="b">
        <v>0</v>
      </c>
    </row>
    <row r="510" hidden="1">
      <c r="A510" s="99">
        <v>734.0</v>
      </c>
      <c r="B510" s="99" t="s">
        <v>241</v>
      </c>
      <c r="C510" s="99" t="s">
        <v>1250</v>
      </c>
      <c r="D510" s="99" t="s">
        <v>4041</v>
      </c>
      <c r="E510" s="99" t="s">
        <v>346</v>
      </c>
      <c r="F510" s="99" t="s">
        <v>4042</v>
      </c>
      <c r="G510" s="99" t="s">
        <v>4043</v>
      </c>
      <c r="H510" s="99" t="s">
        <v>189</v>
      </c>
      <c r="I510" s="99" t="s">
        <v>570</v>
      </c>
      <c r="J510" s="104"/>
      <c r="K510" s="66" t="str">
        <f>IFNA(VLOOKUP(D510,'EAN Codes'!A:C,2,False),"")</f>
        <v>8058772223495</v>
      </c>
      <c r="L510" s="101"/>
      <c r="M510" s="119"/>
      <c r="N510" s="99"/>
      <c r="O510" s="99"/>
      <c r="P510" s="99"/>
      <c r="Q510" s="99"/>
      <c r="R510" s="99"/>
      <c r="S510" s="104"/>
      <c r="T510" s="99"/>
      <c r="U510" s="93" t="b">
        <v>1</v>
      </c>
      <c r="V510" s="99" t="s">
        <v>4044</v>
      </c>
      <c r="Z510" t="b">
        <v>0</v>
      </c>
    </row>
    <row r="511" hidden="1">
      <c r="A511" s="99">
        <v>141.0</v>
      </c>
      <c r="B511" s="99"/>
      <c r="C511" s="99" t="s">
        <v>342</v>
      </c>
      <c r="D511" s="99" t="s">
        <v>4045</v>
      </c>
      <c r="E511" s="99" t="s">
        <v>346</v>
      </c>
      <c r="F511" s="99" t="s">
        <v>4046</v>
      </c>
      <c r="G511" s="99" t="s">
        <v>569</v>
      </c>
      <c r="H511" s="99" t="s">
        <v>189</v>
      </c>
      <c r="I511" s="99" t="s">
        <v>1634</v>
      </c>
      <c r="J511" s="104"/>
      <c r="K511" s="66" t="str">
        <f>IFNA(VLOOKUP(D511,'EAN Codes'!A:C,2,False),"")</f>
        <v>5907615810916</v>
      </c>
      <c r="L511" s="35"/>
      <c r="M511" s="119"/>
      <c r="N511" s="99"/>
      <c r="O511" s="99"/>
      <c r="P511" s="99"/>
      <c r="Q511" s="99"/>
      <c r="R511" s="99"/>
      <c r="S511" s="104"/>
      <c r="T511" s="99"/>
      <c r="U511" s="93" t="b">
        <v>1</v>
      </c>
      <c r="V511" s="99" t="s">
        <v>4047</v>
      </c>
      <c r="Z511" t="b">
        <v>0</v>
      </c>
    </row>
    <row r="512" hidden="1">
      <c r="A512" s="99">
        <v>180.0</v>
      </c>
      <c r="B512" s="6" t="s">
        <v>241</v>
      </c>
      <c r="C512" s="99" t="s">
        <v>342</v>
      </c>
      <c r="D512" s="99" t="s">
        <v>4048</v>
      </c>
      <c r="E512" s="99" t="s">
        <v>409</v>
      </c>
      <c r="F512" s="99" t="s">
        <v>4049</v>
      </c>
      <c r="G512" s="86" t="s">
        <v>1155</v>
      </c>
      <c r="H512" s="99" t="s">
        <v>189</v>
      </c>
      <c r="I512" s="99" t="s">
        <v>530</v>
      </c>
      <c r="J512" s="104"/>
      <c r="K512" s="66" t="str">
        <f>IFNA(VLOOKUP(D512,'EAN Codes'!A:C,2,False),"")</f>
        <v>5907615810923</v>
      </c>
      <c r="L512" s="35"/>
      <c r="M512" s="67"/>
      <c r="S512" s="60"/>
      <c r="U512" s="93" t="b">
        <v>1</v>
      </c>
      <c r="Z512" t="b">
        <v>0</v>
      </c>
    </row>
    <row r="513" hidden="1">
      <c r="A513" s="99">
        <v>586.0</v>
      </c>
      <c r="B513" s="99" t="s">
        <v>241</v>
      </c>
      <c r="C513" s="99" t="s">
        <v>408</v>
      </c>
      <c r="D513" s="99">
        <v>343087.0</v>
      </c>
      <c r="E513" s="99" t="s">
        <v>346</v>
      </c>
      <c r="F513" s="99" t="s">
        <v>4050</v>
      </c>
      <c r="G513" s="99" t="s">
        <v>751</v>
      </c>
      <c r="H513" s="99" t="s">
        <v>189</v>
      </c>
      <c r="I513" s="99" t="s">
        <v>602</v>
      </c>
      <c r="J513" s="104"/>
      <c r="K513" s="66" t="str">
        <f>IFNA(VLOOKUP(D513,'EAN Codes'!A:C,2,False),"")</f>
        <v/>
      </c>
      <c r="L513" s="35" t="s">
        <v>269</v>
      </c>
      <c r="M513" s="67"/>
      <c r="S513" s="60"/>
      <c r="U513" s="93" t="b">
        <v>1</v>
      </c>
      <c r="Y513" s="6" t="s">
        <v>452</v>
      </c>
      <c r="Z513" t="b">
        <v>0</v>
      </c>
    </row>
    <row r="514" hidden="1">
      <c r="A514" s="99">
        <v>587.0</v>
      </c>
      <c r="B514" s="99" t="s">
        <v>241</v>
      </c>
      <c r="C514" s="99" t="s">
        <v>408</v>
      </c>
      <c r="D514" s="99">
        <v>343087.0</v>
      </c>
      <c r="E514" s="99" t="s">
        <v>346</v>
      </c>
      <c r="F514" s="99" t="s">
        <v>4050</v>
      </c>
      <c r="G514" s="99" t="s">
        <v>751</v>
      </c>
      <c r="H514" s="99" t="s">
        <v>189</v>
      </c>
      <c r="I514" s="99" t="s">
        <v>819</v>
      </c>
      <c r="J514" s="104"/>
      <c r="K514" s="66" t="str">
        <f>IFNA(VLOOKUP(D514,'EAN Codes'!A:C,2,False),"")</f>
        <v/>
      </c>
      <c r="L514" s="35" t="s">
        <v>269</v>
      </c>
      <c r="M514" s="83"/>
      <c r="N514" s="6"/>
      <c r="O514" s="6"/>
      <c r="P514" s="6"/>
      <c r="Q514" s="6"/>
      <c r="R514" s="6"/>
      <c r="S514" s="84"/>
      <c r="T514" s="6"/>
      <c r="U514" s="93" t="b">
        <v>1</v>
      </c>
      <c r="V514" s="6" t="s">
        <v>4051</v>
      </c>
      <c r="Y514" s="6" t="s">
        <v>452</v>
      </c>
      <c r="Z514" t="b">
        <v>0</v>
      </c>
    </row>
    <row r="515" hidden="1">
      <c r="A515" s="99">
        <v>589.0</v>
      </c>
      <c r="B515" s="99" t="s">
        <v>241</v>
      </c>
      <c r="C515" s="99" t="s">
        <v>408</v>
      </c>
      <c r="D515" s="99">
        <v>343087.0</v>
      </c>
      <c r="E515" s="99" t="s">
        <v>346</v>
      </c>
      <c r="F515" s="99" t="s">
        <v>4050</v>
      </c>
      <c r="G515" s="99" t="s">
        <v>751</v>
      </c>
      <c r="H515" s="99" t="s">
        <v>189</v>
      </c>
      <c r="I515" s="99" t="s">
        <v>819</v>
      </c>
      <c r="J515" s="104"/>
      <c r="K515" s="66" t="str">
        <f>IFNA(VLOOKUP(D515,'EAN Codes'!A:C,2,False),"")</f>
        <v/>
      </c>
      <c r="L515" s="99" t="s">
        <v>269</v>
      </c>
      <c r="M515" s="83"/>
      <c r="N515" s="6"/>
      <c r="O515" s="6"/>
      <c r="P515" s="6"/>
      <c r="Q515" s="6"/>
      <c r="R515" s="6"/>
      <c r="S515" s="84"/>
      <c r="T515" s="6"/>
      <c r="U515" s="93" t="b">
        <v>1</v>
      </c>
      <c r="V515" s="6" t="s">
        <v>4052</v>
      </c>
      <c r="Y515" s="6" t="s">
        <v>452</v>
      </c>
      <c r="Z515" t="b">
        <v>0</v>
      </c>
    </row>
    <row r="516" hidden="1">
      <c r="A516" s="106">
        <v>1035.0</v>
      </c>
      <c r="B516" s="106" t="s">
        <v>241</v>
      </c>
      <c r="C516" s="106" t="s">
        <v>342</v>
      </c>
      <c r="D516" s="360" t="s">
        <v>4053</v>
      </c>
      <c r="E516" s="106" t="s">
        <v>346</v>
      </c>
      <c r="F516" s="106" t="s">
        <v>4054</v>
      </c>
      <c r="G516" s="106" t="s">
        <v>1185</v>
      </c>
      <c r="H516" s="106" t="s">
        <v>3292</v>
      </c>
      <c r="I516" s="106" t="s">
        <v>1328</v>
      </c>
      <c r="J516" s="274"/>
      <c r="K516" s="275" t="str">
        <f>IFNA(VLOOKUP(D516,'EAN Codes'!A:C,2,False),"")</f>
        <v>5907615808395</v>
      </c>
      <c r="L516" s="261"/>
      <c r="M516" s="276"/>
      <c r="N516" s="106"/>
      <c r="O516" s="106"/>
      <c r="P516" s="106"/>
      <c r="Q516" s="106"/>
      <c r="R516" s="106"/>
      <c r="S516" s="274"/>
      <c r="T516" s="106"/>
      <c r="U516" s="93" t="b">
        <v>1</v>
      </c>
      <c r="V516" s="106"/>
      <c r="W516" s="115"/>
      <c r="X516" s="115"/>
      <c r="Y516" s="115"/>
      <c r="Z516" s="115" t="b">
        <v>0</v>
      </c>
      <c r="AA516" s="115"/>
      <c r="AB516" s="115"/>
      <c r="AC516" s="115"/>
      <c r="AD516" s="115"/>
      <c r="AE516" s="115"/>
    </row>
    <row r="517" hidden="1">
      <c r="A517" s="99">
        <v>246.0</v>
      </c>
      <c r="B517" s="99"/>
      <c r="C517" s="99" t="s">
        <v>408</v>
      </c>
      <c r="D517" s="99">
        <v>343056.0</v>
      </c>
      <c r="E517" s="99" t="s">
        <v>409</v>
      </c>
      <c r="F517" s="99" t="s">
        <v>4055</v>
      </c>
      <c r="G517" s="99" t="s">
        <v>1222</v>
      </c>
      <c r="H517" s="99" t="s">
        <v>189</v>
      </c>
      <c r="I517" s="99" t="s">
        <v>626</v>
      </c>
      <c r="J517" s="104"/>
      <c r="K517" s="66" t="str">
        <f>IFNA(VLOOKUP(D517,'EAN Codes'!A:C,2,False),"")</f>
        <v/>
      </c>
      <c r="L517" s="35"/>
      <c r="M517" s="83"/>
      <c r="N517" s="6"/>
      <c r="O517" s="6"/>
      <c r="P517" s="6"/>
      <c r="Q517" s="6"/>
      <c r="R517" s="6"/>
      <c r="S517" s="84"/>
      <c r="T517" s="6"/>
      <c r="U517" s="93" t="b">
        <v>1</v>
      </c>
      <c r="V517" s="6" t="s">
        <v>4056</v>
      </c>
      <c r="Z517" t="b">
        <v>0</v>
      </c>
    </row>
    <row r="518" hidden="1">
      <c r="A518" s="6">
        <v>371.0</v>
      </c>
      <c r="B518" s="99" t="s">
        <v>241</v>
      </c>
      <c r="C518" s="122" t="s">
        <v>4057</v>
      </c>
      <c r="D518" s="217" t="s">
        <v>4058</v>
      </c>
      <c r="E518" s="122" t="s">
        <v>864</v>
      </c>
      <c r="F518" s="122" t="s">
        <v>4059</v>
      </c>
      <c r="G518" s="120" t="s">
        <v>437</v>
      </c>
      <c r="H518" s="99" t="s">
        <v>189</v>
      </c>
      <c r="I518" s="99" t="s">
        <v>570</v>
      </c>
      <c r="J518" s="104"/>
      <c r="K518" s="66" t="str">
        <f>IFNA(VLOOKUP(D518,'EAN Codes'!A:C,2,False),"")</f>
        <v/>
      </c>
      <c r="L518" s="35" t="s">
        <v>269</v>
      </c>
      <c r="M518" s="83"/>
      <c r="N518" s="6"/>
      <c r="O518" s="6"/>
      <c r="P518" s="6"/>
      <c r="Q518" s="6"/>
      <c r="R518" s="6"/>
      <c r="S518" s="84"/>
      <c r="T518" s="6"/>
      <c r="U518" s="93" t="b">
        <v>1</v>
      </c>
      <c r="V518" s="6" t="s">
        <v>4060</v>
      </c>
      <c r="Y518" s="6" t="s">
        <v>452</v>
      </c>
      <c r="Z518" t="b">
        <v>0</v>
      </c>
    </row>
    <row r="519" hidden="1">
      <c r="A519" s="99">
        <v>721.0</v>
      </c>
      <c r="B519" s="99" t="s">
        <v>241</v>
      </c>
      <c r="C519" s="99" t="s">
        <v>4061</v>
      </c>
      <c r="D519" s="99" t="s">
        <v>4062</v>
      </c>
      <c r="E519" s="99" t="s">
        <v>346</v>
      </c>
      <c r="F519" s="99" t="s">
        <v>4063</v>
      </c>
      <c r="G519" s="99" t="s">
        <v>437</v>
      </c>
      <c r="H519" s="99" t="s">
        <v>189</v>
      </c>
      <c r="I519" s="99" t="s">
        <v>570</v>
      </c>
      <c r="J519" s="104"/>
      <c r="K519" s="66" t="str">
        <f>IFNA(VLOOKUP(D519,'EAN Codes'!A:C,2,False),"")</f>
        <v/>
      </c>
      <c r="L519" s="99" t="s">
        <v>269</v>
      </c>
      <c r="M519" s="119"/>
      <c r="N519" s="99"/>
      <c r="O519" s="99"/>
      <c r="P519" s="99"/>
      <c r="Q519" s="99"/>
      <c r="R519" s="99"/>
      <c r="S519" s="104"/>
      <c r="T519" s="99"/>
      <c r="U519" s="93" t="b">
        <v>1</v>
      </c>
      <c r="V519" s="99" t="s">
        <v>4064</v>
      </c>
      <c r="Z519" t="b">
        <v>0</v>
      </c>
    </row>
    <row r="520" hidden="1">
      <c r="A520" s="99">
        <v>938.0</v>
      </c>
      <c r="B520" s="99" t="s">
        <v>241</v>
      </c>
      <c r="C520" s="99" t="s">
        <v>408</v>
      </c>
      <c r="D520" s="99">
        <v>343056.0</v>
      </c>
      <c r="E520" s="99" t="s">
        <v>409</v>
      </c>
      <c r="F520" s="99" t="s">
        <v>4063</v>
      </c>
      <c r="G520" s="99" t="s">
        <v>437</v>
      </c>
      <c r="H520" s="99" t="s">
        <v>189</v>
      </c>
      <c r="I520" s="99" t="s">
        <v>1863</v>
      </c>
      <c r="J520" s="104"/>
      <c r="K520" s="66" t="str">
        <f>IFNA(VLOOKUP(D520,'EAN Codes'!A:C,2,False),"")</f>
        <v/>
      </c>
      <c r="L520" s="101"/>
      <c r="M520" s="67"/>
      <c r="S520" s="60"/>
      <c r="U520" s="93" t="b">
        <v>1</v>
      </c>
      <c r="Z520" t="b">
        <v>0</v>
      </c>
    </row>
    <row r="521" hidden="1">
      <c r="A521" s="99">
        <v>745.0</v>
      </c>
      <c r="B521" s="99" t="s">
        <v>241</v>
      </c>
      <c r="C521" s="99" t="s">
        <v>1250</v>
      </c>
      <c r="D521" s="99" t="s">
        <v>4065</v>
      </c>
      <c r="E521" s="99" t="s">
        <v>373</v>
      </c>
      <c r="F521" s="99" t="s">
        <v>4066</v>
      </c>
      <c r="G521" s="101"/>
      <c r="H521" s="99" t="s">
        <v>189</v>
      </c>
      <c r="I521" s="99" t="s">
        <v>570</v>
      </c>
      <c r="J521" s="104"/>
      <c r="K521" s="66" t="str">
        <f>IFNA(VLOOKUP(D521,'EAN Codes'!A:C,2,False),"")</f>
        <v>8058772223716</v>
      </c>
      <c r="L521" s="82"/>
      <c r="M521" s="83"/>
      <c r="N521" s="6"/>
      <c r="O521" s="6"/>
      <c r="P521" s="6"/>
      <c r="Q521" s="6"/>
      <c r="R521" s="6"/>
      <c r="S521" s="84"/>
      <c r="T521" s="6"/>
      <c r="U521" s="93" t="b">
        <v>1</v>
      </c>
      <c r="V521" s="6" t="s">
        <v>4067</v>
      </c>
      <c r="Z521" s="101" t="b">
        <v>0</v>
      </c>
      <c r="AA521" s="101"/>
      <c r="AB521" s="101"/>
      <c r="AC521" s="101"/>
      <c r="AD521" s="101"/>
      <c r="AE521" s="101"/>
    </row>
    <row r="522" hidden="1">
      <c r="A522" s="99">
        <v>9.0</v>
      </c>
      <c r="B522" s="6"/>
      <c r="C522" s="6" t="s">
        <v>731</v>
      </c>
      <c r="D522" s="99" t="s">
        <v>4068</v>
      </c>
      <c r="E522" s="99" t="s">
        <v>733</v>
      </c>
      <c r="F522" s="99" t="s">
        <v>4069</v>
      </c>
      <c r="J522" s="60"/>
      <c r="K522" s="66" t="str">
        <f>IFNA(VLOOKUP(D522,'EAN Codes'!A:C,2,False),"")</f>
        <v/>
      </c>
      <c r="M522" s="67"/>
      <c r="S522" s="60"/>
      <c r="U522" s="93" t="b">
        <v>1</v>
      </c>
      <c r="Z522" t="b">
        <v>0</v>
      </c>
    </row>
    <row r="523" hidden="1">
      <c r="A523" s="99">
        <v>562.0</v>
      </c>
      <c r="B523" s="99" t="s">
        <v>241</v>
      </c>
      <c r="C523" s="99" t="s">
        <v>408</v>
      </c>
      <c r="D523" s="99">
        <v>313438.0</v>
      </c>
      <c r="E523" s="99" t="s">
        <v>373</v>
      </c>
      <c r="F523" s="99" t="s">
        <v>4070</v>
      </c>
      <c r="G523" s="99" t="s">
        <v>1032</v>
      </c>
      <c r="H523" s="99" t="s">
        <v>189</v>
      </c>
      <c r="I523" s="99" t="s">
        <v>551</v>
      </c>
      <c r="J523" s="104"/>
      <c r="K523" s="66" t="str">
        <f>IFNA(VLOOKUP(D523,'EAN Codes'!A:C,2,False),"")</f>
        <v/>
      </c>
      <c r="L523" s="35" t="s">
        <v>269</v>
      </c>
      <c r="M523" s="83"/>
      <c r="N523" s="6"/>
      <c r="O523" s="6"/>
      <c r="P523" s="6"/>
      <c r="Q523" s="6"/>
      <c r="R523" s="6"/>
      <c r="S523" s="84"/>
      <c r="T523" s="6"/>
      <c r="U523" s="93" t="b">
        <v>1</v>
      </c>
      <c r="V523" s="6" t="s">
        <v>4071</v>
      </c>
      <c r="Y523" s="6" t="s">
        <v>452</v>
      </c>
      <c r="Z523" t="b">
        <v>0</v>
      </c>
    </row>
    <row r="524" hidden="1">
      <c r="A524" s="99">
        <v>560.0</v>
      </c>
      <c r="B524" s="99" t="s">
        <v>241</v>
      </c>
      <c r="C524" s="99" t="s">
        <v>408</v>
      </c>
      <c r="D524" s="99">
        <v>313432.0</v>
      </c>
      <c r="E524" s="99" t="s">
        <v>373</v>
      </c>
      <c r="F524" s="99" t="s">
        <v>4072</v>
      </c>
      <c r="G524" s="99" t="s">
        <v>2194</v>
      </c>
      <c r="H524" s="99" t="s">
        <v>189</v>
      </c>
      <c r="I524" s="99" t="s">
        <v>551</v>
      </c>
      <c r="J524" s="104"/>
      <c r="K524" s="66" t="str">
        <f>IFNA(VLOOKUP(D524,'EAN Codes'!A:C,2,False),"")</f>
        <v/>
      </c>
      <c r="L524" s="35"/>
      <c r="M524" s="83"/>
      <c r="N524" s="6"/>
      <c r="O524" s="6"/>
      <c r="P524" s="6"/>
      <c r="Q524" s="6"/>
      <c r="R524" s="6"/>
      <c r="S524" s="84"/>
      <c r="T524" s="6"/>
      <c r="U524" s="93" t="b">
        <v>1</v>
      </c>
      <c r="V524" s="6" t="s">
        <v>4073</v>
      </c>
      <c r="Z524" t="b">
        <v>0</v>
      </c>
    </row>
    <row r="525" hidden="1">
      <c r="A525" s="99">
        <v>364.0</v>
      </c>
      <c r="B525" s="99" t="s">
        <v>241</v>
      </c>
      <c r="C525" s="99" t="s">
        <v>342</v>
      </c>
      <c r="D525" s="99" t="s">
        <v>4074</v>
      </c>
      <c r="E525" s="99" t="s">
        <v>409</v>
      </c>
      <c r="F525" s="99" t="s">
        <v>4075</v>
      </c>
      <c r="G525" s="99" t="s">
        <v>1013</v>
      </c>
      <c r="H525" s="99" t="s">
        <v>189</v>
      </c>
      <c r="I525" s="99" t="s">
        <v>458</v>
      </c>
      <c r="J525" s="104"/>
      <c r="K525" s="66" t="str">
        <f>IFNA(VLOOKUP(D525,'EAN Codes'!A:C,2,False),"")</f>
        <v>5907615811661</v>
      </c>
      <c r="L525" s="99"/>
      <c r="M525" s="119"/>
      <c r="N525" s="99"/>
      <c r="O525" s="99"/>
      <c r="P525" s="99"/>
      <c r="Q525" s="99"/>
      <c r="R525" s="99"/>
      <c r="S525" s="104"/>
      <c r="T525" s="99"/>
      <c r="U525" s="93" t="b">
        <v>1</v>
      </c>
      <c r="V525" s="99" t="s">
        <v>4076</v>
      </c>
      <c r="Z525" t="b">
        <v>0</v>
      </c>
    </row>
    <row r="526" hidden="1">
      <c r="A526" s="99">
        <v>268.0</v>
      </c>
      <c r="B526" s="6" t="s">
        <v>241</v>
      </c>
      <c r="C526" s="99" t="s">
        <v>408</v>
      </c>
      <c r="D526" s="99">
        <v>313171.0</v>
      </c>
      <c r="E526" s="99" t="s">
        <v>346</v>
      </c>
      <c r="F526" s="99" t="s">
        <v>4077</v>
      </c>
      <c r="G526" s="99" t="s">
        <v>2250</v>
      </c>
      <c r="H526" s="99" t="s">
        <v>189</v>
      </c>
      <c r="I526" s="99" t="s">
        <v>626</v>
      </c>
      <c r="J526" s="104"/>
      <c r="K526" s="66" t="str">
        <f>IFNA(VLOOKUP(D526,'EAN Codes'!A:C,2,False),"")</f>
        <v/>
      </c>
      <c r="L526" s="99"/>
      <c r="M526" s="119"/>
      <c r="N526" s="99"/>
      <c r="O526" s="99"/>
      <c r="P526" s="99"/>
      <c r="Q526" s="99"/>
      <c r="R526" s="99"/>
      <c r="S526" s="104"/>
      <c r="T526" s="99"/>
      <c r="U526" s="93" t="b">
        <v>1</v>
      </c>
      <c r="V526" s="99" t="s">
        <v>4078</v>
      </c>
      <c r="Z526" t="b">
        <v>0</v>
      </c>
    </row>
    <row r="527" hidden="1">
      <c r="A527" s="86">
        <v>512.0</v>
      </c>
      <c r="B527" s="86" t="s">
        <v>241</v>
      </c>
      <c r="C527" s="86" t="s">
        <v>342</v>
      </c>
      <c r="D527" s="86" t="s">
        <v>4079</v>
      </c>
      <c r="E527" s="86" t="s">
        <v>346</v>
      </c>
      <c r="F527" s="282" t="s">
        <v>4080</v>
      </c>
      <c r="G527" s="91"/>
      <c r="H527" s="86" t="s">
        <v>189</v>
      </c>
      <c r="I527" s="86" t="s">
        <v>585</v>
      </c>
      <c r="J527" s="88"/>
      <c r="K527" s="66" t="str">
        <f>IFNA(VLOOKUP(D527,'EAN Codes'!A:C,2,False),"")</f>
        <v>5907615811487</v>
      </c>
      <c r="L527" s="86" t="s">
        <v>92</v>
      </c>
      <c r="M527" s="92"/>
      <c r="N527" s="86"/>
      <c r="O527" s="86"/>
      <c r="P527" s="86"/>
      <c r="Q527" s="86"/>
      <c r="R527" s="86"/>
      <c r="S527" s="88"/>
      <c r="T527" s="86"/>
      <c r="U527" s="93" t="b">
        <v>1</v>
      </c>
      <c r="V527" s="86" t="s">
        <v>4081</v>
      </c>
      <c r="W527" s="6" t="s">
        <v>4082</v>
      </c>
      <c r="Z527" t="b">
        <v>0</v>
      </c>
    </row>
    <row r="528" hidden="1">
      <c r="A528" s="99">
        <v>138.0</v>
      </c>
      <c r="B528" s="99" t="s">
        <v>493</v>
      </c>
      <c r="C528" s="99" t="s">
        <v>494</v>
      </c>
      <c r="D528" s="101"/>
      <c r="E528" s="101"/>
      <c r="F528" s="99" t="s">
        <v>4083</v>
      </c>
      <c r="G528" s="101"/>
      <c r="H528" s="101"/>
      <c r="I528" s="99" t="s">
        <v>2489</v>
      </c>
      <c r="J528" s="104"/>
      <c r="K528" s="66" t="str">
        <f>IFNA(VLOOKUP(D528,'EAN Codes'!A:C,2,False),"")</f>
        <v/>
      </c>
      <c r="L528" s="82"/>
      <c r="M528" s="67"/>
      <c r="S528" s="60"/>
      <c r="U528" s="93" t="b">
        <v>1</v>
      </c>
      <c r="Z528" t="b">
        <v>0</v>
      </c>
    </row>
    <row r="529" hidden="1">
      <c r="A529" s="99">
        <v>244.0</v>
      </c>
      <c r="B529" s="6" t="s">
        <v>241</v>
      </c>
      <c r="C529" s="99" t="s">
        <v>342</v>
      </c>
      <c r="D529" s="99" t="s">
        <v>4084</v>
      </c>
      <c r="E529" s="99" t="s">
        <v>346</v>
      </c>
      <c r="F529" s="99" t="s">
        <v>4085</v>
      </c>
      <c r="G529" s="99" t="s">
        <v>1028</v>
      </c>
      <c r="H529" s="99" t="s">
        <v>189</v>
      </c>
      <c r="I529" s="99" t="s">
        <v>626</v>
      </c>
      <c r="J529" s="104"/>
      <c r="K529" s="66" t="str">
        <f>IFNA(VLOOKUP(D529,'EAN Codes'!A:C,2,False),"")</f>
        <v>5907615811852</v>
      </c>
      <c r="L529" s="99"/>
      <c r="M529" s="108"/>
      <c r="N529" s="101"/>
      <c r="O529" s="101"/>
      <c r="P529" s="101"/>
      <c r="Q529" s="101"/>
      <c r="R529" s="101"/>
      <c r="S529" s="110"/>
      <c r="T529" s="101"/>
      <c r="U529" s="93" t="b">
        <v>1</v>
      </c>
      <c r="V529" s="101"/>
      <c r="Z529" t="b">
        <v>0</v>
      </c>
    </row>
    <row r="530" hidden="1">
      <c r="A530" s="99">
        <v>659.0</v>
      </c>
      <c r="B530" s="99" t="s">
        <v>241</v>
      </c>
      <c r="C530" s="99" t="s">
        <v>342</v>
      </c>
      <c r="D530" s="99" t="s">
        <v>4086</v>
      </c>
      <c r="E530" s="99" t="s">
        <v>2070</v>
      </c>
      <c r="F530" s="99" t="s">
        <v>4085</v>
      </c>
      <c r="G530" s="99" t="s">
        <v>4087</v>
      </c>
      <c r="H530" s="99" t="s">
        <v>189</v>
      </c>
      <c r="I530" s="99" t="s">
        <v>570</v>
      </c>
      <c r="J530" s="104"/>
      <c r="K530" s="66" t="str">
        <f>IFNA(VLOOKUP(D530,'EAN Codes'!A:C,2,False),"")</f>
        <v>5907615811869</v>
      </c>
      <c r="L530" s="35" t="s">
        <v>269</v>
      </c>
      <c r="M530" s="83"/>
      <c r="N530" s="6"/>
      <c r="O530" s="6"/>
      <c r="P530" s="6"/>
      <c r="Q530" s="6"/>
      <c r="R530" s="6"/>
      <c r="S530" s="84"/>
      <c r="T530" s="6"/>
      <c r="U530" s="93" t="b">
        <v>1</v>
      </c>
      <c r="V530" s="6" t="s">
        <v>4088</v>
      </c>
      <c r="Z530" t="b">
        <v>0</v>
      </c>
    </row>
    <row r="531" hidden="1">
      <c r="A531" s="99">
        <v>575.0</v>
      </c>
      <c r="B531" s="99" t="s">
        <v>241</v>
      </c>
      <c r="C531" s="99" t="s">
        <v>408</v>
      </c>
      <c r="D531" s="99">
        <v>313438.0</v>
      </c>
      <c r="E531" s="99" t="s">
        <v>373</v>
      </c>
      <c r="F531" s="99" t="s">
        <v>4089</v>
      </c>
      <c r="G531" s="99" t="s">
        <v>1028</v>
      </c>
      <c r="H531" s="99" t="s">
        <v>189</v>
      </c>
      <c r="I531" s="99" t="s">
        <v>551</v>
      </c>
      <c r="J531" s="104"/>
      <c r="K531" s="66" t="str">
        <f>IFNA(VLOOKUP(D531,'EAN Codes'!A:C,2,False),"")</f>
        <v/>
      </c>
      <c r="L531" s="35" t="s">
        <v>269</v>
      </c>
      <c r="M531" s="83"/>
      <c r="N531" s="6"/>
      <c r="O531" s="6"/>
      <c r="P531" s="6"/>
      <c r="Q531" s="6"/>
      <c r="R531" s="6"/>
      <c r="S531" s="84"/>
      <c r="T531" s="6"/>
      <c r="U531" s="93" t="b">
        <v>1</v>
      </c>
      <c r="V531" s="6" t="s">
        <v>4090</v>
      </c>
      <c r="Y531" s="6" t="s">
        <v>452</v>
      </c>
      <c r="Z531" t="b">
        <v>0</v>
      </c>
    </row>
    <row r="532" hidden="1">
      <c r="A532" s="6">
        <v>576.0</v>
      </c>
      <c r="B532" s="6" t="s">
        <v>241</v>
      </c>
      <c r="C532" s="6" t="s">
        <v>408</v>
      </c>
      <c r="D532" s="6">
        <v>313438.0</v>
      </c>
      <c r="E532" s="6" t="s">
        <v>373</v>
      </c>
      <c r="F532" s="6" t="s">
        <v>4089</v>
      </c>
      <c r="G532" s="6" t="s">
        <v>1028</v>
      </c>
      <c r="H532" s="6" t="s">
        <v>189</v>
      </c>
      <c r="I532" s="6" t="s">
        <v>551</v>
      </c>
      <c r="J532" s="84"/>
      <c r="K532" s="66" t="str">
        <f>IFNA(VLOOKUP(D532,'EAN Codes'!A:C,2,False),"")</f>
        <v/>
      </c>
      <c r="L532" s="35" t="s">
        <v>269</v>
      </c>
      <c r="M532" s="341"/>
      <c r="N532" s="336"/>
      <c r="O532" s="336"/>
      <c r="P532" s="336"/>
      <c r="Q532" s="336"/>
      <c r="R532" s="336"/>
      <c r="S532" s="338"/>
      <c r="T532" s="336"/>
      <c r="U532" s="93" t="b">
        <v>1</v>
      </c>
      <c r="V532" s="336" t="s">
        <v>4091</v>
      </c>
      <c r="Y532" s="6" t="s">
        <v>452</v>
      </c>
      <c r="Z532" t="b">
        <v>0</v>
      </c>
    </row>
    <row r="533" hidden="1">
      <c r="A533" s="99">
        <v>462.0</v>
      </c>
      <c r="B533" s="99" t="s">
        <v>241</v>
      </c>
      <c r="C533" s="99" t="s">
        <v>408</v>
      </c>
      <c r="D533" s="99">
        <v>313432.0</v>
      </c>
      <c r="E533" s="99" t="s">
        <v>409</v>
      </c>
      <c r="F533" s="99" t="s">
        <v>4085</v>
      </c>
      <c r="G533" s="99" t="s">
        <v>2194</v>
      </c>
      <c r="H533" s="99" t="s">
        <v>189</v>
      </c>
      <c r="I533" s="99" t="s">
        <v>602</v>
      </c>
      <c r="J533" s="104"/>
      <c r="K533" s="66" t="str">
        <f>IFNA(VLOOKUP(D533,'EAN Codes'!A:C,2,False),"")</f>
        <v/>
      </c>
      <c r="L533" s="99" t="s">
        <v>269</v>
      </c>
      <c r="M533" s="119"/>
      <c r="N533" s="99"/>
      <c r="O533" s="99"/>
      <c r="P533" s="99"/>
      <c r="Q533" s="99"/>
      <c r="R533" s="99"/>
      <c r="S533" s="104"/>
      <c r="T533" s="99"/>
      <c r="U533" s="93" t="b">
        <v>1</v>
      </c>
      <c r="V533" s="99" t="s">
        <v>4092</v>
      </c>
      <c r="Y533" s="6" t="s">
        <v>452</v>
      </c>
      <c r="Z533" t="b">
        <v>0</v>
      </c>
    </row>
    <row r="534" hidden="1">
      <c r="A534" s="99">
        <v>398.0</v>
      </c>
      <c r="B534" s="99" t="s">
        <v>241</v>
      </c>
      <c r="C534" s="122" t="s">
        <v>4093</v>
      </c>
      <c r="D534" s="121">
        <v>35025.0</v>
      </c>
      <c r="E534" s="122" t="s">
        <v>454</v>
      </c>
      <c r="F534" s="120" t="s">
        <v>4094</v>
      </c>
      <c r="G534" s="122" t="s">
        <v>4095</v>
      </c>
      <c r="H534" s="99" t="s">
        <v>189</v>
      </c>
      <c r="I534" s="99" t="s">
        <v>1863</v>
      </c>
      <c r="J534" s="104"/>
      <c r="K534" s="66" t="str">
        <f>IFNA(VLOOKUP(D534,'EAN Codes'!A:C,2,False),"")</f>
        <v/>
      </c>
      <c r="L534" s="99" t="s">
        <v>269</v>
      </c>
      <c r="M534" s="119"/>
      <c r="N534" s="99"/>
      <c r="O534" s="99"/>
      <c r="P534" s="99"/>
      <c r="Q534" s="99"/>
      <c r="R534" s="99"/>
      <c r="S534" s="104"/>
      <c r="T534" s="99"/>
      <c r="U534" s="93" t="b">
        <v>1</v>
      </c>
      <c r="V534" s="99" t="s">
        <v>4096</v>
      </c>
      <c r="Y534" s="6" t="s">
        <v>452</v>
      </c>
      <c r="Z534" t="b">
        <v>0</v>
      </c>
    </row>
    <row r="535" hidden="1">
      <c r="A535" s="99">
        <v>399.0</v>
      </c>
      <c r="B535" s="99" t="s">
        <v>241</v>
      </c>
      <c r="C535" s="122" t="s">
        <v>4093</v>
      </c>
      <c r="D535" s="121">
        <v>35025.0</v>
      </c>
      <c r="E535" s="122" t="s">
        <v>454</v>
      </c>
      <c r="F535" s="120" t="s">
        <v>4094</v>
      </c>
      <c r="G535" s="122" t="s">
        <v>4095</v>
      </c>
      <c r="H535" s="99" t="s">
        <v>189</v>
      </c>
      <c r="I535" s="99" t="s">
        <v>1863</v>
      </c>
      <c r="J535" s="104"/>
      <c r="K535" s="66" t="str">
        <f>IFNA(VLOOKUP(D535,'EAN Codes'!A:C,2,False),"")</f>
        <v/>
      </c>
      <c r="L535" s="99" t="s">
        <v>269</v>
      </c>
      <c r="M535" s="119"/>
      <c r="N535" s="99"/>
      <c r="O535" s="99"/>
      <c r="P535" s="99"/>
      <c r="Q535" s="99"/>
      <c r="R535" s="99"/>
      <c r="S535" s="104"/>
      <c r="T535" s="99"/>
      <c r="U535" s="93" t="b">
        <v>1</v>
      </c>
      <c r="V535" s="99" t="s">
        <v>4097</v>
      </c>
      <c r="Y535" s="6" t="s">
        <v>452</v>
      </c>
      <c r="Z535" t="b">
        <v>0</v>
      </c>
    </row>
    <row r="536" hidden="1">
      <c r="A536" s="99">
        <v>400.0</v>
      </c>
      <c r="B536" s="99" t="s">
        <v>241</v>
      </c>
      <c r="C536" s="122" t="s">
        <v>4093</v>
      </c>
      <c r="D536" s="121">
        <v>35025.0</v>
      </c>
      <c r="E536" s="122" t="s">
        <v>454</v>
      </c>
      <c r="F536" s="120" t="s">
        <v>4094</v>
      </c>
      <c r="G536" s="122" t="s">
        <v>4095</v>
      </c>
      <c r="H536" s="99" t="s">
        <v>189</v>
      </c>
      <c r="I536" s="99" t="s">
        <v>1863</v>
      </c>
      <c r="J536" s="104"/>
      <c r="K536" s="66" t="str">
        <f>IFNA(VLOOKUP(D536,'EAN Codes'!A:C,2,False),"")</f>
        <v/>
      </c>
      <c r="L536" s="99" t="s">
        <v>269</v>
      </c>
      <c r="M536" s="119"/>
      <c r="N536" s="99"/>
      <c r="O536" s="99"/>
      <c r="P536" s="99"/>
      <c r="Q536" s="99"/>
      <c r="R536" s="99"/>
      <c r="S536" s="104"/>
      <c r="T536" s="99"/>
      <c r="U536" s="93" t="b">
        <v>1</v>
      </c>
      <c r="V536" s="99" t="s">
        <v>4098</v>
      </c>
      <c r="Y536" s="6" t="s">
        <v>452</v>
      </c>
      <c r="Z536" t="b">
        <v>0</v>
      </c>
    </row>
    <row r="537" hidden="1">
      <c r="A537" s="99">
        <v>357.0</v>
      </c>
      <c r="B537" s="99" t="s">
        <v>241</v>
      </c>
      <c r="C537" s="99" t="s">
        <v>1250</v>
      </c>
      <c r="D537" s="237" t="s">
        <v>4099</v>
      </c>
      <c r="E537" s="99" t="s">
        <v>346</v>
      </c>
      <c r="F537" s="99" t="s">
        <v>4100</v>
      </c>
      <c r="G537" s="99" t="s">
        <v>1028</v>
      </c>
      <c r="H537" s="99" t="s">
        <v>189</v>
      </c>
      <c r="I537" s="99" t="s">
        <v>1328</v>
      </c>
      <c r="J537" s="104"/>
      <c r="K537" s="66" t="str">
        <f>IFNA(VLOOKUP(D537,'EAN Codes'!A:C,2,False),"")</f>
        <v>8058772223617</v>
      </c>
      <c r="L537" s="99"/>
      <c r="M537" s="119"/>
      <c r="N537" s="99"/>
      <c r="O537" s="99"/>
      <c r="P537" s="99"/>
      <c r="Q537" s="99"/>
      <c r="R537" s="99"/>
      <c r="S537" s="104"/>
      <c r="T537" s="99"/>
      <c r="U537" s="93" t="b">
        <v>1</v>
      </c>
      <c r="V537" s="99" t="s">
        <v>4101</v>
      </c>
      <c r="Z537" t="b">
        <v>0</v>
      </c>
    </row>
    <row r="538" hidden="1">
      <c r="A538" s="99">
        <v>159.0</v>
      </c>
      <c r="B538" s="99"/>
      <c r="C538" s="99" t="s">
        <v>342</v>
      </c>
      <c r="D538" s="99" t="s">
        <v>4084</v>
      </c>
      <c r="E538" s="99" t="s">
        <v>346</v>
      </c>
      <c r="F538" s="99" t="s">
        <v>4102</v>
      </c>
      <c r="G538" s="99" t="s">
        <v>1005</v>
      </c>
      <c r="H538" s="99" t="s">
        <v>512</v>
      </c>
      <c r="I538" s="99" t="s">
        <v>458</v>
      </c>
      <c r="J538" s="104"/>
      <c r="K538" s="66" t="str">
        <f>IFNA(VLOOKUP(D538,'EAN Codes'!A:C,2,False),"")</f>
        <v>5907615811852</v>
      </c>
      <c r="L538" s="35"/>
      <c r="M538" s="119"/>
      <c r="N538" s="99"/>
      <c r="O538" s="99"/>
      <c r="P538" s="99"/>
      <c r="Q538" s="99"/>
      <c r="R538" s="99"/>
      <c r="S538" s="104"/>
      <c r="T538" s="99"/>
      <c r="U538" s="93" t="b">
        <v>1</v>
      </c>
      <c r="V538" s="99"/>
      <c r="Z538" t="b">
        <v>0</v>
      </c>
    </row>
    <row r="539" hidden="1">
      <c r="A539" s="99">
        <v>160.0</v>
      </c>
      <c r="B539" s="99"/>
      <c r="C539" s="99" t="s">
        <v>342</v>
      </c>
      <c r="D539" s="99" t="s">
        <v>4084</v>
      </c>
      <c r="E539" s="99" t="s">
        <v>346</v>
      </c>
      <c r="F539" s="99" t="s">
        <v>4102</v>
      </c>
      <c r="G539" s="99" t="s">
        <v>1005</v>
      </c>
      <c r="H539" s="99" t="s">
        <v>189</v>
      </c>
      <c r="I539" s="99" t="s">
        <v>626</v>
      </c>
      <c r="J539" s="104"/>
      <c r="K539" s="66" t="str">
        <f>IFNA(VLOOKUP(D539,'EAN Codes'!A:C,2,False),"")</f>
        <v>5907615811852</v>
      </c>
      <c r="L539" s="35"/>
      <c r="M539" s="119"/>
      <c r="N539" s="99"/>
      <c r="O539" s="99"/>
      <c r="P539" s="99"/>
      <c r="Q539" s="99"/>
      <c r="R539" s="99"/>
      <c r="S539" s="104"/>
      <c r="T539" s="99"/>
      <c r="U539" s="93" t="b">
        <v>1</v>
      </c>
      <c r="V539" s="99" t="s">
        <v>4103</v>
      </c>
      <c r="Z539" t="b">
        <v>0</v>
      </c>
    </row>
    <row r="540" hidden="1">
      <c r="A540" s="99">
        <v>165.0</v>
      </c>
      <c r="B540" s="99"/>
      <c r="C540" s="99" t="s">
        <v>342</v>
      </c>
      <c r="D540" s="99" t="s">
        <v>4086</v>
      </c>
      <c r="E540" s="99" t="s">
        <v>2070</v>
      </c>
      <c r="F540" s="99" t="s">
        <v>4102</v>
      </c>
      <c r="G540" s="99" t="s">
        <v>1005</v>
      </c>
      <c r="H540" s="99" t="s">
        <v>2308</v>
      </c>
      <c r="I540" s="99" t="s">
        <v>626</v>
      </c>
      <c r="J540" s="104"/>
      <c r="K540" s="66" t="str">
        <f>IFNA(VLOOKUP(D540,'EAN Codes'!A:C,2,False),"")</f>
        <v>5907615811869</v>
      </c>
      <c r="L540" s="35"/>
      <c r="M540" s="119"/>
      <c r="N540" s="99"/>
      <c r="O540" s="99"/>
      <c r="P540" s="99"/>
      <c r="Q540" s="99"/>
      <c r="R540" s="99"/>
      <c r="S540" s="104"/>
      <c r="T540" s="99"/>
      <c r="U540" s="93" t="b">
        <v>1</v>
      </c>
      <c r="V540" s="99" t="s">
        <v>4104</v>
      </c>
      <c r="Z540" t="b">
        <v>0</v>
      </c>
    </row>
    <row r="541" hidden="1">
      <c r="A541" s="99">
        <v>285.0</v>
      </c>
      <c r="B541" s="6" t="s">
        <v>241</v>
      </c>
      <c r="C541" s="99" t="s">
        <v>408</v>
      </c>
      <c r="D541" s="99">
        <v>3.13214600001E11</v>
      </c>
      <c r="E541" s="99" t="s">
        <v>346</v>
      </c>
      <c r="F541" s="99" t="s">
        <v>4105</v>
      </c>
      <c r="G541" s="99" t="s">
        <v>4106</v>
      </c>
      <c r="H541" s="99" t="s">
        <v>189</v>
      </c>
      <c r="I541" s="99" t="s">
        <v>1634</v>
      </c>
      <c r="J541" s="104"/>
      <c r="K541" s="66" t="str">
        <f>IFNA(VLOOKUP(D541,'EAN Codes'!A:C,2,False),"")</f>
        <v/>
      </c>
      <c r="L541" s="99"/>
      <c r="M541" s="119"/>
      <c r="N541" s="99"/>
      <c r="O541" s="99"/>
      <c r="P541" s="99"/>
      <c r="Q541" s="99"/>
      <c r="R541" s="99"/>
      <c r="S541" s="104"/>
      <c r="T541" s="99"/>
      <c r="U541" s="93" t="b">
        <v>1</v>
      </c>
      <c r="V541" s="99" t="s">
        <v>4107</v>
      </c>
      <c r="Z541" t="b">
        <v>0</v>
      </c>
    </row>
    <row r="542" hidden="1">
      <c r="A542" s="99">
        <v>158.0</v>
      </c>
      <c r="B542" s="99"/>
      <c r="C542" s="99" t="s">
        <v>342</v>
      </c>
      <c r="D542" s="99" t="s">
        <v>4108</v>
      </c>
      <c r="E542" s="99" t="s">
        <v>346</v>
      </c>
      <c r="F542" s="99" t="s">
        <v>4109</v>
      </c>
      <c r="G542" s="153">
        <v>42742.0</v>
      </c>
      <c r="H542" s="99" t="s">
        <v>2308</v>
      </c>
      <c r="I542" s="99" t="s">
        <v>530</v>
      </c>
      <c r="J542" s="104"/>
      <c r="K542" s="66" t="str">
        <f>IFNA(VLOOKUP(D542,'EAN Codes'!A:C,2,False),"")</f>
        <v>5907615811630</v>
      </c>
      <c r="L542" s="35"/>
      <c r="M542" s="119"/>
      <c r="N542" s="99"/>
      <c r="O542" s="99"/>
      <c r="P542" s="99"/>
      <c r="Q542" s="99"/>
      <c r="R542" s="99"/>
      <c r="S542" s="104"/>
      <c r="T542" s="99"/>
      <c r="U542" s="93" t="b">
        <v>1</v>
      </c>
      <c r="V542" s="99"/>
      <c r="W542" s="101"/>
      <c r="Z542" t="b">
        <v>0</v>
      </c>
    </row>
    <row r="543" hidden="1">
      <c r="A543" s="99">
        <v>947.0</v>
      </c>
      <c r="B543" s="99" t="s">
        <v>241</v>
      </c>
      <c r="C543" s="99" t="s">
        <v>760</v>
      </c>
      <c r="D543" s="99" t="s">
        <v>4110</v>
      </c>
      <c r="E543" s="99" t="s">
        <v>409</v>
      </c>
      <c r="F543" s="99" t="s">
        <v>4111</v>
      </c>
      <c r="G543" s="99" t="s">
        <v>4087</v>
      </c>
      <c r="H543" s="99" t="s">
        <v>189</v>
      </c>
      <c r="I543" s="99" t="s">
        <v>626</v>
      </c>
      <c r="J543" s="104"/>
      <c r="K543" s="66" t="str">
        <f>IFNA(VLOOKUP(D543,'EAN Codes'!A:C,2,False),"")</f>
        <v>5060128535780</v>
      </c>
      <c r="L543" s="101"/>
      <c r="M543" s="119"/>
      <c r="N543" s="99"/>
      <c r="O543" s="99"/>
      <c r="P543" s="99"/>
      <c r="Q543" s="99"/>
      <c r="R543" s="99"/>
      <c r="S543" s="104"/>
      <c r="T543" s="99"/>
      <c r="U543" s="93" t="b">
        <v>1</v>
      </c>
      <c r="V543" s="99" t="s">
        <v>4112</v>
      </c>
      <c r="Z543" t="b">
        <v>0</v>
      </c>
    </row>
    <row r="544" hidden="1">
      <c r="A544" s="99">
        <v>96.0</v>
      </c>
      <c r="B544" s="99"/>
      <c r="C544" s="99" t="s">
        <v>3701</v>
      </c>
      <c r="D544" s="99" t="s">
        <v>4113</v>
      </c>
      <c r="E544" s="99" t="s">
        <v>409</v>
      </c>
      <c r="F544" s="99" t="s">
        <v>4114</v>
      </c>
      <c r="G544" s="99" t="s">
        <v>4115</v>
      </c>
      <c r="H544" s="99" t="s">
        <v>512</v>
      </c>
      <c r="I544" s="99" t="s">
        <v>458</v>
      </c>
      <c r="J544" s="104"/>
      <c r="K544" s="66" t="str">
        <f>IFNA(VLOOKUP(D544,'EAN Codes'!A:C,2,False),"")</f>
        <v/>
      </c>
      <c r="L544" s="35"/>
      <c r="M544" s="83"/>
      <c r="N544" s="6"/>
      <c r="O544" s="6"/>
      <c r="P544" s="6"/>
      <c r="Q544" s="6"/>
      <c r="R544" s="6"/>
      <c r="S544" s="84"/>
      <c r="T544" s="6"/>
      <c r="U544" s="93" t="b">
        <v>1</v>
      </c>
      <c r="V544" s="6"/>
      <c r="Z544" t="b">
        <v>0</v>
      </c>
    </row>
    <row r="545" hidden="1">
      <c r="A545" s="99">
        <v>152.0</v>
      </c>
      <c r="B545" s="99"/>
      <c r="C545" s="99" t="s">
        <v>342</v>
      </c>
      <c r="D545" s="99" t="s">
        <v>4084</v>
      </c>
      <c r="E545" s="99" t="s">
        <v>346</v>
      </c>
      <c r="F545" s="99" t="s">
        <v>4116</v>
      </c>
      <c r="G545" s="99" t="s">
        <v>4115</v>
      </c>
      <c r="H545" s="99" t="s">
        <v>189</v>
      </c>
      <c r="I545" s="99" t="s">
        <v>1634</v>
      </c>
      <c r="J545" s="104"/>
      <c r="K545" s="66" t="str">
        <f>IFNA(VLOOKUP(D545,'EAN Codes'!A:C,2,False),"")</f>
        <v>5907615811852</v>
      </c>
      <c r="L545" s="35"/>
      <c r="M545" s="361"/>
      <c r="N545" s="362"/>
      <c r="O545" s="362"/>
      <c r="P545" s="362"/>
      <c r="Q545" s="362"/>
      <c r="R545" s="362"/>
      <c r="S545" s="363"/>
      <c r="T545" s="362"/>
      <c r="U545" s="93" t="b">
        <v>1</v>
      </c>
      <c r="V545" s="362" t="s">
        <v>4117</v>
      </c>
      <c r="Z545" t="b">
        <v>0</v>
      </c>
    </row>
    <row r="546" hidden="1">
      <c r="A546" s="99">
        <v>116.0</v>
      </c>
      <c r="B546" s="99"/>
      <c r="C546" s="99" t="s">
        <v>408</v>
      </c>
      <c r="D546" s="99">
        <v>313432.0</v>
      </c>
      <c r="E546" s="99" t="s">
        <v>409</v>
      </c>
      <c r="F546" s="99" t="s">
        <v>4118</v>
      </c>
      <c r="G546" s="101"/>
      <c r="H546" s="99" t="s">
        <v>512</v>
      </c>
      <c r="I546" s="99" t="s">
        <v>1634</v>
      </c>
      <c r="J546" s="104"/>
      <c r="K546" s="66" t="str">
        <f>IFNA(VLOOKUP(D546,'EAN Codes'!A:C,2,False),"")</f>
        <v/>
      </c>
      <c r="L546" s="35"/>
      <c r="M546" s="67"/>
      <c r="S546" s="60"/>
      <c r="U546" s="93" t="b">
        <v>1</v>
      </c>
      <c r="Z546" t="b">
        <v>0</v>
      </c>
    </row>
    <row r="547" hidden="1">
      <c r="A547" s="99">
        <v>239.0</v>
      </c>
      <c r="B547" s="99" t="s">
        <v>241</v>
      </c>
      <c r="C547" s="99" t="s">
        <v>1217</v>
      </c>
      <c r="D547" s="100" t="s">
        <v>4119</v>
      </c>
      <c r="E547" s="99" t="s">
        <v>409</v>
      </c>
      <c r="F547" s="99" t="s">
        <v>3959</v>
      </c>
      <c r="G547" s="99" t="s">
        <v>3960</v>
      </c>
      <c r="H547" s="99" t="s">
        <v>189</v>
      </c>
      <c r="I547" s="99" t="s">
        <v>680</v>
      </c>
      <c r="J547" s="104"/>
      <c r="K547" s="107" t="str">
        <f>IFNA(VLOOKUP(D547,'EAN Codes'!A:C,2,False),"")</f>
        <v>27305</v>
      </c>
      <c r="L547" s="99" t="s">
        <v>269</v>
      </c>
      <c r="M547" s="119"/>
      <c r="N547" s="99"/>
      <c r="O547" s="99"/>
      <c r="P547" s="99"/>
      <c r="Q547" s="99"/>
      <c r="R547" s="99"/>
      <c r="S547" s="104"/>
      <c r="T547" s="99"/>
      <c r="U547" s="93" t="b">
        <v>1</v>
      </c>
      <c r="V547" s="99" t="s">
        <v>4120</v>
      </c>
      <c r="Z547" t="b">
        <v>0</v>
      </c>
    </row>
    <row r="548" hidden="1">
      <c r="A548" s="86">
        <v>1004.0</v>
      </c>
      <c r="B548" s="86" t="s">
        <v>241</v>
      </c>
      <c r="C548" s="86" t="s">
        <v>342</v>
      </c>
      <c r="D548" s="87" t="s">
        <v>3964</v>
      </c>
      <c r="E548" s="86" t="s">
        <v>346</v>
      </c>
      <c r="F548" s="86" t="s">
        <v>3992</v>
      </c>
      <c r="G548" s="86" t="s">
        <v>3980</v>
      </c>
      <c r="H548" s="86" t="s">
        <v>728</v>
      </c>
      <c r="I548" s="91"/>
      <c r="J548" s="97"/>
      <c r="K548" s="66" t="str">
        <f>IFNA(VLOOKUP(D548,'EAN Codes'!A:C,2,False),"")</f>
        <v>5907615808777</v>
      </c>
      <c r="L548" s="91"/>
      <c r="M548" s="92"/>
      <c r="N548" s="86"/>
      <c r="O548" s="86"/>
      <c r="P548" s="86"/>
      <c r="Q548" s="86"/>
      <c r="R548" s="86"/>
      <c r="S548" s="88"/>
      <c r="T548" s="86"/>
      <c r="U548" s="93" t="b">
        <v>1</v>
      </c>
      <c r="V548" s="86" t="s">
        <v>4121</v>
      </c>
      <c r="Z548" t="b">
        <v>0</v>
      </c>
    </row>
    <row r="549" hidden="1">
      <c r="A549" s="99"/>
      <c r="B549" s="99"/>
      <c r="C549" s="99" t="s">
        <v>1250</v>
      </c>
      <c r="D549" s="99" t="s">
        <v>4122</v>
      </c>
      <c r="E549" s="99" t="s">
        <v>409</v>
      </c>
      <c r="F549" s="99" t="s">
        <v>4123</v>
      </c>
      <c r="G549" s="99" t="s">
        <v>4115</v>
      </c>
      <c r="H549" s="99" t="s">
        <v>4124</v>
      </c>
      <c r="I549" s="99"/>
      <c r="J549" s="104"/>
      <c r="K549" s="66" t="str">
        <f>IFNA(VLOOKUP(D549,'EAN Codes'!A:C,2,False),"")</f>
        <v>8054521991578</v>
      </c>
      <c r="L549" s="35"/>
      <c r="M549" s="119"/>
      <c r="N549" s="99"/>
      <c r="O549" s="99"/>
      <c r="P549" s="99"/>
      <c r="Q549" s="99"/>
      <c r="R549" s="99"/>
      <c r="S549" s="104"/>
      <c r="T549" s="99"/>
      <c r="U549" s="93" t="b">
        <v>1</v>
      </c>
      <c r="V549" s="99" t="s">
        <v>4125</v>
      </c>
      <c r="Z549" t="b">
        <v>0</v>
      </c>
    </row>
    <row r="550" hidden="1">
      <c r="A550" s="86">
        <v>212.0</v>
      </c>
      <c r="B550" s="86"/>
      <c r="C550" s="86" t="s">
        <v>408</v>
      </c>
      <c r="D550" s="86">
        <v>313214.0</v>
      </c>
      <c r="E550" s="86" t="s">
        <v>346</v>
      </c>
      <c r="F550" s="86" t="s">
        <v>4126</v>
      </c>
      <c r="G550" s="86" t="s">
        <v>1922</v>
      </c>
      <c r="H550" s="86" t="s">
        <v>1726</v>
      </c>
      <c r="I550" s="86" t="s">
        <v>458</v>
      </c>
      <c r="J550" s="88"/>
      <c r="K550" s="66" t="str">
        <f>IFNA(VLOOKUP(D550,'EAN Codes'!A:C,2,False),"")</f>
        <v/>
      </c>
      <c r="L550" s="160"/>
      <c r="M550" s="92"/>
      <c r="N550" s="86"/>
      <c r="O550" s="86"/>
      <c r="P550" s="86"/>
      <c r="Q550" s="86"/>
      <c r="R550" s="86"/>
      <c r="S550" s="88"/>
      <c r="T550" s="86"/>
      <c r="U550" s="93" t="b">
        <v>1</v>
      </c>
      <c r="V550" s="86" t="s">
        <v>4127</v>
      </c>
      <c r="Z550" t="b">
        <v>0</v>
      </c>
    </row>
    <row r="551" hidden="1">
      <c r="A551" s="99">
        <v>107.0</v>
      </c>
      <c r="B551" s="99" t="s">
        <v>241</v>
      </c>
      <c r="C551" s="99" t="s">
        <v>408</v>
      </c>
      <c r="D551" s="99">
        <v>313431.0</v>
      </c>
      <c r="E551" s="99" t="s">
        <v>346</v>
      </c>
      <c r="F551" s="99" t="s">
        <v>4128</v>
      </c>
      <c r="G551" s="99" t="s">
        <v>2194</v>
      </c>
      <c r="H551" s="99" t="s">
        <v>189</v>
      </c>
      <c r="I551" s="99" t="s">
        <v>680</v>
      </c>
      <c r="J551" s="104"/>
      <c r="K551" s="66" t="str">
        <f>IFNA(VLOOKUP(D551,'EAN Codes'!A:C,2,False),"")</f>
        <v/>
      </c>
      <c r="L551" s="35"/>
      <c r="M551" s="83"/>
      <c r="N551" s="6"/>
      <c r="O551" s="6"/>
      <c r="P551" s="6"/>
      <c r="Q551" s="6"/>
      <c r="R551" s="6"/>
      <c r="S551" s="84"/>
      <c r="T551" s="6"/>
      <c r="U551" s="93" t="b">
        <v>1</v>
      </c>
      <c r="V551" s="6"/>
      <c r="Z551" t="b">
        <v>0</v>
      </c>
    </row>
    <row r="552" hidden="1">
      <c r="A552" s="115"/>
      <c r="B552" s="106" t="s">
        <v>241</v>
      </c>
      <c r="C552" s="106" t="s">
        <v>342</v>
      </c>
      <c r="D552" s="106" t="s">
        <v>4079</v>
      </c>
      <c r="E552" s="106" t="s">
        <v>346</v>
      </c>
      <c r="F552" s="106" t="s">
        <v>4129</v>
      </c>
      <c r="G552" s="106" t="s">
        <v>1155</v>
      </c>
      <c r="H552" s="106" t="s">
        <v>763</v>
      </c>
      <c r="I552" s="115"/>
      <c r="J552" s="263"/>
      <c r="K552" s="66" t="str">
        <f>IFNA(VLOOKUP(D552,'EAN Codes'!A:C,2,False),"")</f>
        <v>5907615811487</v>
      </c>
      <c r="L552" s="160"/>
      <c r="M552" s="276"/>
      <c r="N552" s="106"/>
      <c r="O552" s="106"/>
      <c r="P552" s="106"/>
      <c r="Q552" s="106"/>
      <c r="R552" s="106"/>
      <c r="S552" s="274"/>
      <c r="T552" s="106"/>
      <c r="U552" s="93" t="b">
        <v>1</v>
      </c>
      <c r="V552" s="106" t="s">
        <v>4130</v>
      </c>
      <c r="W552" s="99" t="s">
        <v>4131</v>
      </c>
      <c r="Z552" t="b">
        <v>0</v>
      </c>
    </row>
    <row r="553" hidden="1">
      <c r="A553" s="99">
        <v>894.0</v>
      </c>
      <c r="B553" s="99" t="s">
        <v>241</v>
      </c>
      <c r="C553" s="99" t="s">
        <v>342</v>
      </c>
      <c r="D553" s="99" t="s">
        <v>4132</v>
      </c>
      <c r="E553" s="99" t="s">
        <v>373</v>
      </c>
      <c r="F553" s="99" t="s">
        <v>4133</v>
      </c>
      <c r="G553" s="282" t="s">
        <v>751</v>
      </c>
      <c r="H553" s="99" t="s">
        <v>189</v>
      </c>
      <c r="I553" s="99" t="s">
        <v>483</v>
      </c>
      <c r="J553" s="104"/>
      <c r="K553" s="66" t="str">
        <f>IFNA(VLOOKUP(D553,'EAN Codes'!A:C,2,False),"")</f>
        <v/>
      </c>
      <c r="L553" s="101"/>
      <c r="M553" s="83"/>
      <c r="N553" s="6"/>
      <c r="O553" s="6"/>
      <c r="P553" s="6"/>
      <c r="Q553" s="6"/>
      <c r="R553" s="6"/>
      <c r="S553" s="84"/>
      <c r="T553" s="6"/>
      <c r="U553" s="93" t="b">
        <v>1</v>
      </c>
      <c r="V553" s="6" t="s">
        <v>4134</v>
      </c>
      <c r="Z553" t="b">
        <v>0</v>
      </c>
    </row>
    <row r="554" hidden="1">
      <c r="A554" s="99">
        <v>837.0</v>
      </c>
      <c r="B554" s="99" t="s">
        <v>241</v>
      </c>
      <c r="C554" s="99" t="s">
        <v>342</v>
      </c>
      <c r="D554" s="99" t="s">
        <v>4135</v>
      </c>
      <c r="E554" s="99" t="s">
        <v>409</v>
      </c>
      <c r="F554" s="104" t="s">
        <v>4136</v>
      </c>
      <c r="G554" s="99" t="s">
        <v>1155</v>
      </c>
      <c r="H554" s="99" t="s">
        <v>4137</v>
      </c>
      <c r="I554" s="101"/>
      <c r="J554" s="110"/>
      <c r="K554" s="66" t="str">
        <f>IFNA(VLOOKUP(D554,'EAN Codes'!A:C,2,False),"")</f>
        <v>5907615811562</v>
      </c>
      <c r="L554" s="101"/>
      <c r="M554" s="119"/>
      <c r="N554" s="99"/>
      <c r="O554" s="99"/>
      <c r="P554" s="99"/>
      <c r="Q554" s="99"/>
      <c r="R554" s="99"/>
      <c r="S554" s="104"/>
      <c r="T554" s="99"/>
      <c r="U554" s="93" t="b">
        <v>1</v>
      </c>
      <c r="V554" s="99" t="s">
        <v>4138</v>
      </c>
      <c r="Z554" t="b">
        <v>0</v>
      </c>
    </row>
    <row r="555" hidden="1">
      <c r="A555" s="99">
        <v>883.0</v>
      </c>
      <c r="B555" s="99" t="s">
        <v>241</v>
      </c>
      <c r="C555" s="99" t="s">
        <v>408</v>
      </c>
      <c r="D555" s="99">
        <v>313503.0</v>
      </c>
      <c r="E555" s="99" t="s">
        <v>409</v>
      </c>
      <c r="F555" s="99" t="s">
        <v>4139</v>
      </c>
      <c r="G555" s="99" t="s">
        <v>1155</v>
      </c>
      <c r="H555" s="99" t="s">
        <v>189</v>
      </c>
      <c r="I555" s="99" t="s">
        <v>819</v>
      </c>
      <c r="J555" s="104"/>
      <c r="K555" s="66" t="str">
        <f>IFNA(VLOOKUP(D555,'EAN Codes'!A:C,2,False),"")</f>
        <v/>
      </c>
      <c r="L555" s="101"/>
      <c r="M555" s="119"/>
      <c r="N555" s="99"/>
      <c r="O555" s="99"/>
      <c r="P555" s="99"/>
      <c r="Q555" s="99"/>
      <c r="R555" s="99"/>
      <c r="S555" s="104"/>
      <c r="T555" s="99"/>
      <c r="U555" s="93" t="b">
        <v>1</v>
      </c>
      <c r="V555" s="99" t="s">
        <v>4140</v>
      </c>
      <c r="Z555" t="b">
        <v>0</v>
      </c>
    </row>
    <row r="556" hidden="1">
      <c r="A556" s="99">
        <v>518.0</v>
      </c>
      <c r="B556" s="99" t="s">
        <v>241</v>
      </c>
      <c r="C556" s="99" t="s">
        <v>342</v>
      </c>
      <c r="D556" s="99" t="s">
        <v>4141</v>
      </c>
      <c r="E556" s="99" t="s">
        <v>346</v>
      </c>
      <c r="F556" s="86" t="s">
        <v>4142</v>
      </c>
      <c r="G556" s="101"/>
      <c r="H556" s="99" t="s">
        <v>189</v>
      </c>
      <c r="I556" s="99" t="s">
        <v>530</v>
      </c>
      <c r="J556" s="104"/>
      <c r="K556" s="66" t="str">
        <f>IFNA(VLOOKUP(D556,'EAN Codes'!A:C,2,False),"")</f>
        <v>5907615811609</v>
      </c>
      <c r="L556" s="99" t="s">
        <v>269</v>
      </c>
      <c r="M556" s="83"/>
      <c r="N556" s="6"/>
      <c r="O556" s="6"/>
      <c r="P556" s="6"/>
      <c r="Q556" s="6"/>
      <c r="R556" s="6"/>
      <c r="S556" s="84"/>
      <c r="T556" s="6"/>
      <c r="U556" s="93" t="b">
        <v>1</v>
      </c>
      <c r="V556" s="6" t="s">
        <v>4143</v>
      </c>
      <c r="Z556" t="b">
        <v>0</v>
      </c>
    </row>
    <row r="557" hidden="1">
      <c r="A557" s="99">
        <v>753.0</v>
      </c>
      <c r="B557" s="99" t="s">
        <v>241</v>
      </c>
      <c r="C557" s="99" t="s">
        <v>1250</v>
      </c>
      <c r="D557" s="99">
        <v>23038.0</v>
      </c>
      <c r="E557" s="99" t="s">
        <v>4144</v>
      </c>
      <c r="F557" s="99" t="s">
        <v>4145</v>
      </c>
      <c r="G557" s="153">
        <v>43533.0</v>
      </c>
      <c r="H557" s="99" t="s">
        <v>189</v>
      </c>
      <c r="I557" s="99" t="s">
        <v>626</v>
      </c>
      <c r="J557" s="104"/>
      <c r="K557" s="66" t="str">
        <f>IFNA(VLOOKUP(D557,'EAN Codes'!A:C,2,False),"")</f>
        <v/>
      </c>
      <c r="L557" s="82"/>
      <c r="M557" s="92"/>
      <c r="N557" s="86"/>
      <c r="O557" s="86"/>
      <c r="P557" s="86"/>
      <c r="Q557" s="86"/>
      <c r="R557" s="86"/>
      <c r="S557" s="88"/>
      <c r="T557" s="86"/>
      <c r="U557" s="93" t="b">
        <v>1</v>
      </c>
      <c r="V557" s="86" t="s">
        <v>4146</v>
      </c>
      <c r="Z557" t="b">
        <v>0</v>
      </c>
    </row>
    <row r="558" hidden="1">
      <c r="A558" s="99">
        <v>124.0</v>
      </c>
      <c r="B558" s="99"/>
      <c r="C558" s="99" t="s">
        <v>342</v>
      </c>
      <c r="D558" s="99" t="s">
        <v>4147</v>
      </c>
      <c r="E558" s="99" t="s">
        <v>346</v>
      </c>
      <c r="F558" s="99" t="s">
        <v>4148</v>
      </c>
      <c r="G558" s="99" t="s">
        <v>4149</v>
      </c>
      <c r="H558" s="99" t="s">
        <v>512</v>
      </c>
      <c r="I558" s="99" t="s">
        <v>626</v>
      </c>
      <c r="J558" s="104"/>
      <c r="K558" s="66" t="str">
        <f>IFNA(VLOOKUP(D558,'EAN Codes'!A:C,2,False),"")</f>
        <v>5907615811760</v>
      </c>
      <c r="L558" s="35"/>
      <c r="M558" s="119"/>
      <c r="N558" s="99"/>
      <c r="O558" s="99"/>
      <c r="P558" s="99"/>
      <c r="Q558" s="99"/>
      <c r="R558" s="99"/>
      <c r="S558" s="104"/>
      <c r="T558" s="99"/>
      <c r="U558" s="93" t="b">
        <v>1</v>
      </c>
      <c r="V558" s="99" t="s">
        <v>4150</v>
      </c>
      <c r="Z558" s="101" t="b">
        <v>0</v>
      </c>
      <c r="AA558" s="101"/>
      <c r="AB558" s="101"/>
      <c r="AC558" s="101"/>
      <c r="AD558" s="101"/>
      <c r="AE558" s="101"/>
    </row>
    <row r="559" hidden="1">
      <c r="A559" s="99">
        <v>563.0</v>
      </c>
      <c r="B559" s="99" t="s">
        <v>241</v>
      </c>
      <c r="C559" s="99" t="s">
        <v>408</v>
      </c>
      <c r="D559" s="99">
        <v>313194.0</v>
      </c>
      <c r="E559" s="99" t="s">
        <v>346</v>
      </c>
      <c r="F559" s="99" t="s">
        <v>4151</v>
      </c>
      <c r="G559" s="99" t="s">
        <v>4152</v>
      </c>
      <c r="H559" s="99" t="s">
        <v>189</v>
      </c>
      <c r="I559" s="99" t="s">
        <v>551</v>
      </c>
      <c r="J559" s="104"/>
      <c r="K559" s="66" t="str">
        <f>IFNA(VLOOKUP(D559,'EAN Codes'!A:C,2,False),"")</f>
        <v/>
      </c>
      <c r="L559" s="99" t="s">
        <v>269</v>
      </c>
      <c r="M559" s="83"/>
      <c r="N559" s="6"/>
      <c r="O559" s="6"/>
      <c r="P559" s="6"/>
      <c r="Q559" s="6"/>
      <c r="R559" s="6"/>
      <c r="S559" s="84"/>
      <c r="T559" s="6"/>
      <c r="U559" s="93" t="b">
        <v>1</v>
      </c>
      <c r="V559" s="6" t="s">
        <v>4153</v>
      </c>
      <c r="Y559" s="6" t="s">
        <v>452</v>
      </c>
      <c r="Z559" t="b">
        <v>0</v>
      </c>
    </row>
    <row r="560" hidden="1">
      <c r="A560" s="99">
        <v>503.0</v>
      </c>
      <c r="B560" s="99" t="s">
        <v>241</v>
      </c>
      <c r="C560" s="99" t="s">
        <v>408</v>
      </c>
      <c r="D560" s="99">
        <v>313361.0</v>
      </c>
      <c r="E560" s="99" t="s">
        <v>409</v>
      </c>
      <c r="F560" s="99" t="s">
        <v>4154</v>
      </c>
      <c r="G560" s="99" t="s">
        <v>1013</v>
      </c>
      <c r="H560" s="99" t="s">
        <v>189</v>
      </c>
      <c r="I560" s="99" t="s">
        <v>4155</v>
      </c>
      <c r="J560" s="104"/>
      <c r="K560" s="66" t="str">
        <f>IFNA(VLOOKUP(D560,'EAN Codes'!A:C,2,False),"")</f>
        <v/>
      </c>
      <c r="L560" s="99" t="s">
        <v>269</v>
      </c>
      <c r="M560" s="119"/>
      <c r="N560" s="99"/>
      <c r="O560" s="99"/>
      <c r="P560" s="99"/>
      <c r="Q560" s="99"/>
      <c r="R560" s="99"/>
      <c r="S560" s="104"/>
      <c r="T560" s="99"/>
      <c r="U560" s="93" t="b">
        <v>1</v>
      </c>
      <c r="V560" s="99" t="s">
        <v>4156</v>
      </c>
      <c r="Y560" s="6" t="s">
        <v>452</v>
      </c>
      <c r="Z560" t="b">
        <v>0</v>
      </c>
    </row>
    <row r="561" hidden="1">
      <c r="A561" s="99">
        <v>900.0</v>
      </c>
      <c r="B561" s="99" t="s">
        <v>731</v>
      </c>
      <c r="C561" s="86" t="s">
        <v>408</v>
      </c>
      <c r="D561" s="99">
        <v>3.13361300113E11</v>
      </c>
      <c r="E561" s="99" t="s">
        <v>4157</v>
      </c>
      <c r="F561" s="99" t="s">
        <v>4158</v>
      </c>
      <c r="G561" s="99" t="s">
        <v>1013</v>
      </c>
      <c r="H561" s="99" t="s">
        <v>189</v>
      </c>
      <c r="I561" s="99" t="s">
        <v>1287</v>
      </c>
      <c r="J561" s="104"/>
      <c r="K561" s="66" t="str">
        <f>IFNA(VLOOKUP(D561,'EAN Codes'!A:C,2,False),"")</f>
        <v/>
      </c>
      <c r="L561" s="82"/>
      <c r="M561" s="67"/>
      <c r="S561" s="60"/>
      <c r="U561" s="93" t="b">
        <v>1</v>
      </c>
      <c r="Z561" t="b">
        <v>0</v>
      </c>
    </row>
    <row r="562" hidden="1">
      <c r="A562" s="86">
        <v>638.0</v>
      </c>
      <c r="B562" s="86" t="s">
        <v>241</v>
      </c>
      <c r="C562" s="86" t="s">
        <v>4159</v>
      </c>
      <c r="D562" s="86" t="s">
        <v>4160</v>
      </c>
      <c r="E562" s="86" t="s">
        <v>346</v>
      </c>
      <c r="F562" s="86" t="s">
        <v>4161</v>
      </c>
      <c r="G562" s="86" t="s">
        <v>4162</v>
      </c>
      <c r="H562" s="99" t="s">
        <v>189</v>
      </c>
      <c r="I562" s="86" t="s">
        <v>458</v>
      </c>
      <c r="J562" s="88"/>
      <c r="K562" s="66" t="str">
        <f>IFNA(VLOOKUP(D562,'EAN Codes'!A:C,2,False),"")</f>
        <v/>
      </c>
      <c r="L562" s="86" t="s">
        <v>269</v>
      </c>
      <c r="M562" s="92"/>
      <c r="N562" s="86"/>
      <c r="O562" s="86"/>
      <c r="P562" s="86"/>
      <c r="Q562" s="86"/>
      <c r="R562" s="86"/>
      <c r="S562" s="88"/>
      <c r="T562" s="86"/>
      <c r="U562" s="93" t="b">
        <v>1</v>
      </c>
      <c r="V562" s="86"/>
      <c r="Z562" t="b">
        <v>0</v>
      </c>
    </row>
    <row r="563" hidden="1">
      <c r="A563" s="99">
        <v>771.0</v>
      </c>
      <c r="B563" s="99" t="s">
        <v>241</v>
      </c>
      <c r="C563" s="99" t="s">
        <v>342</v>
      </c>
      <c r="D563" s="99" t="s">
        <v>4163</v>
      </c>
      <c r="E563" s="99" t="s">
        <v>409</v>
      </c>
      <c r="F563" s="99" t="s">
        <v>4164</v>
      </c>
      <c r="G563" s="99" t="s">
        <v>4165</v>
      </c>
      <c r="H563" s="99" t="s">
        <v>189</v>
      </c>
      <c r="I563" s="99" t="s">
        <v>680</v>
      </c>
      <c r="J563" s="104"/>
      <c r="K563" s="66" t="str">
        <f>IFNA(VLOOKUP(D563,'EAN Codes'!A:C,2,False),"")</f>
        <v>5907615811708</v>
      </c>
      <c r="L563" s="35"/>
      <c r="M563" s="145"/>
      <c r="N563" s="35"/>
      <c r="O563" s="35"/>
      <c r="P563" s="35"/>
      <c r="Q563" s="35"/>
      <c r="R563" s="35"/>
      <c r="S563" s="146"/>
      <c r="T563" s="35"/>
      <c r="U563" s="93" t="b">
        <v>1</v>
      </c>
      <c r="V563" s="35" t="s">
        <v>4166</v>
      </c>
      <c r="W563" s="6" t="s">
        <v>4167</v>
      </c>
      <c r="Z563" t="b">
        <v>0</v>
      </c>
    </row>
    <row r="564" hidden="1">
      <c r="A564" s="99">
        <v>155.0</v>
      </c>
      <c r="B564" s="99"/>
      <c r="C564" s="99" t="s">
        <v>342</v>
      </c>
      <c r="D564" s="99" t="s">
        <v>4168</v>
      </c>
      <c r="E564" s="99" t="s">
        <v>346</v>
      </c>
      <c r="F564" s="99" t="s">
        <v>4169</v>
      </c>
      <c r="G564" s="99" t="s">
        <v>1013</v>
      </c>
      <c r="H564" s="99" t="s">
        <v>189</v>
      </c>
      <c r="I564" s="99" t="s">
        <v>530</v>
      </c>
      <c r="J564" s="104"/>
      <c r="K564" s="66" t="str">
        <f>IFNA(VLOOKUP(D564,'EAN Codes'!A:C,2,False),"")</f>
        <v>5907615811654</v>
      </c>
      <c r="L564" s="99"/>
      <c r="M564" s="108"/>
      <c r="N564" s="101"/>
      <c r="O564" s="101"/>
      <c r="P564" s="101"/>
      <c r="Q564" s="101"/>
      <c r="R564" s="101"/>
      <c r="S564" s="110"/>
      <c r="T564" s="101"/>
      <c r="U564" s="93" t="b">
        <v>1</v>
      </c>
      <c r="V564" s="101"/>
      <c r="X564" s="101"/>
      <c r="Y564" s="101"/>
      <c r="Z564" t="b">
        <v>0</v>
      </c>
    </row>
    <row r="565" hidden="1">
      <c r="A565" s="86">
        <v>252.0</v>
      </c>
      <c r="B565" s="99" t="s">
        <v>241</v>
      </c>
      <c r="C565" s="86" t="s">
        <v>408</v>
      </c>
      <c r="D565" s="86">
        <v>313373.0</v>
      </c>
      <c r="E565" s="86" t="s">
        <v>409</v>
      </c>
      <c r="F565" s="86" t="s">
        <v>4170</v>
      </c>
      <c r="G565" s="86" t="s">
        <v>375</v>
      </c>
      <c r="H565" s="86" t="s">
        <v>189</v>
      </c>
      <c r="I565" s="86" t="s">
        <v>458</v>
      </c>
      <c r="J565" s="88"/>
      <c r="K565" s="66" t="str">
        <f>IFNA(VLOOKUP(D565,'EAN Codes'!A:C,2,False),"")</f>
        <v/>
      </c>
      <c r="L565" s="86"/>
      <c r="M565" s="92"/>
      <c r="N565" s="86"/>
      <c r="O565" s="86"/>
      <c r="P565" s="86"/>
      <c r="Q565" s="86"/>
      <c r="R565" s="86"/>
      <c r="S565" s="88"/>
      <c r="T565" s="86"/>
      <c r="U565" s="93" t="b">
        <v>1</v>
      </c>
      <c r="V565" s="86" t="s">
        <v>4171</v>
      </c>
      <c r="Z565" t="b">
        <v>0</v>
      </c>
    </row>
    <row r="566" hidden="1">
      <c r="A566" s="86">
        <v>271.0</v>
      </c>
      <c r="B566" s="6" t="s">
        <v>241</v>
      </c>
      <c r="C566" s="86" t="s">
        <v>342</v>
      </c>
      <c r="D566" s="86" t="s">
        <v>4074</v>
      </c>
      <c r="E566" s="86" t="s">
        <v>409</v>
      </c>
      <c r="F566" s="86" t="s">
        <v>4170</v>
      </c>
      <c r="G566" s="91"/>
      <c r="H566" s="86" t="s">
        <v>542</v>
      </c>
      <c r="I566" s="86" t="s">
        <v>418</v>
      </c>
      <c r="J566" s="88"/>
      <c r="K566" s="66" t="str">
        <f>IFNA(VLOOKUP(D566,'EAN Codes'!A:C,2,False),"")</f>
        <v>5907615811661</v>
      </c>
      <c r="L566" s="86"/>
      <c r="M566" s="92"/>
      <c r="N566" s="86"/>
      <c r="O566" s="86"/>
      <c r="P566" s="86"/>
      <c r="Q566" s="86"/>
      <c r="R566" s="86"/>
      <c r="S566" s="88"/>
      <c r="T566" s="86"/>
      <c r="U566" s="93" t="b">
        <v>1</v>
      </c>
      <c r="V566" s="86"/>
      <c r="W566" s="82"/>
      <c r="X566" s="82"/>
      <c r="Z566" t="b">
        <v>0</v>
      </c>
    </row>
    <row r="567" hidden="1">
      <c r="A567" s="99">
        <v>899.0</v>
      </c>
      <c r="B567" s="99" t="s">
        <v>241</v>
      </c>
      <c r="C567" s="86" t="s">
        <v>408</v>
      </c>
      <c r="D567" s="99">
        <v>313373.0</v>
      </c>
      <c r="E567" s="99" t="s">
        <v>373</v>
      </c>
      <c r="F567" s="99" t="s">
        <v>4170</v>
      </c>
      <c r="G567" s="99" t="s">
        <v>4172</v>
      </c>
      <c r="H567" s="99" t="s">
        <v>189</v>
      </c>
      <c r="I567" s="86" t="s">
        <v>483</v>
      </c>
      <c r="J567" s="88"/>
      <c r="K567" s="66" t="str">
        <f>IFNA(VLOOKUP(D567,'EAN Codes'!A:C,2,False),"")</f>
        <v/>
      </c>
      <c r="L567" s="101"/>
      <c r="M567" s="119"/>
      <c r="N567" s="99"/>
      <c r="O567" s="99"/>
      <c r="P567" s="99"/>
      <c r="Q567" s="99"/>
      <c r="R567" s="99"/>
      <c r="S567" s="104"/>
      <c r="T567" s="99"/>
      <c r="U567" s="93" t="b">
        <v>1</v>
      </c>
      <c r="V567" s="99" t="s">
        <v>4173</v>
      </c>
      <c r="Z567" t="b">
        <v>0</v>
      </c>
    </row>
    <row r="568" hidden="1">
      <c r="A568" s="99">
        <v>978.0</v>
      </c>
      <c r="B568" s="99" t="s">
        <v>241</v>
      </c>
      <c r="C568" s="99" t="s">
        <v>760</v>
      </c>
      <c r="D568" s="99" t="s">
        <v>4174</v>
      </c>
      <c r="E568" s="99" t="s">
        <v>409</v>
      </c>
      <c r="F568" s="99" t="s">
        <v>4175</v>
      </c>
      <c r="G568" s="99" t="s">
        <v>4172</v>
      </c>
      <c r="H568" s="99" t="s">
        <v>149</v>
      </c>
      <c r="I568" s="99" t="s">
        <v>4176</v>
      </c>
      <c r="J568" s="104"/>
      <c r="K568" s="66" t="str">
        <f>IFNA(VLOOKUP(D568,'EAN Codes'!A:C,2,False),"")</f>
        <v>5060128535858</v>
      </c>
      <c r="L568" s="99"/>
      <c r="M568" s="119"/>
      <c r="N568" s="99"/>
      <c r="O568" s="99"/>
      <c r="P568" s="99"/>
      <c r="Q568" s="99"/>
      <c r="R568" s="99"/>
      <c r="S568" s="104"/>
      <c r="T568" s="99"/>
      <c r="U568" s="93" t="b">
        <v>1</v>
      </c>
      <c r="V568" s="99" t="s">
        <v>4177</v>
      </c>
      <c r="Z568" t="b">
        <v>0</v>
      </c>
    </row>
    <row r="569" hidden="1">
      <c r="A569" s="86">
        <v>630.0</v>
      </c>
      <c r="B569" s="86" t="s">
        <v>241</v>
      </c>
      <c r="C569" s="86" t="s">
        <v>342</v>
      </c>
      <c r="D569" s="86" t="s">
        <v>4178</v>
      </c>
      <c r="E569" s="86" t="s">
        <v>346</v>
      </c>
      <c r="F569" s="86" t="s">
        <v>4179</v>
      </c>
      <c r="G569" s="99" t="s">
        <v>1013</v>
      </c>
      <c r="H569" s="86" t="s">
        <v>189</v>
      </c>
      <c r="I569" s="86" t="s">
        <v>626</v>
      </c>
      <c r="J569" s="88"/>
      <c r="K569" s="66" t="str">
        <f>IFNA(VLOOKUP(D569,'EAN Codes'!A:C,2,False),"")</f>
        <v>5907615811678</v>
      </c>
      <c r="L569" s="160" t="s">
        <v>92</v>
      </c>
      <c r="M569" s="276"/>
      <c r="N569" s="106"/>
      <c r="O569" s="106"/>
      <c r="P569" s="106"/>
      <c r="Q569" s="106"/>
      <c r="R569" s="106"/>
      <c r="S569" s="274"/>
      <c r="T569" s="106"/>
      <c r="U569" s="93" t="b">
        <v>1</v>
      </c>
      <c r="V569" s="106" t="s">
        <v>4180</v>
      </c>
      <c r="Z569" t="b">
        <v>0</v>
      </c>
    </row>
    <row r="570" hidden="1">
      <c r="A570" s="99">
        <v>210.0</v>
      </c>
      <c r="B570" s="99"/>
      <c r="C570" s="99" t="s">
        <v>342</v>
      </c>
      <c r="D570" s="99" t="s">
        <v>4181</v>
      </c>
      <c r="E570" s="99" t="s">
        <v>373</v>
      </c>
      <c r="F570" s="99" t="s">
        <v>4182</v>
      </c>
      <c r="G570" s="99" t="s">
        <v>4152</v>
      </c>
      <c r="H570" s="99" t="s">
        <v>1726</v>
      </c>
      <c r="I570" s="99" t="s">
        <v>585</v>
      </c>
      <c r="J570" s="104"/>
      <c r="K570" s="66" t="str">
        <f>IFNA(VLOOKUP(D570,'EAN Codes'!A:C,2,False),"")</f>
        <v>5907615811777</v>
      </c>
      <c r="L570" s="35"/>
      <c r="M570" s="67"/>
      <c r="S570" s="60"/>
      <c r="U570" s="93" t="b">
        <v>1</v>
      </c>
      <c r="Z570" t="b">
        <v>0</v>
      </c>
    </row>
    <row r="571" hidden="1">
      <c r="A571" s="99">
        <v>34.0</v>
      </c>
      <c r="B571" s="99"/>
      <c r="C571" s="99" t="s">
        <v>1217</v>
      </c>
      <c r="D571" s="99" t="s">
        <v>4183</v>
      </c>
      <c r="E571" s="99" t="s">
        <v>2639</v>
      </c>
      <c r="F571" s="99" t="s">
        <v>4184</v>
      </c>
      <c r="G571" s="99" t="s">
        <v>1013</v>
      </c>
      <c r="H571" s="99" t="s">
        <v>189</v>
      </c>
      <c r="I571" s="99" t="s">
        <v>530</v>
      </c>
      <c r="J571" s="104"/>
      <c r="K571" s="66" t="str">
        <f>IFNA(VLOOKUP(D571,'EAN Codes'!A:C,2,False),"")</f>
        <v/>
      </c>
      <c r="L571" s="99"/>
      <c r="M571" s="119"/>
      <c r="N571" s="99"/>
      <c r="O571" s="99"/>
      <c r="P571" s="99"/>
      <c r="Q571" s="99"/>
      <c r="R571" s="99"/>
      <c r="S571" s="104"/>
      <c r="T571" s="99"/>
      <c r="U571" s="93" t="b">
        <v>1</v>
      </c>
      <c r="V571" s="99" t="s">
        <v>4185</v>
      </c>
      <c r="Z571" t="b">
        <v>0</v>
      </c>
    </row>
    <row r="572" hidden="1">
      <c r="A572" s="6">
        <v>1020.0</v>
      </c>
      <c r="B572" s="6" t="s">
        <v>4186</v>
      </c>
      <c r="C572" s="6" t="s">
        <v>392</v>
      </c>
      <c r="D572" s="127" t="s">
        <v>4187</v>
      </c>
      <c r="F572" s="6" t="s">
        <v>4188</v>
      </c>
      <c r="H572" s="6" t="s">
        <v>189</v>
      </c>
      <c r="I572" s="6" t="s">
        <v>1287</v>
      </c>
      <c r="J572" s="84"/>
      <c r="K572" s="66" t="str">
        <f>IFNA(VLOOKUP(D572,'EAN Codes'!A:C,2,False),"")</f>
        <v/>
      </c>
      <c r="L572" s="82"/>
      <c r="M572" s="67"/>
      <c r="S572" s="60"/>
      <c r="U572" s="93" t="b">
        <v>1</v>
      </c>
      <c r="Z572" t="b">
        <v>0</v>
      </c>
    </row>
    <row r="573" hidden="1">
      <c r="A573" s="99">
        <v>514.0</v>
      </c>
      <c r="B573" s="99" t="s">
        <v>493</v>
      </c>
      <c r="C573" s="101"/>
      <c r="D573" s="101"/>
      <c r="E573" s="101"/>
      <c r="F573" s="99" t="s">
        <v>4189</v>
      </c>
      <c r="G573" s="101"/>
      <c r="H573" s="99" t="s">
        <v>189</v>
      </c>
      <c r="I573" s="99" t="s">
        <v>498</v>
      </c>
      <c r="J573" s="104"/>
      <c r="K573" s="66" t="str">
        <f>IFNA(VLOOKUP(D573,'EAN Codes'!A:C,2,False),"")</f>
        <v/>
      </c>
      <c r="L573" s="35"/>
      <c r="M573" s="67"/>
      <c r="S573" s="60"/>
      <c r="U573" s="93" t="b">
        <v>1</v>
      </c>
      <c r="Z573" t="b">
        <v>0</v>
      </c>
    </row>
    <row r="574" hidden="1">
      <c r="A574" s="99">
        <v>62.0</v>
      </c>
      <c r="B574" s="6" t="s">
        <v>241</v>
      </c>
      <c r="C574" s="99" t="s">
        <v>342</v>
      </c>
      <c r="D574" s="99" t="s">
        <v>4190</v>
      </c>
      <c r="E574" s="99" t="s">
        <v>346</v>
      </c>
      <c r="F574" s="99" t="s">
        <v>4191</v>
      </c>
      <c r="G574" s="99" t="s">
        <v>4192</v>
      </c>
      <c r="H574" s="99" t="s">
        <v>135</v>
      </c>
      <c r="I574" s="101"/>
      <c r="J574" s="110"/>
      <c r="K574" s="66" t="str">
        <f>IFNA(VLOOKUP(D574,'EAN Codes'!A:C,2,False),"")</f>
        <v>5907615811616</v>
      </c>
      <c r="L574" s="99"/>
      <c r="M574" s="119"/>
      <c r="N574" s="99"/>
      <c r="O574" s="99"/>
      <c r="P574" s="99"/>
      <c r="Q574" s="99"/>
      <c r="R574" s="99"/>
      <c r="S574" s="104"/>
      <c r="T574" s="99"/>
      <c r="U574" s="93" t="b">
        <v>1</v>
      </c>
      <c r="V574" s="99" t="s">
        <v>4193</v>
      </c>
      <c r="W574" s="101"/>
      <c r="Z574" t="b">
        <v>0</v>
      </c>
    </row>
    <row r="575" hidden="1">
      <c r="A575" s="99">
        <v>83.0</v>
      </c>
      <c r="B575" s="99"/>
      <c r="C575" s="99" t="s">
        <v>1217</v>
      </c>
      <c r="D575" s="99" t="s">
        <v>4194</v>
      </c>
      <c r="E575" s="99" t="s">
        <v>346</v>
      </c>
      <c r="F575" s="99" t="s">
        <v>4195</v>
      </c>
      <c r="G575" s="99" t="s">
        <v>2559</v>
      </c>
      <c r="H575" s="99" t="s">
        <v>135</v>
      </c>
      <c r="I575" s="101"/>
      <c r="J575" s="110"/>
      <c r="K575" s="66" t="str">
        <f>IFNA(VLOOKUP(D575,'EAN Codes'!A:C,2,False),"")</f>
        <v/>
      </c>
      <c r="L575" s="35"/>
      <c r="M575" s="108"/>
      <c r="N575" s="101"/>
      <c r="O575" s="101"/>
      <c r="P575" s="101"/>
      <c r="Q575" s="101"/>
      <c r="R575" s="101"/>
      <c r="S575" s="110"/>
      <c r="T575" s="101"/>
      <c r="U575" s="93" t="b">
        <v>1</v>
      </c>
      <c r="V575" s="101"/>
      <c r="W575" s="101"/>
      <c r="Z575" t="b">
        <v>0</v>
      </c>
    </row>
    <row r="576" hidden="1">
      <c r="A576" s="99">
        <v>18.0</v>
      </c>
      <c r="B576" s="99" t="s">
        <v>241</v>
      </c>
      <c r="C576" s="99" t="s">
        <v>408</v>
      </c>
      <c r="D576" s="99">
        <v>3.13212300113E11</v>
      </c>
      <c r="E576" s="99" t="s">
        <v>1110</v>
      </c>
      <c r="F576" s="99" t="s">
        <v>4196</v>
      </c>
      <c r="G576" s="99" t="s">
        <v>4087</v>
      </c>
      <c r="H576" s="99" t="s">
        <v>189</v>
      </c>
      <c r="J576" s="60"/>
      <c r="K576" s="66" t="str">
        <f>IFNA(VLOOKUP(D576,'EAN Codes'!A:C,2,False),"")</f>
        <v/>
      </c>
      <c r="L576" s="6"/>
      <c r="M576" s="83"/>
      <c r="N576" s="6"/>
      <c r="O576" s="6"/>
      <c r="P576" s="6"/>
      <c r="Q576" s="6"/>
      <c r="R576" s="6"/>
      <c r="S576" s="84"/>
      <c r="T576" s="6"/>
      <c r="U576" s="93" t="b">
        <v>1</v>
      </c>
      <c r="V576" s="6" t="s">
        <v>4197</v>
      </c>
      <c r="Z576" t="b">
        <v>0</v>
      </c>
    </row>
    <row r="577" hidden="1">
      <c r="A577" s="99">
        <v>8.0</v>
      </c>
      <c r="B577" s="6"/>
      <c r="C577" s="6" t="s">
        <v>731</v>
      </c>
      <c r="D577" s="99" t="s">
        <v>4198</v>
      </c>
      <c r="E577" s="99" t="s">
        <v>1110</v>
      </c>
      <c r="F577" s="99" t="s">
        <v>4196</v>
      </c>
      <c r="G577" s="99" t="s">
        <v>1132</v>
      </c>
      <c r="J577" s="60"/>
      <c r="K577" s="66" t="str">
        <f>IFNA(VLOOKUP(D577,'EAN Codes'!A:C,2,False),"")</f>
        <v/>
      </c>
      <c r="L577" s="6"/>
      <c r="M577" s="67"/>
      <c r="S577" s="60"/>
      <c r="U577" s="93" t="b">
        <v>1</v>
      </c>
      <c r="Z577" t="b">
        <v>0</v>
      </c>
    </row>
    <row r="578" hidden="1">
      <c r="A578" s="86">
        <v>812.0</v>
      </c>
      <c r="B578" s="86" t="s">
        <v>241</v>
      </c>
      <c r="C578" s="86" t="s">
        <v>342</v>
      </c>
      <c r="D578" s="86" t="s">
        <v>4199</v>
      </c>
      <c r="E578" s="86" t="s">
        <v>346</v>
      </c>
      <c r="F578" s="86" t="s">
        <v>4200</v>
      </c>
      <c r="G578" s="91"/>
      <c r="H578" s="86" t="s">
        <v>3999</v>
      </c>
      <c r="I578" s="91"/>
      <c r="J578" s="97"/>
      <c r="K578" s="66" t="str">
        <f>IFNA(VLOOKUP(D578,'EAN Codes'!A:C,2,False),"")</f>
        <v>5907615811913</v>
      </c>
      <c r="L578" s="91"/>
      <c r="M578" s="92"/>
      <c r="N578" s="86"/>
      <c r="O578" s="86"/>
      <c r="P578" s="86"/>
      <c r="Q578" s="86"/>
      <c r="R578" s="86"/>
      <c r="S578" s="88"/>
      <c r="T578" s="86"/>
      <c r="U578" s="93" t="b">
        <v>1</v>
      </c>
      <c r="V578" s="86" t="s">
        <v>4201</v>
      </c>
      <c r="Z578" t="b">
        <v>0</v>
      </c>
    </row>
    <row r="579" hidden="1">
      <c r="A579" s="99">
        <v>43.0</v>
      </c>
      <c r="B579" s="99"/>
      <c r="C579" s="99" t="s">
        <v>408</v>
      </c>
      <c r="D579" s="99">
        <v>313432.0</v>
      </c>
      <c r="E579" s="99" t="s">
        <v>527</v>
      </c>
      <c r="F579" s="99" t="s">
        <v>4202</v>
      </c>
      <c r="G579" s="99" t="s">
        <v>2194</v>
      </c>
      <c r="H579" s="99" t="s">
        <v>3559</v>
      </c>
      <c r="J579" s="60"/>
      <c r="K579" s="66" t="str">
        <f>IFNA(VLOOKUP(D579,'EAN Codes'!A:C,2,False),"")</f>
        <v/>
      </c>
      <c r="L579" s="35"/>
      <c r="M579" s="67"/>
      <c r="S579" s="60"/>
      <c r="U579" s="93" t="b">
        <v>1</v>
      </c>
      <c r="Z579" t="b">
        <v>0</v>
      </c>
    </row>
    <row r="580" hidden="1">
      <c r="A580" s="99"/>
      <c r="B580" s="99"/>
      <c r="C580" s="99" t="s">
        <v>4203</v>
      </c>
      <c r="D580" s="99" t="s">
        <v>4204</v>
      </c>
      <c r="E580" s="99" t="s">
        <v>527</v>
      </c>
      <c r="F580" s="99" t="s">
        <v>4202</v>
      </c>
      <c r="G580" s="99" t="s">
        <v>2194</v>
      </c>
      <c r="H580" s="99" t="s">
        <v>135</v>
      </c>
      <c r="I580" s="99"/>
      <c r="J580" s="104"/>
      <c r="K580" s="66" t="str">
        <f>IFNA(VLOOKUP(D580,'EAN Codes'!A:C,2,False),"")</f>
        <v/>
      </c>
      <c r="L580" s="35"/>
      <c r="M580" s="119"/>
      <c r="N580" s="99"/>
      <c r="O580" s="99"/>
      <c r="P580" s="99"/>
      <c r="Q580" s="99"/>
      <c r="R580" s="99"/>
      <c r="S580" s="104"/>
      <c r="T580" s="99"/>
      <c r="U580" s="93" t="b">
        <v>1</v>
      </c>
      <c r="V580" s="99"/>
      <c r="W580" s="101"/>
      <c r="Z580" t="b">
        <v>0</v>
      </c>
    </row>
    <row r="581" hidden="1">
      <c r="A581" s="160">
        <v>1036.0</v>
      </c>
      <c r="B581" s="160" t="s">
        <v>241</v>
      </c>
      <c r="C581" s="160" t="s">
        <v>342</v>
      </c>
      <c r="D581" s="272" t="s">
        <v>4205</v>
      </c>
      <c r="E581" s="160" t="s">
        <v>346</v>
      </c>
      <c r="F581" s="160" t="s">
        <v>4206</v>
      </c>
      <c r="G581" s="160" t="s">
        <v>751</v>
      </c>
      <c r="H581" s="6" t="s">
        <v>189</v>
      </c>
      <c r="I581" s="160" t="s">
        <v>1328</v>
      </c>
      <c r="J581" s="161"/>
      <c r="K581" s="275" t="str">
        <f>IFNA(VLOOKUP(D581,'EAN Codes'!A:C,2,False),"")</f>
        <v>5907615809477</v>
      </c>
      <c r="L581" s="261"/>
      <c r="M581" s="159"/>
      <c r="N581" s="160"/>
      <c r="O581" s="160"/>
      <c r="P581" s="160"/>
      <c r="Q581" s="160"/>
      <c r="R581" s="160"/>
      <c r="S581" s="161"/>
      <c r="T581" s="160"/>
      <c r="U581" s="93" t="b">
        <v>1</v>
      </c>
      <c r="V581" s="160" t="s">
        <v>4207</v>
      </c>
      <c r="W581" s="115"/>
      <c r="X581" s="115"/>
      <c r="Y581" s="115"/>
      <c r="Z581" s="115" t="b">
        <v>0</v>
      </c>
      <c r="AA581" s="115"/>
      <c r="AB581" s="115"/>
      <c r="AC581" s="115"/>
      <c r="AD581" s="115"/>
      <c r="AE581" s="115"/>
    </row>
    <row r="582" hidden="1">
      <c r="A582" s="99">
        <v>964.0</v>
      </c>
      <c r="B582" s="99" t="s">
        <v>241</v>
      </c>
      <c r="C582" s="99" t="s">
        <v>1250</v>
      </c>
      <c r="D582" s="99" t="s">
        <v>4208</v>
      </c>
      <c r="E582" s="99" t="s">
        <v>346</v>
      </c>
      <c r="F582" s="99" t="s">
        <v>4209</v>
      </c>
      <c r="G582" s="99" t="s">
        <v>4210</v>
      </c>
      <c r="H582" s="99" t="s">
        <v>189</v>
      </c>
      <c r="I582" s="99" t="s">
        <v>570</v>
      </c>
      <c r="J582" s="104"/>
      <c r="K582" s="66" t="str">
        <f>IFNA(VLOOKUP(D582,'EAN Codes'!A:C,2,False),"")</f>
        <v>8058772222221</v>
      </c>
      <c r="L582" s="101"/>
      <c r="M582" s="83"/>
      <c r="N582" s="6"/>
      <c r="O582" s="6"/>
      <c r="P582" s="6"/>
      <c r="Q582" s="6"/>
      <c r="R582" s="6"/>
      <c r="S582" s="84"/>
      <c r="T582" s="6"/>
      <c r="U582" s="93" t="b">
        <v>1</v>
      </c>
      <c r="V582" s="6" t="s">
        <v>4211</v>
      </c>
      <c r="Z582" t="b">
        <v>0</v>
      </c>
    </row>
    <row r="583" hidden="1">
      <c r="A583" s="99">
        <v>67.0</v>
      </c>
      <c r="B583" s="99"/>
      <c r="C583" s="99" t="s">
        <v>408</v>
      </c>
      <c r="D583" s="101"/>
      <c r="E583" s="99" t="s">
        <v>409</v>
      </c>
      <c r="F583" s="99" t="s">
        <v>4212</v>
      </c>
      <c r="G583" s="99" t="s">
        <v>2445</v>
      </c>
      <c r="H583" s="99" t="s">
        <v>135</v>
      </c>
      <c r="I583" s="99"/>
      <c r="J583" s="104"/>
      <c r="K583" s="66" t="str">
        <f>IFNA(VLOOKUP(D583,'EAN Codes'!A:C,2,False),"")</f>
        <v/>
      </c>
      <c r="L583" s="35"/>
      <c r="M583" s="119"/>
      <c r="N583" s="99"/>
      <c r="O583" s="99"/>
      <c r="P583" s="99"/>
      <c r="Q583" s="99"/>
      <c r="R583" s="99"/>
      <c r="S583" s="104"/>
      <c r="T583" s="99"/>
      <c r="U583" s="93" t="b">
        <v>1</v>
      </c>
      <c r="V583" s="99"/>
      <c r="Z583" t="b">
        <v>0</v>
      </c>
    </row>
    <row r="584" hidden="1">
      <c r="A584" s="99">
        <v>294.0</v>
      </c>
      <c r="B584" s="99" t="s">
        <v>241</v>
      </c>
      <c r="C584" s="86" t="s">
        <v>408</v>
      </c>
      <c r="D584" s="101"/>
      <c r="E584" s="86" t="s">
        <v>373</v>
      </c>
      <c r="F584" s="99" t="s">
        <v>4213</v>
      </c>
      <c r="G584" s="99" t="s">
        <v>4214</v>
      </c>
      <c r="H584" s="99" t="s">
        <v>189</v>
      </c>
      <c r="I584" s="99" t="s">
        <v>1634</v>
      </c>
      <c r="J584" s="104"/>
      <c r="K584" s="66" t="str">
        <f>IFNA(VLOOKUP(D584,'EAN Codes'!A:C,2,False),"")</f>
        <v/>
      </c>
      <c r="L584" s="35"/>
      <c r="M584" s="67"/>
      <c r="S584" s="60"/>
      <c r="U584" s="93" t="b">
        <v>1</v>
      </c>
      <c r="Z584" t="b">
        <v>0</v>
      </c>
    </row>
    <row r="585" hidden="1">
      <c r="A585" s="99">
        <v>528.0</v>
      </c>
      <c r="B585" s="99" t="s">
        <v>241</v>
      </c>
      <c r="C585" s="99" t="s">
        <v>408</v>
      </c>
      <c r="D585" s="35">
        <v>323097.0</v>
      </c>
      <c r="E585" s="99" t="s">
        <v>2070</v>
      </c>
      <c r="F585" s="99" t="s">
        <v>4215</v>
      </c>
      <c r="G585" s="101"/>
      <c r="H585" s="99" t="s">
        <v>189</v>
      </c>
      <c r="I585" s="99" t="s">
        <v>530</v>
      </c>
      <c r="J585" s="104"/>
      <c r="K585" s="66" t="str">
        <f>IFNA(VLOOKUP(D585,'EAN Codes'!A:C,2,False),"")</f>
        <v/>
      </c>
      <c r="L585" s="99" t="s">
        <v>92</v>
      </c>
      <c r="M585" s="108"/>
      <c r="N585" s="101"/>
      <c r="O585" s="101"/>
      <c r="P585" s="101"/>
      <c r="Q585" s="101"/>
      <c r="R585" s="101"/>
      <c r="S585" s="110"/>
      <c r="T585" s="101"/>
      <c r="U585" s="93" t="b">
        <v>1</v>
      </c>
      <c r="V585" s="101"/>
      <c r="Z585" t="b">
        <v>0</v>
      </c>
    </row>
    <row r="586" hidden="1">
      <c r="A586" s="86">
        <v>511.0</v>
      </c>
      <c r="B586" s="86" t="s">
        <v>241</v>
      </c>
      <c r="C586" s="86" t="s">
        <v>408</v>
      </c>
      <c r="D586" s="86">
        <v>323097.0</v>
      </c>
      <c r="E586" s="86" t="s">
        <v>409</v>
      </c>
      <c r="F586" s="86" t="s">
        <v>4216</v>
      </c>
      <c r="G586" s="86" t="s">
        <v>4217</v>
      </c>
      <c r="H586" s="86" t="s">
        <v>376</v>
      </c>
      <c r="I586" s="91"/>
      <c r="J586" s="97"/>
      <c r="K586" s="66" t="str">
        <f>IFNA(VLOOKUP(D586,'EAN Codes'!A:C,2,False),"")</f>
        <v/>
      </c>
      <c r="L586" s="86"/>
      <c r="M586" s="364"/>
      <c r="N586" s="91"/>
      <c r="O586" s="91"/>
      <c r="P586" s="91"/>
      <c r="Q586" s="91"/>
      <c r="R586" s="91"/>
      <c r="S586" s="97"/>
      <c r="T586" s="91"/>
      <c r="U586" s="93" t="b">
        <v>1</v>
      </c>
      <c r="V586" s="91"/>
      <c r="Z586" t="b">
        <v>0</v>
      </c>
    </row>
    <row r="587" hidden="1">
      <c r="A587" s="99">
        <v>486.0</v>
      </c>
      <c r="B587" s="99" t="s">
        <v>241</v>
      </c>
      <c r="C587" s="99" t="s">
        <v>408</v>
      </c>
      <c r="D587" s="237">
        <v>303372.0</v>
      </c>
      <c r="E587" s="99" t="s">
        <v>373</v>
      </c>
      <c r="F587" s="99" t="s">
        <v>4218</v>
      </c>
      <c r="G587" s="101"/>
      <c r="H587" s="99" t="s">
        <v>189</v>
      </c>
      <c r="I587" s="99" t="s">
        <v>570</v>
      </c>
      <c r="J587" s="104"/>
      <c r="K587" s="66" t="str">
        <f>IFNA(VLOOKUP(D587,'EAN Codes'!A:C,2,False),"")</f>
        <v/>
      </c>
      <c r="L587" s="35"/>
      <c r="M587" s="83"/>
      <c r="N587" s="6"/>
      <c r="O587" s="6"/>
      <c r="P587" s="6"/>
      <c r="Q587" s="6"/>
      <c r="R587" s="6"/>
      <c r="S587" s="84"/>
      <c r="T587" s="6"/>
      <c r="U587" s="93" t="b">
        <v>1</v>
      </c>
      <c r="V587" s="6" t="s">
        <v>4219</v>
      </c>
      <c r="Z587" t="b">
        <v>0</v>
      </c>
    </row>
    <row r="588" hidden="1">
      <c r="A588" s="106">
        <v>293.0</v>
      </c>
      <c r="B588" s="106" t="s">
        <v>241</v>
      </c>
      <c r="C588" s="106" t="s">
        <v>1250</v>
      </c>
      <c r="D588" s="106" t="s">
        <v>4220</v>
      </c>
      <c r="E588" s="106" t="s">
        <v>1390</v>
      </c>
      <c r="F588" s="106" t="s">
        <v>4221</v>
      </c>
      <c r="G588" s="106" t="s">
        <v>375</v>
      </c>
      <c r="H588" s="106" t="s">
        <v>763</v>
      </c>
      <c r="I588" s="115"/>
      <c r="J588" s="263"/>
      <c r="K588" s="66" t="str">
        <f>IFNA(VLOOKUP(D588,'EAN Codes'!A:C,2,False),"")</f>
        <v>8058772222290</v>
      </c>
      <c r="L588" s="160"/>
      <c r="M588" s="276"/>
      <c r="N588" s="106"/>
      <c r="O588" s="106"/>
      <c r="P588" s="106"/>
      <c r="Q588" s="106"/>
      <c r="R588" s="106"/>
      <c r="S588" s="274"/>
      <c r="T588" s="106"/>
      <c r="U588" s="93" t="b">
        <v>1</v>
      </c>
      <c r="V588" s="106" t="s">
        <v>4222</v>
      </c>
      <c r="X588" s="6" t="s">
        <v>4223</v>
      </c>
      <c r="Z588" t="b">
        <v>0</v>
      </c>
    </row>
    <row r="589" hidden="1">
      <c r="A589" s="99">
        <v>25.0</v>
      </c>
      <c r="B589" s="99" t="s">
        <v>181</v>
      </c>
      <c r="C589" s="99" t="s">
        <v>408</v>
      </c>
      <c r="D589" s="101"/>
      <c r="E589" s="99" t="s">
        <v>1110</v>
      </c>
      <c r="F589" s="99" t="s">
        <v>4224</v>
      </c>
      <c r="G589" s="99" t="s">
        <v>4214</v>
      </c>
      <c r="H589" s="99" t="s">
        <v>189</v>
      </c>
      <c r="I589" s="101"/>
      <c r="J589" s="110"/>
      <c r="K589" s="66" t="str">
        <f>IFNA(VLOOKUP(D589,'EAN Codes'!A:C,2,False),"")</f>
        <v/>
      </c>
      <c r="L589" s="101"/>
      <c r="M589" s="119"/>
      <c r="N589" s="99"/>
      <c r="O589" s="99"/>
      <c r="P589" s="99"/>
      <c r="Q589" s="99"/>
      <c r="R589" s="99"/>
      <c r="S589" s="104"/>
      <c r="T589" s="99"/>
      <c r="U589" s="93" t="b">
        <v>1</v>
      </c>
      <c r="V589" s="99" t="s">
        <v>4225</v>
      </c>
      <c r="Y589" s="6" t="s">
        <v>452</v>
      </c>
      <c r="Z589" t="b">
        <v>0</v>
      </c>
    </row>
    <row r="590" hidden="1">
      <c r="A590" s="99">
        <v>295.0</v>
      </c>
      <c r="B590" s="99" t="s">
        <v>241</v>
      </c>
      <c r="C590" s="99" t="s">
        <v>1250</v>
      </c>
      <c r="D590" s="99">
        <v>11003.0</v>
      </c>
      <c r="E590" s="86" t="s">
        <v>1390</v>
      </c>
      <c r="F590" s="99" t="s">
        <v>4226</v>
      </c>
      <c r="G590" s="99" t="s">
        <v>4214</v>
      </c>
      <c r="H590" s="99" t="s">
        <v>189</v>
      </c>
      <c r="I590" s="99" t="s">
        <v>1634</v>
      </c>
      <c r="J590" s="104"/>
      <c r="K590" s="66" t="str">
        <f>IFNA(VLOOKUP(D590,'EAN Codes'!A:C,2,False),"")</f>
        <v/>
      </c>
      <c r="L590" s="35"/>
      <c r="M590" s="67"/>
      <c r="S590" s="60"/>
      <c r="U590" s="93" t="b">
        <v>1</v>
      </c>
      <c r="Z590" t="b">
        <v>0</v>
      </c>
    </row>
    <row r="591" hidden="1">
      <c r="A591" s="99">
        <v>232.0</v>
      </c>
      <c r="B591" s="99" t="s">
        <v>241</v>
      </c>
      <c r="C591" s="99" t="s">
        <v>408</v>
      </c>
      <c r="D591" s="99">
        <v>323097.0</v>
      </c>
      <c r="E591" s="99" t="s">
        <v>409</v>
      </c>
      <c r="F591" s="99" t="s">
        <v>4226</v>
      </c>
      <c r="G591" s="101"/>
      <c r="H591" s="99" t="s">
        <v>189</v>
      </c>
      <c r="I591" s="99" t="s">
        <v>530</v>
      </c>
      <c r="J591" s="104"/>
      <c r="K591" s="66" t="str">
        <f>IFNA(VLOOKUP(D591,'EAN Codes'!A:C,2,False),"")</f>
        <v/>
      </c>
      <c r="L591" s="99"/>
      <c r="M591" s="67"/>
      <c r="S591" s="60"/>
      <c r="U591" s="93" t="b">
        <v>1</v>
      </c>
      <c r="Z591" t="b">
        <v>0</v>
      </c>
    </row>
    <row r="592" hidden="1">
      <c r="A592" s="99">
        <v>230.0</v>
      </c>
      <c r="B592" s="99" t="s">
        <v>241</v>
      </c>
      <c r="C592" s="99" t="s">
        <v>4227</v>
      </c>
      <c r="D592" s="99" t="s">
        <v>4228</v>
      </c>
      <c r="E592" s="99" t="s">
        <v>346</v>
      </c>
      <c r="F592" s="99" t="s">
        <v>4229</v>
      </c>
      <c r="G592" s="99" t="s">
        <v>4230</v>
      </c>
      <c r="H592" s="99" t="s">
        <v>189</v>
      </c>
      <c r="I592" s="99" t="s">
        <v>458</v>
      </c>
      <c r="J592" s="104"/>
      <c r="K592" s="66" t="str">
        <f>IFNA(VLOOKUP(D592,'EAN Codes'!A:C,2,False),"")</f>
        <v>8058772222238</v>
      </c>
      <c r="L592" s="99"/>
      <c r="M592" s="119"/>
      <c r="N592" s="99"/>
      <c r="O592" s="99"/>
      <c r="P592" s="99"/>
      <c r="Q592" s="99"/>
      <c r="R592" s="99"/>
      <c r="S592" s="104"/>
      <c r="T592" s="99"/>
      <c r="U592" s="93" t="b">
        <v>1</v>
      </c>
      <c r="V592" s="99" t="s">
        <v>4231</v>
      </c>
      <c r="Z592" t="b">
        <v>0</v>
      </c>
    </row>
    <row r="593" hidden="1">
      <c r="A593" s="99">
        <v>93.0</v>
      </c>
      <c r="B593" s="99"/>
      <c r="C593" s="99" t="s">
        <v>342</v>
      </c>
      <c r="D593" s="99" t="s">
        <v>4232</v>
      </c>
      <c r="E593" s="99" t="s">
        <v>346</v>
      </c>
      <c r="F593" s="99" t="s">
        <v>4233</v>
      </c>
      <c r="G593" s="99" t="s">
        <v>375</v>
      </c>
      <c r="H593" s="99" t="s">
        <v>512</v>
      </c>
      <c r="I593" s="99" t="s">
        <v>819</v>
      </c>
      <c r="J593" s="104"/>
      <c r="K593" s="66" t="str">
        <f>IFNA(VLOOKUP(D593,'EAN Codes'!A:C,2,False),"")</f>
        <v>5907615813139</v>
      </c>
      <c r="L593" s="35"/>
      <c r="M593" s="67"/>
      <c r="S593" s="60"/>
      <c r="U593" s="93" t="b">
        <v>1</v>
      </c>
      <c r="Z593" t="b">
        <v>0</v>
      </c>
    </row>
    <row r="594" hidden="1">
      <c r="A594" s="99">
        <v>5.0</v>
      </c>
      <c r="B594" s="6"/>
      <c r="C594" s="6" t="s">
        <v>731</v>
      </c>
      <c r="D594" s="99" t="s">
        <v>4234</v>
      </c>
      <c r="E594" s="99" t="s">
        <v>733</v>
      </c>
      <c r="F594" s="99" t="s">
        <v>4235</v>
      </c>
      <c r="G594" s="99" t="s">
        <v>375</v>
      </c>
      <c r="J594" s="60"/>
      <c r="K594" s="66" t="str">
        <f>IFNA(VLOOKUP(D594,'EAN Codes'!A:C,2,False),"")</f>
        <v/>
      </c>
      <c r="L594" s="6"/>
      <c r="M594" s="67"/>
      <c r="S594" s="60"/>
      <c r="U594" s="93" t="b">
        <v>1</v>
      </c>
      <c r="Z594" t="b">
        <v>0</v>
      </c>
    </row>
    <row r="595" hidden="1">
      <c r="A595" s="99">
        <v>706.0</v>
      </c>
      <c r="B595" s="99" t="s">
        <v>241</v>
      </c>
      <c r="C595" s="99" t="s">
        <v>342</v>
      </c>
      <c r="D595" s="99" t="s">
        <v>4232</v>
      </c>
      <c r="E595" s="99" t="s">
        <v>346</v>
      </c>
      <c r="F595" s="99" t="s">
        <v>4236</v>
      </c>
      <c r="G595" s="99" t="s">
        <v>375</v>
      </c>
      <c r="H595" s="99" t="s">
        <v>189</v>
      </c>
      <c r="I595" s="99" t="s">
        <v>570</v>
      </c>
      <c r="J595" s="104"/>
      <c r="K595" s="66" t="str">
        <f>IFNA(VLOOKUP(D595,'EAN Codes'!A:C,2,False),"")</f>
        <v>5907615813139</v>
      </c>
      <c r="L595" s="99" t="s">
        <v>269</v>
      </c>
      <c r="M595" s="119"/>
      <c r="N595" s="99"/>
      <c r="O595" s="99"/>
      <c r="P595" s="99"/>
      <c r="Q595" s="99"/>
      <c r="R595" s="99"/>
      <c r="S595" s="104"/>
      <c r="T595" s="99"/>
      <c r="U595" s="93" t="b">
        <v>1</v>
      </c>
      <c r="V595" s="99" t="s">
        <v>4237</v>
      </c>
      <c r="Z595" t="b">
        <v>0</v>
      </c>
    </row>
    <row r="596" hidden="1">
      <c r="A596" s="99">
        <v>497.0</v>
      </c>
      <c r="B596" s="99" t="s">
        <v>493</v>
      </c>
      <c r="C596" s="99" t="s">
        <v>494</v>
      </c>
      <c r="D596" s="237">
        <v>102316.0</v>
      </c>
      <c r="E596" s="101"/>
      <c r="F596" s="292" t="s">
        <v>4238</v>
      </c>
      <c r="G596" s="101"/>
      <c r="H596" s="99" t="s">
        <v>1726</v>
      </c>
      <c r="I596" s="99" t="s">
        <v>498</v>
      </c>
      <c r="J596" s="104"/>
      <c r="K596" s="66" t="str">
        <f>IFNA(VLOOKUP(D596,'EAN Codes'!A:C,2,False),"")</f>
        <v/>
      </c>
      <c r="L596" s="99"/>
      <c r="M596" s="119"/>
      <c r="N596" s="99"/>
      <c r="O596" s="99"/>
      <c r="P596" s="99"/>
      <c r="Q596" s="99"/>
      <c r="R596" s="99"/>
      <c r="S596" s="104"/>
      <c r="T596" s="99"/>
      <c r="U596" s="93" t="b">
        <v>1</v>
      </c>
      <c r="V596" s="99" t="s">
        <v>4239</v>
      </c>
      <c r="Z596" t="b">
        <v>0</v>
      </c>
    </row>
    <row r="597" hidden="1">
      <c r="A597" s="99">
        <v>612.0</v>
      </c>
      <c r="B597" s="99" t="s">
        <v>241</v>
      </c>
      <c r="C597" s="99" t="s">
        <v>408</v>
      </c>
      <c r="D597" s="99">
        <v>340098.0</v>
      </c>
      <c r="E597" s="99" t="s">
        <v>346</v>
      </c>
      <c r="F597" s="99" t="s">
        <v>4240</v>
      </c>
      <c r="G597" s="99" t="s">
        <v>437</v>
      </c>
      <c r="H597" s="99" t="s">
        <v>189</v>
      </c>
      <c r="I597" s="99" t="s">
        <v>942</v>
      </c>
      <c r="J597" s="104"/>
      <c r="K597" s="66" t="str">
        <f>IFNA(VLOOKUP(D597,'EAN Codes'!A:C,2,False),"")</f>
        <v/>
      </c>
      <c r="L597" s="35"/>
      <c r="M597" s="67"/>
      <c r="S597" s="60"/>
      <c r="U597" s="93" t="b">
        <v>1</v>
      </c>
      <c r="Z597" t="b">
        <v>0</v>
      </c>
    </row>
    <row r="598" hidden="1">
      <c r="A598" s="99">
        <v>14.0</v>
      </c>
      <c r="B598" s="99"/>
      <c r="C598" s="99" t="s">
        <v>342</v>
      </c>
      <c r="D598" s="99" t="s">
        <v>4241</v>
      </c>
      <c r="E598" s="99" t="s">
        <v>1390</v>
      </c>
      <c r="F598" s="99" t="s">
        <v>1148</v>
      </c>
      <c r="G598" s="99" t="s">
        <v>437</v>
      </c>
      <c r="H598" s="99" t="s">
        <v>512</v>
      </c>
      <c r="I598" s="6"/>
      <c r="J598" s="84"/>
      <c r="K598" s="66" t="str">
        <f>IFNA(VLOOKUP(D598,'EAN Codes'!A:C,2,False),"")</f>
        <v>5907615813696</v>
      </c>
      <c r="L598" s="35"/>
      <c r="M598" s="83"/>
      <c r="N598" s="6"/>
      <c r="O598" s="6"/>
      <c r="P598" s="6"/>
      <c r="Q598" s="6"/>
      <c r="R598" s="6"/>
      <c r="S598" s="84"/>
      <c r="T598" s="6"/>
      <c r="U598" s="93" t="b">
        <v>1</v>
      </c>
      <c r="V598" s="6"/>
      <c r="Z598" t="b">
        <v>0</v>
      </c>
    </row>
    <row r="599" hidden="1">
      <c r="A599" s="6">
        <v>710.0</v>
      </c>
      <c r="B599" s="6" t="s">
        <v>391</v>
      </c>
      <c r="C599" s="6" t="s">
        <v>392</v>
      </c>
      <c r="D599" s="127" t="s">
        <v>4242</v>
      </c>
      <c r="F599" s="6" t="s">
        <v>4243</v>
      </c>
      <c r="H599" s="6" t="s">
        <v>189</v>
      </c>
      <c r="I599" s="6" t="s">
        <v>397</v>
      </c>
      <c r="J599" s="84"/>
      <c r="K599" s="66" t="str">
        <f>IFNA(VLOOKUP(D599,'EAN Codes'!A:C,2,False),"")</f>
        <v/>
      </c>
      <c r="L599" s="82"/>
      <c r="M599" s="67"/>
      <c r="S599" s="60"/>
      <c r="U599" s="93" t="b">
        <v>1</v>
      </c>
      <c r="Z599" t="b">
        <v>0</v>
      </c>
    </row>
    <row r="600" hidden="1">
      <c r="A600" s="99">
        <v>858.0</v>
      </c>
      <c r="B600" s="99" t="s">
        <v>241</v>
      </c>
      <c r="C600" s="99" t="s">
        <v>1813</v>
      </c>
      <c r="D600" s="99" t="s">
        <v>4244</v>
      </c>
      <c r="E600" s="99" t="s">
        <v>346</v>
      </c>
      <c r="F600" s="99" t="s">
        <v>4245</v>
      </c>
      <c r="G600" s="99" t="s">
        <v>4036</v>
      </c>
      <c r="H600" s="99" t="s">
        <v>189</v>
      </c>
      <c r="I600" s="99" t="s">
        <v>1863</v>
      </c>
      <c r="J600" s="104"/>
      <c r="K600" s="66" t="str">
        <f>IFNA(VLOOKUP(D600,'EAN Codes'!A:C,2,False),"")</f>
        <v/>
      </c>
      <c r="L600" s="101"/>
      <c r="M600" s="119"/>
      <c r="N600" s="99"/>
      <c r="O600" s="99"/>
      <c r="P600" s="99"/>
      <c r="Q600" s="99"/>
      <c r="R600" s="99"/>
      <c r="S600" s="104"/>
      <c r="T600" s="99"/>
      <c r="U600" s="93" t="b">
        <v>1</v>
      </c>
      <c r="V600" s="99" t="s">
        <v>4246</v>
      </c>
      <c r="Z600" t="b">
        <v>0</v>
      </c>
    </row>
    <row r="601" hidden="1">
      <c r="A601" s="99">
        <v>584.0</v>
      </c>
      <c r="B601" s="99" t="s">
        <v>241</v>
      </c>
      <c r="C601" s="99" t="s">
        <v>408</v>
      </c>
      <c r="D601" s="99">
        <v>340099.0</v>
      </c>
      <c r="E601" s="99" t="s">
        <v>373</v>
      </c>
      <c r="F601" s="99" t="s">
        <v>4247</v>
      </c>
      <c r="G601" s="99" t="s">
        <v>437</v>
      </c>
      <c r="H601" s="99" t="s">
        <v>189</v>
      </c>
      <c r="I601" s="99" t="s">
        <v>438</v>
      </c>
      <c r="J601" s="104"/>
      <c r="K601" s="66" t="str">
        <f>IFNA(VLOOKUP(D601,'EAN Codes'!A:C,2,False),"")</f>
        <v/>
      </c>
      <c r="L601" s="35"/>
      <c r="M601" s="83"/>
      <c r="N601" s="6"/>
      <c r="O601" s="6"/>
      <c r="P601" s="6"/>
      <c r="Q601" s="6"/>
      <c r="R601" s="6"/>
      <c r="S601" s="84"/>
      <c r="T601" s="6"/>
      <c r="U601" s="93" t="b">
        <v>1</v>
      </c>
      <c r="V601" s="6" t="s">
        <v>4248</v>
      </c>
      <c r="Z601" t="b">
        <v>0</v>
      </c>
    </row>
    <row r="602" hidden="1">
      <c r="A602" s="86">
        <v>913.0</v>
      </c>
      <c r="B602" s="86" t="s">
        <v>241</v>
      </c>
      <c r="C602" s="86" t="s">
        <v>1217</v>
      </c>
      <c r="D602" s="86" t="s">
        <v>4249</v>
      </c>
      <c r="E602" s="86" t="s">
        <v>346</v>
      </c>
      <c r="F602" s="86" t="s">
        <v>4250</v>
      </c>
      <c r="G602" s="86" t="s">
        <v>375</v>
      </c>
      <c r="H602" s="86" t="s">
        <v>255</v>
      </c>
      <c r="I602" s="91"/>
      <c r="J602" s="97"/>
      <c r="K602" s="66" t="str">
        <f>IFNA(VLOOKUP(D602,'EAN Codes'!A:C,2,False),"")</f>
        <v/>
      </c>
      <c r="L602" s="91"/>
      <c r="M602" s="92"/>
      <c r="N602" s="86"/>
      <c r="O602" s="86"/>
      <c r="P602" s="86"/>
      <c r="Q602" s="86"/>
      <c r="R602" s="86"/>
      <c r="S602" s="88"/>
      <c r="T602" s="86"/>
      <c r="U602" s="93" t="b">
        <v>1</v>
      </c>
      <c r="V602" s="86" t="s">
        <v>4251</v>
      </c>
      <c r="W602" s="82"/>
      <c r="X602" s="82"/>
      <c r="Y602" s="82"/>
      <c r="Z602" t="b">
        <v>0</v>
      </c>
    </row>
    <row r="603" hidden="1">
      <c r="A603" s="99">
        <v>37.0</v>
      </c>
      <c r="B603" s="99"/>
      <c r="C603" s="99" t="s">
        <v>342</v>
      </c>
      <c r="D603" s="99" t="s">
        <v>4252</v>
      </c>
      <c r="E603" s="99" t="s">
        <v>2639</v>
      </c>
      <c r="F603" s="99" t="s">
        <v>4253</v>
      </c>
      <c r="G603" s="99" t="s">
        <v>4254</v>
      </c>
      <c r="H603" s="99" t="s">
        <v>512</v>
      </c>
      <c r="I603" s="99" t="s">
        <v>585</v>
      </c>
      <c r="J603" s="104"/>
      <c r="K603" s="66" t="str">
        <f>IFNA(VLOOKUP(D603,'EAN Codes'!A:C,2,False),"")</f>
        <v>5907615814662</v>
      </c>
      <c r="L603" s="35"/>
      <c r="M603" s="119"/>
      <c r="N603" s="99"/>
      <c r="O603" s="99"/>
      <c r="P603" s="99"/>
      <c r="Q603" s="99"/>
      <c r="R603" s="99"/>
      <c r="S603" s="104"/>
      <c r="T603" s="99"/>
      <c r="U603" s="93" t="b">
        <v>1</v>
      </c>
      <c r="V603" s="99"/>
      <c r="W603" s="6"/>
      <c r="Z603" t="b">
        <v>0</v>
      </c>
    </row>
    <row r="604" hidden="1">
      <c r="A604" s="99">
        <v>71.0</v>
      </c>
      <c r="B604" s="99"/>
      <c r="C604" s="99" t="s">
        <v>342</v>
      </c>
      <c r="D604" s="99" t="s">
        <v>4255</v>
      </c>
      <c r="E604" s="99" t="s">
        <v>346</v>
      </c>
      <c r="F604" s="99" t="s">
        <v>4256</v>
      </c>
      <c r="G604" s="99" t="s">
        <v>2031</v>
      </c>
      <c r="H604" s="99" t="s">
        <v>135</v>
      </c>
      <c r="I604" s="99" t="s">
        <v>1328</v>
      </c>
      <c r="J604" s="104"/>
      <c r="K604" s="66" t="str">
        <f>IFNA(VLOOKUP(D604,'EAN Codes'!A:C,2,False),"")</f>
        <v>5907615814747</v>
      </c>
      <c r="L604" s="35"/>
      <c r="M604" s="67"/>
      <c r="S604" s="60"/>
      <c r="U604" s="93" t="b">
        <v>1</v>
      </c>
      <c r="Z604" t="b">
        <v>0</v>
      </c>
    </row>
    <row r="605" hidden="1">
      <c r="A605" s="99">
        <v>610.0</v>
      </c>
      <c r="B605" s="99" t="s">
        <v>241</v>
      </c>
      <c r="C605" s="99" t="s">
        <v>408</v>
      </c>
      <c r="D605" s="100" t="s">
        <v>4257</v>
      </c>
      <c r="E605" s="99" t="s">
        <v>373</v>
      </c>
      <c r="F605" s="99" t="s">
        <v>4258</v>
      </c>
      <c r="G605" s="99" t="s">
        <v>751</v>
      </c>
      <c r="H605" s="99" t="s">
        <v>189</v>
      </c>
      <c r="I605" s="99" t="s">
        <v>1863</v>
      </c>
      <c r="J605" s="104"/>
      <c r="K605" s="107" t="str">
        <f>IFNA(VLOOKUP(D605,'EAN Codes'!A:C,2,False),"")</f>
        <v/>
      </c>
      <c r="L605" s="99" t="s">
        <v>269</v>
      </c>
      <c r="M605" s="119"/>
      <c r="N605" s="99"/>
      <c r="O605" s="99"/>
      <c r="P605" s="99"/>
      <c r="Q605" s="99"/>
      <c r="R605" s="99"/>
      <c r="S605" s="104"/>
      <c r="T605" s="99"/>
      <c r="U605" s="93" t="b">
        <v>1</v>
      </c>
      <c r="V605" s="99" t="s">
        <v>4259</v>
      </c>
      <c r="Y605" s="6" t="s">
        <v>452</v>
      </c>
      <c r="Z605" t="b">
        <v>0</v>
      </c>
    </row>
    <row r="606" hidden="1">
      <c r="A606" s="99">
        <v>93.0</v>
      </c>
      <c r="B606" s="99"/>
      <c r="C606" s="99" t="s">
        <v>408</v>
      </c>
      <c r="D606" s="99">
        <v>332197.0</v>
      </c>
      <c r="E606" s="99" t="s">
        <v>346</v>
      </c>
      <c r="F606" s="99" t="s">
        <v>4260</v>
      </c>
      <c r="G606" s="99" t="s">
        <v>4261</v>
      </c>
      <c r="H606" s="99" t="s">
        <v>512</v>
      </c>
      <c r="I606" s="99" t="s">
        <v>626</v>
      </c>
      <c r="J606" s="104"/>
      <c r="K606" s="66" t="str">
        <f>IFNA(VLOOKUP(D606,'EAN Codes'!A:C,2,False),"")</f>
        <v/>
      </c>
      <c r="L606" s="35"/>
      <c r="M606" s="145"/>
      <c r="N606" s="35"/>
      <c r="O606" s="35"/>
      <c r="P606" s="35"/>
      <c r="Q606" s="35"/>
      <c r="R606" s="35"/>
      <c r="S606" s="146"/>
      <c r="T606" s="35"/>
      <c r="U606" s="93" t="b">
        <v>1</v>
      </c>
      <c r="V606" s="35"/>
      <c r="X606" s="101"/>
      <c r="Y606" s="101"/>
      <c r="Z606" t="b">
        <v>0</v>
      </c>
    </row>
    <row r="607" hidden="1">
      <c r="A607" s="86">
        <v>260.0</v>
      </c>
      <c r="B607" s="86" t="s">
        <v>241</v>
      </c>
      <c r="C607" s="86" t="s">
        <v>1250</v>
      </c>
      <c r="D607" s="86" t="s">
        <v>4262</v>
      </c>
      <c r="E607" s="86" t="s">
        <v>346</v>
      </c>
      <c r="F607" s="86" t="s">
        <v>4263</v>
      </c>
      <c r="G607" s="86" t="s">
        <v>1028</v>
      </c>
      <c r="H607" s="86" t="s">
        <v>189</v>
      </c>
      <c r="I607" s="86" t="s">
        <v>1328</v>
      </c>
      <c r="J607" s="88"/>
      <c r="K607" s="66" t="str">
        <f>IFNA(VLOOKUP(D607,'EAN Codes'!A:C,2,False),"")</f>
        <v>8058772224027</v>
      </c>
      <c r="L607" s="86"/>
      <c r="M607" s="92"/>
      <c r="N607" s="86"/>
      <c r="O607" s="86"/>
      <c r="P607" s="86"/>
      <c r="Q607" s="86"/>
      <c r="R607" s="86"/>
      <c r="S607" s="88"/>
      <c r="T607" s="86"/>
      <c r="U607" s="93" t="b">
        <v>1</v>
      </c>
      <c r="V607" s="86" t="s">
        <v>4264</v>
      </c>
      <c r="Z607" t="b">
        <v>0</v>
      </c>
    </row>
    <row r="608" hidden="1">
      <c r="A608" s="99">
        <v>532.0</v>
      </c>
      <c r="B608" s="99" t="s">
        <v>241</v>
      </c>
      <c r="C608" s="99" t="s">
        <v>342</v>
      </c>
      <c r="D608" s="99" t="s">
        <v>4265</v>
      </c>
      <c r="E608" s="99" t="s">
        <v>409</v>
      </c>
      <c r="F608" s="99" t="s">
        <v>4266</v>
      </c>
      <c r="G608" s="99" t="s">
        <v>2194</v>
      </c>
      <c r="H608" s="99" t="s">
        <v>4267</v>
      </c>
      <c r="I608" s="101"/>
      <c r="J608" s="110"/>
      <c r="K608" s="66" t="str">
        <f>IFNA(VLOOKUP(D608,'EAN Codes'!A:C,2,False),"")</f>
        <v>5907615815003</v>
      </c>
      <c r="L608" s="99"/>
      <c r="M608" s="119"/>
      <c r="N608" s="99"/>
      <c r="O608" s="99"/>
      <c r="P608" s="99"/>
      <c r="Q608" s="99"/>
      <c r="R608" s="99"/>
      <c r="S608" s="104"/>
      <c r="T608" s="99"/>
      <c r="U608" s="93" t="b">
        <v>1</v>
      </c>
      <c r="V608" s="99" t="s">
        <v>4268</v>
      </c>
      <c r="Z608" t="b">
        <v>0</v>
      </c>
    </row>
    <row r="609" hidden="1">
      <c r="A609" s="86">
        <v>756.0</v>
      </c>
      <c r="B609" s="99" t="s">
        <v>241</v>
      </c>
      <c r="C609" s="99" t="s">
        <v>4269</v>
      </c>
      <c r="D609" s="99" t="s">
        <v>4270</v>
      </c>
      <c r="E609" s="99" t="s">
        <v>346</v>
      </c>
      <c r="F609" s="99" t="s">
        <v>4263</v>
      </c>
      <c r="G609" s="99" t="s">
        <v>1005</v>
      </c>
      <c r="H609" s="99" t="s">
        <v>189</v>
      </c>
      <c r="I609" s="99" t="s">
        <v>680</v>
      </c>
      <c r="J609" s="104"/>
      <c r="K609" s="66" t="str">
        <f>IFNA(VLOOKUP(D609,'EAN Codes'!A:C,2,False),"")</f>
        <v/>
      </c>
      <c r="L609" s="82"/>
      <c r="M609" s="83"/>
      <c r="N609" s="6"/>
      <c r="O609" s="6"/>
      <c r="P609" s="6"/>
      <c r="Q609" s="6"/>
      <c r="R609" s="6"/>
      <c r="S609" s="84"/>
      <c r="T609" s="6"/>
      <c r="U609" s="93" t="b">
        <v>1</v>
      </c>
      <c r="V609" s="6" t="s">
        <v>4271</v>
      </c>
      <c r="Z609" t="b">
        <v>0</v>
      </c>
    </row>
    <row r="610" hidden="1">
      <c r="A610" s="99">
        <v>609.0</v>
      </c>
      <c r="B610" s="99" t="s">
        <v>241</v>
      </c>
      <c r="C610" s="99" t="s">
        <v>408</v>
      </c>
      <c r="D610" s="99">
        <v>332327.0</v>
      </c>
      <c r="E610" s="99" t="s">
        <v>373</v>
      </c>
      <c r="F610" s="99" t="s">
        <v>4263</v>
      </c>
      <c r="G610" s="99" t="s">
        <v>1005</v>
      </c>
      <c r="H610" s="99" t="s">
        <v>189</v>
      </c>
      <c r="I610" s="99" t="s">
        <v>2696</v>
      </c>
      <c r="J610" s="104"/>
      <c r="K610" s="66" t="str">
        <f>IFNA(VLOOKUP(D610,'EAN Codes'!A:C,2,False),"")</f>
        <v/>
      </c>
      <c r="L610" s="35" t="s">
        <v>269</v>
      </c>
      <c r="M610" s="83"/>
      <c r="N610" s="6"/>
      <c r="O610" s="6"/>
      <c r="P610" s="6"/>
      <c r="Q610" s="6"/>
      <c r="R610" s="6"/>
      <c r="S610" s="84"/>
      <c r="T610" s="6"/>
      <c r="U610" s="93" t="b">
        <v>1</v>
      </c>
      <c r="V610" s="6" t="s">
        <v>4272</v>
      </c>
      <c r="Y610" s="6" t="s">
        <v>452</v>
      </c>
      <c r="Z610" t="b">
        <v>0</v>
      </c>
    </row>
    <row r="611" hidden="1">
      <c r="A611" s="35">
        <v>588.0</v>
      </c>
      <c r="B611" s="35" t="s">
        <v>241</v>
      </c>
      <c r="C611" s="35" t="s">
        <v>408</v>
      </c>
      <c r="D611" s="35">
        <v>332327.0</v>
      </c>
      <c r="E611" s="35" t="s">
        <v>373</v>
      </c>
      <c r="F611" s="35" t="s">
        <v>4263</v>
      </c>
      <c r="G611" s="35" t="s">
        <v>4273</v>
      </c>
      <c r="H611" s="35" t="s">
        <v>189</v>
      </c>
      <c r="I611" s="35" t="s">
        <v>438</v>
      </c>
      <c r="J611" s="146"/>
      <c r="K611" s="66" t="str">
        <f>IFNA(VLOOKUP(D611,'EAN Codes'!A:C,2,False),"")</f>
        <v/>
      </c>
      <c r="L611" s="35" t="s">
        <v>92</v>
      </c>
      <c r="M611" s="145"/>
      <c r="N611" s="35"/>
      <c r="O611" s="35"/>
      <c r="P611" s="35"/>
      <c r="Q611" s="35"/>
      <c r="R611" s="35"/>
      <c r="S611" s="146"/>
      <c r="T611" s="35"/>
      <c r="U611" s="93" t="b">
        <v>1</v>
      </c>
      <c r="V611" s="35"/>
      <c r="Z611" t="b">
        <v>0</v>
      </c>
    </row>
    <row r="612" hidden="1">
      <c r="A612" s="99">
        <v>872.0</v>
      </c>
      <c r="B612" s="99" t="s">
        <v>241</v>
      </c>
      <c r="C612" s="99" t="s">
        <v>4269</v>
      </c>
      <c r="D612" s="99" t="s">
        <v>4270</v>
      </c>
      <c r="E612" s="99" t="s">
        <v>346</v>
      </c>
      <c r="F612" s="99" t="s">
        <v>4263</v>
      </c>
      <c r="G612" s="99" t="s">
        <v>1005</v>
      </c>
      <c r="H612" s="99" t="s">
        <v>189</v>
      </c>
      <c r="I612" s="99" t="s">
        <v>680</v>
      </c>
      <c r="J612" s="104"/>
      <c r="K612" s="66" t="str">
        <f>IFNA(VLOOKUP(D612,'EAN Codes'!A:C,2,False),"")</f>
        <v/>
      </c>
      <c r="L612" s="101"/>
      <c r="M612" s="119"/>
      <c r="N612" s="99"/>
      <c r="O612" s="99"/>
      <c r="P612" s="99"/>
      <c r="Q612" s="99"/>
      <c r="R612" s="99"/>
      <c r="S612" s="104"/>
      <c r="T612" s="99"/>
      <c r="U612" s="93" t="b">
        <v>1</v>
      </c>
      <c r="V612" s="99" t="s">
        <v>4274</v>
      </c>
      <c r="Z612" t="b">
        <v>0</v>
      </c>
    </row>
    <row r="613" hidden="1">
      <c r="A613" s="99">
        <v>868.0</v>
      </c>
      <c r="B613" s="86" t="s">
        <v>241</v>
      </c>
      <c r="C613" s="99" t="s">
        <v>760</v>
      </c>
      <c r="D613" s="99" t="s">
        <v>4275</v>
      </c>
      <c r="E613" s="99" t="s">
        <v>346</v>
      </c>
      <c r="F613" s="99" t="s">
        <v>4263</v>
      </c>
      <c r="G613" s="99" t="s">
        <v>437</v>
      </c>
      <c r="H613" s="99" t="s">
        <v>4276</v>
      </c>
      <c r="I613" s="101"/>
      <c r="J613" s="110"/>
      <c r="K613" s="66" t="str">
        <f>IFNA(VLOOKUP(D613,'EAN Codes'!A:C,2,False),"")</f>
        <v>5060128532161</v>
      </c>
      <c r="L613" s="101"/>
      <c r="M613" s="119"/>
      <c r="N613" s="99"/>
      <c r="O613" s="99"/>
      <c r="P613" s="99"/>
      <c r="Q613" s="99"/>
      <c r="R613" s="99"/>
      <c r="S613" s="104"/>
      <c r="T613" s="99"/>
      <c r="U613" s="93" t="b">
        <v>1</v>
      </c>
      <c r="V613" s="99" t="s">
        <v>4277</v>
      </c>
      <c r="Z613" t="b">
        <v>0</v>
      </c>
    </row>
    <row r="614" hidden="1">
      <c r="A614" s="99">
        <v>21.0</v>
      </c>
      <c r="B614" s="99"/>
      <c r="C614" s="99" t="s">
        <v>342</v>
      </c>
      <c r="D614" s="99" t="s">
        <v>4278</v>
      </c>
      <c r="E614" s="99" t="s">
        <v>2639</v>
      </c>
      <c r="F614" s="99" t="s">
        <v>4279</v>
      </c>
      <c r="G614" s="99" t="s">
        <v>1028</v>
      </c>
      <c r="H614" s="99" t="s">
        <v>3559</v>
      </c>
      <c r="J614" s="60"/>
      <c r="K614" s="66" t="str">
        <f>IFNA(VLOOKUP(D614,'EAN Codes'!A:C,2,False),"")</f>
        <v>5907615814945</v>
      </c>
      <c r="L614" s="35"/>
      <c r="M614" s="67"/>
      <c r="S614" s="60"/>
      <c r="U614" s="93" t="b">
        <v>1</v>
      </c>
      <c r="Z614" t="b">
        <v>0</v>
      </c>
    </row>
    <row r="615" hidden="1">
      <c r="A615" s="99">
        <v>63.0</v>
      </c>
      <c r="B615" s="99"/>
      <c r="C615" s="99" t="s">
        <v>408</v>
      </c>
      <c r="D615" s="99">
        <v>332319.0</v>
      </c>
      <c r="E615" s="99" t="s">
        <v>346</v>
      </c>
      <c r="F615" s="99" t="s">
        <v>4279</v>
      </c>
      <c r="G615" s="99" t="s">
        <v>4280</v>
      </c>
      <c r="H615" s="99" t="s">
        <v>135</v>
      </c>
      <c r="I615" s="99"/>
      <c r="J615" s="104"/>
      <c r="K615" s="66" t="str">
        <f>IFNA(VLOOKUP(D615,'EAN Codes'!A:C,2,False),"")</f>
        <v/>
      </c>
      <c r="L615" s="35"/>
      <c r="M615" s="119"/>
      <c r="N615" s="99"/>
      <c r="O615" s="99"/>
      <c r="P615" s="99"/>
      <c r="Q615" s="99"/>
      <c r="R615" s="99"/>
      <c r="S615" s="104"/>
      <c r="T615" s="99"/>
      <c r="U615" s="93" t="b">
        <v>1</v>
      </c>
      <c r="V615" s="99"/>
      <c r="W615" s="101"/>
      <c r="Z615" t="b">
        <v>0</v>
      </c>
    </row>
    <row r="616" hidden="1">
      <c r="A616" s="99">
        <v>380.0</v>
      </c>
      <c r="B616" s="99" t="s">
        <v>241</v>
      </c>
      <c r="C616" s="122" t="s">
        <v>858</v>
      </c>
      <c r="D616" s="217" t="s">
        <v>4281</v>
      </c>
      <c r="E616" s="122" t="s">
        <v>454</v>
      </c>
      <c r="F616" s="122" t="s">
        <v>4282</v>
      </c>
      <c r="G616" s="99" t="s">
        <v>4095</v>
      </c>
      <c r="H616" s="99" t="s">
        <v>189</v>
      </c>
      <c r="I616" s="99" t="s">
        <v>680</v>
      </c>
      <c r="J616" s="104"/>
      <c r="K616" s="66" t="str">
        <f>IFNA(VLOOKUP(D616,'EAN Codes'!A:C,2,False),"")</f>
        <v/>
      </c>
      <c r="L616" s="35"/>
      <c r="M616" s="83"/>
      <c r="N616" s="6"/>
      <c r="O616" s="6"/>
      <c r="P616" s="6"/>
      <c r="Q616" s="6"/>
      <c r="R616" s="6"/>
      <c r="S616" s="84"/>
      <c r="T616" s="6"/>
      <c r="U616" s="93" t="b">
        <v>1</v>
      </c>
      <c r="V616" s="6" t="s">
        <v>4283</v>
      </c>
      <c r="Z616" t="b">
        <v>0</v>
      </c>
    </row>
    <row r="617" hidden="1">
      <c r="A617" s="99">
        <v>381.0</v>
      </c>
      <c r="B617" s="99" t="s">
        <v>241</v>
      </c>
      <c r="C617" s="122" t="s">
        <v>858</v>
      </c>
      <c r="D617" s="217" t="s">
        <v>4281</v>
      </c>
      <c r="E617" s="122" t="s">
        <v>454</v>
      </c>
      <c r="F617" s="122" t="s">
        <v>4282</v>
      </c>
      <c r="G617" s="99" t="s">
        <v>4095</v>
      </c>
      <c r="H617" s="99" t="s">
        <v>189</v>
      </c>
      <c r="I617" s="99" t="s">
        <v>680</v>
      </c>
      <c r="J617" s="104"/>
      <c r="K617" s="66" t="str">
        <f>IFNA(VLOOKUP(D617,'EAN Codes'!A:C,2,False),"")</f>
        <v/>
      </c>
      <c r="L617" s="99"/>
      <c r="M617" s="108"/>
      <c r="N617" s="101"/>
      <c r="O617" s="101"/>
      <c r="P617" s="101"/>
      <c r="Q617" s="101"/>
      <c r="R617" s="101"/>
      <c r="S617" s="110"/>
      <c r="T617" s="101"/>
      <c r="U617" s="93" t="b">
        <v>1</v>
      </c>
      <c r="V617" s="101"/>
      <c r="Z617" t="b">
        <v>0</v>
      </c>
    </row>
    <row r="618" hidden="1">
      <c r="A618" s="86">
        <v>866.0</v>
      </c>
      <c r="B618" s="86" t="s">
        <v>241</v>
      </c>
      <c r="C618" s="86" t="s">
        <v>1813</v>
      </c>
      <c r="D618" s="86" t="s">
        <v>4270</v>
      </c>
      <c r="E618" s="86" t="s">
        <v>346</v>
      </c>
      <c r="F618" s="86" t="s">
        <v>4284</v>
      </c>
      <c r="G618" s="86" t="s">
        <v>4285</v>
      </c>
      <c r="H618" s="86" t="s">
        <v>189</v>
      </c>
      <c r="I618" s="86" t="s">
        <v>1863</v>
      </c>
      <c r="J618" s="88"/>
      <c r="K618" s="66" t="str">
        <f>IFNA(VLOOKUP(D618,'EAN Codes'!A:C,2,False),"")</f>
        <v/>
      </c>
      <c r="L618" s="261"/>
      <c r="M618" s="92"/>
      <c r="N618" s="86"/>
      <c r="O618" s="86"/>
      <c r="P618" s="86"/>
      <c r="Q618" s="86"/>
      <c r="R618" s="86"/>
      <c r="S618" s="88"/>
      <c r="T618" s="86"/>
      <c r="U618" s="93" t="b">
        <v>1</v>
      </c>
      <c r="V618" s="86" t="s">
        <v>4286</v>
      </c>
      <c r="Z618" t="b">
        <v>0</v>
      </c>
    </row>
    <row r="619" hidden="1">
      <c r="A619" s="86">
        <v>767.0</v>
      </c>
      <c r="B619" s="99" t="s">
        <v>241</v>
      </c>
      <c r="C619" s="99" t="s">
        <v>342</v>
      </c>
      <c r="D619" s="99" t="s">
        <v>4287</v>
      </c>
      <c r="E619" s="99" t="s">
        <v>346</v>
      </c>
      <c r="F619" s="99" t="s">
        <v>4288</v>
      </c>
      <c r="G619" s="99" t="s">
        <v>1155</v>
      </c>
      <c r="H619" s="99" t="s">
        <v>189</v>
      </c>
      <c r="I619" s="99" t="s">
        <v>570</v>
      </c>
      <c r="J619" s="104"/>
      <c r="K619" s="66" t="str">
        <f>IFNA(VLOOKUP(D619,'EAN Codes'!A:C,2,False),"")</f>
        <v>5907615814990</v>
      </c>
      <c r="L619" s="82"/>
      <c r="M619" s="83"/>
      <c r="N619" s="6"/>
      <c r="O619" s="6"/>
      <c r="P619" s="6"/>
      <c r="Q619" s="6"/>
      <c r="R619" s="6"/>
      <c r="S619" s="84"/>
      <c r="T619" s="6"/>
      <c r="U619" s="93" t="b">
        <v>1</v>
      </c>
      <c r="V619" s="6" t="s">
        <v>4289</v>
      </c>
      <c r="Z619" t="b">
        <v>0</v>
      </c>
    </row>
    <row r="620" hidden="1">
      <c r="A620" s="99">
        <v>820.0</v>
      </c>
      <c r="B620" s="99" t="s">
        <v>241</v>
      </c>
      <c r="C620" s="99" t="s">
        <v>1250</v>
      </c>
      <c r="D620" s="99" t="s">
        <v>4290</v>
      </c>
      <c r="E620" s="99" t="s">
        <v>409</v>
      </c>
      <c r="F620" s="99" t="s">
        <v>4288</v>
      </c>
      <c r="G620" s="99" t="s">
        <v>1155</v>
      </c>
      <c r="H620" s="99" t="s">
        <v>189</v>
      </c>
      <c r="I620" s="99" t="s">
        <v>570</v>
      </c>
      <c r="J620" s="104"/>
      <c r="K620" s="66" t="str">
        <f>IFNA(VLOOKUP(D620,'EAN Codes'!A:C,2,False),"")</f>
        <v>8058772224041</v>
      </c>
      <c r="L620" s="101"/>
      <c r="M620" s="119"/>
      <c r="N620" s="99"/>
      <c r="O620" s="99"/>
      <c r="P620" s="99"/>
      <c r="Q620" s="99"/>
      <c r="R620" s="99"/>
      <c r="S620" s="104"/>
      <c r="T620" s="99"/>
      <c r="U620" s="93" t="b">
        <v>1</v>
      </c>
      <c r="V620" s="99" t="s">
        <v>4291</v>
      </c>
      <c r="Z620" t="b">
        <v>0</v>
      </c>
    </row>
    <row r="621" hidden="1">
      <c r="A621" s="99">
        <v>786.0</v>
      </c>
      <c r="B621" s="99" t="s">
        <v>241</v>
      </c>
      <c r="C621" s="99" t="s">
        <v>342</v>
      </c>
      <c r="D621" s="99" t="s">
        <v>4287</v>
      </c>
      <c r="E621" s="99" t="s">
        <v>346</v>
      </c>
      <c r="F621" s="99" t="s">
        <v>4288</v>
      </c>
      <c r="G621" s="99" t="s">
        <v>1155</v>
      </c>
      <c r="H621" s="99" t="s">
        <v>189</v>
      </c>
      <c r="I621" s="99" t="s">
        <v>1328</v>
      </c>
      <c r="J621" s="104"/>
      <c r="K621" s="66" t="str">
        <f>IFNA(VLOOKUP(D621,'EAN Codes'!A:C,2,False),"")</f>
        <v>5907615814990</v>
      </c>
      <c r="L621" s="35"/>
      <c r="M621" s="119"/>
      <c r="N621" s="99"/>
      <c r="O621" s="99"/>
      <c r="P621" s="99"/>
      <c r="Q621" s="99"/>
      <c r="R621" s="99"/>
      <c r="S621" s="104"/>
      <c r="T621" s="99"/>
      <c r="U621" s="93" t="b">
        <v>1</v>
      </c>
      <c r="V621" s="99" t="s">
        <v>4292</v>
      </c>
      <c r="Z621" t="b">
        <v>0</v>
      </c>
    </row>
    <row r="622" hidden="1">
      <c r="A622" s="86">
        <v>818.0</v>
      </c>
      <c r="B622" s="86" t="s">
        <v>241</v>
      </c>
      <c r="C622" s="86" t="s">
        <v>342</v>
      </c>
      <c r="D622" s="86" t="s">
        <v>4265</v>
      </c>
      <c r="E622" s="86" t="s">
        <v>409</v>
      </c>
      <c r="F622" s="86" t="s">
        <v>4288</v>
      </c>
      <c r="G622" s="91"/>
      <c r="H622" s="86" t="s">
        <v>345</v>
      </c>
      <c r="I622" s="91"/>
      <c r="J622" s="97"/>
      <c r="K622" s="66" t="str">
        <f>IFNA(VLOOKUP(D622,'EAN Codes'!A:C,2,False),"")</f>
        <v>5907615815003</v>
      </c>
      <c r="L622" s="91"/>
      <c r="M622" s="92"/>
      <c r="N622" s="86"/>
      <c r="O622" s="86"/>
      <c r="P622" s="86"/>
      <c r="Q622" s="86"/>
      <c r="R622" s="86"/>
      <c r="S622" s="88"/>
      <c r="T622" s="86"/>
      <c r="U622" s="93" t="b">
        <v>1</v>
      </c>
      <c r="V622" s="86" t="s">
        <v>4293</v>
      </c>
      <c r="Z622" s="91" t="b">
        <v>0</v>
      </c>
      <c r="AA622" s="91"/>
      <c r="AB622" s="91"/>
      <c r="AC622" s="91"/>
      <c r="AD622" s="91"/>
      <c r="AE622" s="91"/>
    </row>
    <row r="623" hidden="1">
      <c r="A623" s="99">
        <v>819.0</v>
      </c>
      <c r="B623" s="99" t="s">
        <v>241</v>
      </c>
      <c r="C623" s="99" t="s">
        <v>966</v>
      </c>
      <c r="D623" s="99">
        <v>597500.0</v>
      </c>
      <c r="E623" s="99" t="s">
        <v>409</v>
      </c>
      <c r="F623" s="99" t="s">
        <v>4288</v>
      </c>
      <c r="G623" s="99" t="s">
        <v>1155</v>
      </c>
      <c r="H623" s="99" t="s">
        <v>189</v>
      </c>
      <c r="I623" s="99" t="s">
        <v>626</v>
      </c>
      <c r="J623" s="104"/>
      <c r="K623" s="66" t="str">
        <f>IFNA(VLOOKUP(D623,'EAN Codes'!A:C,2,False),"")</f>
        <v/>
      </c>
      <c r="L623" s="101"/>
      <c r="M623" s="119"/>
      <c r="N623" s="99"/>
      <c r="O623" s="99"/>
      <c r="P623" s="99"/>
      <c r="Q623" s="99"/>
      <c r="R623" s="99"/>
      <c r="S623" s="104"/>
      <c r="T623" s="99"/>
      <c r="U623" s="93" t="b">
        <v>1</v>
      </c>
      <c r="V623" s="99" t="s">
        <v>4294</v>
      </c>
      <c r="Z623" s="82" t="b">
        <v>0</v>
      </c>
      <c r="AA623" s="82"/>
      <c r="AB623" s="82"/>
      <c r="AC623" s="82"/>
      <c r="AD623" s="82"/>
      <c r="AE623" s="82"/>
    </row>
    <row r="624" hidden="1">
      <c r="A624" s="99">
        <v>824.0</v>
      </c>
      <c r="B624" s="99" t="s">
        <v>241</v>
      </c>
      <c r="C624" s="99" t="s">
        <v>1250</v>
      </c>
      <c r="D624" s="99" t="s">
        <v>4290</v>
      </c>
      <c r="E624" s="99" t="s">
        <v>409</v>
      </c>
      <c r="F624" s="99" t="s">
        <v>4288</v>
      </c>
      <c r="G624" s="99" t="s">
        <v>4295</v>
      </c>
      <c r="H624" s="99" t="s">
        <v>189</v>
      </c>
      <c r="I624" s="99" t="s">
        <v>819</v>
      </c>
      <c r="J624" s="104"/>
      <c r="K624" s="66" t="str">
        <f>IFNA(VLOOKUP(D624,'EAN Codes'!A:C,2,False),"")</f>
        <v>8058772224041</v>
      </c>
      <c r="L624" s="82"/>
      <c r="M624" s="145"/>
      <c r="N624" s="35"/>
      <c r="O624" s="35"/>
      <c r="P624" s="35"/>
      <c r="Q624" s="35"/>
      <c r="R624" s="35"/>
      <c r="S624" s="146"/>
      <c r="T624" s="35"/>
      <c r="U624" s="93" t="b">
        <v>1</v>
      </c>
      <c r="V624" s="35" t="s">
        <v>4296</v>
      </c>
      <c r="Z624" t="b">
        <v>0</v>
      </c>
    </row>
    <row r="625" hidden="1">
      <c r="A625" s="35">
        <v>507.0</v>
      </c>
      <c r="B625" s="35" t="s">
        <v>241</v>
      </c>
      <c r="C625" s="35" t="s">
        <v>342</v>
      </c>
      <c r="D625" s="365" t="s">
        <v>4199</v>
      </c>
      <c r="E625" s="35" t="s">
        <v>346</v>
      </c>
      <c r="F625" s="35" t="s">
        <v>4297</v>
      </c>
      <c r="G625" s="35" t="s">
        <v>751</v>
      </c>
      <c r="H625" s="35" t="s">
        <v>189</v>
      </c>
      <c r="I625" s="35" t="s">
        <v>819</v>
      </c>
      <c r="J625" s="146"/>
      <c r="K625" s="66" t="str">
        <f>IFNA(VLOOKUP(D625,'EAN Codes'!A:C,2,False),"")</f>
        <v>5907615811913</v>
      </c>
      <c r="L625" s="35" t="s">
        <v>269</v>
      </c>
      <c r="M625" s="83"/>
      <c r="N625" s="6"/>
      <c r="O625" s="6"/>
      <c r="P625" s="6"/>
      <c r="Q625" s="6"/>
      <c r="R625" s="6"/>
      <c r="S625" s="84"/>
      <c r="T625" s="6"/>
      <c r="U625" s="93" t="b">
        <v>1</v>
      </c>
      <c r="V625" s="6" t="s">
        <v>4298</v>
      </c>
      <c r="Z625" t="b">
        <v>0</v>
      </c>
    </row>
    <row r="626" hidden="1">
      <c r="A626" s="99">
        <v>975.0</v>
      </c>
      <c r="B626" s="99" t="s">
        <v>241</v>
      </c>
      <c r="C626" s="99" t="s">
        <v>2886</v>
      </c>
      <c r="D626" s="99" t="s">
        <v>4299</v>
      </c>
      <c r="E626" s="99" t="s">
        <v>346</v>
      </c>
      <c r="F626" s="99" t="s">
        <v>4300</v>
      </c>
      <c r="G626" s="99" t="s">
        <v>4301</v>
      </c>
      <c r="H626" s="99" t="s">
        <v>4302</v>
      </c>
      <c r="I626" s="101"/>
      <c r="J626" s="110"/>
      <c r="K626" s="66" t="str">
        <f>IFNA(VLOOKUP(D626,'EAN Codes'!A:C,2,False),"")</f>
        <v/>
      </c>
      <c r="L626" s="82"/>
      <c r="M626" s="83"/>
      <c r="N626" s="6"/>
      <c r="O626" s="6"/>
      <c r="P626" s="6"/>
      <c r="Q626" s="6"/>
      <c r="R626" s="6"/>
      <c r="S626" s="84"/>
      <c r="T626" s="6"/>
      <c r="U626" s="93" t="b">
        <v>1</v>
      </c>
      <c r="V626" s="6" t="s">
        <v>4303</v>
      </c>
      <c r="Z626" t="b">
        <v>0</v>
      </c>
    </row>
    <row r="627" hidden="1">
      <c r="A627" s="6">
        <v>840.0</v>
      </c>
      <c r="B627" s="6" t="s">
        <v>241</v>
      </c>
      <c r="C627" s="366" t="s">
        <v>342</v>
      </c>
      <c r="D627" s="127" t="s">
        <v>4199</v>
      </c>
      <c r="E627" s="366" t="s">
        <v>346</v>
      </c>
      <c r="F627" s="6" t="s">
        <v>4304</v>
      </c>
      <c r="G627" s="6" t="s">
        <v>2194</v>
      </c>
      <c r="H627" s="6" t="s">
        <v>189</v>
      </c>
      <c r="I627" s="6" t="s">
        <v>1634</v>
      </c>
      <c r="J627" s="84"/>
      <c r="K627" s="66" t="str">
        <f>IFNA(VLOOKUP(D627,'EAN Codes'!A:C,2,False),"")</f>
        <v>5907615811913</v>
      </c>
      <c r="L627" s="82"/>
      <c r="M627" s="83"/>
      <c r="N627" s="6"/>
      <c r="O627" s="6"/>
      <c r="P627" s="6"/>
      <c r="Q627" s="6"/>
      <c r="R627" s="6"/>
      <c r="S627" s="84"/>
      <c r="T627" s="6"/>
      <c r="U627" s="93" t="b">
        <v>1</v>
      </c>
      <c r="V627" s="6" t="s">
        <v>4305</v>
      </c>
      <c r="Z627" t="b">
        <v>0</v>
      </c>
    </row>
    <row r="628" hidden="1">
      <c r="A628" s="6">
        <v>984.0</v>
      </c>
      <c r="B628" s="6" t="s">
        <v>241</v>
      </c>
      <c r="C628" s="6" t="s">
        <v>342</v>
      </c>
      <c r="D628" s="127" t="s">
        <v>4306</v>
      </c>
      <c r="E628" s="6" t="s">
        <v>373</v>
      </c>
      <c r="F628" s="6" t="s">
        <v>4307</v>
      </c>
      <c r="G628" s="6" t="s">
        <v>2194</v>
      </c>
      <c r="H628" s="6" t="s">
        <v>189</v>
      </c>
      <c r="I628" s="6" t="s">
        <v>458</v>
      </c>
      <c r="J628" s="84"/>
      <c r="K628" s="66" t="str">
        <f>IFNA(VLOOKUP(D628,'EAN Codes'!A:C,2,False),"")</f>
        <v>5907615811906</v>
      </c>
      <c r="L628" s="82"/>
      <c r="M628" s="276"/>
      <c r="N628" s="106"/>
      <c r="O628" s="106"/>
      <c r="P628" s="106"/>
      <c r="Q628" s="106"/>
      <c r="R628" s="106"/>
      <c r="S628" s="274"/>
      <c r="T628" s="106"/>
      <c r="U628" s="93" t="b">
        <v>1</v>
      </c>
      <c r="V628" s="106" t="s">
        <v>4308</v>
      </c>
      <c r="W628" s="115"/>
      <c r="X628" s="115"/>
      <c r="Z628" t="b">
        <v>0</v>
      </c>
    </row>
    <row r="629" hidden="1">
      <c r="A629" s="99">
        <v>861.0</v>
      </c>
      <c r="B629" s="99" t="s">
        <v>241</v>
      </c>
      <c r="C629" s="99" t="s">
        <v>1813</v>
      </c>
      <c r="D629" s="99" t="s">
        <v>4270</v>
      </c>
      <c r="E629" s="99" t="s">
        <v>346</v>
      </c>
      <c r="F629" s="99" t="s">
        <v>4309</v>
      </c>
      <c r="G629" s="99" t="s">
        <v>2194</v>
      </c>
      <c r="H629" s="99" t="s">
        <v>238</v>
      </c>
      <c r="I629" s="101"/>
      <c r="J629" s="110"/>
      <c r="K629" s="66" t="str">
        <f>IFNA(VLOOKUP(D629,'EAN Codes'!A:C,2,False),"")</f>
        <v/>
      </c>
      <c r="L629" s="101"/>
      <c r="M629" s="119"/>
      <c r="N629" s="99"/>
      <c r="O629" s="99"/>
      <c r="P629" s="99"/>
      <c r="Q629" s="99"/>
      <c r="R629" s="99"/>
      <c r="S629" s="104"/>
      <c r="T629" s="99"/>
      <c r="U629" s="93" t="b">
        <v>1</v>
      </c>
      <c r="V629" s="99" t="s">
        <v>4310</v>
      </c>
      <c r="Z629" t="b">
        <v>0</v>
      </c>
    </row>
    <row r="630" hidden="1">
      <c r="A630" s="99">
        <v>1039.0</v>
      </c>
      <c r="B630" s="99" t="s">
        <v>241</v>
      </c>
      <c r="C630" s="99" t="s">
        <v>760</v>
      </c>
      <c r="D630" s="100" t="s">
        <v>4311</v>
      </c>
      <c r="E630" s="99" t="s">
        <v>373</v>
      </c>
      <c r="F630" s="99" t="s">
        <v>4312</v>
      </c>
      <c r="G630" s="99" t="s">
        <v>4313</v>
      </c>
      <c r="H630" s="99" t="s">
        <v>189</v>
      </c>
      <c r="I630" s="99" t="s">
        <v>1863</v>
      </c>
      <c r="J630" s="104"/>
      <c r="K630" s="107" t="str">
        <f>IFNA(VLOOKUP(D630,'EAN Codes'!A:C,2,False),"")</f>
        <v>5060128530556</v>
      </c>
      <c r="L630" s="101"/>
      <c r="M630" s="108"/>
      <c r="N630" s="101"/>
      <c r="O630" s="101"/>
      <c r="P630" s="101"/>
      <c r="Q630" s="101"/>
      <c r="R630" s="101"/>
      <c r="S630" s="110"/>
      <c r="T630" s="101"/>
      <c r="U630" s="93" t="b">
        <v>1</v>
      </c>
      <c r="V630" s="101"/>
      <c r="Z630" t="b">
        <v>0</v>
      </c>
    </row>
    <row r="631" hidden="1">
      <c r="A631" s="99">
        <v>366.0</v>
      </c>
      <c r="B631" s="99" t="s">
        <v>241</v>
      </c>
      <c r="C631" s="122" t="s">
        <v>4057</v>
      </c>
      <c r="D631" s="217" t="s">
        <v>4314</v>
      </c>
      <c r="E631" s="122" t="s">
        <v>864</v>
      </c>
      <c r="F631" s="122" t="s">
        <v>4315</v>
      </c>
      <c r="G631" s="122" t="s">
        <v>4316</v>
      </c>
      <c r="H631" s="99" t="s">
        <v>189</v>
      </c>
      <c r="I631" s="99" t="s">
        <v>680</v>
      </c>
      <c r="J631" s="104"/>
      <c r="K631" s="66" t="str">
        <f>IFNA(VLOOKUP(D631,'EAN Codes'!A:C,2,False),"")</f>
        <v/>
      </c>
      <c r="L631" s="35" t="s">
        <v>269</v>
      </c>
      <c r="M631" s="83"/>
      <c r="N631" s="6"/>
      <c r="O631" s="6"/>
      <c r="P631" s="6"/>
      <c r="Q631" s="6"/>
      <c r="R631" s="6"/>
      <c r="S631" s="84"/>
      <c r="T631" s="6"/>
      <c r="U631" s="93" t="b">
        <v>1</v>
      </c>
      <c r="V631" s="6" t="s">
        <v>4317</v>
      </c>
      <c r="Y631" s="6" t="s">
        <v>452</v>
      </c>
      <c r="Z631" t="b">
        <v>0</v>
      </c>
    </row>
    <row r="632" hidden="1">
      <c r="A632" s="99">
        <v>334.0</v>
      </c>
      <c r="B632" s="99" t="s">
        <v>241</v>
      </c>
      <c r="C632" s="99" t="s">
        <v>1250</v>
      </c>
      <c r="D632" s="99">
        <v>28059.0</v>
      </c>
      <c r="E632" s="99" t="s">
        <v>346</v>
      </c>
      <c r="F632" s="99" t="s">
        <v>4318</v>
      </c>
      <c r="G632" s="99" t="s">
        <v>1013</v>
      </c>
      <c r="H632" s="99" t="s">
        <v>189</v>
      </c>
      <c r="I632" s="99" t="s">
        <v>418</v>
      </c>
      <c r="J632" s="104"/>
      <c r="K632" s="66" t="str">
        <f>IFNA(VLOOKUP(D632,'EAN Codes'!A:C,2,False),"")</f>
        <v/>
      </c>
      <c r="L632" s="99" t="s">
        <v>269</v>
      </c>
      <c r="M632" s="119"/>
      <c r="N632" s="99"/>
      <c r="O632" s="99"/>
      <c r="P632" s="99"/>
      <c r="Q632" s="99"/>
      <c r="R632" s="99"/>
      <c r="S632" s="104"/>
      <c r="T632" s="99"/>
      <c r="U632" s="93" t="b">
        <v>1</v>
      </c>
      <c r="V632" s="99" t="s">
        <v>4319</v>
      </c>
      <c r="Z632" t="b">
        <v>0</v>
      </c>
    </row>
    <row r="633" hidden="1">
      <c r="A633" s="99">
        <v>680.0</v>
      </c>
      <c r="B633" s="99" t="s">
        <v>181</v>
      </c>
      <c r="C633" s="99" t="s">
        <v>1097</v>
      </c>
      <c r="D633" s="99">
        <v>2.6150534E7</v>
      </c>
      <c r="E633" s="99" t="s">
        <v>4320</v>
      </c>
      <c r="F633" s="99" t="s">
        <v>4321</v>
      </c>
      <c r="G633" s="99" t="s">
        <v>751</v>
      </c>
      <c r="H633" s="99" t="s">
        <v>189</v>
      </c>
      <c r="J633" s="60"/>
      <c r="K633" s="66" t="str">
        <f>IFNA(VLOOKUP(D633,'EAN Codes'!A:C,2,False),"")</f>
        <v/>
      </c>
      <c r="L633" s="82"/>
      <c r="M633" s="67"/>
      <c r="S633" s="60"/>
      <c r="U633" s="93" t="b">
        <v>1</v>
      </c>
      <c r="Z633" t="b">
        <v>0</v>
      </c>
    </row>
    <row r="634" hidden="1">
      <c r="A634" s="99">
        <v>629.0</v>
      </c>
      <c r="B634" s="99" t="s">
        <v>241</v>
      </c>
      <c r="C634" s="99" t="s">
        <v>1250</v>
      </c>
      <c r="D634" s="100" t="s">
        <v>4322</v>
      </c>
      <c r="E634" s="99" t="s">
        <v>409</v>
      </c>
      <c r="F634" s="99" t="s">
        <v>4323</v>
      </c>
      <c r="G634" s="99" t="s">
        <v>2194</v>
      </c>
      <c r="H634" s="99" t="s">
        <v>380</v>
      </c>
      <c r="I634" s="101"/>
      <c r="J634" s="110"/>
      <c r="K634" s="107" t="str">
        <f>IFNA(VLOOKUP(D634,'EAN Codes'!A:C,2,False),"")</f>
        <v>8058772222337</v>
      </c>
      <c r="L634" s="99" t="s">
        <v>269</v>
      </c>
      <c r="M634" s="119"/>
      <c r="N634" s="99"/>
      <c r="O634" s="99"/>
      <c r="P634" s="99"/>
      <c r="Q634" s="99"/>
      <c r="R634" s="99"/>
      <c r="S634" s="104"/>
      <c r="T634" s="99"/>
      <c r="U634" s="93" t="b">
        <v>1</v>
      </c>
      <c r="V634" s="99" t="s">
        <v>4324</v>
      </c>
      <c r="W634" s="6" t="s">
        <v>4325</v>
      </c>
      <c r="Z634" t="b">
        <v>0</v>
      </c>
    </row>
    <row r="635" hidden="1">
      <c r="A635" s="86">
        <v>799.0</v>
      </c>
      <c r="B635" s="86" t="s">
        <v>241</v>
      </c>
      <c r="C635" s="86" t="s">
        <v>4061</v>
      </c>
      <c r="D635" s="86" t="s">
        <v>4326</v>
      </c>
      <c r="E635" s="86" t="s">
        <v>346</v>
      </c>
      <c r="F635" s="86" t="s">
        <v>4327</v>
      </c>
      <c r="G635" s="86" t="s">
        <v>4217</v>
      </c>
      <c r="H635" s="86" t="s">
        <v>427</v>
      </c>
      <c r="I635" s="91"/>
      <c r="J635" s="97"/>
      <c r="K635" s="66" t="str">
        <f>IFNA(VLOOKUP(D635,'EAN Codes'!A:C,2,False),"")</f>
        <v/>
      </c>
      <c r="L635" s="91"/>
      <c r="M635" s="92"/>
      <c r="N635" s="86"/>
      <c r="O635" s="86"/>
      <c r="P635" s="86"/>
      <c r="Q635" s="86"/>
      <c r="R635" s="86"/>
      <c r="S635" s="88"/>
      <c r="T635" s="86"/>
      <c r="U635" s="93" t="b">
        <v>1</v>
      </c>
      <c r="V635" s="86" t="s">
        <v>4328</v>
      </c>
      <c r="Z635" t="b">
        <v>0</v>
      </c>
    </row>
    <row r="636" hidden="1">
      <c r="A636" s="86">
        <v>264.0</v>
      </c>
      <c r="B636" s="99" t="s">
        <v>241</v>
      </c>
      <c r="C636" s="86" t="s">
        <v>342</v>
      </c>
      <c r="D636" s="86" t="s">
        <v>4329</v>
      </c>
      <c r="E636" s="86" t="s">
        <v>346</v>
      </c>
      <c r="F636" s="86" t="s">
        <v>4330</v>
      </c>
      <c r="G636" s="86" t="s">
        <v>793</v>
      </c>
      <c r="H636" s="86" t="s">
        <v>189</v>
      </c>
      <c r="I636" s="86" t="s">
        <v>1328</v>
      </c>
      <c r="J636" s="88"/>
      <c r="K636" s="66" t="str">
        <f>IFNA(VLOOKUP(D636,'EAN Codes'!A:C,2,False),"")</f>
        <v>5907615815522</v>
      </c>
      <c r="L636" s="86" t="s">
        <v>269</v>
      </c>
      <c r="M636" s="92"/>
      <c r="N636" s="86"/>
      <c r="O636" s="86"/>
      <c r="P636" s="86"/>
      <c r="Q636" s="86"/>
      <c r="R636" s="86"/>
      <c r="S636" s="88"/>
      <c r="T636" s="86"/>
      <c r="U636" s="93" t="b">
        <v>1</v>
      </c>
      <c r="V636" s="86" t="s">
        <v>4331</v>
      </c>
      <c r="Z636" t="b">
        <v>0</v>
      </c>
    </row>
    <row r="637" hidden="1">
      <c r="A637" s="99">
        <v>955.0</v>
      </c>
      <c r="B637" s="99" t="s">
        <v>241</v>
      </c>
      <c r="C637" s="99" t="s">
        <v>342</v>
      </c>
      <c r="D637" s="99" t="s">
        <v>4329</v>
      </c>
      <c r="E637" s="99" t="s">
        <v>346</v>
      </c>
      <c r="F637" s="99" t="s">
        <v>4332</v>
      </c>
      <c r="G637" s="99" t="s">
        <v>793</v>
      </c>
      <c r="H637" s="99" t="s">
        <v>189</v>
      </c>
      <c r="I637" s="99" t="s">
        <v>458</v>
      </c>
      <c r="J637" s="104"/>
      <c r="K637" s="66" t="str">
        <f>IFNA(VLOOKUP(D637,'EAN Codes'!A:C,2,False),"")</f>
        <v>5907615815522</v>
      </c>
      <c r="L637" s="82"/>
      <c r="M637" s="67"/>
      <c r="S637" s="60"/>
      <c r="U637" s="93" t="b">
        <v>1</v>
      </c>
      <c r="Z637" t="b">
        <v>0</v>
      </c>
    </row>
    <row r="638" hidden="1">
      <c r="A638" s="99">
        <v>79.0</v>
      </c>
      <c r="B638" s="99"/>
      <c r="C638" s="99" t="s">
        <v>408</v>
      </c>
      <c r="D638" s="99">
        <v>314407.0</v>
      </c>
      <c r="E638" s="99" t="s">
        <v>346</v>
      </c>
      <c r="F638" s="99" t="s">
        <v>4333</v>
      </c>
      <c r="G638" s="99" t="s">
        <v>2346</v>
      </c>
      <c r="H638" s="99" t="s">
        <v>135</v>
      </c>
      <c r="I638" s="99" t="s">
        <v>1328</v>
      </c>
      <c r="J638" s="104"/>
      <c r="K638" s="66" t="str">
        <f>IFNA(VLOOKUP(D638,'EAN Codes'!A:C,2,False),"")</f>
        <v/>
      </c>
      <c r="L638" s="35"/>
      <c r="M638" s="67"/>
      <c r="S638" s="60"/>
      <c r="U638" s="93" t="b">
        <v>1</v>
      </c>
      <c r="Z638" t="b">
        <v>0</v>
      </c>
    </row>
    <row r="639" hidden="1">
      <c r="A639" s="99">
        <v>92.0</v>
      </c>
      <c r="B639" s="99"/>
      <c r="C639" s="99" t="s">
        <v>408</v>
      </c>
      <c r="D639" s="99">
        <v>314407.0</v>
      </c>
      <c r="E639" s="99" t="s">
        <v>346</v>
      </c>
      <c r="F639" s="99" t="s">
        <v>4334</v>
      </c>
      <c r="G639" s="99" t="s">
        <v>375</v>
      </c>
      <c r="H639" s="99" t="s">
        <v>512</v>
      </c>
      <c r="I639" s="99" t="s">
        <v>458</v>
      </c>
      <c r="J639" s="104"/>
      <c r="K639" s="66" t="str">
        <f>IFNA(VLOOKUP(D639,'EAN Codes'!A:C,2,False),"")</f>
        <v/>
      </c>
      <c r="L639" s="35"/>
      <c r="M639" s="67"/>
      <c r="S639" s="60"/>
      <c r="U639" s="93" t="b">
        <v>1</v>
      </c>
      <c r="Z639" s="101" t="b">
        <v>0</v>
      </c>
      <c r="AA639" s="101"/>
      <c r="AB639" s="101"/>
      <c r="AC639" s="101"/>
      <c r="AD639" s="101"/>
      <c r="AE639" s="101"/>
    </row>
    <row r="640" hidden="1">
      <c r="A640" s="99">
        <v>328.0</v>
      </c>
      <c r="B640" s="99" t="s">
        <v>241</v>
      </c>
      <c r="C640" s="99" t="s">
        <v>1250</v>
      </c>
      <c r="D640" s="99" t="s">
        <v>4335</v>
      </c>
      <c r="E640" s="99" t="s">
        <v>4336</v>
      </c>
      <c r="F640" s="99" t="s">
        <v>4337</v>
      </c>
      <c r="G640" s="86" t="s">
        <v>793</v>
      </c>
      <c r="H640" s="99" t="s">
        <v>189</v>
      </c>
      <c r="I640" s="99" t="s">
        <v>1328</v>
      </c>
      <c r="J640" s="104"/>
      <c r="K640" s="66" t="str">
        <f>IFNA(VLOOKUP(D640,'EAN Codes'!A:C,2,False),"")</f>
        <v>8054521996733</v>
      </c>
      <c r="L640" s="35" t="s">
        <v>269</v>
      </c>
      <c r="M640" s="83"/>
      <c r="N640" s="6"/>
      <c r="O640" s="6"/>
      <c r="P640" s="6"/>
      <c r="Q640" s="6"/>
      <c r="R640" s="6"/>
      <c r="S640" s="84"/>
      <c r="T640" s="6"/>
      <c r="U640" s="93" t="b">
        <v>1</v>
      </c>
      <c r="V640" s="6" t="s">
        <v>4338</v>
      </c>
      <c r="Z640" t="b">
        <v>0</v>
      </c>
    </row>
    <row r="641" hidden="1">
      <c r="A641" s="99">
        <v>726.0</v>
      </c>
      <c r="B641" s="99" t="s">
        <v>181</v>
      </c>
      <c r="C641" s="99" t="s">
        <v>950</v>
      </c>
      <c r="D641" s="99">
        <v>736865.0</v>
      </c>
      <c r="E641" s="99" t="s">
        <v>733</v>
      </c>
      <c r="F641" s="99" t="s">
        <v>4339</v>
      </c>
      <c r="G641" s="99" t="s">
        <v>987</v>
      </c>
      <c r="H641" s="99" t="s">
        <v>189</v>
      </c>
      <c r="I641" s="99" t="s">
        <v>3978</v>
      </c>
      <c r="J641" s="104"/>
      <c r="K641" s="66" t="str">
        <f>IFNA(VLOOKUP(D641,'EAN Codes'!A:C,2,False),"")</f>
        <v/>
      </c>
      <c r="L641" s="101"/>
      <c r="M641" s="119"/>
      <c r="N641" s="99"/>
      <c r="O641" s="99"/>
      <c r="P641" s="99"/>
      <c r="Q641" s="99"/>
      <c r="R641" s="99"/>
      <c r="S641" s="104"/>
      <c r="T641" s="99"/>
      <c r="U641" s="93" t="b">
        <v>1</v>
      </c>
      <c r="V641" s="99" t="s">
        <v>4340</v>
      </c>
      <c r="Z641" t="b">
        <v>0</v>
      </c>
    </row>
    <row r="642" hidden="1">
      <c r="A642" s="86">
        <v>649.0</v>
      </c>
      <c r="B642" s="99" t="s">
        <v>241</v>
      </c>
      <c r="C642" s="99" t="s">
        <v>342</v>
      </c>
      <c r="D642" s="99" t="s">
        <v>4341</v>
      </c>
      <c r="E642" s="99" t="s">
        <v>346</v>
      </c>
      <c r="F642" s="99" t="s">
        <v>4342</v>
      </c>
      <c r="G642" s="99" t="s">
        <v>987</v>
      </c>
      <c r="H642" s="99" t="s">
        <v>189</v>
      </c>
      <c r="I642" s="99" t="s">
        <v>458</v>
      </c>
      <c r="J642" s="104"/>
      <c r="K642" s="66" t="str">
        <f>IFNA(VLOOKUP(D642,'EAN Codes'!A:C,2,False),"")</f>
        <v>5907615815799</v>
      </c>
      <c r="L642" s="35" t="s">
        <v>269</v>
      </c>
      <c r="M642" s="83"/>
      <c r="N642" s="6"/>
      <c r="O642" s="6"/>
      <c r="P642" s="6"/>
      <c r="Q642" s="6"/>
      <c r="R642" s="6"/>
      <c r="S642" s="84"/>
      <c r="T642" s="6"/>
      <c r="U642" s="93" t="b">
        <v>1</v>
      </c>
      <c r="V642" s="6" t="s">
        <v>4343</v>
      </c>
      <c r="Z642" t="b">
        <v>0</v>
      </c>
    </row>
    <row r="643" hidden="1">
      <c r="B643" s="99" t="s">
        <v>241</v>
      </c>
      <c r="C643" s="99" t="s">
        <v>1250</v>
      </c>
      <c r="D643" s="100" t="s">
        <v>4344</v>
      </c>
      <c r="E643" s="99" t="s">
        <v>1390</v>
      </c>
      <c r="F643" s="99" t="s">
        <v>4345</v>
      </c>
      <c r="G643" s="99" t="s">
        <v>437</v>
      </c>
      <c r="H643" s="99" t="s">
        <v>4346</v>
      </c>
      <c r="I643" s="101"/>
      <c r="J643" s="110"/>
      <c r="K643" s="66" t="str">
        <f>IFNA(VLOOKUP(D643,'EAN Codes'!A:C,2,False),"")</f>
        <v>8058772223907</v>
      </c>
      <c r="L643" s="101"/>
      <c r="M643" s="119"/>
      <c r="N643" s="99"/>
      <c r="O643" s="99"/>
      <c r="P643" s="99"/>
      <c r="Q643" s="99"/>
      <c r="R643" s="99"/>
      <c r="S643" s="104"/>
      <c r="T643" s="99"/>
      <c r="U643" s="93" t="b">
        <v>1</v>
      </c>
      <c r="V643" s="99" t="s">
        <v>4347</v>
      </c>
      <c r="Z643" t="b">
        <v>0</v>
      </c>
    </row>
    <row r="644" hidden="1">
      <c r="A644" s="99">
        <v>7.0</v>
      </c>
      <c r="B644" s="99"/>
      <c r="C644" s="99" t="s">
        <v>342</v>
      </c>
      <c r="D644" s="99" t="s">
        <v>4348</v>
      </c>
      <c r="E644" s="99" t="s">
        <v>346</v>
      </c>
      <c r="F644" s="99" t="s">
        <v>4349</v>
      </c>
      <c r="G644" s="99" t="s">
        <v>2445</v>
      </c>
      <c r="H644" s="99" t="s">
        <v>135</v>
      </c>
      <c r="I644" s="6"/>
      <c r="J644" s="84"/>
      <c r="K644" s="66" t="str">
        <f>IFNA(VLOOKUP(D644,'EAN Codes'!A:C,2,False),"")</f>
        <v>5907615815997</v>
      </c>
      <c r="L644" s="35"/>
      <c r="M644" s="83"/>
      <c r="N644" s="6"/>
      <c r="O644" s="6"/>
      <c r="P644" s="6"/>
      <c r="Q644" s="6"/>
      <c r="R644" s="6"/>
      <c r="S644" s="84"/>
      <c r="T644" s="6"/>
      <c r="U644" s="93" t="b">
        <v>1</v>
      </c>
      <c r="V644" s="6"/>
      <c r="W644" s="115"/>
      <c r="Z644" t="b">
        <v>0</v>
      </c>
    </row>
    <row r="645" hidden="1">
      <c r="A645" s="86">
        <v>256.0</v>
      </c>
      <c r="B645" s="99" t="s">
        <v>241</v>
      </c>
      <c r="C645" s="86" t="s">
        <v>342</v>
      </c>
      <c r="D645" s="99" t="s">
        <v>4350</v>
      </c>
      <c r="E645" s="86" t="s">
        <v>409</v>
      </c>
      <c r="F645" s="86" t="s">
        <v>4351</v>
      </c>
      <c r="G645" s="86" t="s">
        <v>1922</v>
      </c>
      <c r="H645" s="86" t="s">
        <v>189</v>
      </c>
      <c r="I645" s="86" t="s">
        <v>1634</v>
      </c>
      <c r="J645" s="88"/>
      <c r="K645" s="66" t="str">
        <f>IFNA(VLOOKUP(D645,'EAN Codes'!A:C,2,False),"")</f>
        <v>5907615816000</v>
      </c>
      <c r="L645" s="86" t="s">
        <v>269</v>
      </c>
      <c r="M645" s="83"/>
      <c r="N645" s="6"/>
      <c r="O645" s="6"/>
      <c r="P645" s="6"/>
      <c r="Q645" s="6"/>
      <c r="R645" s="6"/>
      <c r="S645" s="84"/>
      <c r="T645" s="6"/>
      <c r="U645" s="93" t="b">
        <v>1</v>
      </c>
      <c r="V645" s="6" t="s">
        <v>4352</v>
      </c>
      <c r="Z645" t="b">
        <v>0</v>
      </c>
    </row>
    <row r="646" hidden="1">
      <c r="A646" s="99">
        <v>874.0</v>
      </c>
      <c r="B646" s="99" t="s">
        <v>241</v>
      </c>
      <c r="C646" s="99" t="s">
        <v>760</v>
      </c>
      <c r="D646" s="99" t="s">
        <v>4353</v>
      </c>
      <c r="E646" s="99" t="s">
        <v>409</v>
      </c>
      <c r="F646" s="99" t="s">
        <v>4354</v>
      </c>
      <c r="G646" s="99" t="s">
        <v>1013</v>
      </c>
      <c r="H646" s="99" t="s">
        <v>189</v>
      </c>
      <c r="I646" s="99" t="s">
        <v>1328</v>
      </c>
      <c r="J646" s="104"/>
      <c r="K646" s="66" t="str">
        <f>IFNA(VLOOKUP(D646,'EAN Codes'!A:C,2,False),"")</f>
        <v>5060128533502</v>
      </c>
      <c r="L646" s="101"/>
      <c r="M646" s="119"/>
      <c r="N646" s="99"/>
      <c r="O646" s="99"/>
      <c r="P646" s="99"/>
      <c r="Q646" s="99"/>
      <c r="R646" s="99"/>
      <c r="S646" s="104"/>
      <c r="T646" s="99"/>
      <c r="U646" s="93" t="b">
        <v>1</v>
      </c>
      <c r="V646" s="99" t="s">
        <v>4355</v>
      </c>
      <c r="Z646" t="b">
        <v>0</v>
      </c>
    </row>
    <row r="647" hidden="1">
      <c r="A647" s="99">
        <v>946.0</v>
      </c>
      <c r="B647" s="99" t="s">
        <v>241</v>
      </c>
      <c r="C647" s="99" t="s">
        <v>1250</v>
      </c>
      <c r="D647" s="99" t="s">
        <v>4356</v>
      </c>
      <c r="E647" s="99" t="s">
        <v>409</v>
      </c>
      <c r="F647" s="99" t="s">
        <v>4354</v>
      </c>
      <c r="G647" s="99" t="s">
        <v>4357</v>
      </c>
      <c r="H647" s="99" t="s">
        <v>189</v>
      </c>
      <c r="I647" s="99" t="s">
        <v>819</v>
      </c>
      <c r="J647" s="104"/>
      <c r="K647" s="66" t="str">
        <f>IFNA(VLOOKUP(D647,'EAN Codes'!A:C,2,False),"")</f>
        <v>8054521992735</v>
      </c>
      <c r="L647" s="82"/>
      <c r="M647" s="119"/>
      <c r="N647" s="99"/>
      <c r="O647" s="99"/>
      <c r="P647" s="99"/>
      <c r="Q647" s="99"/>
      <c r="R647" s="99"/>
      <c r="S647" s="104"/>
      <c r="T647" s="99"/>
      <c r="U647" s="93" t="b">
        <v>1</v>
      </c>
      <c r="V647" s="99" t="s">
        <v>4358</v>
      </c>
      <c r="Z647" t="b">
        <v>0</v>
      </c>
    </row>
    <row r="648" hidden="1">
      <c r="A648" s="99">
        <v>13.0</v>
      </c>
      <c r="B648" s="6"/>
      <c r="C648" s="6" t="s">
        <v>731</v>
      </c>
      <c r="D648" s="99" t="s">
        <v>4359</v>
      </c>
      <c r="E648" s="99" t="s">
        <v>733</v>
      </c>
      <c r="F648" s="99" t="s">
        <v>4360</v>
      </c>
      <c r="G648" s="101"/>
      <c r="H648" s="6"/>
      <c r="I648" s="6"/>
      <c r="J648" s="84"/>
      <c r="K648" s="66" t="str">
        <f>IFNA(VLOOKUP(D648,'EAN Codes'!A:C,2,False),"")</f>
        <v/>
      </c>
      <c r="L648" s="6"/>
      <c r="M648" s="83"/>
      <c r="N648" s="6"/>
      <c r="O648" s="6"/>
      <c r="P648" s="6"/>
      <c r="Q648" s="6"/>
      <c r="R648" s="6"/>
      <c r="S648" s="84"/>
      <c r="T648" s="6"/>
      <c r="U648" s="93" t="b">
        <v>1</v>
      </c>
      <c r="V648" s="6" t="s">
        <v>4361</v>
      </c>
      <c r="Z648" t="b">
        <v>0</v>
      </c>
    </row>
    <row r="649" hidden="1">
      <c r="A649" s="99">
        <v>943.0</v>
      </c>
      <c r="B649" s="99" t="s">
        <v>241</v>
      </c>
      <c r="C649" s="99" t="s">
        <v>342</v>
      </c>
      <c r="D649" s="99" t="s">
        <v>4362</v>
      </c>
      <c r="E649" s="99" t="s">
        <v>346</v>
      </c>
      <c r="F649" s="99" t="s">
        <v>4363</v>
      </c>
      <c r="G649" s="99" t="s">
        <v>437</v>
      </c>
      <c r="H649" s="99" t="s">
        <v>189</v>
      </c>
      <c r="I649" s="99" t="s">
        <v>1863</v>
      </c>
      <c r="J649" s="104"/>
      <c r="K649" s="66" t="str">
        <f>IFNA(VLOOKUP(D649,'EAN Codes'!A:C,2,False),"")</f>
        <v>5907615816161</v>
      </c>
      <c r="L649" s="101"/>
      <c r="M649" s="119"/>
      <c r="N649" s="99"/>
      <c r="O649" s="99"/>
      <c r="P649" s="99"/>
      <c r="Q649" s="99"/>
      <c r="R649" s="99"/>
      <c r="S649" s="104"/>
      <c r="T649" s="99"/>
      <c r="U649" s="93" t="b">
        <v>1</v>
      </c>
      <c r="V649" s="99" t="s">
        <v>4364</v>
      </c>
      <c r="Z649" t="b">
        <v>0</v>
      </c>
    </row>
    <row r="650" hidden="1">
      <c r="A650" s="99">
        <v>367.0</v>
      </c>
      <c r="B650" s="99" t="s">
        <v>241</v>
      </c>
      <c r="C650" s="122" t="s">
        <v>4365</v>
      </c>
      <c r="D650" s="217" t="s">
        <v>4366</v>
      </c>
      <c r="E650" s="122" t="s">
        <v>4367</v>
      </c>
      <c r="F650" s="120" t="s">
        <v>4368</v>
      </c>
      <c r="G650" s="122" t="s">
        <v>870</v>
      </c>
      <c r="H650" s="99" t="s">
        <v>189</v>
      </c>
      <c r="I650" s="99" t="s">
        <v>819</v>
      </c>
      <c r="J650" s="104"/>
      <c r="K650" s="66" t="str">
        <f>IFNA(VLOOKUP(D650,'EAN Codes'!A:C,2,False),"")</f>
        <v/>
      </c>
      <c r="L650" s="99"/>
      <c r="M650" s="119"/>
      <c r="N650" s="99"/>
      <c r="O650" s="99"/>
      <c r="P650" s="99"/>
      <c r="Q650" s="99"/>
      <c r="R650" s="99"/>
      <c r="S650" s="104"/>
      <c r="T650" s="99"/>
      <c r="U650" s="93" t="b">
        <v>1</v>
      </c>
      <c r="V650" s="99" t="s">
        <v>4369</v>
      </c>
      <c r="Z650" t="b">
        <v>0</v>
      </c>
    </row>
    <row r="651" hidden="1">
      <c r="A651" s="99">
        <v>368.0</v>
      </c>
      <c r="B651" s="99" t="s">
        <v>241</v>
      </c>
      <c r="C651" s="122" t="s">
        <v>4365</v>
      </c>
      <c r="D651" s="217" t="s">
        <v>4366</v>
      </c>
      <c r="E651" s="122" t="s">
        <v>4367</v>
      </c>
      <c r="F651" s="120" t="s">
        <v>4368</v>
      </c>
      <c r="G651" s="120" t="s">
        <v>2238</v>
      </c>
      <c r="H651" s="99" t="s">
        <v>189</v>
      </c>
      <c r="I651" s="99" t="s">
        <v>819</v>
      </c>
      <c r="J651" s="104"/>
      <c r="K651" s="66" t="str">
        <f>IFNA(VLOOKUP(D651,'EAN Codes'!A:C,2,False),"")</f>
        <v/>
      </c>
      <c r="L651" s="35" t="s">
        <v>269</v>
      </c>
      <c r="M651" s="83"/>
      <c r="N651" s="6"/>
      <c r="O651" s="6"/>
      <c r="P651" s="6"/>
      <c r="Q651" s="6"/>
      <c r="R651" s="6"/>
      <c r="S651" s="84"/>
      <c r="T651" s="6"/>
      <c r="U651" s="93" t="b">
        <v>1</v>
      </c>
      <c r="V651" s="6" t="s">
        <v>4370</v>
      </c>
      <c r="Y651" s="6" t="s">
        <v>452</v>
      </c>
      <c r="Z651" t="b">
        <v>0</v>
      </c>
    </row>
    <row r="652" hidden="1">
      <c r="A652" s="99">
        <v>482.0</v>
      </c>
      <c r="B652" s="99" t="s">
        <v>241</v>
      </c>
      <c r="C652" s="99" t="s">
        <v>4371</v>
      </c>
      <c r="D652" s="101"/>
      <c r="E652" s="99" t="s">
        <v>346</v>
      </c>
      <c r="F652" s="99" t="s">
        <v>4372</v>
      </c>
      <c r="G652" s="101"/>
      <c r="H652" s="99" t="s">
        <v>189</v>
      </c>
      <c r="I652" s="99" t="s">
        <v>458</v>
      </c>
      <c r="J652" s="104"/>
      <c r="K652" s="66" t="str">
        <f>IFNA(VLOOKUP(D652,'EAN Codes'!A:C,2,False),"")</f>
        <v/>
      </c>
      <c r="L652" s="99" t="s">
        <v>92</v>
      </c>
      <c r="M652" s="119"/>
      <c r="N652" s="99"/>
      <c r="O652" s="99"/>
      <c r="P652" s="99"/>
      <c r="Q652" s="99"/>
      <c r="R652" s="99"/>
      <c r="S652" s="104"/>
      <c r="T652" s="99"/>
      <c r="U652" s="93" t="b">
        <v>1</v>
      </c>
      <c r="V652" s="99" t="s">
        <v>4373</v>
      </c>
      <c r="Z652" t="b">
        <v>0</v>
      </c>
    </row>
    <row r="653" hidden="1">
      <c r="A653" s="6">
        <v>972.0</v>
      </c>
      <c r="B653" s="6" t="s">
        <v>241</v>
      </c>
      <c r="C653" s="6" t="s">
        <v>342</v>
      </c>
      <c r="D653" s="127" t="s">
        <v>4255</v>
      </c>
      <c r="E653" s="6" t="s">
        <v>346</v>
      </c>
      <c r="F653" s="6" t="s">
        <v>4374</v>
      </c>
      <c r="G653" s="6" t="s">
        <v>2773</v>
      </c>
      <c r="H653" s="6" t="s">
        <v>189</v>
      </c>
      <c r="I653" s="6" t="s">
        <v>458</v>
      </c>
      <c r="J653" s="84"/>
      <c r="K653" s="66" t="str">
        <f>IFNA(VLOOKUP(D653,'EAN Codes'!A:C,2,False),"")</f>
        <v>5907615814747</v>
      </c>
      <c r="L653" s="82"/>
      <c r="M653" s="67"/>
      <c r="S653" s="60"/>
      <c r="U653" s="93" t="b">
        <v>1</v>
      </c>
      <c r="Z653" t="b">
        <v>0</v>
      </c>
    </row>
    <row r="654" hidden="1">
      <c r="A654" s="99">
        <v>529.0</v>
      </c>
      <c r="B654" s="99" t="s">
        <v>241</v>
      </c>
      <c r="C654" s="99" t="s">
        <v>342</v>
      </c>
      <c r="D654" s="99" t="s">
        <v>4375</v>
      </c>
      <c r="E654" s="99" t="s">
        <v>409</v>
      </c>
      <c r="F654" s="99" t="s">
        <v>4376</v>
      </c>
      <c r="G654" s="99" t="s">
        <v>437</v>
      </c>
      <c r="H654" s="99" t="s">
        <v>2158</v>
      </c>
      <c r="I654" s="101"/>
      <c r="J654" s="110"/>
      <c r="K654" s="66" t="str">
        <f>IFNA(VLOOKUP(D654,'EAN Codes'!A:C,2,False),"")</f>
        <v>5907615817014</v>
      </c>
      <c r="L654" s="99" t="s">
        <v>92</v>
      </c>
      <c r="M654" s="119"/>
      <c r="N654" s="99"/>
      <c r="O654" s="99"/>
      <c r="P654" s="99"/>
      <c r="Q654" s="99"/>
      <c r="R654" s="99"/>
      <c r="S654" s="104"/>
      <c r="T654" s="99"/>
      <c r="U654" s="93" t="b">
        <v>1</v>
      </c>
      <c r="V654" s="99" t="s">
        <v>4377</v>
      </c>
      <c r="W654" s="6" t="s">
        <v>4378</v>
      </c>
      <c r="X654" s="6" t="s">
        <v>4379</v>
      </c>
      <c r="Z654" t="b">
        <v>0</v>
      </c>
    </row>
    <row r="655" hidden="1">
      <c r="A655" s="160">
        <v>1010.0</v>
      </c>
      <c r="B655" s="160" t="s">
        <v>241</v>
      </c>
      <c r="C655" s="160" t="s">
        <v>760</v>
      </c>
      <c r="D655" s="272" t="s">
        <v>4380</v>
      </c>
      <c r="E655" s="160" t="s">
        <v>409</v>
      </c>
      <c r="F655" s="160" t="s">
        <v>4288</v>
      </c>
      <c r="G655" s="160" t="s">
        <v>1155</v>
      </c>
      <c r="H655" s="160" t="s">
        <v>189</v>
      </c>
      <c r="I655" s="160" t="s">
        <v>1863</v>
      </c>
      <c r="J655" s="161"/>
      <c r="K655" s="367" t="str">
        <f>IFNA(VLOOKUP(D655,'EAN Codes'!A:C,2,False),"")</f>
        <v/>
      </c>
      <c r="L655" s="261"/>
      <c r="M655" s="159"/>
      <c r="N655" s="160"/>
      <c r="O655" s="160"/>
      <c r="P655" s="160"/>
      <c r="Q655" s="160"/>
      <c r="R655" s="160"/>
      <c r="S655" s="161"/>
      <c r="T655" s="160"/>
      <c r="U655" s="93" t="b">
        <v>1</v>
      </c>
      <c r="V655" s="160" t="s">
        <v>4381</v>
      </c>
      <c r="W655" s="261"/>
      <c r="X655" s="261"/>
      <c r="Y655" s="261"/>
      <c r="Z655" s="261" t="b">
        <v>0</v>
      </c>
      <c r="AA655" s="261"/>
      <c r="AB655" s="261"/>
      <c r="AC655" s="261"/>
      <c r="AD655" s="261"/>
      <c r="AE655" s="261"/>
    </row>
    <row r="656" hidden="1">
      <c r="A656" s="101"/>
      <c r="B656" s="99" t="s">
        <v>241</v>
      </c>
      <c r="C656" s="99" t="s">
        <v>4382</v>
      </c>
      <c r="D656" s="100" t="s">
        <v>4383</v>
      </c>
      <c r="E656" s="99" t="s">
        <v>409</v>
      </c>
      <c r="F656" s="99" t="s">
        <v>4384</v>
      </c>
      <c r="G656" s="99" t="s">
        <v>4385</v>
      </c>
      <c r="H656" s="99" t="s">
        <v>4386</v>
      </c>
      <c r="I656" s="101"/>
      <c r="J656" s="110"/>
      <c r="K656" s="107" t="str">
        <f>IFNA(VLOOKUP(D656,'EAN Codes'!A:C,2,False),"")</f>
        <v/>
      </c>
      <c r="L656" s="101"/>
      <c r="M656" s="119"/>
      <c r="N656" s="99"/>
      <c r="O656" s="99"/>
      <c r="P656" s="99"/>
      <c r="Q656" s="99"/>
      <c r="R656" s="99"/>
      <c r="S656" s="104"/>
      <c r="T656" s="99"/>
      <c r="U656" s="93" t="b">
        <v>1</v>
      </c>
      <c r="V656" s="99" t="s">
        <v>4387</v>
      </c>
      <c r="W656" s="99" t="s">
        <v>4388</v>
      </c>
      <c r="X656" s="115"/>
      <c r="Y656" s="115"/>
      <c r="Z656" s="115" t="b">
        <v>0</v>
      </c>
      <c r="AA656" s="115"/>
      <c r="AB656" s="115"/>
      <c r="AC656" s="115"/>
      <c r="AD656" s="115"/>
      <c r="AE656" s="115"/>
    </row>
    <row r="657" hidden="1">
      <c r="A657" s="99">
        <v>691.0</v>
      </c>
      <c r="B657" s="99" t="s">
        <v>241</v>
      </c>
      <c r="C657" s="99" t="s">
        <v>342</v>
      </c>
      <c r="D657" s="99" t="s">
        <v>4389</v>
      </c>
      <c r="E657" s="99" t="s">
        <v>346</v>
      </c>
      <c r="F657" s="99" t="s">
        <v>4390</v>
      </c>
      <c r="G657" s="99" t="s">
        <v>793</v>
      </c>
      <c r="H657" s="99" t="s">
        <v>782</v>
      </c>
      <c r="I657" s="101"/>
      <c r="J657" s="110"/>
      <c r="K657" s="66" t="str">
        <f>IFNA(VLOOKUP(D657,'EAN Codes'!A:C,2,False),"")</f>
        <v>5907615817434</v>
      </c>
      <c r="L657" s="99" t="s">
        <v>92</v>
      </c>
      <c r="M657" s="119"/>
      <c r="N657" s="99"/>
      <c r="O657" s="99"/>
      <c r="P657" s="99"/>
      <c r="Q657" s="99"/>
      <c r="R657" s="99"/>
      <c r="S657" s="104"/>
      <c r="T657" s="99"/>
      <c r="U657" s="93" t="b">
        <v>1</v>
      </c>
      <c r="V657" s="99" t="s">
        <v>4391</v>
      </c>
      <c r="Z657" t="b">
        <v>0</v>
      </c>
    </row>
    <row r="658" hidden="1">
      <c r="A658" s="86">
        <v>744.0</v>
      </c>
      <c r="B658" s="99" t="s">
        <v>241</v>
      </c>
      <c r="C658" s="99" t="s">
        <v>342</v>
      </c>
      <c r="D658" s="99" t="s">
        <v>4389</v>
      </c>
      <c r="E658" s="99" t="s">
        <v>346</v>
      </c>
      <c r="F658" s="99" t="s">
        <v>4392</v>
      </c>
      <c r="G658" s="99" t="s">
        <v>4393</v>
      </c>
      <c r="H658" s="99" t="s">
        <v>189</v>
      </c>
      <c r="I658" s="99" t="s">
        <v>1863</v>
      </c>
      <c r="J658" s="104"/>
      <c r="K658" s="66" t="str">
        <f>IFNA(VLOOKUP(D658,'EAN Codes'!A:C,2,False),"")</f>
        <v>5907615817434</v>
      </c>
      <c r="L658" s="101"/>
      <c r="M658" s="119"/>
      <c r="N658" s="99"/>
      <c r="O658" s="99"/>
      <c r="P658" s="99"/>
      <c r="Q658" s="99"/>
      <c r="R658" s="99"/>
      <c r="S658" s="104"/>
      <c r="T658" s="99"/>
      <c r="U658" s="93" t="b">
        <v>1</v>
      </c>
      <c r="V658" s="99" t="s">
        <v>4394</v>
      </c>
      <c r="Z658" t="b">
        <v>0</v>
      </c>
    </row>
    <row r="659" hidden="1">
      <c r="A659" s="99">
        <v>222.0</v>
      </c>
      <c r="B659" s="99"/>
      <c r="C659" s="99" t="s">
        <v>342</v>
      </c>
      <c r="D659" s="99" t="s">
        <v>4395</v>
      </c>
      <c r="E659" s="99" t="s">
        <v>346</v>
      </c>
      <c r="F659" s="99" t="s">
        <v>4392</v>
      </c>
      <c r="G659" s="99" t="s">
        <v>1013</v>
      </c>
      <c r="H659" s="99" t="s">
        <v>1726</v>
      </c>
      <c r="I659" s="99" t="s">
        <v>1007</v>
      </c>
      <c r="J659" s="104"/>
      <c r="K659" s="66" t="str">
        <f>IFNA(VLOOKUP(D659,'EAN Codes'!A:C,2,False),"")</f>
        <v>5907615817359</v>
      </c>
      <c r="L659" s="99"/>
      <c r="M659" s="108"/>
      <c r="N659" s="101"/>
      <c r="O659" s="101"/>
      <c r="P659" s="101"/>
      <c r="Q659" s="101"/>
      <c r="R659" s="101"/>
      <c r="S659" s="110"/>
      <c r="T659" s="101"/>
      <c r="U659" s="93" t="b">
        <v>1</v>
      </c>
      <c r="V659" s="101"/>
      <c r="Z659" t="b">
        <v>0</v>
      </c>
    </row>
    <row r="660" hidden="1">
      <c r="A660" s="99">
        <v>991.0</v>
      </c>
      <c r="B660" s="99" t="s">
        <v>241</v>
      </c>
      <c r="C660" s="99" t="s">
        <v>2886</v>
      </c>
      <c r="D660" s="100" t="s">
        <v>4396</v>
      </c>
      <c r="E660" s="99" t="s">
        <v>346</v>
      </c>
      <c r="F660" s="99" t="s">
        <v>4300</v>
      </c>
      <c r="G660" s="86" t="s">
        <v>1057</v>
      </c>
      <c r="H660" s="99" t="s">
        <v>189</v>
      </c>
      <c r="I660" s="99" t="s">
        <v>570</v>
      </c>
      <c r="J660" s="104"/>
      <c r="K660" s="66" t="str">
        <f>IFNA(VLOOKUP(D660,'EAN Codes'!A:C,2,False),"")</f>
        <v>38417</v>
      </c>
      <c r="L660" s="82"/>
      <c r="M660" s="119"/>
      <c r="N660" s="99"/>
      <c r="O660" s="99"/>
      <c r="P660" s="99"/>
      <c r="Q660" s="99"/>
      <c r="R660" s="99"/>
      <c r="S660" s="104"/>
      <c r="T660" s="99"/>
      <c r="U660" s="93" t="b">
        <v>1</v>
      </c>
      <c r="V660" s="99" t="s">
        <v>4397</v>
      </c>
      <c r="Z660" t="b">
        <v>0</v>
      </c>
    </row>
    <row r="661" hidden="1">
      <c r="A661" s="91"/>
      <c r="B661" s="86" t="s">
        <v>241</v>
      </c>
      <c r="C661" s="86" t="s">
        <v>342</v>
      </c>
      <c r="D661" s="86" t="s">
        <v>4398</v>
      </c>
      <c r="E661" s="86" t="s">
        <v>373</v>
      </c>
      <c r="F661" s="86" t="s">
        <v>4399</v>
      </c>
      <c r="G661" s="91"/>
      <c r="H661" s="86" t="s">
        <v>542</v>
      </c>
      <c r="I661" s="91"/>
      <c r="J661" s="97"/>
      <c r="K661" s="66" t="str">
        <f>IFNA(VLOOKUP(D661,'EAN Codes'!A:C,2,False),"")</f>
        <v>5907615817441</v>
      </c>
      <c r="L661" s="91"/>
      <c r="M661" s="92"/>
      <c r="N661" s="86"/>
      <c r="O661" s="86"/>
      <c r="P661" s="86"/>
      <c r="Q661" s="86"/>
      <c r="R661" s="86"/>
      <c r="S661" s="88"/>
      <c r="T661" s="86"/>
      <c r="U661" s="93" t="b">
        <v>1</v>
      </c>
      <c r="V661" s="86" t="s">
        <v>4400</v>
      </c>
      <c r="Z661" t="b">
        <v>0</v>
      </c>
    </row>
    <row r="662" hidden="1">
      <c r="A662" s="99">
        <v>355.0</v>
      </c>
      <c r="B662" s="99" t="s">
        <v>241</v>
      </c>
      <c r="C662" s="99" t="s">
        <v>342</v>
      </c>
      <c r="D662" s="99" t="s">
        <v>4398</v>
      </c>
      <c r="E662" s="99" t="s">
        <v>409</v>
      </c>
      <c r="F662" s="99" t="s">
        <v>4401</v>
      </c>
      <c r="G662" s="99">
        <v>2016.0</v>
      </c>
      <c r="H662" s="99" t="s">
        <v>189</v>
      </c>
      <c r="I662" s="99" t="s">
        <v>2489</v>
      </c>
      <c r="J662" s="104"/>
      <c r="K662" s="66" t="str">
        <f>IFNA(VLOOKUP(D662,'EAN Codes'!A:C,2,False),"")</f>
        <v>5907615817441</v>
      </c>
      <c r="L662" s="6"/>
      <c r="M662" s="83"/>
      <c r="N662" s="6"/>
      <c r="O662" s="6"/>
      <c r="P662" s="6"/>
      <c r="Q662" s="6"/>
      <c r="R662" s="6"/>
      <c r="S662" s="84"/>
      <c r="T662" s="6"/>
      <c r="U662" s="93" t="b">
        <v>1</v>
      </c>
      <c r="V662" s="6" t="s">
        <v>4402</v>
      </c>
      <c r="Z662" t="b">
        <v>0</v>
      </c>
    </row>
    <row r="663" hidden="1">
      <c r="A663" s="86">
        <v>119.0</v>
      </c>
      <c r="B663" s="86" t="s">
        <v>241</v>
      </c>
      <c r="C663" s="86" t="s">
        <v>342</v>
      </c>
      <c r="D663" s="86" t="s">
        <v>4403</v>
      </c>
      <c r="E663" s="86" t="s">
        <v>346</v>
      </c>
      <c r="F663" s="86" t="s">
        <v>4404</v>
      </c>
      <c r="G663" s="86" t="s">
        <v>4405</v>
      </c>
      <c r="H663" s="86" t="s">
        <v>189</v>
      </c>
      <c r="I663" s="86" t="s">
        <v>585</v>
      </c>
      <c r="J663" s="88"/>
      <c r="K663" s="66" t="str">
        <f>IFNA(VLOOKUP(D663,'EAN Codes'!A:C,2,False),"")</f>
        <v>5907615817151</v>
      </c>
      <c r="L663" s="86"/>
      <c r="M663" s="92"/>
      <c r="N663" s="86"/>
      <c r="O663" s="86"/>
      <c r="P663" s="86"/>
      <c r="Q663" s="86"/>
      <c r="R663" s="86"/>
      <c r="S663" s="88"/>
      <c r="T663" s="86"/>
      <c r="U663" s="93" t="b">
        <v>1</v>
      </c>
      <c r="V663" s="86" t="s">
        <v>2431</v>
      </c>
      <c r="Z663" t="b">
        <v>0</v>
      </c>
    </row>
    <row r="664" hidden="1">
      <c r="A664" s="99">
        <v>686.0</v>
      </c>
      <c r="B664" s="99" t="s">
        <v>241</v>
      </c>
      <c r="C664" s="99" t="s">
        <v>342</v>
      </c>
      <c r="D664" s="99" t="s">
        <v>4403</v>
      </c>
      <c r="E664" s="99" t="s">
        <v>346</v>
      </c>
      <c r="F664" s="99" t="s">
        <v>4406</v>
      </c>
      <c r="G664" s="99" t="s">
        <v>2641</v>
      </c>
      <c r="H664" s="99" t="s">
        <v>189</v>
      </c>
      <c r="I664" s="99" t="s">
        <v>570</v>
      </c>
      <c r="J664" s="104"/>
      <c r="K664" s="66" t="str">
        <f>IFNA(VLOOKUP(D664,'EAN Codes'!A:C,2,False),"")</f>
        <v>5907615817151</v>
      </c>
      <c r="L664" s="101"/>
      <c r="M664" s="119"/>
      <c r="N664" s="99"/>
      <c r="O664" s="99"/>
      <c r="P664" s="99"/>
      <c r="Q664" s="99"/>
      <c r="R664" s="99"/>
      <c r="S664" s="104"/>
      <c r="T664" s="99"/>
      <c r="U664" s="93" t="b">
        <v>1</v>
      </c>
      <c r="V664" s="99" t="s">
        <v>4407</v>
      </c>
      <c r="Z664" t="b">
        <v>0</v>
      </c>
    </row>
    <row r="665" hidden="1">
      <c r="A665" s="6">
        <v>679.0</v>
      </c>
      <c r="B665" s="6" t="s">
        <v>4408</v>
      </c>
      <c r="C665" s="6" t="s">
        <v>408</v>
      </c>
      <c r="D665" s="6">
        <v>315144.0</v>
      </c>
      <c r="E665" s="6" t="s">
        <v>373</v>
      </c>
      <c r="F665" s="6" t="s">
        <v>4409</v>
      </c>
      <c r="G665" s="6" t="s">
        <v>1713</v>
      </c>
      <c r="H665" s="6" t="s">
        <v>189</v>
      </c>
      <c r="I665" s="6" t="s">
        <v>397</v>
      </c>
      <c r="J665" s="84"/>
      <c r="K665" s="66" t="str">
        <f>IFNA(VLOOKUP(D665,'EAN Codes'!A:C,2,False),"")</f>
        <v/>
      </c>
      <c r="L665" s="82"/>
      <c r="M665" s="67"/>
      <c r="S665" s="60"/>
      <c r="U665" s="93" t="b">
        <v>1</v>
      </c>
      <c r="Z665" t="b">
        <v>0</v>
      </c>
    </row>
    <row r="666" hidden="1">
      <c r="A666" s="86">
        <v>285.0</v>
      </c>
      <c r="B666" s="6" t="s">
        <v>241</v>
      </c>
      <c r="C666" s="86" t="s">
        <v>1250</v>
      </c>
      <c r="D666" s="86" t="s">
        <v>4410</v>
      </c>
      <c r="E666" s="86" t="s">
        <v>346</v>
      </c>
      <c r="F666" s="86" t="s">
        <v>4411</v>
      </c>
      <c r="G666" s="86" t="s">
        <v>4412</v>
      </c>
      <c r="H666" s="86" t="s">
        <v>189</v>
      </c>
      <c r="I666" s="86" t="s">
        <v>458</v>
      </c>
      <c r="J666" s="88"/>
      <c r="K666" s="66" t="str">
        <f>IFNA(VLOOKUP(D666,'EAN Codes'!A:C,2,False),"")</f>
        <v>8058772224416</v>
      </c>
      <c r="L666" s="99"/>
      <c r="M666" s="119"/>
      <c r="N666" s="99"/>
      <c r="O666" s="99"/>
      <c r="P666" s="99"/>
      <c r="Q666" s="99"/>
      <c r="R666" s="99"/>
      <c r="S666" s="104"/>
      <c r="T666" s="99"/>
      <c r="U666" s="93" t="b">
        <v>1</v>
      </c>
      <c r="V666" s="99" t="s">
        <v>4413</v>
      </c>
      <c r="Z666" t="b">
        <v>0</v>
      </c>
    </row>
    <row r="667" hidden="1">
      <c r="A667" s="99"/>
      <c r="B667" s="99" t="s">
        <v>241</v>
      </c>
      <c r="C667" s="99" t="s">
        <v>1813</v>
      </c>
      <c r="D667" s="99" t="s">
        <v>4414</v>
      </c>
      <c r="E667" s="99" t="s">
        <v>346</v>
      </c>
      <c r="F667" s="99" t="s">
        <v>4415</v>
      </c>
      <c r="G667" s="99" t="s">
        <v>4087</v>
      </c>
      <c r="H667" s="99" t="s">
        <v>4416</v>
      </c>
      <c r="I667" s="101"/>
      <c r="J667" s="110"/>
      <c r="K667" s="66" t="str">
        <f>IFNA(VLOOKUP(D667,'EAN Codes'!A:C,2,False),"")</f>
        <v/>
      </c>
      <c r="L667" s="101"/>
      <c r="M667" s="83"/>
      <c r="N667" s="6"/>
      <c r="O667" s="6"/>
      <c r="P667" s="6"/>
      <c r="Q667" s="6"/>
      <c r="R667" s="6"/>
      <c r="S667" s="84"/>
      <c r="T667" s="6"/>
      <c r="U667" s="93" t="b">
        <v>1</v>
      </c>
      <c r="V667" s="6" t="s">
        <v>4417</v>
      </c>
      <c r="Z667" t="b">
        <v>0</v>
      </c>
    </row>
    <row r="668" hidden="1">
      <c r="A668" s="99">
        <v>965.0</v>
      </c>
      <c r="B668" s="99" t="s">
        <v>241</v>
      </c>
      <c r="C668" s="99" t="s">
        <v>760</v>
      </c>
      <c r="D668" s="99" t="s">
        <v>4418</v>
      </c>
      <c r="E668" s="99" t="s">
        <v>346</v>
      </c>
      <c r="F668" s="99" t="s">
        <v>4419</v>
      </c>
      <c r="G668" s="101"/>
      <c r="H668" s="99" t="s">
        <v>189</v>
      </c>
      <c r="I668" s="99" t="s">
        <v>585</v>
      </c>
      <c r="J668" s="104"/>
      <c r="K668" s="66" t="str">
        <f>IFNA(VLOOKUP(D668,'EAN Codes'!A:C,2,False),"")</f>
        <v/>
      </c>
      <c r="L668" s="101"/>
      <c r="M668" s="119"/>
      <c r="N668" s="99"/>
      <c r="O668" s="99"/>
      <c r="P668" s="99"/>
      <c r="Q668" s="99"/>
      <c r="R668" s="99"/>
      <c r="S668" s="104"/>
      <c r="T668" s="99"/>
      <c r="U668" s="93" t="b">
        <v>1</v>
      </c>
      <c r="V668" s="99" t="s">
        <v>4420</v>
      </c>
      <c r="Z668" t="b">
        <v>0</v>
      </c>
    </row>
    <row r="669" hidden="1">
      <c r="A669" s="99">
        <v>336.0</v>
      </c>
      <c r="B669" s="99" t="s">
        <v>241</v>
      </c>
      <c r="C669" s="99" t="s">
        <v>1250</v>
      </c>
      <c r="D669" s="99" t="s">
        <v>4421</v>
      </c>
      <c r="E669" s="99" t="s">
        <v>346</v>
      </c>
      <c r="F669" s="99" t="s">
        <v>4422</v>
      </c>
      <c r="G669" s="99" t="s">
        <v>4087</v>
      </c>
      <c r="H669" s="99" t="s">
        <v>189</v>
      </c>
      <c r="I669" s="99" t="s">
        <v>458</v>
      </c>
      <c r="J669" s="104"/>
      <c r="K669" s="66" t="str">
        <f>IFNA(VLOOKUP(D669,'EAN Codes'!A:C,2,False),"")</f>
        <v>8058772224423</v>
      </c>
      <c r="L669" s="99" t="s">
        <v>269</v>
      </c>
      <c r="M669" s="119"/>
      <c r="N669" s="99"/>
      <c r="O669" s="99"/>
      <c r="P669" s="99"/>
      <c r="Q669" s="99"/>
      <c r="R669" s="99"/>
      <c r="S669" s="104"/>
      <c r="T669" s="99"/>
      <c r="U669" s="93" t="b">
        <v>1</v>
      </c>
      <c r="V669" s="99" t="s">
        <v>4423</v>
      </c>
      <c r="X669" s="6" t="s">
        <v>4424</v>
      </c>
      <c r="Z669" t="b">
        <v>0</v>
      </c>
    </row>
    <row r="670" hidden="1">
      <c r="A670" s="99">
        <v>331.0</v>
      </c>
      <c r="B670" s="99" t="s">
        <v>241</v>
      </c>
      <c r="C670" s="99" t="s">
        <v>342</v>
      </c>
      <c r="D670" s="99" t="s">
        <v>4425</v>
      </c>
      <c r="E670" s="99" t="s">
        <v>346</v>
      </c>
      <c r="F670" s="99" t="s">
        <v>4426</v>
      </c>
      <c r="G670" s="99" t="s">
        <v>2194</v>
      </c>
      <c r="H670" s="99" t="s">
        <v>189</v>
      </c>
      <c r="I670" s="99" t="s">
        <v>626</v>
      </c>
      <c r="J670" s="104"/>
      <c r="K670" s="66" t="str">
        <f>IFNA(VLOOKUP(D670,'EAN Codes'!A:C,2,False),"")</f>
        <v>5907615817298</v>
      </c>
      <c r="L670" s="99" t="s">
        <v>92</v>
      </c>
      <c r="M670" s="119"/>
      <c r="N670" s="99"/>
      <c r="O670" s="99"/>
      <c r="P670" s="99"/>
      <c r="Q670" s="99"/>
      <c r="R670" s="99"/>
      <c r="S670" s="104"/>
      <c r="T670" s="99"/>
      <c r="U670" s="93" t="b">
        <v>1</v>
      </c>
      <c r="V670" s="99" t="s">
        <v>4427</v>
      </c>
      <c r="Z670" t="b">
        <v>0</v>
      </c>
    </row>
    <row r="671" hidden="1">
      <c r="A671" s="99">
        <v>273.0</v>
      </c>
      <c r="B671" s="6" t="s">
        <v>241</v>
      </c>
      <c r="C671" s="99" t="s">
        <v>342</v>
      </c>
      <c r="D671" s="99" t="s">
        <v>4425</v>
      </c>
      <c r="E671" s="99" t="s">
        <v>346</v>
      </c>
      <c r="F671" s="99" t="s">
        <v>4426</v>
      </c>
      <c r="G671" s="99" t="s">
        <v>2194</v>
      </c>
      <c r="H671" s="99" t="s">
        <v>189</v>
      </c>
      <c r="J671" s="60"/>
      <c r="K671" s="66" t="str">
        <f>IFNA(VLOOKUP(D671,'EAN Codes'!A:C,2,False),"")</f>
        <v>5907615817298</v>
      </c>
      <c r="L671" s="35"/>
      <c r="M671" s="67"/>
      <c r="S671" s="60"/>
      <c r="U671" s="93" t="b">
        <v>1</v>
      </c>
      <c r="Z671" t="b">
        <v>0</v>
      </c>
    </row>
    <row r="672" hidden="1">
      <c r="A672" s="99">
        <v>660.0</v>
      </c>
      <c r="B672" s="99"/>
      <c r="C672" s="99" t="s">
        <v>342</v>
      </c>
      <c r="D672" s="99" t="s">
        <v>4425</v>
      </c>
      <c r="E672" s="99" t="s">
        <v>346</v>
      </c>
      <c r="F672" s="99" t="s">
        <v>4428</v>
      </c>
      <c r="G672" s="101"/>
      <c r="H672" s="99" t="s">
        <v>2308</v>
      </c>
      <c r="I672" s="99" t="s">
        <v>458</v>
      </c>
      <c r="J672" s="104"/>
      <c r="K672" s="66" t="str">
        <f>IFNA(VLOOKUP(D672,'EAN Codes'!A:C,2,False),"")</f>
        <v>5907615817298</v>
      </c>
      <c r="L672" s="99"/>
      <c r="M672" s="108"/>
      <c r="N672" s="101"/>
      <c r="O672" s="101"/>
      <c r="P672" s="101"/>
      <c r="Q672" s="101"/>
      <c r="R672" s="101"/>
      <c r="S672" s="110"/>
      <c r="T672" s="101"/>
      <c r="U672" s="93" t="b">
        <v>1</v>
      </c>
      <c r="V672" s="101"/>
      <c r="Z672" t="b">
        <v>0</v>
      </c>
    </row>
    <row r="673" hidden="1">
      <c r="A673" s="86">
        <v>66.0</v>
      </c>
      <c r="B673" s="86"/>
      <c r="C673" s="86" t="s">
        <v>408</v>
      </c>
      <c r="D673" s="86">
        <v>304151.0</v>
      </c>
      <c r="E673" s="91"/>
      <c r="F673" s="86" t="s">
        <v>4429</v>
      </c>
      <c r="G673" s="86" t="s">
        <v>569</v>
      </c>
      <c r="H673" s="86" t="s">
        <v>135</v>
      </c>
      <c r="I673" s="86" t="s">
        <v>530</v>
      </c>
      <c r="J673" s="88"/>
      <c r="K673" s="66" t="str">
        <f>IFNA(VLOOKUP(D673,'EAN Codes'!A:C,2,False),"")</f>
        <v/>
      </c>
      <c r="L673" s="86"/>
      <c r="M673" s="92"/>
      <c r="N673" s="86"/>
      <c r="O673" s="86"/>
      <c r="P673" s="86"/>
      <c r="Q673" s="86"/>
      <c r="R673" s="86"/>
      <c r="S673" s="88"/>
      <c r="T673" s="86"/>
      <c r="U673" s="93" t="b">
        <v>1</v>
      </c>
      <c r="V673" s="86" t="s">
        <v>4430</v>
      </c>
      <c r="W673" s="99" t="s">
        <v>4431</v>
      </c>
      <c r="Z673" t="b">
        <v>0</v>
      </c>
    </row>
    <row r="674" hidden="1">
      <c r="A674" s="99">
        <v>829.0</v>
      </c>
      <c r="B674" s="99" t="s">
        <v>241</v>
      </c>
      <c r="C674" s="99" t="s">
        <v>1217</v>
      </c>
      <c r="D674" s="99" t="s">
        <v>4432</v>
      </c>
      <c r="E674" s="99" t="s">
        <v>409</v>
      </c>
      <c r="F674" s="99" t="s">
        <v>4433</v>
      </c>
      <c r="G674" s="99" t="s">
        <v>2194</v>
      </c>
      <c r="H674" s="99" t="s">
        <v>189</v>
      </c>
      <c r="I674" s="99" t="s">
        <v>819</v>
      </c>
      <c r="J674" s="104"/>
      <c r="K674" s="66" t="str">
        <f>IFNA(VLOOKUP(D674,'EAN Codes'!A:C,2,False),"")</f>
        <v/>
      </c>
      <c r="L674" s="101"/>
      <c r="M674" s="67"/>
      <c r="S674" s="60"/>
      <c r="U674" s="93" t="b">
        <v>1</v>
      </c>
      <c r="Z674" t="b">
        <v>0</v>
      </c>
    </row>
    <row r="675" hidden="1">
      <c r="A675" s="99">
        <v>553.0</v>
      </c>
      <c r="B675" s="99" t="s">
        <v>493</v>
      </c>
      <c r="C675" s="99" t="s">
        <v>494</v>
      </c>
      <c r="D675" s="99">
        <v>101234.0</v>
      </c>
      <c r="E675" s="99"/>
      <c r="F675" s="282" t="s">
        <v>4434</v>
      </c>
      <c r="G675" s="101"/>
      <c r="H675" s="99" t="s">
        <v>189</v>
      </c>
      <c r="I675" s="99" t="s">
        <v>2489</v>
      </c>
      <c r="J675" s="104"/>
      <c r="K675" s="66" t="str">
        <f>IFNA(VLOOKUP(D675,'EAN Codes'!A:C,2,False),"")</f>
        <v/>
      </c>
      <c r="L675" s="99"/>
      <c r="M675" s="119"/>
      <c r="N675" s="99"/>
      <c r="O675" s="99"/>
      <c r="P675" s="99"/>
      <c r="Q675" s="99"/>
      <c r="R675" s="99"/>
      <c r="S675" s="104"/>
      <c r="T675" s="99"/>
      <c r="U675" s="93" t="b">
        <v>1</v>
      </c>
      <c r="V675" s="99" t="s">
        <v>4435</v>
      </c>
      <c r="Z675" t="b">
        <v>0</v>
      </c>
    </row>
    <row r="676" hidden="1">
      <c r="A676" s="99">
        <v>201.0</v>
      </c>
      <c r="B676" s="99"/>
      <c r="C676" s="99" t="s">
        <v>408</v>
      </c>
      <c r="D676" s="306">
        <v>988348.0</v>
      </c>
      <c r="E676" s="99" t="s">
        <v>373</v>
      </c>
      <c r="F676" s="99" t="s">
        <v>4436</v>
      </c>
      <c r="G676" s="99" t="s">
        <v>1922</v>
      </c>
      <c r="H676" s="99" t="s">
        <v>512</v>
      </c>
      <c r="I676" s="99" t="s">
        <v>1328</v>
      </c>
      <c r="J676" s="104"/>
      <c r="K676" s="66" t="str">
        <f>IFNA(VLOOKUP(D676,'EAN Codes'!A:C,2,False),"")</f>
        <v/>
      </c>
      <c r="L676" s="99"/>
      <c r="M676" s="119"/>
      <c r="N676" s="99"/>
      <c r="O676" s="99"/>
      <c r="P676" s="99"/>
      <c r="Q676" s="99"/>
      <c r="R676" s="99"/>
      <c r="S676" s="104"/>
      <c r="T676" s="99"/>
      <c r="U676" s="93" t="b">
        <v>1</v>
      </c>
      <c r="V676" s="99"/>
      <c r="Z676" s="115" t="b">
        <v>0</v>
      </c>
      <c r="AA676" s="115"/>
      <c r="AB676" s="115"/>
      <c r="AC676" s="115"/>
      <c r="AD676" s="115"/>
      <c r="AE676" s="115"/>
    </row>
    <row r="677" hidden="1">
      <c r="A677" s="99">
        <v>939.0</v>
      </c>
      <c r="B677" s="99" t="s">
        <v>241</v>
      </c>
      <c r="C677" s="99" t="s">
        <v>342</v>
      </c>
      <c r="D677" s="99" t="s">
        <v>4437</v>
      </c>
      <c r="E677" s="99" t="s">
        <v>346</v>
      </c>
      <c r="F677" s="99" t="s">
        <v>4438</v>
      </c>
      <c r="G677" s="99" t="s">
        <v>1185</v>
      </c>
      <c r="H677" s="99" t="s">
        <v>189</v>
      </c>
      <c r="I677" s="99" t="s">
        <v>418</v>
      </c>
      <c r="J677" s="104"/>
      <c r="K677" s="66" t="str">
        <f>IFNA(VLOOKUP(D677,'EAN Codes'!A:C,2,False),"")</f>
        <v>5907615816949</v>
      </c>
      <c r="L677" s="82"/>
      <c r="M677" s="119"/>
      <c r="N677" s="99"/>
      <c r="O677" s="99"/>
      <c r="P677" s="99"/>
      <c r="Q677" s="99"/>
      <c r="R677" s="99"/>
      <c r="S677" s="104"/>
      <c r="T677" s="99"/>
      <c r="U677" s="93" t="b">
        <v>1</v>
      </c>
      <c r="V677" s="99"/>
      <c r="Z677" t="b">
        <v>0</v>
      </c>
    </row>
    <row r="678" hidden="1">
      <c r="A678" s="106">
        <v>616.0</v>
      </c>
      <c r="B678" s="106" t="s">
        <v>241</v>
      </c>
      <c r="C678" s="106" t="s">
        <v>2886</v>
      </c>
      <c r="D678" s="106" t="s">
        <v>4439</v>
      </c>
      <c r="E678" s="106" t="s">
        <v>409</v>
      </c>
      <c r="F678" s="106" t="s">
        <v>4440</v>
      </c>
      <c r="G678" s="106" t="s">
        <v>1185</v>
      </c>
      <c r="H678" s="106" t="s">
        <v>189</v>
      </c>
      <c r="I678" s="115"/>
      <c r="J678" s="263"/>
      <c r="K678" s="66" t="str">
        <f>IFNA(VLOOKUP(D678,'EAN Codes'!A:C,2,False),"")</f>
        <v/>
      </c>
      <c r="L678" s="160" t="s">
        <v>269</v>
      </c>
      <c r="M678" s="276"/>
      <c r="N678" s="106"/>
      <c r="O678" s="106"/>
      <c r="P678" s="106"/>
      <c r="Q678" s="106"/>
      <c r="R678" s="106"/>
      <c r="S678" s="274"/>
      <c r="T678" s="106"/>
      <c r="U678" s="93" t="b">
        <v>1</v>
      </c>
      <c r="V678" s="106" t="s">
        <v>4441</v>
      </c>
      <c r="Z678" t="b">
        <v>0</v>
      </c>
    </row>
    <row r="679" hidden="1">
      <c r="A679" s="99">
        <v>1.0</v>
      </c>
      <c r="B679" s="99"/>
      <c r="C679" s="99" t="s">
        <v>1966</v>
      </c>
      <c r="D679" s="99" t="s">
        <v>4442</v>
      </c>
      <c r="E679" s="99" t="s">
        <v>346</v>
      </c>
      <c r="F679" s="99" t="s">
        <v>4443</v>
      </c>
      <c r="G679" s="99"/>
      <c r="H679" s="99" t="s">
        <v>512</v>
      </c>
      <c r="I679" s="99" t="s">
        <v>585</v>
      </c>
      <c r="J679" s="104"/>
      <c r="K679" s="66" t="str">
        <f>IFNA(VLOOKUP(D679,'EAN Codes'!A:C,2,False),"")</f>
        <v/>
      </c>
      <c r="L679" s="35"/>
      <c r="M679" s="119"/>
      <c r="N679" s="99"/>
      <c r="O679" s="99"/>
      <c r="P679" s="99"/>
      <c r="Q679" s="99"/>
      <c r="R679" s="99"/>
      <c r="S679" s="104"/>
      <c r="T679" s="99"/>
      <c r="U679" s="93" t="b">
        <v>1</v>
      </c>
      <c r="V679" s="99" t="s">
        <v>4430</v>
      </c>
      <c r="W679" s="368"/>
      <c r="Z679" t="b">
        <v>0</v>
      </c>
    </row>
    <row r="680" hidden="1">
      <c r="A680" s="99"/>
      <c r="B680" s="99"/>
      <c r="C680" s="99" t="s">
        <v>342</v>
      </c>
      <c r="D680" s="99" t="s">
        <v>4444</v>
      </c>
      <c r="E680" s="99" t="s">
        <v>409</v>
      </c>
      <c r="F680" s="99" t="s">
        <v>4445</v>
      </c>
      <c r="G680" s="99" t="s">
        <v>1222</v>
      </c>
      <c r="H680" s="99" t="s">
        <v>512</v>
      </c>
      <c r="I680" s="99" t="s">
        <v>1007</v>
      </c>
      <c r="J680" s="104"/>
      <c r="K680" s="66" t="str">
        <f>IFNA(VLOOKUP(D680,'EAN Codes'!A:C,2,False),"")</f>
        <v>5907615817427</v>
      </c>
      <c r="L680" s="35"/>
      <c r="M680" s="119"/>
      <c r="N680" s="99"/>
      <c r="O680" s="99"/>
      <c r="P680" s="99"/>
      <c r="Q680" s="99"/>
      <c r="R680" s="99"/>
      <c r="S680" s="104"/>
      <c r="T680" s="99"/>
      <c r="U680" s="93" t="b">
        <v>1</v>
      </c>
      <c r="V680" s="99"/>
      <c r="Z680" t="b">
        <v>0</v>
      </c>
    </row>
    <row r="681" hidden="1">
      <c r="A681" s="86">
        <v>247.0</v>
      </c>
      <c r="B681" s="86"/>
      <c r="C681" s="86" t="s">
        <v>1250</v>
      </c>
      <c r="D681" s="86" t="s">
        <v>4446</v>
      </c>
      <c r="E681" s="86" t="s">
        <v>409</v>
      </c>
      <c r="F681" s="86" t="s">
        <v>4447</v>
      </c>
      <c r="G681" s="86" t="s">
        <v>1222</v>
      </c>
      <c r="H681" s="86" t="s">
        <v>189</v>
      </c>
      <c r="I681" s="86" t="s">
        <v>680</v>
      </c>
      <c r="J681" s="88"/>
      <c r="K681" s="66" t="str">
        <f>IFNA(VLOOKUP(D681,'EAN Codes'!A:C,2,False),"")</f>
        <v>8054521993145</v>
      </c>
      <c r="L681" s="99"/>
      <c r="M681" s="119"/>
      <c r="N681" s="99"/>
      <c r="O681" s="99"/>
      <c r="P681" s="99"/>
      <c r="Q681" s="99"/>
      <c r="R681" s="99"/>
      <c r="S681" s="104"/>
      <c r="T681" s="99"/>
      <c r="U681" s="93" t="b">
        <v>1</v>
      </c>
      <c r="V681" s="99" t="s">
        <v>4448</v>
      </c>
      <c r="Z681" t="b">
        <v>0</v>
      </c>
    </row>
    <row r="682" hidden="1">
      <c r="A682" s="99">
        <v>351.0</v>
      </c>
      <c r="B682" s="99" t="s">
        <v>241</v>
      </c>
      <c r="C682" s="86" t="s">
        <v>342</v>
      </c>
      <c r="D682" s="99" t="s">
        <v>4449</v>
      </c>
      <c r="E682" s="99" t="s">
        <v>346</v>
      </c>
      <c r="F682" s="99" t="s">
        <v>4450</v>
      </c>
      <c r="G682" s="99"/>
      <c r="H682" s="99" t="s">
        <v>189</v>
      </c>
      <c r="I682" s="99" t="s">
        <v>626</v>
      </c>
      <c r="J682" s="104"/>
      <c r="K682" s="66" t="str">
        <f>IFNA(VLOOKUP(D682,'EAN Codes'!A:C,2,False),"")</f>
        <v>5907615817410</v>
      </c>
      <c r="L682" s="99" t="s">
        <v>92</v>
      </c>
      <c r="M682" s="83"/>
      <c r="N682" s="6"/>
      <c r="O682" s="6"/>
      <c r="P682" s="6"/>
      <c r="Q682" s="6"/>
      <c r="R682" s="6"/>
      <c r="S682" s="84"/>
      <c r="T682" s="6"/>
      <c r="U682" s="93" t="b">
        <v>1</v>
      </c>
      <c r="V682" s="6" t="s">
        <v>4451</v>
      </c>
      <c r="Z682" t="b">
        <v>0</v>
      </c>
    </row>
    <row r="683" hidden="1">
      <c r="A683" s="99">
        <v>337.0</v>
      </c>
      <c r="B683" s="99" t="s">
        <v>241</v>
      </c>
      <c r="C683" s="99" t="s">
        <v>1966</v>
      </c>
      <c r="D683" s="99" t="s">
        <v>4452</v>
      </c>
      <c r="E683" s="99" t="s">
        <v>409</v>
      </c>
      <c r="F683" s="99" t="s">
        <v>4453</v>
      </c>
      <c r="G683" s="99" t="s">
        <v>1222</v>
      </c>
      <c r="H683" s="99" t="s">
        <v>1222</v>
      </c>
      <c r="I683" s="99" t="s">
        <v>458</v>
      </c>
      <c r="J683" s="104"/>
      <c r="K683" s="66" t="str">
        <f>IFNA(VLOOKUP(D683,'EAN Codes'!A:C,2,False),"")</f>
        <v/>
      </c>
      <c r="L683" s="35"/>
      <c r="M683" s="67"/>
      <c r="S683" s="60"/>
      <c r="U683" s="93" t="b">
        <v>1</v>
      </c>
      <c r="Z683" t="b">
        <v>0</v>
      </c>
    </row>
    <row r="684" hidden="1">
      <c r="A684" s="99">
        <v>312.0</v>
      </c>
      <c r="B684" s="6" t="s">
        <v>241</v>
      </c>
      <c r="C684" s="99" t="s">
        <v>1966</v>
      </c>
      <c r="D684" s="99" t="s">
        <v>4452</v>
      </c>
      <c r="E684" s="99" t="s">
        <v>409</v>
      </c>
      <c r="F684" s="99" t="s">
        <v>4453</v>
      </c>
      <c r="G684" s="99" t="s">
        <v>1222</v>
      </c>
      <c r="H684" s="99" t="s">
        <v>189</v>
      </c>
      <c r="I684" s="99" t="s">
        <v>458</v>
      </c>
      <c r="J684" s="104"/>
      <c r="K684" s="66" t="str">
        <f>IFNA(VLOOKUP(D684,'EAN Codes'!A:C,2,False),"")</f>
        <v/>
      </c>
      <c r="L684" s="35"/>
      <c r="M684" s="119"/>
      <c r="N684" s="99"/>
      <c r="O684" s="99"/>
      <c r="P684" s="99"/>
      <c r="Q684" s="99"/>
      <c r="R684" s="99"/>
      <c r="S684" s="104"/>
      <c r="T684" s="99"/>
      <c r="U684" s="93" t="b">
        <v>1</v>
      </c>
      <c r="V684" s="99" t="s">
        <v>4454</v>
      </c>
      <c r="Z684" t="b">
        <v>0</v>
      </c>
    </row>
    <row r="685" hidden="1">
      <c r="A685" s="99">
        <v>17.0</v>
      </c>
      <c r="B685" s="86"/>
      <c r="C685" s="86" t="s">
        <v>1217</v>
      </c>
      <c r="D685" s="99" t="s">
        <v>4455</v>
      </c>
      <c r="E685" s="99" t="s">
        <v>346</v>
      </c>
      <c r="F685" s="99" t="s">
        <v>4456</v>
      </c>
      <c r="G685" s="99" t="s">
        <v>1222</v>
      </c>
      <c r="H685" s="99" t="s">
        <v>512</v>
      </c>
      <c r="I685" s="99" t="s">
        <v>680</v>
      </c>
      <c r="J685" s="104"/>
      <c r="K685" s="66" t="str">
        <f>IFNA(VLOOKUP(D685,'EAN Codes'!A:C,2,False),"")</f>
        <v/>
      </c>
      <c r="L685" s="35"/>
      <c r="M685" s="67"/>
      <c r="S685" s="60"/>
      <c r="U685" s="93" t="b">
        <v>1</v>
      </c>
      <c r="Z685" t="b">
        <v>0</v>
      </c>
    </row>
    <row r="686" hidden="1">
      <c r="A686" s="99">
        <v>702.0</v>
      </c>
      <c r="B686" s="99" t="s">
        <v>241</v>
      </c>
      <c r="C686" s="99" t="s">
        <v>1217</v>
      </c>
      <c r="D686" s="99" t="s">
        <v>4457</v>
      </c>
      <c r="E686" s="99" t="s">
        <v>1390</v>
      </c>
      <c r="F686" s="99" t="s">
        <v>4458</v>
      </c>
      <c r="G686" s="99" t="s">
        <v>1222</v>
      </c>
      <c r="H686" s="99" t="s">
        <v>189</v>
      </c>
      <c r="I686" s="99" t="s">
        <v>819</v>
      </c>
      <c r="J686" s="104"/>
      <c r="K686" s="66" t="str">
        <f>IFNA(VLOOKUP(D686,'EAN Codes'!A:C,2,False),"")</f>
        <v>46313</v>
      </c>
      <c r="L686" s="99" t="s">
        <v>269</v>
      </c>
      <c r="M686" s="119"/>
      <c r="N686" s="99"/>
      <c r="O686" s="99"/>
      <c r="P686" s="99"/>
      <c r="Q686" s="99"/>
      <c r="R686" s="99"/>
      <c r="S686" s="104"/>
      <c r="T686" s="99"/>
      <c r="U686" s="93" t="b">
        <v>1</v>
      </c>
      <c r="V686" s="99" t="s">
        <v>4459</v>
      </c>
      <c r="Z686" t="b">
        <v>0</v>
      </c>
    </row>
    <row r="687" hidden="1">
      <c r="A687" s="99">
        <v>836.0</v>
      </c>
      <c r="B687" s="99" t="s">
        <v>241</v>
      </c>
      <c r="C687" s="99" t="s">
        <v>4460</v>
      </c>
      <c r="D687" s="99">
        <v>543100.0</v>
      </c>
      <c r="E687" s="99" t="s">
        <v>409</v>
      </c>
      <c r="F687" s="99" t="s">
        <v>4461</v>
      </c>
      <c r="G687" s="99" t="s">
        <v>1222</v>
      </c>
      <c r="H687" s="99" t="s">
        <v>189</v>
      </c>
      <c r="I687" s="282" t="s">
        <v>819</v>
      </c>
      <c r="J687" s="291"/>
      <c r="K687" s="66" t="str">
        <f>IFNA(VLOOKUP(D687,'EAN Codes'!A:C,2,False),"")</f>
        <v/>
      </c>
      <c r="L687" s="101"/>
      <c r="M687" s="119"/>
      <c r="N687" s="99"/>
      <c r="O687" s="99"/>
      <c r="P687" s="99"/>
      <c r="Q687" s="99"/>
      <c r="R687" s="99"/>
      <c r="S687" s="104"/>
      <c r="T687" s="99"/>
      <c r="U687" s="93" t="b">
        <v>1</v>
      </c>
      <c r="V687" s="99" t="s">
        <v>4462</v>
      </c>
      <c r="W687" s="101"/>
      <c r="Z687" s="91" t="b">
        <v>0</v>
      </c>
      <c r="AA687" s="91"/>
      <c r="AB687" s="91"/>
      <c r="AC687" s="91"/>
      <c r="AD687" s="91"/>
      <c r="AE687" s="91"/>
    </row>
    <row r="688" hidden="1">
      <c r="A688" s="99">
        <v>164.0</v>
      </c>
      <c r="B688" s="6"/>
      <c r="C688" s="6"/>
      <c r="D688" s="101"/>
      <c r="E688" s="99" t="s">
        <v>409</v>
      </c>
      <c r="F688" s="99" t="s">
        <v>4463</v>
      </c>
      <c r="G688" s="99" t="s">
        <v>1222</v>
      </c>
      <c r="H688" s="99" t="s">
        <v>512</v>
      </c>
      <c r="I688" s="101"/>
      <c r="J688" s="110"/>
      <c r="K688" s="66" t="str">
        <f>IFNA(VLOOKUP(D688,'EAN Codes'!A:C,2,False),"")</f>
        <v/>
      </c>
      <c r="L688" s="35"/>
      <c r="M688" s="108"/>
      <c r="N688" s="101"/>
      <c r="O688" s="101"/>
      <c r="P688" s="101"/>
      <c r="Q688" s="101"/>
      <c r="R688" s="101"/>
      <c r="S688" s="110"/>
      <c r="T688" s="101"/>
      <c r="U688" s="93" t="b">
        <v>1</v>
      </c>
      <c r="V688" s="101"/>
      <c r="W688" s="101"/>
      <c r="Z688" t="b">
        <v>0</v>
      </c>
    </row>
    <row r="689" hidden="1">
      <c r="A689" s="99">
        <v>249.0</v>
      </c>
      <c r="B689" s="99" t="s">
        <v>241</v>
      </c>
      <c r="C689" s="99" t="s">
        <v>342</v>
      </c>
      <c r="D689" s="99" t="s">
        <v>4464</v>
      </c>
      <c r="E689" s="99" t="s">
        <v>346</v>
      </c>
      <c r="F689" s="99" t="s">
        <v>4465</v>
      </c>
      <c r="G689" s="99" t="s">
        <v>3960</v>
      </c>
      <c r="H689" s="99" t="s">
        <v>189</v>
      </c>
      <c r="I689" s="99" t="s">
        <v>626</v>
      </c>
      <c r="J689" s="104"/>
      <c r="K689" s="66" t="str">
        <f>IFNA(VLOOKUP(D689,'EAN Codes'!A:C,2,False),"")</f>
        <v>5907615817274</v>
      </c>
      <c r="L689" s="99"/>
      <c r="M689" s="67"/>
      <c r="S689" s="60"/>
      <c r="U689" s="93" t="b">
        <v>1</v>
      </c>
      <c r="Z689" t="b">
        <v>0</v>
      </c>
    </row>
    <row r="690" hidden="1">
      <c r="A690" s="99" t="s">
        <v>4466</v>
      </c>
      <c r="B690" s="99"/>
      <c r="C690" s="99" t="s">
        <v>4467</v>
      </c>
      <c r="D690" s="101"/>
      <c r="E690" s="99" t="s">
        <v>409</v>
      </c>
      <c r="F690" s="99" t="s">
        <v>4468</v>
      </c>
      <c r="G690" s="99" t="s">
        <v>2346</v>
      </c>
      <c r="H690" s="99" t="s">
        <v>2308</v>
      </c>
      <c r="I690" s="99" t="s">
        <v>680</v>
      </c>
      <c r="J690" s="104"/>
      <c r="K690" s="66" t="str">
        <f>IFNA(VLOOKUP(D690,'EAN Codes'!A:C,2,False),"")</f>
        <v/>
      </c>
      <c r="L690" s="35"/>
      <c r="M690" s="119"/>
      <c r="N690" s="99"/>
      <c r="O690" s="99"/>
      <c r="P690" s="99"/>
      <c r="Q690" s="99"/>
      <c r="R690" s="99"/>
      <c r="S690" s="104"/>
      <c r="T690" s="99"/>
      <c r="U690" s="93" t="b">
        <v>1</v>
      </c>
      <c r="V690" s="99" t="s">
        <v>4469</v>
      </c>
      <c r="Z690" t="b">
        <v>0</v>
      </c>
    </row>
    <row r="691" hidden="1">
      <c r="A691" s="99">
        <v>135.0</v>
      </c>
      <c r="B691" s="99"/>
      <c r="C691" s="99" t="s">
        <v>3751</v>
      </c>
      <c r="D691" s="99">
        <v>543100.0</v>
      </c>
      <c r="E691" s="99" t="s">
        <v>373</v>
      </c>
      <c r="F691" s="99" t="s">
        <v>4470</v>
      </c>
      <c r="G691" s="99" t="s">
        <v>375</v>
      </c>
      <c r="H691" s="99" t="s">
        <v>512</v>
      </c>
      <c r="I691" s="99" t="s">
        <v>680</v>
      </c>
      <c r="J691" s="104"/>
      <c r="K691" s="66" t="str">
        <f>IFNA(VLOOKUP(D691,'EAN Codes'!A:C,2,False),"")</f>
        <v/>
      </c>
      <c r="L691" s="35"/>
      <c r="M691" s="67"/>
      <c r="S691" s="60"/>
      <c r="U691" s="93" t="b">
        <v>1</v>
      </c>
      <c r="X691" s="101"/>
      <c r="Y691" s="101"/>
      <c r="Z691" t="b">
        <v>0</v>
      </c>
    </row>
    <row r="692" hidden="1">
      <c r="A692" s="86">
        <v>236.0</v>
      </c>
      <c r="B692" s="86"/>
      <c r="C692" s="86" t="s">
        <v>1966</v>
      </c>
      <c r="D692" s="86" t="s">
        <v>4452</v>
      </c>
      <c r="E692" s="86" t="s">
        <v>409</v>
      </c>
      <c r="F692" s="86" t="s">
        <v>4471</v>
      </c>
      <c r="G692" s="86" t="s">
        <v>1222</v>
      </c>
      <c r="H692" s="86" t="s">
        <v>512</v>
      </c>
      <c r="I692" s="86" t="s">
        <v>680</v>
      </c>
      <c r="J692" s="88"/>
      <c r="K692" s="66" t="str">
        <f>IFNA(VLOOKUP(D692,'EAN Codes'!A:C,2,False),"")</f>
        <v/>
      </c>
      <c r="L692" s="35"/>
      <c r="M692" s="83"/>
      <c r="N692" s="6"/>
      <c r="O692" s="6"/>
      <c r="P692" s="6"/>
      <c r="Q692" s="6"/>
      <c r="R692" s="6"/>
      <c r="S692" s="84"/>
      <c r="T692" s="6"/>
      <c r="U692" s="93" t="b">
        <v>1</v>
      </c>
      <c r="V692" s="6"/>
      <c r="Z692" t="b">
        <v>0</v>
      </c>
    </row>
    <row r="693" hidden="1">
      <c r="A693" s="86">
        <v>237.0</v>
      </c>
      <c r="B693" s="86"/>
      <c r="C693" s="86" t="s">
        <v>1966</v>
      </c>
      <c r="D693" s="91"/>
      <c r="E693" s="86" t="s">
        <v>409</v>
      </c>
      <c r="F693" s="86" t="s">
        <v>4471</v>
      </c>
      <c r="G693" s="86" t="s">
        <v>1222</v>
      </c>
      <c r="H693" s="86" t="s">
        <v>512</v>
      </c>
      <c r="I693" s="86" t="s">
        <v>680</v>
      </c>
      <c r="J693" s="88"/>
      <c r="K693" s="66" t="str">
        <f>IFNA(VLOOKUP(D693,'EAN Codes'!A:C,2,False),"")</f>
        <v/>
      </c>
      <c r="L693" s="35"/>
      <c r="M693" s="83"/>
      <c r="N693" s="6"/>
      <c r="O693" s="6"/>
      <c r="P693" s="6"/>
      <c r="Q693" s="6"/>
      <c r="R693" s="6"/>
      <c r="S693" s="84"/>
      <c r="T693" s="6"/>
      <c r="U693" s="93" t="b">
        <v>1</v>
      </c>
      <c r="V693" s="6"/>
      <c r="Z693" t="b">
        <v>0</v>
      </c>
    </row>
    <row r="694" hidden="1">
      <c r="A694" s="373">
        <v>1041.0</v>
      </c>
      <c r="B694" s="373" t="s">
        <v>241</v>
      </c>
      <c r="C694" s="373" t="s">
        <v>4382</v>
      </c>
      <c r="D694" s="374" t="s">
        <v>4482</v>
      </c>
      <c r="E694" s="373" t="s">
        <v>409</v>
      </c>
      <c r="F694" s="373" t="s">
        <v>4486</v>
      </c>
      <c r="G694" s="373"/>
      <c r="H694" s="373" t="s">
        <v>581</v>
      </c>
      <c r="I694" s="376"/>
      <c r="J694" s="377"/>
      <c r="K694" s="378"/>
      <c r="L694" s="376"/>
      <c r="M694" s="380"/>
      <c r="N694" s="373"/>
      <c r="O694" s="373"/>
      <c r="P694" s="373"/>
      <c r="Q694" s="373"/>
      <c r="R694" s="373"/>
      <c r="S694" s="382"/>
      <c r="T694" s="373"/>
      <c r="U694" s="93" t="b">
        <v>1</v>
      </c>
      <c r="V694" s="373" t="s">
        <v>4495</v>
      </c>
      <c r="W694" s="384"/>
      <c r="X694" s="191" t="s">
        <v>4507</v>
      </c>
      <c r="Y694" s="124"/>
      <c r="Z694" s="124" t="b">
        <v>0</v>
      </c>
      <c r="AA694" s="124"/>
      <c r="AB694" s="124"/>
      <c r="AC694" s="124"/>
      <c r="AD694" s="124"/>
      <c r="AE694" s="124"/>
    </row>
    <row r="695" hidden="1">
      <c r="A695" s="99">
        <v>9.0</v>
      </c>
      <c r="B695" s="6"/>
      <c r="C695" s="6" t="s">
        <v>731</v>
      </c>
      <c r="D695" s="99" t="s">
        <v>4515</v>
      </c>
      <c r="E695" s="99" t="s">
        <v>733</v>
      </c>
      <c r="F695" s="99" t="s">
        <v>4517</v>
      </c>
      <c r="G695" s="101"/>
      <c r="H695" s="101"/>
      <c r="I695" s="101"/>
      <c r="J695" s="110"/>
      <c r="K695" s="66" t="str">
        <f>IFNA(VLOOKUP(D695,'EAN Codes'!A:C,2,False),"")</f>
        <v/>
      </c>
      <c r="L695" s="99"/>
      <c r="M695" s="108"/>
      <c r="N695" s="101"/>
      <c r="O695" s="101"/>
      <c r="P695" s="101"/>
      <c r="Q695" s="101"/>
      <c r="R695" s="101"/>
      <c r="S695" s="110"/>
      <c r="T695" s="101"/>
      <c r="U695" s="93" t="b">
        <v>1</v>
      </c>
      <c r="V695" s="101"/>
      <c r="Z695" t="b">
        <v>0</v>
      </c>
    </row>
    <row r="696" hidden="1">
      <c r="A696" s="86">
        <v>626.0</v>
      </c>
      <c r="B696" s="86" t="s">
        <v>241</v>
      </c>
      <c r="C696" s="86" t="s">
        <v>1813</v>
      </c>
      <c r="D696" s="86" t="s">
        <v>4531</v>
      </c>
      <c r="E696" s="86" t="s">
        <v>346</v>
      </c>
      <c r="F696" s="86" t="s">
        <v>4536</v>
      </c>
      <c r="G696" s="86" t="s">
        <v>1028</v>
      </c>
      <c r="H696" s="86" t="s">
        <v>189</v>
      </c>
      <c r="I696" s="86" t="s">
        <v>585</v>
      </c>
      <c r="J696" s="88"/>
      <c r="K696" s="66" t="str">
        <f>IFNA(VLOOKUP(D696,'EAN Codes'!A:C,2,False),"")</f>
        <v/>
      </c>
      <c r="L696" s="86" t="s">
        <v>269</v>
      </c>
      <c r="M696" s="92"/>
      <c r="N696" s="86"/>
      <c r="O696" s="86"/>
      <c r="P696" s="86"/>
      <c r="Q696" s="86"/>
      <c r="R696" s="86"/>
      <c r="S696" s="88"/>
      <c r="T696" s="86"/>
      <c r="U696" s="93" t="b">
        <v>1</v>
      </c>
      <c r="V696" s="86" t="s">
        <v>4548</v>
      </c>
      <c r="Z696" t="b">
        <v>0</v>
      </c>
    </row>
    <row r="697" hidden="1">
      <c r="A697" s="99">
        <v>825.0</v>
      </c>
      <c r="B697" s="99" t="s">
        <v>241</v>
      </c>
      <c r="C697" s="99" t="s">
        <v>342</v>
      </c>
      <c r="D697" s="99" t="s">
        <v>2663</v>
      </c>
      <c r="E697" s="86" t="s">
        <v>346</v>
      </c>
      <c r="F697" s="86" t="s">
        <v>4551</v>
      </c>
      <c r="G697" s="86" t="s">
        <v>1922</v>
      </c>
      <c r="H697" s="86" t="s">
        <v>189</v>
      </c>
      <c r="I697" s="99" t="s">
        <v>570</v>
      </c>
      <c r="J697" s="104"/>
      <c r="K697" s="66" t="str">
        <f>IFNA(VLOOKUP(D697,'EAN Codes'!A:C,2,False),"")</f>
        <v>5907615801983</v>
      </c>
      <c r="M697" s="227"/>
      <c r="N697" s="187"/>
      <c r="O697" s="187"/>
      <c r="P697" s="187"/>
      <c r="Q697" s="187"/>
      <c r="R697" s="187"/>
      <c r="S697" s="228"/>
      <c r="T697" s="187"/>
      <c r="U697" s="93" t="b">
        <v>1</v>
      </c>
      <c r="V697" s="187" t="s">
        <v>4560</v>
      </c>
      <c r="Z697" t="b">
        <v>0</v>
      </c>
    </row>
    <row r="698" hidden="1">
      <c r="A698" s="86">
        <v>509.0</v>
      </c>
      <c r="B698" s="86" t="s">
        <v>241</v>
      </c>
      <c r="C698" s="86" t="s">
        <v>342</v>
      </c>
      <c r="D698" s="86" t="s">
        <v>2663</v>
      </c>
      <c r="E698" s="86" t="s">
        <v>346</v>
      </c>
      <c r="F698" s="86" t="s">
        <v>4551</v>
      </c>
      <c r="G698" s="86" t="s">
        <v>1922</v>
      </c>
      <c r="H698" s="86" t="s">
        <v>189</v>
      </c>
      <c r="I698" s="86" t="s">
        <v>1634</v>
      </c>
      <c r="J698" s="88"/>
      <c r="K698" s="66" t="str">
        <f>IFNA(VLOOKUP(D698,'EAN Codes'!A:C,2,False),"")</f>
        <v>5907615801983</v>
      </c>
      <c r="L698" s="86" t="s">
        <v>269</v>
      </c>
      <c r="M698" s="92"/>
      <c r="N698" s="86"/>
      <c r="O698" s="86"/>
      <c r="P698" s="86"/>
      <c r="Q698" s="86"/>
      <c r="R698" s="86"/>
      <c r="S698" s="88"/>
      <c r="T698" s="86"/>
      <c r="U698" s="93" t="b">
        <v>1</v>
      </c>
      <c r="V698" s="86" t="s">
        <v>4570</v>
      </c>
      <c r="Z698" t="b">
        <v>0</v>
      </c>
    </row>
    <row r="699" hidden="1">
      <c r="A699" s="86">
        <v>253.0</v>
      </c>
      <c r="B699" s="6" t="s">
        <v>241</v>
      </c>
      <c r="C699" s="86" t="s">
        <v>408</v>
      </c>
      <c r="D699" s="86">
        <v>323102.0</v>
      </c>
      <c r="E699" s="86" t="s">
        <v>409</v>
      </c>
      <c r="F699" s="86" t="s">
        <v>4573</v>
      </c>
      <c r="G699" s="86" t="s">
        <v>1222</v>
      </c>
      <c r="H699" s="86" t="s">
        <v>189</v>
      </c>
      <c r="I699" s="86" t="s">
        <v>458</v>
      </c>
      <c r="J699" s="88"/>
      <c r="K699" s="66" t="str">
        <f>IFNA(VLOOKUP(D699,'EAN Codes'!A:C,2,False),"")</f>
        <v/>
      </c>
      <c r="L699" s="160"/>
      <c r="M699" s="159"/>
      <c r="N699" s="160"/>
      <c r="O699" s="160"/>
      <c r="P699" s="160"/>
      <c r="Q699" s="160"/>
      <c r="R699" s="160"/>
      <c r="S699" s="161"/>
      <c r="T699" s="160"/>
      <c r="U699" s="93" t="b">
        <v>1</v>
      </c>
      <c r="V699" s="160" t="s">
        <v>4583</v>
      </c>
      <c r="Z699" t="b">
        <v>0</v>
      </c>
    </row>
    <row r="700" hidden="1">
      <c r="A700" s="35"/>
      <c r="B700" s="99"/>
      <c r="C700" s="99" t="s">
        <v>3751</v>
      </c>
      <c r="D700" s="99"/>
      <c r="E700" s="99" t="s">
        <v>409</v>
      </c>
      <c r="F700" s="99" t="s">
        <v>4588</v>
      </c>
      <c r="G700" s="99">
        <v>2007.0</v>
      </c>
      <c r="H700" s="99" t="s">
        <v>512</v>
      </c>
      <c r="I700" s="82"/>
      <c r="J700" s="395"/>
      <c r="K700" s="66" t="str">
        <f>IFNA(VLOOKUP(D700,'EAN Codes'!A:C,2,False),"")</f>
        <v/>
      </c>
      <c r="L700" s="35"/>
      <c r="M700" s="396"/>
      <c r="N700" s="82"/>
      <c r="O700" s="82"/>
      <c r="P700" s="82"/>
      <c r="Q700" s="82"/>
      <c r="R700" s="82"/>
      <c r="S700" s="395"/>
      <c r="T700" s="82"/>
      <c r="U700" s="93" t="b">
        <v>1</v>
      </c>
      <c r="V700" s="82"/>
      <c r="W700" s="82"/>
      <c r="Z700" t="b">
        <v>0</v>
      </c>
    </row>
    <row r="701" hidden="1">
      <c r="A701" s="6">
        <v>214.0</v>
      </c>
      <c r="B701" s="6" t="s">
        <v>241</v>
      </c>
      <c r="C701" s="6" t="s">
        <v>4599</v>
      </c>
      <c r="D701" s="6" t="s">
        <v>4466</v>
      </c>
      <c r="E701" s="6" t="s">
        <v>373</v>
      </c>
      <c r="F701" s="6" t="s">
        <v>4601</v>
      </c>
      <c r="G701" s="6" t="s">
        <v>987</v>
      </c>
      <c r="H701" s="6" t="s">
        <v>1726</v>
      </c>
      <c r="I701" s="6" t="s">
        <v>458</v>
      </c>
      <c r="J701" s="84"/>
      <c r="K701" s="66" t="str">
        <f>IFNA(VLOOKUP(D701,'EAN Codes'!A:C,2,False),"")</f>
        <v/>
      </c>
      <c r="L701" s="35" t="s">
        <v>92</v>
      </c>
      <c r="M701" s="83"/>
      <c r="N701" s="6"/>
      <c r="O701" s="6"/>
      <c r="P701" s="6"/>
      <c r="Q701" s="6"/>
      <c r="R701" s="6"/>
      <c r="S701" s="84"/>
      <c r="T701" s="6"/>
      <c r="U701" s="93" t="b">
        <v>1</v>
      </c>
      <c r="V701" s="6" t="s">
        <v>4606</v>
      </c>
      <c r="Z701" t="b">
        <v>0</v>
      </c>
    </row>
    <row r="702" hidden="1">
      <c r="A702" s="6">
        <v>1001.0</v>
      </c>
      <c r="B702" s="6" t="s">
        <v>241</v>
      </c>
      <c r="C702" s="6" t="s">
        <v>408</v>
      </c>
      <c r="D702" s="127" t="s">
        <v>4607</v>
      </c>
      <c r="E702" s="6" t="s">
        <v>3450</v>
      </c>
      <c r="F702" s="6" t="s">
        <v>4608</v>
      </c>
      <c r="G702" s="6" t="s">
        <v>2418</v>
      </c>
      <c r="H702" s="6" t="s">
        <v>189</v>
      </c>
      <c r="I702" s="6" t="s">
        <v>680</v>
      </c>
      <c r="J702" s="84"/>
      <c r="K702" s="66" t="str">
        <f>IFNA(VLOOKUP(D702,'EAN Codes'!A:C,2,False),"")</f>
        <v>4250141181410</v>
      </c>
      <c r="L702" s="82"/>
      <c r="M702" s="67"/>
      <c r="S702" s="60"/>
      <c r="U702" s="93" t="b">
        <v>1</v>
      </c>
      <c r="Z702" t="b">
        <v>0</v>
      </c>
    </row>
    <row r="703" hidden="1">
      <c r="A703" s="99">
        <v>106.0</v>
      </c>
      <c r="B703" s="99"/>
      <c r="C703" s="99" t="s">
        <v>342</v>
      </c>
      <c r="D703" s="99" t="s">
        <v>4609</v>
      </c>
      <c r="E703" s="99" t="s">
        <v>373</v>
      </c>
      <c r="F703" s="99" t="s">
        <v>4610</v>
      </c>
      <c r="G703" s="397"/>
      <c r="H703" s="99" t="s">
        <v>512</v>
      </c>
      <c r="I703" s="99" t="s">
        <v>458</v>
      </c>
      <c r="J703" s="104"/>
      <c r="K703" s="66" t="str">
        <f>IFNA(VLOOKUP(D703,'EAN Codes'!A:C,2,False),"")</f>
        <v>5907615818868</v>
      </c>
      <c r="L703" s="35"/>
      <c r="M703" s="361"/>
      <c r="N703" s="362"/>
      <c r="O703" s="362"/>
      <c r="P703" s="362"/>
      <c r="Q703" s="362"/>
      <c r="R703" s="362"/>
      <c r="S703" s="363"/>
      <c r="T703" s="362"/>
      <c r="U703" s="93" t="b">
        <v>1</v>
      </c>
      <c r="V703" s="362"/>
      <c r="Z703" t="b">
        <v>0</v>
      </c>
    </row>
    <row r="704" hidden="1">
      <c r="A704" s="99">
        <v>191.0</v>
      </c>
      <c r="B704" s="99"/>
      <c r="C704" s="99" t="s">
        <v>342</v>
      </c>
      <c r="D704" s="99" t="s">
        <v>4611</v>
      </c>
      <c r="E704" s="99" t="s">
        <v>346</v>
      </c>
      <c r="F704" s="99" t="s">
        <v>4612</v>
      </c>
      <c r="G704" s="99" t="s">
        <v>569</v>
      </c>
      <c r="H704" s="99" t="s">
        <v>189</v>
      </c>
      <c r="I704" s="99" t="s">
        <v>626</v>
      </c>
      <c r="J704" s="104"/>
      <c r="K704" s="66" t="str">
        <f>IFNA(VLOOKUP(D704,'EAN Codes'!A:C,2,False),"")</f>
        <v>5907615818851</v>
      </c>
      <c r="L704" s="35"/>
      <c r="M704" s="67"/>
      <c r="S704" s="60"/>
      <c r="U704" s="93" t="b">
        <v>1</v>
      </c>
      <c r="Z704" t="b">
        <v>0</v>
      </c>
    </row>
    <row r="705" hidden="1">
      <c r="A705" s="99">
        <v>202.0</v>
      </c>
      <c r="B705" s="99"/>
      <c r="C705" s="99" t="s">
        <v>342</v>
      </c>
      <c r="D705" s="99" t="s">
        <v>4613</v>
      </c>
      <c r="E705" s="99" t="s">
        <v>346</v>
      </c>
      <c r="F705" s="99" t="s">
        <v>4614</v>
      </c>
      <c r="G705" s="99" t="s">
        <v>358</v>
      </c>
      <c r="H705" s="99" t="s">
        <v>2308</v>
      </c>
      <c r="I705" s="99" t="s">
        <v>626</v>
      </c>
      <c r="J705" s="104"/>
      <c r="K705" s="66" t="str">
        <f>IFNA(VLOOKUP(D705,'EAN Codes'!A:C,2,False),"")</f>
        <v>5907615818912</v>
      </c>
      <c r="L705" s="35"/>
      <c r="M705" s="67"/>
      <c r="S705" s="60"/>
      <c r="U705" s="93" t="b">
        <v>1</v>
      </c>
      <c r="Z705" t="b">
        <v>0</v>
      </c>
    </row>
    <row r="706" hidden="1">
      <c r="A706" s="99">
        <v>435.0</v>
      </c>
      <c r="B706" s="99" t="s">
        <v>241</v>
      </c>
      <c r="C706" s="99" t="s">
        <v>342</v>
      </c>
      <c r="D706" s="99" t="s">
        <v>4613</v>
      </c>
      <c r="E706" s="99" t="s">
        <v>346</v>
      </c>
      <c r="F706" s="99" t="s">
        <v>4615</v>
      </c>
      <c r="G706" s="99" t="s">
        <v>4616</v>
      </c>
      <c r="H706" s="99" t="s">
        <v>189</v>
      </c>
      <c r="I706" s="99" t="s">
        <v>819</v>
      </c>
      <c r="J706" s="104"/>
      <c r="K706" s="66" t="str">
        <f>IFNA(VLOOKUP(D706,'EAN Codes'!A:C,2,False),"")</f>
        <v>5907615818912</v>
      </c>
      <c r="L706" s="99"/>
      <c r="M706" s="119"/>
      <c r="N706" s="99"/>
      <c r="O706" s="99"/>
      <c r="P706" s="99"/>
      <c r="Q706" s="99"/>
      <c r="R706" s="99"/>
      <c r="S706" s="104"/>
      <c r="T706" s="99"/>
      <c r="U706" s="93" t="b">
        <v>1</v>
      </c>
      <c r="V706" s="99" t="s">
        <v>4617</v>
      </c>
      <c r="Z706" t="b">
        <v>0</v>
      </c>
    </row>
    <row r="707" hidden="1">
      <c r="A707" s="86">
        <v>694.0</v>
      </c>
      <c r="B707" s="86" t="s">
        <v>241</v>
      </c>
      <c r="C707" s="86" t="s">
        <v>342</v>
      </c>
      <c r="D707" s="86" t="s">
        <v>4618</v>
      </c>
      <c r="E707" s="86" t="s">
        <v>346</v>
      </c>
      <c r="F707" s="86" t="s">
        <v>4619</v>
      </c>
      <c r="G707" s="86" t="s">
        <v>1155</v>
      </c>
      <c r="H707" s="86" t="s">
        <v>189</v>
      </c>
      <c r="I707" s="86" t="s">
        <v>418</v>
      </c>
      <c r="J707" s="88"/>
      <c r="K707" s="66" t="str">
        <f>IFNA(VLOOKUP(D707,'EAN Codes'!A:C,2,False),"")</f>
        <v>5907615818981</v>
      </c>
      <c r="L707" s="86" t="s">
        <v>269</v>
      </c>
      <c r="M707" s="92"/>
      <c r="N707" s="86"/>
      <c r="O707" s="86"/>
      <c r="P707" s="86"/>
      <c r="Q707" s="86"/>
      <c r="R707" s="86"/>
      <c r="S707" s="88"/>
      <c r="T707" s="86"/>
      <c r="U707" s="93" t="b">
        <v>1</v>
      </c>
      <c r="V707" s="86" t="s">
        <v>4620</v>
      </c>
      <c r="Z707" t="b">
        <v>0</v>
      </c>
    </row>
    <row r="708" hidden="1">
      <c r="A708" s="86">
        <v>925.0</v>
      </c>
      <c r="B708" s="99" t="s">
        <v>241</v>
      </c>
      <c r="C708" s="99" t="s">
        <v>342</v>
      </c>
      <c r="D708" s="398" t="s">
        <v>4618</v>
      </c>
      <c r="E708" s="99" t="s">
        <v>346</v>
      </c>
      <c r="F708" s="86" t="s">
        <v>4621</v>
      </c>
      <c r="G708" s="86" t="s">
        <v>1155</v>
      </c>
      <c r="H708" s="99" t="s">
        <v>189</v>
      </c>
      <c r="I708" s="86" t="s">
        <v>458</v>
      </c>
      <c r="J708" s="88"/>
      <c r="K708" s="66" t="str">
        <f>IFNA(VLOOKUP(D708,'EAN Codes'!A:C,2,False),"")</f>
        <v>5907615818981</v>
      </c>
      <c r="L708" s="261"/>
      <c r="M708" s="276"/>
      <c r="N708" s="106"/>
      <c r="O708" s="106"/>
      <c r="P708" s="106"/>
      <c r="Q708" s="106"/>
      <c r="R708" s="106"/>
      <c r="S708" s="274"/>
      <c r="T708" s="106"/>
      <c r="U708" s="93" t="b">
        <v>1</v>
      </c>
      <c r="V708" s="106" t="s">
        <v>4622</v>
      </c>
      <c r="W708" s="115"/>
      <c r="X708" s="115"/>
      <c r="Y708" s="115"/>
      <c r="Z708" t="b">
        <v>0</v>
      </c>
    </row>
    <row r="709" hidden="1">
      <c r="A709" s="99">
        <v>954.0</v>
      </c>
      <c r="B709" s="99" t="s">
        <v>241</v>
      </c>
      <c r="C709" s="99" t="s">
        <v>760</v>
      </c>
      <c r="D709" s="99" t="s">
        <v>4623</v>
      </c>
      <c r="E709" s="99" t="s">
        <v>346</v>
      </c>
      <c r="F709" s="99" t="s">
        <v>4624</v>
      </c>
      <c r="G709" s="99" t="s">
        <v>751</v>
      </c>
      <c r="H709" s="99" t="s">
        <v>189</v>
      </c>
      <c r="I709" s="99" t="s">
        <v>1328</v>
      </c>
      <c r="J709" s="104"/>
      <c r="K709" s="66" t="str">
        <f>IFNA(VLOOKUP(D709,'EAN Codes'!A:C,2,False),"")</f>
        <v>5060128537173</v>
      </c>
      <c r="L709" s="101"/>
      <c r="M709" s="119"/>
      <c r="N709" s="99"/>
      <c r="O709" s="99"/>
      <c r="P709" s="99"/>
      <c r="Q709" s="99"/>
      <c r="R709" s="99"/>
      <c r="S709" s="104"/>
      <c r="T709" s="99"/>
      <c r="U709" s="93" t="b">
        <v>1</v>
      </c>
      <c r="V709" s="99" t="s">
        <v>4625</v>
      </c>
      <c r="Z709" t="b">
        <v>0</v>
      </c>
    </row>
    <row r="710" hidden="1">
      <c r="A710" s="99">
        <v>111.0</v>
      </c>
      <c r="B710" s="99"/>
      <c r="C710" s="99" t="s">
        <v>342</v>
      </c>
      <c r="D710" s="99" t="s">
        <v>4626</v>
      </c>
      <c r="E710" s="99" t="s">
        <v>346</v>
      </c>
      <c r="F710" s="99" t="s">
        <v>4627</v>
      </c>
      <c r="G710" s="99" t="s">
        <v>751</v>
      </c>
      <c r="H710" s="99" t="s">
        <v>512</v>
      </c>
      <c r="I710" s="99" t="s">
        <v>530</v>
      </c>
      <c r="J710" s="104"/>
      <c r="K710" s="66" t="str">
        <f>IFNA(VLOOKUP(D710,'EAN Codes'!A:C,2,False),"")</f>
        <v>5907615819377</v>
      </c>
      <c r="L710" s="35"/>
      <c r="M710" s="67"/>
      <c r="S710" s="60"/>
      <c r="U710" s="93" t="b">
        <v>1</v>
      </c>
      <c r="Z710" t="b">
        <v>0</v>
      </c>
    </row>
    <row r="711" hidden="1">
      <c r="A711" s="99">
        <v>176.0</v>
      </c>
      <c r="B711" s="99" t="s">
        <v>241</v>
      </c>
      <c r="C711" s="99" t="s">
        <v>342</v>
      </c>
      <c r="D711" s="99" t="s">
        <v>4626</v>
      </c>
      <c r="E711" s="99" t="s">
        <v>346</v>
      </c>
      <c r="F711" s="99" t="s">
        <v>4628</v>
      </c>
      <c r="G711" s="101"/>
      <c r="H711" s="99" t="s">
        <v>189</v>
      </c>
      <c r="I711" s="99" t="s">
        <v>1634</v>
      </c>
      <c r="J711" s="104"/>
      <c r="K711" s="66" t="str">
        <f>IFNA(VLOOKUP(D711,'EAN Codes'!A:C,2,False),"")</f>
        <v>5907615819377</v>
      </c>
      <c r="L711" s="99"/>
      <c r="M711" s="67"/>
      <c r="S711" s="60"/>
      <c r="U711" s="93" t="b">
        <v>1</v>
      </c>
      <c r="Z711" t="b">
        <v>0</v>
      </c>
    </row>
    <row r="712" hidden="1">
      <c r="A712" s="99">
        <v>551.0</v>
      </c>
      <c r="B712" s="99" t="s">
        <v>181</v>
      </c>
      <c r="C712" s="99" t="s">
        <v>950</v>
      </c>
      <c r="D712" s="99">
        <v>737388.0</v>
      </c>
      <c r="E712" s="99" t="s">
        <v>733</v>
      </c>
      <c r="F712" s="99" t="s">
        <v>4628</v>
      </c>
      <c r="G712" s="99" t="s">
        <v>3159</v>
      </c>
      <c r="H712" s="99" t="s">
        <v>189</v>
      </c>
      <c r="I712" s="101"/>
      <c r="J712" s="110"/>
      <c r="K712" s="66" t="str">
        <f>IFNA(VLOOKUP(D712,'EAN Codes'!A:C,2,False),"")</f>
        <v/>
      </c>
      <c r="L712" s="35"/>
      <c r="M712" s="67"/>
      <c r="S712" s="60"/>
      <c r="U712" s="93" t="b">
        <v>1</v>
      </c>
      <c r="Z712" t="b">
        <v>0</v>
      </c>
    </row>
    <row r="713" hidden="1">
      <c r="A713" s="6">
        <v>358.0</v>
      </c>
      <c r="B713" s="6" t="s">
        <v>241</v>
      </c>
      <c r="C713" s="6" t="s">
        <v>1217</v>
      </c>
      <c r="D713" s="127" t="s">
        <v>4629</v>
      </c>
      <c r="E713" s="6" t="s">
        <v>409</v>
      </c>
      <c r="F713" s="6" t="s">
        <v>4630</v>
      </c>
      <c r="G713" s="6" t="s">
        <v>1185</v>
      </c>
      <c r="H713" s="6" t="s">
        <v>189</v>
      </c>
      <c r="I713" s="6" t="s">
        <v>626</v>
      </c>
      <c r="J713" s="84"/>
      <c r="K713" s="66" t="str">
        <f>IFNA(VLOOKUP(D713,'EAN Codes'!A:C,2,False),"")</f>
        <v/>
      </c>
      <c r="L713" s="35" t="s">
        <v>269</v>
      </c>
      <c r="M713" s="276"/>
      <c r="N713" s="106"/>
      <c r="O713" s="106"/>
      <c r="P713" s="106"/>
      <c r="Q713" s="106"/>
      <c r="R713" s="106"/>
      <c r="S713" s="274"/>
      <c r="T713" s="106"/>
      <c r="U713" s="93" t="b">
        <v>1</v>
      </c>
      <c r="V713" s="106" t="s">
        <v>4631</v>
      </c>
      <c r="Z713" t="b">
        <v>0</v>
      </c>
    </row>
    <row r="714" hidden="1">
      <c r="A714" s="99">
        <v>741.0</v>
      </c>
      <c r="B714" s="99" t="s">
        <v>241</v>
      </c>
      <c r="C714" s="99" t="s">
        <v>1250</v>
      </c>
      <c r="D714" s="99" t="s">
        <v>4632</v>
      </c>
      <c r="E714" s="99" t="s">
        <v>346</v>
      </c>
      <c r="F714" s="99" t="s">
        <v>4633</v>
      </c>
      <c r="G714" s="101"/>
      <c r="H714" s="99" t="s">
        <v>4634</v>
      </c>
      <c r="I714" s="101"/>
      <c r="J714" s="110"/>
      <c r="K714" s="66" t="str">
        <f>IFNA(VLOOKUP(D714,'EAN Codes'!A:C,2,False),"")</f>
        <v>8054521993824</v>
      </c>
      <c r="L714" s="101"/>
      <c r="M714" s="119"/>
      <c r="N714" s="99"/>
      <c r="O714" s="99"/>
      <c r="P714" s="99"/>
      <c r="Q714" s="99"/>
      <c r="R714" s="99"/>
      <c r="S714" s="104"/>
      <c r="T714" s="99"/>
      <c r="U714" s="93" t="b">
        <v>1</v>
      </c>
      <c r="V714" s="99" t="s">
        <v>4635</v>
      </c>
      <c r="X714" s="6" t="s">
        <v>4636</v>
      </c>
      <c r="Z714" t="b">
        <v>0</v>
      </c>
    </row>
    <row r="715" hidden="1">
      <c r="A715" s="99">
        <v>951.0</v>
      </c>
      <c r="B715" s="99" t="s">
        <v>241</v>
      </c>
      <c r="C715" s="99" t="s">
        <v>1250</v>
      </c>
      <c r="D715" s="100" t="s">
        <v>4637</v>
      </c>
      <c r="E715" s="99" t="s">
        <v>409</v>
      </c>
      <c r="F715" s="99" t="s">
        <v>4638</v>
      </c>
      <c r="G715" s="99" t="s">
        <v>1155</v>
      </c>
      <c r="H715" s="99" t="s">
        <v>189</v>
      </c>
      <c r="I715" s="99" t="s">
        <v>1634</v>
      </c>
      <c r="J715" s="104"/>
      <c r="K715" s="66" t="str">
        <f>IFNA(VLOOKUP(D715,'EAN Codes'!A:C,2,False),"")</f>
        <v>8058772224515</v>
      </c>
      <c r="L715" s="101"/>
      <c r="M715" s="119"/>
      <c r="N715" s="99"/>
      <c r="O715" s="99"/>
      <c r="P715" s="99"/>
      <c r="Q715" s="99"/>
      <c r="R715" s="99"/>
      <c r="S715" s="104"/>
      <c r="T715" s="99"/>
      <c r="U715" s="93" t="b">
        <v>1</v>
      </c>
      <c r="V715" s="99" t="s">
        <v>4639</v>
      </c>
      <c r="Z715" t="b">
        <v>0</v>
      </c>
    </row>
    <row r="716" hidden="1">
      <c r="A716" s="99">
        <v>261.0</v>
      </c>
      <c r="B716" s="99" t="s">
        <v>241</v>
      </c>
      <c r="C716" s="99" t="s">
        <v>342</v>
      </c>
      <c r="D716" s="99" t="s">
        <v>4640</v>
      </c>
      <c r="E716" s="99" t="s">
        <v>346</v>
      </c>
      <c r="F716" s="99" t="s">
        <v>4641</v>
      </c>
      <c r="G716" s="99" t="s">
        <v>4165</v>
      </c>
      <c r="H716" s="99" t="s">
        <v>189</v>
      </c>
      <c r="I716" s="99" t="s">
        <v>458</v>
      </c>
      <c r="J716" s="104"/>
      <c r="K716" s="66" t="str">
        <f>IFNA(VLOOKUP(D716,'EAN Codes'!A:C,2,False),"")</f>
        <v>5907615819773</v>
      </c>
      <c r="L716" s="35" t="s">
        <v>269</v>
      </c>
      <c r="M716" s="83"/>
      <c r="N716" s="6"/>
      <c r="O716" s="6"/>
      <c r="P716" s="6"/>
      <c r="Q716" s="6"/>
      <c r="R716" s="6"/>
      <c r="S716" s="84"/>
      <c r="T716" s="6"/>
      <c r="U716" s="93" t="b">
        <v>1</v>
      </c>
      <c r="V716" s="6" t="s">
        <v>4642</v>
      </c>
      <c r="Z716" t="b">
        <v>0</v>
      </c>
    </row>
    <row r="717" hidden="1">
      <c r="A717" s="86">
        <v>773.0</v>
      </c>
      <c r="B717" s="99" t="s">
        <v>241</v>
      </c>
      <c r="C717" s="99" t="s">
        <v>342</v>
      </c>
      <c r="D717" s="99" t="s">
        <v>4643</v>
      </c>
      <c r="E717" s="99" t="s">
        <v>346</v>
      </c>
      <c r="F717" s="99" t="s">
        <v>4644</v>
      </c>
      <c r="G717" s="99" t="s">
        <v>1162</v>
      </c>
      <c r="H717" s="99" t="s">
        <v>189</v>
      </c>
      <c r="I717" s="99" t="s">
        <v>680</v>
      </c>
      <c r="J717" s="104"/>
      <c r="K717" s="66" t="str">
        <f>IFNA(VLOOKUP(D717,'EAN Codes'!A:C,2,False),"")</f>
        <v>5907615819810</v>
      </c>
      <c r="L717" s="35"/>
      <c r="M717" s="83"/>
      <c r="N717" s="6"/>
      <c r="O717" s="6"/>
      <c r="P717" s="6"/>
      <c r="Q717" s="6"/>
      <c r="R717" s="6"/>
      <c r="S717" s="84"/>
      <c r="T717" s="6"/>
      <c r="U717" s="93" t="b">
        <v>1</v>
      </c>
      <c r="V717" s="6" t="s">
        <v>4645</v>
      </c>
      <c r="W717" s="6" t="s">
        <v>4646</v>
      </c>
      <c r="Z717" t="b">
        <v>0</v>
      </c>
    </row>
    <row r="718" hidden="1">
      <c r="A718" s="35">
        <v>929.0</v>
      </c>
      <c r="B718" s="35" t="s">
        <v>241</v>
      </c>
      <c r="C718" s="35" t="s">
        <v>342</v>
      </c>
      <c r="D718" s="365" t="s">
        <v>4375</v>
      </c>
      <c r="E718" s="35" t="s">
        <v>409</v>
      </c>
      <c r="F718" s="35" t="s">
        <v>4647</v>
      </c>
      <c r="G718" s="35" t="s">
        <v>987</v>
      </c>
      <c r="H718" s="35" t="s">
        <v>189</v>
      </c>
      <c r="I718" s="35" t="s">
        <v>585</v>
      </c>
      <c r="J718" s="146"/>
      <c r="K718" s="66" t="str">
        <f>IFNA(VLOOKUP(D718,'EAN Codes'!A:C,2,False),"")</f>
        <v>5907615817014</v>
      </c>
      <c r="L718" s="82"/>
      <c r="M718" s="350"/>
      <c r="N718" s="191"/>
      <c r="O718" s="191"/>
      <c r="P718" s="191"/>
      <c r="Q718" s="191"/>
      <c r="R718" s="191"/>
      <c r="S718" s="351"/>
      <c r="T718" s="191"/>
      <c r="U718" s="93" t="b">
        <v>1</v>
      </c>
      <c r="V718" s="191" t="s">
        <v>4648</v>
      </c>
      <c r="Z718" t="b">
        <v>0</v>
      </c>
    </row>
    <row r="719" hidden="1">
      <c r="A719" s="99">
        <v>682.0</v>
      </c>
      <c r="B719" s="99" t="s">
        <v>241</v>
      </c>
      <c r="C719" s="99" t="s">
        <v>408</v>
      </c>
      <c r="D719" s="99">
        <v>316359.0</v>
      </c>
      <c r="E719" s="99" t="s">
        <v>373</v>
      </c>
      <c r="F719" s="99" t="s">
        <v>4649</v>
      </c>
      <c r="G719" s="99" t="s">
        <v>4650</v>
      </c>
      <c r="H719" s="99" t="s">
        <v>189</v>
      </c>
      <c r="I719" s="99" t="s">
        <v>1328</v>
      </c>
      <c r="J719" s="104"/>
      <c r="K719" s="66" t="str">
        <f>IFNA(VLOOKUP(D719,'EAN Codes'!A:C,2,False),"")</f>
        <v/>
      </c>
      <c r="L719" s="99" t="s">
        <v>269</v>
      </c>
      <c r="M719" s="119"/>
      <c r="N719" s="99"/>
      <c r="O719" s="99"/>
      <c r="P719" s="99"/>
      <c r="Q719" s="99"/>
      <c r="R719" s="99"/>
      <c r="S719" s="104"/>
      <c r="T719" s="99"/>
      <c r="U719" s="93" t="b">
        <v>1</v>
      </c>
      <c r="V719" s="99" t="s">
        <v>4651</v>
      </c>
      <c r="Y719" s="6" t="s">
        <v>452</v>
      </c>
      <c r="Z719" t="b">
        <v>0</v>
      </c>
    </row>
    <row r="720" hidden="1">
      <c r="A720" s="86">
        <v>525.0</v>
      </c>
      <c r="B720" s="86" t="s">
        <v>241</v>
      </c>
      <c r="C720" s="86" t="s">
        <v>342</v>
      </c>
      <c r="D720" s="86" t="s">
        <v>4652</v>
      </c>
      <c r="E720" s="86" t="s">
        <v>346</v>
      </c>
      <c r="F720" s="86" t="s">
        <v>4653</v>
      </c>
      <c r="G720" s="86" t="s">
        <v>2400</v>
      </c>
      <c r="H720" s="86" t="s">
        <v>2158</v>
      </c>
      <c r="I720" s="91"/>
      <c r="J720" s="97"/>
      <c r="K720" s="66" t="str">
        <f>IFNA(VLOOKUP(D720,'EAN Codes'!A:C,2,False),"")</f>
        <v>5907615819728</v>
      </c>
      <c r="L720" s="86"/>
      <c r="M720" s="92"/>
      <c r="N720" s="86"/>
      <c r="O720" s="86"/>
      <c r="P720" s="86"/>
      <c r="Q720" s="86"/>
      <c r="R720" s="86"/>
      <c r="S720" s="88"/>
      <c r="T720" s="86"/>
      <c r="U720" s="93" t="b">
        <v>1</v>
      </c>
      <c r="V720" s="86" t="s">
        <v>4654</v>
      </c>
      <c r="Z720" t="b">
        <v>0</v>
      </c>
    </row>
    <row r="721" hidden="1">
      <c r="A721" s="99">
        <v>216.0</v>
      </c>
      <c r="B721" s="6" t="s">
        <v>241</v>
      </c>
      <c r="C721" s="99" t="s">
        <v>342</v>
      </c>
      <c r="D721" s="99" t="s">
        <v>4652</v>
      </c>
      <c r="E721" s="99" t="s">
        <v>346</v>
      </c>
      <c r="F721" s="99" t="s">
        <v>4655</v>
      </c>
      <c r="G721" s="99" t="s">
        <v>1013</v>
      </c>
      <c r="H721" s="99" t="s">
        <v>1726</v>
      </c>
      <c r="I721" s="99" t="s">
        <v>1634</v>
      </c>
      <c r="J721" s="104"/>
      <c r="K721" s="66" t="str">
        <f>IFNA(VLOOKUP(D721,'EAN Codes'!A:C,2,False),"")</f>
        <v>5907615819728</v>
      </c>
      <c r="L721" s="35"/>
      <c r="M721" s="119"/>
      <c r="N721" s="99"/>
      <c r="O721" s="99"/>
      <c r="P721" s="99"/>
      <c r="Q721" s="99"/>
      <c r="R721" s="99"/>
      <c r="S721" s="104"/>
      <c r="T721" s="99"/>
      <c r="U721" s="93" t="b">
        <v>1</v>
      </c>
      <c r="V721" s="99"/>
      <c r="Z721" t="b">
        <v>0</v>
      </c>
    </row>
    <row r="722" hidden="1">
      <c r="A722" s="86">
        <v>476.0</v>
      </c>
      <c r="B722" s="86" t="s">
        <v>241</v>
      </c>
      <c r="C722" s="86" t="s">
        <v>342</v>
      </c>
      <c r="D722" s="399" t="s">
        <v>4652</v>
      </c>
      <c r="E722" s="86" t="s">
        <v>346</v>
      </c>
      <c r="F722" s="282" t="s">
        <v>4656</v>
      </c>
      <c r="G722" s="86">
        <v>2010.0</v>
      </c>
      <c r="H722" s="86" t="s">
        <v>64</v>
      </c>
      <c r="I722" s="91"/>
      <c r="J722" s="97"/>
      <c r="K722" s="66" t="str">
        <f>IFNA(VLOOKUP(D722,'EAN Codes'!A:C,2,False),"")</f>
        <v>5907615819728</v>
      </c>
      <c r="L722" s="86"/>
      <c r="M722" s="92"/>
      <c r="N722" s="86"/>
      <c r="O722" s="86"/>
      <c r="P722" s="86"/>
      <c r="Q722" s="86"/>
      <c r="R722" s="86"/>
      <c r="S722" s="88"/>
      <c r="T722" s="86"/>
      <c r="U722" s="93" t="b">
        <v>1</v>
      </c>
      <c r="V722" s="86" t="s">
        <v>4657</v>
      </c>
      <c r="X722" s="91"/>
      <c r="Z722" t="b">
        <v>0</v>
      </c>
    </row>
    <row r="723" hidden="1">
      <c r="A723" s="99">
        <v>976.0</v>
      </c>
      <c r="B723" s="99" t="s">
        <v>241</v>
      </c>
      <c r="C723" s="99" t="s">
        <v>342</v>
      </c>
      <c r="D723" s="100" t="s">
        <v>4389</v>
      </c>
      <c r="E723" s="99" t="s">
        <v>346</v>
      </c>
      <c r="F723" s="99" t="s">
        <v>4390</v>
      </c>
      <c r="G723" s="99" t="s">
        <v>793</v>
      </c>
      <c r="H723" s="99" t="s">
        <v>4658</v>
      </c>
      <c r="I723" s="101"/>
      <c r="J723" s="110"/>
      <c r="K723" s="107" t="str">
        <f>IFNA(VLOOKUP(D723,'EAN Codes'!A:C,2,False),"")</f>
        <v>5907615817434</v>
      </c>
      <c r="L723" s="101"/>
      <c r="M723" s="119"/>
      <c r="N723" s="99"/>
      <c r="O723" s="99"/>
      <c r="P723" s="99"/>
      <c r="Q723" s="99"/>
      <c r="R723" s="99"/>
      <c r="S723" s="104"/>
      <c r="T723" s="99"/>
      <c r="U723" s="93" t="b">
        <v>1</v>
      </c>
      <c r="V723" s="99" t="s">
        <v>4659</v>
      </c>
      <c r="W723" s="6" t="s">
        <v>4660</v>
      </c>
      <c r="Z723" t="b">
        <v>0</v>
      </c>
    </row>
    <row r="724" hidden="1">
      <c r="A724" s="99">
        <v>128.0</v>
      </c>
      <c r="B724" s="99"/>
      <c r="C724" s="99" t="s">
        <v>342</v>
      </c>
      <c r="D724" s="99" t="s">
        <v>4661</v>
      </c>
      <c r="E724" s="99" t="s">
        <v>346</v>
      </c>
      <c r="F724" s="99" t="s">
        <v>4662</v>
      </c>
      <c r="G724" s="99" t="s">
        <v>4663</v>
      </c>
      <c r="H724" s="99" t="s">
        <v>512</v>
      </c>
      <c r="I724" s="99" t="s">
        <v>1971</v>
      </c>
      <c r="J724" s="104"/>
      <c r="K724" s="66" t="str">
        <f>IFNA(VLOOKUP(D724,'EAN Codes'!A:C,2,False),"")</f>
        <v>5907615820748</v>
      </c>
      <c r="L724" s="35"/>
      <c r="M724" s="67"/>
      <c r="S724" s="60"/>
      <c r="U724" s="93" t="b">
        <v>1</v>
      </c>
      <c r="X724" s="106"/>
      <c r="Z724" t="b">
        <v>0</v>
      </c>
    </row>
    <row r="725" hidden="1">
      <c r="A725" s="91"/>
      <c r="B725" s="6" t="s">
        <v>241</v>
      </c>
      <c r="C725" s="86" t="s">
        <v>408</v>
      </c>
      <c r="D725" s="86">
        <v>3.42137600001E11</v>
      </c>
      <c r="E725" s="86" t="s">
        <v>346</v>
      </c>
      <c r="F725" s="86" t="s">
        <v>4664</v>
      </c>
      <c r="G725" s="86" t="s">
        <v>358</v>
      </c>
      <c r="H725" s="86" t="s">
        <v>512</v>
      </c>
      <c r="I725" s="91"/>
      <c r="J725" s="97"/>
      <c r="K725" s="66" t="str">
        <f>IFNA(VLOOKUP(D725,'EAN Codes'!A:C,2,False),"")</f>
        <v/>
      </c>
      <c r="L725" s="282"/>
      <c r="M725" s="400"/>
      <c r="N725" s="282"/>
      <c r="O725" s="282"/>
      <c r="P725" s="282"/>
      <c r="Q725" s="282"/>
      <c r="R725" s="282"/>
      <c r="S725" s="291"/>
      <c r="T725" s="282"/>
      <c r="U725" s="93" t="b">
        <v>1</v>
      </c>
      <c r="V725" s="282" t="s">
        <v>4665</v>
      </c>
      <c r="Z725" t="b">
        <v>0</v>
      </c>
    </row>
    <row r="726" hidden="1">
      <c r="A726" s="86">
        <v>1022.0</v>
      </c>
      <c r="B726" s="86" t="s">
        <v>241</v>
      </c>
      <c r="C726" s="86" t="s">
        <v>1250</v>
      </c>
      <c r="D726" s="87" t="s">
        <v>4666</v>
      </c>
      <c r="E726" s="86" t="s">
        <v>1390</v>
      </c>
      <c r="F726" s="86" t="s">
        <v>4667</v>
      </c>
      <c r="G726" s="86" t="s">
        <v>1922</v>
      </c>
      <c r="H726" s="86" t="s">
        <v>189</v>
      </c>
      <c r="I726" s="86" t="s">
        <v>1863</v>
      </c>
      <c r="J726" s="88"/>
      <c r="K726" s="90" t="str">
        <f>IFNA(VLOOKUP(D726,'EAN Codes'!A:C,2,False),"")</f>
        <v>8054521993114</v>
      </c>
      <c r="L726" s="91"/>
      <c r="M726" s="92"/>
      <c r="N726" s="86"/>
      <c r="O726" s="86"/>
      <c r="P726" s="86"/>
      <c r="Q726" s="86"/>
      <c r="R726" s="86"/>
      <c r="S726" s="88"/>
      <c r="T726" s="86"/>
      <c r="U726" s="93" t="b">
        <v>1</v>
      </c>
      <c r="V726" s="86" t="s">
        <v>4668</v>
      </c>
      <c r="W726" s="160" t="s">
        <v>4669</v>
      </c>
      <c r="X726" s="261"/>
      <c r="Y726" s="261"/>
      <c r="Z726" t="b">
        <v>0</v>
      </c>
    </row>
    <row r="727" hidden="1">
      <c r="A727" s="99">
        <v>863.0</v>
      </c>
      <c r="B727" s="99" t="s">
        <v>241</v>
      </c>
      <c r="C727" s="99" t="s">
        <v>408</v>
      </c>
      <c r="D727" s="99">
        <v>342137.0</v>
      </c>
      <c r="E727" s="99" t="s">
        <v>346</v>
      </c>
      <c r="F727" s="99" t="s">
        <v>4670</v>
      </c>
      <c r="G727" s="99" t="s">
        <v>358</v>
      </c>
      <c r="H727" s="99" t="s">
        <v>763</v>
      </c>
      <c r="I727" s="101"/>
      <c r="J727" s="110"/>
      <c r="K727" s="66" t="str">
        <f>IFNA(VLOOKUP(D727,'EAN Codes'!A:C,2,False),"")</f>
        <v/>
      </c>
      <c r="L727" s="101"/>
      <c r="M727" s="119"/>
      <c r="N727" s="99"/>
      <c r="O727" s="99"/>
      <c r="P727" s="99"/>
      <c r="Q727" s="99"/>
      <c r="R727" s="99"/>
      <c r="S727" s="104"/>
      <c r="T727" s="99"/>
      <c r="U727" s="93" t="b">
        <v>1</v>
      </c>
      <c r="V727" s="99" t="s">
        <v>4671</v>
      </c>
      <c r="Z727" t="b">
        <v>0</v>
      </c>
    </row>
    <row r="728" hidden="1">
      <c r="A728" s="99">
        <v>985.0</v>
      </c>
      <c r="B728" s="99" t="s">
        <v>241</v>
      </c>
      <c r="C728" s="99" t="s">
        <v>1250</v>
      </c>
      <c r="D728" s="100" t="s">
        <v>4666</v>
      </c>
      <c r="E728" s="99" t="s">
        <v>1390</v>
      </c>
      <c r="F728" s="99" t="s">
        <v>4667</v>
      </c>
      <c r="G728" s="99" t="s">
        <v>4172</v>
      </c>
      <c r="H728" s="99" t="s">
        <v>189</v>
      </c>
      <c r="I728" s="99" t="s">
        <v>458</v>
      </c>
      <c r="J728" s="104"/>
      <c r="K728" s="107" t="str">
        <f>IFNA(VLOOKUP(D728,'EAN Codes'!A:C,2,False),"")</f>
        <v>8054521993114</v>
      </c>
      <c r="L728" s="101"/>
      <c r="M728" s="119"/>
      <c r="N728" s="99"/>
      <c r="O728" s="99"/>
      <c r="P728" s="99"/>
      <c r="Q728" s="99"/>
      <c r="R728" s="99"/>
      <c r="S728" s="104"/>
      <c r="T728" s="99"/>
      <c r="U728" s="93" t="b">
        <v>1</v>
      </c>
      <c r="V728" s="99" t="s">
        <v>4672</v>
      </c>
      <c r="Z728" t="b">
        <v>0</v>
      </c>
    </row>
    <row r="729" hidden="1">
      <c r="A729" s="99">
        <v>403.0</v>
      </c>
      <c r="B729" s="99" t="s">
        <v>241</v>
      </c>
      <c r="C729" s="122" t="s">
        <v>858</v>
      </c>
      <c r="D729" s="217" t="s">
        <v>4673</v>
      </c>
      <c r="E729" s="122" t="s">
        <v>454</v>
      </c>
      <c r="F729" s="122" t="s">
        <v>4674</v>
      </c>
      <c r="G729" s="122" t="s">
        <v>4675</v>
      </c>
      <c r="H729" s="99" t="s">
        <v>189</v>
      </c>
      <c r="I729" s="99" t="s">
        <v>1863</v>
      </c>
      <c r="J729" s="104"/>
      <c r="K729" s="66" t="str">
        <f>IFNA(VLOOKUP(D729,'EAN Codes'!A:C,2,False),"")</f>
        <v/>
      </c>
      <c r="L729" s="99"/>
      <c r="M729" s="119"/>
      <c r="N729" s="99"/>
      <c r="O729" s="99"/>
      <c r="P729" s="99"/>
      <c r="Q729" s="99"/>
      <c r="R729" s="99"/>
      <c r="S729" s="104"/>
      <c r="T729" s="99"/>
      <c r="U729" s="93" t="b">
        <v>1</v>
      </c>
      <c r="V729" s="99" t="s">
        <v>4676</v>
      </c>
      <c r="Z729" t="b">
        <v>0</v>
      </c>
    </row>
    <row r="730" hidden="1">
      <c r="A730" s="99">
        <v>26.0</v>
      </c>
      <c r="B730" s="86"/>
      <c r="C730" s="86" t="s">
        <v>1966</v>
      </c>
      <c r="D730" s="99" t="s">
        <v>4677</v>
      </c>
      <c r="E730" s="99" t="s">
        <v>527</v>
      </c>
      <c r="F730" s="99" t="s">
        <v>4678</v>
      </c>
      <c r="G730" s="99" t="s">
        <v>375</v>
      </c>
      <c r="H730" s="99" t="s">
        <v>512</v>
      </c>
      <c r="I730" s="99" t="s">
        <v>1971</v>
      </c>
      <c r="J730" s="104"/>
      <c r="K730" s="66" t="str">
        <f>IFNA(VLOOKUP(D730,'EAN Codes'!A:C,2,False),"")</f>
        <v/>
      </c>
      <c r="L730" s="99"/>
      <c r="M730" s="119"/>
      <c r="N730" s="99"/>
      <c r="O730" s="99"/>
      <c r="P730" s="99"/>
      <c r="Q730" s="99"/>
      <c r="R730" s="99"/>
      <c r="S730" s="104"/>
      <c r="T730" s="99"/>
      <c r="U730" s="93" t="b">
        <v>1</v>
      </c>
      <c r="V730" s="99"/>
      <c r="Z730" t="b">
        <v>0</v>
      </c>
    </row>
    <row r="731" hidden="1">
      <c r="A731" s="99">
        <v>77.0</v>
      </c>
      <c r="B731" s="99" t="s">
        <v>241</v>
      </c>
      <c r="C731" s="99" t="s">
        <v>342</v>
      </c>
      <c r="D731" s="99" t="s">
        <v>4679</v>
      </c>
      <c r="E731" s="99" t="s">
        <v>346</v>
      </c>
      <c r="F731" s="99" t="s">
        <v>4678</v>
      </c>
      <c r="G731" s="99" t="s">
        <v>2346</v>
      </c>
      <c r="H731" s="99" t="s">
        <v>189</v>
      </c>
      <c r="I731" s="99" t="s">
        <v>626</v>
      </c>
      <c r="J731" s="104"/>
      <c r="K731" s="66" t="str">
        <f>IFNA(VLOOKUP(D731,'EAN Codes'!A:C,2,False),"")</f>
        <v>5907615820700</v>
      </c>
      <c r="L731" s="35" t="s">
        <v>269</v>
      </c>
      <c r="M731" s="83"/>
      <c r="N731" s="6"/>
      <c r="O731" s="6"/>
      <c r="P731" s="6"/>
      <c r="Q731" s="6"/>
      <c r="R731" s="6"/>
      <c r="S731" s="84"/>
      <c r="T731" s="6"/>
      <c r="U731" s="93" t="b">
        <v>1</v>
      </c>
      <c r="V731" s="6" t="s">
        <v>4680</v>
      </c>
      <c r="Z731" t="b">
        <v>0</v>
      </c>
    </row>
    <row r="732" hidden="1">
      <c r="A732" s="86">
        <v>281.0</v>
      </c>
      <c r="B732" s="6" t="s">
        <v>241</v>
      </c>
      <c r="C732" s="86" t="s">
        <v>408</v>
      </c>
      <c r="D732" s="86">
        <v>3.24044600001E11</v>
      </c>
      <c r="E732" s="86" t="s">
        <v>346</v>
      </c>
      <c r="F732" s="86" t="s">
        <v>4681</v>
      </c>
      <c r="G732" s="86" t="s">
        <v>4682</v>
      </c>
      <c r="H732" s="86" t="s">
        <v>189</v>
      </c>
      <c r="I732" s="86" t="s">
        <v>530</v>
      </c>
      <c r="J732" s="88"/>
      <c r="K732" s="66" t="str">
        <f>IFNA(VLOOKUP(D732,'EAN Codes'!A:C,2,False),"")</f>
        <v/>
      </c>
      <c r="L732" s="86"/>
      <c r="M732" s="92"/>
      <c r="N732" s="86"/>
      <c r="O732" s="86"/>
      <c r="P732" s="86"/>
      <c r="Q732" s="86"/>
      <c r="R732" s="86"/>
      <c r="S732" s="88"/>
      <c r="T732" s="86"/>
      <c r="U732" s="93" t="b">
        <v>1</v>
      </c>
      <c r="V732" s="86" t="s">
        <v>3045</v>
      </c>
      <c r="Z732" t="b">
        <v>0</v>
      </c>
    </row>
    <row r="733" hidden="1">
      <c r="A733" s="106">
        <v>440.0</v>
      </c>
      <c r="B733" s="106" t="s">
        <v>241</v>
      </c>
      <c r="C733" s="106" t="s">
        <v>1217</v>
      </c>
      <c r="D733" s="106" t="s">
        <v>4683</v>
      </c>
      <c r="E733" s="106" t="s">
        <v>346</v>
      </c>
      <c r="F733" s="106" t="s">
        <v>4684</v>
      </c>
      <c r="G733" s="115"/>
      <c r="H733" s="106" t="s">
        <v>189</v>
      </c>
      <c r="I733" s="106" t="s">
        <v>458</v>
      </c>
      <c r="J733" s="274"/>
      <c r="K733" s="66" t="str">
        <f>IFNA(VLOOKUP(D733,'EAN Codes'!A:C,2,False),"")</f>
        <v>53151</v>
      </c>
      <c r="L733" s="160" t="s">
        <v>92</v>
      </c>
      <c r="M733" s="276"/>
      <c r="N733" s="106"/>
      <c r="O733" s="106"/>
      <c r="P733" s="106"/>
      <c r="Q733" s="106"/>
      <c r="R733" s="106"/>
      <c r="S733" s="274"/>
      <c r="T733" s="106"/>
      <c r="U733" s="93" t="b">
        <v>1</v>
      </c>
      <c r="V733" s="106" t="s">
        <v>4685</v>
      </c>
      <c r="Z733" t="b">
        <v>0</v>
      </c>
    </row>
    <row r="734" hidden="1">
      <c r="A734" s="99">
        <v>717.0</v>
      </c>
      <c r="B734" s="99" t="s">
        <v>241</v>
      </c>
      <c r="C734" s="99" t="s">
        <v>408</v>
      </c>
      <c r="D734" s="100" t="s">
        <v>4686</v>
      </c>
      <c r="E734" s="99" t="s">
        <v>346</v>
      </c>
      <c r="F734" s="99" t="s">
        <v>4687</v>
      </c>
      <c r="G734" s="99" t="s">
        <v>4688</v>
      </c>
      <c r="H734" s="99" t="s">
        <v>189</v>
      </c>
      <c r="I734" s="99" t="s">
        <v>418</v>
      </c>
      <c r="J734" s="104"/>
      <c r="K734" s="66" t="str">
        <f>IFNA(VLOOKUP(D734,'EAN Codes'!A:C,2,False),"")</f>
        <v/>
      </c>
      <c r="L734" s="99" t="s">
        <v>269</v>
      </c>
      <c r="M734" s="119"/>
      <c r="N734" s="99"/>
      <c r="O734" s="99"/>
      <c r="P734" s="99"/>
      <c r="Q734" s="99"/>
      <c r="R734" s="99"/>
      <c r="S734" s="104"/>
      <c r="T734" s="99"/>
      <c r="U734" s="93" t="b">
        <v>1</v>
      </c>
      <c r="V734" s="99" t="s">
        <v>4689</v>
      </c>
      <c r="Y734" s="6" t="s">
        <v>452</v>
      </c>
      <c r="Z734" t="b">
        <v>0</v>
      </c>
    </row>
    <row r="735" hidden="1">
      <c r="A735" s="6">
        <v>115.0</v>
      </c>
      <c r="B735" s="6" t="s">
        <v>241</v>
      </c>
      <c r="C735" s="6" t="s">
        <v>342</v>
      </c>
      <c r="D735" s="127" t="s">
        <v>4690</v>
      </c>
      <c r="E735" s="6" t="s">
        <v>346</v>
      </c>
      <c r="F735" s="6" t="s">
        <v>4691</v>
      </c>
      <c r="G735" s="6" t="s">
        <v>375</v>
      </c>
      <c r="H735" s="6" t="s">
        <v>189</v>
      </c>
      <c r="I735" s="6" t="s">
        <v>680</v>
      </c>
      <c r="J735" s="84"/>
      <c r="K735" s="66" t="str">
        <f>IFNA(VLOOKUP(D735,'EAN Codes'!A:C,2,False),"")</f>
        <v>5907615819339</v>
      </c>
      <c r="L735" s="35" t="s">
        <v>269</v>
      </c>
      <c r="M735" s="67"/>
      <c r="S735" s="60"/>
      <c r="U735" s="93" t="b">
        <v>1</v>
      </c>
      <c r="Z735" t="b">
        <v>0</v>
      </c>
    </row>
    <row r="736" hidden="1">
      <c r="A736" s="99">
        <v>4.0</v>
      </c>
      <c r="B736" s="86"/>
      <c r="C736" s="86" t="s">
        <v>1217</v>
      </c>
      <c r="D736" s="86" t="s">
        <v>4692</v>
      </c>
      <c r="E736" s="86" t="s">
        <v>346</v>
      </c>
      <c r="F736" s="86" t="s">
        <v>4693</v>
      </c>
      <c r="G736" s="86" t="s">
        <v>4694</v>
      </c>
      <c r="H736" s="99" t="s">
        <v>512</v>
      </c>
      <c r="I736" s="115"/>
      <c r="J736" s="263"/>
      <c r="K736" s="66" t="str">
        <f>IFNA(VLOOKUP(D736,'EAN Codes'!A:C,2,False),"")</f>
        <v>55070</v>
      </c>
      <c r="L736" s="160"/>
      <c r="M736" s="92"/>
      <c r="N736" s="86"/>
      <c r="O736" s="86"/>
      <c r="P736" s="86"/>
      <c r="Q736" s="86"/>
      <c r="R736" s="86"/>
      <c r="S736" s="88"/>
      <c r="T736" s="86"/>
      <c r="U736" s="93" t="b">
        <v>1</v>
      </c>
      <c r="V736" s="86" t="s">
        <v>4695</v>
      </c>
      <c r="W736" s="115"/>
      <c r="X736" s="106"/>
      <c r="Z736" t="b">
        <v>0</v>
      </c>
    </row>
    <row r="737" hidden="1">
      <c r="A737" s="99">
        <v>13.0</v>
      </c>
      <c r="B737" s="99"/>
      <c r="C737" s="99" t="s">
        <v>4696</v>
      </c>
      <c r="D737" s="99" t="s">
        <v>4697</v>
      </c>
      <c r="E737" s="86" t="s">
        <v>346</v>
      </c>
      <c r="F737" s="99" t="s">
        <v>4698</v>
      </c>
      <c r="G737" s="99" t="s">
        <v>4699</v>
      </c>
      <c r="H737" s="99" t="s">
        <v>3559</v>
      </c>
      <c r="J737" s="60"/>
      <c r="K737" s="66" t="str">
        <f>IFNA(VLOOKUP(D737,'EAN Codes'!A:C,2,False),"")</f>
        <v/>
      </c>
      <c r="L737" s="35"/>
      <c r="M737" s="67"/>
      <c r="S737" s="60"/>
      <c r="U737" s="93" t="b">
        <v>1</v>
      </c>
      <c r="Z737" t="b">
        <v>0</v>
      </c>
    </row>
    <row r="738" hidden="1">
      <c r="A738" s="99">
        <v>436.0</v>
      </c>
      <c r="B738" s="99" t="s">
        <v>241</v>
      </c>
      <c r="C738" s="99" t="s">
        <v>408</v>
      </c>
      <c r="D738" s="237">
        <v>317131.0</v>
      </c>
      <c r="E738" s="99" t="s">
        <v>346</v>
      </c>
      <c r="F738" s="282" t="s">
        <v>4700</v>
      </c>
      <c r="G738" s="282" t="s">
        <v>1155</v>
      </c>
      <c r="H738" s="99" t="s">
        <v>189</v>
      </c>
      <c r="I738" s="99" t="s">
        <v>1863</v>
      </c>
      <c r="J738" s="104"/>
      <c r="K738" s="66" t="str">
        <f>IFNA(VLOOKUP(D738,'EAN Codes'!A:C,2,False),"")</f>
        <v/>
      </c>
      <c r="L738" s="35"/>
      <c r="M738" s="83"/>
      <c r="N738" s="6"/>
      <c r="O738" s="6"/>
      <c r="P738" s="6"/>
      <c r="Q738" s="6"/>
      <c r="R738" s="6"/>
      <c r="S738" s="84"/>
      <c r="T738" s="6"/>
      <c r="U738" s="93" t="b">
        <v>1</v>
      </c>
      <c r="V738" s="6" t="s">
        <v>4701</v>
      </c>
      <c r="Z738" t="b">
        <v>0</v>
      </c>
    </row>
    <row r="739" hidden="1">
      <c r="A739" s="99">
        <v>568.0</v>
      </c>
      <c r="B739" s="99" t="s">
        <v>241</v>
      </c>
      <c r="C739" s="99" t="s">
        <v>408</v>
      </c>
      <c r="D739" s="99">
        <v>317104.0</v>
      </c>
      <c r="E739" s="99" t="s">
        <v>346</v>
      </c>
      <c r="F739" s="99" t="s">
        <v>4702</v>
      </c>
      <c r="G739" s="99" t="s">
        <v>4703</v>
      </c>
      <c r="H739" s="99" t="s">
        <v>189</v>
      </c>
      <c r="I739" s="99" t="s">
        <v>551</v>
      </c>
      <c r="J739" s="104"/>
      <c r="K739" s="66" t="str">
        <f>IFNA(VLOOKUP(D739,'EAN Codes'!A:C,2,False),"")</f>
        <v/>
      </c>
      <c r="L739" s="35" t="s">
        <v>269</v>
      </c>
      <c r="M739" s="67"/>
      <c r="S739" s="60"/>
      <c r="U739" s="93" t="b">
        <v>1</v>
      </c>
      <c r="Y739" s="6" t="s">
        <v>452</v>
      </c>
      <c r="Z739" t="b">
        <v>0</v>
      </c>
    </row>
    <row r="740" hidden="1">
      <c r="A740" s="99">
        <v>7.0</v>
      </c>
      <c r="B740" s="6"/>
      <c r="C740" s="6" t="s">
        <v>731</v>
      </c>
      <c r="D740" s="99" t="s">
        <v>4704</v>
      </c>
      <c r="E740" s="99" t="s">
        <v>733</v>
      </c>
      <c r="F740" s="99" t="s">
        <v>4705</v>
      </c>
      <c r="G740" s="99" t="s">
        <v>4706</v>
      </c>
      <c r="J740" s="60"/>
      <c r="K740" s="66" t="str">
        <f>IFNA(VLOOKUP(D740,'EAN Codes'!A:C,2,False),"")</f>
        <v/>
      </c>
      <c r="L740" s="6"/>
      <c r="M740" s="67"/>
      <c r="S740" s="60"/>
      <c r="U740" s="93" t="b">
        <v>1</v>
      </c>
      <c r="Z740" t="b">
        <v>0</v>
      </c>
    </row>
    <row r="741" hidden="1">
      <c r="A741" s="99"/>
      <c r="B741" s="6"/>
      <c r="C741" s="6" t="s">
        <v>731</v>
      </c>
      <c r="D741" s="401" t="s">
        <v>4704</v>
      </c>
      <c r="E741" s="99" t="s">
        <v>733</v>
      </c>
      <c r="F741" s="401" t="s">
        <v>4705</v>
      </c>
      <c r="G741" s="99" t="s">
        <v>4706</v>
      </c>
      <c r="H741" s="101"/>
      <c r="I741" s="101"/>
      <c r="J741" s="110"/>
      <c r="K741" s="66" t="str">
        <f>IFNA(VLOOKUP(D741,'EAN Codes'!A:C,2,False),"")</f>
        <v/>
      </c>
      <c r="L741" s="99"/>
      <c r="M741" s="108"/>
      <c r="N741" s="101"/>
      <c r="O741" s="101"/>
      <c r="P741" s="101"/>
      <c r="Q741" s="101"/>
      <c r="R741" s="101"/>
      <c r="S741" s="110"/>
      <c r="T741" s="101"/>
      <c r="U741" s="93" t="b">
        <v>1</v>
      </c>
      <c r="V741" s="101"/>
      <c r="Z741" t="b">
        <v>0</v>
      </c>
    </row>
    <row r="742" hidden="1">
      <c r="A742" s="99">
        <v>676.0</v>
      </c>
      <c r="B742" s="99" t="s">
        <v>241</v>
      </c>
      <c r="C742" s="99" t="s">
        <v>342</v>
      </c>
      <c r="D742" s="99" t="s">
        <v>4707</v>
      </c>
      <c r="E742" s="99" t="s">
        <v>346</v>
      </c>
      <c r="F742" s="99" t="s">
        <v>4708</v>
      </c>
      <c r="G742" s="99" t="s">
        <v>1132</v>
      </c>
      <c r="H742" s="99" t="s">
        <v>189</v>
      </c>
      <c r="I742" s="99" t="s">
        <v>585</v>
      </c>
      <c r="J742" s="104"/>
      <c r="K742" s="66" t="str">
        <f>IFNA(VLOOKUP(D742,'EAN Codes'!A:C,2,False),"")</f>
        <v>5907615823091</v>
      </c>
      <c r="L742" s="99" t="s">
        <v>269</v>
      </c>
      <c r="M742" s="119"/>
      <c r="N742" s="99"/>
      <c r="O742" s="99"/>
      <c r="P742" s="99"/>
      <c r="Q742" s="99"/>
      <c r="R742" s="99"/>
      <c r="S742" s="104"/>
      <c r="T742" s="99"/>
      <c r="U742" s="93" t="b">
        <v>1</v>
      </c>
      <c r="V742" s="99" t="s">
        <v>4709</v>
      </c>
      <c r="Z742" t="b">
        <v>0</v>
      </c>
    </row>
    <row r="743" hidden="1">
      <c r="A743" s="99" t="s">
        <v>4710</v>
      </c>
      <c r="B743" s="6" t="s">
        <v>241</v>
      </c>
      <c r="C743" s="99" t="s">
        <v>183</v>
      </c>
      <c r="D743" s="101"/>
      <c r="E743" s="99" t="s">
        <v>731</v>
      </c>
      <c r="F743" s="99" t="s">
        <v>4711</v>
      </c>
      <c r="G743" s="101"/>
      <c r="H743" s="99" t="s">
        <v>512</v>
      </c>
      <c r="I743" s="99" t="s">
        <v>2489</v>
      </c>
      <c r="J743" s="104"/>
      <c r="K743" s="66" t="str">
        <f>IFNA(VLOOKUP(D743,'EAN Codes'!A:C,2,False),"")</f>
        <v/>
      </c>
      <c r="L743" s="35"/>
      <c r="M743" s="67"/>
      <c r="S743" s="60"/>
      <c r="U743" s="93" t="b">
        <v>1</v>
      </c>
      <c r="Z743" t="b">
        <v>0</v>
      </c>
    </row>
    <row r="744" hidden="1">
      <c r="B744" s="35" t="s">
        <v>181</v>
      </c>
      <c r="C744" s="6" t="s">
        <v>731</v>
      </c>
      <c r="E744" s="6" t="s">
        <v>4712</v>
      </c>
      <c r="F744" s="6" t="s">
        <v>4713</v>
      </c>
      <c r="H744" s="6" t="s">
        <v>189</v>
      </c>
      <c r="J744" s="60"/>
      <c r="K744" s="66" t="str">
        <f>IFNA(VLOOKUP(D744,'EAN Codes'!A:C,2,False),"")</f>
        <v/>
      </c>
      <c r="M744" s="67"/>
      <c r="S744" s="60"/>
      <c r="U744" s="93" t="b">
        <v>1</v>
      </c>
      <c r="Z744" t="b">
        <v>0</v>
      </c>
    </row>
    <row r="745" hidden="1">
      <c r="A745" s="99">
        <v>223.0</v>
      </c>
      <c r="B745" s="6" t="s">
        <v>241</v>
      </c>
      <c r="C745" s="99" t="s">
        <v>342</v>
      </c>
      <c r="D745" s="99" t="s">
        <v>4718</v>
      </c>
      <c r="E745" s="99" t="s">
        <v>346</v>
      </c>
      <c r="F745" s="99" t="s">
        <v>4719</v>
      </c>
      <c r="G745" s="99" t="s">
        <v>1155</v>
      </c>
      <c r="H745" s="99" t="s">
        <v>1726</v>
      </c>
      <c r="I745" s="99" t="s">
        <v>1971</v>
      </c>
      <c r="J745" s="104"/>
      <c r="K745" s="66" t="str">
        <f>IFNA(VLOOKUP(D745,'EAN Codes'!A:C,2,False),"")</f>
        <v>5907615823473</v>
      </c>
      <c r="L745" s="35"/>
      <c r="M745" s="119"/>
      <c r="N745" s="99"/>
      <c r="O745" s="99"/>
      <c r="P745" s="99"/>
      <c r="Q745" s="99"/>
      <c r="R745" s="99"/>
      <c r="S745" s="104"/>
      <c r="T745" s="99"/>
      <c r="U745" s="93" t="b">
        <v>1</v>
      </c>
      <c r="V745" s="99" t="s">
        <v>4729</v>
      </c>
      <c r="Z745" t="b">
        <v>0</v>
      </c>
    </row>
    <row r="746" hidden="1">
      <c r="A746" s="99">
        <v>109.0</v>
      </c>
      <c r="B746" s="99"/>
      <c r="C746" s="99" t="s">
        <v>408</v>
      </c>
      <c r="D746" s="99" t="s">
        <v>4735</v>
      </c>
      <c r="E746" s="99" t="s">
        <v>346</v>
      </c>
      <c r="F746" s="99" t="s">
        <v>4737</v>
      </c>
      <c r="G746" s="99" t="s">
        <v>4738</v>
      </c>
      <c r="H746" s="99" t="s">
        <v>512</v>
      </c>
      <c r="I746" s="99" t="s">
        <v>2489</v>
      </c>
      <c r="J746" s="104"/>
      <c r="K746" s="66" t="str">
        <f>IFNA(VLOOKUP(D746,'EAN Codes'!A:C,2,False),"")</f>
        <v/>
      </c>
      <c r="L746" s="35"/>
      <c r="M746" s="67"/>
      <c r="S746" s="60"/>
      <c r="U746" s="93" t="b">
        <v>1</v>
      </c>
      <c r="Z746" t="b">
        <v>0</v>
      </c>
    </row>
    <row r="747" hidden="1">
      <c r="A747" s="99">
        <v>9.0</v>
      </c>
      <c r="B747" s="86"/>
      <c r="C747" s="86" t="s">
        <v>408</v>
      </c>
      <c r="D747" s="86" t="s">
        <v>4744</v>
      </c>
      <c r="E747" s="86" t="s">
        <v>346</v>
      </c>
      <c r="F747" s="86" t="s">
        <v>4719</v>
      </c>
      <c r="G747" s="86" t="s">
        <v>569</v>
      </c>
      <c r="H747" s="99" t="s">
        <v>135</v>
      </c>
      <c r="I747" s="115"/>
      <c r="J747" s="263"/>
      <c r="K747" s="66" t="str">
        <f>IFNA(VLOOKUP(D747,'EAN Codes'!A:C,2,False),"")</f>
        <v/>
      </c>
      <c r="L747" s="160"/>
      <c r="M747" s="262"/>
      <c r="N747" s="115"/>
      <c r="O747" s="115"/>
      <c r="P747" s="115"/>
      <c r="Q747" s="115"/>
      <c r="R747" s="115"/>
      <c r="S747" s="263"/>
      <c r="T747" s="115"/>
      <c r="U747" s="93" t="b">
        <v>1</v>
      </c>
      <c r="V747" s="115"/>
      <c r="W747" s="115"/>
      <c r="Z747" t="b">
        <v>0</v>
      </c>
    </row>
    <row r="748" hidden="1">
      <c r="A748" s="99">
        <v>84.0</v>
      </c>
      <c r="B748" s="99"/>
      <c r="C748" s="99" t="s">
        <v>760</v>
      </c>
      <c r="D748" s="99" t="s">
        <v>4745</v>
      </c>
      <c r="E748" s="99" t="s">
        <v>409</v>
      </c>
      <c r="F748" s="99" t="s">
        <v>4746</v>
      </c>
      <c r="G748" s="99" t="s">
        <v>2390</v>
      </c>
      <c r="H748" s="99" t="s">
        <v>135</v>
      </c>
      <c r="I748" s="99" t="s">
        <v>585</v>
      </c>
      <c r="J748" s="104"/>
      <c r="K748" s="66" t="str">
        <f>IFNA(VLOOKUP(D748,'EAN Codes'!A:C,2,False),"")</f>
        <v/>
      </c>
      <c r="L748" s="35"/>
      <c r="M748" s="67"/>
      <c r="S748" s="60"/>
      <c r="U748" s="93" t="b">
        <v>1</v>
      </c>
      <c r="Z748" t="b">
        <v>0</v>
      </c>
    </row>
    <row r="749" hidden="1">
      <c r="A749" s="99">
        <v>387.0</v>
      </c>
      <c r="B749" s="99" t="s">
        <v>241</v>
      </c>
      <c r="C749" s="122" t="s">
        <v>858</v>
      </c>
      <c r="D749" s="217" t="s">
        <v>4747</v>
      </c>
      <c r="E749" s="122" t="s">
        <v>454</v>
      </c>
      <c r="F749" s="122" t="s">
        <v>4748</v>
      </c>
      <c r="G749" s="101"/>
      <c r="H749" s="99" t="s">
        <v>189</v>
      </c>
      <c r="I749" s="99" t="s">
        <v>819</v>
      </c>
      <c r="J749" s="104"/>
      <c r="K749" s="66" t="str">
        <f>IFNA(VLOOKUP(D749,'EAN Codes'!A:C,2,False),"")</f>
        <v>5060128538200</v>
      </c>
      <c r="L749" s="35"/>
      <c r="M749" s="83"/>
      <c r="N749" s="6"/>
      <c r="O749" s="6"/>
      <c r="P749" s="6"/>
      <c r="Q749" s="6"/>
      <c r="R749" s="6"/>
      <c r="S749" s="84"/>
      <c r="T749" s="6"/>
      <c r="U749" s="93" t="b">
        <v>1</v>
      </c>
      <c r="V749" s="6" t="s">
        <v>4749</v>
      </c>
      <c r="Z749" t="b">
        <v>0</v>
      </c>
    </row>
    <row r="750" hidden="1">
      <c r="A750" s="99">
        <v>69.0</v>
      </c>
      <c r="B750" s="99"/>
      <c r="C750" s="99" t="s">
        <v>408</v>
      </c>
      <c r="D750" s="99">
        <v>348062.0</v>
      </c>
      <c r="E750" s="99" t="s">
        <v>346</v>
      </c>
      <c r="F750" s="99" t="s">
        <v>4748</v>
      </c>
      <c r="G750" s="99" t="s">
        <v>3159</v>
      </c>
      <c r="H750" s="99" t="s">
        <v>135</v>
      </c>
      <c r="J750" s="60"/>
      <c r="K750" s="66" t="str">
        <f>IFNA(VLOOKUP(D750,'EAN Codes'!A:C,2,False),"")</f>
        <v/>
      </c>
      <c r="L750" s="35"/>
      <c r="M750" s="67"/>
      <c r="S750" s="60"/>
      <c r="U750" s="93" t="b">
        <v>1</v>
      </c>
      <c r="Z750" t="b">
        <v>0</v>
      </c>
    </row>
    <row r="751" hidden="1">
      <c r="A751" s="99">
        <v>78.0</v>
      </c>
      <c r="B751" s="99"/>
      <c r="C751" s="99" t="s">
        <v>408</v>
      </c>
      <c r="D751" s="99">
        <v>348062.0</v>
      </c>
      <c r="E751" s="99" t="s">
        <v>346</v>
      </c>
      <c r="F751" s="99" t="s">
        <v>4748</v>
      </c>
      <c r="G751" s="99" t="s">
        <v>3159</v>
      </c>
      <c r="H751" s="99" t="s">
        <v>135</v>
      </c>
      <c r="J751" s="60"/>
      <c r="K751" s="66" t="str">
        <f>IFNA(VLOOKUP(D751,'EAN Codes'!A:C,2,False),"")</f>
        <v/>
      </c>
      <c r="L751" s="35"/>
      <c r="M751" s="67"/>
      <c r="S751" s="60"/>
      <c r="U751" s="93" t="b">
        <v>1</v>
      </c>
      <c r="Z751" t="b">
        <v>0</v>
      </c>
    </row>
    <row r="752" hidden="1">
      <c r="A752" s="99">
        <v>26.0</v>
      </c>
      <c r="B752" s="99" t="s">
        <v>181</v>
      </c>
      <c r="C752" s="99" t="s">
        <v>950</v>
      </c>
      <c r="D752" s="99">
        <v>748691.0</v>
      </c>
      <c r="E752" s="99" t="s">
        <v>1110</v>
      </c>
      <c r="F752" s="99" t="s">
        <v>4750</v>
      </c>
      <c r="G752" s="99" t="s">
        <v>569</v>
      </c>
      <c r="H752" s="99" t="s">
        <v>189</v>
      </c>
      <c r="I752" s="101"/>
      <c r="J752" s="110"/>
      <c r="K752" s="66" t="str">
        <f>IFNA(VLOOKUP(D752,'EAN Codes'!A:C,2,False),"")</f>
        <v/>
      </c>
      <c r="M752" s="83"/>
      <c r="N752" s="6"/>
      <c r="O752" s="6"/>
      <c r="P752" s="6"/>
      <c r="Q752" s="6"/>
      <c r="R752" s="6"/>
      <c r="S752" s="84"/>
      <c r="T752" s="6"/>
      <c r="U752" s="93" t="b">
        <v>1</v>
      </c>
      <c r="V752" s="6"/>
      <c r="Z752" t="b">
        <v>0</v>
      </c>
    </row>
    <row r="753" hidden="1">
      <c r="A753" s="99">
        <v>675.0</v>
      </c>
      <c r="B753" s="99" t="s">
        <v>241</v>
      </c>
      <c r="C753" s="99" t="s">
        <v>760</v>
      </c>
      <c r="D753" s="99" t="s">
        <v>4751</v>
      </c>
      <c r="E753" s="99" t="s">
        <v>346</v>
      </c>
      <c r="F753" s="99" t="s">
        <v>4752</v>
      </c>
      <c r="G753" s="99" t="s">
        <v>1057</v>
      </c>
      <c r="H753" s="99" t="s">
        <v>189</v>
      </c>
      <c r="I753" s="99" t="s">
        <v>680</v>
      </c>
      <c r="J753" s="104"/>
      <c r="K753" s="66" t="str">
        <f>IFNA(VLOOKUP(D753,'EAN Codes'!A:C,2,False),"")</f>
        <v>5056150110491</v>
      </c>
      <c r="L753" s="99" t="s">
        <v>269</v>
      </c>
      <c r="M753" s="119"/>
      <c r="N753" s="99"/>
      <c r="O753" s="99"/>
      <c r="P753" s="99"/>
      <c r="Q753" s="99"/>
      <c r="R753" s="99"/>
      <c r="S753" s="104"/>
      <c r="T753" s="99"/>
      <c r="U753" s="93" t="b">
        <v>1</v>
      </c>
      <c r="V753" s="99" t="s">
        <v>4753</v>
      </c>
      <c r="Y753" s="6" t="s">
        <v>452</v>
      </c>
      <c r="Z753" t="b">
        <v>0</v>
      </c>
    </row>
    <row r="754" hidden="1">
      <c r="A754" s="99">
        <v>715.0</v>
      </c>
      <c r="B754" s="99" t="s">
        <v>181</v>
      </c>
      <c r="C754" s="99" t="s">
        <v>950</v>
      </c>
      <c r="D754" s="99">
        <v>737527.0</v>
      </c>
      <c r="E754" s="99" t="s">
        <v>733</v>
      </c>
      <c r="F754" s="99" t="s">
        <v>4754</v>
      </c>
      <c r="G754" s="99" t="s">
        <v>1057</v>
      </c>
      <c r="H754" s="99" t="s">
        <v>189</v>
      </c>
      <c r="J754" s="60"/>
      <c r="K754" s="66" t="str">
        <f>IFNA(VLOOKUP(D754,'EAN Codes'!A:C,2,False),"")</f>
        <v/>
      </c>
      <c r="L754" s="82"/>
      <c r="M754" s="67"/>
      <c r="S754" s="60"/>
      <c r="U754" s="93" t="b">
        <v>1</v>
      </c>
      <c r="Z754" t="b">
        <v>0</v>
      </c>
    </row>
    <row r="755" hidden="1">
      <c r="A755" s="99">
        <v>716.0</v>
      </c>
      <c r="B755" s="99" t="s">
        <v>181</v>
      </c>
      <c r="C755" s="99" t="s">
        <v>950</v>
      </c>
      <c r="D755" s="99">
        <v>737527.0</v>
      </c>
      <c r="E755" s="99" t="s">
        <v>733</v>
      </c>
      <c r="F755" s="99" t="s">
        <v>4754</v>
      </c>
      <c r="G755" s="99" t="s">
        <v>1057</v>
      </c>
      <c r="H755" s="99" t="s">
        <v>189</v>
      </c>
      <c r="J755" s="60"/>
      <c r="K755" s="66" t="str">
        <f>IFNA(VLOOKUP(D755,'EAN Codes'!A:C,2,False),"")</f>
        <v/>
      </c>
      <c r="L755" s="82"/>
      <c r="M755" s="119"/>
      <c r="N755" s="99"/>
      <c r="O755" s="99"/>
      <c r="P755" s="99"/>
      <c r="Q755" s="99"/>
      <c r="R755" s="99"/>
      <c r="S755" s="104"/>
      <c r="T755" s="99"/>
      <c r="U755" s="93" t="b">
        <v>1</v>
      </c>
      <c r="V755" s="99" t="s">
        <v>4755</v>
      </c>
      <c r="Z755" t="b">
        <v>0</v>
      </c>
    </row>
    <row r="756" hidden="1">
      <c r="A756" s="99">
        <v>582.0</v>
      </c>
      <c r="B756" s="99" t="s">
        <v>241</v>
      </c>
      <c r="C756" s="99" t="s">
        <v>342</v>
      </c>
      <c r="D756" s="99" t="s">
        <v>4756</v>
      </c>
      <c r="E756" s="99" t="s">
        <v>346</v>
      </c>
      <c r="F756" s="292" t="s">
        <v>4757</v>
      </c>
      <c r="G756" s="101"/>
      <c r="H756" s="99" t="s">
        <v>189</v>
      </c>
      <c r="I756" s="99" t="s">
        <v>1863</v>
      </c>
      <c r="J756" s="104"/>
      <c r="K756" s="66" t="str">
        <f>IFNA(VLOOKUP(D756,'EAN Codes'!A:C,2,False),"")</f>
        <v>5907615823978</v>
      </c>
      <c r="L756" s="35" t="s">
        <v>269</v>
      </c>
      <c r="M756" s="83"/>
      <c r="N756" s="6"/>
      <c r="O756" s="6"/>
      <c r="P756" s="6"/>
      <c r="Q756" s="6"/>
      <c r="R756" s="6"/>
      <c r="S756" s="84"/>
      <c r="T756" s="6"/>
      <c r="U756" s="93" t="b">
        <v>1</v>
      </c>
      <c r="V756" s="6" t="s">
        <v>4758</v>
      </c>
      <c r="Z756" t="b">
        <v>0</v>
      </c>
    </row>
    <row r="757" hidden="1">
      <c r="A757" s="6">
        <v>884.0</v>
      </c>
      <c r="B757" s="6" t="s">
        <v>241</v>
      </c>
      <c r="C757" s="6" t="s">
        <v>1250</v>
      </c>
      <c r="D757" s="360" t="s">
        <v>4632</v>
      </c>
      <c r="E757" s="6" t="s">
        <v>346</v>
      </c>
      <c r="F757" s="6" t="s">
        <v>4759</v>
      </c>
      <c r="G757" s="6" t="s">
        <v>375</v>
      </c>
      <c r="H757" s="6" t="s">
        <v>189</v>
      </c>
      <c r="I757" s="6" t="s">
        <v>585</v>
      </c>
      <c r="J757" s="84"/>
      <c r="K757" s="66" t="str">
        <f>IFNA(VLOOKUP(D757,'EAN Codes'!A:C,2,False),"")</f>
        <v>8054521993824</v>
      </c>
      <c r="L757" s="82"/>
      <c r="M757" s="83"/>
      <c r="N757" s="6"/>
      <c r="O757" s="6"/>
      <c r="P757" s="6"/>
      <c r="Q757" s="6"/>
      <c r="R757" s="6"/>
      <c r="S757" s="84"/>
      <c r="T757" s="6"/>
      <c r="U757" s="93" t="b">
        <v>1</v>
      </c>
      <c r="V757" s="6" t="s">
        <v>4760</v>
      </c>
      <c r="Z757" t="b">
        <v>0</v>
      </c>
    </row>
    <row r="758" hidden="1">
      <c r="A758" s="99">
        <v>961.0</v>
      </c>
      <c r="B758" s="99" t="s">
        <v>241</v>
      </c>
      <c r="C758" s="99" t="s">
        <v>342</v>
      </c>
      <c r="D758" s="99" t="s">
        <v>4761</v>
      </c>
      <c r="E758" s="99" t="s">
        <v>346</v>
      </c>
      <c r="F758" s="99" t="s">
        <v>4762</v>
      </c>
      <c r="G758" s="99" t="s">
        <v>793</v>
      </c>
      <c r="H758" s="99" t="s">
        <v>189</v>
      </c>
      <c r="I758" s="99" t="s">
        <v>4763</v>
      </c>
      <c r="J758" s="104"/>
      <c r="K758" s="66" t="str">
        <f>IFNA(VLOOKUP(D758,'EAN Codes'!A:C,2,False),"")</f>
        <v>5907615824074</v>
      </c>
      <c r="L758" s="101"/>
      <c r="M758" s="119"/>
      <c r="N758" s="99"/>
      <c r="O758" s="99"/>
      <c r="P758" s="99"/>
      <c r="Q758" s="99"/>
      <c r="R758" s="99"/>
      <c r="S758" s="104"/>
      <c r="T758" s="99"/>
      <c r="U758" s="93" t="b">
        <v>1</v>
      </c>
      <c r="V758" s="99" t="s">
        <v>4764</v>
      </c>
      <c r="Z758" t="b">
        <v>0</v>
      </c>
    </row>
    <row r="759" hidden="1">
      <c r="A759" s="99">
        <v>82.0</v>
      </c>
      <c r="B759" s="99"/>
      <c r="C759" s="99" t="s">
        <v>1966</v>
      </c>
      <c r="D759" s="99" t="s">
        <v>4765</v>
      </c>
      <c r="E759" s="99" t="s">
        <v>409</v>
      </c>
      <c r="F759" s="99" t="s">
        <v>4766</v>
      </c>
      <c r="G759" s="99" t="s">
        <v>1132</v>
      </c>
      <c r="H759" s="99" t="s">
        <v>135</v>
      </c>
      <c r="I759" s="99" t="s">
        <v>1328</v>
      </c>
      <c r="J759" s="104"/>
      <c r="K759" s="66" t="str">
        <f>IFNA(VLOOKUP(D759,'EAN Codes'!A:C,2,False),"")</f>
        <v/>
      </c>
      <c r="L759" s="35"/>
      <c r="M759" s="119"/>
      <c r="N759" s="99"/>
      <c r="O759" s="99"/>
      <c r="P759" s="99"/>
      <c r="Q759" s="99"/>
      <c r="R759" s="99"/>
      <c r="S759" s="104"/>
      <c r="T759" s="99"/>
      <c r="U759" s="93" t="b">
        <v>1</v>
      </c>
      <c r="V759" s="99"/>
      <c r="Z759" t="b">
        <v>0</v>
      </c>
    </row>
    <row r="760" hidden="1">
      <c r="A760" s="35"/>
      <c r="B760" s="99"/>
      <c r="C760" s="99" t="s">
        <v>342</v>
      </c>
      <c r="D760" s="282" t="s">
        <v>4767</v>
      </c>
      <c r="E760" s="99" t="s">
        <v>346</v>
      </c>
      <c r="F760" s="99" t="s">
        <v>4768</v>
      </c>
      <c r="G760" s="99"/>
      <c r="H760" s="99" t="s">
        <v>512</v>
      </c>
      <c r="I760" s="35"/>
      <c r="J760" s="146"/>
      <c r="K760" s="66" t="str">
        <f>IFNA(VLOOKUP(D760,'EAN Codes'!A:C,2,False),"")</f>
        <v>5907615823893</v>
      </c>
      <c r="L760" s="35"/>
      <c r="M760" s="145"/>
      <c r="N760" s="35"/>
      <c r="O760" s="35"/>
      <c r="P760" s="35"/>
      <c r="Q760" s="35"/>
      <c r="R760" s="35"/>
      <c r="S760" s="146"/>
      <c r="T760" s="35"/>
      <c r="U760" s="93" t="b">
        <v>1</v>
      </c>
      <c r="V760" s="35"/>
      <c r="W760" s="82"/>
      <c r="Z760" t="b">
        <v>0</v>
      </c>
    </row>
    <row r="761" hidden="1">
      <c r="A761" s="99">
        <v>809.0</v>
      </c>
      <c r="B761" s="99" t="s">
        <v>241</v>
      </c>
      <c r="C761" s="99" t="s">
        <v>342</v>
      </c>
      <c r="D761" s="99" t="s">
        <v>4767</v>
      </c>
      <c r="E761" s="86" t="s">
        <v>346</v>
      </c>
      <c r="F761" s="99" t="s">
        <v>4769</v>
      </c>
      <c r="G761" s="99" t="s">
        <v>1155</v>
      </c>
      <c r="H761" s="99" t="s">
        <v>189</v>
      </c>
      <c r="I761" s="99" t="s">
        <v>680</v>
      </c>
      <c r="J761" s="104"/>
      <c r="K761" s="66" t="str">
        <f>IFNA(VLOOKUP(D761,'EAN Codes'!A:C,2,False),"")</f>
        <v>5907615823893</v>
      </c>
      <c r="L761" s="101"/>
      <c r="M761" s="119"/>
      <c r="N761" s="99"/>
      <c r="O761" s="99"/>
      <c r="P761" s="99"/>
      <c r="Q761" s="99"/>
      <c r="R761" s="99"/>
      <c r="S761" s="104"/>
      <c r="T761" s="99"/>
      <c r="U761" s="93" t="b">
        <v>1</v>
      </c>
      <c r="V761" s="99" t="s">
        <v>4770</v>
      </c>
      <c r="Z761" t="b">
        <v>0</v>
      </c>
    </row>
    <row r="762" hidden="1">
      <c r="A762" s="6">
        <v>933.0</v>
      </c>
      <c r="B762" s="6" t="s">
        <v>241</v>
      </c>
      <c r="C762" s="6" t="s">
        <v>1250</v>
      </c>
      <c r="D762" s="127" t="s">
        <v>4771</v>
      </c>
      <c r="E762" s="6" t="s">
        <v>409</v>
      </c>
      <c r="F762" s="6" t="s">
        <v>4772</v>
      </c>
      <c r="H762" s="6" t="s">
        <v>189</v>
      </c>
      <c r="I762" s="6" t="s">
        <v>626</v>
      </c>
      <c r="J762" s="84"/>
      <c r="K762" s="66" t="str">
        <f>IFNA(VLOOKUP(D762,'EAN Codes'!A:C,2,False),"")</f>
        <v/>
      </c>
      <c r="L762" s="82"/>
      <c r="M762" s="83"/>
      <c r="N762" s="6"/>
      <c r="O762" s="6"/>
      <c r="P762" s="6"/>
      <c r="Q762" s="6"/>
      <c r="R762" s="6"/>
      <c r="S762" s="84"/>
      <c r="T762" s="6"/>
      <c r="U762" s="93" t="b">
        <v>1</v>
      </c>
      <c r="V762" s="6" t="s">
        <v>4773</v>
      </c>
      <c r="X762" s="6" t="s">
        <v>4774</v>
      </c>
      <c r="Z762" t="b">
        <v>0</v>
      </c>
    </row>
    <row r="763" hidden="1">
      <c r="A763" s="99">
        <v>82.0</v>
      </c>
      <c r="B763" s="99"/>
      <c r="C763" s="99" t="s">
        <v>342</v>
      </c>
      <c r="D763" s="99" t="s">
        <v>4767</v>
      </c>
      <c r="E763" s="99" t="s">
        <v>346</v>
      </c>
      <c r="F763" s="99" t="s">
        <v>4775</v>
      </c>
      <c r="G763" s="99" t="s">
        <v>751</v>
      </c>
      <c r="H763" s="99" t="s">
        <v>512</v>
      </c>
      <c r="I763" s="99" t="s">
        <v>530</v>
      </c>
      <c r="J763" s="104"/>
      <c r="K763" s="66" t="str">
        <f>IFNA(VLOOKUP(D763,'EAN Codes'!A:C,2,False),"")</f>
        <v>5907615823893</v>
      </c>
      <c r="L763" s="35"/>
      <c r="M763" s="67"/>
      <c r="S763" s="60"/>
      <c r="U763" s="93" t="b">
        <v>1</v>
      </c>
      <c r="Z763" t="b">
        <v>0</v>
      </c>
    </row>
    <row r="764" hidden="1">
      <c r="A764" s="86">
        <v>885.0</v>
      </c>
      <c r="B764" s="86" t="s">
        <v>241</v>
      </c>
      <c r="C764" s="86" t="s">
        <v>1250</v>
      </c>
      <c r="D764" s="86" t="s">
        <v>4776</v>
      </c>
      <c r="E764" s="86" t="s">
        <v>409</v>
      </c>
      <c r="F764" s="86" t="s">
        <v>4777</v>
      </c>
      <c r="G764" s="86" t="s">
        <v>1155</v>
      </c>
      <c r="H764" s="86" t="s">
        <v>189</v>
      </c>
      <c r="I764" s="86" t="s">
        <v>819</v>
      </c>
      <c r="J764" s="88"/>
      <c r="K764" s="66" t="str">
        <f>IFNA(VLOOKUP(D764,'EAN Codes'!A:C,2,False),"")</f>
        <v>8058772225369</v>
      </c>
      <c r="L764" s="91"/>
      <c r="M764" s="92"/>
      <c r="N764" s="86"/>
      <c r="O764" s="86"/>
      <c r="P764" s="86"/>
      <c r="Q764" s="86"/>
      <c r="R764" s="86"/>
      <c r="S764" s="88"/>
      <c r="T764" s="86"/>
      <c r="U764" s="93" t="b">
        <v>1</v>
      </c>
      <c r="V764" s="86" t="s">
        <v>4778</v>
      </c>
      <c r="W764" s="91"/>
      <c r="X764" s="91"/>
      <c r="Y764" s="91"/>
      <c r="Z764" t="b">
        <v>0</v>
      </c>
    </row>
    <row r="765" hidden="1">
      <c r="A765" s="86">
        <v>817.0</v>
      </c>
      <c r="B765" s="86" t="s">
        <v>241</v>
      </c>
      <c r="C765" s="91"/>
      <c r="D765" s="91"/>
      <c r="E765" s="86" t="s">
        <v>409</v>
      </c>
      <c r="F765" s="86" t="s">
        <v>4779</v>
      </c>
      <c r="G765" s="91"/>
      <c r="H765" s="86" t="s">
        <v>4780</v>
      </c>
      <c r="I765" s="91"/>
      <c r="J765" s="97"/>
      <c r="K765" s="66" t="str">
        <f>IFNA(VLOOKUP(D765,'EAN Codes'!A:C,2,False),"")</f>
        <v/>
      </c>
      <c r="L765" s="91"/>
      <c r="M765" s="364"/>
      <c r="N765" s="91"/>
      <c r="O765" s="91"/>
      <c r="P765" s="91"/>
      <c r="Q765" s="91"/>
      <c r="R765" s="91"/>
      <c r="S765" s="97"/>
      <c r="T765" s="91"/>
      <c r="U765" s="93" t="b">
        <v>1</v>
      </c>
      <c r="V765" s="91"/>
      <c r="Z765" t="b">
        <v>0</v>
      </c>
    </row>
    <row r="766" hidden="1">
      <c r="A766" s="86">
        <v>441.0</v>
      </c>
      <c r="B766" s="86" t="s">
        <v>241</v>
      </c>
      <c r="C766" s="86" t="s">
        <v>1813</v>
      </c>
      <c r="D766" s="86" t="s">
        <v>4781</v>
      </c>
      <c r="E766" s="86" t="s">
        <v>346</v>
      </c>
      <c r="F766" s="86" t="s">
        <v>4782</v>
      </c>
      <c r="G766" s="91"/>
      <c r="H766" s="86" t="s">
        <v>149</v>
      </c>
      <c r="I766" s="91"/>
      <c r="J766" s="97"/>
      <c r="K766" s="66" t="str">
        <f>IFNA(VLOOKUP(D766,'EAN Codes'!A:C,2,False),"")</f>
        <v/>
      </c>
      <c r="L766" s="86"/>
      <c r="M766" s="92"/>
      <c r="N766" s="86"/>
      <c r="O766" s="86"/>
      <c r="P766" s="86"/>
      <c r="Q766" s="86"/>
      <c r="R766" s="86"/>
      <c r="S766" s="88"/>
      <c r="T766" s="86"/>
      <c r="U766" s="93" t="b">
        <v>1</v>
      </c>
      <c r="V766" s="86" t="s">
        <v>4783</v>
      </c>
      <c r="W766" s="6" t="s">
        <v>4784</v>
      </c>
      <c r="Z766" t="b">
        <v>0</v>
      </c>
    </row>
    <row r="767" hidden="1">
      <c r="A767" s="99">
        <v>385.0</v>
      </c>
      <c r="B767" s="99" t="s">
        <v>241</v>
      </c>
      <c r="C767" s="122" t="s">
        <v>453</v>
      </c>
      <c r="D767" s="121">
        <v>53204.0</v>
      </c>
      <c r="E767" s="122" t="s">
        <v>454</v>
      </c>
      <c r="F767" s="120" t="s">
        <v>4785</v>
      </c>
      <c r="G767" s="101"/>
      <c r="H767" s="99" t="s">
        <v>189</v>
      </c>
      <c r="I767" s="99" t="s">
        <v>1863</v>
      </c>
      <c r="J767" s="104"/>
      <c r="K767" s="66" t="str">
        <f>IFNA(VLOOKUP(D767,'EAN Codes'!A:C,2,False),"")</f>
        <v/>
      </c>
      <c r="L767" s="99"/>
      <c r="M767" s="119"/>
      <c r="N767" s="99"/>
      <c r="O767" s="99"/>
      <c r="P767" s="99"/>
      <c r="Q767" s="99"/>
      <c r="R767" s="99"/>
      <c r="S767" s="104"/>
      <c r="T767" s="99"/>
      <c r="U767" s="93" t="b">
        <v>1</v>
      </c>
      <c r="V767" s="99" t="s">
        <v>4786</v>
      </c>
      <c r="Z767" t="b">
        <v>0</v>
      </c>
    </row>
    <row r="768" hidden="1">
      <c r="A768" s="99">
        <v>386.0</v>
      </c>
      <c r="B768" s="99" t="s">
        <v>241</v>
      </c>
      <c r="C768" s="122" t="s">
        <v>453</v>
      </c>
      <c r="D768" s="121">
        <v>53204.0</v>
      </c>
      <c r="E768" s="122" t="s">
        <v>454</v>
      </c>
      <c r="F768" s="120" t="s">
        <v>4785</v>
      </c>
      <c r="G768" s="101"/>
      <c r="H768" s="99" t="s">
        <v>763</v>
      </c>
      <c r="I768" s="99"/>
      <c r="J768" s="104"/>
      <c r="K768" s="66" t="str">
        <f>IFNA(VLOOKUP(D768,'EAN Codes'!A:C,2,False),"")</f>
        <v/>
      </c>
      <c r="L768" s="99"/>
      <c r="M768" s="119"/>
      <c r="N768" s="99"/>
      <c r="O768" s="99"/>
      <c r="P768" s="99"/>
      <c r="Q768" s="99"/>
      <c r="R768" s="99"/>
      <c r="S768" s="104"/>
      <c r="T768" s="99"/>
      <c r="U768" s="93" t="b">
        <v>1</v>
      </c>
      <c r="V768" s="99" t="s">
        <v>4787</v>
      </c>
      <c r="Z768" t="b">
        <v>0</v>
      </c>
    </row>
    <row r="769" hidden="1">
      <c r="A769" s="99">
        <v>302.0</v>
      </c>
      <c r="B769" s="99" t="s">
        <v>241</v>
      </c>
      <c r="C769" s="99" t="s">
        <v>408</v>
      </c>
      <c r="D769" s="99">
        <v>335345.0</v>
      </c>
      <c r="E769" s="99" t="s">
        <v>346</v>
      </c>
      <c r="F769" s="99" t="s">
        <v>4788</v>
      </c>
      <c r="G769" s="99" t="s">
        <v>1013</v>
      </c>
      <c r="H769" s="99" t="s">
        <v>189</v>
      </c>
      <c r="I769" s="99" t="s">
        <v>1634</v>
      </c>
      <c r="J769" s="104"/>
      <c r="K769" s="66" t="str">
        <f>IFNA(VLOOKUP(D769,'EAN Codes'!A:C,2,False),"")</f>
        <v/>
      </c>
      <c r="L769" s="99"/>
      <c r="M769" s="67"/>
      <c r="S769" s="60"/>
      <c r="U769" s="93" t="b">
        <v>1</v>
      </c>
      <c r="Z769" t="b">
        <v>0</v>
      </c>
    </row>
    <row r="770" hidden="1">
      <c r="A770" s="101"/>
      <c r="B770" s="99"/>
      <c r="C770" s="99" t="s">
        <v>342</v>
      </c>
      <c r="D770" s="99" t="s">
        <v>4789</v>
      </c>
      <c r="E770" s="99" t="s">
        <v>346</v>
      </c>
      <c r="F770" s="99" t="s">
        <v>4790</v>
      </c>
      <c r="G770" s="99">
        <v>2013.0</v>
      </c>
      <c r="H770" s="99" t="s">
        <v>698</v>
      </c>
      <c r="I770" s="101"/>
      <c r="J770" s="110"/>
      <c r="K770" s="66" t="str">
        <f>IFNA(VLOOKUP(D770,'EAN Codes'!A:C,2,False),"")</f>
        <v>5907615824289</v>
      </c>
      <c r="L770" s="35"/>
      <c r="M770" s="119"/>
      <c r="N770" s="99"/>
      <c r="O770" s="99"/>
      <c r="P770" s="99"/>
      <c r="Q770" s="99"/>
      <c r="R770" s="99"/>
      <c r="S770" s="104"/>
      <c r="T770" s="99"/>
      <c r="U770" s="93" t="b">
        <v>1</v>
      </c>
      <c r="V770" s="99"/>
      <c r="W770" s="101"/>
      <c r="Z770" t="b">
        <v>0</v>
      </c>
    </row>
    <row r="771" hidden="1">
      <c r="A771" s="99">
        <v>434.0</v>
      </c>
      <c r="B771" s="99" t="s">
        <v>241</v>
      </c>
      <c r="C771" s="99" t="s">
        <v>1813</v>
      </c>
      <c r="D771" s="402" t="s">
        <v>4781</v>
      </c>
      <c r="E771" s="99" t="s">
        <v>346</v>
      </c>
      <c r="F771" s="99" t="s">
        <v>4791</v>
      </c>
      <c r="G771" s="292" t="s">
        <v>1013</v>
      </c>
      <c r="H771" s="99" t="s">
        <v>189</v>
      </c>
      <c r="I771" s="99" t="s">
        <v>1863</v>
      </c>
      <c r="J771" s="104"/>
      <c r="K771" s="66" t="str">
        <f>IFNA(VLOOKUP(D771,'EAN Codes'!A:C,2,False),"")</f>
        <v/>
      </c>
      <c r="L771" s="99" t="s">
        <v>269</v>
      </c>
      <c r="M771" s="159"/>
      <c r="N771" s="160"/>
      <c r="O771" s="160"/>
      <c r="P771" s="160"/>
      <c r="Q771" s="160"/>
      <c r="R771" s="160"/>
      <c r="S771" s="161"/>
      <c r="T771" s="160"/>
      <c r="U771" s="93" t="b">
        <v>1</v>
      </c>
      <c r="V771" s="160" t="s">
        <v>4792</v>
      </c>
      <c r="Z771" t="b">
        <v>0</v>
      </c>
    </row>
    <row r="772" hidden="1">
      <c r="A772" s="99">
        <v>101.0</v>
      </c>
      <c r="B772" s="99" t="s">
        <v>241</v>
      </c>
      <c r="C772" s="99" t="s">
        <v>1217</v>
      </c>
      <c r="D772" s="99" t="s">
        <v>4793</v>
      </c>
      <c r="E772" s="99" t="s">
        <v>346</v>
      </c>
      <c r="F772" s="99" t="s">
        <v>4791</v>
      </c>
      <c r="G772" s="99" t="s">
        <v>4794</v>
      </c>
      <c r="H772" s="99" t="s">
        <v>189</v>
      </c>
      <c r="I772" s="99" t="s">
        <v>458</v>
      </c>
      <c r="J772" s="104"/>
      <c r="K772" s="66" t="str">
        <f>IFNA(VLOOKUP(D772,'EAN Codes'!A:C,2,False),"")</f>
        <v/>
      </c>
      <c r="L772" s="99" t="s">
        <v>92</v>
      </c>
      <c r="M772" s="119"/>
      <c r="N772" s="99"/>
      <c r="O772" s="99"/>
      <c r="P772" s="99"/>
      <c r="Q772" s="99"/>
      <c r="R772" s="99"/>
      <c r="S772" s="104"/>
      <c r="T772" s="99"/>
      <c r="U772" s="93" t="b">
        <v>1</v>
      </c>
      <c r="V772" s="99" t="s">
        <v>4795</v>
      </c>
      <c r="X772" s="106"/>
      <c r="Z772" t="b">
        <v>0</v>
      </c>
    </row>
    <row r="773" hidden="1">
      <c r="A773" s="99">
        <v>804.0</v>
      </c>
      <c r="B773" s="99" t="s">
        <v>241</v>
      </c>
      <c r="C773" s="99" t="s">
        <v>760</v>
      </c>
      <c r="D773" s="99" t="s">
        <v>4796</v>
      </c>
      <c r="E773" s="99" t="s">
        <v>373</v>
      </c>
      <c r="F773" s="99" t="s">
        <v>4797</v>
      </c>
      <c r="G773" s="99" t="s">
        <v>1013</v>
      </c>
      <c r="H773" s="99" t="s">
        <v>189</v>
      </c>
      <c r="I773" s="99" t="s">
        <v>570</v>
      </c>
      <c r="J773" s="104"/>
      <c r="K773" s="66" t="str">
        <f>IFNA(VLOOKUP(D773,'EAN Codes'!A:C,2,False),"")</f>
        <v>5060128538880</v>
      </c>
      <c r="L773" s="82"/>
      <c r="M773" s="83"/>
      <c r="N773" s="6"/>
      <c r="O773" s="6"/>
      <c r="P773" s="6"/>
      <c r="Q773" s="6"/>
      <c r="R773" s="6"/>
      <c r="S773" s="84"/>
      <c r="T773" s="6"/>
      <c r="U773" s="93" t="b">
        <v>1</v>
      </c>
      <c r="V773" s="6" t="s">
        <v>4798</v>
      </c>
      <c r="Z773" t="b">
        <v>0</v>
      </c>
    </row>
    <row r="774" hidden="1">
      <c r="A774" s="99">
        <v>703.0</v>
      </c>
      <c r="B774" s="99" t="s">
        <v>241</v>
      </c>
      <c r="C774" s="99" t="s">
        <v>342</v>
      </c>
      <c r="D774" s="99" t="s">
        <v>4799</v>
      </c>
      <c r="E774" s="99" t="s">
        <v>409</v>
      </c>
      <c r="F774" s="99" t="s">
        <v>4797</v>
      </c>
      <c r="G774" s="99" t="s">
        <v>1013</v>
      </c>
      <c r="H774" s="99" t="s">
        <v>189</v>
      </c>
      <c r="I774" s="99" t="s">
        <v>418</v>
      </c>
      <c r="J774" s="104"/>
      <c r="K774" s="66" t="str">
        <f>IFNA(VLOOKUP(D774,'EAN Codes'!A:C,2,False),"")</f>
        <v>5907615824296</v>
      </c>
      <c r="L774" s="35" t="s">
        <v>269</v>
      </c>
      <c r="M774" s="83"/>
      <c r="N774" s="6"/>
      <c r="O774" s="6"/>
      <c r="P774" s="6"/>
      <c r="Q774" s="6"/>
      <c r="R774" s="6"/>
      <c r="S774" s="84"/>
      <c r="T774" s="6"/>
      <c r="U774" s="93" t="b">
        <v>1</v>
      </c>
      <c r="V774" s="6" t="s">
        <v>4800</v>
      </c>
      <c r="Z774" t="b">
        <v>0</v>
      </c>
    </row>
    <row r="775" hidden="1">
      <c r="A775" s="99">
        <v>708.0</v>
      </c>
      <c r="B775" s="99" t="s">
        <v>241</v>
      </c>
      <c r="C775" s="99" t="s">
        <v>342</v>
      </c>
      <c r="D775" s="99" t="s">
        <v>4789</v>
      </c>
      <c r="E775" s="99" t="s">
        <v>346</v>
      </c>
      <c r="F775" s="99" t="s">
        <v>4797</v>
      </c>
      <c r="G775" s="99" t="s">
        <v>1013</v>
      </c>
      <c r="H775" s="99" t="s">
        <v>189</v>
      </c>
      <c r="I775" s="99" t="s">
        <v>418</v>
      </c>
      <c r="J775" s="104"/>
      <c r="K775" s="66" t="str">
        <f>IFNA(VLOOKUP(D775,'EAN Codes'!A:C,2,False),"")</f>
        <v>5907615824289</v>
      </c>
      <c r="L775" s="99" t="s">
        <v>269</v>
      </c>
      <c r="M775" s="119"/>
      <c r="N775" s="99"/>
      <c r="O775" s="99"/>
      <c r="P775" s="99"/>
      <c r="Q775" s="99"/>
      <c r="R775" s="99"/>
      <c r="S775" s="104"/>
      <c r="T775" s="99"/>
      <c r="U775" s="93" t="b">
        <v>1</v>
      </c>
      <c r="V775" s="99" t="s">
        <v>4801</v>
      </c>
      <c r="Z775" t="b">
        <v>0</v>
      </c>
    </row>
    <row r="776" hidden="1">
      <c r="A776" s="86">
        <v>896.0</v>
      </c>
      <c r="B776" s="86" t="s">
        <v>241</v>
      </c>
      <c r="C776" s="86" t="s">
        <v>408</v>
      </c>
      <c r="D776" s="86">
        <v>335301.0</v>
      </c>
      <c r="E776" s="86" t="s">
        <v>346</v>
      </c>
      <c r="F776" s="86" t="s">
        <v>4802</v>
      </c>
      <c r="G776" s="403">
        <v>42802.0</v>
      </c>
      <c r="H776" s="99" t="s">
        <v>189</v>
      </c>
      <c r="I776" s="86" t="s">
        <v>483</v>
      </c>
      <c r="J776" s="88"/>
      <c r="K776" s="66" t="str">
        <f>IFNA(VLOOKUP(D776,'EAN Codes'!A:C,2,False),"")</f>
        <v/>
      </c>
      <c r="L776" s="86" t="s">
        <v>269</v>
      </c>
      <c r="M776" s="159"/>
      <c r="N776" s="160"/>
      <c r="O776" s="160"/>
      <c r="P776" s="160"/>
      <c r="Q776" s="160"/>
      <c r="R776" s="160"/>
      <c r="S776" s="161"/>
      <c r="T776" s="160"/>
      <c r="U776" s="93" t="b">
        <v>1</v>
      </c>
      <c r="V776" s="160" t="s">
        <v>4803</v>
      </c>
      <c r="Y776" s="6" t="s">
        <v>452</v>
      </c>
      <c r="Z776" t="b">
        <v>0</v>
      </c>
    </row>
    <row r="777" hidden="1">
      <c r="A777" s="99">
        <v>700.0</v>
      </c>
      <c r="B777" s="99" t="s">
        <v>241</v>
      </c>
      <c r="C777" s="99" t="s">
        <v>342</v>
      </c>
      <c r="D777" s="99" t="s">
        <v>4804</v>
      </c>
      <c r="E777" s="99" t="s">
        <v>346</v>
      </c>
      <c r="F777" s="99" t="s">
        <v>4805</v>
      </c>
      <c r="G777" s="99" t="s">
        <v>1013</v>
      </c>
      <c r="H777" s="99" t="s">
        <v>189</v>
      </c>
      <c r="I777" s="99" t="s">
        <v>570</v>
      </c>
      <c r="J777" s="104"/>
      <c r="K777" s="66" t="str">
        <f>IFNA(VLOOKUP(D777,'EAN Codes'!A:C,2,False),"")</f>
        <v>5907615824265</v>
      </c>
      <c r="L777" s="99" t="s">
        <v>269</v>
      </c>
      <c r="M777" s="67"/>
      <c r="S777" s="60"/>
      <c r="U777" s="93" t="b">
        <v>1</v>
      </c>
      <c r="Z777" t="b">
        <v>0</v>
      </c>
    </row>
    <row r="778" hidden="1">
      <c r="A778" s="99">
        <v>397.0</v>
      </c>
      <c r="B778" s="99" t="s">
        <v>241</v>
      </c>
      <c r="C778" s="122" t="s">
        <v>858</v>
      </c>
      <c r="D778" s="217" t="s">
        <v>4806</v>
      </c>
      <c r="E778" s="122" t="s">
        <v>864</v>
      </c>
      <c r="F778" s="122" t="s">
        <v>4807</v>
      </c>
      <c r="G778" s="122" t="s">
        <v>870</v>
      </c>
      <c r="H778" s="99" t="s">
        <v>189</v>
      </c>
      <c r="I778" s="99" t="s">
        <v>819</v>
      </c>
      <c r="J778" s="104"/>
      <c r="K778" s="66" t="str">
        <f>IFNA(VLOOKUP(D778,'EAN Codes'!A:C,2,False),"")</f>
        <v>5056150201404</v>
      </c>
      <c r="L778" s="35" t="s">
        <v>269</v>
      </c>
      <c r="M778" s="83"/>
      <c r="N778" s="6"/>
      <c r="O778" s="6"/>
      <c r="P778" s="6"/>
      <c r="Q778" s="6"/>
      <c r="R778" s="6"/>
      <c r="S778" s="84"/>
      <c r="T778" s="6"/>
      <c r="U778" s="93" t="b">
        <v>1</v>
      </c>
      <c r="V778" s="6" t="s">
        <v>4808</v>
      </c>
      <c r="Y778" s="6" t="s">
        <v>452</v>
      </c>
      <c r="Z778" t="b">
        <v>0</v>
      </c>
    </row>
    <row r="779" hidden="1">
      <c r="A779" s="99">
        <v>130.0</v>
      </c>
      <c r="B779" s="99"/>
      <c r="C779" s="99" t="s">
        <v>342</v>
      </c>
      <c r="D779" s="99" t="s">
        <v>4809</v>
      </c>
      <c r="E779" s="99" t="s">
        <v>346</v>
      </c>
      <c r="F779" s="99" t="s">
        <v>4810</v>
      </c>
      <c r="G779" s="99" t="s">
        <v>4261</v>
      </c>
      <c r="H779" s="99" t="s">
        <v>512</v>
      </c>
      <c r="I779" s="99" t="s">
        <v>1328</v>
      </c>
      <c r="J779" s="104"/>
      <c r="K779" s="66" t="str">
        <f>IFNA(VLOOKUP(D779,'EAN Codes'!A:C,2,False),"")</f>
        <v>5907615824562</v>
      </c>
      <c r="L779" s="35"/>
      <c r="M779" s="67"/>
      <c r="S779" s="60"/>
      <c r="U779" s="93" t="b">
        <v>1</v>
      </c>
      <c r="Z779" t="b">
        <v>0</v>
      </c>
    </row>
    <row r="780" hidden="1">
      <c r="A780" s="99">
        <v>123.0</v>
      </c>
      <c r="B780" s="99" t="s">
        <v>241</v>
      </c>
      <c r="C780" s="99" t="s">
        <v>4811</v>
      </c>
      <c r="D780" s="99" t="s">
        <v>4812</v>
      </c>
      <c r="E780" s="99" t="s">
        <v>346</v>
      </c>
      <c r="F780" s="99" t="s">
        <v>4813</v>
      </c>
      <c r="G780" s="99" t="s">
        <v>4814</v>
      </c>
      <c r="H780" s="99" t="s">
        <v>189</v>
      </c>
      <c r="I780" s="99" t="s">
        <v>1328</v>
      </c>
      <c r="J780" s="104"/>
      <c r="K780" s="66" t="str">
        <f>IFNA(VLOOKUP(D780,'EAN Codes'!A:C,2,False),"")</f>
        <v/>
      </c>
      <c r="L780" s="35" t="s">
        <v>269</v>
      </c>
      <c r="M780" s="119"/>
      <c r="N780" s="99"/>
      <c r="O780" s="99"/>
      <c r="P780" s="99"/>
      <c r="Q780" s="99"/>
      <c r="R780" s="99"/>
      <c r="S780" s="104"/>
      <c r="T780" s="99"/>
      <c r="U780" s="93" t="b">
        <v>1</v>
      </c>
      <c r="V780" s="99" t="s">
        <v>4815</v>
      </c>
      <c r="Z780" t="b">
        <v>0</v>
      </c>
    </row>
    <row r="781" hidden="1">
      <c r="A781" s="86">
        <v>278.0</v>
      </c>
      <c r="B781" s="6" t="s">
        <v>241</v>
      </c>
      <c r="C781" s="86" t="s">
        <v>342</v>
      </c>
      <c r="D781" s="86" t="s">
        <v>4816</v>
      </c>
      <c r="E781" s="86" t="s">
        <v>346</v>
      </c>
      <c r="F781" s="86" t="s">
        <v>4817</v>
      </c>
      <c r="G781" s="86" t="s">
        <v>4814</v>
      </c>
      <c r="H781" s="86" t="s">
        <v>189</v>
      </c>
      <c r="I781" s="86" t="s">
        <v>1634</v>
      </c>
      <c r="J781" s="88"/>
      <c r="K781" s="66" t="str">
        <f>IFNA(VLOOKUP(D781,'EAN Codes'!A:C,2,False),"")</f>
        <v>5907615824463</v>
      </c>
      <c r="L781" s="160"/>
      <c r="M781" s="92"/>
      <c r="N781" s="86"/>
      <c r="O781" s="86"/>
      <c r="P781" s="86"/>
      <c r="Q781" s="86"/>
      <c r="R781" s="86"/>
      <c r="S781" s="88"/>
      <c r="T781" s="86"/>
      <c r="U781" s="93" t="b">
        <v>1</v>
      </c>
      <c r="V781" s="86"/>
      <c r="W781" s="115"/>
      <c r="X781" s="115"/>
      <c r="Y781" s="115"/>
      <c r="Z781" s="101" t="b">
        <v>0</v>
      </c>
      <c r="AA781" s="101"/>
      <c r="AB781" s="101"/>
      <c r="AC781" s="101"/>
      <c r="AD781" s="101"/>
      <c r="AE781" s="101"/>
    </row>
    <row r="782" hidden="1">
      <c r="A782" s="99"/>
      <c r="B782" s="99"/>
      <c r="C782" s="99" t="s">
        <v>342</v>
      </c>
      <c r="D782" s="99" t="s">
        <v>4818</v>
      </c>
      <c r="E782" s="99" t="s">
        <v>346</v>
      </c>
      <c r="F782" s="99" t="s">
        <v>4819</v>
      </c>
      <c r="G782" s="271">
        <v>42469.0</v>
      </c>
      <c r="H782" s="99" t="s">
        <v>512</v>
      </c>
      <c r="I782" s="99" t="s">
        <v>585</v>
      </c>
      <c r="J782" s="104"/>
      <c r="K782" s="66" t="str">
        <f>IFNA(VLOOKUP(D782,'EAN Codes'!A:C,2,False),"")</f>
        <v>5907615824548</v>
      </c>
      <c r="L782" s="35"/>
      <c r="M782" s="119"/>
      <c r="N782" s="99"/>
      <c r="O782" s="99"/>
      <c r="P782" s="99"/>
      <c r="Q782" s="99"/>
      <c r="R782" s="99"/>
      <c r="S782" s="104"/>
      <c r="T782" s="99"/>
      <c r="U782" s="93" t="b">
        <v>1</v>
      </c>
      <c r="V782" s="99" t="s">
        <v>4820</v>
      </c>
      <c r="Z782" t="b">
        <v>0</v>
      </c>
    </row>
    <row r="783" hidden="1">
      <c r="A783" s="6">
        <v>719.0</v>
      </c>
      <c r="B783" s="6" t="s">
        <v>241</v>
      </c>
      <c r="C783" s="6" t="s">
        <v>342</v>
      </c>
      <c r="D783" s="127" t="s">
        <v>4821</v>
      </c>
      <c r="E783" s="6" t="s">
        <v>4822</v>
      </c>
      <c r="F783" s="6" t="s">
        <v>4821</v>
      </c>
      <c r="H783" s="6" t="s">
        <v>189</v>
      </c>
      <c r="I783" s="6" t="s">
        <v>397</v>
      </c>
      <c r="J783" s="84"/>
      <c r="K783" s="66" t="str">
        <f>IFNA(VLOOKUP(D783,'EAN Codes'!A:C,2,False),"")</f>
        <v/>
      </c>
      <c r="L783" s="35" t="s">
        <v>269</v>
      </c>
      <c r="M783" s="67"/>
      <c r="S783" s="60"/>
      <c r="U783" s="93" t="b">
        <v>1</v>
      </c>
      <c r="Z783" t="b">
        <v>0</v>
      </c>
    </row>
    <row r="784" hidden="1">
      <c r="A784" s="99">
        <v>27.0</v>
      </c>
      <c r="B784" s="99" t="s">
        <v>241</v>
      </c>
      <c r="C784" s="99" t="s">
        <v>408</v>
      </c>
      <c r="D784" s="99">
        <v>335299.0</v>
      </c>
      <c r="E784" s="99" t="s">
        <v>2639</v>
      </c>
      <c r="F784" s="99" t="s">
        <v>4823</v>
      </c>
      <c r="G784" s="99" t="s">
        <v>4385</v>
      </c>
      <c r="H784" s="99" t="s">
        <v>189</v>
      </c>
      <c r="I784" s="99" t="s">
        <v>2489</v>
      </c>
      <c r="J784" s="104"/>
      <c r="K784" s="66" t="str">
        <f>IFNA(VLOOKUP(D784,'EAN Codes'!A:C,2,False),"")</f>
        <v/>
      </c>
      <c r="L784" s="99" t="s">
        <v>269</v>
      </c>
      <c r="M784" s="119"/>
      <c r="N784" s="99"/>
      <c r="O784" s="99"/>
      <c r="P784" s="99"/>
      <c r="Q784" s="99"/>
      <c r="R784" s="99"/>
      <c r="S784" s="104"/>
      <c r="T784" s="99"/>
      <c r="U784" s="93" t="b">
        <v>1</v>
      </c>
      <c r="V784" s="99" t="s">
        <v>4824</v>
      </c>
      <c r="W784" s="6"/>
      <c r="Z784" t="b">
        <v>0</v>
      </c>
    </row>
    <row r="785" hidden="1">
      <c r="A785" s="35">
        <v>972.0</v>
      </c>
      <c r="B785" s="35" t="s">
        <v>241</v>
      </c>
      <c r="C785" s="35" t="s">
        <v>408</v>
      </c>
      <c r="D785" s="365" t="s">
        <v>4825</v>
      </c>
      <c r="E785" s="35" t="s">
        <v>2639</v>
      </c>
      <c r="F785" s="35" t="s">
        <v>4670</v>
      </c>
      <c r="G785" s="82"/>
      <c r="H785" s="35" t="s">
        <v>189</v>
      </c>
      <c r="I785" s="35" t="s">
        <v>1634</v>
      </c>
      <c r="J785" s="146"/>
      <c r="K785" s="404" t="str">
        <f>IFNA(VLOOKUP(D785,'EAN Codes'!A:C,2,False),"")</f>
        <v>4250141161979</v>
      </c>
      <c r="L785" s="82"/>
      <c r="M785" s="145"/>
      <c r="N785" s="35"/>
      <c r="O785" s="35"/>
      <c r="P785" s="35"/>
      <c r="Q785" s="35"/>
      <c r="R785" s="35"/>
      <c r="S785" s="146"/>
      <c r="T785" s="35"/>
      <c r="U785" s="93" t="b">
        <v>1</v>
      </c>
      <c r="V785" s="35" t="s">
        <v>4826</v>
      </c>
      <c r="W785" s="6" t="s">
        <v>4827</v>
      </c>
      <c r="Z785" t="b">
        <v>0</v>
      </c>
    </row>
    <row r="786" hidden="1">
      <c r="A786" s="99">
        <v>417.0</v>
      </c>
      <c r="B786" s="99" t="s">
        <v>241</v>
      </c>
      <c r="C786" s="99" t="s">
        <v>1250</v>
      </c>
      <c r="D786" s="99" t="s">
        <v>4828</v>
      </c>
      <c r="E786" s="99" t="s">
        <v>346</v>
      </c>
      <c r="F786" s="99" t="s">
        <v>4829</v>
      </c>
      <c r="G786" s="101"/>
      <c r="H786" s="99" t="s">
        <v>189</v>
      </c>
      <c r="I786" s="99" t="s">
        <v>819</v>
      </c>
      <c r="J786" s="104"/>
      <c r="K786" s="66" t="str">
        <f>IFNA(VLOOKUP(D786,'EAN Codes'!A:C,2,False),"")</f>
        <v>5907615825248</v>
      </c>
      <c r="L786" s="99"/>
      <c r="M786" s="119"/>
      <c r="N786" s="99"/>
      <c r="O786" s="99"/>
      <c r="P786" s="99"/>
      <c r="Q786" s="99"/>
      <c r="R786" s="99"/>
      <c r="S786" s="104"/>
      <c r="T786" s="99"/>
      <c r="U786" s="93" t="b">
        <v>1</v>
      </c>
      <c r="V786" s="99" t="s">
        <v>4830</v>
      </c>
      <c r="Z786" t="b">
        <v>0</v>
      </c>
    </row>
    <row r="787" hidden="1">
      <c r="A787" s="99">
        <v>142.0</v>
      </c>
      <c r="B787" s="99" t="s">
        <v>241</v>
      </c>
      <c r="C787" s="99" t="s">
        <v>342</v>
      </c>
      <c r="D787" s="99" t="s">
        <v>4831</v>
      </c>
      <c r="E787" s="99" t="s">
        <v>1390</v>
      </c>
      <c r="F787" s="99" t="s">
        <v>4832</v>
      </c>
      <c r="G787" s="99" t="s">
        <v>3085</v>
      </c>
      <c r="H787" s="99" t="s">
        <v>189</v>
      </c>
      <c r="I787" s="99" t="s">
        <v>1634</v>
      </c>
      <c r="J787" s="104"/>
      <c r="K787" s="66" t="str">
        <f>IFNA(VLOOKUP(D787,'EAN Codes'!A:C,2,False),"")</f>
        <v>5907615825194</v>
      </c>
      <c r="L787" s="35" t="s">
        <v>269</v>
      </c>
      <c r="M787" s="276"/>
      <c r="N787" s="106"/>
      <c r="O787" s="106"/>
      <c r="P787" s="106"/>
      <c r="Q787" s="106"/>
      <c r="R787" s="106"/>
      <c r="S787" s="274"/>
      <c r="T787" s="106"/>
      <c r="U787" s="93" t="b">
        <v>1</v>
      </c>
      <c r="V787" s="106"/>
      <c r="Z787" t="b">
        <v>0</v>
      </c>
    </row>
    <row r="788" hidden="1">
      <c r="A788" s="91"/>
      <c r="B788" s="86"/>
      <c r="C788" s="86" t="s">
        <v>408</v>
      </c>
      <c r="D788" s="86">
        <v>335392.0</v>
      </c>
      <c r="E788" s="86" t="s">
        <v>346</v>
      </c>
      <c r="F788" s="86" t="s">
        <v>4833</v>
      </c>
      <c r="G788" s="86" t="s">
        <v>4834</v>
      </c>
      <c r="H788" s="86" t="s">
        <v>4835</v>
      </c>
      <c r="I788" s="91"/>
      <c r="J788" s="97"/>
      <c r="K788" s="66" t="str">
        <f>IFNA(VLOOKUP(D788,'EAN Codes'!A:C,2,False),"")</f>
        <v/>
      </c>
      <c r="L788" s="160"/>
      <c r="M788" s="92"/>
      <c r="N788" s="86"/>
      <c r="O788" s="86"/>
      <c r="P788" s="86"/>
      <c r="Q788" s="86"/>
      <c r="R788" s="86"/>
      <c r="S788" s="88"/>
      <c r="T788" s="86"/>
      <c r="U788" s="93" t="b">
        <v>1</v>
      </c>
      <c r="V788" s="86" t="s">
        <v>4836</v>
      </c>
      <c r="Z788" t="b">
        <v>0</v>
      </c>
    </row>
    <row r="789" hidden="1">
      <c r="A789" s="86">
        <v>306.0</v>
      </c>
      <c r="B789" s="6" t="s">
        <v>241</v>
      </c>
      <c r="C789" s="86" t="s">
        <v>342</v>
      </c>
      <c r="D789" s="86" t="s">
        <v>4837</v>
      </c>
      <c r="E789" s="86" t="s">
        <v>346</v>
      </c>
      <c r="F789" s="86" t="s">
        <v>4838</v>
      </c>
      <c r="G789" s="86" t="s">
        <v>1013</v>
      </c>
      <c r="H789" s="86" t="s">
        <v>4839</v>
      </c>
      <c r="I789" s="91"/>
      <c r="J789" s="97"/>
      <c r="K789" s="66" t="str">
        <f>IFNA(VLOOKUP(D789,'EAN Codes'!A:C,2,False),"")</f>
        <v>5907615825415</v>
      </c>
      <c r="L789" s="160"/>
      <c r="M789" s="92"/>
      <c r="N789" s="86"/>
      <c r="O789" s="86"/>
      <c r="P789" s="86"/>
      <c r="Q789" s="86"/>
      <c r="R789" s="86"/>
      <c r="S789" s="88"/>
      <c r="T789" s="86"/>
      <c r="U789" s="93" t="b">
        <v>1</v>
      </c>
      <c r="V789" s="86" t="s">
        <v>4840</v>
      </c>
      <c r="Z789" t="b">
        <v>0</v>
      </c>
    </row>
    <row r="790" hidden="1">
      <c r="A790" s="99">
        <v>169.0</v>
      </c>
      <c r="B790" s="99"/>
      <c r="C790" s="99" t="s">
        <v>342</v>
      </c>
      <c r="D790" s="99" t="s">
        <v>4837</v>
      </c>
      <c r="E790" s="99" t="s">
        <v>346</v>
      </c>
      <c r="F790" s="99" t="s">
        <v>4838</v>
      </c>
      <c r="G790" s="99" t="s">
        <v>2445</v>
      </c>
      <c r="H790" s="99" t="s">
        <v>189</v>
      </c>
      <c r="I790" s="99" t="s">
        <v>458</v>
      </c>
      <c r="J790" s="104"/>
      <c r="K790" s="66" t="str">
        <f>IFNA(VLOOKUP(D790,'EAN Codes'!A:C,2,False),"")</f>
        <v>5907615825415</v>
      </c>
      <c r="L790" s="35"/>
      <c r="M790" s="119"/>
      <c r="N790" s="99"/>
      <c r="O790" s="99"/>
      <c r="P790" s="99"/>
      <c r="Q790" s="99"/>
      <c r="R790" s="99"/>
      <c r="S790" s="104"/>
      <c r="T790" s="99"/>
      <c r="U790" s="93" t="b">
        <v>1</v>
      </c>
      <c r="V790" s="99" t="s">
        <v>4841</v>
      </c>
      <c r="Z790" s="405" t="b">
        <v>0</v>
      </c>
      <c r="AA790" s="405"/>
      <c r="AB790" s="405"/>
      <c r="AC790" s="405"/>
      <c r="AD790" s="405"/>
      <c r="AE790" s="405"/>
    </row>
    <row r="791" hidden="1">
      <c r="A791" s="99">
        <v>0.0</v>
      </c>
      <c r="B791" s="6" t="s">
        <v>241</v>
      </c>
      <c r="C791" s="99" t="s">
        <v>342</v>
      </c>
      <c r="D791" s="99" t="s">
        <v>4837</v>
      </c>
      <c r="E791" s="99" t="s">
        <v>346</v>
      </c>
      <c r="F791" s="99" t="s">
        <v>4838</v>
      </c>
      <c r="G791" s="99" t="s">
        <v>2445</v>
      </c>
      <c r="H791" s="99" t="s">
        <v>189</v>
      </c>
      <c r="I791" s="99" t="s">
        <v>819</v>
      </c>
      <c r="J791" s="104"/>
      <c r="K791" s="66" t="str">
        <f>IFNA(VLOOKUP(D791,'EAN Codes'!A:C,2,False),"")</f>
        <v>5907615825415</v>
      </c>
      <c r="L791" s="99"/>
      <c r="M791" s="119"/>
      <c r="N791" s="99"/>
      <c r="O791" s="99"/>
      <c r="P791" s="99"/>
      <c r="Q791" s="99"/>
      <c r="R791" s="99"/>
      <c r="S791" s="104"/>
      <c r="T791" s="99"/>
      <c r="U791" s="93" t="b">
        <v>1</v>
      </c>
      <c r="V791" s="99" t="s">
        <v>4842</v>
      </c>
      <c r="W791" s="101"/>
      <c r="Z791" t="b">
        <v>0</v>
      </c>
    </row>
    <row r="792" hidden="1">
      <c r="A792" s="99">
        <v>924.0</v>
      </c>
      <c r="B792" s="99" t="s">
        <v>241</v>
      </c>
      <c r="C792" s="99" t="s">
        <v>342</v>
      </c>
      <c r="D792" s="99" t="s">
        <v>4837</v>
      </c>
      <c r="E792" s="99" t="s">
        <v>346</v>
      </c>
      <c r="F792" s="99" t="s">
        <v>4843</v>
      </c>
      <c r="G792" s="99" t="s">
        <v>1013</v>
      </c>
      <c r="H792" s="99" t="s">
        <v>189</v>
      </c>
      <c r="I792" s="99" t="s">
        <v>585</v>
      </c>
      <c r="J792" s="104"/>
      <c r="K792" s="66" t="str">
        <f>IFNA(VLOOKUP(D792,'EAN Codes'!A:C,2,False),"")</f>
        <v>5907615825415</v>
      </c>
      <c r="L792" s="101"/>
      <c r="M792" s="119"/>
      <c r="N792" s="99"/>
      <c r="O792" s="99"/>
      <c r="P792" s="99"/>
      <c r="Q792" s="99"/>
      <c r="R792" s="99"/>
      <c r="S792" s="104"/>
      <c r="T792" s="99"/>
      <c r="U792" s="93" t="b">
        <v>1</v>
      </c>
      <c r="V792" s="99" t="s">
        <v>4844</v>
      </c>
      <c r="Z792" t="b">
        <v>0</v>
      </c>
    </row>
    <row r="793" hidden="1">
      <c r="A793" s="99">
        <v>602.0</v>
      </c>
      <c r="B793" s="99" t="s">
        <v>241</v>
      </c>
      <c r="C793" s="99" t="s">
        <v>408</v>
      </c>
      <c r="D793" s="99">
        <v>321821.0</v>
      </c>
      <c r="E793" s="99" t="s">
        <v>346</v>
      </c>
      <c r="F793" s="99" t="s">
        <v>4845</v>
      </c>
      <c r="G793" s="99" t="s">
        <v>2346</v>
      </c>
      <c r="H793" s="99" t="s">
        <v>189</v>
      </c>
      <c r="I793" s="99" t="s">
        <v>438</v>
      </c>
      <c r="J793" s="104"/>
      <c r="K793" s="66" t="str">
        <f>IFNA(VLOOKUP(D793,'EAN Codes'!A:C,2,False),"")</f>
        <v/>
      </c>
      <c r="L793" s="6"/>
      <c r="M793" s="145"/>
      <c r="N793" s="35"/>
      <c r="O793" s="35"/>
      <c r="P793" s="35"/>
      <c r="Q793" s="35"/>
      <c r="R793" s="35"/>
      <c r="S793" s="146"/>
      <c r="T793" s="35"/>
      <c r="U793" s="93" t="b">
        <v>1</v>
      </c>
      <c r="V793" s="35" t="s">
        <v>4846</v>
      </c>
      <c r="Z793" t="b">
        <v>0</v>
      </c>
    </row>
    <row r="794" hidden="1">
      <c r="A794" s="99">
        <v>508.0</v>
      </c>
      <c r="B794" s="99" t="s">
        <v>241</v>
      </c>
      <c r="C794" s="99" t="s">
        <v>408</v>
      </c>
      <c r="D794" s="99" t="s">
        <v>4847</v>
      </c>
      <c r="E794" s="99" t="s">
        <v>346</v>
      </c>
      <c r="F794" s="282" t="s">
        <v>4848</v>
      </c>
      <c r="G794" s="99" t="s">
        <v>358</v>
      </c>
      <c r="H794" s="99" t="s">
        <v>189</v>
      </c>
      <c r="I794" s="99" t="s">
        <v>602</v>
      </c>
      <c r="J794" s="104"/>
      <c r="K794" s="66" t="str">
        <f>IFNA(VLOOKUP(D794,'EAN Codes'!A:C,2,False),"")</f>
        <v>5907615826092</v>
      </c>
      <c r="L794" s="99"/>
      <c r="M794" s="119"/>
      <c r="N794" s="99"/>
      <c r="O794" s="99"/>
      <c r="P794" s="99"/>
      <c r="Q794" s="99"/>
      <c r="R794" s="99"/>
      <c r="S794" s="104"/>
      <c r="T794" s="99"/>
      <c r="U794" s="93" t="b">
        <v>1</v>
      </c>
      <c r="V794" s="99" t="s">
        <v>4849</v>
      </c>
      <c r="Z794" t="b">
        <v>0</v>
      </c>
    </row>
    <row r="795" hidden="1">
      <c r="A795" s="6">
        <v>1000.0</v>
      </c>
      <c r="B795" s="6" t="s">
        <v>241</v>
      </c>
      <c r="C795" s="6" t="s">
        <v>760</v>
      </c>
      <c r="D795" s="6" t="s">
        <v>4850</v>
      </c>
      <c r="E795" s="6" t="s">
        <v>373</v>
      </c>
      <c r="F795" s="6" t="s">
        <v>4851</v>
      </c>
      <c r="H795" s="6" t="s">
        <v>189</v>
      </c>
      <c r="J795" s="60"/>
      <c r="K795" s="66" t="str">
        <f>IFNA(VLOOKUP(D795,'EAN Codes'!A:C,2,False),"")</f>
        <v>5060128539900</v>
      </c>
      <c r="L795" s="82"/>
      <c r="M795" s="83"/>
      <c r="N795" s="6"/>
      <c r="O795" s="6"/>
      <c r="P795" s="6"/>
      <c r="Q795" s="6"/>
      <c r="R795" s="6"/>
      <c r="S795" s="84"/>
      <c r="T795" s="6"/>
      <c r="U795" s="93" t="b">
        <v>1</v>
      </c>
      <c r="V795" s="6" t="s">
        <v>4852</v>
      </c>
      <c r="Z795" t="b">
        <v>0</v>
      </c>
    </row>
    <row r="796" hidden="1">
      <c r="A796" s="86">
        <v>775.0</v>
      </c>
      <c r="B796" s="99" t="s">
        <v>241</v>
      </c>
      <c r="C796" s="99" t="s">
        <v>408</v>
      </c>
      <c r="D796" s="100" t="s">
        <v>4853</v>
      </c>
      <c r="E796" s="99" t="s">
        <v>346</v>
      </c>
      <c r="F796" s="99" t="s">
        <v>4854</v>
      </c>
      <c r="G796" s="99" t="s">
        <v>4261</v>
      </c>
      <c r="H796" s="99" t="s">
        <v>189</v>
      </c>
      <c r="I796" s="99" t="s">
        <v>819</v>
      </c>
      <c r="J796" s="104"/>
      <c r="K796" s="66" t="str">
        <f>IFNA(VLOOKUP(D796,'EAN Codes'!A:C,2,False),"")</f>
        <v/>
      </c>
      <c r="L796" s="99"/>
      <c r="M796" s="406"/>
      <c r="N796" s="407"/>
      <c r="O796" s="407"/>
      <c r="P796" s="407"/>
      <c r="Q796" s="407"/>
      <c r="R796" s="407"/>
      <c r="S796" s="408"/>
      <c r="T796" s="407"/>
      <c r="U796" s="93" t="b">
        <v>1</v>
      </c>
      <c r="V796" s="407" t="s">
        <v>4855</v>
      </c>
      <c r="W796" s="99" t="s">
        <v>4856</v>
      </c>
      <c r="Z796" t="b">
        <v>0</v>
      </c>
    </row>
    <row r="797" hidden="1">
      <c r="A797" s="99">
        <v>209.0</v>
      </c>
      <c r="B797" s="99"/>
      <c r="C797" s="99" t="s">
        <v>408</v>
      </c>
      <c r="D797" s="99" t="s">
        <v>4857</v>
      </c>
      <c r="E797" s="99" t="s">
        <v>346</v>
      </c>
      <c r="F797" s="99" t="s">
        <v>4858</v>
      </c>
      <c r="G797" s="99" t="s">
        <v>4859</v>
      </c>
      <c r="H797" s="99" t="s">
        <v>1726</v>
      </c>
      <c r="I797" s="99" t="s">
        <v>585</v>
      </c>
      <c r="J797" s="104"/>
      <c r="K797" s="66" t="str">
        <f>IFNA(VLOOKUP(D797,'EAN Codes'!A:C,2,False),"")</f>
        <v/>
      </c>
      <c r="L797" s="35"/>
      <c r="M797" s="67"/>
      <c r="S797" s="60"/>
      <c r="U797" s="93" t="b">
        <v>1</v>
      </c>
      <c r="Z797" t="b">
        <v>0</v>
      </c>
    </row>
    <row r="798" hidden="1">
      <c r="A798" s="99">
        <v>628.0</v>
      </c>
      <c r="B798" s="99" t="s">
        <v>241</v>
      </c>
      <c r="C798" s="99" t="s">
        <v>1813</v>
      </c>
      <c r="D798" s="99" t="s">
        <v>4860</v>
      </c>
      <c r="E798" s="99" t="s">
        <v>346</v>
      </c>
      <c r="F798" s="99" t="s">
        <v>4861</v>
      </c>
      <c r="G798" s="99" t="s">
        <v>4862</v>
      </c>
      <c r="H798" s="99" t="s">
        <v>189</v>
      </c>
      <c r="I798" s="99" t="s">
        <v>418</v>
      </c>
      <c r="J798" s="104"/>
      <c r="K798" s="66" t="str">
        <f>IFNA(VLOOKUP(D798,'EAN Codes'!A:C,2,False),"")</f>
        <v/>
      </c>
      <c r="L798" s="99" t="s">
        <v>92</v>
      </c>
      <c r="M798" s="119"/>
      <c r="N798" s="99"/>
      <c r="O798" s="99"/>
      <c r="P798" s="99"/>
      <c r="Q798" s="99"/>
      <c r="R798" s="99"/>
      <c r="S798" s="104"/>
      <c r="T798" s="99"/>
      <c r="U798" s="93" t="b">
        <v>1</v>
      </c>
      <c r="V798" s="99" t="s">
        <v>4863</v>
      </c>
      <c r="X798" s="6" t="s">
        <v>4864</v>
      </c>
      <c r="Z798" t="b">
        <v>0</v>
      </c>
    </row>
    <row r="799" hidden="1">
      <c r="A799" s="99">
        <v>103.0</v>
      </c>
      <c r="B799" s="99"/>
      <c r="C799" s="99" t="s">
        <v>1217</v>
      </c>
      <c r="D799" s="99" t="s">
        <v>4865</v>
      </c>
      <c r="E799" s="99" t="s">
        <v>1390</v>
      </c>
      <c r="F799" s="99" t="s">
        <v>4866</v>
      </c>
      <c r="G799" s="99" t="s">
        <v>1028</v>
      </c>
      <c r="H799" s="99" t="s">
        <v>512</v>
      </c>
      <c r="I799" s="99" t="s">
        <v>1634</v>
      </c>
      <c r="J799" s="104"/>
      <c r="K799" s="66" t="str">
        <f>IFNA(VLOOKUP(D799,'EAN Codes'!A:C,2,False),"")</f>
        <v/>
      </c>
      <c r="L799" s="35"/>
      <c r="M799" s="119"/>
      <c r="N799" s="99"/>
      <c r="O799" s="99"/>
      <c r="P799" s="99"/>
      <c r="Q799" s="99"/>
      <c r="R799" s="99"/>
      <c r="S799" s="104"/>
      <c r="T799" s="99"/>
      <c r="U799" s="93" t="b">
        <v>1</v>
      </c>
      <c r="V799" s="99" t="s">
        <v>4867</v>
      </c>
      <c r="W799" s="101"/>
      <c r="Z799" t="b">
        <v>0</v>
      </c>
    </row>
    <row r="800" hidden="1">
      <c r="A800" s="99">
        <v>150.0</v>
      </c>
      <c r="B800" s="99"/>
      <c r="C800" s="99" t="s">
        <v>760</v>
      </c>
      <c r="D800" s="101"/>
      <c r="E800" s="99" t="s">
        <v>409</v>
      </c>
      <c r="F800" s="99" t="s">
        <v>4868</v>
      </c>
      <c r="G800" s="99" t="s">
        <v>1028</v>
      </c>
      <c r="H800" s="99" t="s">
        <v>189</v>
      </c>
      <c r="I800" s="99" t="s">
        <v>1328</v>
      </c>
      <c r="J800" s="104"/>
      <c r="K800" s="66" t="str">
        <f>IFNA(VLOOKUP(D800,'EAN Codes'!A:C,2,False),"")</f>
        <v/>
      </c>
      <c r="L800" s="35"/>
      <c r="M800" s="119"/>
      <c r="N800" s="99"/>
      <c r="O800" s="99"/>
      <c r="P800" s="99"/>
      <c r="Q800" s="99"/>
      <c r="R800" s="99"/>
      <c r="S800" s="104"/>
      <c r="T800" s="99"/>
      <c r="U800" s="93" t="b">
        <v>1</v>
      </c>
      <c r="V800" s="99" t="s">
        <v>4869</v>
      </c>
      <c r="X800" s="106"/>
      <c r="Z800" t="b">
        <v>0</v>
      </c>
    </row>
    <row r="801" hidden="1">
      <c r="A801" s="99">
        <v>16.0</v>
      </c>
      <c r="B801" s="86"/>
      <c r="C801" s="86" t="s">
        <v>1217</v>
      </c>
      <c r="D801" s="99" t="s">
        <v>4870</v>
      </c>
      <c r="E801" s="86" t="s">
        <v>346</v>
      </c>
      <c r="F801" s="99" t="s">
        <v>4871</v>
      </c>
      <c r="G801" s="303" t="s">
        <v>4872</v>
      </c>
      <c r="H801" s="99" t="s">
        <v>512</v>
      </c>
      <c r="I801" s="99" t="s">
        <v>1328</v>
      </c>
      <c r="J801" s="104"/>
      <c r="K801" s="66" t="str">
        <f>IFNA(VLOOKUP(D801,'EAN Codes'!A:C,2,False),"")</f>
        <v/>
      </c>
      <c r="L801" s="35"/>
      <c r="M801" s="67"/>
      <c r="S801" s="60"/>
      <c r="U801" s="93" t="b">
        <v>1</v>
      </c>
      <c r="Z801" t="b">
        <v>0</v>
      </c>
    </row>
    <row r="802" hidden="1">
      <c r="A802" s="99"/>
      <c r="B802" s="86"/>
      <c r="C802" s="86" t="s">
        <v>1217</v>
      </c>
      <c r="D802" s="99" t="s">
        <v>4873</v>
      </c>
      <c r="E802" s="86" t="s">
        <v>409</v>
      </c>
      <c r="F802" s="99" t="s">
        <v>4871</v>
      </c>
      <c r="G802" s="303" t="s">
        <v>4872</v>
      </c>
      <c r="H802" s="99" t="s">
        <v>512</v>
      </c>
      <c r="I802" s="99" t="s">
        <v>1971</v>
      </c>
      <c r="J802" s="104"/>
      <c r="K802" s="66" t="str">
        <f>IFNA(VLOOKUP(D802,'EAN Codes'!A:C,2,False),"")</f>
        <v/>
      </c>
      <c r="L802" s="35"/>
      <c r="M802" s="119"/>
      <c r="N802" s="99"/>
      <c r="O802" s="99"/>
      <c r="P802" s="99"/>
      <c r="Q802" s="99"/>
      <c r="R802" s="99"/>
      <c r="S802" s="104"/>
      <c r="T802" s="99"/>
      <c r="U802" s="93" t="b">
        <v>1</v>
      </c>
      <c r="V802" s="99" t="s">
        <v>4874</v>
      </c>
      <c r="Z802" t="b">
        <v>0</v>
      </c>
    </row>
    <row r="803" hidden="1">
      <c r="A803" s="99">
        <v>375.0</v>
      </c>
      <c r="B803" s="99" t="s">
        <v>241</v>
      </c>
      <c r="C803" s="122" t="s">
        <v>4093</v>
      </c>
      <c r="D803" s="121">
        <v>57022.0</v>
      </c>
      <c r="E803" s="122" t="s">
        <v>454</v>
      </c>
      <c r="F803" s="122" t="s">
        <v>4875</v>
      </c>
      <c r="G803" s="122" t="s">
        <v>4876</v>
      </c>
      <c r="H803" s="99" t="s">
        <v>189</v>
      </c>
      <c r="I803" s="99" t="s">
        <v>570</v>
      </c>
      <c r="J803" s="104"/>
      <c r="K803" s="66" t="str">
        <f>IFNA(VLOOKUP(D803,'EAN Codes'!A:C,2,False),"")</f>
        <v/>
      </c>
      <c r="L803" s="99"/>
      <c r="M803" s="119"/>
      <c r="N803" s="99"/>
      <c r="O803" s="99"/>
      <c r="P803" s="99"/>
      <c r="Q803" s="99"/>
      <c r="R803" s="99"/>
      <c r="S803" s="104"/>
      <c r="T803" s="99"/>
      <c r="U803" s="93" t="b">
        <v>1</v>
      </c>
      <c r="V803" s="99" t="s">
        <v>4877</v>
      </c>
      <c r="Z803" t="b">
        <v>0</v>
      </c>
    </row>
    <row r="804" hidden="1">
      <c r="A804" s="99">
        <v>376.0</v>
      </c>
      <c r="B804" s="99" t="s">
        <v>241</v>
      </c>
      <c r="C804" s="122" t="s">
        <v>4093</v>
      </c>
      <c r="D804" s="121">
        <v>57022.0</v>
      </c>
      <c r="E804" s="122" t="s">
        <v>454</v>
      </c>
      <c r="F804" s="122" t="s">
        <v>4875</v>
      </c>
      <c r="G804" s="122" t="s">
        <v>4876</v>
      </c>
      <c r="H804" s="99" t="s">
        <v>189</v>
      </c>
      <c r="I804" s="99" t="s">
        <v>570</v>
      </c>
      <c r="J804" s="104"/>
      <c r="K804" s="66" t="str">
        <f>IFNA(VLOOKUP(D804,'EAN Codes'!A:C,2,False),"")</f>
        <v/>
      </c>
      <c r="L804" s="35"/>
      <c r="M804" s="83"/>
      <c r="N804" s="6"/>
      <c r="O804" s="6"/>
      <c r="P804" s="6"/>
      <c r="Q804" s="6"/>
      <c r="R804" s="6"/>
      <c r="S804" s="84"/>
      <c r="T804" s="6"/>
      <c r="U804" s="93" t="b">
        <v>1</v>
      </c>
      <c r="V804" s="6" t="s">
        <v>4878</v>
      </c>
      <c r="Z804" t="b">
        <v>0</v>
      </c>
    </row>
    <row r="805" hidden="1">
      <c r="A805" s="99">
        <v>377.0</v>
      </c>
      <c r="B805" s="99" t="s">
        <v>241</v>
      </c>
      <c r="C805" s="122" t="s">
        <v>4093</v>
      </c>
      <c r="D805" s="121">
        <v>57022.0</v>
      </c>
      <c r="E805" s="122" t="s">
        <v>454</v>
      </c>
      <c r="F805" s="122" t="s">
        <v>4875</v>
      </c>
      <c r="G805" s="122" t="s">
        <v>4876</v>
      </c>
      <c r="H805" s="99" t="s">
        <v>189</v>
      </c>
      <c r="I805" s="99" t="s">
        <v>570</v>
      </c>
      <c r="J805" s="104"/>
      <c r="K805" s="66" t="str">
        <f>IFNA(VLOOKUP(D805,'EAN Codes'!A:C,2,False),"")</f>
        <v/>
      </c>
      <c r="L805" s="99"/>
      <c r="M805" s="119"/>
      <c r="N805" s="99"/>
      <c r="O805" s="99"/>
      <c r="P805" s="99"/>
      <c r="Q805" s="99"/>
      <c r="R805" s="99"/>
      <c r="S805" s="104"/>
      <c r="T805" s="99"/>
      <c r="U805" s="93" t="b">
        <v>1</v>
      </c>
      <c r="V805" s="99" t="s">
        <v>4879</v>
      </c>
      <c r="Z805" t="b">
        <v>0</v>
      </c>
    </row>
    <row r="806" hidden="1">
      <c r="A806" s="99">
        <v>506.0</v>
      </c>
      <c r="B806" s="99" t="s">
        <v>241</v>
      </c>
      <c r="C806" s="99" t="s">
        <v>342</v>
      </c>
      <c r="D806" s="99" t="s">
        <v>4880</v>
      </c>
      <c r="E806" s="99" t="s">
        <v>409</v>
      </c>
      <c r="F806" s="99" t="s">
        <v>4881</v>
      </c>
      <c r="G806" s="99" t="s">
        <v>375</v>
      </c>
      <c r="H806" s="99" t="s">
        <v>189</v>
      </c>
      <c r="I806" s="99" t="s">
        <v>1863</v>
      </c>
      <c r="J806" s="104"/>
      <c r="K806" s="66" t="str">
        <f>IFNA(VLOOKUP(D806,'EAN Codes'!A:C,2,False),"")</f>
        <v>5907615827020</v>
      </c>
      <c r="L806" s="237" t="s">
        <v>92</v>
      </c>
      <c r="M806" s="119"/>
      <c r="N806" s="99"/>
      <c r="O806" s="99"/>
      <c r="P806" s="99"/>
      <c r="Q806" s="99"/>
      <c r="R806" s="99"/>
      <c r="S806" s="104"/>
      <c r="T806" s="99"/>
      <c r="U806" s="93" t="b">
        <v>1</v>
      </c>
      <c r="V806" s="99" t="s">
        <v>4882</v>
      </c>
      <c r="Z806" t="b">
        <v>0</v>
      </c>
    </row>
    <row r="807" hidden="1">
      <c r="A807" s="99">
        <v>339.0</v>
      </c>
      <c r="B807" s="6" t="s">
        <v>241</v>
      </c>
      <c r="C807" s="99" t="s">
        <v>342</v>
      </c>
      <c r="D807" s="99" t="s">
        <v>4564</v>
      </c>
      <c r="E807" s="99" t="s">
        <v>346</v>
      </c>
      <c r="F807" s="99" t="s">
        <v>4883</v>
      </c>
      <c r="G807" s="99" t="s">
        <v>375</v>
      </c>
      <c r="H807" s="99" t="s">
        <v>189</v>
      </c>
      <c r="I807" s="99" t="s">
        <v>1328</v>
      </c>
      <c r="J807" s="104"/>
      <c r="K807" s="66" t="str">
        <f>IFNA(VLOOKUP(D807,'EAN Codes'!A:C,2,False),"")</f>
        <v>5907615827013</v>
      </c>
      <c r="L807" s="35"/>
      <c r="M807" s="119"/>
      <c r="N807" s="99"/>
      <c r="O807" s="99"/>
      <c r="P807" s="99"/>
      <c r="Q807" s="99"/>
      <c r="R807" s="99"/>
      <c r="S807" s="104"/>
      <c r="T807" s="99"/>
      <c r="U807" s="93" t="b">
        <v>1</v>
      </c>
      <c r="V807" s="99" t="s">
        <v>4884</v>
      </c>
      <c r="Z807" t="b">
        <v>0</v>
      </c>
    </row>
    <row r="808" hidden="1">
      <c r="A808" s="99">
        <v>132.0</v>
      </c>
      <c r="B808" s="99"/>
      <c r="C808" s="99" t="s">
        <v>342</v>
      </c>
      <c r="D808" s="99" t="s">
        <v>4564</v>
      </c>
      <c r="E808" s="99" t="s">
        <v>346</v>
      </c>
      <c r="F808" s="99" t="s">
        <v>4883</v>
      </c>
      <c r="G808" s="99" t="s">
        <v>375</v>
      </c>
      <c r="H808" s="99" t="s">
        <v>512</v>
      </c>
      <c r="I808" s="99" t="s">
        <v>1328</v>
      </c>
      <c r="J808" s="104"/>
      <c r="K808" s="66" t="str">
        <f>IFNA(VLOOKUP(D808,'EAN Codes'!A:C,2,False),"")</f>
        <v>5907615827013</v>
      </c>
      <c r="L808" s="35"/>
      <c r="M808" s="67"/>
      <c r="S808" s="60"/>
      <c r="U808" s="93" t="b">
        <v>1</v>
      </c>
      <c r="Z808" t="b">
        <v>0</v>
      </c>
    </row>
    <row r="809" hidden="1">
      <c r="A809" s="99">
        <v>41.0</v>
      </c>
      <c r="B809" s="99"/>
      <c r="C809" s="99" t="s">
        <v>1217</v>
      </c>
      <c r="D809" s="99" t="s">
        <v>4885</v>
      </c>
      <c r="E809" s="99" t="s">
        <v>346</v>
      </c>
      <c r="F809" s="99" t="s">
        <v>4883</v>
      </c>
      <c r="G809" s="99" t="s">
        <v>2346</v>
      </c>
      <c r="H809" s="99" t="s">
        <v>135</v>
      </c>
      <c r="I809" s="99" t="s">
        <v>1971</v>
      </c>
      <c r="J809" s="104"/>
      <c r="K809" s="66" t="str">
        <f>IFNA(VLOOKUP(D809,'EAN Codes'!A:C,2,False),"")</f>
        <v/>
      </c>
      <c r="L809" s="35"/>
      <c r="M809" s="119"/>
      <c r="N809" s="99"/>
      <c r="O809" s="99"/>
      <c r="P809" s="99"/>
      <c r="Q809" s="99"/>
      <c r="R809" s="99"/>
      <c r="S809" s="104"/>
      <c r="T809" s="99"/>
      <c r="U809" s="93" t="b">
        <v>1</v>
      </c>
      <c r="V809" s="99" t="s">
        <v>4886</v>
      </c>
      <c r="Z809" t="b">
        <v>0</v>
      </c>
    </row>
    <row r="810" hidden="1">
      <c r="A810" s="99">
        <v>941.0</v>
      </c>
      <c r="B810" s="99" t="s">
        <v>241</v>
      </c>
      <c r="C810" s="99" t="s">
        <v>408</v>
      </c>
      <c r="D810" s="99">
        <v>320083.0</v>
      </c>
      <c r="E810" s="99" t="s">
        <v>346</v>
      </c>
      <c r="F810" s="99" t="s">
        <v>4887</v>
      </c>
      <c r="G810" s="99" t="s">
        <v>4888</v>
      </c>
      <c r="H810" s="99" t="s">
        <v>189</v>
      </c>
      <c r="I810" s="99" t="s">
        <v>1863</v>
      </c>
      <c r="J810" s="104"/>
      <c r="K810" s="66" t="str">
        <f>IFNA(VLOOKUP(D810,'EAN Codes'!A:C,2,False),"")</f>
        <v/>
      </c>
      <c r="L810" s="82"/>
      <c r="M810" s="83"/>
      <c r="N810" s="6"/>
      <c r="O810" s="6"/>
      <c r="P810" s="6"/>
      <c r="Q810" s="6"/>
      <c r="R810" s="6"/>
      <c r="S810" s="84"/>
      <c r="T810" s="6"/>
      <c r="U810" s="93" t="b">
        <v>1</v>
      </c>
      <c r="V810" s="6" t="s">
        <v>4889</v>
      </c>
      <c r="Z810" t="b">
        <v>0</v>
      </c>
    </row>
    <row r="811" hidden="1">
      <c r="A811" s="99">
        <v>162.0</v>
      </c>
      <c r="B811" s="99"/>
      <c r="C811" s="99" t="s">
        <v>342</v>
      </c>
      <c r="D811" s="99" t="s">
        <v>4564</v>
      </c>
      <c r="E811" s="99" t="s">
        <v>346</v>
      </c>
      <c r="F811" s="99" t="s">
        <v>4890</v>
      </c>
      <c r="G811" s="99" t="s">
        <v>2346</v>
      </c>
      <c r="H811" s="99" t="s">
        <v>512</v>
      </c>
      <c r="I811" s="99" t="s">
        <v>530</v>
      </c>
      <c r="J811" s="104"/>
      <c r="K811" s="66" t="str">
        <f>IFNA(VLOOKUP(D811,'EAN Codes'!A:C,2,False),"")</f>
        <v>5907615827013</v>
      </c>
      <c r="L811" s="35"/>
      <c r="M811" s="83"/>
      <c r="N811" s="6"/>
      <c r="O811" s="6"/>
      <c r="P811" s="6"/>
      <c r="Q811" s="6"/>
      <c r="R811" s="6"/>
      <c r="S811" s="84"/>
      <c r="T811" s="6"/>
      <c r="U811" s="93" t="b">
        <v>1</v>
      </c>
      <c r="V811" s="6"/>
      <c r="Z811" t="b">
        <v>0</v>
      </c>
    </row>
    <row r="812" hidden="1">
      <c r="A812" s="99">
        <v>163.0</v>
      </c>
      <c r="B812" s="99"/>
      <c r="C812" s="99" t="s">
        <v>342</v>
      </c>
      <c r="D812" s="99" t="s">
        <v>4564</v>
      </c>
      <c r="E812" s="99" t="s">
        <v>346</v>
      </c>
      <c r="F812" s="99" t="s">
        <v>4890</v>
      </c>
      <c r="G812" s="99" t="s">
        <v>2346</v>
      </c>
      <c r="H812" s="99" t="s">
        <v>512</v>
      </c>
      <c r="I812" s="99" t="s">
        <v>530</v>
      </c>
      <c r="J812" s="104"/>
      <c r="K812" s="66" t="str">
        <f>IFNA(VLOOKUP(D812,'EAN Codes'!A:C,2,False),"")</f>
        <v>5907615827013</v>
      </c>
      <c r="L812" s="35"/>
      <c r="M812" s="119"/>
      <c r="N812" s="99"/>
      <c r="O812" s="99"/>
      <c r="P812" s="99"/>
      <c r="Q812" s="99"/>
      <c r="R812" s="99"/>
      <c r="S812" s="104"/>
      <c r="T812" s="99"/>
      <c r="U812" s="93" t="b">
        <v>1</v>
      </c>
      <c r="V812" s="99" t="s">
        <v>4891</v>
      </c>
      <c r="W812" s="101"/>
      <c r="Z812" t="b">
        <v>0</v>
      </c>
    </row>
    <row r="813" hidden="1">
      <c r="A813" s="99">
        <v>402.0</v>
      </c>
      <c r="B813" s="99" t="s">
        <v>241</v>
      </c>
      <c r="C813" s="122" t="s">
        <v>858</v>
      </c>
      <c r="D813" s="219" t="s">
        <v>4892</v>
      </c>
      <c r="E813" s="99" t="s">
        <v>346</v>
      </c>
      <c r="F813" s="99" t="s">
        <v>4893</v>
      </c>
      <c r="G813" s="99" t="s">
        <v>4316</v>
      </c>
      <c r="H813" s="99" t="s">
        <v>189</v>
      </c>
      <c r="I813" s="99" t="s">
        <v>680</v>
      </c>
      <c r="J813" s="104"/>
      <c r="K813" s="66" t="str">
        <f>IFNA(VLOOKUP(D813,'EAN Codes'!A:C,2,False),"")</f>
        <v/>
      </c>
      <c r="L813" s="99"/>
      <c r="M813" s="83"/>
      <c r="N813" s="6"/>
      <c r="O813" s="6"/>
      <c r="P813" s="6"/>
      <c r="Q813" s="6"/>
      <c r="R813" s="6"/>
      <c r="S813" s="84"/>
      <c r="T813" s="6"/>
      <c r="U813" s="93" t="b">
        <v>1</v>
      </c>
      <c r="V813" s="6" t="s">
        <v>4894</v>
      </c>
      <c r="Z813" t="b">
        <v>0</v>
      </c>
    </row>
    <row r="814" hidden="1">
      <c r="A814" s="86">
        <v>772.0</v>
      </c>
      <c r="B814" s="99" t="s">
        <v>241</v>
      </c>
      <c r="C814" s="99" t="s">
        <v>4895</v>
      </c>
      <c r="D814" s="99" t="s">
        <v>4896</v>
      </c>
      <c r="E814" s="99" t="s">
        <v>346</v>
      </c>
      <c r="F814" s="99" t="s">
        <v>4897</v>
      </c>
      <c r="G814" s="99" t="s">
        <v>4898</v>
      </c>
      <c r="H814" s="99" t="s">
        <v>189</v>
      </c>
      <c r="I814" s="99" t="s">
        <v>418</v>
      </c>
      <c r="J814" s="104"/>
      <c r="K814" s="66" t="str">
        <f>IFNA(VLOOKUP(D814,'EAN Codes'!A:C,2,False),"")</f>
        <v/>
      </c>
      <c r="L814" s="35"/>
      <c r="M814" s="83"/>
      <c r="N814" s="6"/>
      <c r="O814" s="6"/>
      <c r="P814" s="6"/>
      <c r="Q814" s="6"/>
      <c r="R814" s="6"/>
      <c r="S814" s="84"/>
      <c r="T814" s="6"/>
      <c r="U814" s="93" t="b">
        <v>1</v>
      </c>
      <c r="V814" s="6" t="s">
        <v>4899</v>
      </c>
      <c r="Z814" t="b">
        <v>0</v>
      </c>
    </row>
    <row r="815" hidden="1">
      <c r="A815" s="99">
        <v>952.0</v>
      </c>
      <c r="B815" s="99" t="s">
        <v>241</v>
      </c>
      <c r="C815" s="99" t="s">
        <v>1813</v>
      </c>
      <c r="D815" s="99" t="s">
        <v>4896</v>
      </c>
      <c r="E815" s="99" t="s">
        <v>346</v>
      </c>
      <c r="F815" s="99" t="s">
        <v>4897</v>
      </c>
      <c r="G815" s="99" t="s">
        <v>4898</v>
      </c>
      <c r="H815" s="99" t="s">
        <v>189</v>
      </c>
      <c r="I815" s="99" t="s">
        <v>418</v>
      </c>
      <c r="J815" s="104"/>
      <c r="K815" s="66" t="str">
        <f>IFNA(VLOOKUP(D815,'EAN Codes'!A:C,2,False),"")</f>
        <v/>
      </c>
      <c r="L815" s="101"/>
      <c r="M815" s="119"/>
      <c r="N815" s="99"/>
      <c r="O815" s="99"/>
      <c r="P815" s="99"/>
      <c r="Q815" s="99"/>
      <c r="R815" s="99"/>
      <c r="S815" s="104"/>
      <c r="T815" s="99"/>
      <c r="U815" s="93" t="b">
        <v>1</v>
      </c>
      <c r="V815" s="99" t="s">
        <v>4900</v>
      </c>
      <c r="W815" s="101"/>
      <c r="X815" s="101"/>
      <c r="Z815" t="b">
        <v>0</v>
      </c>
    </row>
    <row r="816" hidden="1">
      <c r="A816" s="99">
        <v>356.0</v>
      </c>
      <c r="B816" s="6" t="s">
        <v>241</v>
      </c>
      <c r="C816" s="99" t="s">
        <v>342</v>
      </c>
      <c r="D816" s="99" t="s">
        <v>4901</v>
      </c>
      <c r="E816" s="99" t="s">
        <v>409</v>
      </c>
      <c r="F816" s="99" t="s">
        <v>4902</v>
      </c>
      <c r="G816" s="99" t="s">
        <v>793</v>
      </c>
      <c r="H816" s="99" t="s">
        <v>189</v>
      </c>
      <c r="I816" s="99" t="s">
        <v>458</v>
      </c>
      <c r="J816" s="104"/>
      <c r="K816" s="66" t="str">
        <f>IFNA(VLOOKUP(D816,'EAN Codes'!A:C,2,False),"")</f>
        <v/>
      </c>
      <c r="L816" s="99"/>
      <c r="M816" s="119"/>
      <c r="N816" s="99"/>
      <c r="O816" s="99"/>
      <c r="P816" s="99"/>
      <c r="Q816" s="99"/>
      <c r="R816" s="99"/>
      <c r="S816" s="104"/>
      <c r="T816" s="99"/>
      <c r="U816" s="93" t="b">
        <v>1</v>
      </c>
      <c r="V816" s="99" t="s">
        <v>4903</v>
      </c>
      <c r="Z816" t="b">
        <v>0</v>
      </c>
    </row>
    <row r="817" hidden="1">
      <c r="A817" s="35">
        <v>855.0</v>
      </c>
      <c r="B817" s="35" t="s">
        <v>241</v>
      </c>
      <c r="C817" s="35" t="s">
        <v>1250</v>
      </c>
      <c r="D817" s="365" t="s">
        <v>4904</v>
      </c>
      <c r="E817" s="35" t="s">
        <v>346</v>
      </c>
      <c r="F817" s="35" t="s">
        <v>4905</v>
      </c>
      <c r="G817" s="35" t="s">
        <v>4906</v>
      </c>
      <c r="H817" s="35" t="s">
        <v>189</v>
      </c>
      <c r="I817" s="35" t="s">
        <v>1634</v>
      </c>
      <c r="J817" s="146"/>
      <c r="K817" s="66" t="str">
        <f>IFNA(VLOOKUP(D817,'EAN Codes'!A:C,2,False),"")</f>
        <v/>
      </c>
      <c r="L817" s="82"/>
      <c r="M817" s="409"/>
      <c r="N817" s="410"/>
      <c r="O817" s="410"/>
      <c r="P817" s="410"/>
      <c r="Q817" s="410"/>
      <c r="R817" s="410"/>
      <c r="S817" s="411"/>
      <c r="T817" s="410"/>
      <c r="U817" s="93" t="b">
        <v>1</v>
      </c>
      <c r="V817" s="410" t="s">
        <v>4907</v>
      </c>
      <c r="Z817" t="b">
        <v>0</v>
      </c>
    </row>
    <row r="818" hidden="1">
      <c r="A818" s="99">
        <v>639.0</v>
      </c>
      <c r="B818" s="86" t="s">
        <v>241</v>
      </c>
      <c r="C818" s="99" t="s">
        <v>342</v>
      </c>
      <c r="D818" s="99" t="s">
        <v>4901</v>
      </c>
      <c r="E818" s="99" t="s">
        <v>409</v>
      </c>
      <c r="F818" s="99" t="s">
        <v>4908</v>
      </c>
      <c r="G818" s="99" t="s">
        <v>793</v>
      </c>
      <c r="H818" s="99" t="s">
        <v>189</v>
      </c>
      <c r="I818" s="99" t="s">
        <v>819</v>
      </c>
      <c r="J818" s="104"/>
      <c r="K818" s="66" t="str">
        <f>IFNA(VLOOKUP(D818,'EAN Codes'!A:C,2,False),"")</f>
        <v/>
      </c>
      <c r="L818" s="35" t="s">
        <v>269</v>
      </c>
      <c r="M818" s="83"/>
      <c r="N818" s="6"/>
      <c r="O818" s="6"/>
      <c r="P818" s="6"/>
      <c r="Q818" s="6"/>
      <c r="R818" s="6"/>
      <c r="S818" s="84"/>
      <c r="T818" s="6"/>
      <c r="U818" s="93" t="b">
        <v>1</v>
      </c>
      <c r="V818" s="6" t="s">
        <v>4909</v>
      </c>
      <c r="Z818" t="b">
        <v>0</v>
      </c>
    </row>
    <row r="819" hidden="1">
      <c r="A819" s="6">
        <v>265.0</v>
      </c>
      <c r="B819" s="6" t="s">
        <v>241</v>
      </c>
      <c r="C819" s="6" t="s">
        <v>408</v>
      </c>
      <c r="D819" s="127" t="s">
        <v>4910</v>
      </c>
      <c r="E819" s="6" t="s">
        <v>373</v>
      </c>
      <c r="F819" s="6" t="s">
        <v>4911</v>
      </c>
      <c r="G819" s="6" t="s">
        <v>4912</v>
      </c>
      <c r="H819" s="6" t="s">
        <v>189</v>
      </c>
      <c r="I819" s="6" t="s">
        <v>4913</v>
      </c>
      <c r="J819" s="84"/>
      <c r="K819" s="66" t="str">
        <f>IFNA(VLOOKUP(D819,'EAN Codes'!A:C,2,False),"")</f>
        <v/>
      </c>
      <c r="L819" s="35" t="s">
        <v>269</v>
      </c>
      <c r="M819" s="412"/>
      <c r="N819" s="413"/>
      <c r="O819" s="413"/>
      <c r="P819" s="413"/>
      <c r="Q819" s="413"/>
      <c r="R819" s="413"/>
      <c r="S819" s="414"/>
      <c r="T819" s="413"/>
      <c r="U819" s="93" t="b">
        <v>1</v>
      </c>
      <c r="V819" s="413" t="s">
        <v>4914</v>
      </c>
      <c r="Y819" s="6" t="s">
        <v>452</v>
      </c>
      <c r="Z819" t="b">
        <v>0</v>
      </c>
    </row>
    <row r="820" hidden="1">
      <c r="A820" s="99">
        <v>494.0</v>
      </c>
      <c r="B820" s="99" t="s">
        <v>241</v>
      </c>
      <c r="C820" s="99" t="s">
        <v>342</v>
      </c>
      <c r="D820" s="99" t="s">
        <v>4915</v>
      </c>
      <c r="E820" s="99" t="s">
        <v>346</v>
      </c>
      <c r="F820" s="99" t="s">
        <v>4916</v>
      </c>
      <c r="G820" s="101"/>
      <c r="H820" s="99" t="s">
        <v>189</v>
      </c>
      <c r="I820" s="99" t="s">
        <v>570</v>
      </c>
      <c r="J820" s="104"/>
      <c r="K820" s="66" t="str">
        <f>IFNA(VLOOKUP(D820,'EAN Codes'!A:C,2,False),"")</f>
        <v/>
      </c>
      <c r="L820" s="99"/>
      <c r="M820" s="119"/>
      <c r="N820" s="99"/>
      <c r="O820" s="99"/>
      <c r="P820" s="99"/>
      <c r="Q820" s="99"/>
      <c r="R820" s="99"/>
      <c r="S820" s="104"/>
      <c r="T820" s="99"/>
      <c r="U820" s="93" t="b">
        <v>1</v>
      </c>
      <c r="V820" s="99" t="s">
        <v>4917</v>
      </c>
      <c r="Z820" t="b">
        <v>0</v>
      </c>
    </row>
    <row r="821" hidden="1">
      <c r="A821" s="99">
        <v>743.0</v>
      </c>
      <c r="B821" s="99" t="s">
        <v>241</v>
      </c>
      <c r="C821" s="99" t="s">
        <v>342</v>
      </c>
      <c r="D821" s="99" t="s">
        <v>4918</v>
      </c>
      <c r="E821" s="99" t="s">
        <v>346</v>
      </c>
      <c r="F821" s="99" t="s">
        <v>4919</v>
      </c>
      <c r="G821" s="122" t="s">
        <v>4036</v>
      </c>
      <c r="H821" s="99" t="s">
        <v>189</v>
      </c>
      <c r="I821" s="99" t="s">
        <v>585</v>
      </c>
      <c r="J821" s="104"/>
      <c r="K821" s="66" t="str">
        <f>IFNA(VLOOKUP(D821,'EAN Codes'!A:C,2,False),"")</f>
        <v>5907615827099</v>
      </c>
      <c r="L821" s="82"/>
      <c r="M821" s="67"/>
      <c r="S821" s="60"/>
      <c r="U821" s="93" t="b">
        <v>1</v>
      </c>
      <c r="Z821" t="b">
        <v>0</v>
      </c>
    </row>
    <row r="822" hidden="1">
      <c r="A822" s="99">
        <v>727.0</v>
      </c>
      <c r="B822" s="99" t="s">
        <v>241</v>
      </c>
      <c r="C822" s="99" t="s">
        <v>1250</v>
      </c>
      <c r="D822" s="99" t="s">
        <v>4920</v>
      </c>
      <c r="E822" s="99" t="s">
        <v>409</v>
      </c>
      <c r="F822" s="99" t="s">
        <v>4919</v>
      </c>
      <c r="G822" s="99" t="s">
        <v>437</v>
      </c>
      <c r="H822" s="99" t="s">
        <v>189</v>
      </c>
      <c r="I822" s="99" t="s">
        <v>1863</v>
      </c>
      <c r="J822" s="104"/>
      <c r="K822" s="66" t="str">
        <f>IFNA(VLOOKUP(D822,'EAN Codes'!A:C,2,False),"")</f>
        <v>8058772225888</v>
      </c>
      <c r="L822" s="99" t="s">
        <v>92</v>
      </c>
      <c r="M822" s="83"/>
      <c r="N822" s="6"/>
      <c r="O822" s="6"/>
      <c r="P822" s="6"/>
      <c r="Q822" s="6"/>
      <c r="R822" s="6"/>
      <c r="S822" s="84"/>
      <c r="T822" s="6"/>
      <c r="U822" s="93" t="b">
        <v>1</v>
      </c>
      <c r="V822" s="6" t="s">
        <v>4921</v>
      </c>
      <c r="Z822" t="b">
        <v>0</v>
      </c>
    </row>
    <row r="823" hidden="1">
      <c r="A823" s="86">
        <v>646.0</v>
      </c>
      <c r="B823" s="86" t="s">
        <v>241</v>
      </c>
      <c r="C823" s="86" t="s">
        <v>342</v>
      </c>
      <c r="D823" s="86" t="s">
        <v>4918</v>
      </c>
      <c r="E823" s="86" t="s">
        <v>346</v>
      </c>
      <c r="F823" s="86" t="s">
        <v>4919</v>
      </c>
      <c r="G823" s="86" t="s">
        <v>437</v>
      </c>
      <c r="H823" s="86" t="s">
        <v>782</v>
      </c>
      <c r="I823" s="91"/>
      <c r="J823" s="97"/>
      <c r="K823" s="66" t="str">
        <f>IFNA(VLOOKUP(D823,'EAN Codes'!A:C,2,False),"")</f>
        <v>5907615827099</v>
      </c>
      <c r="L823" s="86" t="s">
        <v>92</v>
      </c>
      <c r="M823" s="92"/>
      <c r="N823" s="86"/>
      <c r="O823" s="86"/>
      <c r="P823" s="86"/>
      <c r="Q823" s="86"/>
      <c r="R823" s="86"/>
      <c r="S823" s="88"/>
      <c r="T823" s="86"/>
      <c r="U823" s="93" t="b">
        <v>1</v>
      </c>
      <c r="V823" s="86" t="s">
        <v>4922</v>
      </c>
      <c r="Z823" t="b">
        <v>0</v>
      </c>
    </row>
    <row r="824" hidden="1">
      <c r="A824" s="86">
        <v>752.0</v>
      </c>
      <c r="B824" s="99" t="s">
        <v>241</v>
      </c>
      <c r="C824" s="99" t="s">
        <v>1250</v>
      </c>
      <c r="D824" s="99">
        <v>44015.0</v>
      </c>
      <c r="E824" s="99" t="s">
        <v>373</v>
      </c>
      <c r="F824" s="99" t="s">
        <v>4923</v>
      </c>
      <c r="G824" s="101"/>
      <c r="H824" s="99" t="s">
        <v>189</v>
      </c>
      <c r="I824" s="99" t="s">
        <v>570</v>
      </c>
      <c r="J824" s="104"/>
      <c r="K824" s="66" t="str">
        <f>IFNA(VLOOKUP(D824,'EAN Codes'!A:C,2,False),"")</f>
        <v/>
      </c>
      <c r="L824" s="82"/>
      <c r="M824" s="83"/>
      <c r="N824" s="6"/>
      <c r="O824" s="6"/>
      <c r="P824" s="6"/>
      <c r="Q824" s="6"/>
      <c r="R824" s="6"/>
      <c r="S824" s="84"/>
      <c r="T824" s="6"/>
      <c r="U824" s="93" t="b">
        <v>1</v>
      </c>
      <c r="V824" s="6" t="s">
        <v>4924</v>
      </c>
      <c r="Z824" t="b">
        <v>0</v>
      </c>
    </row>
    <row r="825" hidden="1">
      <c r="A825" s="99"/>
      <c r="B825" s="99" t="s">
        <v>241</v>
      </c>
      <c r="C825" s="99" t="s">
        <v>342</v>
      </c>
      <c r="D825" s="99" t="s">
        <v>4918</v>
      </c>
      <c r="E825" s="99" t="s">
        <v>346</v>
      </c>
      <c r="F825" s="99" t="s">
        <v>4925</v>
      </c>
      <c r="G825" s="101"/>
      <c r="H825" s="99" t="s">
        <v>4926</v>
      </c>
      <c r="I825" s="101"/>
      <c r="J825" s="110"/>
      <c r="K825" s="66" t="str">
        <f>IFNA(VLOOKUP(D825,'EAN Codes'!A:C,2,False),"")</f>
        <v>5907615827099</v>
      </c>
      <c r="L825" s="101"/>
      <c r="M825" s="119"/>
      <c r="N825" s="99"/>
      <c r="O825" s="99"/>
      <c r="P825" s="99"/>
      <c r="Q825" s="99"/>
      <c r="R825" s="99"/>
      <c r="S825" s="104"/>
      <c r="T825" s="99"/>
      <c r="U825" s="93" t="b">
        <v>1</v>
      </c>
      <c r="V825" s="99" t="s">
        <v>4927</v>
      </c>
      <c r="Z825" t="b">
        <v>0</v>
      </c>
    </row>
    <row r="826" hidden="1">
      <c r="A826" s="99">
        <v>411.0</v>
      </c>
      <c r="B826" s="99" t="s">
        <v>241</v>
      </c>
      <c r="C826" s="122" t="s">
        <v>858</v>
      </c>
      <c r="D826" s="120" t="s">
        <v>4928</v>
      </c>
      <c r="E826" s="122" t="s">
        <v>454</v>
      </c>
      <c r="F826" s="120" t="s">
        <v>4925</v>
      </c>
      <c r="G826" s="122" t="s">
        <v>4036</v>
      </c>
      <c r="H826" s="99" t="s">
        <v>189</v>
      </c>
      <c r="I826" s="99" t="s">
        <v>680</v>
      </c>
      <c r="J826" s="104"/>
      <c r="K826" s="66" t="str">
        <f>IFNA(VLOOKUP(D826,'EAN Codes'!A:C,2,False),"")</f>
        <v>5060128539337</v>
      </c>
      <c r="L826" s="35" t="s">
        <v>269</v>
      </c>
      <c r="M826" s="83"/>
      <c r="N826" s="6"/>
      <c r="O826" s="6"/>
      <c r="P826" s="6"/>
      <c r="Q826" s="6"/>
      <c r="R826" s="6"/>
      <c r="S826" s="84"/>
      <c r="T826" s="6"/>
      <c r="U826" s="93" t="b">
        <v>1</v>
      </c>
      <c r="V826" s="6" t="s">
        <v>4929</v>
      </c>
      <c r="Y826" s="6" t="s">
        <v>452</v>
      </c>
      <c r="Z826" t="b">
        <v>0</v>
      </c>
    </row>
    <row r="827" hidden="1">
      <c r="A827" s="99">
        <v>255.0</v>
      </c>
      <c r="B827" s="99"/>
      <c r="C827" s="99" t="s">
        <v>408</v>
      </c>
      <c r="D827" s="99">
        <v>320059.0</v>
      </c>
      <c r="E827" s="99" t="s">
        <v>346</v>
      </c>
      <c r="F827" s="99" t="s">
        <v>4930</v>
      </c>
      <c r="G827" s="99" t="s">
        <v>2090</v>
      </c>
      <c r="H827" s="99" t="s">
        <v>189</v>
      </c>
      <c r="I827" s="99" t="s">
        <v>680</v>
      </c>
      <c r="J827" s="104"/>
      <c r="K827" s="66" t="str">
        <f>IFNA(VLOOKUP(D827,'EAN Codes'!A:C,2,False),"")</f>
        <v/>
      </c>
      <c r="L827" s="35"/>
      <c r="M827" s="119"/>
      <c r="N827" s="99"/>
      <c r="O827" s="99"/>
      <c r="P827" s="99"/>
      <c r="Q827" s="99"/>
      <c r="R827" s="99"/>
      <c r="S827" s="104"/>
      <c r="T827" s="99"/>
      <c r="U827" s="93" t="b">
        <v>1</v>
      </c>
      <c r="V827" s="99" t="s">
        <v>4931</v>
      </c>
      <c r="Z827" t="b">
        <v>0</v>
      </c>
    </row>
    <row r="828" hidden="1">
      <c r="A828" s="99">
        <v>360.0</v>
      </c>
      <c r="B828" s="99" t="s">
        <v>241</v>
      </c>
      <c r="C828" s="99" t="s">
        <v>342</v>
      </c>
      <c r="D828" s="99" t="s">
        <v>4932</v>
      </c>
      <c r="E828" s="99" t="s">
        <v>346</v>
      </c>
      <c r="F828" s="99" t="s">
        <v>4933</v>
      </c>
      <c r="G828" s="99" t="s">
        <v>2090</v>
      </c>
      <c r="H828" s="99" t="s">
        <v>189</v>
      </c>
      <c r="I828" s="99" t="s">
        <v>530</v>
      </c>
      <c r="J828" s="104"/>
      <c r="K828" s="66" t="str">
        <f>IFNA(VLOOKUP(D828,'EAN Codes'!A:C,2,False),"")</f>
        <v>5907615827037</v>
      </c>
      <c r="L828" s="99"/>
      <c r="M828" s="119"/>
      <c r="N828" s="99"/>
      <c r="O828" s="99"/>
      <c r="P828" s="99"/>
      <c r="Q828" s="99"/>
      <c r="R828" s="99"/>
      <c r="S828" s="104"/>
      <c r="T828" s="99"/>
      <c r="U828" s="93" t="b">
        <v>1</v>
      </c>
      <c r="V828" s="99" t="s">
        <v>4934</v>
      </c>
      <c r="Z828" t="b">
        <v>0</v>
      </c>
    </row>
    <row r="829" hidden="1">
      <c r="A829" s="99">
        <v>228.0</v>
      </c>
      <c r="B829" s="99"/>
      <c r="C829" s="99" t="s">
        <v>342</v>
      </c>
      <c r="D829" s="99" t="s">
        <v>4935</v>
      </c>
      <c r="E829" s="99" t="s">
        <v>373</v>
      </c>
      <c r="F829" s="99" t="s">
        <v>4933</v>
      </c>
      <c r="G829" s="99" t="s">
        <v>2090</v>
      </c>
      <c r="H829" s="99" t="s">
        <v>1726</v>
      </c>
      <c r="I829" s="99" t="s">
        <v>1007</v>
      </c>
      <c r="J829" s="104"/>
      <c r="K829" s="66" t="str">
        <f>IFNA(VLOOKUP(D829,'EAN Codes'!A:C,2,False),"")</f>
        <v>5907615827044</v>
      </c>
      <c r="L829" s="35"/>
      <c r="M829" s="119"/>
      <c r="N829" s="99"/>
      <c r="O829" s="99"/>
      <c r="P829" s="99"/>
      <c r="Q829" s="99"/>
      <c r="R829" s="99"/>
      <c r="S829" s="104"/>
      <c r="T829" s="99"/>
      <c r="U829" s="93" t="b">
        <v>1</v>
      </c>
      <c r="V829" s="99" t="s">
        <v>4936</v>
      </c>
      <c r="Z829" t="b">
        <v>0</v>
      </c>
    </row>
    <row r="830" hidden="1">
      <c r="A830" s="99">
        <v>788.0</v>
      </c>
      <c r="B830" s="86" t="s">
        <v>241</v>
      </c>
      <c r="C830" s="86" t="s">
        <v>342</v>
      </c>
      <c r="D830" s="86" t="s">
        <v>4932</v>
      </c>
      <c r="E830" s="86" t="s">
        <v>346</v>
      </c>
      <c r="F830" s="86" t="s">
        <v>4937</v>
      </c>
      <c r="G830" s="99" t="s">
        <v>4385</v>
      </c>
      <c r="H830" s="99" t="s">
        <v>189</v>
      </c>
      <c r="I830" s="99" t="s">
        <v>1863</v>
      </c>
      <c r="J830" s="104"/>
      <c r="K830" s="66" t="str">
        <f>IFNA(VLOOKUP(D830,'EAN Codes'!A:C,2,False),"")</f>
        <v>5907615827037</v>
      </c>
      <c r="L830" s="99"/>
      <c r="M830" s="119"/>
      <c r="N830" s="99"/>
      <c r="O830" s="99"/>
      <c r="P830" s="99"/>
      <c r="Q830" s="99"/>
      <c r="R830" s="99"/>
      <c r="S830" s="104"/>
      <c r="T830" s="99"/>
      <c r="U830" s="93" t="b">
        <v>1</v>
      </c>
      <c r="V830" s="99" t="s">
        <v>4939</v>
      </c>
      <c r="Z830" t="b">
        <v>0</v>
      </c>
    </row>
    <row r="831" hidden="1">
      <c r="A831" s="86">
        <v>732.0</v>
      </c>
      <c r="B831" s="86" t="s">
        <v>241</v>
      </c>
      <c r="C831" s="86" t="s">
        <v>342</v>
      </c>
      <c r="D831" s="86" t="s">
        <v>4932</v>
      </c>
      <c r="E831" s="86" t="s">
        <v>346</v>
      </c>
      <c r="F831" s="86" t="s">
        <v>4937</v>
      </c>
      <c r="G831" s="91"/>
      <c r="H831" s="86" t="s">
        <v>101</v>
      </c>
      <c r="I831" s="91"/>
      <c r="J831" s="97"/>
      <c r="K831" s="66" t="str">
        <f>IFNA(VLOOKUP(D831,'EAN Codes'!A:C,2,False),"")</f>
        <v>5907615827037</v>
      </c>
      <c r="L831" s="91"/>
      <c r="M831" s="92"/>
      <c r="N831" s="86"/>
      <c r="O831" s="86"/>
      <c r="P831" s="86"/>
      <c r="Q831" s="86"/>
      <c r="R831" s="86"/>
      <c r="S831" s="88"/>
      <c r="T831" s="86"/>
      <c r="U831" s="93" t="b">
        <v>1</v>
      </c>
      <c r="V831" s="86" t="s">
        <v>4946</v>
      </c>
      <c r="Z831" t="b">
        <v>0</v>
      </c>
    </row>
    <row r="832" hidden="1">
      <c r="A832" s="86">
        <v>1200.0</v>
      </c>
      <c r="B832" s="86" t="s">
        <v>241</v>
      </c>
      <c r="C832" s="86" t="s">
        <v>342</v>
      </c>
      <c r="D832" s="87" t="s">
        <v>4949</v>
      </c>
      <c r="E832" s="86" t="s">
        <v>346</v>
      </c>
      <c r="F832" s="86" t="s">
        <v>2115</v>
      </c>
      <c r="G832" s="86" t="s">
        <v>1222</v>
      </c>
      <c r="H832" s="86" t="s">
        <v>4953</v>
      </c>
      <c r="I832" s="91"/>
      <c r="J832" s="97"/>
      <c r="K832" s="90" t="str">
        <f>IFNA(VLOOKUP(D832,'EAN Codes'!A:C,2,False),"")</f>
        <v>5907615801372</v>
      </c>
      <c r="L832" s="91"/>
      <c r="M832" s="92"/>
      <c r="N832" s="86"/>
      <c r="O832" s="86"/>
      <c r="P832" s="86"/>
      <c r="Q832" s="86"/>
      <c r="R832" s="86"/>
      <c r="S832" s="88"/>
      <c r="T832" s="86"/>
      <c r="U832" s="93" t="b">
        <v>1</v>
      </c>
      <c r="V832" s="86" t="s">
        <v>4959</v>
      </c>
      <c r="W832" s="6" t="s">
        <v>4961</v>
      </c>
      <c r="Z832" t="b">
        <v>0</v>
      </c>
    </row>
    <row r="833" hidden="1">
      <c r="A833" s="99">
        <v>828.0</v>
      </c>
      <c r="B833" s="99" t="s">
        <v>241</v>
      </c>
      <c r="C833" s="99" t="s">
        <v>760</v>
      </c>
      <c r="D833" s="99" t="s">
        <v>4967</v>
      </c>
      <c r="E833" s="99" t="s">
        <v>373</v>
      </c>
      <c r="F833" s="99" t="s">
        <v>4972</v>
      </c>
      <c r="G833" s="99" t="s">
        <v>2090</v>
      </c>
      <c r="H833" s="99" t="s">
        <v>189</v>
      </c>
      <c r="I833" s="99" t="s">
        <v>458</v>
      </c>
      <c r="J833" s="104"/>
      <c r="K833" s="66" t="str">
        <f>IFNA(VLOOKUP(D833,'EAN Codes'!A:C,2,False),"")</f>
        <v>5060128539238</v>
      </c>
      <c r="L833" s="82"/>
      <c r="M833" s="67"/>
      <c r="S833" s="60"/>
      <c r="U833" s="93" t="b">
        <v>1</v>
      </c>
      <c r="Z833" t="b">
        <v>0</v>
      </c>
    </row>
    <row r="834" hidden="1">
      <c r="A834" s="99">
        <v>272.0</v>
      </c>
      <c r="B834" s="6" t="s">
        <v>241</v>
      </c>
      <c r="C834" s="86" t="s">
        <v>342</v>
      </c>
      <c r="D834" s="86" t="s">
        <v>4932</v>
      </c>
      <c r="E834" s="86" t="s">
        <v>346</v>
      </c>
      <c r="F834" s="86" t="s">
        <v>4985</v>
      </c>
      <c r="G834" s="86" t="s">
        <v>2250</v>
      </c>
      <c r="H834" s="86" t="s">
        <v>1726</v>
      </c>
      <c r="I834" s="99" t="s">
        <v>458</v>
      </c>
      <c r="J834" s="104"/>
      <c r="K834" s="66" t="str">
        <f>IFNA(VLOOKUP(D834,'EAN Codes'!A:C,2,False),"")</f>
        <v>5907615827037</v>
      </c>
      <c r="L834" s="35"/>
      <c r="M834" s="67"/>
      <c r="S834" s="60"/>
      <c r="U834" s="93" t="b">
        <v>1</v>
      </c>
      <c r="Z834" t="b">
        <v>0</v>
      </c>
    </row>
    <row r="835" hidden="1">
      <c r="A835" s="86">
        <v>215.0</v>
      </c>
      <c r="B835" s="86"/>
      <c r="C835" s="86" t="s">
        <v>342</v>
      </c>
      <c r="D835" s="86" t="s">
        <v>4932</v>
      </c>
      <c r="E835" s="86" t="s">
        <v>346</v>
      </c>
      <c r="F835" s="86" t="s">
        <v>4985</v>
      </c>
      <c r="G835" s="86" t="s">
        <v>2250</v>
      </c>
      <c r="H835" s="86" t="s">
        <v>1726</v>
      </c>
      <c r="I835" s="86" t="s">
        <v>4990</v>
      </c>
      <c r="J835" s="88"/>
      <c r="K835" s="66" t="str">
        <f>IFNA(VLOOKUP(D835,'EAN Codes'!A:C,2,False),"")</f>
        <v>5907615827037</v>
      </c>
      <c r="L835" s="35"/>
      <c r="M835" s="119"/>
      <c r="N835" s="99"/>
      <c r="O835" s="99"/>
      <c r="P835" s="99"/>
      <c r="Q835" s="99"/>
      <c r="R835" s="99"/>
      <c r="S835" s="104"/>
      <c r="T835" s="99"/>
      <c r="U835" s="93" t="b">
        <v>1</v>
      </c>
      <c r="V835" s="99" t="s">
        <v>4999</v>
      </c>
      <c r="Z835" t="b">
        <v>0</v>
      </c>
    </row>
    <row r="836" hidden="1">
      <c r="A836" s="99">
        <v>970.0</v>
      </c>
      <c r="B836" s="99" t="s">
        <v>241</v>
      </c>
      <c r="C836" s="99" t="s">
        <v>342</v>
      </c>
      <c r="D836" s="99" t="s">
        <v>4932</v>
      </c>
      <c r="E836" s="99" t="s">
        <v>346</v>
      </c>
      <c r="F836" s="99" t="s">
        <v>5001</v>
      </c>
      <c r="G836" s="99" t="s">
        <v>2090</v>
      </c>
      <c r="H836" s="99" t="s">
        <v>5002</v>
      </c>
      <c r="I836" s="101"/>
      <c r="J836" s="110"/>
      <c r="K836" s="66" t="str">
        <f>IFNA(VLOOKUP(D836,'EAN Codes'!A:C,2,False),"")</f>
        <v>5907615827037</v>
      </c>
      <c r="L836" s="101"/>
      <c r="M836" s="119"/>
      <c r="N836" s="99"/>
      <c r="O836" s="99"/>
      <c r="P836" s="99"/>
      <c r="Q836" s="99"/>
      <c r="R836" s="99"/>
      <c r="S836" s="104"/>
      <c r="T836" s="99"/>
      <c r="U836" s="93" t="b">
        <v>1</v>
      </c>
      <c r="V836" s="99" t="s">
        <v>5008</v>
      </c>
      <c r="Z836" t="b">
        <v>0</v>
      </c>
    </row>
    <row r="837" hidden="1">
      <c r="A837" s="99">
        <v>481.0</v>
      </c>
      <c r="B837" s="99" t="s">
        <v>241</v>
      </c>
      <c r="C837" s="99" t="s">
        <v>342</v>
      </c>
      <c r="D837" s="99" t="s">
        <v>4880</v>
      </c>
      <c r="E837" s="99" t="s">
        <v>373</v>
      </c>
      <c r="F837" s="99" t="s">
        <v>5011</v>
      </c>
      <c r="G837" s="99" t="s">
        <v>375</v>
      </c>
      <c r="H837" s="99" t="s">
        <v>189</v>
      </c>
      <c r="I837" s="99" t="s">
        <v>570</v>
      </c>
      <c r="J837" s="104"/>
      <c r="K837" s="66" t="str">
        <f>IFNA(VLOOKUP(D837,'EAN Codes'!A:C,2,False),"")</f>
        <v>5907615827020</v>
      </c>
      <c r="L837" s="99" t="s">
        <v>92</v>
      </c>
      <c r="M837" s="119"/>
      <c r="N837" s="99"/>
      <c r="O837" s="99"/>
      <c r="P837" s="99"/>
      <c r="Q837" s="99"/>
      <c r="R837" s="99"/>
      <c r="S837" s="104"/>
      <c r="T837" s="99"/>
      <c r="U837" s="93" t="b">
        <v>1</v>
      </c>
      <c r="V837" s="99" t="s">
        <v>5025</v>
      </c>
      <c r="Z837" t="b">
        <v>0</v>
      </c>
    </row>
    <row r="838" hidden="1">
      <c r="A838" s="99">
        <v>690.0</v>
      </c>
      <c r="B838" s="99" t="s">
        <v>241</v>
      </c>
      <c r="C838" s="99" t="s">
        <v>342</v>
      </c>
      <c r="D838" s="99" t="s">
        <v>4564</v>
      </c>
      <c r="E838" s="99" t="s">
        <v>346</v>
      </c>
      <c r="F838" s="99" t="s">
        <v>5011</v>
      </c>
      <c r="G838" s="101"/>
      <c r="H838" s="99" t="s">
        <v>189</v>
      </c>
      <c r="I838" s="99" t="s">
        <v>570</v>
      </c>
      <c r="J838" s="104"/>
      <c r="K838" s="66" t="str">
        <f>IFNA(VLOOKUP(D838,'EAN Codes'!A:C,2,False),"")</f>
        <v>5907615827013</v>
      </c>
      <c r="L838" s="101"/>
      <c r="M838" s="119"/>
      <c r="N838" s="99"/>
      <c r="O838" s="99"/>
      <c r="P838" s="99"/>
      <c r="Q838" s="99"/>
      <c r="R838" s="99"/>
      <c r="S838" s="104"/>
      <c r="T838" s="99"/>
      <c r="U838" s="93" t="b">
        <v>1</v>
      </c>
      <c r="V838" s="99" t="s">
        <v>5041</v>
      </c>
      <c r="Z838" t="b">
        <v>0</v>
      </c>
    </row>
    <row r="839" hidden="1">
      <c r="A839" s="86">
        <v>647.0</v>
      </c>
      <c r="B839" s="99" t="s">
        <v>241</v>
      </c>
      <c r="C839" s="99" t="s">
        <v>342</v>
      </c>
      <c r="D839" s="99" t="s">
        <v>4564</v>
      </c>
      <c r="E839" s="99" t="s">
        <v>346</v>
      </c>
      <c r="F839" s="99" t="s">
        <v>5011</v>
      </c>
      <c r="G839" s="99" t="s">
        <v>375</v>
      </c>
      <c r="H839" s="99" t="s">
        <v>189</v>
      </c>
      <c r="I839" s="99" t="s">
        <v>626</v>
      </c>
      <c r="J839" s="104"/>
      <c r="K839" s="66" t="str">
        <f>IFNA(VLOOKUP(D839,'EAN Codes'!A:C,2,False),"")</f>
        <v>5907615827013</v>
      </c>
      <c r="L839" s="82"/>
      <c r="M839" s="83"/>
      <c r="N839" s="6"/>
      <c r="O839" s="6"/>
      <c r="P839" s="6"/>
      <c r="Q839" s="6"/>
      <c r="R839" s="6"/>
      <c r="S839" s="84"/>
      <c r="T839" s="6"/>
      <c r="U839" s="93" t="b">
        <v>1</v>
      </c>
      <c r="V839" s="6" t="s">
        <v>5055</v>
      </c>
      <c r="Z839" t="b">
        <v>0</v>
      </c>
    </row>
    <row r="840" hidden="1">
      <c r="A840" s="99">
        <v>177.0</v>
      </c>
      <c r="B840" s="99"/>
      <c r="C840" s="99" t="s">
        <v>342</v>
      </c>
      <c r="D840" s="99" t="s">
        <v>4880</v>
      </c>
      <c r="E840" s="99" t="s">
        <v>409</v>
      </c>
      <c r="F840" s="99" t="s">
        <v>5011</v>
      </c>
      <c r="G840" s="99" t="s">
        <v>375</v>
      </c>
      <c r="H840" s="99" t="s">
        <v>189</v>
      </c>
      <c r="I840" s="99" t="s">
        <v>1634</v>
      </c>
      <c r="J840" s="104"/>
      <c r="K840" s="66" t="str">
        <f>IFNA(VLOOKUP(D840,'EAN Codes'!A:C,2,False),"")</f>
        <v>5907615827020</v>
      </c>
      <c r="L840" s="35"/>
      <c r="M840" s="67"/>
      <c r="S840" s="60"/>
      <c r="U840" s="93" t="b">
        <v>1</v>
      </c>
      <c r="Z840" s="101" t="b">
        <v>0</v>
      </c>
      <c r="AA840" s="101"/>
      <c r="AB840" s="101"/>
      <c r="AC840" s="101"/>
      <c r="AD840" s="101"/>
      <c r="AE840" s="101"/>
    </row>
    <row r="841" hidden="1">
      <c r="A841" s="99">
        <v>243.0</v>
      </c>
      <c r="B841" s="99"/>
      <c r="C841" s="99" t="s">
        <v>342</v>
      </c>
      <c r="D841" s="99" t="s">
        <v>4880</v>
      </c>
      <c r="E841" s="99" t="s">
        <v>409</v>
      </c>
      <c r="F841" s="99" t="s">
        <v>5011</v>
      </c>
      <c r="G841" s="99" t="s">
        <v>375</v>
      </c>
      <c r="H841" s="99" t="s">
        <v>189</v>
      </c>
      <c r="I841" s="99" t="s">
        <v>1634</v>
      </c>
      <c r="J841" s="104"/>
      <c r="K841" s="66" t="str">
        <f>IFNA(VLOOKUP(D841,'EAN Codes'!A:C,2,False),"")</f>
        <v>5907615827020</v>
      </c>
      <c r="L841" s="35"/>
      <c r="M841" s="83"/>
      <c r="N841" s="6"/>
      <c r="O841" s="6"/>
      <c r="P841" s="6"/>
      <c r="Q841" s="6"/>
      <c r="R841" s="6"/>
      <c r="S841" s="84"/>
      <c r="T841" s="6"/>
      <c r="U841" s="93" t="b">
        <v>1</v>
      </c>
      <c r="V841" s="6" t="s">
        <v>5082</v>
      </c>
      <c r="Z841" t="b">
        <v>0</v>
      </c>
    </row>
    <row r="842" hidden="1">
      <c r="A842" s="99">
        <v>126.0</v>
      </c>
      <c r="B842" s="99"/>
      <c r="C842" s="99" t="s">
        <v>342</v>
      </c>
      <c r="D842" s="99" t="s">
        <v>4564</v>
      </c>
      <c r="E842" s="99" t="s">
        <v>346</v>
      </c>
      <c r="F842" s="99" t="s">
        <v>5011</v>
      </c>
      <c r="G842" s="99" t="s">
        <v>2346</v>
      </c>
      <c r="H842" s="99" t="s">
        <v>512</v>
      </c>
      <c r="I842" s="99" t="s">
        <v>530</v>
      </c>
      <c r="J842" s="104"/>
      <c r="K842" s="66" t="str">
        <f>IFNA(VLOOKUP(D842,'EAN Codes'!A:C,2,False),"")</f>
        <v>5907615827013</v>
      </c>
      <c r="L842" s="35"/>
      <c r="M842" s="67"/>
      <c r="S842" s="60"/>
      <c r="U842" s="93" t="b">
        <v>1</v>
      </c>
      <c r="Z842" t="b">
        <v>0</v>
      </c>
    </row>
    <row r="843" hidden="1">
      <c r="A843" s="99">
        <v>136.0</v>
      </c>
      <c r="B843" s="99"/>
      <c r="C843" s="99" t="s">
        <v>342</v>
      </c>
      <c r="D843" s="99" t="s">
        <v>4880</v>
      </c>
      <c r="E843" s="99" t="s">
        <v>373</v>
      </c>
      <c r="F843" s="99" t="s">
        <v>5011</v>
      </c>
      <c r="G843" s="99" t="s">
        <v>2346</v>
      </c>
      <c r="H843" s="99" t="s">
        <v>512</v>
      </c>
      <c r="I843" s="99" t="s">
        <v>530</v>
      </c>
      <c r="J843" s="104"/>
      <c r="K843" s="66" t="str">
        <f>IFNA(VLOOKUP(D843,'EAN Codes'!A:C,2,False),"")</f>
        <v>5907615827020</v>
      </c>
      <c r="L843" s="35"/>
      <c r="M843" s="67"/>
      <c r="S843" s="60"/>
      <c r="U843" s="93" t="b">
        <v>1</v>
      </c>
      <c r="X843" s="101"/>
      <c r="Y843" s="101"/>
      <c r="Z843" t="b">
        <v>0</v>
      </c>
    </row>
    <row r="844" hidden="1">
      <c r="A844" s="86">
        <v>266.0</v>
      </c>
      <c r="B844" s="6" t="s">
        <v>241</v>
      </c>
      <c r="C844" s="86" t="s">
        <v>408</v>
      </c>
      <c r="D844" s="86">
        <v>320072.0</v>
      </c>
      <c r="E844" s="86" t="s">
        <v>409</v>
      </c>
      <c r="F844" s="86" t="s">
        <v>5011</v>
      </c>
      <c r="G844" s="91"/>
      <c r="H844" s="86" t="s">
        <v>189</v>
      </c>
      <c r="I844" s="86" t="s">
        <v>1007</v>
      </c>
      <c r="J844" s="88"/>
      <c r="K844" s="66" t="str">
        <f>IFNA(VLOOKUP(D844,'EAN Codes'!A:C,2,False),"")</f>
        <v/>
      </c>
      <c r="L844" s="86"/>
      <c r="M844" s="92"/>
      <c r="N844" s="86"/>
      <c r="O844" s="86"/>
      <c r="P844" s="86"/>
      <c r="Q844" s="86"/>
      <c r="R844" s="86"/>
      <c r="S844" s="88"/>
      <c r="T844" s="86"/>
      <c r="U844" s="93" t="b">
        <v>1</v>
      </c>
      <c r="V844" s="86" t="s">
        <v>5120</v>
      </c>
      <c r="W844" s="101"/>
      <c r="X844" s="101"/>
      <c r="Z844" t="b">
        <v>0</v>
      </c>
    </row>
    <row r="845" hidden="1">
      <c r="A845" s="101"/>
      <c r="B845" s="99"/>
      <c r="C845" s="99" t="s">
        <v>342</v>
      </c>
      <c r="D845" s="237" t="s">
        <v>4564</v>
      </c>
      <c r="E845" s="99" t="s">
        <v>346</v>
      </c>
      <c r="F845" s="99" t="s">
        <v>5011</v>
      </c>
      <c r="G845" s="99" t="s">
        <v>2346</v>
      </c>
      <c r="H845" s="99" t="s">
        <v>271</v>
      </c>
      <c r="I845" s="101"/>
      <c r="J845" s="110"/>
      <c r="K845" s="66" t="str">
        <f>IFNA(VLOOKUP(D845,'EAN Codes'!A:C,2,False),"")</f>
        <v>5907615827013</v>
      </c>
      <c r="L845" s="35"/>
      <c r="M845" s="119"/>
      <c r="N845" s="99"/>
      <c r="O845" s="99"/>
      <c r="P845" s="99"/>
      <c r="Q845" s="99"/>
      <c r="R845" s="99"/>
      <c r="S845" s="104"/>
      <c r="T845" s="99"/>
      <c r="U845" s="93" t="b">
        <v>1</v>
      </c>
      <c r="V845" s="99" t="s">
        <v>5131</v>
      </c>
      <c r="Z845" t="b">
        <v>0</v>
      </c>
    </row>
    <row r="846" hidden="1">
      <c r="A846" s="99">
        <v>540.0</v>
      </c>
      <c r="B846" s="99" t="s">
        <v>241</v>
      </c>
      <c r="C846" s="99" t="s">
        <v>342</v>
      </c>
      <c r="D846" s="99" t="s">
        <v>4880</v>
      </c>
      <c r="E846" s="99" t="s">
        <v>373</v>
      </c>
      <c r="F846" s="282" t="s">
        <v>5137</v>
      </c>
      <c r="G846" s="99" t="s">
        <v>375</v>
      </c>
      <c r="H846" s="99" t="s">
        <v>189</v>
      </c>
      <c r="I846" s="99" t="s">
        <v>1863</v>
      </c>
      <c r="J846" s="104"/>
      <c r="K846" s="66" t="str">
        <f>IFNA(VLOOKUP(D846,'EAN Codes'!A:C,2,False),"")</f>
        <v>5907615827020</v>
      </c>
      <c r="L846" s="82"/>
      <c r="M846" s="83"/>
      <c r="N846" s="6"/>
      <c r="O846" s="6"/>
      <c r="P846" s="6"/>
      <c r="Q846" s="6"/>
      <c r="R846" s="6"/>
      <c r="S846" s="84"/>
      <c r="T846" s="6"/>
      <c r="U846" s="93" t="b">
        <v>1</v>
      </c>
      <c r="V846" s="6" t="s">
        <v>5147</v>
      </c>
      <c r="Z846" t="b">
        <v>0</v>
      </c>
    </row>
    <row r="847" hidden="1">
      <c r="A847" s="99">
        <v>490.0</v>
      </c>
      <c r="B847" s="99" t="s">
        <v>241</v>
      </c>
      <c r="C847" s="99" t="s">
        <v>1250</v>
      </c>
      <c r="D847" s="99" t="s">
        <v>5148</v>
      </c>
      <c r="E847" s="99" t="s">
        <v>527</v>
      </c>
      <c r="F847" s="99" t="s">
        <v>5149</v>
      </c>
      <c r="G847" s="99" t="s">
        <v>375</v>
      </c>
      <c r="H847" s="99" t="s">
        <v>189</v>
      </c>
      <c r="I847" s="99" t="s">
        <v>680</v>
      </c>
      <c r="J847" s="104"/>
      <c r="K847" s="66" t="str">
        <f>IFNA(VLOOKUP(D847,'EAN Codes'!A:C,2,False),"")</f>
        <v/>
      </c>
      <c r="L847" s="99"/>
      <c r="M847" s="83"/>
      <c r="N847" s="6"/>
      <c r="O847" s="6"/>
      <c r="P847" s="6"/>
      <c r="Q847" s="6"/>
      <c r="R847" s="6"/>
      <c r="S847" s="84"/>
      <c r="T847" s="6"/>
      <c r="U847" s="93" t="b">
        <v>1</v>
      </c>
      <c r="V847" s="6" t="s">
        <v>5164</v>
      </c>
      <c r="Z847" t="b">
        <v>0</v>
      </c>
    </row>
    <row r="848" hidden="1">
      <c r="A848" s="99">
        <v>139.0</v>
      </c>
      <c r="B848" s="99"/>
      <c r="C848" s="99" t="s">
        <v>1217</v>
      </c>
      <c r="D848" s="99" t="s">
        <v>5167</v>
      </c>
      <c r="E848" s="99" t="s">
        <v>346</v>
      </c>
      <c r="F848" s="99" t="s">
        <v>5168</v>
      </c>
      <c r="G848" s="282" t="s">
        <v>1132</v>
      </c>
      <c r="H848" s="99" t="s">
        <v>189</v>
      </c>
      <c r="I848" s="99" t="s">
        <v>458</v>
      </c>
      <c r="J848" s="104"/>
      <c r="K848" s="66" t="str">
        <f>IFNA(VLOOKUP(D848,'EAN Codes'!A:C,2,False),"")</f>
        <v>67165</v>
      </c>
      <c r="L848" s="35"/>
      <c r="M848" s="396"/>
      <c r="N848" s="82"/>
      <c r="O848" s="82"/>
      <c r="P848" s="82"/>
      <c r="Q848" s="82"/>
      <c r="R848" s="82"/>
      <c r="S848" s="395"/>
      <c r="T848" s="82"/>
      <c r="U848" s="93" t="b">
        <v>1</v>
      </c>
      <c r="V848" s="82"/>
      <c r="Z848" t="b">
        <v>0</v>
      </c>
    </row>
    <row r="849" hidden="1">
      <c r="A849" s="99">
        <v>605.0</v>
      </c>
      <c r="B849" s="99" t="s">
        <v>241</v>
      </c>
      <c r="C849" s="99" t="s">
        <v>408</v>
      </c>
      <c r="D849" s="99">
        <v>320071.0</v>
      </c>
      <c r="E849" s="99" t="s">
        <v>346</v>
      </c>
      <c r="F849" s="99" t="s">
        <v>5168</v>
      </c>
      <c r="G849" s="99" t="s">
        <v>5181</v>
      </c>
      <c r="H849" s="99" t="s">
        <v>189</v>
      </c>
      <c r="I849" s="99" t="s">
        <v>942</v>
      </c>
      <c r="J849" s="104"/>
      <c r="K849" s="66" t="str">
        <f>IFNA(VLOOKUP(D849,'EAN Codes'!A:C,2,False),"")</f>
        <v/>
      </c>
      <c r="L849" s="99"/>
      <c r="M849" s="119"/>
      <c r="N849" s="99"/>
      <c r="O849" s="99"/>
      <c r="P849" s="99"/>
      <c r="Q849" s="99"/>
      <c r="R849" s="99"/>
      <c r="S849" s="104"/>
      <c r="T849" s="99"/>
      <c r="U849" s="93" t="b">
        <v>1</v>
      </c>
      <c r="V849" s="99" t="s">
        <v>5189</v>
      </c>
      <c r="Z849" t="b">
        <v>0</v>
      </c>
    </row>
    <row r="850" hidden="1">
      <c r="A850" s="99">
        <v>606.0</v>
      </c>
      <c r="B850" s="99" t="s">
        <v>241</v>
      </c>
      <c r="C850" s="99" t="s">
        <v>408</v>
      </c>
      <c r="D850" s="99">
        <v>320072.0</v>
      </c>
      <c r="E850" s="99" t="s">
        <v>346</v>
      </c>
      <c r="F850" s="99" t="s">
        <v>5168</v>
      </c>
      <c r="G850" s="99" t="s">
        <v>5181</v>
      </c>
      <c r="H850" s="99" t="s">
        <v>189</v>
      </c>
      <c r="I850" s="99" t="s">
        <v>942</v>
      </c>
      <c r="J850" s="104"/>
      <c r="K850" s="66" t="str">
        <f>IFNA(VLOOKUP(D850,'EAN Codes'!A:C,2,False),"")</f>
        <v/>
      </c>
      <c r="L850" s="99"/>
      <c r="M850" s="119"/>
      <c r="N850" s="99"/>
      <c r="O850" s="99"/>
      <c r="P850" s="99"/>
      <c r="Q850" s="99"/>
      <c r="R850" s="99"/>
      <c r="S850" s="104"/>
      <c r="T850" s="99"/>
      <c r="U850" s="93" t="b">
        <v>1</v>
      </c>
      <c r="V850" s="99" t="s">
        <v>5198</v>
      </c>
      <c r="Z850" t="b">
        <v>0</v>
      </c>
    </row>
    <row r="851" hidden="1">
      <c r="A851" s="99">
        <v>504.0</v>
      </c>
      <c r="B851" s="99" t="s">
        <v>241</v>
      </c>
      <c r="C851" s="99" t="s">
        <v>408</v>
      </c>
      <c r="D851" s="99">
        <v>320072.0</v>
      </c>
      <c r="E851" s="99" t="s">
        <v>409</v>
      </c>
      <c r="F851" s="99" t="s">
        <v>5168</v>
      </c>
      <c r="G851" s="99" t="s">
        <v>375</v>
      </c>
      <c r="H851" s="99" t="s">
        <v>189</v>
      </c>
      <c r="I851" s="99" t="s">
        <v>4155</v>
      </c>
      <c r="J851" s="104"/>
      <c r="K851" s="66" t="str">
        <f>IFNA(VLOOKUP(D851,'EAN Codes'!A:C,2,False),"")</f>
        <v/>
      </c>
      <c r="L851" s="99"/>
      <c r="M851" s="119"/>
      <c r="N851" s="99"/>
      <c r="O851" s="99"/>
      <c r="P851" s="99"/>
      <c r="Q851" s="99"/>
      <c r="R851" s="99"/>
      <c r="S851" s="104"/>
      <c r="T851" s="99"/>
      <c r="U851" s="93" t="b">
        <v>1</v>
      </c>
      <c r="V851" s="99" t="s">
        <v>5210</v>
      </c>
      <c r="Z851" t="b">
        <v>0</v>
      </c>
    </row>
    <row r="852" hidden="1">
      <c r="A852" s="99">
        <v>597.0</v>
      </c>
      <c r="B852" s="99" t="s">
        <v>241</v>
      </c>
      <c r="C852" s="99" t="s">
        <v>408</v>
      </c>
      <c r="D852" s="99">
        <v>320072.0</v>
      </c>
      <c r="E852" s="99" t="s">
        <v>373</v>
      </c>
      <c r="F852" s="99" t="s">
        <v>5168</v>
      </c>
      <c r="G852" s="99" t="s">
        <v>5181</v>
      </c>
      <c r="H852" s="99" t="s">
        <v>189</v>
      </c>
      <c r="I852" s="99" t="s">
        <v>551</v>
      </c>
      <c r="J852" s="104"/>
      <c r="K852" s="66" t="str">
        <f>IFNA(VLOOKUP(D852,'EAN Codes'!A:C,2,False),"")</f>
        <v/>
      </c>
      <c r="L852" s="35" t="s">
        <v>269</v>
      </c>
      <c r="M852" s="83"/>
      <c r="N852" s="6"/>
      <c r="O852" s="6"/>
      <c r="P852" s="6"/>
      <c r="Q852" s="6"/>
      <c r="R852" s="6"/>
      <c r="S852" s="84"/>
      <c r="T852" s="6"/>
      <c r="U852" s="93" t="b">
        <v>1</v>
      </c>
      <c r="V852" s="6" t="s">
        <v>5221</v>
      </c>
      <c r="Y852" s="6" t="s">
        <v>452</v>
      </c>
      <c r="Z852" t="b">
        <v>0</v>
      </c>
    </row>
    <row r="853" hidden="1">
      <c r="A853" s="99">
        <v>598.0</v>
      </c>
      <c r="B853" s="99" t="s">
        <v>241</v>
      </c>
      <c r="C853" s="99" t="s">
        <v>408</v>
      </c>
      <c r="D853" s="99">
        <v>320072.0</v>
      </c>
      <c r="E853" s="99" t="s">
        <v>373</v>
      </c>
      <c r="F853" s="99" t="s">
        <v>5168</v>
      </c>
      <c r="G853" s="99" t="s">
        <v>5181</v>
      </c>
      <c r="H853" s="99" t="s">
        <v>189</v>
      </c>
      <c r="I853" s="99" t="s">
        <v>551</v>
      </c>
      <c r="J853" s="104"/>
      <c r="K853" s="66" t="str">
        <f>IFNA(VLOOKUP(D853,'EAN Codes'!A:C,2,False),"")</f>
        <v/>
      </c>
      <c r="L853" s="35" t="s">
        <v>269</v>
      </c>
      <c r="M853" s="83"/>
      <c r="N853" s="6"/>
      <c r="O853" s="6"/>
      <c r="P853" s="6"/>
      <c r="Q853" s="6"/>
      <c r="R853" s="6"/>
      <c r="S853" s="84"/>
      <c r="T853" s="6"/>
      <c r="U853" s="93" t="b">
        <v>1</v>
      </c>
      <c r="V853" s="6" t="s">
        <v>5233</v>
      </c>
      <c r="Y853" s="6" t="s">
        <v>452</v>
      </c>
      <c r="Z853" t="b">
        <v>0</v>
      </c>
    </row>
    <row r="854" hidden="1">
      <c r="A854" s="99">
        <v>603.0</v>
      </c>
      <c r="B854" s="99" t="s">
        <v>241</v>
      </c>
      <c r="C854" s="99" t="s">
        <v>408</v>
      </c>
      <c r="D854" s="99">
        <v>320072.0</v>
      </c>
      <c r="E854" s="99" t="s">
        <v>373</v>
      </c>
      <c r="F854" s="99" t="s">
        <v>5168</v>
      </c>
      <c r="G854" s="99" t="s">
        <v>5181</v>
      </c>
      <c r="H854" s="99" t="s">
        <v>189</v>
      </c>
      <c r="I854" s="99" t="s">
        <v>602</v>
      </c>
      <c r="J854" s="104"/>
      <c r="K854" s="66" t="str">
        <f>IFNA(VLOOKUP(D854,'EAN Codes'!A:C,2,False),"")</f>
        <v/>
      </c>
      <c r="L854" s="35" t="s">
        <v>269</v>
      </c>
      <c r="M854" s="83"/>
      <c r="N854" s="6"/>
      <c r="O854" s="6"/>
      <c r="P854" s="6"/>
      <c r="Q854" s="6"/>
      <c r="R854" s="6"/>
      <c r="S854" s="84"/>
      <c r="T854" s="6"/>
      <c r="U854" s="93" t="b">
        <v>1</v>
      </c>
      <c r="V854" s="6" t="s">
        <v>5244</v>
      </c>
      <c r="Y854" s="6" t="s">
        <v>452</v>
      </c>
      <c r="Z854" t="b">
        <v>0</v>
      </c>
    </row>
    <row r="855" hidden="1">
      <c r="A855" s="86">
        <v>864.0</v>
      </c>
      <c r="B855" s="86" t="s">
        <v>241</v>
      </c>
      <c r="C855" s="86" t="s">
        <v>760</v>
      </c>
      <c r="D855" s="86" t="s">
        <v>5246</v>
      </c>
      <c r="E855" s="86" t="s">
        <v>409</v>
      </c>
      <c r="F855" s="86" t="s">
        <v>5249</v>
      </c>
      <c r="G855" s="282" t="s">
        <v>5251</v>
      </c>
      <c r="H855" s="86" t="s">
        <v>189</v>
      </c>
      <c r="I855" s="86" t="s">
        <v>680</v>
      </c>
      <c r="J855" s="88"/>
      <c r="K855" s="66" t="str">
        <f>IFNA(VLOOKUP(D855,'EAN Codes'!A:C,2,False),"")</f>
        <v>5060128539276</v>
      </c>
      <c r="L855" s="261"/>
      <c r="M855" s="92"/>
      <c r="N855" s="86"/>
      <c r="O855" s="86"/>
      <c r="P855" s="86"/>
      <c r="Q855" s="86"/>
      <c r="R855" s="86"/>
      <c r="S855" s="88"/>
      <c r="T855" s="86"/>
      <c r="U855" s="93" t="b">
        <v>1</v>
      </c>
      <c r="V855" s="86" t="s">
        <v>5259</v>
      </c>
      <c r="W855" s="261"/>
      <c r="X855" s="261"/>
      <c r="Y855" s="82"/>
      <c r="Z855" t="b">
        <v>0</v>
      </c>
    </row>
    <row r="856" hidden="1">
      <c r="A856" s="99">
        <v>903.0</v>
      </c>
      <c r="B856" s="99" t="s">
        <v>241</v>
      </c>
      <c r="C856" s="99" t="s">
        <v>342</v>
      </c>
      <c r="D856" s="99" t="s">
        <v>4564</v>
      </c>
      <c r="E856" s="99" t="s">
        <v>346</v>
      </c>
      <c r="F856" s="99" t="s">
        <v>5264</v>
      </c>
      <c r="G856" s="99" t="s">
        <v>375</v>
      </c>
      <c r="H856" s="99" t="s">
        <v>189</v>
      </c>
      <c r="I856" s="99" t="s">
        <v>585</v>
      </c>
      <c r="J856" s="104"/>
      <c r="K856" s="66" t="str">
        <f>IFNA(VLOOKUP(D856,'EAN Codes'!A:C,2,False),"")</f>
        <v>5907615827013</v>
      </c>
      <c r="L856" s="82"/>
      <c r="M856" s="67"/>
      <c r="S856" s="60"/>
      <c r="U856" s="93" t="b">
        <v>1</v>
      </c>
      <c r="Z856" t="b">
        <v>0</v>
      </c>
    </row>
    <row r="857" hidden="1">
      <c r="A857" s="86">
        <v>636.0</v>
      </c>
      <c r="B857" s="86" t="s">
        <v>241</v>
      </c>
      <c r="C857" s="86" t="s">
        <v>1250</v>
      </c>
      <c r="D857" s="86" t="s">
        <v>5271</v>
      </c>
      <c r="E857" s="86" t="s">
        <v>346</v>
      </c>
      <c r="F857" s="86" t="s">
        <v>5273</v>
      </c>
      <c r="G857" s="86" t="s">
        <v>375</v>
      </c>
      <c r="H857" s="86" t="s">
        <v>189</v>
      </c>
      <c r="I857" s="86" t="s">
        <v>570</v>
      </c>
      <c r="J857" s="88"/>
      <c r="K857" s="66" t="str">
        <f>IFNA(VLOOKUP(D857,'EAN Codes'!A:C,2,False),"")</f>
        <v/>
      </c>
      <c r="L857" s="86"/>
      <c r="M857" s="92"/>
      <c r="N857" s="86"/>
      <c r="O857" s="86"/>
      <c r="P857" s="86"/>
      <c r="Q857" s="86"/>
      <c r="R857" s="86"/>
      <c r="S857" s="88"/>
      <c r="T857" s="86"/>
      <c r="U857" s="93" t="b">
        <v>1</v>
      </c>
      <c r="V857" s="86" t="s">
        <v>5285</v>
      </c>
      <c r="Z857" t="b">
        <v>0</v>
      </c>
    </row>
    <row r="858" hidden="1">
      <c r="A858" s="99">
        <v>347.0</v>
      </c>
      <c r="B858" s="6" t="s">
        <v>241</v>
      </c>
      <c r="C858" s="99" t="s">
        <v>342</v>
      </c>
      <c r="D858" s="99" t="s">
        <v>4564</v>
      </c>
      <c r="E858" s="99" t="s">
        <v>346</v>
      </c>
      <c r="F858" s="99" t="s">
        <v>5273</v>
      </c>
      <c r="G858" s="99" t="s">
        <v>375</v>
      </c>
      <c r="H858" s="99" t="s">
        <v>189</v>
      </c>
      <c r="I858" s="99" t="s">
        <v>626</v>
      </c>
      <c r="J858" s="104"/>
      <c r="K858" s="66" t="str">
        <f>IFNA(VLOOKUP(D858,'EAN Codes'!A:C,2,False),"")</f>
        <v>5907615827013</v>
      </c>
      <c r="L858" s="35"/>
      <c r="M858" s="83"/>
      <c r="N858" s="6"/>
      <c r="O858" s="6"/>
      <c r="P858" s="6"/>
      <c r="Q858" s="6"/>
      <c r="R858" s="6"/>
      <c r="S858" s="84"/>
      <c r="T858" s="6"/>
      <c r="U858" s="93" t="b">
        <v>1</v>
      </c>
      <c r="V858" s="6" t="s">
        <v>5295</v>
      </c>
      <c r="Z858" t="b">
        <v>0</v>
      </c>
    </row>
    <row r="859" hidden="1">
      <c r="A859" s="99">
        <v>959.0</v>
      </c>
      <c r="B859" s="99" t="s">
        <v>241</v>
      </c>
      <c r="C859" s="99" t="s">
        <v>1813</v>
      </c>
      <c r="D859" s="99" t="s">
        <v>5298</v>
      </c>
      <c r="E859" s="99" t="s">
        <v>346</v>
      </c>
      <c r="F859" s="99" t="s">
        <v>5299</v>
      </c>
      <c r="G859" s="101"/>
      <c r="H859" s="99" t="s">
        <v>189</v>
      </c>
      <c r="I859" s="99" t="s">
        <v>680</v>
      </c>
      <c r="J859" s="104"/>
      <c r="K859" s="66" t="str">
        <f>IFNA(VLOOKUP(D859,'EAN Codes'!A:C,2,False),"")</f>
        <v/>
      </c>
      <c r="L859" s="101"/>
      <c r="M859" s="119"/>
      <c r="N859" s="99"/>
      <c r="O859" s="99"/>
      <c r="P859" s="99"/>
      <c r="Q859" s="99"/>
      <c r="R859" s="99"/>
      <c r="S859" s="104"/>
      <c r="T859" s="99"/>
      <c r="U859" s="93" t="b">
        <v>1</v>
      </c>
      <c r="V859" s="99" t="s">
        <v>5314</v>
      </c>
      <c r="Z859" t="b">
        <v>0</v>
      </c>
    </row>
    <row r="860" hidden="1">
      <c r="A860" s="99">
        <v>806.0</v>
      </c>
      <c r="B860" s="99" t="s">
        <v>241</v>
      </c>
      <c r="C860" s="99" t="s">
        <v>342</v>
      </c>
      <c r="D860" s="99" t="s">
        <v>4564</v>
      </c>
      <c r="E860" s="99" t="s">
        <v>346</v>
      </c>
      <c r="F860" s="99" t="s">
        <v>5299</v>
      </c>
      <c r="G860" s="99" t="s">
        <v>5181</v>
      </c>
      <c r="H860" s="99" t="s">
        <v>189</v>
      </c>
      <c r="I860" s="99" t="s">
        <v>1328</v>
      </c>
      <c r="J860" s="104"/>
      <c r="K860" s="66" t="str">
        <f>IFNA(VLOOKUP(D860,'EAN Codes'!A:C,2,False),"")</f>
        <v>5907615827013</v>
      </c>
      <c r="L860" s="82"/>
      <c r="M860" s="83"/>
      <c r="N860" s="6"/>
      <c r="O860" s="6"/>
      <c r="P860" s="6"/>
      <c r="Q860" s="6"/>
      <c r="R860" s="6"/>
      <c r="S860" s="84"/>
      <c r="T860" s="6"/>
      <c r="U860" s="93" t="b">
        <v>1</v>
      </c>
      <c r="V860" s="6" t="s">
        <v>5324</v>
      </c>
      <c r="Z860" t="b">
        <v>0</v>
      </c>
    </row>
    <row r="861" hidden="1">
      <c r="A861" s="99">
        <v>755.0</v>
      </c>
      <c r="B861" s="99" t="s">
        <v>241</v>
      </c>
      <c r="C861" s="99" t="s">
        <v>342</v>
      </c>
      <c r="D861" s="99" t="s">
        <v>4564</v>
      </c>
      <c r="E861" s="99" t="s">
        <v>346</v>
      </c>
      <c r="F861" s="99" t="s">
        <v>5299</v>
      </c>
      <c r="G861" s="101"/>
      <c r="H861" s="99" t="s">
        <v>189</v>
      </c>
      <c r="I861" s="99" t="s">
        <v>1634</v>
      </c>
      <c r="J861" s="104"/>
      <c r="K861" s="66" t="str">
        <f>IFNA(VLOOKUP(D861,'EAN Codes'!A:C,2,False),"")</f>
        <v>5907615827013</v>
      </c>
      <c r="L861" s="101"/>
      <c r="M861" s="83"/>
      <c r="N861" s="6"/>
      <c r="O861" s="6"/>
      <c r="P861" s="6"/>
      <c r="Q861" s="6"/>
      <c r="R861" s="6"/>
      <c r="S861" s="84"/>
      <c r="T861" s="6"/>
      <c r="U861" s="93" t="b">
        <v>1</v>
      </c>
      <c r="V861" s="6" t="s">
        <v>5332</v>
      </c>
      <c r="Z861" t="b">
        <v>0</v>
      </c>
    </row>
    <row r="862" hidden="1">
      <c r="A862" s="86">
        <v>787.0</v>
      </c>
      <c r="B862" s="99" t="s">
        <v>241</v>
      </c>
      <c r="C862" s="99" t="s">
        <v>342</v>
      </c>
      <c r="D862" s="99" t="s">
        <v>4564</v>
      </c>
      <c r="E862" s="99" t="s">
        <v>346</v>
      </c>
      <c r="F862" s="99" t="s">
        <v>5299</v>
      </c>
      <c r="G862" s="99" t="s">
        <v>375</v>
      </c>
      <c r="H862" s="99" t="s">
        <v>189</v>
      </c>
      <c r="I862" s="99" t="s">
        <v>1634</v>
      </c>
      <c r="J862" s="104"/>
      <c r="K862" s="66" t="str">
        <f>IFNA(VLOOKUP(D862,'EAN Codes'!A:C,2,False),"")</f>
        <v>5907615827013</v>
      </c>
      <c r="L862" s="99"/>
      <c r="M862" s="119"/>
      <c r="N862" s="99"/>
      <c r="O862" s="99"/>
      <c r="P862" s="99"/>
      <c r="Q862" s="99"/>
      <c r="R862" s="99"/>
      <c r="S862" s="104"/>
      <c r="T862" s="99"/>
      <c r="U862" s="93" t="b">
        <v>1</v>
      </c>
      <c r="V862" s="99" t="s">
        <v>5345</v>
      </c>
      <c r="Z862" t="b">
        <v>0</v>
      </c>
    </row>
    <row r="863" hidden="1">
      <c r="A863" s="99">
        <v>907.0</v>
      </c>
      <c r="B863" s="99" t="s">
        <v>241</v>
      </c>
      <c r="C863" s="99" t="s">
        <v>1813</v>
      </c>
      <c r="D863" s="99" t="s">
        <v>5298</v>
      </c>
      <c r="E863" s="99" t="s">
        <v>346</v>
      </c>
      <c r="F863" s="99" t="s">
        <v>5299</v>
      </c>
      <c r="G863" s="99" t="s">
        <v>375</v>
      </c>
      <c r="H863" s="99" t="s">
        <v>189</v>
      </c>
      <c r="I863" s="99" t="s">
        <v>1863</v>
      </c>
      <c r="J863" s="104"/>
      <c r="K863" s="66" t="str">
        <f>IFNA(VLOOKUP(D863,'EAN Codes'!A:C,2,False),"")</f>
        <v/>
      </c>
      <c r="L863" s="101"/>
      <c r="M863" s="119"/>
      <c r="N863" s="99"/>
      <c r="O863" s="99"/>
      <c r="P863" s="99"/>
      <c r="Q863" s="99"/>
      <c r="R863" s="99"/>
      <c r="S863" s="104"/>
      <c r="T863" s="99"/>
      <c r="U863" s="93" t="b">
        <v>1</v>
      </c>
      <c r="V863" s="99" t="s">
        <v>5358</v>
      </c>
      <c r="Z863" t="b">
        <v>0</v>
      </c>
    </row>
    <row r="864" hidden="1">
      <c r="A864" s="99">
        <v>893.0</v>
      </c>
      <c r="B864" s="99" t="s">
        <v>241</v>
      </c>
      <c r="C864" s="99" t="s">
        <v>342</v>
      </c>
      <c r="D864" s="99" t="s">
        <v>4564</v>
      </c>
      <c r="E864" s="99" t="s">
        <v>346</v>
      </c>
      <c r="F864" s="99" t="s">
        <v>5299</v>
      </c>
      <c r="G864" s="99" t="s">
        <v>5181</v>
      </c>
      <c r="H864" s="99" t="s">
        <v>189</v>
      </c>
      <c r="I864" s="99" t="s">
        <v>483</v>
      </c>
      <c r="J864" s="104"/>
      <c r="K864" s="66" t="str">
        <f>IFNA(VLOOKUP(D864,'EAN Codes'!A:C,2,False),"")</f>
        <v>5907615827013</v>
      </c>
      <c r="L864" s="101"/>
      <c r="M864" s="119"/>
      <c r="N864" s="99"/>
      <c r="O864" s="99"/>
      <c r="P864" s="99"/>
      <c r="Q864" s="99"/>
      <c r="R864" s="99"/>
      <c r="S864" s="104"/>
      <c r="T864" s="99"/>
      <c r="U864" s="93" t="b">
        <v>1</v>
      </c>
      <c r="V864" s="99" t="s">
        <v>5368</v>
      </c>
      <c r="Z864" t="b">
        <v>0</v>
      </c>
    </row>
    <row r="865" hidden="1">
      <c r="A865" s="6">
        <v>52.0</v>
      </c>
      <c r="B865" s="6" t="s">
        <v>241</v>
      </c>
      <c r="C865" s="6" t="s">
        <v>1217</v>
      </c>
      <c r="D865" s="127" t="s">
        <v>5372</v>
      </c>
      <c r="E865" s="6" t="s">
        <v>2639</v>
      </c>
      <c r="F865" s="6" t="s">
        <v>5375</v>
      </c>
      <c r="G865" s="6" t="s">
        <v>1028</v>
      </c>
      <c r="H865" s="6" t="s">
        <v>189</v>
      </c>
      <c r="I865" s="6" t="s">
        <v>585</v>
      </c>
      <c r="J865" s="84"/>
      <c r="K865" s="66" t="str">
        <f>IFNA(VLOOKUP(D865,'EAN Codes'!A:C,2,False),"")</f>
        <v/>
      </c>
      <c r="L865" s="35" t="s">
        <v>269</v>
      </c>
      <c r="M865" s="83"/>
      <c r="N865" s="6"/>
      <c r="O865" s="6"/>
      <c r="P865" s="6"/>
      <c r="Q865" s="6"/>
      <c r="R865" s="6"/>
      <c r="S865" s="84"/>
      <c r="T865" s="6"/>
      <c r="U865" s="93" t="b">
        <v>1</v>
      </c>
      <c r="V865" s="6" t="s">
        <v>5388</v>
      </c>
      <c r="Z865" t="b">
        <v>0</v>
      </c>
    </row>
    <row r="866" hidden="1">
      <c r="A866" s="99">
        <v>994.0</v>
      </c>
      <c r="B866" s="99" t="s">
        <v>241</v>
      </c>
      <c r="C866" s="99" t="s">
        <v>760</v>
      </c>
      <c r="D866" s="99" t="s">
        <v>5246</v>
      </c>
      <c r="E866" s="99" t="s">
        <v>373</v>
      </c>
      <c r="F866" s="99" t="s">
        <v>5392</v>
      </c>
      <c r="G866" s="99" t="s">
        <v>5393</v>
      </c>
      <c r="H866" s="99" t="s">
        <v>189</v>
      </c>
      <c r="I866" s="99" t="s">
        <v>1634</v>
      </c>
      <c r="J866" s="104"/>
      <c r="K866" s="66" t="str">
        <f>IFNA(VLOOKUP(D866,'EAN Codes'!A:C,2,False),"")</f>
        <v>5060128539276</v>
      </c>
      <c r="L866" s="101"/>
      <c r="M866" s="119"/>
      <c r="N866" s="99"/>
      <c r="O866" s="99"/>
      <c r="P866" s="99"/>
      <c r="Q866" s="99"/>
      <c r="R866" s="99"/>
      <c r="S866" s="104"/>
      <c r="T866" s="99"/>
      <c r="U866" s="93" t="b">
        <v>1</v>
      </c>
      <c r="V866" s="99" t="s">
        <v>5400</v>
      </c>
      <c r="Z866" t="b">
        <v>0</v>
      </c>
    </row>
    <row r="867" hidden="1">
      <c r="A867" s="6">
        <v>962.0</v>
      </c>
      <c r="B867" s="6" t="s">
        <v>241</v>
      </c>
      <c r="C867" s="6" t="s">
        <v>1813</v>
      </c>
      <c r="D867" s="127" t="s">
        <v>5402</v>
      </c>
      <c r="E867" s="6" t="s">
        <v>346</v>
      </c>
      <c r="F867" s="6" t="s">
        <v>5404</v>
      </c>
      <c r="G867" s="6" t="s">
        <v>1013</v>
      </c>
      <c r="H867" s="6" t="s">
        <v>189</v>
      </c>
      <c r="I867" s="6" t="s">
        <v>819</v>
      </c>
      <c r="J867" s="84"/>
      <c r="K867" s="66" t="str">
        <f>IFNA(VLOOKUP(D867,'EAN Codes'!A:C,2,False),"")</f>
        <v/>
      </c>
      <c r="L867" s="82"/>
      <c r="M867" s="67"/>
      <c r="S867" s="60"/>
      <c r="U867" s="93" t="b">
        <v>1</v>
      </c>
      <c r="Z867" t="b">
        <v>0</v>
      </c>
    </row>
    <row r="868" hidden="1">
      <c r="A868" s="86">
        <v>363.0</v>
      </c>
      <c r="B868" s="86" t="s">
        <v>241</v>
      </c>
      <c r="C868" s="86" t="s">
        <v>342</v>
      </c>
      <c r="D868" s="86" t="s">
        <v>4564</v>
      </c>
      <c r="E868" s="86" t="s">
        <v>346</v>
      </c>
      <c r="F868" s="86" t="s">
        <v>5411</v>
      </c>
      <c r="G868" s="91"/>
      <c r="H868" s="86" t="s">
        <v>189</v>
      </c>
      <c r="I868" s="86" t="s">
        <v>819</v>
      </c>
      <c r="J868" s="88"/>
      <c r="K868" s="66" t="str">
        <f>IFNA(VLOOKUP(D868,'EAN Codes'!A:C,2,False),"")</f>
        <v>5907615827013</v>
      </c>
      <c r="L868" s="86"/>
      <c r="M868" s="159"/>
      <c r="N868" s="160"/>
      <c r="O868" s="160"/>
      <c r="P868" s="160"/>
      <c r="Q868" s="160"/>
      <c r="R868" s="160"/>
      <c r="S868" s="161"/>
      <c r="T868" s="160"/>
      <c r="U868" s="93" t="b">
        <v>1</v>
      </c>
      <c r="V868" s="160"/>
      <c r="Z868" t="b">
        <v>0</v>
      </c>
    </row>
    <row r="869" hidden="1">
      <c r="A869" s="99">
        <v>16.0</v>
      </c>
      <c r="B869" s="6" t="s">
        <v>241</v>
      </c>
      <c r="C869" s="99" t="s">
        <v>731</v>
      </c>
      <c r="D869" s="99" t="s">
        <v>5418</v>
      </c>
      <c r="E869" s="99" t="s">
        <v>1110</v>
      </c>
      <c r="F869" s="99" t="s">
        <v>5420</v>
      </c>
      <c r="G869" s="99" t="s">
        <v>5422</v>
      </c>
      <c r="H869" s="99" t="s">
        <v>189</v>
      </c>
      <c r="J869" s="60"/>
      <c r="K869" s="66" t="str">
        <f>IFNA(VLOOKUP(D869,'EAN Codes'!A:C,2,False),"")</f>
        <v/>
      </c>
      <c r="L869" s="6"/>
      <c r="M869" s="67"/>
      <c r="S869" s="60"/>
      <c r="U869" s="93" t="b">
        <v>1</v>
      </c>
      <c r="Z869" t="b">
        <v>0</v>
      </c>
    </row>
    <row r="870" hidden="1">
      <c r="A870" s="99">
        <v>19.0</v>
      </c>
      <c r="B870" s="99"/>
      <c r="C870" s="99" t="s">
        <v>408</v>
      </c>
      <c r="D870" s="99">
        <v>3.20543300113E11</v>
      </c>
      <c r="E870" s="99" t="s">
        <v>1110</v>
      </c>
      <c r="F870" s="99" t="s">
        <v>5420</v>
      </c>
      <c r="G870" s="99" t="s">
        <v>5422</v>
      </c>
      <c r="J870" s="60"/>
      <c r="K870" s="66" t="str">
        <f>IFNA(VLOOKUP(D870,'EAN Codes'!A:C,2,False),"")</f>
        <v/>
      </c>
      <c r="L870" s="6"/>
      <c r="M870" s="67"/>
      <c r="S870" s="60"/>
      <c r="U870" s="93" t="b">
        <v>1</v>
      </c>
      <c r="Z870" t="b">
        <v>0</v>
      </c>
    </row>
    <row r="871" hidden="1">
      <c r="A871" s="99">
        <v>439.0</v>
      </c>
      <c r="B871" s="86" t="s">
        <v>241</v>
      </c>
      <c r="C871" s="99" t="s">
        <v>342</v>
      </c>
      <c r="D871" s="99" t="s">
        <v>4564</v>
      </c>
      <c r="E871" s="99" t="s">
        <v>346</v>
      </c>
      <c r="F871" s="99" t="s">
        <v>5437</v>
      </c>
      <c r="G871" s="99" t="s">
        <v>375</v>
      </c>
      <c r="H871" s="99" t="s">
        <v>189</v>
      </c>
      <c r="I871" s="99" t="s">
        <v>458</v>
      </c>
      <c r="J871" s="104"/>
      <c r="K871" s="66" t="str">
        <f>IFNA(VLOOKUP(D871,'EAN Codes'!A:C,2,False),"")</f>
        <v>5907615827013</v>
      </c>
      <c r="L871" s="99"/>
      <c r="M871" s="67"/>
      <c r="S871" s="60"/>
      <c r="U871" s="93" t="b">
        <v>1</v>
      </c>
      <c r="Z871" t="b">
        <v>0</v>
      </c>
    </row>
    <row r="872" hidden="1">
      <c r="A872" s="99">
        <v>56.0</v>
      </c>
      <c r="B872" s="99"/>
      <c r="C872" s="99" t="s">
        <v>2886</v>
      </c>
      <c r="D872" s="99" t="s">
        <v>5167</v>
      </c>
      <c r="E872" s="99" t="s">
        <v>2639</v>
      </c>
      <c r="F872" s="99" t="s">
        <v>5437</v>
      </c>
      <c r="G872" s="99" t="s">
        <v>375</v>
      </c>
      <c r="H872" s="99" t="s">
        <v>512</v>
      </c>
      <c r="I872" s="99" t="s">
        <v>458</v>
      </c>
      <c r="J872" s="104"/>
      <c r="K872" s="66" t="str">
        <f>IFNA(VLOOKUP(D872,'EAN Codes'!A:C,2,False),"")</f>
        <v>67165</v>
      </c>
      <c r="L872" s="35"/>
      <c r="M872" s="108"/>
      <c r="N872" s="101"/>
      <c r="O872" s="101"/>
      <c r="P872" s="101"/>
      <c r="Q872" s="101"/>
      <c r="R872" s="101"/>
      <c r="S872" s="110"/>
      <c r="T872" s="101"/>
      <c r="U872" s="93" t="b">
        <v>1</v>
      </c>
      <c r="V872" s="101"/>
      <c r="W872" s="101"/>
      <c r="Z872" t="b">
        <v>0</v>
      </c>
    </row>
    <row r="873" hidden="1">
      <c r="A873" s="99">
        <v>807.0</v>
      </c>
      <c r="B873" s="99" t="s">
        <v>241</v>
      </c>
      <c r="C873" s="99" t="s">
        <v>408</v>
      </c>
      <c r="D873" s="99">
        <v>320071.0</v>
      </c>
      <c r="E873" s="99" t="s">
        <v>346</v>
      </c>
      <c r="F873" s="99" t="s">
        <v>5437</v>
      </c>
      <c r="G873" s="99" t="s">
        <v>5181</v>
      </c>
      <c r="H873" s="99" t="s">
        <v>189</v>
      </c>
      <c r="I873" s="99" t="s">
        <v>458</v>
      </c>
      <c r="J873" s="104"/>
      <c r="K873" s="66" t="str">
        <f>IFNA(VLOOKUP(D873,'EAN Codes'!A:C,2,False),"")</f>
        <v/>
      </c>
      <c r="L873" s="99"/>
      <c r="M873" s="145"/>
      <c r="N873" s="35"/>
      <c r="O873" s="35"/>
      <c r="P873" s="35"/>
      <c r="Q873" s="35"/>
      <c r="R873" s="35"/>
      <c r="S873" s="146"/>
      <c r="T873" s="35"/>
      <c r="U873" s="93" t="b">
        <v>1</v>
      </c>
      <c r="V873" s="35"/>
      <c r="Y873" s="6"/>
      <c r="Z873" t="b">
        <v>0</v>
      </c>
    </row>
    <row r="874" hidden="1">
      <c r="A874" s="6">
        <v>696.0</v>
      </c>
      <c r="B874" s="6" t="s">
        <v>241</v>
      </c>
      <c r="C874" s="6" t="s">
        <v>342</v>
      </c>
      <c r="D874" s="6" t="s">
        <v>4915</v>
      </c>
      <c r="E874" s="6" t="s">
        <v>346</v>
      </c>
      <c r="F874" s="6" t="s">
        <v>5482</v>
      </c>
      <c r="G874" s="6" t="s">
        <v>1028</v>
      </c>
      <c r="H874" s="6" t="s">
        <v>189</v>
      </c>
      <c r="I874" s="6" t="s">
        <v>819</v>
      </c>
      <c r="J874" s="84"/>
      <c r="K874" s="66" t="str">
        <f>IFNA(VLOOKUP(D874,'EAN Codes'!A:C,2,False),"")</f>
        <v/>
      </c>
      <c r="L874" s="35" t="s">
        <v>92</v>
      </c>
      <c r="M874" s="83"/>
      <c r="N874" s="6"/>
      <c r="O874" s="6"/>
      <c r="P874" s="6"/>
      <c r="Q874" s="6"/>
      <c r="R874" s="6"/>
      <c r="S874" s="84"/>
      <c r="T874" s="6"/>
      <c r="U874" s="93" t="b">
        <v>1</v>
      </c>
      <c r="V874" s="6" t="s">
        <v>5492</v>
      </c>
      <c r="Z874" t="b">
        <v>0</v>
      </c>
    </row>
    <row r="875" hidden="1">
      <c r="A875" s="86">
        <v>258.0</v>
      </c>
      <c r="B875" s="6" t="s">
        <v>241</v>
      </c>
      <c r="C875" s="86" t="s">
        <v>1217</v>
      </c>
      <c r="D875" s="86" t="s">
        <v>5493</v>
      </c>
      <c r="E875" s="86" t="s">
        <v>409</v>
      </c>
      <c r="F875" s="86" t="s">
        <v>5482</v>
      </c>
      <c r="G875" s="86" t="s">
        <v>1028</v>
      </c>
      <c r="H875" s="86" t="s">
        <v>189</v>
      </c>
      <c r="I875" s="86" t="s">
        <v>626</v>
      </c>
      <c r="J875" s="88"/>
      <c r="K875" s="66" t="str">
        <f>IFNA(VLOOKUP(D875,'EAN Codes'!A:C,2,False),"")</f>
        <v/>
      </c>
      <c r="L875" s="86"/>
      <c r="M875" s="92"/>
      <c r="N875" s="86"/>
      <c r="O875" s="86"/>
      <c r="P875" s="86"/>
      <c r="Q875" s="86"/>
      <c r="R875" s="86"/>
      <c r="S875" s="88"/>
      <c r="T875" s="86"/>
      <c r="U875" s="93" t="b">
        <v>1</v>
      </c>
      <c r="V875" s="86" t="s">
        <v>5507</v>
      </c>
      <c r="Z875" t="b">
        <v>0</v>
      </c>
    </row>
    <row r="876" hidden="1">
      <c r="A876" s="99">
        <v>338.0</v>
      </c>
      <c r="B876" s="6" t="s">
        <v>241</v>
      </c>
      <c r="C876" s="99" t="s">
        <v>342</v>
      </c>
      <c r="D876" s="99" t="s">
        <v>4915</v>
      </c>
      <c r="E876" s="99" t="s">
        <v>346</v>
      </c>
      <c r="F876" s="99" t="s">
        <v>5482</v>
      </c>
      <c r="G876" s="99" t="s">
        <v>1028</v>
      </c>
      <c r="H876" s="99" t="s">
        <v>189</v>
      </c>
      <c r="I876" s="99" t="s">
        <v>585</v>
      </c>
      <c r="J876" s="104"/>
      <c r="K876" s="66" t="str">
        <f>IFNA(VLOOKUP(D876,'EAN Codes'!A:C,2,False),"")</f>
        <v/>
      </c>
      <c r="L876" s="35"/>
      <c r="M876" s="83"/>
      <c r="N876" s="6"/>
      <c r="O876" s="6"/>
      <c r="P876" s="6"/>
      <c r="Q876" s="6"/>
      <c r="R876" s="6"/>
      <c r="S876" s="84"/>
      <c r="T876" s="6"/>
      <c r="U876" s="93" t="b">
        <v>1</v>
      </c>
      <c r="V876" s="6"/>
      <c r="Z876" t="b">
        <v>0</v>
      </c>
    </row>
    <row r="877" hidden="1">
      <c r="A877" s="99">
        <v>354.0</v>
      </c>
      <c r="B877" s="6" t="s">
        <v>241</v>
      </c>
      <c r="C877" s="99" t="s">
        <v>342</v>
      </c>
      <c r="D877" s="99" t="s">
        <v>4915</v>
      </c>
      <c r="E877" s="99" t="s">
        <v>346</v>
      </c>
      <c r="F877" s="99" t="s">
        <v>5482</v>
      </c>
      <c r="G877" s="99" t="s">
        <v>1028</v>
      </c>
      <c r="H877" s="99" t="s">
        <v>189</v>
      </c>
      <c r="I877" s="99" t="s">
        <v>585</v>
      </c>
      <c r="J877" s="104"/>
      <c r="K877" s="66" t="str">
        <f>IFNA(VLOOKUP(D877,'EAN Codes'!A:C,2,False),"")</f>
        <v/>
      </c>
      <c r="L877" s="35"/>
      <c r="M877" s="83"/>
      <c r="N877" s="6"/>
      <c r="O877" s="6"/>
      <c r="P877" s="6"/>
      <c r="Q877" s="6"/>
      <c r="R877" s="6"/>
      <c r="S877" s="84"/>
      <c r="T877" s="6"/>
      <c r="U877" s="93" t="b">
        <v>1</v>
      </c>
      <c r="V877" s="6" t="s">
        <v>5520</v>
      </c>
      <c r="Z877" t="b">
        <v>0</v>
      </c>
    </row>
    <row r="878" hidden="1">
      <c r="A878" s="99">
        <v>117.0</v>
      </c>
      <c r="B878" s="99"/>
      <c r="C878" s="99" t="s">
        <v>342</v>
      </c>
      <c r="D878" s="99" t="s">
        <v>4915</v>
      </c>
      <c r="E878" s="99" t="s">
        <v>346</v>
      </c>
      <c r="F878" s="99" t="s">
        <v>5482</v>
      </c>
      <c r="G878" s="99" t="s">
        <v>1222</v>
      </c>
      <c r="H878" s="99" t="s">
        <v>512</v>
      </c>
      <c r="I878" s="99" t="s">
        <v>680</v>
      </c>
      <c r="J878" s="104"/>
      <c r="K878" s="66" t="str">
        <f>IFNA(VLOOKUP(D878,'EAN Codes'!A:C,2,False),"")</f>
        <v/>
      </c>
      <c r="L878" s="35"/>
      <c r="M878" s="119"/>
      <c r="N878" s="99"/>
      <c r="O878" s="99"/>
      <c r="P878" s="99"/>
      <c r="Q878" s="99"/>
      <c r="R878" s="99"/>
      <c r="S878" s="104"/>
      <c r="T878" s="99"/>
      <c r="U878" s="93" t="b">
        <v>1</v>
      </c>
      <c r="V878" s="99" t="s">
        <v>5532</v>
      </c>
      <c r="W878" s="101"/>
      <c r="Z878" t="b">
        <v>0</v>
      </c>
    </row>
    <row r="879" hidden="1">
      <c r="A879" s="86">
        <v>653.0</v>
      </c>
      <c r="B879" s="99" t="s">
        <v>241</v>
      </c>
      <c r="C879" s="99" t="s">
        <v>342</v>
      </c>
      <c r="D879" s="99" t="s">
        <v>4915</v>
      </c>
      <c r="E879" s="99" t="s">
        <v>346</v>
      </c>
      <c r="F879" s="99" t="s">
        <v>5482</v>
      </c>
      <c r="G879" s="99" t="s">
        <v>1028</v>
      </c>
      <c r="H879" s="99" t="s">
        <v>189</v>
      </c>
      <c r="I879" s="99" t="s">
        <v>458</v>
      </c>
      <c r="J879" s="104"/>
      <c r="K879" s="66" t="str">
        <f>IFNA(VLOOKUP(D879,'EAN Codes'!A:C,2,False),"")</f>
        <v/>
      </c>
      <c r="L879" s="101"/>
      <c r="M879" s="119"/>
      <c r="N879" s="99"/>
      <c r="O879" s="99"/>
      <c r="P879" s="99"/>
      <c r="Q879" s="99"/>
      <c r="R879" s="99"/>
      <c r="S879" s="104"/>
      <c r="T879" s="99"/>
      <c r="U879" s="93" t="b">
        <v>1</v>
      </c>
      <c r="V879" s="99" t="s">
        <v>5539</v>
      </c>
      <c r="Z879" t="b">
        <v>0</v>
      </c>
    </row>
    <row r="880" hidden="1">
      <c r="A880" s="99">
        <v>186.0</v>
      </c>
      <c r="B880" s="99"/>
      <c r="C880" s="99" t="s">
        <v>342</v>
      </c>
      <c r="D880" s="99" t="s">
        <v>4915</v>
      </c>
      <c r="E880" s="99" t="s">
        <v>346</v>
      </c>
      <c r="F880" s="99" t="s">
        <v>5482</v>
      </c>
      <c r="G880" s="101"/>
      <c r="H880" s="99" t="s">
        <v>189</v>
      </c>
      <c r="I880" s="99" t="s">
        <v>458</v>
      </c>
      <c r="J880" s="104"/>
      <c r="K880" s="66" t="str">
        <f>IFNA(VLOOKUP(D880,'EAN Codes'!A:C,2,False),"")</f>
        <v/>
      </c>
      <c r="L880" s="35"/>
      <c r="M880" s="67"/>
      <c r="S880" s="60"/>
      <c r="U880" s="93" t="b">
        <v>1</v>
      </c>
      <c r="Z880" t="b">
        <v>0</v>
      </c>
    </row>
    <row r="881" hidden="1">
      <c r="A881" s="99">
        <v>538.0</v>
      </c>
      <c r="B881" s="99" t="s">
        <v>241</v>
      </c>
      <c r="C881" s="99" t="s">
        <v>342</v>
      </c>
      <c r="D881" s="99" t="s">
        <v>4915</v>
      </c>
      <c r="E881" s="99" t="s">
        <v>346</v>
      </c>
      <c r="F881" s="99" t="s">
        <v>5482</v>
      </c>
      <c r="G881" s="99" t="s">
        <v>5545</v>
      </c>
      <c r="H881" s="99" t="s">
        <v>189</v>
      </c>
      <c r="I881" s="99" t="s">
        <v>626</v>
      </c>
      <c r="J881" s="104"/>
      <c r="K881" s="66" t="str">
        <f>IFNA(VLOOKUP(D881,'EAN Codes'!A:C,2,False),"")</f>
        <v/>
      </c>
      <c r="L881" s="6"/>
      <c r="M881" s="119"/>
      <c r="N881" s="99"/>
      <c r="O881" s="99"/>
      <c r="P881" s="99"/>
      <c r="Q881" s="99"/>
      <c r="R881" s="99"/>
      <c r="S881" s="104"/>
      <c r="T881" s="99"/>
      <c r="U881" s="93" t="b">
        <v>1</v>
      </c>
      <c r="V881" s="99" t="s">
        <v>5552</v>
      </c>
      <c r="Z881" t="b">
        <v>0</v>
      </c>
    </row>
    <row r="882" hidden="1">
      <c r="A882" s="99">
        <v>231.0</v>
      </c>
      <c r="B882" s="99"/>
      <c r="C882" s="99" t="s">
        <v>342</v>
      </c>
      <c r="D882" s="99" t="s">
        <v>4915</v>
      </c>
      <c r="E882" s="99" t="s">
        <v>346</v>
      </c>
      <c r="F882" s="99" t="s">
        <v>5482</v>
      </c>
      <c r="G882" s="99" t="s">
        <v>1028</v>
      </c>
      <c r="H882" s="99" t="s">
        <v>189</v>
      </c>
      <c r="I882" s="99" t="s">
        <v>626</v>
      </c>
      <c r="J882" s="104"/>
      <c r="K882" s="66" t="str">
        <f>IFNA(VLOOKUP(D882,'EAN Codes'!A:C,2,False),"")</f>
        <v/>
      </c>
      <c r="L882" s="35"/>
      <c r="M882" s="119"/>
      <c r="N882" s="99"/>
      <c r="O882" s="99"/>
      <c r="P882" s="99"/>
      <c r="Q882" s="99"/>
      <c r="R882" s="99"/>
      <c r="S882" s="104"/>
      <c r="T882" s="99"/>
      <c r="U882" s="93" t="b">
        <v>1</v>
      </c>
      <c r="V882" s="99" t="s">
        <v>5568</v>
      </c>
      <c r="Z882" t="b">
        <v>0</v>
      </c>
    </row>
    <row r="883" hidden="1">
      <c r="A883" s="86">
        <v>248.0</v>
      </c>
      <c r="B883" s="86"/>
      <c r="C883" s="86" t="s">
        <v>342</v>
      </c>
      <c r="D883" s="86" t="s">
        <v>4915</v>
      </c>
      <c r="E883" s="86" t="s">
        <v>346</v>
      </c>
      <c r="F883" s="86" t="s">
        <v>5482</v>
      </c>
      <c r="G883" s="86" t="s">
        <v>1028</v>
      </c>
      <c r="H883" s="86" t="s">
        <v>512</v>
      </c>
      <c r="I883" s="86" t="s">
        <v>626</v>
      </c>
      <c r="J883" s="88"/>
      <c r="K883" s="66" t="str">
        <f>IFNA(VLOOKUP(D883,'EAN Codes'!A:C,2,False),"")</f>
        <v/>
      </c>
      <c r="L883" s="160"/>
      <c r="M883" s="276"/>
      <c r="N883" s="106"/>
      <c r="O883" s="106"/>
      <c r="P883" s="106"/>
      <c r="Q883" s="106"/>
      <c r="R883" s="106"/>
      <c r="S883" s="274"/>
      <c r="T883" s="106"/>
      <c r="U883" s="93" t="b">
        <v>1</v>
      </c>
      <c r="V883" s="106"/>
      <c r="Z883" t="b">
        <v>0</v>
      </c>
    </row>
    <row r="884" hidden="1">
      <c r="A884" s="99">
        <v>129.0</v>
      </c>
      <c r="B884" s="99"/>
      <c r="C884" s="99" t="s">
        <v>342</v>
      </c>
      <c r="D884" s="99" t="s">
        <v>4915</v>
      </c>
      <c r="E884" s="99" t="s">
        <v>346</v>
      </c>
      <c r="F884" s="99" t="s">
        <v>5482</v>
      </c>
      <c r="G884" s="99" t="s">
        <v>1222</v>
      </c>
      <c r="H884" s="99" t="s">
        <v>512</v>
      </c>
      <c r="I884" s="99" t="s">
        <v>1634</v>
      </c>
      <c r="J884" s="104"/>
      <c r="K884" s="66" t="str">
        <f>IFNA(VLOOKUP(D884,'EAN Codes'!A:C,2,False),"")</f>
        <v/>
      </c>
      <c r="L884" s="35"/>
      <c r="M884" s="108"/>
      <c r="N884" s="101"/>
      <c r="O884" s="101"/>
      <c r="P884" s="101"/>
      <c r="Q884" s="101"/>
      <c r="R884" s="101"/>
      <c r="S884" s="110"/>
      <c r="T884" s="101"/>
      <c r="U884" s="93" t="b">
        <v>1</v>
      </c>
      <c r="V884" s="101"/>
      <c r="W884" s="101"/>
      <c r="Z884" t="b">
        <v>0</v>
      </c>
    </row>
    <row r="885" hidden="1">
      <c r="A885" s="99">
        <v>526.0</v>
      </c>
      <c r="B885" s="99" t="s">
        <v>241</v>
      </c>
      <c r="C885" s="99" t="s">
        <v>408</v>
      </c>
      <c r="D885" s="99">
        <v>320069.0</v>
      </c>
      <c r="E885" s="99" t="s">
        <v>346</v>
      </c>
      <c r="F885" s="99" t="s">
        <v>5595</v>
      </c>
      <c r="G885" s="99" t="s">
        <v>1922</v>
      </c>
      <c r="H885" s="99" t="s">
        <v>189</v>
      </c>
      <c r="I885" s="99" t="s">
        <v>530</v>
      </c>
      <c r="J885" s="104"/>
      <c r="K885" s="66" t="str">
        <f>IFNA(VLOOKUP(D885,'EAN Codes'!A:C,2,False),"")</f>
        <v/>
      </c>
      <c r="L885" s="99"/>
      <c r="M885" s="119"/>
      <c r="N885" s="99"/>
      <c r="O885" s="99"/>
      <c r="P885" s="99"/>
      <c r="Q885" s="99"/>
      <c r="R885" s="99"/>
      <c r="S885" s="104"/>
      <c r="T885" s="99"/>
      <c r="U885" s="93" t="b">
        <v>1</v>
      </c>
      <c r="V885" s="99" t="s">
        <v>5607</v>
      </c>
      <c r="Z885" t="b">
        <v>0</v>
      </c>
    </row>
    <row r="886" hidden="1">
      <c r="A886" s="99">
        <v>182.0</v>
      </c>
      <c r="B886" s="99"/>
      <c r="C886" s="99" t="s">
        <v>342</v>
      </c>
      <c r="D886" s="99" t="s">
        <v>4915</v>
      </c>
      <c r="E886" s="99" t="s">
        <v>346</v>
      </c>
      <c r="F886" s="99" t="s">
        <v>5482</v>
      </c>
      <c r="G886" s="99" t="s">
        <v>1028</v>
      </c>
      <c r="H886" s="99" t="s">
        <v>189</v>
      </c>
      <c r="I886" s="99" t="s">
        <v>530</v>
      </c>
      <c r="J886" s="104"/>
      <c r="K886" s="66" t="str">
        <f>IFNA(VLOOKUP(D886,'EAN Codes'!A:C,2,False),"")</f>
        <v/>
      </c>
      <c r="L886" s="35"/>
      <c r="M886" s="67"/>
      <c r="S886" s="60"/>
      <c r="U886" s="93" t="b">
        <v>1</v>
      </c>
      <c r="Z886" t="b">
        <v>0</v>
      </c>
    </row>
    <row r="887" hidden="1">
      <c r="A887" s="86">
        <v>235.0</v>
      </c>
      <c r="B887" s="86"/>
      <c r="C887" s="86" t="s">
        <v>342</v>
      </c>
      <c r="D887" s="86" t="s">
        <v>4915</v>
      </c>
      <c r="E887" s="86" t="s">
        <v>346</v>
      </c>
      <c r="F887" s="86" t="s">
        <v>5482</v>
      </c>
      <c r="G887" s="86" t="s">
        <v>1028</v>
      </c>
      <c r="H887" s="86" t="s">
        <v>189</v>
      </c>
      <c r="I887" s="86" t="s">
        <v>530</v>
      </c>
      <c r="J887" s="88"/>
      <c r="K887" s="66" t="str">
        <f>IFNA(VLOOKUP(D887,'EAN Codes'!A:C,2,False),"")</f>
        <v/>
      </c>
      <c r="L887" s="160"/>
      <c r="M887" s="92"/>
      <c r="N887" s="86"/>
      <c r="O887" s="86"/>
      <c r="P887" s="86"/>
      <c r="Q887" s="86"/>
      <c r="R887" s="86"/>
      <c r="S887" s="88"/>
      <c r="T887" s="86"/>
      <c r="U887" s="93" t="b">
        <v>1</v>
      </c>
      <c r="V887" s="86" t="s">
        <v>5635</v>
      </c>
      <c r="Z887" t="b">
        <v>0</v>
      </c>
    </row>
    <row r="888" hidden="1">
      <c r="A888" s="99">
        <v>329.0</v>
      </c>
      <c r="B888" s="99" t="s">
        <v>241</v>
      </c>
      <c r="C888" s="99" t="s">
        <v>342</v>
      </c>
      <c r="D888" s="99" t="s">
        <v>5639</v>
      </c>
      <c r="E888" s="99" t="s">
        <v>5640</v>
      </c>
      <c r="F888" s="99" t="s">
        <v>5482</v>
      </c>
      <c r="G888" s="99" t="s">
        <v>5641</v>
      </c>
      <c r="H888" s="99" t="s">
        <v>189</v>
      </c>
      <c r="I888" s="99" t="s">
        <v>1007</v>
      </c>
      <c r="J888" s="104"/>
      <c r="K888" s="66" t="str">
        <f>IFNA(VLOOKUP(D888,'EAN Codes'!A:C,2,False),"")</f>
        <v>5907615827242</v>
      </c>
      <c r="L888" s="35"/>
      <c r="M888" s="119"/>
      <c r="N888" s="99"/>
      <c r="O888" s="99"/>
      <c r="P888" s="99"/>
      <c r="Q888" s="99"/>
      <c r="R888" s="99"/>
      <c r="S888" s="104"/>
      <c r="T888" s="99"/>
      <c r="U888" s="93" t="b">
        <v>1</v>
      </c>
      <c r="V888" s="99" t="s">
        <v>5647</v>
      </c>
      <c r="Z888" t="b">
        <v>0</v>
      </c>
    </row>
    <row r="889" hidden="1">
      <c r="A889" s="99">
        <v>167.0</v>
      </c>
      <c r="B889" s="99"/>
      <c r="C889" s="99" t="s">
        <v>342</v>
      </c>
      <c r="D889" s="99" t="s">
        <v>4915</v>
      </c>
      <c r="E889" s="99" t="s">
        <v>346</v>
      </c>
      <c r="F889" s="99" t="s">
        <v>5482</v>
      </c>
      <c r="G889" s="99" t="s">
        <v>1769</v>
      </c>
      <c r="H889" s="99" t="s">
        <v>2308</v>
      </c>
      <c r="I889" s="99" t="s">
        <v>1007</v>
      </c>
      <c r="J889" s="104"/>
      <c r="K889" s="66" t="str">
        <f>IFNA(VLOOKUP(D889,'EAN Codes'!A:C,2,False),"")</f>
        <v/>
      </c>
      <c r="L889" s="35"/>
      <c r="M889" s="67"/>
      <c r="S889" s="60"/>
      <c r="U889" s="93" t="b">
        <v>1</v>
      </c>
      <c r="Z889" t="b">
        <v>0</v>
      </c>
    </row>
    <row r="890" hidden="1">
      <c r="A890" s="99">
        <v>146.0</v>
      </c>
      <c r="B890" s="6" t="s">
        <v>2483</v>
      </c>
      <c r="C890" s="99" t="s">
        <v>494</v>
      </c>
      <c r="D890" s="99" t="s">
        <v>2484</v>
      </c>
      <c r="E890" s="101"/>
      <c r="F890" s="99" t="s">
        <v>5482</v>
      </c>
      <c r="G890" s="99" t="s">
        <v>2559</v>
      </c>
      <c r="H890" s="99" t="s">
        <v>189</v>
      </c>
      <c r="I890" s="99" t="s">
        <v>2489</v>
      </c>
      <c r="J890" s="104"/>
      <c r="K890" s="66" t="str">
        <f>IFNA(VLOOKUP(D890,'EAN Codes'!A:C,2,False),"")</f>
        <v/>
      </c>
      <c r="L890" s="35"/>
      <c r="M890" s="119"/>
      <c r="N890" s="99"/>
      <c r="O890" s="99"/>
      <c r="P890" s="99"/>
      <c r="Q890" s="99"/>
      <c r="R890" s="99"/>
      <c r="S890" s="104"/>
      <c r="T890" s="99"/>
      <c r="U890" s="93" t="b">
        <v>1</v>
      </c>
      <c r="V890" s="99" t="s">
        <v>5664</v>
      </c>
      <c r="Z890" t="b">
        <v>0</v>
      </c>
    </row>
    <row r="891" hidden="1">
      <c r="A891" s="99"/>
      <c r="B891" s="99"/>
      <c r="C891" s="99" t="s">
        <v>1217</v>
      </c>
      <c r="D891" s="99" t="s">
        <v>5665</v>
      </c>
      <c r="E891" s="99" t="s">
        <v>346</v>
      </c>
      <c r="F891" s="99" t="s">
        <v>5482</v>
      </c>
      <c r="G891" s="99" t="s">
        <v>1005</v>
      </c>
      <c r="H891" s="99" t="s">
        <v>512</v>
      </c>
      <c r="I891" s="101"/>
      <c r="J891" s="110"/>
      <c r="K891" s="66" t="str">
        <f>IFNA(VLOOKUP(D891,'EAN Codes'!A:C,2,False),"")</f>
        <v/>
      </c>
      <c r="L891" s="35"/>
      <c r="M891" s="108"/>
      <c r="N891" s="101"/>
      <c r="O891" s="101"/>
      <c r="P891" s="101"/>
      <c r="Q891" s="101"/>
      <c r="R891" s="101"/>
      <c r="S891" s="110"/>
      <c r="T891" s="101"/>
      <c r="U891" s="93" t="b">
        <v>1</v>
      </c>
      <c r="V891" s="101"/>
      <c r="W891" s="101"/>
      <c r="Z891" t="b">
        <v>0</v>
      </c>
    </row>
    <row r="892" hidden="1">
      <c r="A892" s="86">
        <v>644.0</v>
      </c>
      <c r="B892" s="86" t="s">
        <v>241</v>
      </c>
      <c r="C892" s="86" t="s">
        <v>342</v>
      </c>
      <c r="D892" s="86" t="s">
        <v>5671</v>
      </c>
      <c r="E892" s="91"/>
      <c r="F892" s="86" t="s">
        <v>5482</v>
      </c>
      <c r="G892" s="86" t="s">
        <v>5672</v>
      </c>
      <c r="H892" s="99" t="s">
        <v>189</v>
      </c>
      <c r="I892" s="86" t="s">
        <v>570</v>
      </c>
      <c r="J892" s="88"/>
      <c r="K892" s="66" t="str">
        <f>IFNA(VLOOKUP(D892,'EAN Codes'!A:C,2,False),"")</f>
        <v>5907615827235</v>
      </c>
      <c r="L892" s="86" t="s">
        <v>269</v>
      </c>
      <c r="M892" s="92"/>
      <c r="N892" s="86"/>
      <c r="O892" s="86"/>
      <c r="P892" s="86"/>
      <c r="Q892" s="86"/>
      <c r="R892" s="86"/>
      <c r="S892" s="88"/>
      <c r="T892" s="86"/>
      <c r="U892" s="93" t="b">
        <v>1</v>
      </c>
      <c r="V892" s="86" t="s">
        <v>5684</v>
      </c>
      <c r="W892" s="115"/>
      <c r="X892" s="115"/>
      <c r="Y892" s="115"/>
      <c r="Z892" t="b">
        <v>0</v>
      </c>
    </row>
    <row r="893" hidden="1">
      <c r="A893" s="99">
        <v>849.0</v>
      </c>
      <c r="B893" s="99" t="s">
        <v>241</v>
      </c>
      <c r="C893" s="99" t="s">
        <v>342</v>
      </c>
      <c r="D893" s="99" t="s">
        <v>4915</v>
      </c>
      <c r="E893" s="99" t="s">
        <v>346</v>
      </c>
      <c r="F893" s="99" t="s">
        <v>5482</v>
      </c>
      <c r="G893" s="101"/>
      <c r="H893" s="99" t="s">
        <v>189</v>
      </c>
      <c r="I893" s="99" t="s">
        <v>1863</v>
      </c>
      <c r="J893" s="104"/>
      <c r="K893" s="66" t="str">
        <f>IFNA(VLOOKUP(D893,'EAN Codes'!A:C,2,False),"")</f>
        <v/>
      </c>
      <c r="L893" s="82"/>
      <c r="M893" s="83"/>
      <c r="N893" s="6"/>
      <c r="O893" s="6"/>
      <c r="P893" s="6"/>
      <c r="Q893" s="6"/>
      <c r="R893" s="6"/>
      <c r="S893" s="84"/>
      <c r="T893" s="6"/>
      <c r="U893" s="93" t="b">
        <v>1</v>
      </c>
      <c r="V893" s="6" t="s">
        <v>5691</v>
      </c>
      <c r="Z893" t="b">
        <v>0</v>
      </c>
    </row>
    <row r="894" hidden="1">
      <c r="A894" s="99">
        <v>149.0</v>
      </c>
      <c r="B894" s="99" t="s">
        <v>493</v>
      </c>
      <c r="C894" s="99" t="s">
        <v>494</v>
      </c>
      <c r="D894" s="101"/>
      <c r="E894" s="101"/>
      <c r="F894" s="99" t="s">
        <v>5482</v>
      </c>
      <c r="G894" s="99" t="s">
        <v>5695</v>
      </c>
      <c r="H894" s="99" t="s">
        <v>189</v>
      </c>
      <c r="I894" s="99" t="s">
        <v>2489</v>
      </c>
      <c r="J894" s="104"/>
      <c r="K894" s="66" t="str">
        <f>IFNA(VLOOKUP(D894,'EAN Codes'!A:C,2,False),"")</f>
        <v/>
      </c>
      <c r="L894" s="82"/>
      <c r="M894" s="83"/>
      <c r="N894" s="6"/>
      <c r="O894" s="6"/>
      <c r="P894" s="6"/>
      <c r="Q894" s="6"/>
      <c r="R894" s="6"/>
      <c r="S894" s="84"/>
      <c r="T894" s="6"/>
      <c r="U894" s="93" t="b">
        <v>1</v>
      </c>
      <c r="V894" s="6" t="s">
        <v>5699</v>
      </c>
      <c r="X894" s="101"/>
      <c r="Y894" s="101"/>
      <c r="Z894" t="b">
        <v>0</v>
      </c>
    </row>
    <row r="895" hidden="1">
      <c r="A895" s="99">
        <v>892.0</v>
      </c>
      <c r="B895" s="99" t="s">
        <v>241</v>
      </c>
      <c r="C895" s="99" t="s">
        <v>342</v>
      </c>
      <c r="D895" s="99" t="s">
        <v>4915</v>
      </c>
      <c r="E895" s="99" t="s">
        <v>346</v>
      </c>
      <c r="F895" s="99" t="s">
        <v>5703</v>
      </c>
      <c r="G895" s="99" t="s">
        <v>1226</v>
      </c>
      <c r="H895" s="99" t="s">
        <v>189</v>
      </c>
      <c r="I895" s="99" t="s">
        <v>483</v>
      </c>
      <c r="J895" s="104"/>
      <c r="K895" s="66" t="str">
        <f>IFNA(VLOOKUP(D895,'EAN Codes'!A:C,2,False),"")</f>
        <v/>
      </c>
      <c r="L895" s="82"/>
      <c r="M895" s="67"/>
      <c r="S895" s="60"/>
      <c r="U895" s="93" t="b">
        <v>1</v>
      </c>
      <c r="Z895" t="b">
        <v>0</v>
      </c>
    </row>
    <row r="896" hidden="1">
      <c r="A896" s="99">
        <v>60.0</v>
      </c>
      <c r="B896" s="99"/>
      <c r="C896" s="99" t="s">
        <v>342</v>
      </c>
      <c r="D896" s="99" t="s">
        <v>5671</v>
      </c>
      <c r="E896" s="99" t="s">
        <v>346</v>
      </c>
      <c r="F896" s="99" t="s">
        <v>5712</v>
      </c>
      <c r="G896" s="99" t="s">
        <v>2559</v>
      </c>
      <c r="H896" s="99" t="s">
        <v>512</v>
      </c>
      <c r="I896" s="99" t="s">
        <v>1328</v>
      </c>
      <c r="J896" s="104"/>
      <c r="K896" s="66" t="str">
        <f>IFNA(VLOOKUP(D896,'EAN Codes'!A:C,2,False),"")</f>
        <v>5907615827235</v>
      </c>
      <c r="L896" s="35"/>
      <c r="M896" s="67"/>
      <c r="S896" s="60"/>
      <c r="U896" s="93" t="b">
        <v>1</v>
      </c>
      <c r="X896" s="6"/>
      <c r="Z896" t="b">
        <v>0</v>
      </c>
    </row>
    <row r="897" hidden="1">
      <c r="A897" s="99">
        <v>361.0</v>
      </c>
      <c r="B897" s="6" t="s">
        <v>241</v>
      </c>
      <c r="C897" s="99" t="s">
        <v>342</v>
      </c>
      <c r="D897" s="99" t="s">
        <v>4915</v>
      </c>
      <c r="E897" s="99" t="s">
        <v>346</v>
      </c>
      <c r="F897" s="99" t="s">
        <v>5712</v>
      </c>
      <c r="G897" s="99" t="s">
        <v>987</v>
      </c>
      <c r="H897" s="99" t="s">
        <v>189</v>
      </c>
      <c r="I897" s="99" t="s">
        <v>585</v>
      </c>
      <c r="J897" s="104"/>
      <c r="K897" s="66" t="str">
        <f>IFNA(VLOOKUP(D897,'EAN Codes'!A:C,2,False),"")</f>
        <v/>
      </c>
      <c r="L897" s="35"/>
      <c r="M897" s="83"/>
      <c r="N897" s="6"/>
      <c r="O897" s="6"/>
      <c r="P897" s="6"/>
      <c r="Q897" s="6"/>
      <c r="R897" s="6"/>
      <c r="S897" s="84"/>
      <c r="T897" s="6"/>
      <c r="U897" s="93" t="b">
        <v>1</v>
      </c>
      <c r="V897" s="6" t="s">
        <v>5733</v>
      </c>
      <c r="Z897" s="82" t="b">
        <v>0</v>
      </c>
      <c r="AA897" s="82"/>
      <c r="AB897" s="82"/>
      <c r="AC897" s="82"/>
      <c r="AD897" s="82"/>
      <c r="AE897" s="82"/>
    </row>
    <row r="898" hidden="1">
      <c r="A898" s="99">
        <v>59.0</v>
      </c>
      <c r="B898" s="99"/>
      <c r="C898" s="99" t="s">
        <v>408</v>
      </c>
      <c r="D898" s="99" t="s">
        <v>5734</v>
      </c>
      <c r="E898" s="99" t="s">
        <v>346</v>
      </c>
      <c r="F898" s="99" t="s">
        <v>5735</v>
      </c>
      <c r="G898" s="303" t="s">
        <v>5641</v>
      </c>
      <c r="H898" s="99" t="s">
        <v>135</v>
      </c>
      <c r="J898" s="60"/>
      <c r="K898" s="66" t="str">
        <f>IFNA(VLOOKUP(D898,'EAN Codes'!A:C,2,False),"")</f>
        <v/>
      </c>
      <c r="L898" s="35"/>
      <c r="M898" s="67"/>
      <c r="S898" s="60"/>
      <c r="U898" s="93" t="b">
        <v>1</v>
      </c>
      <c r="Z898" t="b">
        <v>0</v>
      </c>
    </row>
    <row r="899" hidden="1">
      <c r="A899" s="99">
        <v>240.0</v>
      </c>
      <c r="B899" s="6" t="s">
        <v>241</v>
      </c>
      <c r="C899" s="99" t="s">
        <v>342</v>
      </c>
      <c r="D899" s="99" t="s">
        <v>4915</v>
      </c>
      <c r="E899" s="99" t="s">
        <v>346</v>
      </c>
      <c r="F899" s="99" t="s">
        <v>5741</v>
      </c>
      <c r="G899" s="99" t="s">
        <v>1028</v>
      </c>
      <c r="H899" s="99" t="s">
        <v>189</v>
      </c>
      <c r="I899" s="99" t="s">
        <v>1328</v>
      </c>
      <c r="J899" s="104"/>
      <c r="K899" s="66" t="str">
        <f>IFNA(VLOOKUP(D899,'EAN Codes'!A:C,2,False),"")</f>
        <v/>
      </c>
      <c r="L899" s="160"/>
      <c r="M899" s="276"/>
      <c r="N899" s="106"/>
      <c r="O899" s="106"/>
      <c r="P899" s="106"/>
      <c r="Q899" s="106"/>
      <c r="R899" s="106"/>
      <c r="S899" s="274"/>
      <c r="T899" s="106"/>
      <c r="U899" s="93" t="b">
        <v>1</v>
      </c>
      <c r="V899" s="106"/>
      <c r="Z899" t="b">
        <v>0</v>
      </c>
    </row>
    <row r="900" hidden="1">
      <c r="A900" s="99">
        <v>305.0</v>
      </c>
      <c r="B900" s="6" t="s">
        <v>241</v>
      </c>
      <c r="C900" s="99" t="s">
        <v>342</v>
      </c>
      <c r="D900" s="99" t="s">
        <v>4915</v>
      </c>
      <c r="E900" s="99" t="s">
        <v>346</v>
      </c>
      <c r="F900" s="99" t="s">
        <v>5741</v>
      </c>
      <c r="G900" s="99" t="s">
        <v>1028</v>
      </c>
      <c r="H900" s="99" t="s">
        <v>189</v>
      </c>
      <c r="I900" s="99" t="s">
        <v>1328</v>
      </c>
      <c r="J900" s="104"/>
      <c r="K900" s="66" t="str">
        <f>IFNA(VLOOKUP(D900,'EAN Codes'!A:C,2,False),"")</f>
        <v/>
      </c>
      <c r="L900" s="35"/>
      <c r="M900" s="67"/>
      <c r="S900" s="60"/>
      <c r="U900" s="93" t="b">
        <v>1</v>
      </c>
      <c r="Z900" t="b">
        <v>0</v>
      </c>
    </row>
    <row r="901" hidden="1">
      <c r="A901" s="86">
        <v>308.0</v>
      </c>
      <c r="B901" s="6" t="s">
        <v>241</v>
      </c>
      <c r="C901" s="86" t="s">
        <v>408</v>
      </c>
      <c r="D901" s="86">
        <v>320073.0</v>
      </c>
      <c r="E901" s="86" t="s">
        <v>346</v>
      </c>
      <c r="F901" s="86" t="s">
        <v>5759</v>
      </c>
      <c r="G901" s="86" t="s">
        <v>1028</v>
      </c>
      <c r="H901" s="86" t="s">
        <v>189</v>
      </c>
      <c r="I901" s="91"/>
      <c r="J901" s="97"/>
      <c r="K901" s="66" t="str">
        <f>IFNA(VLOOKUP(D901,'EAN Codes'!A:C,2,False),"")</f>
        <v/>
      </c>
      <c r="L901" s="86"/>
      <c r="M901" s="92"/>
      <c r="N901" s="86"/>
      <c r="O901" s="86"/>
      <c r="P901" s="86"/>
      <c r="Q901" s="86"/>
      <c r="R901" s="86"/>
      <c r="S901" s="88"/>
      <c r="T901" s="86"/>
      <c r="U901" s="93" t="b">
        <v>1</v>
      </c>
      <c r="V901" s="86" t="s">
        <v>5767</v>
      </c>
      <c r="Z901" t="b">
        <v>0</v>
      </c>
    </row>
    <row r="902" hidden="1">
      <c r="A902" s="99"/>
      <c r="B902" s="99" t="s">
        <v>241</v>
      </c>
      <c r="C902" s="99" t="s">
        <v>342</v>
      </c>
      <c r="D902" s="99" t="s">
        <v>5671</v>
      </c>
      <c r="E902" s="99" t="s">
        <v>346</v>
      </c>
      <c r="F902" s="99" t="s">
        <v>5771</v>
      </c>
      <c r="G902" s="99" t="s">
        <v>5772</v>
      </c>
      <c r="H902" s="99" t="s">
        <v>788</v>
      </c>
      <c r="I902" s="101"/>
      <c r="J902" s="110"/>
      <c r="K902" s="66" t="str">
        <f>IFNA(VLOOKUP(D902,'EAN Codes'!A:C,2,False),"")</f>
        <v>5907615827235</v>
      </c>
      <c r="L902" s="101"/>
      <c r="M902" s="119"/>
      <c r="N902" s="99"/>
      <c r="O902" s="99"/>
      <c r="P902" s="99"/>
      <c r="Q902" s="99"/>
      <c r="R902" s="99"/>
      <c r="S902" s="104"/>
      <c r="T902" s="99"/>
      <c r="U902" s="93" t="b">
        <v>1</v>
      </c>
      <c r="V902" s="99" t="s">
        <v>5779</v>
      </c>
      <c r="Z902" t="b">
        <v>0</v>
      </c>
    </row>
    <row r="903" hidden="1">
      <c r="A903" s="99">
        <v>956.0</v>
      </c>
      <c r="B903" s="99" t="s">
        <v>241</v>
      </c>
      <c r="C903" s="99" t="s">
        <v>342</v>
      </c>
      <c r="D903" s="99" t="s">
        <v>4915</v>
      </c>
      <c r="E903" s="99" t="s">
        <v>346</v>
      </c>
      <c r="F903" s="99" t="s">
        <v>5785</v>
      </c>
      <c r="G903" s="99" t="s">
        <v>1028</v>
      </c>
      <c r="H903" s="99" t="s">
        <v>189</v>
      </c>
      <c r="I903" s="99" t="s">
        <v>570</v>
      </c>
      <c r="J903" s="104"/>
      <c r="K903" s="66" t="str">
        <f>IFNA(VLOOKUP(D903,'EAN Codes'!A:C,2,False),"")</f>
        <v/>
      </c>
      <c r="L903" s="82"/>
      <c r="M903" s="119"/>
      <c r="N903" s="99"/>
      <c r="O903" s="99"/>
      <c r="P903" s="99"/>
      <c r="Q903" s="99"/>
      <c r="R903" s="99"/>
      <c r="S903" s="104"/>
      <c r="T903" s="99"/>
      <c r="U903" s="93" t="b">
        <v>1</v>
      </c>
      <c r="V903" s="99" t="s">
        <v>5792</v>
      </c>
      <c r="Z903" t="b">
        <v>0</v>
      </c>
    </row>
    <row r="904" hidden="1">
      <c r="A904" s="99">
        <v>942.0</v>
      </c>
      <c r="B904" s="99" t="s">
        <v>241</v>
      </c>
      <c r="C904" s="99" t="s">
        <v>342</v>
      </c>
      <c r="D904" s="99" t="s">
        <v>4915</v>
      </c>
      <c r="E904" s="99" t="s">
        <v>346</v>
      </c>
      <c r="F904" s="99" t="s">
        <v>5785</v>
      </c>
      <c r="G904" s="99" t="s">
        <v>1028</v>
      </c>
      <c r="H904" s="99" t="s">
        <v>189</v>
      </c>
      <c r="I904" s="99" t="s">
        <v>680</v>
      </c>
      <c r="J904" s="104"/>
      <c r="K904" s="66" t="str">
        <f>IFNA(VLOOKUP(D904,'EAN Codes'!A:C,2,False),"")</f>
        <v/>
      </c>
      <c r="L904" s="101"/>
      <c r="M904" s="119"/>
      <c r="N904" s="99"/>
      <c r="O904" s="99"/>
      <c r="P904" s="99"/>
      <c r="Q904" s="99"/>
      <c r="R904" s="99"/>
      <c r="S904" s="104"/>
      <c r="T904" s="99"/>
      <c r="U904" s="93" t="b">
        <v>1</v>
      </c>
      <c r="V904" s="99" t="s">
        <v>5799</v>
      </c>
      <c r="Z904" t="b">
        <v>0</v>
      </c>
    </row>
    <row r="905" hidden="1">
      <c r="A905" s="99">
        <v>906.0</v>
      </c>
      <c r="B905" s="99" t="s">
        <v>241</v>
      </c>
      <c r="C905" s="99" t="s">
        <v>1813</v>
      </c>
      <c r="D905" s="99" t="s">
        <v>5801</v>
      </c>
      <c r="E905" s="99" t="s">
        <v>346</v>
      </c>
      <c r="F905" s="99" t="s">
        <v>5785</v>
      </c>
      <c r="G905" s="99" t="s">
        <v>1028</v>
      </c>
      <c r="H905" s="99" t="s">
        <v>189</v>
      </c>
      <c r="I905" s="99" t="s">
        <v>1863</v>
      </c>
      <c r="J905" s="104"/>
      <c r="K905" s="66" t="str">
        <f>IFNA(VLOOKUP(D905,'EAN Codes'!A:C,2,False),"")</f>
        <v/>
      </c>
      <c r="L905" s="82"/>
      <c r="M905" s="83"/>
      <c r="N905" s="6"/>
      <c r="O905" s="6"/>
      <c r="P905" s="6"/>
      <c r="Q905" s="6"/>
      <c r="R905" s="6"/>
      <c r="S905" s="84"/>
      <c r="T905" s="6"/>
      <c r="U905" s="93" t="b">
        <v>1</v>
      </c>
      <c r="V905" s="6" t="s">
        <v>5809</v>
      </c>
      <c r="Z905" t="b">
        <v>0</v>
      </c>
    </row>
    <row r="906" hidden="1">
      <c r="A906" s="99">
        <v>966.0</v>
      </c>
      <c r="B906" s="99" t="s">
        <v>241</v>
      </c>
      <c r="C906" s="99" t="s">
        <v>342</v>
      </c>
      <c r="D906" s="99" t="s">
        <v>4915</v>
      </c>
      <c r="E906" s="99" t="s">
        <v>346</v>
      </c>
      <c r="F906" s="99" t="s">
        <v>5785</v>
      </c>
      <c r="G906" s="99" t="s">
        <v>1028</v>
      </c>
      <c r="H906" s="99" t="s">
        <v>189</v>
      </c>
      <c r="I906" s="99" t="s">
        <v>458</v>
      </c>
      <c r="J906" s="104"/>
      <c r="K906" s="66" t="str">
        <f>IFNA(VLOOKUP(D906,'EAN Codes'!A:C,2,False),"")</f>
        <v/>
      </c>
      <c r="L906" s="101"/>
      <c r="M906" s="119"/>
      <c r="N906" s="99"/>
      <c r="O906" s="99"/>
      <c r="P906" s="99"/>
      <c r="Q906" s="99"/>
      <c r="R906" s="99"/>
      <c r="S906" s="104"/>
      <c r="T906" s="99"/>
      <c r="U906" s="93" t="b">
        <v>1</v>
      </c>
      <c r="V906" s="99" t="s">
        <v>5821</v>
      </c>
      <c r="Z906" s="82" t="b">
        <v>0</v>
      </c>
      <c r="AA906" s="82"/>
      <c r="AB906" s="82"/>
      <c r="AC906" s="82"/>
      <c r="AD906" s="82"/>
      <c r="AE906" s="82"/>
    </row>
    <row r="907" hidden="1">
      <c r="A907" s="99">
        <v>981.0</v>
      </c>
      <c r="B907" s="99" t="s">
        <v>241</v>
      </c>
      <c r="C907" s="99" t="s">
        <v>342</v>
      </c>
      <c r="D907" s="99" t="s">
        <v>5822</v>
      </c>
      <c r="E907" s="99" t="s">
        <v>373</v>
      </c>
      <c r="F907" s="99" t="s">
        <v>5785</v>
      </c>
      <c r="G907" s="99" t="s">
        <v>1028</v>
      </c>
      <c r="H907" s="99" t="s">
        <v>189</v>
      </c>
      <c r="I907" s="99" t="s">
        <v>458</v>
      </c>
      <c r="J907" s="104"/>
      <c r="K907" s="66" t="str">
        <f>IFNA(VLOOKUP(D907,'EAN Codes'!A:C,2,False),"")</f>
        <v/>
      </c>
      <c r="L907" s="101"/>
      <c r="M907" s="119"/>
      <c r="N907" s="99"/>
      <c r="O907" s="99"/>
      <c r="P907" s="99"/>
      <c r="Q907" s="99"/>
      <c r="R907" s="99"/>
      <c r="S907" s="104"/>
      <c r="T907" s="99"/>
      <c r="U907" s="93" t="b">
        <v>1</v>
      </c>
      <c r="V907" s="99" t="s">
        <v>5830</v>
      </c>
      <c r="Z907" t="b">
        <v>0</v>
      </c>
    </row>
    <row r="908" hidden="1">
      <c r="A908" s="99">
        <v>731.0</v>
      </c>
      <c r="B908" s="99" t="s">
        <v>241</v>
      </c>
      <c r="C908" s="99" t="s">
        <v>342</v>
      </c>
      <c r="D908" s="99" t="s">
        <v>4915</v>
      </c>
      <c r="E908" s="99" t="s">
        <v>346</v>
      </c>
      <c r="F908" s="99" t="s">
        <v>5785</v>
      </c>
      <c r="G908" s="101"/>
      <c r="H908" s="99" t="s">
        <v>189</v>
      </c>
      <c r="I908" s="99" t="s">
        <v>585</v>
      </c>
      <c r="J908" s="104"/>
      <c r="K908" s="66" t="str">
        <f>IFNA(VLOOKUP(D908,'EAN Codes'!A:C,2,False),"")</f>
        <v/>
      </c>
      <c r="L908" s="101"/>
      <c r="M908" s="119"/>
      <c r="N908" s="99"/>
      <c r="O908" s="99"/>
      <c r="P908" s="99"/>
      <c r="Q908" s="99"/>
      <c r="R908" s="99"/>
      <c r="S908" s="104"/>
      <c r="T908" s="99"/>
      <c r="U908" s="93" t="b">
        <v>1</v>
      </c>
      <c r="V908" s="99" t="s">
        <v>5838</v>
      </c>
      <c r="Z908" t="b">
        <v>0</v>
      </c>
    </row>
    <row r="909" hidden="1">
      <c r="A909" s="99">
        <v>790.0</v>
      </c>
      <c r="B909" s="86" t="s">
        <v>241</v>
      </c>
      <c r="C909" s="99" t="s">
        <v>342</v>
      </c>
      <c r="D909" s="99" t="s">
        <v>4915</v>
      </c>
      <c r="E909" s="86" t="s">
        <v>346</v>
      </c>
      <c r="F909" s="86" t="s">
        <v>5785</v>
      </c>
      <c r="G909" s="99" t="s">
        <v>1028</v>
      </c>
      <c r="H909" s="99" t="s">
        <v>189</v>
      </c>
      <c r="I909" s="99" t="s">
        <v>585</v>
      </c>
      <c r="J909" s="104"/>
      <c r="K909" s="66" t="str">
        <f>IFNA(VLOOKUP(D909,'EAN Codes'!A:C,2,False),"")</f>
        <v/>
      </c>
      <c r="L909" s="101"/>
      <c r="M909" s="119"/>
      <c r="N909" s="99"/>
      <c r="O909" s="99"/>
      <c r="P909" s="99"/>
      <c r="Q909" s="99"/>
      <c r="R909" s="99"/>
      <c r="S909" s="104"/>
      <c r="T909" s="99"/>
      <c r="U909" s="93" t="b">
        <v>1</v>
      </c>
      <c r="V909" s="99" t="s">
        <v>5848</v>
      </c>
      <c r="Z909" t="b">
        <v>0</v>
      </c>
    </row>
    <row r="910" hidden="1">
      <c r="A910" s="99">
        <v>808.0</v>
      </c>
      <c r="B910" s="99" t="s">
        <v>241</v>
      </c>
      <c r="C910" s="99" t="s">
        <v>342</v>
      </c>
      <c r="D910" s="99" t="s">
        <v>4915</v>
      </c>
      <c r="E910" s="86" t="s">
        <v>346</v>
      </c>
      <c r="F910" s="86" t="s">
        <v>5785</v>
      </c>
      <c r="G910" s="99" t="s">
        <v>1028</v>
      </c>
      <c r="H910" s="99" t="s">
        <v>189</v>
      </c>
      <c r="I910" s="99" t="s">
        <v>458</v>
      </c>
      <c r="J910" s="104"/>
      <c r="K910" s="66" t="str">
        <f>IFNA(VLOOKUP(D910,'EAN Codes'!A:C,2,False),"")</f>
        <v/>
      </c>
      <c r="L910" s="101"/>
      <c r="M910" s="119"/>
      <c r="N910" s="99"/>
      <c r="O910" s="99"/>
      <c r="P910" s="99"/>
      <c r="Q910" s="99"/>
      <c r="R910" s="99"/>
      <c r="S910" s="104"/>
      <c r="T910" s="99"/>
      <c r="U910" s="93" t="b">
        <v>1</v>
      </c>
      <c r="V910" s="99" t="s">
        <v>5856</v>
      </c>
      <c r="Z910" t="b">
        <v>0</v>
      </c>
    </row>
    <row r="911" hidden="1">
      <c r="A911" s="86">
        <v>789.0</v>
      </c>
      <c r="B911" s="86" t="s">
        <v>241</v>
      </c>
      <c r="C911" s="99" t="s">
        <v>342</v>
      </c>
      <c r="D911" s="99" t="s">
        <v>4915</v>
      </c>
      <c r="E911" s="86" t="s">
        <v>346</v>
      </c>
      <c r="F911" s="86" t="s">
        <v>5785</v>
      </c>
      <c r="G911" s="99" t="s">
        <v>1028</v>
      </c>
      <c r="H911" s="99" t="s">
        <v>189</v>
      </c>
      <c r="I911" s="99" t="s">
        <v>1634</v>
      </c>
      <c r="J911" s="104"/>
      <c r="K911" s="66" t="str">
        <f>IFNA(VLOOKUP(D911,'EAN Codes'!A:C,2,False),"")</f>
        <v/>
      </c>
      <c r="L911" s="99"/>
      <c r="M911" s="119"/>
      <c r="N911" s="99"/>
      <c r="O911" s="99"/>
      <c r="P911" s="99"/>
      <c r="Q911" s="99"/>
      <c r="R911" s="99"/>
      <c r="S911" s="104"/>
      <c r="T911" s="99"/>
      <c r="U911" s="93" t="b">
        <v>1</v>
      </c>
      <c r="V911" s="99" t="s">
        <v>5866</v>
      </c>
      <c r="Z911" t="b">
        <v>0</v>
      </c>
    </row>
    <row r="912" hidden="1">
      <c r="A912" s="99">
        <v>839.0</v>
      </c>
      <c r="B912" s="99" t="s">
        <v>241</v>
      </c>
      <c r="C912" s="217" t="s">
        <v>342</v>
      </c>
      <c r="D912" s="99" t="s">
        <v>4915</v>
      </c>
      <c r="E912" s="217" t="s">
        <v>346</v>
      </c>
      <c r="F912" s="99" t="s">
        <v>5785</v>
      </c>
      <c r="G912" s="99" t="s">
        <v>1028</v>
      </c>
      <c r="H912" s="99" t="s">
        <v>189</v>
      </c>
      <c r="I912" s="99" t="s">
        <v>530</v>
      </c>
      <c r="J912" s="104"/>
      <c r="K912" s="66" t="str">
        <f>IFNA(VLOOKUP(D912,'EAN Codes'!A:C,2,False),"")</f>
        <v/>
      </c>
      <c r="L912" s="82"/>
      <c r="M912" s="83"/>
      <c r="N912" s="6"/>
      <c r="O912" s="6"/>
      <c r="P912" s="6"/>
      <c r="Q912" s="6"/>
      <c r="R912" s="6"/>
      <c r="S912" s="84"/>
      <c r="T912" s="6"/>
      <c r="U912" s="93" t="b">
        <v>1</v>
      </c>
      <c r="V912" s="6" t="s">
        <v>5886</v>
      </c>
      <c r="Z912" t="b">
        <v>0</v>
      </c>
    </row>
    <row r="913" hidden="1">
      <c r="A913" s="86">
        <v>784.0</v>
      </c>
      <c r="B913" s="99" t="s">
        <v>241</v>
      </c>
      <c r="C913" s="99" t="s">
        <v>342</v>
      </c>
      <c r="D913" s="99" t="s">
        <v>4915</v>
      </c>
      <c r="E913" s="99" t="s">
        <v>346</v>
      </c>
      <c r="F913" s="99" t="s">
        <v>5785</v>
      </c>
      <c r="G913" s="101"/>
      <c r="H913" s="99" t="s">
        <v>189</v>
      </c>
      <c r="I913" s="99" t="s">
        <v>418</v>
      </c>
      <c r="J913" s="104"/>
      <c r="K913" s="66" t="str">
        <f>IFNA(VLOOKUP(D913,'EAN Codes'!A:C,2,False),"")</f>
        <v/>
      </c>
      <c r="L913" s="35"/>
      <c r="M913" s="67"/>
      <c r="S913" s="60"/>
      <c r="U913" s="93" t="b">
        <v>1</v>
      </c>
      <c r="Z913" t="b">
        <v>0</v>
      </c>
    </row>
    <row r="914" hidden="1">
      <c r="A914" s="99">
        <v>853.0</v>
      </c>
      <c r="B914" s="99" t="s">
        <v>241</v>
      </c>
      <c r="C914" s="99" t="s">
        <v>342</v>
      </c>
      <c r="D914" s="99" t="s">
        <v>4915</v>
      </c>
      <c r="E914" s="99" t="s">
        <v>346</v>
      </c>
      <c r="F914" s="99" t="s">
        <v>5785</v>
      </c>
      <c r="G914" s="99" t="s">
        <v>4095</v>
      </c>
      <c r="H914" s="99" t="s">
        <v>189</v>
      </c>
      <c r="I914" s="99" t="s">
        <v>585</v>
      </c>
      <c r="J914" s="104"/>
      <c r="K914" s="66" t="str">
        <f>IFNA(VLOOKUP(D914,'EAN Codes'!A:C,2,False),"")</f>
        <v/>
      </c>
      <c r="L914" s="82"/>
      <c r="M914" s="119"/>
      <c r="N914" s="99"/>
      <c r="O914" s="99"/>
      <c r="P914" s="99"/>
      <c r="Q914" s="99"/>
      <c r="R914" s="99"/>
      <c r="S914" s="104"/>
      <c r="T914" s="99"/>
      <c r="U914" s="93" t="b">
        <v>1</v>
      </c>
      <c r="V914" s="99" t="s">
        <v>5909</v>
      </c>
      <c r="Z914" t="b">
        <v>0</v>
      </c>
    </row>
    <row r="915" hidden="1">
      <c r="A915" s="91"/>
      <c r="B915" s="86" t="s">
        <v>241</v>
      </c>
      <c r="C915" s="86" t="s">
        <v>1813</v>
      </c>
      <c r="D915" s="86" t="s">
        <v>5801</v>
      </c>
      <c r="E915" s="86" t="s">
        <v>346</v>
      </c>
      <c r="F915" s="86" t="s">
        <v>5785</v>
      </c>
      <c r="G915" s="91"/>
      <c r="H915" s="86" t="s">
        <v>5910</v>
      </c>
      <c r="I915" s="91"/>
      <c r="J915" s="97"/>
      <c r="K915" s="66" t="str">
        <f>IFNA(VLOOKUP(D915,'EAN Codes'!A:C,2,False),"")</f>
        <v/>
      </c>
      <c r="L915" s="91"/>
      <c r="M915" s="92"/>
      <c r="N915" s="86"/>
      <c r="O915" s="86"/>
      <c r="P915" s="86"/>
      <c r="Q915" s="86"/>
      <c r="R915" s="86"/>
      <c r="S915" s="88"/>
      <c r="T915" s="86"/>
      <c r="U915" s="93" t="b">
        <v>1</v>
      </c>
      <c r="V915" s="86" t="s">
        <v>5933</v>
      </c>
      <c r="Z915" t="b">
        <v>0</v>
      </c>
    </row>
    <row r="916" hidden="1">
      <c r="A916" s="6">
        <v>986.0</v>
      </c>
      <c r="B916" s="35" t="s">
        <v>241</v>
      </c>
      <c r="C916" s="6" t="s">
        <v>1250</v>
      </c>
      <c r="D916" s="127" t="s">
        <v>5938</v>
      </c>
      <c r="E916" s="6" t="s">
        <v>1390</v>
      </c>
      <c r="F916" s="6" t="s">
        <v>5942</v>
      </c>
      <c r="G916" s="6" t="s">
        <v>4814</v>
      </c>
      <c r="H916" s="6" t="s">
        <v>189</v>
      </c>
      <c r="I916" s="6" t="s">
        <v>1634</v>
      </c>
      <c r="J916" s="84"/>
      <c r="K916" s="66" t="str">
        <f>IFNA(VLOOKUP(D916,'EAN Codes'!A:C,2,False),"")</f>
        <v>8054521995156</v>
      </c>
      <c r="L916" s="82"/>
      <c r="M916" s="83"/>
      <c r="N916" s="6"/>
      <c r="O916" s="6"/>
      <c r="P916" s="6"/>
      <c r="Q916" s="6"/>
      <c r="R916" s="6"/>
      <c r="S916" s="84"/>
      <c r="T916" s="6"/>
      <c r="U916" s="93" t="b">
        <v>1</v>
      </c>
      <c r="V916" s="6" t="s">
        <v>5951</v>
      </c>
      <c r="Z916" t="b">
        <v>0</v>
      </c>
    </row>
    <row r="917" hidden="1">
      <c r="A917" s="99">
        <v>369.0</v>
      </c>
      <c r="B917" s="99" t="s">
        <v>241</v>
      </c>
      <c r="C917" s="217" t="s">
        <v>4093</v>
      </c>
      <c r="D917" s="121">
        <v>57223.0</v>
      </c>
      <c r="E917" s="122" t="s">
        <v>454</v>
      </c>
      <c r="F917" s="122" t="s">
        <v>5958</v>
      </c>
      <c r="G917" s="122" t="s">
        <v>5672</v>
      </c>
      <c r="H917" s="99" t="s">
        <v>189</v>
      </c>
      <c r="I917" s="99" t="s">
        <v>570</v>
      </c>
      <c r="J917" s="104"/>
      <c r="K917" s="66" t="str">
        <f>IFNA(VLOOKUP(D917,'EAN Codes'!A:C,2,False),"")</f>
        <v/>
      </c>
      <c r="L917" s="99"/>
      <c r="M917" s="119"/>
      <c r="N917" s="99"/>
      <c r="O917" s="99"/>
      <c r="P917" s="99"/>
      <c r="Q917" s="99"/>
      <c r="R917" s="99"/>
      <c r="S917" s="104"/>
      <c r="T917" s="99"/>
      <c r="U917" s="93" t="b">
        <v>1</v>
      </c>
      <c r="V917" s="99" t="s">
        <v>5969</v>
      </c>
      <c r="Z917" t="b">
        <v>0</v>
      </c>
    </row>
    <row r="918" hidden="1">
      <c r="A918" s="99">
        <v>370.0</v>
      </c>
      <c r="B918" s="99" t="s">
        <v>241</v>
      </c>
      <c r="C918" s="122" t="s">
        <v>4093</v>
      </c>
      <c r="D918" s="121">
        <v>57223.0</v>
      </c>
      <c r="E918" s="122" t="s">
        <v>454</v>
      </c>
      <c r="F918" s="122" t="s">
        <v>5958</v>
      </c>
      <c r="G918" s="122" t="s">
        <v>5672</v>
      </c>
      <c r="H918" s="99" t="s">
        <v>189</v>
      </c>
      <c r="I918" s="99" t="s">
        <v>570</v>
      </c>
      <c r="J918" s="104"/>
      <c r="K918" s="66" t="str">
        <f>IFNA(VLOOKUP(D918,'EAN Codes'!A:C,2,False),"")</f>
        <v/>
      </c>
      <c r="L918" s="35"/>
      <c r="M918" s="119"/>
      <c r="N918" s="99"/>
      <c r="O918" s="99"/>
      <c r="P918" s="99"/>
      <c r="Q918" s="99"/>
      <c r="R918" s="99"/>
      <c r="S918" s="104"/>
      <c r="T918" s="99"/>
      <c r="U918" s="93" t="b">
        <v>1</v>
      </c>
      <c r="V918" s="99" t="s">
        <v>5978</v>
      </c>
      <c r="Z918" t="b">
        <v>0</v>
      </c>
    </row>
    <row r="919" hidden="1">
      <c r="A919" s="99">
        <v>372.0</v>
      </c>
      <c r="B919" s="99" t="s">
        <v>241</v>
      </c>
      <c r="C919" s="122" t="s">
        <v>4093</v>
      </c>
      <c r="D919" s="121">
        <v>57223.0</v>
      </c>
      <c r="E919" s="122" t="s">
        <v>454</v>
      </c>
      <c r="F919" s="122" t="s">
        <v>5958</v>
      </c>
      <c r="G919" s="122" t="s">
        <v>5672</v>
      </c>
      <c r="H919" s="99" t="s">
        <v>189</v>
      </c>
      <c r="I919" s="99" t="s">
        <v>680</v>
      </c>
      <c r="J919" s="104"/>
      <c r="K919" s="66" t="str">
        <f>IFNA(VLOOKUP(D919,'EAN Codes'!A:C,2,False),"")</f>
        <v/>
      </c>
      <c r="L919" s="35"/>
      <c r="M919" s="119"/>
      <c r="N919" s="99"/>
      <c r="O919" s="99"/>
      <c r="P919" s="99"/>
      <c r="Q919" s="99"/>
      <c r="R919" s="99"/>
      <c r="S919" s="104"/>
      <c r="T919" s="99"/>
      <c r="U919" s="93" t="b">
        <v>1</v>
      </c>
      <c r="V919" s="99" t="s">
        <v>5985</v>
      </c>
      <c r="Z919" t="b">
        <v>0</v>
      </c>
    </row>
    <row r="920" hidden="1">
      <c r="A920" s="99">
        <v>309.0</v>
      </c>
      <c r="B920" s="6" t="s">
        <v>2483</v>
      </c>
      <c r="C920" s="99" t="s">
        <v>494</v>
      </c>
      <c r="D920" s="101"/>
      <c r="E920" s="99" t="s">
        <v>2484</v>
      </c>
      <c r="F920" s="99" t="s">
        <v>5987</v>
      </c>
      <c r="G920" s="99" t="s">
        <v>1028</v>
      </c>
      <c r="H920" s="99" t="s">
        <v>189</v>
      </c>
      <c r="I920" s="99" t="s">
        <v>2489</v>
      </c>
      <c r="J920" s="104"/>
      <c r="K920" s="66" t="str">
        <f>IFNA(VLOOKUP(D920,'EAN Codes'!A:C,2,False),"")</f>
        <v/>
      </c>
      <c r="L920" s="99"/>
      <c r="M920" s="119"/>
      <c r="N920" s="99"/>
      <c r="O920" s="99"/>
      <c r="P920" s="99"/>
      <c r="Q920" s="99"/>
      <c r="R920" s="99"/>
      <c r="S920" s="104"/>
      <c r="T920" s="99"/>
      <c r="U920" s="93" t="b">
        <v>1</v>
      </c>
      <c r="V920" s="99" t="s">
        <v>5994</v>
      </c>
      <c r="Z920" t="b">
        <v>0</v>
      </c>
    </row>
    <row r="921" hidden="1">
      <c r="A921" s="99"/>
      <c r="B921" s="99"/>
      <c r="C921" s="99" t="s">
        <v>408</v>
      </c>
      <c r="D921" s="99" t="s">
        <v>5734</v>
      </c>
      <c r="E921" s="99" t="s">
        <v>2639</v>
      </c>
      <c r="F921" s="99" t="s">
        <v>5999</v>
      </c>
      <c r="G921" s="99" t="s">
        <v>4912</v>
      </c>
      <c r="H921" s="99" t="s">
        <v>271</v>
      </c>
      <c r="I921" s="6"/>
      <c r="J921" s="84"/>
      <c r="K921" s="66" t="str">
        <f>IFNA(VLOOKUP(D921,'EAN Codes'!A:C,2,False),"")</f>
        <v/>
      </c>
      <c r="L921" s="35"/>
      <c r="M921" s="83"/>
      <c r="N921" s="6"/>
      <c r="O921" s="6"/>
      <c r="P921" s="6"/>
      <c r="Q921" s="6"/>
      <c r="R921" s="6"/>
      <c r="S921" s="84"/>
      <c r="T921" s="6"/>
      <c r="U921" s="93" t="b">
        <v>1</v>
      </c>
      <c r="V921" s="6"/>
      <c r="Z921" t="b">
        <v>0</v>
      </c>
    </row>
    <row r="922" hidden="1">
      <c r="A922" s="99">
        <v>697.0</v>
      </c>
      <c r="B922" s="99" t="s">
        <v>181</v>
      </c>
      <c r="C922" s="99" t="s">
        <v>950</v>
      </c>
      <c r="D922" s="99">
        <v>748685.0</v>
      </c>
      <c r="E922" s="99" t="s">
        <v>1110</v>
      </c>
      <c r="F922" s="99" t="s">
        <v>6010</v>
      </c>
      <c r="G922" s="99" t="s">
        <v>1222</v>
      </c>
      <c r="H922" s="99" t="s">
        <v>189</v>
      </c>
      <c r="J922" s="60"/>
      <c r="K922" s="66" t="str">
        <f>IFNA(VLOOKUP(D922,'EAN Codes'!A:C,2,False),"")</f>
        <v/>
      </c>
      <c r="L922" s="82"/>
      <c r="M922" s="67"/>
      <c r="S922" s="60"/>
      <c r="U922" s="93" t="b">
        <v>1</v>
      </c>
      <c r="Z922" t="b">
        <v>0</v>
      </c>
    </row>
    <row r="923" hidden="1">
      <c r="A923" s="99">
        <v>3.0</v>
      </c>
      <c r="B923" s="6"/>
      <c r="C923" s="6" t="s">
        <v>731</v>
      </c>
      <c r="D923" s="99" t="s">
        <v>6034</v>
      </c>
      <c r="E923" s="99" t="s">
        <v>733</v>
      </c>
      <c r="F923" s="99" t="s">
        <v>6036</v>
      </c>
      <c r="G923" s="99" t="s">
        <v>6037</v>
      </c>
      <c r="J923" s="60"/>
      <c r="K923" s="66" t="str">
        <f>IFNA(VLOOKUP(D923,'EAN Codes'!A:C,2,False),"")</f>
        <v/>
      </c>
      <c r="L923" s="6"/>
      <c r="M923" s="67"/>
      <c r="S923" s="60"/>
      <c r="U923" s="93" t="b">
        <v>1</v>
      </c>
      <c r="Z923" t="b">
        <v>0</v>
      </c>
    </row>
    <row r="924" hidden="1">
      <c r="A924" s="99">
        <v>1.0</v>
      </c>
      <c r="B924" s="99" t="s">
        <v>241</v>
      </c>
      <c r="C924" s="99" t="s">
        <v>731</v>
      </c>
      <c r="D924" s="99" t="s">
        <v>6048</v>
      </c>
      <c r="E924" s="99" t="s">
        <v>733</v>
      </c>
      <c r="F924" s="99" t="s">
        <v>6049</v>
      </c>
      <c r="G924" s="99" t="s">
        <v>6050</v>
      </c>
      <c r="H924" s="99" t="s">
        <v>189</v>
      </c>
      <c r="I924" s="6"/>
      <c r="J924" s="84"/>
      <c r="K924" s="66" t="str">
        <f>IFNA(VLOOKUP(D924,'EAN Codes'!A:C,2,False),"")</f>
        <v/>
      </c>
      <c r="L924" s="6"/>
      <c r="M924" s="83"/>
      <c r="N924" s="6"/>
      <c r="O924" s="6"/>
      <c r="P924" s="6"/>
      <c r="Q924" s="6"/>
      <c r="R924" s="6"/>
      <c r="S924" s="84"/>
      <c r="T924" s="6"/>
      <c r="U924" s="93" t="b">
        <v>1</v>
      </c>
      <c r="V924" s="6" t="s">
        <v>6059</v>
      </c>
      <c r="Z924" t="b">
        <v>0</v>
      </c>
    </row>
    <row r="925" hidden="1">
      <c r="A925" s="99">
        <v>758.0</v>
      </c>
      <c r="B925" s="99" t="s">
        <v>241</v>
      </c>
      <c r="C925" s="99" t="s">
        <v>342</v>
      </c>
      <c r="D925" s="99" t="s">
        <v>6063</v>
      </c>
      <c r="E925" s="99" t="s">
        <v>346</v>
      </c>
      <c r="F925" s="99" t="s">
        <v>6067</v>
      </c>
      <c r="G925" s="99" t="s">
        <v>1057</v>
      </c>
      <c r="H925" s="99" t="s">
        <v>189</v>
      </c>
      <c r="I925" s="99" t="s">
        <v>680</v>
      </c>
      <c r="J925" s="104"/>
      <c r="K925" s="66" t="str">
        <f>IFNA(VLOOKUP(D925,'EAN Codes'!A:C,2,False),"")</f>
        <v/>
      </c>
      <c r="L925" s="82"/>
      <c r="M925" s="83"/>
      <c r="N925" s="6"/>
      <c r="O925" s="6"/>
      <c r="P925" s="6"/>
      <c r="Q925" s="6"/>
      <c r="R925" s="6"/>
      <c r="S925" s="84"/>
      <c r="T925" s="6"/>
      <c r="U925" s="93" t="b">
        <v>1</v>
      </c>
      <c r="V925" s="6" t="s">
        <v>6073</v>
      </c>
      <c r="Z925" t="b">
        <v>0</v>
      </c>
    </row>
    <row r="926" hidden="1">
      <c r="A926" s="99">
        <v>288.0</v>
      </c>
      <c r="B926" s="6" t="s">
        <v>241</v>
      </c>
      <c r="C926" s="99" t="s">
        <v>1966</v>
      </c>
      <c r="D926" s="99" t="s">
        <v>6078</v>
      </c>
      <c r="E926" s="99" t="s">
        <v>409</v>
      </c>
      <c r="F926" s="99" t="s">
        <v>6080</v>
      </c>
      <c r="G926" s="99" t="s">
        <v>793</v>
      </c>
      <c r="H926" s="99" t="s">
        <v>189</v>
      </c>
      <c r="I926" s="99" t="s">
        <v>1328</v>
      </c>
      <c r="J926" s="104"/>
      <c r="K926" s="66" t="str">
        <f>IFNA(VLOOKUP(D926,'EAN Codes'!A:C,2,False),"")</f>
        <v/>
      </c>
      <c r="L926" s="35"/>
      <c r="M926" s="67"/>
      <c r="S926" s="60"/>
      <c r="U926" s="93" t="b">
        <v>1</v>
      </c>
      <c r="Z926" t="b">
        <v>0</v>
      </c>
    </row>
    <row r="927" hidden="1">
      <c r="A927" s="99">
        <v>213.0</v>
      </c>
      <c r="B927" s="99"/>
      <c r="C927" s="99" t="s">
        <v>4460</v>
      </c>
      <c r="D927" s="99">
        <v>622900.0</v>
      </c>
      <c r="E927" s="99" t="s">
        <v>373</v>
      </c>
      <c r="F927" s="99" t="s">
        <v>6089</v>
      </c>
      <c r="G927" s="99" t="s">
        <v>793</v>
      </c>
      <c r="H927" s="99" t="s">
        <v>1726</v>
      </c>
      <c r="I927" s="99" t="s">
        <v>585</v>
      </c>
      <c r="J927" s="104"/>
      <c r="K927" s="66" t="str">
        <f>IFNA(VLOOKUP(D927,'EAN Codes'!A:C,2,False),"")</f>
        <v/>
      </c>
      <c r="L927" s="35"/>
      <c r="M927" s="67"/>
      <c r="S927" s="60"/>
      <c r="U927" s="93" t="b">
        <v>1</v>
      </c>
      <c r="Z927" t="b">
        <v>0</v>
      </c>
    </row>
    <row r="928" hidden="1">
      <c r="A928" s="99">
        <v>847.0</v>
      </c>
      <c r="B928" s="99" t="s">
        <v>241</v>
      </c>
      <c r="C928" s="99" t="s">
        <v>760</v>
      </c>
      <c r="D928" s="99" t="s">
        <v>6098</v>
      </c>
      <c r="E928" s="99" t="s">
        <v>373</v>
      </c>
      <c r="F928" s="99" t="s">
        <v>6100</v>
      </c>
      <c r="G928" s="99" t="s">
        <v>793</v>
      </c>
      <c r="H928" s="99" t="s">
        <v>189</v>
      </c>
      <c r="I928" s="99" t="s">
        <v>680</v>
      </c>
      <c r="J928" s="104"/>
      <c r="K928" s="66" t="str">
        <f>IFNA(VLOOKUP(D928,'EAN Codes'!A:C,2,False),"")</f>
        <v/>
      </c>
      <c r="L928" s="101"/>
      <c r="M928" s="83"/>
      <c r="N928" s="6"/>
      <c r="O928" s="6"/>
      <c r="P928" s="6"/>
      <c r="Q928" s="6"/>
      <c r="R928" s="6"/>
      <c r="S928" s="84"/>
      <c r="T928" s="6"/>
      <c r="U928" s="93" t="b">
        <v>1</v>
      </c>
      <c r="V928" s="6" t="s">
        <v>6107</v>
      </c>
      <c r="Z928" t="b">
        <v>0</v>
      </c>
    </row>
    <row r="929" hidden="1">
      <c r="A929" s="99">
        <v>846.0</v>
      </c>
      <c r="B929" s="99" t="s">
        <v>241</v>
      </c>
      <c r="C929" s="99" t="s">
        <v>760</v>
      </c>
      <c r="D929" s="99" t="s">
        <v>6098</v>
      </c>
      <c r="E929" s="99" t="s">
        <v>373</v>
      </c>
      <c r="F929" s="99" t="s">
        <v>6100</v>
      </c>
      <c r="G929" s="99" t="s">
        <v>793</v>
      </c>
      <c r="H929" s="99" t="s">
        <v>189</v>
      </c>
      <c r="I929" s="99" t="s">
        <v>1863</v>
      </c>
      <c r="J929" s="104"/>
      <c r="K929" s="66" t="str">
        <f>IFNA(VLOOKUP(D929,'EAN Codes'!A:C,2,False),"")</f>
        <v/>
      </c>
      <c r="L929" s="101"/>
      <c r="M929" s="119"/>
      <c r="N929" s="99"/>
      <c r="O929" s="99"/>
      <c r="P929" s="99"/>
      <c r="Q929" s="99"/>
      <c r="R929" s="99"/>
      <c r="S929" s="104"/>
      <c r="T929" s="99"/>
      <c r="U929" s="93" t="b">
        <v>1</v>
      </c>
      <c r="V929" s="99" t="s">
        <v>6117</v>
      </c>
      <c r="Z929" t="b">
        <v>0</v>
      </c>
    </row>
    <row r="930" hidden="1">
      <c r="A930" s="99">
        <v>492.0</v>
      </c>
      <c r="B930" s="99" t="s">
        <v>241</v>
      </c>
      <c r="C930" s="99" t="s">
        <v>342</v>
      </c>
      <c r="D930" s="99" t="s">
        <v>4901</v>
      </c>
      <c r="E930" s="99" t="s">
        <v>373</v>
      </c>
      <c r="F930" s="99" t="s">
        <v>6123</v>
      </c>
      <c r="G930" s="101"/>
      <c r="H930" s="99" t="s">
        <v>189</v>
      </c>
      <c r="I930" s="99" t="s">
        <v>1863</v>
      </c>
      <c r="J930" s="104"/>
      <c r="K930" s="66" t="str">
        <f>IFNA(VLOOKUP(D930,'EAN Codes'!A:C,2,False),"")</f>
        <v/>
      </c>
      <c r="L930" s="237"/>
      <c r="M930" s="67"/>
      <c r="S930" s="60"/>
      <c r="U930" s="93" t="b">
        <v>1</v>
      </c>
      <c r="Z930" t="b">
        <v>0</v>
      </c>
    </row>
    <row r="931" hidden="1">
      <c r="A931" s="99">
        <v>493.0</v>
      </c>
      <c r="B931" s="99" t="s">
        <v>241</v>
      </c>
      <c r="C931" s="99" t="s">
        <v>342</v>
      </c>
      <c r="D931" s="99" t="s">
        <v>4901</v>
      </c>
      <c r="E931" s="99" t="s">
        <v>373</v>
      </c>
      <c r="F931" s="99" t="s">
        <v>6123</v>
      </c>
      <c r="G931" s="101"/>
      <c r="H931" s="99" t="s">
        <v>189</v>
      </c>
      <c r="I931" s="99" t="s">
        <v>1634</v>
      </c>
      <c r="J931" s="104"/>
      <c r="K931" s="66" t="str">
        <f>IFNA(VLOOKUP(D931,'EAN Codes'!A:C,2,False),"")</f>
        <v/>
      </c>
      <c r="L931" s="99"/>
      <c r="M931" s="67"/>
      <c r="S931" s="60"/>
      <c r="U931" s="93" t="b">
        <v>1</v>
      </c>
      <c r="Z931" t="b">
        <v>0</v>
      </c>
    </row>
    <row r="932" hidden="1">
      <c r="A932" s="86">
        <v>769.0</v>
      </c>
      <c r="B932" s="99" t="s">
        <v>241</v>
      </c>
      <c r="C932" s="99" t="s">
        <v>342</v>
      </c>
      <c r="D932" s="99" t="s">
        <v>4901</v>
      </c>
      <c r="E932" s="99" t="s">
        <v>409</v>
      </c>
      <c r="F932" s="99" t="s">
        <v>6144</v>
      </c>
      <c r="G932" s="99" t="s">
        <v>793</v>
      </c>
      <c r="H932" s="99" t="s">
        <v>189</v>
      </c>
      <c r="I932" s="99" t="s">
        <v>1863</v>
      </c>
      <c r="J932" s="104"/>
      <c r="K932" s="66" t="str">
        <f>IFNA(VLOOKUP(D932,'EAN Codes'!A:C,2,False),"")</f>
        <v/>
      </c>
      <c r="L932" s="99"/>
      <c r="M932" s="92"/>
      <c r="N932" s="86"/>
      <c r="O932" s="86"/>
      <c r="P932" s="86"/>
      <c r="Q932" s="86"/>
      <c r="R932" s="86"/>
      <c r="S932" s="88"/>
      <c r="T932" s="86"/>
      <c r="U932" s="93" t="b">
        <v>1</v>
      </c>
      <c r="V932" s="86" t="s">
        <v>6155</v>
      </c>
      <c r="Z932" t="b">
        <v>0</v>
      </c>
    </row>
    <row r="933" hidden="1">
      <c r="B933" s="6" t="s">
        <v>493</v>
      </c>
      <c r="C933" s="6" t="s">
        <v>6158</v>
      </c>
      <c r="E933" s="6" t="s">
        <v>1156</v>
      </c>
      <c r="F933" s="6" t="s">
        <v>6144</v>
      </c>
      <c r="H933" s="6" t="s">
        <v>189</v>
      </c>
      <c r="J933" s="60"/>
      <c r="K933" s="66" t="str">
        <f>IFNA(VLOOKUP(D933,'EAN Codes'!A:C,2,False),"")</f>
        <v/>
      </c>
      <c r="L933" s="82"/>
      <c r="M933" s="67"/>
      <c r="S933" s="60"/>
      <c r="U933" s="93" t="b">
        <v>1</v>
      </c>
      <c r="Z933" t="b">
        <v>0</v>
      </c>
    </row>
    <row r="934" hidden="1">
      <c r="A934" s="6">
        <v>1019.0</v>
      </c>
      <c r="B934" s="6" t="s">
        <v>241</v>
      </c>
      <c r="C934" s="6" t="s">
        <v>760</v>
      </c>
      <c r="D934" s="127" t="s">
        <v>4967</v>
      </c>
      <c r="E934" s="6" t="s">
        <v>409</v>
      </c>
      <c r="F934" s="6" t="s">
        <v>6165</v>
      </c>
      <c r="G934" s="6" t="s">
        <v>987</v>
      </c>
      <c r="H934" s="6" t="s">
        <v>189</v>
      </c>
      <c r="I934" s="6" t="s">
        <v>2253</v>
      </c>
      <c r="J934" s="84"/>
      <c r="K934" s="66" t="str">
        <f>IFNA(VLOOKUP(D934,'EAN Codes'!A:C,2,False),"")</f>
        <v>5060128539238</v>
      </c>
      <c r="L934" s="82"/>
      <c r="M934" s="83"/>
      <c r="N934" s="6"/>
      <c r="O934" s="6"/>
      <c r="P934" s="6"/>
      <c r="Q934" s="6"/>
      <c r="R934" s="6"/>
      <c r="S934" s="84"/>
      <c r="T934" s="6"/>
      <c r="U934" s="93" t="b">
        <v>1</v>
      </c>
      <c r="V934" s="6" t="s">
        <v>6170</v>
      </c>
      <c r="Z934" t="b">
        <v>0</v>
      </c>
    </row>
    <row r="935" hidden="1">
      <c r="A935" s="99">
        <v>542.0</v>
      </c>
      <c r="B935" s="99" t="s">
        <v>241</v>
      </c>
      <c r="C935" s="99" t="s">
        <v>342</v>
      </c>
      <c r="D935" s="99" t="s">
        <v>4901</v>
      </c>
      <c r="E935" s="99" t="s">
        <v>373</v>
      </c>
      <c r="F935" s="282" t="s">
        <v>6171</v>
      </c>
      <c r="G935" s="99" t="s">
        <v>793</v>
      </c>
      <c r="H935" s="99" t="s">
        <v>189</v>
      </c>
      <c r="I935" s="99" t="s">
        <v>570</v>
      </c>
      <c r="J935" s="104"/>
      <c r="K935" s="66" t="str">
        <f>IFNA(VLOOKUP(D935,'EAN Codes'!A:C,2,False),"")</f>
        <v/>
      </c>
      <c r="L935" s="99"/>
      <c r="M935" s="119"/>
      <c r="N935" s="99"/>
      <c r="O935" s="99"/>
      <c r="P935" s="99"/>
      <c r="Q935" s="99"/>
      <c r="R935" s="99"/>
      <c r="S935" s="104"/>
      <c r="T935" s="99"/>
      <c r="U935" s="93" t="b">
        <v>1</v>
      </c>
      <c r="V935" s="99" t="s">
        <v>6178</v>
      </c>
      <c r="Z935" t="b">
        <v>0</v>
      </c>
    </row>
    <row r="936" hidden="1">
      <c r="A936" s="99">
        <v>619.0</v>
      </c>
      <c r="B936" s="99" t="s">
        <v>241</v>
      </c>
      <c r="C936" s="99" t="s">
        <v>342</v>
      </c>
      <c r="D936" s="99" t="s">
        <v>4901</v>
      </c>
      <c r="E936" s="99" t="s">
        <v>373</v>
      </c>
      <c r="F936" s="282" t="s">
        <v>6171</v>
      </c>
      <c r="G936" s="99" t="s">
        <v>793</v>
      </c>
      <c r="H936" s="99" t="s">
        <v>189</v>
      </c>
      <c r="I936" s="99" t="s">
        <v>570</v>
      </c>
      <c r="J936" s="104"/>
      <c r="K936" s="66" t="str">
        <f>IFNA(VLOOKUP(D936,'EAN Codes'!A:C,2,False),"")</f>
        <v/>
      </c>
      <c r="L936" s="99"/>
      <c r="M936" s="119"/>
      <c r="N936" s="99"/>
      <c r="O936" s="99"/>
      <c r="P936" s="99"/>
      <c r="Q936" s="99"/>
      <c r="R936" s="99"/>
      <c r="S936" s="104"/>
      <c r="T936" s="99"/>
      <c r="U936" s="93" t="b">
        <v>1</v>
      </c>
      <c r="V936" s="99" t="s">
        <v>6185</v>
      </c>
      <c r="Z936" t="b">
        <v>0</v>
      </c>
    </row>
    <row r="937" hidden="1">
      <c r="A937" s="99">
        <v>543.0</v>
      </c>
      <c r="B937" s="99" t="s">
        <v>241</v>
      </c>
      <c r="C937" s="99" t="s">
        <v>342</v>
      </c>
      <c r="D937" s="99" t="s">
        <v>4901</v>
      </c>
      <c r="E937" s="99" t="s">
        <v>373</v>
      </c>
      <c r="F937" s="282" t="s">
        <v>6186</v>
      </c>
      <c r="G937" s="282" t="s">
        <v>793</v>
      </c>
      <c r="H937" s="99" t="s">
        <v>189</v>
      </c>
      <c r="I937" s="99" t="s">
        <v>570</v>
      </c>
      <c r="J937" s="104"/>
      <c r="K937" s="66" t="str">
        <f>IFNA(VLOOKUP(D937,'EAN Codes'!A:C,2,False),"")</f>
        <v/>
      </c>
      <c r="L937" s="6"/>
      <c r="M937" s="83"/>
      <c r="N937" s="6"/>
      <c r="O937" s="6"/>
      <c r="P937" s="6"/>
      <c r="Q937" s="6"/>
      <c r="R937" s="6"/>
      <c r="S937" s="84"/>
      <c r="T937" s="6"/>
      <c r="U937" s="93" t="b">
        <v>1</v>
      </c>
      <c r="V937" s="6" t="s">
        <v>6193</v>
      </c>
      <c r="Z937" t="b">
        <v>0</v>
      </c>
    </row>
    <row r="938" hidden="1">
      <c r="A938" s="99">
        <v>579.0</v>
      </c>
      <c r="B938" s="99" t="s">
        <v>241</v>
      </c>
      <c r="C938" s="99" t="s">
        <v>342</v>
      </c>
      <c r="D938" s="99" t="s">
        <v>4901</v>
      </c>
      <c r="E938" s="99" t="s">
        <v>373</v>
      </c>
      <c r="F938" s="99" t="s">
        <v>6194</v>
      </c>
      <c r="G938" s="99" t="s">
        <v>1185</v>
      </c>
      <c r="H938" s="99" t="s">
        <v>189</v>
      </c>
      <c r="I938" s="99" t="s">
        <v>1634</v>
      </c>
      <c r="J938" s="104"/>
      <c r="K938" s="66" t="str">
        <f>IFNA(VLOOKUP(D938,'EAN Codes'!A:C,2,False),"")</f>
        <v/>
      </c>
      <c r="L938" s="35" t="s">
        <v>269</v>
      </c>
      <c r="M938" s="83"/>
      <c r="N938" s="6"/>
      <c r="O938" s="6"/>
      <c r="P938" s="6"/>
      <c r="Q938" s="6"/>
      <c r="R938" s="6"/>
      <c r="S938" s="84"/>
      <c r="T938" s="6"/>
      <c r="U938" s="93" t="b">
        <v>1</v>
      </c>
      <c r="V938" s="6" t="s">
        <v>6197</v>
      </c>
      <c r="Z938" t="b">
        <v>0</v>
      </c>
    </row>
    <row r="939" hidden="1">
      <c r="A939" s="99">
        <v>737.0</v>
      </c>
      <c r="B939" s="99" t="s">
        <v>241</v>
      </c>
      <c r="C939" s="99" t="s">
        <v>342</v>
      </c>
      <c r="D939" s="99" t="s">
        <v>4901</v>
      </c>
      <c r="E939" s="99" t="s">
        <v>373</v>
      </c>
      <c r="F939" s="99" t="s">
        <v>6194</v>
      </c>
      <c r="G939" s="99" t="s">
        <v>1185</v>
      </c>
      <c r="H939" s="99" t="s">
        <v>189</v>
      </c>
      <c r="I939" s="99" t="s">
        <v>1634</v>
      </c>
      <c r="J939" s="104"/>
      <c r="K939" s="66" t="str">
        <f>IFNA(VLOOKUP(D939,'EAN Codes'!A:C,2,False),"")</f>
        <v/>
      </c>
      <c r="L939" s="101"/>
      <c r="M939" s="119"/>
      <c r="N939" s="99"/>
      <c r="O939" s="99"/>
      <c r="P939" s="99"/>
      <c r="Q939" s="99"/>
      <c r="R939" s="99"/>
      <c r="S939" s="104"/>
      <c r="T939" s="99"/>
      <c r="U939" s="93" t="b">
        <v>1</v>
      </c>
      <c r="V939" s="99" t="s">
        <v>6203</v>
      </c>
      <c r="Z939" t="b">
        <v>0</v>
      </c>
    </row>
    <row r="940" hidden="1">
      <c r="A940" s="101"/>
      <c r="B940" s="99" t="s">
        <v>241</v>
      </c>
      <c r="C940" s="99" t="s">
        <v>1097</v>
      </c>
      <c r="D940" s="99">
        <v>748303.0</v>
      </c>
      <c r="E940" s="99" t="s">
        <v>1110</v>
      </c>
      <c r="F940" s="99" t="s">
        <v>6208</v>
      </c>
      <c r="G940" s="99" t="s">
        <v>751</v>
      </c>
      <c r="H940" s="99" t="s">
        <v>189</v>
      </c>
      <c r="J940" s="60"/>
      <c r="K940" s="66" t="str">
        <f>IFNA(VLOOKUP(D940,'EAN Codes'!A:C,2,False),"")</f>
        <v/>
      </c>
      <c r="L940" s="6"/>
      <c r="M940" s="119"/>
      <c r="N940" s="99"/>
      <c r="O940" s="99"/>
      <c r="P940" s="99"/>
      <c r="Q940" s="99"/>
      <c r="R940" s="99"/>
      <c r="S940" s="104"/>
      <c r="T940" s="99"/>
      <c r="U940" s="93" t="b">
        <v>1</v>
      </c>
      <c r="V940" s="99" t="s">
        <v>6214</v>
      </c>
      <c r="Z940" t="b">
        <v>0</v>
      </c>
    </row>
    <row r="941" hidden="1">
      <c r="A941" s="99">
        <v>342.0</v>
      </c>
      <c r="B941" s="6" t="s">
        <v>241</v>
      </c>
      <c r="C941" s="99" t="s">
        <v>342</v>
      </c>
      <c r="D941" s="99" t="s">
        <v>6218</v>
      </c>
      <c r="E941" s="99" t="s">
        <v>346</v>
      </c>
      <c r="F941" s="86" t="s">
        <v>6219</v>
      </c>
      <c r="G941" s="99" t="s">
        <v>1922</v>
      </c>
      <c r="H941" s="99" t="s">
        <v>189</v>
      </c>
      <c r="I941" s="99" t="s">
        <v>626</v>
      </c>
      <c r="J941" s="104"/>
      <c r="K941" s="66" t="str">
        <f>IFNA(VLOOKUP(D941,'EAN Codes'!A:C,2,False),"")</f>
        <v>5907615827150</v>
      </c>
      <c r="L941" s="35"/>
      <c r="M941" s="83"/>
      <c r="N941" s="6"/>
      <c r="O941" s="6"/>
      <c r="P941" s="6"/>
      <c r="Q941" s="6"/>
      <c r="R941" s="6"/>
      <c r="S941" s="84"/>
      <c r="T941" s="6"/>
      <c r="U941" s="93" t="b">
        <v>1</v>
      </c>
      <c r="V941" s="6" t="s">
        <v>6225</v>
      </c>
      <c r="Z941" t="b">
        <v>0</v>
      </c>
    </row>
    <row r="942" hidden="1">
      <c r="A942" s="99">
        <v>483.0</v>
      </c>
      <c r="B942" s="99" t="s">
        <v>241</v>
      </c>
      <c r="C942" s="99" t="s">
        <v>342</v>
      </c>
      <c r="D942" s="99" t="s">
        <v>6218</v>
      </c>
      <c r="E942" s="99" t="s">
        <v>346</v>
      </c>
      <c r="F942" s="99" t="s">
        <v>6219</v>
      </c>
      <c r="G942" s="101"/>
      <c r="H942" s="99" t="s">
        <v>189</v>
      </c>
      <c r="I942" s="99" t="s">
        <v>570</v>
      </c>
      <c r="J942" s="104"/>
      <c r="K942" s="66" t="str">
        <f>IFNA(VLOOKUP(D942,'EAN Codes'!A:C,2,False),"")</f>
        <v>5907615827150</v>
      </c>
      <c r="L942" s="99"/>
      <c r="M942" s="83"/>
      <c r="N942" s="6"/>
      <c r="O942" s="6"/>
      <c r="P942" s="6"/>
      <c r="Q942" s="6"/>
      <c r="R942" s="6"/>
      <c r="S942" s="84"/>
      <c r="T942" s="6"/>
      <c r="U942" s="93" t="b">
        <v>1</v>
      </c>
      <c r="V942" s="6" t="s">
        <v>6229</v>
      </c>
      <c r="Z942" t="b">
        <v>0</v>
      </c>
    </row>
    <row r="943" hidden="1">
      <c r="A943" s="99">
        <v>326.0</v>
      </c>
      <c r="B943" s="6" t="s">
        <v>241</v>
      </c>
      <c r="C943" s="99" t="s">
        <v>342</v>
      </c>
      <c r="D943" s="99" t="s">
        <v>6218</v>
      </c>
      <c r="E943" s="99" t="s">
        <v>346</v>
      </c>
      <c r="F943" s="99" t="s">
        <v>6219</v>
      </c>
      <c r="G943" s="101"/>
      <c r="H943" s="99" t="s">
        <v>189</v>
      </c>
      <c r="I943" s="99" t="s">
        <v>1328</v>
      </c>
      <c r="J943" s="104"/>
      <c r="K943" s="66" t="str">
        <f>IFNA(VLOOKUP(D943,'EAN Codes'!A:C,2,False),"")</f>
        <v>5907615827150</v>
      </c>
      <c r="L943" s="35"/>
      <c r="M943" s="83"/>
      <c r="N943" s="6"/>
      <c r="O943" s="6"/>
      <c r="P943" s="6"/>
      <c r="Q943" s="6"/>
      <c r="R943" s="6"/>
      <c r="S943" s="84"/>
      <c r="T943" s="6"/>
      <c r="U943" s="93" t="b">
        <v>1</v>
      </c>
      <c r="V943" s="6" t="s">
        <v>6234</v>
      </c>
      <c r="Z943" t="b">
        <v>0</v>
      </c>
    </row>
    <row r="944" hidden="1">
      <c r="A944" s="99">
        <v>188.0</v>
      </c>
      <c r="B944" s="99"/>
      <c r="C944" s="99" t="s">
        <v>342</v>
      </c>
      <c r="D944" s="99" t="s">
        <v>6218</v>
      </c>
      <c r="E944" s="99" t="s">
        <v>346</v>
      </c>
      <c r="F944" s="99" t="s">
        <v>6219</v>
      </c>
      <c r="G944" s="99" t="s">
        <v>1132</v>
      </c>
      <c r="H944" s="99" t="s">
        <v>189</v>
      </c>
      <c r="I944" s="99" t="s">
        <v>1328</v>
      </c>
      <c r="J944" s="104"/>
      <c r="K944" s="66" t="str">
        <f>IFNA(VLOOKUP(D944,'EAN Codes'!A:C,2,False),"")</f>
        <v>5907615827150</v>
      </c>
      <c r="L944" s="35"/>
      <c r="M944" s="67"/>
      <c r="S944" s="60"/>
      <c r="U944" s="93" t="b">
        <v>1</v>
      </c>
      <c r="Z944" t="b">
        <v>0</v>
      </c>
    </row>
    <row r="945" hidden="1">
      <c r="A945" s="99">
        <v>291.0</v>
      </c>
      <c r="B945" s="6" t="s">
        <v>241</v>
      </c>
      <c r="C945" s="99" t="s">
        <v>342</v>
      </c>
      <c r="D945" s="99" t="s">
        <v>6218</v>
      </c>
      <c r="E945" s="99" t="s">
        <v>346</v>
      </c>
      <c r="F945" s="99" t="s">
        <v>6219</v>
      </c>
      <c r="G945" s="99" t="s">
        <v>1922</v>
      </c>
      <c r="H945" s="99" t="s">
        <v>189</v>
      </c>
      <c r="I945" s="99" t="s">
        <v>458</v>
      </c>
      <c r="J945" s="104"/>
      <c r="K945" s="66" t="str">
        <f>IFNA(VLOOKUP(D945,'EAN Codes'!A:C,2,False),"")</f>
        <v>5907615827150</v>
      </c>
      <c r="L945" s="35"/>
      <c r="M945" s="67"/>
      <c r="S945" s="60"/>
      <c r="U945" s="93" t="b">
        <v>1</v>
      </c>
      <c r="Z945" t="b">
        <v>0</v>
      </c>
    </row>
    <row r="946" hidden="1">
      <c r="A946" s="99">
        <v>190.0</v>
      </c>
      <c r="B946" s="99"/>
      <c r="C946" s="99" t="s">
        <v>342</v>
      </c>
      <c r="D946" s="99" t="s">
        <v>6218</v>
      </c>
      <c r="E946" s="99" t="s">
        <v>346</v>
      </c>
      <c r="F946" s="99" t="s">
        <v>6219</v>
      </c>
      <c r="G946" s="99" t="s">
        <v>1132</v>
      </c>
      <c r="H946" s="99" t="s">
        <v>189</v>
      </c>
      <c r="I946" s="99" t="s">
        <v>626</v>
      </c>
      <c r="J946" s="104"/>
      <c r="K946" s="66" t="str">
        <f>IFNA(VLOOKUP(D946,'EAN Codes'!A:C,2,False),"")</f>
        <v>5907615827150</v>
      </c>
      <c r="L946" s="35"/>
      <c r="M946" s="119"/>
      <c r="N946" s="99"/>
      <c r="O946" s="99"/>
      <c r="P946" s="99"/>
      <c r="Q946" s="99"/>
      <c r="R946" s="99"/>
      <c r="S946" s="104"/>
      <c r="T946" s="99"/>
      <c r="U946" s="93" t="b">
        <v>1</v>
      </c>
      <c r="V946" s="99" t="s">
        <v>6260</v>
      </c>
      <c r="Z946" t="b">
        <v>0</v>
      </c>
    </row>
    <row r="947" hidden="1">
      <c r="A947" s="99">
        <v>245.0</v>
      </c>
      <c r="B947" s="99"/>
      <c r="C947" s="99" t="s">
        <v>1250</v>
      </c>
      <c r="D947" s="99" t="s">
        <v>6261</v>
      </c>
      <c r="E947" s="99" t="s">
        <v>409</v>
      </c>
      <c r="F947" s="99" t="s">
        <v>6219</v>
      </c>
      <c r="G947" s="99" t="s">
        <v>1922</v>
      </c>
      <c r="H947" s="99" t="s">
        <v>189</v>
      </c>
      <c r="I947" s="99" t="s">
        <v>626</v>
      </c>
      <c r="J947" s="104"/>
      <c r="K947" s="66" t="str">
        <f>IFNA(VLOOKUP(D947,'EAN Codes'!A:C,2,False),"")</f>
        <v/>
      </c>
      <c r="L947" s="35"/>
      <c r="M947" s="119"/>
      <c r="N947" s="99"/>
      <c r="O947" s="99"/>
      <c r="P947" s="99"/>
      <c r="Q947" s="99"/>
      <c r="R947" s="99"/>
      <c r="S947" s="104"/>
      <c r="T947" s="99"/>
      <c r="U947" s="93" t="b">
        <v>1</v>
      </c>
      <c r="V947" s="99" t="s">
        <v>6270</v>
      </c>
      <c r="Z947" t="b">
        <v>0</v>
      </c>
    </row>
    <row r="948" hidden="1">
      <c r="A948" s="99">
        <v>148.0</v>
      </c>
      <c r="B948" s="99"/>
      <c r="C948" s="99" t="s">
        <v>1217</v>
      </c>
      <c r="D948" s="99" t="s">
        <v>6271</v>
      </c>
      <c r="E948" s="99" t="s">
        <v>346</v>
      </c>
      <c r="F948" s="99" t="s">
        <v>6219</v>
      </c>
      <c r="G948" s="101"/>
      <c r="H948" s="99" t="s">
        <v>189</v>
      </c>
      <c r="I948" s="99" t="s">
        <v>530</v>
      </c>
      <c r="J948" s="104"/>
      <c r="K948" s="66" t="str">
        <f>IFNA(VLOOKUP(D948,'EAN Codes'!A:C,2,False),"")</f>
        <v>67110</v>
      </c>
      <c r="L948" s="35"/>
      <c r="M948" s="119"/>
      <c r="N948" s="99"/>
      <c r="O948" s="99"/>
      <c r="P948" s="99"/>
      <c r="Q948" s="99"/>
      <c r="R948" s="99"/>
      <c r="S948" s="104"/>
      <c r="T948" s="99"/>
      <c r="U948" s="93" t="b">
        <v>1</v>
      </c>
      <c r="V948" s="99" t="s">
        <v>6274</v>
      </c>
      <c r="Z948" t="b">
        <v>0</v>
      </c>
    </row>
    <row r="949" hidden="1">
      <c r="A949" s="86">
        <v>166.0</v>
      </c>
      <c r="B949" s="6" t="s">
        <v>241</v>
      </c>
      <c r="C949" s="86" t="s">
        <v>342</v>
      </c>
      <c r="D949" s="86" t="s">
        <v>6275</v>
      </c>
      <c r="E949" s="86" t="s">
        <v>409</v>
      </c>
      <c r="F949" s="86" t="s">
        <v>6219</v>
      </c>
      <c r="G949" s="86" t="s">
        <v>1132</v>
      </c>
      <c r="H949" s="99" t="s">
        <v>189</v>
      </c>
      <c r="I949" s="86" t="s">
        <v>1007</v>
      </c>
      <c r="J949" s="88"/>
      <c r="K949" s="66" t="str">
        <f>IFNA(VLOOKUP(D949,'EAN Codes'!A:C,2,False),"")</f>
        <v>5907615827167</v>
      </c>
      <c r="L949" s="160"/>
      <c r="M949" s="92"/>
      <c r="N949" s="86"/>
      <c r="O949" s="86"/>
      <c r="P949" s="86"/>
      <c r="Q949" s="86"/>
      <c r="R949" s="86"/>
      <c r="S949" s="88"/>
      <c r="T949" s="86"/>
      <c r="U949" s="93" t="b">
        <v>1</v>
      </c>
      <c r="V949" s="86" t="s">
        <v>6284</v>
      </c>
      <c r="Z949" t="b">
        <v>0</v>
      </c>
    </row>
    <row r="950" hidden="1">
      <c r="A950" s="99">
        <v>419.0</v>
      </c>
      <c r="B950" s="99" t="s">
        <v>241</v>
      </c>
      <c r="C950" s="99" t="s">
        <v>342</v>
      </c>
      <c r="D950" s="447" t="s">
        <v>6218</v>
      </c>
      <c r="E950" s="99" t="s">
        <v>346</v>
      </c>
      <c r="F950" s="99" t="s">
        <v>6219</v>
      </c>
      <c r="G950" s="99" t="s">
        <v>1132</v>
      </c>
      <c r="H950" s="99" t="s">
        <v>189</v>
      </c>
      <c r="I950" s="99" t="s">
        <v>819</v>
      </c>
      <c r="J950" s="104"/>
      <c r="K950" s="66" t="str">
        <f>IFNA(VLOOKUP(D950,'EAN Codes'!A:C,2,False),"")</f>
        <v>5907615827150</v>
      </c>
      <c r="L950" s="35"/>
      <c r="M950" s="83"/>
      <c r="N950" s="6"/>
      <c r="O950" s="6"/>
      <c r="P950" s="6"/>
      <c r="Q950" s="6"/>
      <c r="R950" s="6"/>
      <c r="S950" s="84"/>
      <c r="T950" s="6"/>
      <c r="U950" s="93" t="b">
        <v>1</v>
      </c>
      <c r="V950" s="6" t="s">
        <v>6300</v>
      </c>
      <c r="Z950" t="b">
        <v>0</v>
      </c>
    </row>
    <row r="951" hidden="1">
      <c r="A951" s="99">
        <v>556.0</v>
      </c>
      <c r="B951" s="99" t="s">
        <v>241</v>
      </c>
      <c r="C951" s="99" t="s">
        <v>408</v>
      </c>
      <c r="D951" s="99">
        <v>320063.0</v>
      </c>
      <c r="E951" s="99" t="s">
        <v>346</v>
      </c>
      <c r="F951" s="99" t="s">
        <v>6219</v>
      </c>
      <c r="G951" s="99" t="s">
        <v>4357</v>
      </c>
      <c r="H951" s="99" t="s">
        <v>189</v>
      </c>
      <c r="I951" s="99" t="s">
        <v>551</v>
      </c>
      <c r="J951" s="104"/>
      <c r="K951" s="66" t="str">
        <f>IFNA(VLOOKUP(D951,'EAN Codes'!A:C,2,False),"")</f>
        <v/>
      </c>
      <c r="L951" s="99"/>
      <c r="M951" s="119"/>
      <c r="N951" s="99"/>
      <c r="O951" s="99"/>
      <c r="P951" s="99"/>
      <c r="Q951" s="99"/>
      <c r="R951" s="99"/>
      <c r="S951" s="104"/>
      <c r="T951" s="99"/>
      <c r="U951" s="93" t="b">
        <v>1</v>
      </c>
      <c r="V951" s="99" t="s">
        <v>6314</v>
      </c>
      <c r="Z951" t="b">
        <v>0</v>
      </c>
    </row>
    <row r="952" hidden="1">
      <c r="A952" s="99">
        <v>564.0</v>
      </c>
      <c r="B952" s="99" t="s">
        <v>241</v>
      </c>
      <c r="C952" s="99" t="s">
        <v>408</v>
      </c>
      <c r="D952" s="99">
        <v>320115.0</v>
      </c>
      <c r="E952" s="99" t="s">
        <v>373</v>
      </c>
      <c r="F952" s="99" t="s">
        <v>6219</v>
      </c>
      <c r="G952" s="99" t="s">
        <v>1922</v>
      </c>
      <c r="H952" s="99" t="s">
        <v>189</v>
      </c>
      <c r="I952" s="99" t="s">
        <v>551</v>
      </c>
      <c r="J952" s="104"/>
      <c r="K952" s="66" t="str">
        <f>IFNA(VLOOKUP(D952,'EAN Codes'!A:C,2,False),"")</f>
        <v/>
      </c>
      <c r="L952" s="99"/>
      <c r="M952" s="119"/>
      <c r="N952" s="99"/>
      <c r="O952" s="99"/>
      <c r="P952" s="99"/>
      <c r="Q952" s="99"/>
      <c r="R952" s="99"/>
      <c r="S952" s="104"/>
      <c r="T952" s="99"/>
      <c r="U952" s="93" t="b">
        <v>1</v>
      </c>
      <c r="V952" s="99" t="s">
        <v>6329</v>
      </c>
      <c r="Z952" t="b">
        <v>0</v>
      </c>
    </row>
    <row r="953" hidden="1">
      <c r="A953" s="99">
        <v>558.0</v>
      </c>
      <c r="B953" s="99" t="s">
        <v>241</v>
      </c>
      <c r="C953" s="99" t="s">
        <v>408</v>
      </c>
      <c r="D953" s="99">
        <v>320063.0</v>
      </c>
      <c r="E953" s="99" t="s">
        <v>346</v>
      </c>
      <c r="F953" s="99" t="s">
        <v>6219</v>
      </c>
      <c r="G953" s="99" t="s">
        <v>4357</v>
      </c>
      <c r="H953" s="99" t="s">
        <v>189</v>
      </c>
      <c r="I953" s="99" t="s">
        <v>551</v>
      </c>
      <c r="J953" s="104"/>
      <c r="K953" s="66" t="str">
        <f>IFNA(VLOOKUP(D953,'EAN Codes'!A:C,2,False),"")</f>
        <v/>
      </c>
      <c r="L953" s="101"/>
      <c r="M953" s="67"/>
      <c r="S953" s="60"/>
      <c r="U953" s="93" t="b">
        <v>1</v>
      </c>
      <c r="Z953" t="b">
        <v>0</v>
      </c>
    </row>
    <row r="954" hidden="1">
      <c r="A954" s="99">
        <v>559.0</v>
      </c>
      <c r="B954" s="99" t="s">
        <v>241</v>
      </c>
      <c r="C954" s="99" t="s">
        <v>408</v>
      </c>
      <c r="D954" s="99">
        <v>320063.0</v>
      </c>
      <c r="E954" s="99" t="s">
        <v>346</v>
      </c>
      <c r="F954" s="99" t="s">
        <v>6219</v>
      </c>
      <c r="G954" s="99" t="s">
        <v>4357</v>
      </c>
      <c r="H954" s="99" t="s">
        <v>189</v>
      </c>
      <c r="I954" s="99" t="s">
        <v>551</v>
      </c>
      <c r="J954" s="104"/>
      <c r="K954" s="66" t="str">
        <f>IFNA(VLOOKUP(D954,'EAN Codes'!A:C,2,False),"")</f>
        <v/>
      </c>
      <c r="L954" s="101"/>
      <c r="M954" s="119"/>
      <c r="N954" s="99"/>
      <c r="O954" s="99"/>
      <c r="P954" s="99"/>
      <c r="Q954" s="99"/>
      <c r="R954" s="99"/>
      <c r="S954" s="104"/>
      <c r="T954" s="99"/>
      <c r="U954" s="93" t="b">
        <v>1</v>
      </c>
      <c r="V954" s="99" t="s">
        <v>6356</v>
      </c>
      <c r="Z954" t="b">
        <v>0</v>
      </c>
    </row>
    <row r="955" hidden="1">
      <c r="A955" s="86">
        <v>746.0</v>
      </c>
      <c r="B955" s="99" t="s">
        <v>241</v>
      </c>
      <c r="C955" s="99" t="s">
        <v>342</v>
      </c>
      <c r="D955" s="99" t="s">
        <v>6275</v>
      </c>
      <c r="E955" s="99" t="s">
        <v>373</v>
      </c>
      <c r="F955" s="99" t="s">
        <v>6219</v>
      </c>
      <c r="G955" s="99" t="s">
        <v>1132</v>
      </c>
      <c r="H955" s="99" t="s">
        <v>189</v>
      </c>
      <c r="I955" s="99" t="s">
        <v>570</v>
      </c>
      <c r="J955" s="104"/>
      <c r="K955" s="66" t="str">
        <f>IFNA(VLOOKUP(D955,'EAN Codes'!A:C,2,False),"")</f>
        <v>5907615827167</v>
      </c>
      <c r="L955" s="82"/>
      <c r="M955" s="119"/>
      <c r="N955" s="99"/>
      <c r="O955" s="99"/>
      <c r="P955" s="99"/>
      <c r="Q955" s="99"/>
      <c r="R955" s="99"/>
      <c r="S955" s="104"/>
      <c r="T955" s="99"/>
      <c r="U955" s="93" t="b">
        <v>1</v>
      </c>
      <c r="V955" s="99" t="s">
        <v>6373</v>
      </c>
      <c r="Z955" t="b">
        <v>0</v>
      </c>
    </row>
    <row r="956" hidden="1">
      <c r="A956" s="99">
        <v>350.0</v>
      </c>
      <c r="B956" s="99" t="s">
        <v>241</v>
      </c>
      <c r="C956" s="86" t="s">
        <v>342</v>
      </c>
      <c r="D956" s="448" t="s">
        <v>6218</v>
      </c>
      <c r="E956" s="86" t="s">
        <v>346</v>
      </c>
      <c r="F956" s="99" t="s">
        <v>6219</v>
      </c>
      <c r="G956" s="99" t="s">
        <v>1922</v>
      </c>
      <c r="H956" s="99" t="s">
        <v>189</v>
      </c>
      <c r="I956" s="99" t="s">
        <v>1328</v>
      </c>
      <c r="J956" s="104"/>
      <c r="K956" s="66" t="str">
        <f>IFNA(VLOOKUP(D956,'EAN Codes'!A:C,2,False),"")</f>
        <v>5907615827150</v>
      </c>
      <c r="L956" s="35" t="s">
        <v>269</v>
      </c>
      <c r="M956" s="145"/>
      <c r="N956" s="35"/>
      <c r="O956" s="35"/>
      <c r="P956" s="35"/>
      <c r="Q956" s="35"/>
      <c r="R956" s="35"/>
      <c r="S956" s="146"/>
      <c r="T956" s="35"/>
      <c r="U956" s="93" t="b">
        <v>1</v>
      </c>
      <c r="V956" s="35" t="s">
        <v>6391</v>
      </c>
      <c r="Z956" t="b">
        <v>0</v>
      </c>
    </row>
    <row r="957" hidden="1">
      <c r="A957" s="86">
        <v>742.0</v>
      </c>
      <c r="B957" s="99" t="s">
        <v>241</v>
      </c>
      <c r="C957" s="99" t="s">
        <v>342</v>
      </c>
      <c r="D957" s="99" t="s">
        <v>6218</v>
      </c>
      <c r="E957" s="99" t="s">
        <v>346</v>
      </c>
      <c r="F957" s="99" t="s">
        <v>6219</v>
      </c>
      <c r="G957" s="101"/>
      <c r="H957" s="99" t="s">
        <v>189</v>
      </c>
      <c r="I957" s="99" t="s">
        <v>1328</v>
      </c>
      <c r="J957" s="104"/>
      <c r="K957" s="66" t="str">
        <f>IFNA(VLOOKUP(D957,'EAN Codes'!A:C,2,False),"")</f>
        <v>5907615827150</v>
      </c>
      <c r="L957" s="82"/>
      <c r="M957" s="83"/>
      <c r="N957" s="6"/>
      <c r="O957" s="6"/>
      <c r="P957" s="6"/>
      <c r="Q957" s="6"/>
      <c r="R957" s="6"/>
      <c r="S957" s="84"/>
      <c r="T957" s="6"/>
      <c r="U957" s="93" t="b">
        <v>1</v>
      </c>
      <c r="V957" s="6" t="s">
        <v>6406</v>
      </c>
      <c r="Z957" t="b">
        <v>0</v>
      </c>
    </row>
    <row r="958" hidden="1">
      <c r="A958" s="99">
        <v>640.0</v>
      </c>
      <c r="B958" s="86" t="s">
        <v>241</v>
      </c>
      <c r="C958" s="99" t="s">
        <v>1250</v>
      </c>
      <c r="D958" s="99">
        <v>44021.0</v>
      </c>
      <c r="E958" s="99" t="s">
        <v>409</v>
      </c>
      <c r="F958" s="99" t="s">
        <v>6219</v>
      </c>
      <c r="G958" s="101"/>
      <c r="H958" s="99" t="s">
        <v>189</v>
      </c>
      <c r="I958" s="99" t="s">
        <v>585</v>
      </c>
      <c r="J958" s="104"/>
      <c r="K958" s="66" t="str">
        <f>IFNA(VLOOKUP(D958,'EAN Codes'!A:C,2,False),"")</f>
        <v/>
      </c>
      <c r="L958" s="35" t="s">
        <v>269</v>
      </c>
      <c r="M958" s="83"/>
      <c r="N958" s="6"/>
      <c r="O958" s="6"/>
      <c r="P958" s="6"/>
      <c r="Q958" s="6"/>
      <c r="R958" s="6"/>
      <c r="S958" s="84"/>
      <c r="T958" s="6"/>
      <c r="U958" s="93" t="b">
        <v>1</v>
      </c>
      <c r="V958" s="6" t="s">
        <v>6422</v>
      </c>
      <c r="Z958" t="b">
        <v>0</v>
      </c>
    </row>
    <row r="959" hidden="1">
      <c r="A959" s="449">
        <v>835.0</v>
      </c>
      <c r="B959" s="217" t="s">
        <v>241</v>
      </c>
      <c r="C959" s="217" t="s">
        <v>342</v>
      </c>
      <c r="D959" s="217" t="s">
        <v>6218</v>
      </c>
      <c r="E959" s="217" t="s">
        <v>346</v>
      </c>
      <c r="F959" s="217" t="s">
        <v>6219</v>
      </c>
      <c r="G959" s="99" t="s">
        <v>1922</v>
      </c>
      <c r="H959" s="217" t="s">
        <v>189</v>
      </c>
      <c r="I959" s="120" t="s">
        <v>819</v>
      </c>
      <c r="J959" s="223"/>
      <c r="K959" s="66" t="str">
        <f>IFNA(VLOOKUP(D959,'EAN Codes'!A:C,2,False),"")</f>
        <v>5907615827150</v>
      </c>
      <c r="L959" s="405"/>
      <c r="M959" s="450"/>
      <c r="N959" s="366"/>
      <c r="O959" s="366"/>
      <c r="P959" s="366"/>
      <c r="Q959" s="366"/>
      <c r="R959" s="366"/>
      <c r="S959" s="451"/>
      <c r="T959" s="366"/>
      <c r="U959" s="93" t="b">
        <v>1</v>
      </c>
      <c r="V959" s="366"/>
      <c r="W959" s="405"/>
      <c r="X959" s="405"/>
      <c r="Y959" s="405"/>
      <c r="Z959" t="b">
        <v>0</v>
      </c>
    </row>
    <row r="960" hidden="1">
      <c r="A960" s="99">
        <v>574.0</v>
      </c>
      <c r="B960" s="99" t="s">
        <v>241</v>
      </c>
      <c r="C960" s="99" t="s">
        <v>408</v>
      </c>
      <c r="D960" s="99">
        <v>320115.0</v>
      </c>
      <c r="E960" s="99" t="s">
        <v>373</v>
      </c>
      <c r="F960" s="99" t="s">
        <v>6219</v>
      </c>
      <c r="G960" s="99" t="s">
        <v>1922</v>
      </c>
      <c r="H960" s="99" t="s">
        <v>189</v>
      </c>
      <c r="I960" s="99" t="s">
        <v>551</v>
      </c>
      <c r="J960" s="104"/>
      <c r="K960" s="66" t="str">
        <f>IFNA(VLOOKUP(D960,'EAN Codes'!A:C,2,False),"")</f>
        <v/>
      </c>
      <c r="L960" s="35" t="s">
        <v>269</v>
      </c>
      <c r="M960" s="67"/>
      <c r="S960" s="60"/>
      <c r="U960" s="93" t="b">
        <v>1</v>
      </c>
      <c r="Y960" s="6" t="s">
        <v>452</v>
      </c>
      <c r="Z960" t="b">
        <v>0</v>
      </c>
    </row>
    <row r="961" hidden="1">
      <c r="A961" s="99">
        <v>6.0</v>
      </c>
      <c r="B961" s="86"/>
      <c r="C961" s="86" t="s">
        <v>408</v>
      </c>
      <c r="D961" s="86">
        <v>3.20063600001E11</v>
      </c>
      <c r="E961" s="86" t="s">
        <v>346</v>
      </c>
      <c r="F961" s="86" t="s">
        <v>6466</v>
      </c>
      <c r="G961" s="282" t="s">
        <v>1132</v>
      </c>
      <c r="H961" s="99" t="s">
        <v>512</v>
      </c>
      <c r="I961" s="86" t="s">
        <v>1634</v>
      </c>
      <c r="J961" s="88"/>
      <c r="K961" s="66" t="str">
        <f>IFNA(VLOOKUP(D961,'EAN Codes'!A:C,2,False),"")</f>
        <v/>
      </c>
      <c r="L961" s="160"/>
      <c r="M961" s="92"/>
      <c r="N961" s="86"/>
      <c r="O961" s="86"/>
      <c r="P961" s="86"/>
      <c r="Q961" s="86"/>
      <c r="R961" s="86"/>
      <c r="S961" s="88"/>
      <c r="T961" s="86"/>
      <c r="U961" s="93" t="b">
        <v>1</v>
      </c>
      <c r="V961" s="86"/>
      <c r="W961" s="106"/>
      <c r="X961" s="106"/>
      <c r="Z961" t="b">
        <v>0</v>
      </c>
    </row>
    <row r="962" hidden="1">
      <c r="A962" s="452"/>
      <c r="B962" s="166" t="s">
        <v>241</v>
      </c>
      <c r="C962" s="166" t="s">
        <v>342</v>
      </c>
      <c r="D962" s="166" t="s">
        <v>6218</v>
      </c>
      <c r="E962" s="166" t="s">
        <v>346</v>
      </c>
      <c r="F962" s="166" t="s">
        <v>6279</v>
      </c>
      <c r="G962" s="166" t="s">
        <v>1922</v>
      </c>
      <c r="H962" s="166" t="s">
        <v>189</v>
      </c>
      <c r="I962" s="166" t="s">
        <v>626</v>
      </c>
      <c r="J962" s="453"/>
      <c r="K962" s="66" t="str">
        <f>IFNA(VLOOKUP(D962,'EAN Codes'!A:C,2,False),"")</f>
        <v>5907615827150</v>
      </c>
      <c r="L962" s="91"/>
      <c r="M962" s="92"/>
      <c r="N962" s="86"/>
      <c r="O962" s="86"/>
      <c r="P962" s="86"/>
      <c r="Q962" s="86"/>
      <c r="R962" s="86"/>
      <c r="S962" s="88"/>
      <c r="T962" s="86"/>
      <c r="U962" s="93" t="b">
        <v>1</v>
      </c>
      <c r="V962" s="86" t="s">
        <v>6502</v>
      </c>
      <c r="X962" s="6" t="s">
        <v>4774</v>
      </c>
      <c r="Z962" t="b">
        <v>0</v>
      </c>
    </row>
    <row r="963" hidden="1">
      <c r="A963" s="99">
        <v>733.0</v>
      </c>
      <c r="B963" s="99" t="s">
        <v>2320</v>
      </c>
      <c r="C963" s="99" t="s">
        <v>342</v>
      </c>
      <c r="D963" s="99" t="s">
        <v>6218</v>
      </c>
      <c r="E963" s="99" t="s">
        <v>346</v>
      </c>
      <c r="F963" s="99" t="s">
        <v>6279</v>
      </c>
      <c r="G963" s="101"/>
      <c r="H963" s="99" t="s">
        <v>189</v>
      </c>
      <c r="I963" s="99" t="s">
        <v>585</v>
      </c>
      <c r="J963" s="104"/>
      <c r="K963" s="66" t="str">
        <f>IFNA(VLOOKUP(D963,'EAN Codes'!A:C,2,False),"")</f>
        <v>5907615827150</v>
      </c>
      <c r="L963" s="101"/>
      <c r="M963" s="454"/>
      <c r="N963" s="344"/>
      <c r="O963" s="344"/>
      <c r="P963" s="344"/>
      <c r="Q963" s="344"/>
      <c r="R963" s="344"/>
      <c r="S963" s="455"/>
      <c r="T963" s="344"/>
      <c r="U963" s="93" t="b">
        <v>1</v>
      </c>
      <c r="V963" s="344" t="s">
        <v>6524</v>
      </c>
      <c r="Z963" t="b">
        <v>0</v>
      </c>
    </row>
    <row r="964" hidden="1">
      <c r="A964" s="99">
        <v>807.0</v>
      </c>
      <c r="B964" s="99" t="s">
        <v>241</v>
      </c>
      <c r="C964" s="99" t="s">
        <v>342</v>
      </c>
      <c r="D964" s="99" t="s">
        <v>6218</v>
      </c>
      <c r="E964" s="99" t="s">
        <v>346</v>
      </c>
      <c r="F964" s="99" t="s">
        <v>6279</v>
      </c>
      <c r="G964" s="99" t="s">
        <v>1922</v>
      </c>
      <c r="H964" s="99" t="s">
        <v>189</v>
      </c>
      <c r="I964" s="99" t="s">
        <v>680</v>
      </c>
      <c r="J964" s="104"/>
      <c r="K964" s="66" t="str">
        <f>IFNA(VLOOKUP(D964,'EAN Codes'!A:C,2,False),"")</f>
        <v>5907615827150</v>
      </c>
      <c r="L964" s="82"/>
      <c r="M964" s="67"/>
      <c r="S964" s="60"/>
      <c r="U964" s="93" t="b">
        <v>1</v>
      </c>
      <c r="Z964" t="b">
        <v>0</v>
      </c>
    </row>
    <row r="965" hidden="1">
      <c r="A965" s="99">
        <v>783.0</v>
      </c>
      <c r="B965" s="99" t="s">
        <v>241</v>
      </c>
      <c r="C965" s="99" t="s">
        <v>342</v>
      </c>
      <c r="D965" s="99" t="s">
        <v>6218</v>
      </c>
      <c r="E965" s="99" t="s">
        <v>346</v>
      </c>
      <c r="F965" s="99" t="s">
        <v>6279</v>
      </c>
      <c r="G965" s="101"/>
      <c r="H965" s="99" t="s">
        <v>189</v>
      </c>
      <c r="I965" s="99" t="s">
        <v>819</v>
      </c>
      <c r="J965" s="104"/>
      <c r="K965" s="66" t="str">
        <f>IFNA(VLOOKUP(D965,'EAN Codes'!A:C,2,False),"")</f>
        <v>5907615827150</v>
      </c>
      <c r="L965" s="35"/>
      <c r="M965" s="83"/>
      <c r="N965" s="6"/>
      <c r="O965" s="6"/>
      <c r="P965" s="6"/>
      <c r="Q965" s="6"/>
      <c r="R965" s="6"/>
      <c r="S965" s="84"/>
      <c r="T965" s="6"/>
      <c r="U965" s="93" t="b">
        <v>1</v>
      </c>
      <c r="V965" s="6" t="s">
        <v>6548</v>
      </c>
      <c r="Z965" t="b">
        <v>0</v>
      </c>
    </row>
    <row r="966" hidden="1">
      <c r="A966" s="99">
        <v>877.0</v>
      </c>
      <c r="B966" s="99" t="s">
        <v>241</v>
      </c>
      <c r="C966" s="99" t="s">
        <v>1813</v>
      </c>
      <c r="D966" s="99" t="s">
        <v>6551</v>
      </c>
      <c r="E966" s="99" t="s">
        <v>346</v>
      </c>
      <c r="F966" s="99" t="s">
        <v>6279</v>
      </c>
      <c r="G966" s="99" t="s">
        <v>1922</v>
      </c>
      <c r="H966" s="99" t="s">
        <v>189</v>
      </c>
      <c r="I966" s="99" t="s">
        <v>1863</v>
      </c>
      <c r="J966" s="104"/>
      <c r="K966" s="66" t="str">
        <f>IFNA(VLOOKUP(D966,'EAN Codes'!A:C,2,False),"")</f>
        <v/>
      </c>
      <c r="L966" s="101"/>
      <c r="M966" s="119"/>
      <c r="N966" s="99"/>
      <c r="O966" s="99"/>
      <c r="P966" s="99"/>
      <c r="Q966" s="99"/>
      <c r="R966" s="99"/>
      <c r="S966" s="104"/>
      <c r="T966" s="99"/>
      <c r="U966" s="93" t="b">
        <v>1</v>
      </c>
      <c r="V966" s="99" t="s">
        <v>6562</v>
      </c>
      <c r="Z966" t="b">
        <v>0</v>
      </c>
    </row>
    <row r="967" hidden="1">
      <c r="A967" s="99">
        <v>915.0</v>
      </c>
      <c r="B967" s="99" t="s">
        <v>241</v>
      </c>
      <c r="C967" s="99" t="s">
        <v>342</v>
      </c>
      <c r="D967" s="99" t="s">
        <v>6218</v>
      </c>
      <c r="E967" s="99" t="s">
        <v>346</v>
      </c>
      <c r="F967" s="99" t="s">
        <v>6279</v>
      </c>
      <c r="G967" s="99" t="s">
        <v>1922</v>
      </c>
      <c r="H967" s="99" t="s">
        <v>189</v>
      </c>
      <c r="I967" s="99" t="s">
        <v>626</v>
      </c>
      <c r="J967" s="104"/>
      <c r="K967" s="66" t="str">
        <f>IFNA(VLOOKUP(D967,'EAN Codes'!A:C,2,False),"")</f>
        <v>5907615827150</v>
      </c>
      <c r="L967" s="101"/>
      <c r="M967" s="119"/>
      <c r="N967" s="99"/>
      <c r="O967" s="99"/>
      <c r="P967" s="99"/>
      <c r="Q967" s="99"/>
      <c r="R967" s="99"/>
      <c r="S967" s="104"/>
      <c r="T967" s="99"/>
      <c r="U967" s="93" t="b">
        <v>1</v>
      </c>
      <c r="V967" s="99" t="s">
        <v>6579</v>
      </c>
      <c r="Z967" t="b">
        <v>0</v>
      </c>
    </row>
    <row r="968" hidden="1">
      <c r="A968" s="99">
        <v>932.0</v>
      </c>
      <c r="B968" s="99" t="s">
        <v>241</v>
      </c>
      <c r="C968" s="99" t="s">
        <v>1813</v>
      </c>
      <c r="D968" s="99" t="s">
        <v>6551</v>
      </c>
      <c r="E968" s="99" t="s">
        <v>346</v>
      </c>
      <c r="F968" s="99" t="s">
        <v>6279</v>
      </c>
      <c r="G968" s="99" t="s">
        <v>1922</v>
      </c>
      <c r="H968" s="99" t="s">
        <v>189</v>
      </c>
      <c r="I968" s="99" t="s">
        <v>626</v>
      </c>
      <c r="J968" s="104"/>
      <c r="K968" s="66" t="str">
        <f>IFNA(VLOOKUP(D968,'EAN Codes'!A:C,2,False),"")</f>
        <v/>
      </c>
      <c r="L968" s="101"/>
      <c r="M968" s="456"/>
      <c r="N968" s="457"/>
      <c r="O968" s="457"/>
      <c r="P968" s="457"/>
      <c r="Q968" s="457"/>
      <c r="R968" s="457"/>
      <c r="S968" s="458"/>
      <c r="T968" s="457"/>
      <c r="U968" s="93" t="b">
        <v>1</v>
      </c>
      <c r="V968" s="457" t="s">
        <v>6601</v>
      </c>
      <c r="W968" s="459"/>
      <c r="Z968" t="b">
        <v>0</v>
      </c>
    </row>
    <row r="969" hidden="1">
      <c r="B969" s="99" t="s">
        <v>241</v>
      </c>
      <c r="C969" s="99" t="s">
        <v>342</v>
      </c>
      <c r="D969" s="99" t="s">
        <v>6218</v>
      </c>
      <c r="E969" s="99" t="s">
        <v>346</v>
      </c>
      <c r="F969" s="99" t="s">
        <v>6279</v>
      </c>
      <c r="G969" s="101"/>
      <c r="H969" s="99" t="s">
        <v>189</v>
      </c>
      <c r="I969" s="99" t="s">
        <v>2253</v>
      </c>
      <c r="J969" s="104"/>
      <c r="K969" s="66" t="str">
        <f>IFNA(VLOOKUP(D969,'EAN Codes'!A:C,2,False),"")</f>
        <v>5907615827150</v>
      </c>
      <c r="L969" s="101"/>
      <c r="M969" s="119"/>
      <c r="N969" s="99"/>
      <c r="O969" s="99"/>
      <c r="P969" s="99"/>
      <c r="Q969" s="99"/>
      <c r="R969" s="99"/>
      <c r="S969" s="104"/>
      <c r="T969" s="99"/>
      <c r="U969" s="93" t="b">
        <v>1</v>
      </c>
      <c r="V969" s="99" t="s">
        <v>6622</v>
      </c>
      <c r="Z969" t="b">
        <v>0</v>
      </c>
    </row>
    <row r="970" hidden="1">
      <c r="A970" s="91"/>
      <c r="B970" s="86" t="s">
        <v>241</v>
      </c>
      <c r="C970" s="86" t="s">
        <v>342</v>
      </c>
      <c r="D970" s="87" t="s">
        <v>6626</v>
      </c>
      <c r="E970" s="86" t="s">
        <v>409</v>
      </c>
      <c r="F970" s="86" t="s">
        <v>2115</v>
      </c>
      <c r="G970" s="91"/>
      <c r="H970" s="86" t="s">
        <v>6628</v>
      </c>
      <c r="I970" s="91"/>
      <c r="J970" s="97"/>
      <c r="K970" s="90" t="str">
        <f>IFNA(VLOOKUP(D970,'EAN Codes'!A:C,2,False),"")</f>
        <v>5907615801389</v>
      </c>
      <c r="L970" s="91"/>
      <c r="M970" s="92"/>
      <c r="N970" s="86"/>
      <c r="O970" s="86"/>
      <c r="P970" s="86"/>
      <c r="Q970" s="86"/>
      <c r="R970" s="86"/>
      <c r="S970" s="88"/>
      <c r="T970" s="86"/>
      <c r="U970" s="93" t="b">
        <v>1</v>
      </c>
      <c r="V970" s="86" t="s">
        <v>6637</v>
      </c>
      <c r="Z970" t="b">
        <v>0</v>
      </c>
    </row>
    <row r="971" hidden="1">
      <c r="A971" s="99">
        <v>189.0</v>
      </c>
      <c r="B971" s="99" t="s">
        <v>241</v>
      </c>
      <c r="C971" s="99" t="s">
        <v>342</v>
      </c>
      <c r="D971" s="99" t="s">
        <v>6640</v>
      </c>
      <c r="E971" s="99" t="s">
        <v>346</v>
      </c>
      <c r="F971" s="99" t="s">
        <v>6641</v>
      </c>
      <c r="G971" s="99" t="s">
        <v>1028</v>
      </c>
      <c r="H971" s="99" t="s">
        <v>189</v>
      </c>
      <c r="I971" s="99" t="s">
        <v>626</v>
      </c>
      <c r="J971" s="104"/>
      <c r="K971" s="66" t="str">
        <f>IFNA(VLOOKUP(D971,'EAN Codes'!A:C,2,False),"")</f>
        <v>5907615827211</v>
      </c>
      <c r="L971" s="99"/>
      <c r="M971" s="119"/>
      <c r="N971" s="99"/>
      <c r="O971" s="99"/>
      <c r="P971" s="99"/>
      <c r="Q971" s="99"/>
      <c r="R971" s="99"/>
      <c r="S971" s="104"/>
      <c r="T971" s="99"/>
      <c r="U971" s="93" t="b">
        <v>1</v>
      </c>
      <c r="V971" s="99" t="s">
        <v>6655</v>
      </c>
      <c r="Z971" t="b">
        <v>0</v>
      </c>
    </row>
    <row r="972" hidden="1">
      <c r="A972" s="99">
        <v>98.0</v>
      </c>
      <c r="B972" s="99" t="s">
        <v>241</v>
      </c>
      <c r="C972" s="99" t="s">
        <v>408</v>
      </c>
      <c r="D972" s="99">
        <v>320073.0</v>
      </c>
      <c r="E972" s="99" t="s">
        <v>346</v>
      </c>
      <c r="F972" s="99" t="s">
        <v>6641</v>
      </c>
      <c r="G972" s="99" t="s">
        <v>1028</v>
      </c>
      <c r="H972" s="99" t="s">
        <v>189</v>
      </c>
      <c r="I972" s="99" t="s">
        <v>530</v>
      </c>
      <c r="J972" s="104"/>
      <c r="K972" s="66" t="str">
        <f>IFNA(VLOOKUP(D972,'EAN Codes'!A:C,2,False),"")</f>
        <v/>
      </c>
      <c r="L972" s="99"/>
      <c r="M972" s="108"/>
      <c r="N972" s="101"/>
      <c r="O972" s="101"/>
      <c r="P972" s="101"/>
      <c r="Q972" s="101"/>
      <c r="R972" s="101"/>
      <c r="S972" s="110"/>
      <c r="T972" s="101"/>
      <c r="U972" s="93" t="b">
        <v>1</v>
      </c>
      <c r="V972" s="101"/>
      <c r="Z972" t="b">
        <v>0</v>
      </c>
    </row>
    <row r="973" hidden="1">
      <c r="A973" s="99">
        <v>937.0</v>
      </c>
      <c r="B973" s="99" t="s">
        <v>241</v>
      </c>
      <c r="C973" s="99" t="s">
        <v>1813</v>
      </c>
      <c r="D973" s="99" t="s">
        <v>6667</v>
      </c>
      <c r="E973" s="99" t="s">
        <v>346</v>
      </c>
      <c r="F973" s="99" t="s">
        <v>6278</v>
      </c>
      <c r="G973" s="99" t="s">
        <v>1028</v>
      </c>
      <c r="H973" s="99" t="s">
        <v>189</v>
      </c>
      <c r="I973" s="99" t="s">
        <v>680</v>
      </c>
      <c r="J973" s="104"/>
      <c r="K973" s="66" t="str">
        <f>IFNA(VLOOKUP(D973,'EAN Codes'!A:C,2,False),"")</f>
        <v/>
      </c>
      <c r="L973" s="82"/>
      <c r="M973" s="83"/>
      <c r="N973" s="6"/>
      <c r="O973" s="6"/>
      <c r="P973" s="6"/>
      <c r="Q973" s="6"/>
      <c r="R973" s="6"/>
      <c r="S973" s="84"/>
      <c r="T973" s="6"/>
      <c r="U973" s="93" t="b">
        <v>1</v>
      </c>
      <c r="V973" s="6" t="s">
        <v>6679</v>
      </c>
      <c r="Z973" t="b">
        <v>0</v>
      </c>
    </row>
    <row r="974" hidden="1">
      <c r="A974" s="99">
        <v>963.0</v>
      </c>
      <c r="B974" s="99" t="s">
        <v>241</v>
      </c>
      <c r="C974" s="99" t="s">
        <v>1813</v>
      </c>
      <c r="D974" s="99" t="s">
        <v>6667</v>
      </c>
      <c r="E974" s="99" t="s">
        <v>346</v>
      </c>
      <c r="F974" s="99" t="s">
        <v>6278</v>
      </c>
      <c r="G974" s="99" t="s">
        <v>1028</v>
      </c>
      <c r="H974" s="99" t="s">
        <v>189</v>
      </c>
      <c r="I974" s="99" t="s">
        <v>458</v>
      </c>
      <c r="J974" s="104"/>
      <c r="K974" s="66" t="str">
        <f>IFNA(VLOOKUP(D974,'EAN Codes'!A:C,2,False),"")</f>
        <v/>
      </c>
      <c r="L974" s="101"/>
      <c r="M974" s="280"/>
      <c r="N974" s="13"/>
      <c r="O974" s="13"/>
      <c r="P974" s="13"/>
      <c r="Q974" s="13"/>
      <c r="R974" s="13"/>
      <c r="S974" s="460"/>
      <c r="T974" s="13"/>
      <c r="U974" s="93" t="b">
        <v>1</v>
      </c>
      <c r="V974" s="13" t="s">
        <v>6695</v>
      </c>
      <c r="Z974" t="b">
        <v>0</v>
      </c>
    </row>
    <row r="975" hidden="1">
      <c r="A975" s="99">
        <v>844.0</v>
      </c>
      <c r="B975" s="99" t="s">
        <v>241</v>
      </c>
      <c r="C975" s="217" t="s">
        <v>342</v>
      </c>
      <c r="D975" s="99" t="s">
        <v>6640</v>
      </c>
      <c r="E975" s="217" t="s">
        <v>346</v>
      </c>
      <c r="F975" s="99" t="s">
        <v>6278</v>
      </c>
      <c r="G975" s="99" t="s">
        <v>1028</v>
      </c>
      <c r="H975" s="99" t="s">
        <v>189</v>
      </c>
      <c r="I975" s="99" t="s">
        <v>458</v>
      </c>
      <c r="J975" s="104"/>
      <c r="K975" s="66" t="str">
        <f>IFNA(VLOOKUP(D975,'EAN Codes'!A:C,2,False),"")</f>
        <v>5907615827211</v>
      </c>
      <c r="L975" s="101"/>
      <c r="M975" s="119"/>
      <c r="N975" s="99"/>
      <c r="O975" s="99"/>
      <c r="P975" s="99"/>
      <c r="Q975" s="99"/>
      <c r="R975" s="99"/>
      <c r="S975" s="104"/>
      <c r="T975" s="99"/>
      <c r="U975" s="93" t="b">
        <v>1</v>
      </c>
      <c r="V975" s="99" t="s">
        <v>6710</v>
      </c>
      <c r="Z975" t="b">
        <v>0</v>
      </c>
    </row>
    <row r="976" hidden="1">
      <c r="A976" s="99">
        <v>822.0</v>
      </c>
      <c r="B976" s="99" t="s">
        <v>241</v>
      </c>
      <c r="C976" s="99" t="s">
        <v>342</v>
      </c>
      <c r="D976" s="99" t="s">
        <v>6640</v>
      </c>
      <c r="E976" s="99" t="s">
        <v>346</v>
      </c>
      <c r="F976" s="99" t="s">
        <v>6278</v>
      </c>
      <c r="G976" s="99" t="s">
        <v>1028</v>
      </c>
      <c r="H976" s="99" t="s">
        <v>189</v>
      </c>
      <c r="I976" s="99" t="s">
        <v>819</v>
      </c>
      <c r="J976" s="104"/>
      <c r="K976" s="66" t="str">
        <f>IFNA(VLOOKUP(D976,'EAN Codes'!A:C,2,False),"")</f>
        <v>5907615827211</v>
      </c>
      <c r="L976" s="82"/>
      <c r="M976" s="83"/>
      <c r="N976" s="6"/>
      <c r="O976" s="6"/>
      <c r="P976" s="6"/>
      <c r="Q976" s="6"/>
      <c r="R976" s="6"/>
      <c r="S976" s="84"/>
      <c r="T976" s="6"/>
      <c r="U976" s="93" t="b">
        <v>1</v>
      </c>
      <c r="V976" s="6" t="s">
        <v>6728</v>
      </c>
      <c r="Z976" t="b">
        <v>0</v>
      </c>
    </row>
    <row r="977" hidden="1">
      <c r="A977" s="99">
        <v>908.0</v>
      </c>
      <c r="B977" s="99" t="s">
        <v>241</v>
      </c>
      <c r="C977" s="99" t="s">
        <v>1813</v>
      </c>
      <c r="D977" s="99" t="s">
        <v>6667</v>
      </c>
      <c r="E977" s="99" t="s">
        <v>346</v>
      </c>
      <c r="F977" s="99" t="s">
        <v>6278</v>
      </c>
      <c r="G977" s="99" t="s">
        <v>1028</v>
      </c>
      <c r="H977" s="99" t="s">
        <v>189</v>
      </c>
      <c r="I977" s="99" t="s">
        <v>680</v>
      </c>
      <c r="J977" s="104"/>
      <c r="K977" s="66" t="str">
        <f>IFNA(VLOOKUP(D977,'EAN Codes'!A:C,2,False),"")</f>
        <v/>
      </c>
      <c r="L977" s="101"/>
      <c r="M977" s="119"/>
      <c r="N977" s="99"/>
      <c r="O977" s="99"/>
      <c r="P977" s="99"/>
      <c r="Q977" s="99"/>
      <c r="R977" s="99"/>
      <c r="S977" s="104"/>
      <c r="T977" s="99"/>
      <c r="U977" s="93" t="b">
        <v>1</v>
      </c>
      <c r="V977" s="99" t="s">
        <v>6743</v>
      </c>
      <c r="Z977" t="b">
        <v>0</v>
      </c>
    </row>
    <row r="978" hidden="1">
      <c r="A978" s="86">
        <v>234.0</v>
      </c>
      <c r="B978" s="99" t="s">
        <v>241</v>
      </c>
      <c r="C978" s="86" t="s">
        <v>342</v>
      </c>
      <c r="D978" s="86" t="s">
        <v>6747</v>
      </c>
      <c r="E978" s="86" t="s">
        <v>409</v>
      </c>
      <c r="F978" s="86" t="s">
        <v>6748</v>
      </c>
      <c r="G978" s="86" t="s">
        <v>751</v>
      </c>
      <c r="H978" s="86" t="s">
        <v>189</v>
      </c>
      <c r="I978" s="86" t="s">
        <v>530</v>
      </c>
      <c r="J978" s="88"/>
      <c r="K978" s="66" t="str">
        <f>IFNA(VLOOKUP(D978,'EAN Codes'!A:C,2,False),"")</f>
        <v>5907615827297</v>
      </c>
      <c r="L978" s="160"/>
      <c r="M978" s="159"/>
      <c r="N978" s="160"/>
      <c r="O978" s="160"/>
      <c r="P978" s="160"/>
      <c r="Q978" s="160"/>
      <c r="R978" s="160"/>
      <c r="S978" s="161"/>
      <c r="T978" s="160"/>
      <c r="U978" s="93" t="b">
        <v>1</v>
      </c>
      <c r="V978" s="160" t="s">
        <v>6764</v>
      </c>
      <c r="Z978" t="b">
        <v>0</v>
      </c>
    </row>
    <row r="979" hidden="1">
      <c r="A979" s="99">
        <v>145.0</v>
      </c>
      <c r="B979" s="99"/>
      <c r="C979" s="99" t="s">
        <v>342</v>
      </c>
      <c r="D979" s="99" t="s">
        <v>6768</v>
      </c>
      <c r="E979" s="99" t="s">
        <v>346</v>
      </c>
      <c r="F979" s="99" t="s">
        <v>6748</v>
      </c>
      <c r="G979" s="99" t="s">
        <v>6770</v>
      </c>
      <c r="H979" s="99" t="s">
        <v>1726</v>
      </c>
      <c r="I979" s="99" t="s">
        <v>1007</v>
      </c>
      <c r="J979" s="104"/>
      <c r="K979" s="66" t="str">
        <f>IFNA(VLOOKUP(D979,'EAN Codes'!A:C,2,False),"")</f>
        <v>5907615827112</v>
      </c>
      <c r="L979" s="35"/>
      <c r="M979" s="119"/>
      <c r="N979" s="99"/>
      <c r="O979" s="99"/>
      <c r="P979" s="99"/>
      <c r="Q979" s="99"/>
      <c r="R979" s="99"/>
      <c r="S979" s="104"/>
      <c r="T979" s="99"/>
      <c r="U979" s="93" t="b">
        <v>1</v>
      </c>
      <c r="V979" s="99" t="s">
        <v>6783</v>
      </c>
      <c r="X979" s="82"/>
      <c r="Y979" s="82"/>
      <c r="Z979" t="b">
        <v>0</v>
      </c>
    </row>
    <row r="980" hidden="1">
      <c r="A980" s="99"/>
      <c r="B980" s="99"/>
      <c r="C980" s="99" t="s">
        <v>408</v>
      </c>
      <c r="D980" s="99" t="s">
        <v>6787</v>
      </c>
      <c r="E980" s="99" t="s">
        <v>346</v>
      </c>
      <c r="F980" s="99" t="s">
        <v>6748</v>
      </c>
      <c r="G980" s="99" t="s">
        <v>4261</v>
      </c>
      <c r="H980" s="99" t="s">
        <v>512</v>
      </c>
      <c r="I980" s="99" t="s">
        <v>1007</v>
      </c>
      <c r="J980" s="104"/>
      <c r="K980" s="66" t="str">
        <f>IFNA(VLOOKUP(D980,'EAN Codes'!A:C,2,False),"")</f>
        <v/>
      </c>
      <c r="L980" s="35"/>
      <c r="M980" s="67"/>
      <c r="S980" s="60"/>
      <c r="U980" s="93" t="b">
        <v>1</v>
      </c>
      <c r="Z980" t="b">
        <v>0</v>
      </c>
    </row>
    <row r="981" hidden="1">
      <c r="A981" s="99">
        <v>17.0</v>
      </c>
      <c r="B981" s="99" t="s">
        <v>241</v>
      </c>
      <c r="C981" s="99" t="s">
        <v>731</v>
      </c>
      <c r="D981" s="99" t="s">
        <v>6807</v>
      </c>
      <c r="E981" s="99" t="s">
        <v>1110</v>
      </c>
      <c r="F981" s="99" t="s">
        <v>6748</v>
      </c>
      <c r="G981" s="99" t="s">
        <v>6810</v>
      </c>
      <c r="H981" s="99" t="s">
        <v>189</v>
      </c>
      <c r="I981" s="101"/>
      <c r="J981" s="110"/>
      <c r="K981" s="66" t="str">
        <f>IFNA(VLOOKUP(D981,'EAN Codes'!A:C,2,False),"")</f>
        <v/>
      </c>
      <c r="L981" s="6"/>
      <c r="M981" s="67"/>
      <c r="S981" s="60"/>
      <c r="U981" s="93" t="b">
        <v>1</v>
      </c>
      <c r="Z981" t="b">
        <v>0</v>
      </c>
    </row>
    <row r="982" hidden="1">
      <c r="A982" s="99">
        <v>766.0</v>
      </c>
      <c r="B982" s="99" t="s">
        <v>493</v>
      </c>
      <c r="C982" s="99" t="s">
        <v>494</v>
      </c>
      <c r="D982" s="99" t="s">
        <v>1156</v>
      </c>
      <c r="E982" s="101"/>
      <c r="F982" s="99" t="s">
        <v>6827</v>
      </c>
      <c r="G982" s="101"/>
      <c r="H982" s="99" t="s">
        <v>189</v>
      </c>
      <c r="I982" s="99" t="s">
        <v>498</v>
      </c>
      <c r="J982" s="104"/>
      <c r="K982" s="66" t="str">
        <f>IFNA(VLOOKUP(D982,'EAN Codes'!A:C,2,False),"")</f>
        <v/>
      </c>
      <c r="L982" s="82"/>
      <c r="M982" s="67"/>
      <c r="S982" s="60"/>
      <c r="U982" s="93" t="b">
        <v>1</v>
      </c>
      <c r="Z982" t="b">
        <v>0</v>
      </c>
    </row>
    <row r="983" hidden="1">
      <c r="A983" s="106">
        <v>1011.0</v>
      </c>
      <c r="B983" s="6" t="s">
        <v>241</v>
      </c>
      <c r="C983" s="106" t="s">
        <v>6840</v>
      </c>
      <c r="D983" s="273" t="s">
        <v>4901</v>
      </c>
      <c r="E983" s="106" t="s">
        <v>409</v>
      </c>
      <c r="F983" s="106" t="s">
        <v>6843</v>
      </c>
      <c r="G983" s="106" t="s">
        <v>1185</v>
      </c>
      <c r="H983" s="6" t="s">
        <v>189</v>
      </c>
      <c r="I983" s="106" t="s">
        <v>680</v>
      </c>
      <c r="J983" s="274"/>
      <c r="K983" s="275" t="str">
        <f>IFNA(VLOOKUP(D983,'EAN Codes'!A:C,2,False),"")</f>
        <v/>
      </c>
      <c r="L983" s="261"/>
      <c r="M983" s="276"/>
      <c r="N983" s="106"/>
      <c r="O983" s="106"/>
      <c r="P983" s="106"/>
      <c r="Q983" s="106"/>
      <c r="R983" s="106"/>
      <c r="S983" s="274"/>
      <c r="T983" s="106"/>
      <c r="U983" s="93" t="b">
        <v>1</v>
      </c>
      <c r="V983" s="106" t="s">
        <v>6856</v>
      </c>
      <c r="W983" s="115"/>
      <c r="X983" s="106" t="s">
        <v>6858</v>
      </c>
      <c r="Y983" s="115"/>
      <c r="Z983" s="115" t="b">
        <v>0</v>
      </c>
      <c r="AA983" s="115"/>
      <c r="AB983" s="115"/>
      <c r="AC983" s="115"/>
      <c r="AD983" s="115"/>
      <c r="AE983" s="115"/>
    </row>
    <row r="984" hidden="1">
      <c r="A984" s="99">
        <v>44.0</v>
      </c>
      <c r="B984" s="86"/>
      <c r="C984" s="86" t="s">
        <v>1966</v>
      </c>
      <c r="D984" s="99" t="s">
        <v>6865</v>
      </c>
      <c r="E984" s="99" t="s">
        <v>2639</v>
      </c>
      <c r="F984" s="99" t="s">
        <v>6867</v>
      </c>
      <c r="G984" s="99" t="s">
        <v>6869</v>
      </c>
      <c r="H984" s="99" t="s">
        <v>512</v>
      </c>
      <c r="I984" s="99" t="s">
        <v>1971</v>
      </c>
      <c r="J984" s="104"/>
      <c r="K984" s="66" t="str">
        <f>IFNA(VLOOKUP(D984,'EAN Codes'!A:C,2,False),"")</f>
        <v/>
      </c>
      <c r="L984" s="35"/>
      <c r="M984" s="67"/>
      <c r="S984" s="60"/>
      <c r="U984" s="93" t="b">
        <v>1</v>
      </c>
      <c r="Z984" t="b">
        <v>0</v>
      </c>
    </row>
    <row r="985" hidden="1">
      <c r="A985" s="101"/>
      <c r="B985" s="99" t="s">
        <v>241</v>
      </c>
      <c r="C985" s="99" t="s">
        <v>342</v>
      </c>
      <c r="D985" s="99" t="s">
        <v>6884</v>
      </c>
      <c r="E985" s="99" t="s">
        <v>346</v>
      </c>
      <c r="F985" s="99" t="s">
        <v>6886</v>
      </c>
      <c r="G985" s="99">
        <v>2016.0</v>
      </c>
      <c r="H985" s="99" t="s">
        <v>6888</v>
      </c>
      <c r="I985" s="101"/>
      <c r="J985" s="110"/>
      <c r="K985" s="66" t="str">
        <f>IFNA(VLOOKUP(D985,'EAN Codes'!A:C,2,False),"")</f>
        <v>5907615825798</v>
      </c>
      <c r="L985" s="99"/>
      <c r="M985" s="119"/>
      <c r="N985" s="99"/>
      <c r="O985" s="99"/>
      <c r="P985" s="99"/>
      <c r="Q985" s="99"/>
      <c r="R985" s="99"/>
      <c r="S985" s="104"/>
      <c r="T985" s="99"/>
      <c r="U985" s="93" t="b">
        <v>1</v>
      </c>
      <c r="V985" s="99" t="s">
        <v>6900</v>
      </c>
      <c r="W985" s="35" t="s">
        <v>6902</v>
      </c>
      <c r="X985" s="101"/>
      <c r="Y985" s="101"/>
      <c r="Z985" t="b">
        <v>0</v>
      </c>
    </row>
    <row r="986" hidden="1">
      <c r="A986" s="99">
        <v>432.0</v>
      </c>
      <c r="B986" s="99" t="s">
        <v>241</v>
      </c>
      <c r="C986" s="99" t="s">
        <v>342</v>
      </c>
      <c r="D986" s="99" t="s">
        <v>6884</v>
      </c>
      <c r="E986" s="99" t="s">
        <v>346</v>
      </c>
      <c r="F986" s="99" t="s">
        <v>6886</v>
      </c>
      <c r="G986" s="99" t="s">
        <v>2090</v>
      </c>
      <c r="H986" s="99" t="s">
        <v>189</v>
      </c>
      <c r="I986" s="99" t="s">
        <v>1328</v>
      </c>
      <c r="J986" s="104"/>
      <c r="K986" s="66" t="str">
        <f>IFNA(VLOOKUP(D986,'EAN Codes'!A:C,2,False),"")</f>
        <v>5907615825798</v>
      </c>
      <c r="L986" s="99" t="s">
        <v>269</v>
      </c>
      <c r="M986" s="119"/>
      <c r="N986" s="99"/>
      <c r="O986" s="99"/>
      <c r="P986" s="99"/>
      <c r="Q986" s="99"/>
      <c r="R986" s="99"/>
      <c r="S986" s="104"/>
      <c r="T986" s="99"/>
      <c r="U986" s="93" t="b">
        <v>1</v>
      </c>
      <c r="V986" s="99" t="s">
        <v>6922</v>
      </c>
      <c r="Z986" t="b">
        <v>0</v>
      </c>
    </row>
    <row r="987" hidden="1">
      <c r="A987" s="86">
        <v>750.0</v>
      </c>
      <c r="B987" s="99" t="s">
        <v>241</v>
      </c>
      <c r="C987" s="99" t="s">
        <v>342</v>
      </c>
      <c r="D987" s="99" t="s">
        <v>6884</v>
      </c>
      <c r="E987" s="99" t="s">
        <v>346</v>
      </c>
      <c r="F987" s="99" t="s">
        <v>6886</v>
      </c>
      <c r="G987" s="99" t="s">
        <v>2090</v>
      </c>
      <c r="H987" s="99" t="s">
        <v>189</v>
      </c>
      <c r="I987" s="99" t="s">
        <v>626</v>
      </c>
      <c r="J987" s="104"/>
      <c r="K987" s="66" t="str">
        <f>IFNA(VLOOKUP(D987,'EAN Codes'!A:C,2,False),"")</f>
        <v>5907615825798</v>
      </c>
      <c r="L987" s="82"/>
      <c r="M987" s="83"/>
      <c r="N987" s="6"/>
      <c r="O987" s="6"/>
      <c r="P987" s="6"/>
      <c r="Q987" s="6"/>
      <c r="R987" s="6"/>
      <c r="S987" s="84"/>
      <c r="T987" s="6"/>
      <c r="U987" s="93" t="b">
        <v>1</v>
      </c>
      <c r="V987" s="6" t="s">
        <v>6928</v>
      </c>
      <c r="Z987" t="b">
        <v>0</v>
      </c>
    </row>
    <row r="988" hidden="1">
      <c r="A988" s="99">
        <v>47.0</v>
      </c>
      <c r="B988" s="86"/>
      <c r="C988" s="86" t="s">
        <v>1966</v>
      </c>
      <c r="D988" s="99" t="s">
        <v>6930</v>
      </c>
      <c r="E988" s="99" t="s">
        <v>2639</v>
      </c>
      <c r="F988" s="99" t="s">
        <v>6932</v>
      </c>
      <c r="G988" s="99" t="s">
        <v>2090</v>
      </c>
      <c r="H988" s="99" t="s">
        <v>3559</v>
      </c>
      <c r="J988" s="60"/>
      <c r="K988" s="66" t="str">
        <f>IFNA(VLOOKUP(D988,'EAN Codes'!A:C,2,False),"")</f>
        <v/>
      </c>
      <c r="L988" s="82"/>
      <c r="M988" s="67"/>
      <c r="S988" s="60"/>
      <c r="U988" s="93" t="b">
        <v>1</v>
      </c>
      <c r="X988" s="82"/>
      <c r="Y988" s="82"/>
      <c r="Z988" t="b">
        <v>0</v>
      </c>
    </row>
    <row r="989" hidden="1">
      <c r="A989" s="99">
        <v>392.0</v>
      </c>
      <c r="B989" s="99" t="s">
        <v>241</v>
      </c>
      <c r="C989" s="122" t="s">
        <v>858</v>
      </c>
      <c r="D989" s="217" t="s">
        <v>6937</v>
      </c>
      <c r="E989" s="122" t="s">
        <v>454</v>
      </c>
      <c r="F989" s="122" t="s">
        <v>6938</v>
      </c>
      <c r="G989" s="99" t="s">
        <v>2090</v>
      </c>
      <c r="H989" s="99" t="s">
        <v>189</v>
      </c>
      <c r="I989" s="99" t="s">
        <v>1863</v>
      </c>
      <c r="J989" s="104"/>
      <c r="K989" s="66" t="str">
        <f>IFNA(VLOOKUP(D989,'EAN Codes'!A:C,2,False),"")</f>
        <v/>
      </c>
      <c r="L989" s="152" t="s">
        <v>269</v>
      </c>
      <c r="M989" s="83"/>
      <c r="N989" s="6"/>
      <c r="O989" s="6"/>
      <c r="P989" s="6"/>
      <c r="Q989" s="6"/>
      <c r="R989" s="6"/>
      <c r="S989" s="84"/>
      <c r="T989" s="6"/>
      <c r="U989" s="93" t="b">
        <v>1</v>
      </c>
      <c r="V989" s="6" t="s">
        <v>6945</v>
      </c>
      <c r="Y989" s="6" t="s">
        <v>452</v>
      </c>
      <c r="Z989" t="b">
        <v>0</v>
      </c>
    </row>
    <row r="990" hidden="1">
      <c r="A990" s="35">
        <v>46.0</v>
      </c>
      <c r="B990" s="6" t="s">
        <v>241</v>
      </c>
      <c r="C990" s="35" t="s">
        <v>1217</v>
      </c>
      <c r="D990" s="35" t="s">
        <v>186</v>
      </c>
      <c r="E990" s="35" t="s">
        <v>2639</v>
      </c>
      <c r="F990" s="35" t="s">
        <v>6948</v>
      </c>
      <c r="G990" s="35" t="s">
        <v>4694</v>
      </c>
      <c r="H990" s="6" t="s">
        <v>189</v>
      </c>
      <c r="I990" s="35" t="s">
        <v>1328</v>
      </c>
      <c r="J990" s="146"/>
      <c r="K990" s="66" t="str">
        <f>IFNA(VLOOKUP(D990,'EAN Codes'!A:C,2,False),"")</f>
        <v/>
      </c>
      <c r="L990" s="35" t="s">
        <v>92</v>
      </c>
      <c r="M990" s="119"/>
      <c r="N990" s="99"/>
      <c r="O990" s="99"/>
      <c r="P990" s="99"/>
      <c r="Q990" s="99"/>
      <c r="R990" s="99"/>
      <c r="S990" s="104"/>
      <c r="T990" s="99"/>
      <c r="U990" s="93" t="b">
        <v>1</v>
      </c>
      <c r="V990" s="99" t="s">
        <v>6954</v>
      </c>
      <c r="W990" s="82"/>
      <c r="X990" s="115"/>
      <c r="Z990" t="b">
        <v>0</v>
      </c>
    </row>
    <row r="991" hidden="1">
      <c r="A991" s="99">
        <v>857.0</v>
      </c>
      <c r="B991" s="99" t="s">
        <v>241</v>
      </c>
      <c r="C991" s="99" t="s">
        <v>1813</v>
      </c>
      <c r="D991" s="99" t="s">
        <v>6955</v>
      </c>
      <c r="E991" s="99" t="s">
        <v>346</v>
      </c>
      <c r="F991" s="99" t="s">
        <v>6956</v>
      </c>
      <c r="G991" s="99" t="s">
        <v>6958</v>
      </c>
      <c r="H991" s="99" t="s">
        <v>189</v>
      </c>
      <c r="I991" s="99" t="s">
        <v>626</v>
      </c>
      <c r="J991" s="104"/>
      <c r="K991" s="66" t="str">
        <f>IFNA(VLOOKUP(D991,'EAN Codes'!A:C,2,False),"")</f>
        <v/>
      </c>
      <c r="L991" s="101"/>
      <c r="M991" s="83"/>
      <c r="N991" s="6"/>
      <c r="O991" s="6"/>
      <c r="P991" s="6"/>
      <c r="Q991" s="6"/>
      <c r="R991" s="6"/>
      <c r="S991" s="84"/>
      <c r="T991" s="6"/>
      <c r="U991" s="93" t="b">
        <v>1</v>
      </c>
      <c r="V991" s="6" t="s">
        <v>6962</v>
      </c>
      <c r="Z991" t="b">
        <v>0</v>
      </c>
    </row>
    <row r="992" hidden="1">
      <c r="A992" s="99">
        <v>704.0</v>
      </c>
      <c r="B992" s="99" t="s">
        <v>241</v>
      </c>
      <c r="C992" s="99" t="s">
        <v>1250</v>
      </c>
      <c r="D992" s="99" t="s">
        <v>6963</v>
      </c>
      <c r="E992" s="99" t="s">
        <v>346</v>
      </c>
      <c r="F992" s="99" t="s">
        <v>6964</v>
      </c>
      <c r="G992" s="99" t="s">
        <v>2090</v>
      </c>
      <c r="H992" s="99" t="s">
        <v>189</v>
      </c>
      <c r="I992" s="99" t="s">
        <v>819</v>
      </c>
      <c r="J992" s="104"/>
      <c r="K992" s="66" t="str">
        <f>IFNA(VLOOKUP(D992,'EAN Codes'!A:C,2,False),"")</f>
        <v>8054521995613</v>
      </c>
      <c r="L992" s="99" t="s">
        <v>269</v>
      </c>
      <c r="M992" s="119"/>
      <c r="N992" s="99"/>
      <c r="O992" s="99"/>
      <c r="P992" s="99"/>
      <c r="Q992" s="99"/>
      <c r="R992" s="99"/>
      <c r="S992" s="104"/>
      <c r="T992" s="99"/>
      <c r="U992" s="93" t="b">
        <v>1</v>
      </c>
      <c r="V992" s="99" t="s">
        <v>6968</v>
      </c>
      <c r="Z992" t="b">
        <v>0</v>
      </c>
    </row>
    <row r="993" hidden="1">
      <c r="A993" s="99">
        <v>151.0</v>
      </c>
      <c r="B993" s="99"/>
      <c r="C993" s="99" t="s">
        <v>342</v>
      </c>
      <c r="D993" s="99" t="s">
        <v>6969</v>
      </c>
      <c r="E993" s="99" t="s">
        <v>346</v>
      </c>
      <c r="F993" s="99" t="s">
        <v>6970</v>
      </c>
      <c r="G993" s="99" t="s">
        <v>987</v>
      </c>
      <c r="H993" s="101"/>
      <c r="I993" s="99" t="s">
        <v>458</v>
      </c>
      <c r="J993" s="104"/>
      <c r="K993" s="66" t="str">
        <f>IFNA(VLOOKUP(D993,'EAN Codes'!A:C,2,False),"")</f>
        <v>5907615825835</v>
      </c>
      <c r="L993" s="35"/>
      <c r="M993" s="67"/>
      <c r="S993" s="60"/>
      <c r="U993" s="93" t="b">
        <v>1</v>
      </c>
      <c r="Z993" t="b">
        <v>0</v>
      </c>
    </row>
    <row r="994" hidden="1">
      <c r="A994" s="99">
        <v>198.0</v>
      </c>
      <c r="B994" s="99"/>
      <c r="C994" s="99" t="s">
        <v>408</v>
      </c>
      <c r="D994" s="99">
        <v>321662.0</v>
      </c>
      <c r="E994" s="99" t="s">
        <v>346</v>
      </c>
      <c r="F994" s="99" t="s">
        <v>6973</v>
      </c>
      <c r="G994" s="99"/>
      <c r="H994" s="99" t="s">
        <v>189</v>
      </c>
      <c r="I994" s="99" t="s">
        <v>680</v>
      </c>
      <c r="J994" s="104"/>
      <c r="K994" s="66" t="str">
        <f>IFNA(VLOOKUP(D994,'EAN Codes'!A:C,2,False),"")</f>
        <v/>
      </c>
      <c r="L994" s="35"/>
      <c r="M994" s="67"/>
      <c r="S994" s="60"/>
      <c r="U994" s="93" t="b">
        <v>1</v>
      </c>
      <c r="Z994" t="b">
        <v>0</v>
      </c>
    </row>
    <row r="995" hidden="1">
      <c r="A995" s="91"/>
      <c r="B995" s="86"/>
      <c r="C995" s="86" t="s">
        <v>408</v>
      </c>
      <c r="D995" s="86">
        <v>321865.0</v>
      </c>
      <c r="E995" s="86" t="s">
        <v>346</v>
      </c>
      <c r="F995" s="86" t="s">
        <v>6976</v>
      </c>
      <c r="G995" s="91"/>
      <c r="H995" s="86" t="s">
        <v>6977</v>
      </c>
      <c r="I995" s="91"/>
      <c r="J995" s="97"/>
      <c r="K995" s="66" t="str">
        <f>IFNA(VLOOKUP(D995,'EAN Codes'!A:C,2,False),"")</f>
        <v/>
      </c>
      <c r="L995" s="86"/>
      <c r="M995" s="92"/>
      <c r="N995" s="86"/>
      <c r="O995" s="86"/>
      <c r="P995" s="86"/>
      <c r="Q995" s="86"/>
      <c r="R995" s="86"/>
      <c r="S995" s="88"/>
      <c r="T995" s="86"/>
      <c r="U995" s="93" t="b">
        <v>1</v>
      </c>
      <c r="V995" s="86" t="s">
        <v>6979</v>
      </c>
      <c r="Z995" t="b">
        <v>0</v>
      </c>
    </row>
    <row r="996" hidden="1">
      <c r="A996" s="99">
        <v>335.0</v>
      </c>
      <c r="B996" s="99" t="s">
        <v>241</v>
      </c>
      <c r="C996" s="99" t="s">
        <v>342</v>
      </c>
      <c r="D996" s="99" t="s">
        <v>6980</v>
      </c>
      <c r="E996" s="99" t="s">
        <v>409</v>
      </c>
      <c r="F996" s="99" t="s">
        <v>6981</v>
      </c>
      <c r="G996" s="99" t="s">
        <v>751</v>
      </c>
      <c r="H996" s="99" t="s">
        <v>189</v>
      </c>
      <c r="I996" s="99" t="s">
        <v>585</v>
      </c>
      <c r="J996" s="104"/>
      <c r="K996" s="66" t="str">
        <f>IFNA(VLOOKUP(D996,'EAN Codes'!A:C,2,False),"")</f>
        <v>5907615826184</v>
      </c>
      <c r="L996" s="99"/>
      <c r="M996" s="119"/>
      <c r="N996" s="99"/>
      <c r="O996" s="99"/>
      <c r="P996" s="99"/>
      <c r="Q996" s="99"/>
      <c r="R996" s="99"/>
      <c r="S996" s="104"/>
      <c r="T996" s="99"/>
      <c r="U996" s="93" t="b">
        <v>1</v>
      </c>
      <c r="V996" s="99" t="s">
        <v>6985</v>
      </c>
      <c r="Z996" t="b">
        <v>0</v>
      </c>
    </row>
    <row r="997" hidden="1">
      <c r="A997" s="99">
        <v>862.0</v>
      </c>
      <c r="B997" s="99" t="s">
        <v>241</v>
      </c>
      <c r="C997" s="99" t="s">
        <v>760</v>
      </c>
      <c r="D997" s="99" t="s">
        <v>6987</v>
      </c>
      <c r="E997" s="99" t="s">
        <v>346</v>
      </c>
      <c r="F997" s="99" t="s">
        <v>6989</v>
      </c>
      <c r="G997" s="99" t="s">
        <v>4385</v>
      </c>
      <c r="H997" s="99" t="s">
        <v>189</v>
      </c>
      <c r="I997" s="99" t="s">
        <v>458</v>
      </c>
      <c r="J997" s="104"/>
      <c r="K997" s="66" t="str">
        <f>IFNA(VLOOKUP(D997,'EAN Codes'!A:C,2,False),"")</f>
        <v>5060128539528</v>
      </c>
      <c r="L997" s="101"/>
      <c r="M997" s="119"/>
      <c r="N997" s="99"/>
      <c r="O997" s="99"/>
      <c r="P997" s="99"/>
      <c r="Q997" s="99"/>
      <c r="R997" s="99"/>
      <c r="S997" s="104"/>
      <c r="T997" s="99"/>
      <c r="U997" s="93" t="b">
        <v>1</v>
      </c>
      <c r="V997" s="99" t="s">
        <v>6994</v>
      </c>
      <c r="Z997" t="b">
        <v>0</v>
      </c>
    </row>
    <row r="998" hidden="1">
      <c r="A998" s="86">
        <v>301.0</v>
      </c>
      <c r="B998" s="6" t="s">
        <v>241</v>
      </c>
      <c r="C998" s="86" t="s">
        <v>408</v>
      </c>
      <c r="D998" s="86">
        <v>3.21885600001E11</v>
      </c>
      <c r="E998" s="86" t="s">
        <v>373</v>
      </c>
      <c r="F998" s="86" t="s">
        <v>6997</v>
      </c>
      <c r="G998" s="86" t="s">
        <v>6998</v>
      </c>
      <c r="H998" s="86" t="s">
        <v>189</v>
      </c>
      <c r="I998" s="86" t="s">
        <v>585</v>
      </c>
      <c r="J998" s="88"/>
      <c r="K998" s="66" t="str">
        <f>IFNA(VLOOKUP(D998,'EAN Codes'!A:C,2,False),"")</f>
        <v/>
      </c>
      <c r="L998" s="35"/>
      <c r="M998" s="83"/>
      <c r="N998" s="6"/>
      <c r="O998" s="6"/>
      <c r="P998" s="6"/>
      <c r="Q998" s="6"/>
      <c r="R998" s="6"/>
      <c r="S998" s="84"/>
      <c r="T998" s="6"/>
      <c r="U998" s="93" t="b">
        <v>1</v>
      </c>
      <c r="V998" s="6" t="s">
        <v>7004</v>
      </c>
      <c r="X998" s="6"/>
      <c r="Z998" t="b">
        <v>0</v>
      </c>
    </row>
    <row r="999" hidden="1">
      <c r="A999" s="99">
        <v>332.0</v>
      </c>
      <c r="B999" s="99" t="s">
        <v>241</v>
      </c>
      <c r="C999" s="99" t="s">
        <v>408</v>
      </c>
      <c r="D999" s="99">
        <v>3.21885600001E11</v>
      </c>
      <c r="E999" s="86" t="s">
        <v>409</v>
      </c>
      <c r="F999" s="99" t="s">
        <v>6997</v>
      </c>
      <c r="G999" s="99" t="s">
        <v>6998</v>
      </c>
      <c r="H999" s="99" t="s">
        <v>189</v>
      </c>
      <c r="I999" s="99" t="s">
        <v>1634</v>
      </c>
      <c r="J999" s="104"/>
      <c r="K999" s="66" t="str">
        <f>IFNA(VLOOKUP(D999,'EAN Codes'!A:C,2,False),"")</f>
        <v/>
      </c>
      <c r="L999" s="99"/>
      <c r="M999" s="83"/>
      <c r="N999" s="6"/>
      <c r="O999" s="6"/>
      <c r="P999" s="6"/>
      <c r="Q999" s="6"/>
      <c r="R999" s="6"/>
      <c r="S999" s="84"/>
      <c r="T999" s="6"/>
      <c r="U999" s="93" t="b">
        <v>1</v>
      </c>
      <c r="V999" s="6" t="s">
        <v>7013</v>
      </c>
      <c r="Z999" t="b">
        <v>0</v>
      </c>
    </row>
    <row r="1000" hidden="1">
      <c r="A1000" s="99">
        <v>876.0</v>
      </c>
      <c r="B1000" s="99" t="s">
        <v>241</v>
      </c>
      <c r="C1000" s="99" t="s">
        <v>408</v>
      </c>
      <c r="D1000" s="99">
        <v>3.21781600001E11</v>
      </c>
      <c r="E1000" s="99" t="s">
        <v>346</v>
      </c>
      <c r="F1000" s="99" t="s">
        <v>7015</v>
      </c>
      <c r="G1000" s="99" t="s">
        <v>1155</v>
      </c>
      <c r="H1000" s="99" t="s">
        <v>189</v>
      </c>
      <c r="I1000" s="99" t="s">
        <v>680</v>
      </c>
      <c r="J1000" s="104"/>
      <c r="K1000" s="66" t="str">
        <f>IFNA(VLOOKUP(D1000,'EAN Codes'!A:C,2,False),"")</f>
        <v/>
      </c>
      <c r="L1000" s="82"/>
      <c r="M1000" s="67"/>
      <c r="S1000" s="60"/>
      <c r="U1000" s="93" t="b">
        <v>1</v>
      </c>
      <c r="Z1000" t="b">
        <v>0</v>
      </c>
    </row>
    <row r="1001" hidden="1">
      <c r="A1001" s="86">
        <v>303.0</v>
      </c>
      <c r="B1001" s="99" t="s">
        <v>241</v>
      </c>
      <c r="C1001" s="86" t="s">
        <v>408</v>
      </c>
      <c r="D1001" s="86">
        <v>321782.0</v>
      </c>
      <c r="E1001" s="86" t="s">
        <v>409</v>
      </c>
      <c r="F1001" s="86" t="s">
        <v>7015</v>
      </c>
      <c r="G1001" s="86" t="s">
        <v>1155</v>
      </c>
      <c r="H1001" s="86" t="s">
        <v>7021</v>
      </c>
      <c r="I1001" s="91"/>
      <c r="J1001" s="97"/>
      <c r="K1001" s="66" t="str">
        <f>IFNA(VLOOKUP(D1001,'EAN Codes'!A:C,2,False),"")</f>
        <v/>
      </c>
      <c r="L1001" s="86"/>
      <c r="M1001" s="92"/>
      <c r="N1001" s="86"/>
      <c r="O1001" s="86"/>
      <c r="P1001" s="86"/>
      <c r="Q1001" s="86"/>
      <c r="R1001" s="86"/>
      <c r="S1001" s="88"/>
      <c r="T1001" s="86"/>
      <c r="U1001" s="93" t="b">
        <v>1</v>
      </c>
      <c r="V1001" s="86" t="s">
        <v>7024</v>
      </c>
      <c r="W1001" s="115"/>
      <c r="X1001" s="115"/>
      <c r="Z1001" t="b">
        <v>0</v>
      </c>
    </row>
    <row r="1002" hidden="1">
      <c r="A1002" s="99">
        <v>888.0</v>
      </c>
      <c r="B1002" s="99" t="s">
        <v>241</v>
      </c>
      <c r="C1002" s="99" t="s">
        <v>342</v>
      </c>
      <c r="D1002" s="99" t="s">
        <v>4847</v>
      </c>
      <c r="E1002" s="99" t="s">
        <v>346</v>
      </c>
      <c r="F1002" s="99" t="s">
        <v>7028</v>
      </c>
      <c r="G1002" s="99" t="s">
        <v>7029</v>
      </c>
      <c r="H1002" s="99" t="s">
        <v>189</v>
      </c>
      <c r="I1002" s="99" t="s">
        <v>418</v>
      </c>
      <c r="J1002" s="104"/>
      <c r="K1002" s="66" t="str">
        <f>IFNA(VLOOKUP(D1002,'EAN Codes'!A:C,2,False),"")</f>
        <v>5907615826092</v>
      </c>
      <c r="L1002" s="82"/>
      <c r="M1002" s="67"/>
      <c r="S1002" s="60"/>
      <c r="U1002" s="93" t="b">
        <v>1</v>
      </c>
      <c r="Z1002" t="b">
        <v>0</v>
      </c>
    </row>
    <row r="1003" hidden="1">
      <c r="A1003" s="86">
        <v>793.0</v>
      </c>
      <c r="B1003" s="86" t="s">
        <v>241</v>
      </c>
      <c r="C1003" s="86" t="s">
        <v>342</v>
      </c>
      <c r="D1003" s="461" t="s">
        <v>7036</v>
      </c>
      <c r="E1003" s="86" t="s">
        <v>346</v>
      </c>
      <c r="F1003" s="86" t="s">
        <v>7037</v>
      </c>
      <c r="G1003" s="86" t="s">
        <v>2256</v>
      </c>
      <c r="H1003" s="86" t="s">
        <v>189</v>
      </c>
      <c r="I1003" s="86" t="s">
        <v>418</v>
      </c>
      <c r="J1003" s="88"/>
      <c r="K1003" s="66" t="str">
        <f>IFNA(VLOOKUP(D1003,'EAN Codes'!A:C,2,False),"")</f>
        <v>5907615826238</v>
      </c>
      <c r="L1003" s="91"/>
      <c r="M1003" s="92"/>
      <c r="N1003" s="86"/>
      <c r="O1003" s="86"/>
      <c r="P1003" s="86"/>
      <c r="Q1003" s="86"/>
      <c r="R1003" s="86"/>
      <c r="S1003" s="88"/>
      <c r="T1003" s="86"/>
      <c r="U1003" s="93" t="b">
        <v>1</v>
      </c>
      <c r="V1003" s="86" t="s">
        <v>7042</v>
      </c>
      <c r="Z1003" t="b">
        <v>0</v>
      </c>
    </row>
    <row r="1004" hidden="1">
      <c r="A1004" s="99">
        <v>570.0</v>
      </c>
      <c r="B1004" s="99" t="s">
        <v>241</v>
      </c>
      <c r="C1004" s="99" t="s">
        <v>408</v>
      </c>
      <c r="D1004" s="99">
        <v>321662.0</v>
      </c>
      <c r="E1004" s="99" t="s">
        <v>346</v>
      </c>
      <c r="F1004" s="99" t="s">
        <v>7044</v>
      </c>
      <c r="G1004" s="99" t="s">
        <v>4285</v>
      </c>
      <c r="H1004" s="99" t="s">
        <v>189</v>
      </c>
      <c r="I1004" s="99" t="s">
        <v>551</v>
      </c>
      <c r="J1004" s="104"/>
      <c r="K1004" s="66" t="str">
        <f>IFNA(VLOOKUP(D1004,'EAN Codes'!A:C,2,False),"")</f>
        <v/>
      </c>
      <c r="L1004" s="35" t="s">
        <v>269</v>
      </c>
      <c r="M1004" s="83"/>
      <c r="N1004" s="6"/>
      <c r="O1004" s="6"/>
      <c r="P1004" s="6"/>
      <c r="Q1004" s="6"/>
      <c r="R1004" s="6"/>
      <c r="S1004" s="84"/>
      <c r="T1004" s="6"/>
      <c r="U1004" s="93" t="b">
        <v>1</v>
      </c>
      <c r="V1004" s="6" t="s">
        <v>7054</v>
      </c>
      <c r="Y1004" s="6" t="s">
        <v>452</v>
      </c>
      <c r="Z1004" t="b">
        <v>0</v>
      </c>
    </row>
    <row r="1005" hidden="1">
      <c r="A1005" s="99">
        <v>373.0</v>
      </c>
      <c r="B1005" s="99" t="s">
        <v>241</v>
      </c>
      <c r="C1005" s="122" t="s">
        <v>4093</v>
      </c>
      <c r="D1005" s="121">
        <v>56244.0</v>
      </c>
      <c r="E1005" s="122" t="s">
        <v>454</v>
      </c>
      <c r="F1005" s="122" t="s">
        <v>7059</v>
      </c>
      <c r="G1005" s="99" t="s">
        <v>3742</v>
      </c>
      <c r="H1005" s="99" t="s">
        <v>189</v>
      </c>
      <c r="I1005" s="99" t="s">
        <v>570</v>
      </c>
      <c r="J1005" s="104"/>
      <c r="K1005" s="66" t="str">
        <f>IFNA(VLOOKUP(D1005,'EAN Codes'!A:C,2,False),"")</f>
        <v/>
      </c>
      <c r="L1005" s="99"/>
      <c r="M1005" s="119"/>
      <c r="N1005" s="99"/>
      <c r="O1005" s="99"/>
      <c r="P1005" s="99"/>
      <c r="Q1005" s="99"/>
      <c r="R1005" s="99"/>
      <c r="S1005" s="104"/>
      <c r="T1005" s="99"/>
      <c r="U1005" s="93" t="b">
        <v>1</v>
      </c>
      <c r="V1005" s="99" t="s">
        <v>7064</v>
      </c>
      <c r="Z1005" t="b">
        <v>0</v>
      </c>
    </row>
    <row r="1006" hidden="1">
      <c r="A1006" s="99">
        <v>5.0</v>
      </c>
      <c r="B1006" s="6"/>
      <c r="C1006" s="6" t="s">
        <v>731</v>
      </c>
      <c r="D1006" s="99" t="s">
        <v>7066</v>
      </c>
      <c r="E1006" s="99" t="s">
        <v>1110</v>
      </c>
      <c r="F1006" s="99" t="s">
        <v>7067</v>
      </c>
      <c r="G1006" s="99" t="s">
        <v>7068</v>
      </c>
      <c r="J1006" s="60"/>
      <c r="K1006" s="66" t="str">
        <f>IFNA(VLOOKUP(D1006,'EAN Codes'!A:C,2,False),"")</f>
        <v/>
      </c>
      <c r="L1006" s="6"/>
      <c r="M1006" s="67"/>
      <c r="S1006" s="60"/>
      <c r="U1006" s="93" t="b">
        <v>1</v>
      </c>
      <c r="Z1006" t="b">
        <v>0</v>
      </c>
    </row>
    <row r="1007" hidden="1">
      <c r="A1007" s="99">
        <v>1.0</v>
      </c>
      <c r="B1007" s="6"/>
      <c r="C1007" s="6" t="s">
        <v>731</v>
      </c>
      <c r="D1007" s="99" t="s">
        <v>7075</v>
      </c>
      <c r="E1007" s="99" t="s">
        <v>733</v>
      </c>
      <c r="F1007" s="99" t="s">
        <v>7076</v>
      </c>
      <c r="G1007" s="99" t="s">
        <v>7078</v>
      </c>
      <c r="J1007" s="60"/>
      <c r="K1007" s="66" t="str">
        <f>IFNA(VLOOKUP(D1007,'EAN Codes'!A:C,2,False),"")</f>
        <v/>
      </c>
      <c r="L1007" s="6"/>
      <c r="M1007" s="67"/>
      <c r="S1007" s="60"/>
      <c r="U1007" s="93" t="b">
        <v>1</v>
      </c>
      <c r="Z1007" t="b">
        <v>0</v>
      </c>
    </row>
    <row r="1008" hidden="1">
      <c r="A1008" s="99">
        <v>104.0</v>
      </c>
      <c r="B1008" s="99"/>
      <c r="C1008" s="99" t="s">
        <v>408</v>
      </c>
      <c r="D1008" s="99">
        <v>321821.0</v>
      </c>
      <c r="E1008" s="99" t="s">
        <v>346</v>
      </c>
      <c r="F1008" s="99" t="s">
        <v>7084</v>
      </c>
      <c r="G1008" s="99" t="s">
        <v>7085</v>
      </c>
      <c r="H1008" s="99" t="s">
        <v>512</v>
      </c>
      <c r="I1008" s="99" t="s">
        <v>458</v>
      </c>
      <c r="J1008" s="104"/>
      <c r="K1008" s="66" t="str">
        <f>IFNA(VLOOKUP(D1008,'EAN Codes'!A:C,2,False),"")</f>
        <v/>
      </c>
      <c r="L1008" s="35"/>
      <c r="M1008" s="67"/>
      <c r="S1008" s="60"/>
      <c r="U1008" s="93" t="b">
        <v>1</v>
      </c>
      <c r="Z1008" t="b">
        <v>0</v>
      </c>
    </row>
    <row r="1009" hidden="1">
      <c r="A1009" s="99">
        <v>460.0</v>
      </c>
      <c r="B1009" s="99" t="s">
        <v>241</v>
      </c>
      <c r="C1009" s="99" t="s">
        <v>408</v>
      </c>
      <c r="D1009" s="99">
        <v>321821.0</v>
      </c>
      <c r="E1009" s="99" t="s">
        <v>346</v>
      </c>
      <c r="F1009" s="99" t="s">
        <v>7084</v>
      </c>
      <c r="G1009" s="99" t="s">
        <v>7091</v>
      </c>
      <c r="H1009" s="99" t="s">
        <v>189</v>
      </c>
      <c r="I1009" s="99" t="s">
        <v>602</v>
      </c>
      <c r="J1009" s="104"/>
      <c r="K1009" s="66" t="str">
        <f>IFNA(VLOOKUP(D1009,'EAN Codes'!A:C,2,False),"")</f>
        <v/>
      </c>
      <c r="L1009" s="35" t="s">
        <v>269</v>
      </c>
      <c r="M1009" s="67"/>
      <c r="S1009" s="60"/>
      <c r="U1009" s="93" t="b">
        <v>1</v>
      </c>
      <c r="Y1009" s="6" t="s">
        <v>452</v>
      </c>
      <c r="Z1009" t="b">
        <v>0</v>
      </c>
    </row>
    <row r="1010" hidden="1">
      <c r="A1010" s="99">
        <v>461.0</v>
      </c>
      <c r="B1010" s="99" t="s">
        <v>241</v>
      </c>
      <c r="C1010" s="99" t="s">
        <v>408</v>
      </c>
      <c r="D1010" s="99">
        <v>321821.0</v>
      </c>
      <c r="E1010" s="99" t="s">
        <v>346</v>
      </c>
      <c r="F1010" s="99" t="s">
        <v>7084</v>
      </c>
      <c r="G1010" s="99" t="s">
        <v>7091</v>
      </c>
      <c r="H1010" s="99" t="s">
        <v>189</v>
      </c>
      <c r="I1010" s="99" t="s">
        <v>602</v>
      </c>
      <c r="J1010" s="104"/>
      <c r="K1010" s="66" t="str">
        <f>IFNA(VLOOKUP(D1010,'EAN Codes'!A:C,2,False),"")</f>
        <v/>
      </c>
      <c r="L1010" s="35" t="s">
        <v>269</v>
      </c>
      <c r="M1010" s="83"/>
      <c r="N1010" s="6"/>
      <c r="O1010" s="6"/>
      <c r="P1010" s="6"/>
      <c r="Q1010" s="6"/>
      <c r="R1010" s="6"/>
      <c r="S1010" s="84"/>
      <c r="T1010" s="6"/>
      <c r="U1010" s="93" t="b">
        <v>1</v>
      </c>
      <c r="V1010" s="6" t="s">
        <v>7103</v>
      </c>
      <c r="Y1010" s="6" t="s">
        <v>452</v>
      </c>
      <c r="Z1010" t="b">
        <v>0</v>
      </c>
    </row>
    <row r="1011" hidden="1">
      <c r="A1011" s="99">
        <v>930.0</v>
      </c>
      <c r="B1011" s="99" t="s">
        <v>241</v>
      </c>
      <c r="C1011" s="99" t="s">
        <v>760</v>
      </c>
      <c r="D1011" s="99" t="s">
        <v>7106</v>
      </c>
      <c r="E1011" s="99" t="s">
        <v>346</v>
      </c>
      <c r="F1011" s="99" t="s">
        <v>7107</v>
      </c>
      <c r="G1011" s="99" t="s">
        <v>7109</v>
      </c>
      <c r="H1011" s="99" t="s">
        <v>189</v>
      </c>
      <c r="I1011" s="99" t="s">
        <v>680</v>
      </c>
      <c r="J1011" s="104"/>
      <c r="K1011" s="66" t="str">
        <f>IFNA(VLOOKUP(D1011,'EAN Codes'!A:C,2,False),"")</f>
        <v/>
      </c>
      <c r="L1011" s="82"/>
      <c r="M1011" s="83"/>
      <c r="N1011" s="6"/>
      <c r="O1011" s="6"/>
      <c r="P1011" s="6"/>
      <c r="Q1011" s="6"/>
      <c r="R1011" s="6"/>
      <c r="S1011" s="84"/>
      <c r="T1011" s="6"/>
      <c r="U1011" s="93" t="b">
        <v>1</v>
      </c>
      <c r="V1011" s="6" t="s">
        <v>7115</v>
      </c>
      <c r="Z1011" t="b">
        <v>0</v>
      </c>
    </row>
    <row r="1012" hidden="1">
      <c r="A1012" s="99">
        <v>404.0</v>
      </c>
      <c r="B1012" s="99" t="s">
        <v>241</v>
      </c>
      <c r="C1012" s="122" t="s">
        <v>4093</v>
      </c>
      <c r="D1012" s="121">
        <v>56051.0</v>
      </c>
      <c r="E1012" s="122" t="s">
        <v>454</v>
      </c>
      <c r="F1012" s="120" t="s">
        <v>7117</v>
      </c>
      <c r="G1012" s="99" t="s">
        <v>7118</v>
      </c>
      <c r="H1012" s="99" t="s">
        <v>189</v>
      </c>
      <c r="I1012" s="99" t="s">
        <v>570</v>
      </c>
      <c r="J1012" s="104"/>
      <c r="K1012" s="66" t="str">
        <f>IFNA(VLOOKUP(D1012,'EAN Codes'!A:C,2,False),"")</f>
        <v/>
      </c>
      <c r="L1012" s="99"/>
      <c r="M1012" s="119"/>
      <c r="N1012" s="99"/>
      <c r="O1012" s="99"/>
      <c r="P1012" s="99"/>
      <c r="Q1012" s="99"/>
      <c r="R1012" s="99"/>
      <c r="S1012" s="104"/>
      <c r="T1012" s="99"/>
      <c r="U1012" s="93" t="b">
        <v>1</v>
      </c>
      <c r="V1012" s="99" t="s">
        <v>7125</v>
      </c>
      <c r="Z1012" t="b">
        <v>0</v>
      </c>
    </row>
    <row r="1013" hidden="1">
      <c r="A1013" s="99">
        <v>405.0</v>
      </c>
      <c r="B1013" s="99" t="s">
        <v>241</v>
      </c>
      <c r="C1013" s="122" t="s">
        <v>4093</v>
      </c>
      <c r="D1013" s="121">
        <v>56051.0</v>
      </c>
      <c r="E1013" s="122" t="s">
        <v>454</v>
      </c>
      <c r="F1013" s="120" t="s">
        <v>7117</v>
      </c>
      <c r="G1013" s="99" t="s">
        <v>7118</v>
      </c>
      <c r="H1013" s="99" t="s">
        <v>189</v>
      </c>
      <c r="I1013" s="99" t="s">
        <v>570</v>
      </c>
      <c r="J1013" s="104"/>
      <c r="K1013" s="66" t="str">
        <f>IFNA(VLOOKUP(D1013,'EAN Codes'!A:C,2,False),"")</f>
        <v/>
      </c>
      <c r="L1013" s="99"/>
      <c r="M1013" s="119"/>
      <c r="N1013" s="99"/>
      <c r="O1013" s="99"/>
      <c r="P1013" s="99"/>
      <c r="Q1013" s="99"/>
      <c r="R1013" s="99"/>
      <c r="S1013" s="104"/>
      <c r="T1013" s="99"/>
      <c r="U1013" s="93" t="b">
        <v>1</v>
      </c>
      <c r="V1013" s="99" t="s">
        <v>7133</v>
      </c>
      <c r="Z1013" t="b">
        <v>0</v>
      </c>
    </row>
    <row r="1014" hidden="1">
      <c r="A1014" s="86">
        <v>263.0</v>
      </c>
      <c r="B1014" s="6" t="s">
        <v>241</v>
      </c>
      <c r="C1014" s="86" t="s">
        <v>408</v>
      </c>
      <c r="D1014" s="86">
        <v>3.21823600001E11</v>
      </c>
      <c r="E1014" s="86" t="s">
        <v>373</v>
      </c>
      <c r="F1014" s="86" t="s">
        <v>7135</v>
      </c>
      <c r="G1014" s="86" t="s">
        <v>1222</v>
      </c>
      <c r="H1014" s="86" t="s">
        <v>189</v>
      </c>
      <c r="I1014" s="86" t="s">
        <v>570</v>
      </c>
      <c r="J1014" s="88"/>
      <c r="K1014" s="66" t="str">
        <f>IFNA(VLOOKUP(D1014,'EAN Codes'!A:C,2,False),"")</f>
        <v/>
      </c>
      <c r="L1014" s="86"/>
      <c r="M1014" s="92"/>
      <c r="N1014" s="86"/>
      <c r="O1014" s="86"/>
      <c r="P1014" s="86"/>
      <c r="Q1014" s="86"/>
      <c r="R1014" s="86"/>
      <c r="S1014" s="88"/>
      <c r="T1014" s="86"/>
      <c r="U1014" s="93" t="b">
        <v>1</v>
      </c>
      <c r="V1014" s="86" t="s">
        <v>7144</v>
      </c>
      <c r="Z1014" t="b">
        <v>0</v>
      </c>
    </row>
    <row r="1015" hidden="1">
      <c r="A1015" s="6">
        <v>1040.0</v>
      </c>
      <c r="B1015" s="6" t="s">
        <v>241</v>
      </c>
      <c r="C1015" s="6" t="s">
        <v>1250</v>
      </c>
      <c r="D1015" s="127" t="s">
        <v>7146</v>
      </c>
      <c r="E1015" s="6" t="s">
        <v>346</v>
      </c>
      <c r="F1015" s="6" t="s">
        <v>4925</v>
      </c>
      <c r="G1015" s="6" t="s">
        <v>437</v>
      </c>
      <c r="H1015" s="6" t="s">
        <v>189</v>
      </c>
      <c r="I1015" s="6" t="s">
        <v>2253</v>
      </c>
      <c r="J1015" s="84"/>
      <c r="K1015" s="66" t="str">
        <f>IFNA(VLOOKUP(D1015,'EAN Codes'!A:C,2,False),"")</f>
        <v>8058772225864</v>
      </c>
      <c r="L1015" s="82"/>
      <c r="M1015" s="67"/>
      <c r="S1015" s="60"/>
      <c r="U1015" s="93" t="b">
        <v>1</v>
      </c>
      <c r="Z1015" t="b">
        <v>0</v>
      </c>
    </row>
    <row r="1016" hidden="1">
      <c r="A1016" s="86">
        <v>648.0</v>
      </c>
      <c r="B1016" s="99" t="s">
        <v>241</v>
      </c>
      <c r="C1016" s="99" t="s">
        <v>342</v>
      </c>
      <c r="D1016" s="99" t="s">
        <v>7155</v>
      </c>
      <c r="E1016" s="99" t="s">
        <v>346</v>
      </c>
      <c r="F1016" s="99" t="s">
        <v>7157</v>
      </c>
      <c r="G1016" s="99" t="s">
        <v>2194</v>
      </c>
      <c r="H1016" s="99" t="s">
        <v>189</v>
      </c>
      <c r="I1016" s="99" t="s">
        <v>626</v>
      </c>
      <c r="J1016" s="104"/>
      <c r="K1016" s="66" t="str">
        <f>IFNA(VLOOKUP(D1016,'EAN Codes'!A:C,2,False),"")</f>
        <v>5907615825644</v>
      </c>
      <c r="L1016" s="35" t="s">
        <v>269</v>
      </c>
      <c r="M1016" s="83"/>
      <c r="N1016" s="6"/>
      <c r="O1016" s="6"/>
      <c r="P1016" s="6"/>
      <c r="Q1016" s="6"/>
      <c r="R1016" s="6"/>
      <c r="S1016" s="84"/>
      <c r="T1016" s="6"/>
      <c r="U1016" s="93" t="b">
        <v>1</v>
      </c>
      <c r="V1016" s="6" t="s">
        <v>7168</v>
      </c>
      <c r="Z1016" t="b">
        <v>0</v>
      </c>
    </row>
    <row r="1017" hidden="1">
      <c r="A1017" s="115"/>
      <c r="B1017" s="86" t="s">
        <v>241</v>
      </c>
      <c r="C1017" s="86" t="s">
        <v>342</v>
      </c>
      <c r="D1017" s="87" t="s">
        <v>4932</v>
      </c>
      <c r="E1017" s="86" t="s">
        <v>346</v>
      </c>
      <c r="F1017" s="86" t="s">
        <v>4937</v>
      </c>
      <c r="G1017" s="86" t="s">
        <v>4385</v>
      </c>
      <c r="H1017" s="86" t="s">
        <v>7171</v>
      </c>
      <c r="I1017" s="91"/>
      <c r="J1017" s="97"/>
      <c r="K1017" s="66" t="str">
        <f>IFNA(VLOOKUP(D1017,'EAN Codes'!A:C,2,False),"")</f>
        <v>5907615827037</v>
      </c>
      <c r="L1017" s="91"/>
      <c r="M1017" s="92"/>
      <c r="N1017" s="86"/>
      <c r="O1017" s="86"/>
      <c r="P1017" s="86"/>
      <c r="Q1017" s="86"/>
      <c r="R1017" s="86"/>
      <c r="S1017" s="88"/>
      <c r="T1017" s="86"/>
      <c r="U1017" s="93" t="b">
        <v>1</v>
      </c>
      <c r="V1017" s="86" t="s">
        <v>7180</v>
      </c>
      <c r="Z1017" t="b">
        <v>0</v>
      </c>
    </row>
    <row r="1018" hidden="1">
      <c r="A1018" s="99">
        <v>944.0</v>
      </c>
      <c r="B1018" s="99" t="s">
        <v>241</v>
      </c>
      <c r="C1018" s="99" t="s">
        <v>760</v>
      </c>
      <c r="D1018" s="99" t="s">
        <v>7183</v>
      </c>
      <c r="E1018" s="99" t="s">
        <v>409</v>
      </c>
      <c r="F1018" s="99" t="s">
        <v>7184</v>
      </c>
      <c r="G1018" s="99" t="s">
        <v>7186</v>
      </c>
      <c r="H1018" s="99" t="s">
        <v>189</v>
      </c>
      <c r="I1018" s="99" t="s">
        <v>626</v>
      </c>
      <c r="J1018" s="104"/>
      <c r="K1018" s="66" t="str">
        <f>IFNA(VLOOKUP(D1018,'EAN Codes'!A:C,2,False),"")</f>
        <v/>
      </c>
      <c r="L1018" s="101"/>
      <c r="M1018" s="119"/>
      <c r="N1018" s="99"/>
      <c r="O1018" s="99"/>
      <c r="P1018" s="99"/>
      <c r="Q1018" s="99"/>
      <c r="R1018" s="99"/>
      <c r="S1018" s="104"/>
      <c r="T1018" s="99"/>
      <c r="U1018" s="93" t="b">
        <v>1</v>
      </c>
      <c r="V1018" s="99" t="s">
        <v>7190</v>
      </c>
      <c r="Z1018" t="b">
        <v>0</v>
      </c>
    </row>
    <row r="1019" hidden="1">
      <c r="A1019" s="99">
        <v>382.0</v>
      </c>
      <c r="B1019" s="99" t="s">
        <v>241</v>
      </c>
      <c r="C1019" s="122" t="s">
        <v>4093</v>
      </c>
      <c r="D1019" s="217" t="s">
        <v>7192</v>
      </c>
      <c r="E1019" s="122" t="s">
        <v>454</v>
      </c>
      <c r="F1019" s="120" t="s">
        <v>7193</v>
      </c>
      <c r="G1019" s="120" t="s">
        <v>7109</v>
      </c>
      <c r="H1019" s="99" t="s">
        <v>189</v>
      </c>
      <c r="I1019" s="99" t="s">
        <v>570</v>
      </c>
      <c r="J1019" s="104"/>
      <c r="K1019" s="66" t="str">
        <f>IFNA(VLOOKUP(D1019,'EAN Codes'!A:C,2,False),"")</f>
        <v/>
      </c>
      <c r="L1019" s="99"/>
      <c r="M1019" s="119"/>
      <c r="N1019" s="99"/>
      <c r="O1019" s="99"/>
      <c r="P1019" s="99"/>
      <c r="Q1019" s="99"/>
      <c r="R1019" s="99"/>
      <c r="S1019" s="104"/>
      <c r="T1019" s="99"/>
      <c r="U1019" s="93" t="b">
        <v>1</v>
      </c>
      <c r="V1019" s="99" t="s">
        <v>7200</v>
      </c>
      <c r="Z1019" t="b">
        <v>0</v>
      </c>
    </row>
    <row r="1020" hidden="1">
      <c r="A1020" s="99">
        <v>383.0</v>
      </c>
      <c r="B1020" s="99" t="s">
        <v>241</v>
      </c>
      <c r="C1020" s="122" t="s">
        <v>4093</v>
      </c>
      <c r="D1020" s="217" t="s">
        <v>7192</v>
      </c>
      <c r="E1020" s="122" t="s">
        <v>454</v>
      </c>
      <c r="F1020" s="120" t="s">
        <v>7193</v>
      </c>
      <c r="G1020" s="120" t="s">
        <v>7109</v>
      </c>
      <c r="H1020" s="99" t="s">
        <v>189</v>
      </c>
      <c r="I1020" s="99" t="s">
        <v>570</v>
      </c>
      <c r="J1020" s="104"/>
      <c r="K1020" s="66" t="str">
        <f>IFNA(VLOOKUP(D1020,'EAN Codes'!A:C,2,False),"")</f>
        <v/>
      </c>
      <c r="L1020" s="99"/>
      <c r="M1020" s="119"/>
      <c r="N1020" s="99"/>
      <c r="O1020" s="99"/>
      <c r="P1020" s="99"/>
      <c r="Q1020" s="99"/>
      <c r="R1020" s="99"/>
      <c r="S1020" s="104"/>
      <c r="T1020" s="99"/>
      <c r="U1020" s="93" t="b">
        <v>1</v>
      </c>
      <c r="V1020" s="99" t="s">
        <v>7207</v>
      </c>
      <c r="Z1020" t="b">
        <v>0</v>
      </c>
    </row>
    <row r="1021" hidden="1">
      <c r="A1021" s="99">
        <v>577.0</v>
      </c>
      <c r="B1021" s="99" t="s">
        <v>241</v>
      </c>
      <c r="C1021" s="99" t="s">
        <v>408</v>
      </c>
      <c r="D1021" s="99">
        <v>321821.0</v>
      </c>
      <c r="E1021" s="99" t="s">
        <v>346</v>
      </c>
      <c r="F1021" s="99" t="s">
        <v>7212</v>
      </c>
      <c r="G1021" s="99" t="s">
        <v>7091</v>
      </c>
      <c r="H1021" s="99" t="s">
        <v>189</v>
      </c>
      <c r="I1021" s="99" t="s">
        <v>551</v>
      </c>
      <c r="J1021" s="104"/>
      <c r="K1021" s="66" t="str">
        <f>IFNA(VLOOKUP(D1021,'EAN Codes'!A:C,2,False),"")</f>
        <v/>
      </c>
      <c r="L1021" s="99" t="s">
        <v>269</v>
      </c>
      <c r="M1021" s="119"/>
      <c r="N1021" s="99"/>
      <c r="O1021" s="99"/>
      <c r="P1021" s="99"/>
      <c r="Q1021" s="99"/>
      <c r="R1021" s="99"/>
      <c r="S1021" s="104"/>
      <c r="T1021" s="99"/>
      <c r="U1021" s="93" t="b">
        <v>1</v>
      </c>
      <c r="V1021" s="99" t="s">
        <v>7216</v>
      </c>
      <c r="Y1021" s="6" t="s">
        <v>452</v>
      </c>
      <c r="Z1021" t="b">
        <v>0</v>
      </c>
    </row>
    <row r="1022" hidden="1">
      <c r="A1022" s="99">
        <v>713.0</v>
      </c>
      <c r="B1022" s="99" t="s">
        <v>241</v>
      </c>
      <c r="C1022" s="99" t="s">
        <v>408</v>
      </c>
      <c r="D1022" s="99">
        <v>321823.0</v>
      </c>
      <c r="E1022" s="99" t="s">
        <v>373</v>
      </c>
      <c r="F1022" s="99" t="s">
        <v>7218</v>
      </c>
      <c r="G1022" s="99" t="s">
        <v>7091</v>
      </c>
      <c r="H1022" s="99" t="s">
        <v>189</v>
      </c>
      <c r="I1022" s="99" t="s">
        <v>551</v>
      </c>
      <c r="J1022" s="104"/>
      <c r="K1022" s="66" t="str">
        <f>IFNA(VLOOKUP(D1022,'EAN Codes'!A:C,2,False),"")</f>
        <v/>
      </c>
      <c r="L1022" s="35" t="s">
        <v>269</v>
      </c>
      <c r="M1022" s="67"/>
      <c r="S1022" s="60"/>
      <c r="U1022" s="93" t="b">
        <v>1</v>
      </c>
      <c r="Y1022" s="6" t="s">
        <v>452</v>
      </c>
      <c r="Z1022" t="b">
        <v>0</v>
      </c>
    </row>
    <row r="1023" hidden="1">
      <c r="A1023" s="99">
        <v>520.0</v>
      </c>
      <c r="B1023" s="99" t="s">
        <v>241</v>
      </c>
      <c r="C1023" s="99" t="s">
        <v>408</v>
      </c>
      <c r="D1023" s="99">
        <v>3.21832600001E11</v>
      </c>
      <c r="E1023" s="99" t="s">
        <v>346</v>
      </c>
      <c r="F1023" s="99" t="s">
        <v>7224</v>
      </c>
      <c r="G1023" s="99" t="s">
        <v>4172</v>
      </c>
      <c r="H1023" s="99" t="s">
        <v>4658</v>
      </c>
      <c r="I1023" s="101"/>
      <c r="J1023" s="110"/>
      <c r="K1023" s="66" t="str">
        <f>IFNA(VLOOKUP(D1023,'EAN Codes'!A:C,2,False),"")</f>
        <v/>
      </c>
      <c r="L1023" s="99" t="s">
        <v>92</v>
      </c>
      <c r="M1023" s="119"/>
      <c r="N1023" s="99"/>
      <c r="O1023" s="99"/>
      <c r="P1023" s="99"/>
      <c r="Q1023" s="99"/>
      <c r="R1023" s="99"/>
      <c r="S1023" s="104"/>
      <c r="T1023" s="99"/>
      <c r="U1023" s="93" t="b">
        <v>1</v>
      </c>
      <c r="V1023" s="99" t="s">
        <v>7229</v>
      </c>
      <c r="X1023" s="6" t="s">
        <v>7231</v>
      </c>
      <c r="Y1023" s="6" t="s">
        <v>452</v>
      </c>
      <c r="Z1023" t="b">
        <v>0</v>
      </c>
    </row>
    <row r="1024" hidden="1">
      <c r="A1024" s="99">
        <v>1016.0</v>
      </c>
      <c r="B1024" s="99" t="s">
        <v>241</v>
      </c>
      <c r="C1024" s="99" t="s">
        <v>342</v>
      </c>
      <c r="D1024" s="100" t="s">
        <v>4564</v>
      </c>
      <c r="E1024" s="99" t="s">
        <v>346</v>
      </c>
      <c r="F1024" s="99" t="s">
        <v>5299</v>
      </c>
      <c r="G1024" s="99" t="s">
        <v>5393</v>
      </c>
      <c r="H1024" s="99" t="s">
        <v>189</v>
      </c>
      <c r="I1024" s="99" t="s">
        <v>1863</v>
      </c>
      <c r="J1024" s="104"/>
      <c r="K1024" s="107" t="str">
        <f>IFNA(VLOOKUP(D1024,'EAN Codes'!A:C,2,False),"")</f>
        <v>5907615827013</v>
      </c>
      <c r="L1024" s="101"/>
      <c r="M1024" s="119"/>
      <c r="N1024" s="99"/>
      <c r="O1024" s="99"/>
      <c r="P1024" s="99"/>
      <c r="Q1024" s="99"/>
      <c r="R1024" s="99"/>
      <c r="S1024" s="104"/>
      <c r="T1024" s="99"/>
      <c r="U1024" s="93" t="b">
        <v>1</v>
      </c>
      <c r="V1024" s="99" t="s">
        <v>7238</v>
      </c>
      <c r="Z1024" t="b">
        <v>0</v>
      </c>
    </row>
    <row r="1025" hidden="1">
      <c r="A1025" s="99">
        <v>615.0</v>
      </c>
      <c r="B1025" s="99" t="s">
        <v>241</v>
      </c>
      <c r="C1025" s="99" t="s">
        <v>408</v>
      </c>
      <c r="D1025" s="99">
        <v>321832.0</v>
      </c>
      <c r="E1025" s="99" t="s">
        <v>346</v>
      </c>
      <c r="F1025" s="99" t="s">
        <v>7240</v>
      </c>
      <c r="G1025" s="99" t="s">
        <v>7241</v>
      </c>
      <c r="H1025" s="99" t="s">
        <v>189</v>
      </c>
      <c r="I1025" s="99" t="s">
        <v>1863</v>
      </c>
      <c r="J1025" s="104"/>
      <c r="K1025" s="66" t="str">
        <f>IFNA(VLOOKUP(D1025,'EAN Codes'!A:C,2,False),"")</f>
        <v/>
      </c>
      <c r="L1025" s="35" t="s">
        <v>269</v>
      </c>
      <c r="M1025" s="83"/>
      <c r="N1025" s="6"/>
      <c r="O1025" s="6"/>
      <c r="P1025" s="6"/>
      <c r="Q1025" s="6"/>
      <c r="R1025" s="6"/>
      <c r="S1025" s="84"/>
      <c r="T1025" s="6"/>
      <c r="U1025" s="93" t="b">
        <v>1</v>
      </c>
      <c r="V1025" s="6" t="s">
        <v>7245</v>
      </c>
      <c r="Y1025" s="6" t="s">
        <v>452</v>
      </c>
      <c r="Z1025" t="b">
        <v>0</v>
      </c>
    </row>
    <row r="1026" hidden="1">
      <c r="A1026" s="99">
        <v>599.0</v>
      </c>
      <c r="B1026" s="99" t="s">
        <v>241</v>
      </c>
      <c r="C1026" s="99" t="s">
        <v>408</v>
      </c>
      <c r="D1026" s="99">
        <v>321832.0</v>
      </c>
      <c r="E1026" s="99" t="s">
        <v>346</v>
      </c>
      <c r="F1026" s="99" t="s">
        <v>7240</v>
      </c>
      <c r="G1026" s="99" t="s">
        <v>7241</v>
      </c>
      <c r="H1026" s="99" t="s">
        <v>189</v>
      </c>
      <c r="I1026" s="99" t="s">
        <v>602</v>
      </c>
      <c r="J1026" s="104"/>
      <c r="K1026" s="66" t="str">
        <f>IFNA(VLOOKUP(D1026,'EAN Codes'!A:C,2,False),"")</f>
        <v/>
      </c>
      <c r="L1026" s="99" t="s">
        <v>269</v>
      </c>
      <c r="M1026" s="83"/>
      <c r="N1026" s="6"/>
      <c r="O1026" s="6"/>
      <c r="P1026" s="6"/>
      <c r="Q1026" s="6"/>
      <c r="R1026" s="6"/>
      <c r="S1026" s="84"/>
      <c r="T1026" s="6"/>
      <c r="U1026" s="93" t="b">
        <v>1</v>
      </c>
      <c r="V1026" s="6" t="s">
        <v>7249</v>
      </c>
      <c r="Y1026" s="6" t="s">
        <v>452</v>
      </c>
      <c r="Z1026" t="b">
        <v>0</v>
      </c>
    </row>
    <row r="1027" hidden="1">
      <c r="A1027" s="99">
        <v>477.0</v>
      </c>
      <c r="B1027" s="99" t="s">
        <v>241</v>
      </c>
      <c r="C1027" s="99" t="s">
        <v>408</v>
      </c>
      <c r="D1027" s="99">
        <v>321832.0</v>
      </c>
      <c r="E1027" s="99" t="s">
        <v>346</v>
      </c>
      <c r="F1027" s="99" t="s">
        <v>7251</v>
      </c>
      <c r="G1027" s="99" t="s">
        <v>1013</v>
      </c>
      <c r="H1027" s="99" t="s">
        <v>189</v>
      </c>
      <c r="I1027" s="99" t="s">
        <v>1328</v>
      </c>
      <c r="J1027" s="104"/>
      <c r="K1027" s="66" t="str">
        <f>IFNA(VLOOKUP(D1027,'EAN Codes'!A:C,2,False),"")</f>
        <v/>
      </c>
      <c r="L1027" s="35" t="s">
        <v>269</v>
      </c>
      <c r="M1027" s="67"/>
      <c r="S1027" s="60"/>
      <c r="U1027" s="93" t="b">
        <v>1</v>
      </c>
      <c r="Y1027" s="6" t="s">
        <v>452</v>
      </c>
      <c r="Z1027" t="b">
        <v>0</v>
      </c>
    </row>
    <row r="1028" hidden="1">
      <c r="A1028" s="99">
        <v>75.0</v>
      </c>
      <c r="B1028" s="99"/>
      <c r="C1028" s="99" t="s">
        <v>408</v>
      </c>
      <c r="D1028" s="99">
        <v>321832.0</v>
      </c>
      <c r="E1028" s="99" t="s">
        <v>346</v>
      </c>
      <c r="F1028" s="99" t="s">
        <v>7257</v>
      </c>
      <c r="G1028" s="99" t="s">
        <v>2445</v>
      </c>
      <c r="H1028" s="99" t="s">
        <v>135</v>
      </c>
      <c r="I1028" s="99" t="s">
        <v>458</v>
      </c>
      <c r="J1028" s="104"/>
      <c r="K1028" s="66" t="str">
        <f>IFNA(VLOOKUP(D1028,'EAN Codes'!A:C,2,False),"")</f>
        <v/>
      </c>
      <c r="L1028" s="35"/>
      <c r="M1028" s="67"/>
      <c r="S1028" s="60"/>
      <c r="U1028" s="93" t="b">
        <v>1</v>
      </c>
      <c r="Z1028" t="b">
        <v>0</v>
      </c>
    </row>
    <row r="1029" hidden="1">
      <c r="A1029" s="99">
        <v>97.0</v>
      </c>
      <c r="B1029" s="99" t="s">
        <v>241</v>
      </c>
      <c r="C1029" s="99" t="s">
        <v>408</v>
      </c>
      <c r="D1029" s="99">
        <v>321775.0</v>
      </c>
      <c r="E1029" s="99" t="s">
        <v>409</v>
      </c>
      <c r="F1029" s="99" t="s">
        <v>7263</v>
      </c>
      <c r="G1029" s="101"/>
      <c r="H1029" s="99" t="s">
        <v>189</v>
      </c>
      <c r="I1029" s="99" t="s">
        <v>458</v>
      </c>
      <c r="J1029" s="104"/>
      <c r="K1029" s="66" t="str">
        <f>IFNA(VLOOKUP(D1029,'EAN Codes'!A:C,2,False),"")</f>
        <v/>
      </c>
      <c r="L1029" s="35" t="s">
        <v>269</v>
      </c>
      <c r="M1029" s="83"/>
      <c r="N1029" s="6"/>
      <c r="O1029" s="6"/>
      <c r="P1029" s="6"/>
      <c r="Q1029" s="6"/>
      <c r="R1029" s="6"/>
      <c r="S1029" s="84"/>
      <c r="T1029" s="6"/>
      <c r="U1029" s="93" t="b">
        <v>1</v>
      </c>
      <c r="V1029" s="6" t="s">
        <v>7269</v>
      </c>
      <c r="Y1029" s="6" t="s">
        <v>452</v>
      </c>
      <c r="Z1029" t="b">
        <v>0</v>
      </c>
    </row>
    <row r="1030" hidden="1">
      <c r="A1030" s="91"/>
      <c r="B1030" s="86" t="s">
        <v>181</v>
      </c>
      <c r="C1030" s="86" t="s">
        <v>408</v>
      </c>
      <c r="D1030" s="87" t="s">
        <v>7271</v>
      </c>
      <c r="E1030" s="86" t="s">
        <v>1110</v>
      </c>
      <c r="F1030" s="86" t="s">
        <v>5299</v>
      </c>
      <c r="G1030" s="91"/>
      <c r="H1030" s="86" t="s">
        <v>7273</v>
      </c>
      <c r="I1030" s="91"/>
      <c r="J1030" s="97"/>
      <c r="K1030" s="90" t="str">
        <f>IFNA(VLOOKUP(D1030,'EAN Codes'!A:C,2,False),"")</f>
        <v/>
      </c>
      <c r="L1030" s="91"/>
      <c r="M1030" s="92"/>
      <c r="N1030" s="86"/>
      <c r="O1030" s="86"/>
      <c r="P1030" s="86"/>
      <c r="Q1030" s="86"/>
      <c r="R1030" s="86"/>
      <c r="S1030" s="88"/>
      <c r="T1030" s="86"/>
      <c r="U1030" s="93" t="b">
        <v>1</v>
      </c>
      <c r="V1030" s="86" t="s">
        <v>7282</v>
      </c>
      <c r="Z1030" t="b">
        <v>0</v>
      </c>
    </row>
    <row r="1031" hidden="1">
      <c r="A1031" s="86">
        <v>914.0</v>
      </c>
      <c r="B1031" s="86" t="s">
        <v>241</v>
      </c>
      <c r="C1031" s="86" t="s">
        <v>342</v>
      </c>
      <c r="D1031" s="86" t="s">
        <v>7285</v>
      </c>
      <c r="E1031" s="86" t="s">
        <v>346</v>
      </c>
      <c r="F1031" s="86" t="s">
        <v>7286</v>
      </c>
      <c r="G1031" s="86" t="s">
        <v>4888</v>
      </c>
      <c r="H1031" s="86" t="s">
        <v>763</v>
      </c>
      <c r="I1031" s="91"/>
      <c r="J1031" s="97"/>
      <c r="K1031" s="66" t="str">
        <f>IFNA(VLOOKUP(D1031,'EAN Codes'!A:C,2,False),"")</f>
        <v>5907615826689</v>
      </c>
      <c r="L1031" s="91"/>
      <c r="M1031" s="92"/>
      <c r="N1031" s="86"/>
      <c r="O1031" s="86"/>
      <c r="P1031" s="86"/>
      <c r="Q1031" s="86"/>
      <c r="R1031" s="86"/>
      <c r="S1031" s="88"/>
      <c r="T1031" s="86"/>
      <c r="U1031" s="93" t="b">
        <v>1</v>
      </c>
      <c r="V1031" s="86" t="s">
        <v>7292</v>
      </c>
      <c r="Z1031" t="b">
        <v>0</v>
      </c>
    </row>
    <row r="1032" hidden="1">
      <c r="A1032" s="99">
        <v>91.0</v>
      </c>
      <c r="B1032" s="99"/>
      <c r="C1032" s="99" t="s">
        <v>408</v>
      </c>
      <c r="D1032" s="99">
        <v>321650.0</v>
      </c>
      <c r="E1032" s="99" t="s">
        <v>346</v>
      </c>
      <c r="F1032" s="99" t="s">
        <v>7295</v>
      </c>
      <c r="G1032" s="101"/>
      <c r="H1032" s="99" t="s">
        <v>512</v>
      </c>
      <c r="I1032" s="99" t="s">
        <v>626</v>
      </c>
      <c r="J1032" s="104"/>
      <c r="K1032" s="66" t="str">
        <f>IFNA(VLOOKUP(D1032,'EAN Codes'!A:C,2,False),"")</f>
        <v/>
      </c>
      <c r="L1032" s="35"/>
      <c r="M1032" s="67"/>
      <c r="S1032" s="60"/>
      <c r="U1032" s="93" t="b">
        <v>1</v>
      </c>
      <c r="X1032" s="101"/>
      <c r="Z1032" t="b">
        <v>0</v>
      </c>
    </row>
    <row r="1033" hidden="1">
      <c r="A1033" s="99">
        <v>499.0</v>
      </c>
      <c r="B1033" s="99" t="s">
        <v>241</v>
      </c>
      <c r="C1033" s="99" t="s">
        <v>342</v>
      </c>
      <c r="D1033" s="99" t="s">
        <v>7304</v>
      </c>
      <c r="E1033" s="99" t="s">
        <v>2070</v>
      </c>
      <c r="F1033" s="99" t="s">
        <v>7307</v>
      </c>
      <c r="G1033" s="99" t="s">
        <v>793</v>
      </c>
      <c r="H1033" s="99" t="s">
        <v>189</v>
      </c>
      <c r="I1033" s="99" t="s">
        <v>1328</v>
      </c>
      <c r="J1033" s="104"/>
      <c r="K1033" s="66" t="str">
        <f>IFNA(VLOOKUP(D1033,'EAN Codes'!A:C,2,False),"")</f>
        <v/>
      </c>
      <c r="L1033" s="35" t="s">
        <v>269</v>
      </c>
      <c r="M1033" s="67"/>
      <c r="S1033" s="60"/>
      <c r="U1033" s="93" t="b">
        <v>1</v>
      </c>
      <c r="Z1033" t="b">
        <v>0</v>
      </c>
    </row>
    <row r="1034" hidden="1">
      <c r="A1034" s="99">
        <v>147.0</v>
      </c>
      <c r="B1034" s="6" t="s">
        <v>241</v>
      </c>
      <c r="C1034" s="99" t="s">
        <v>342</v>
      </c>
      <c r="D1034" s="99" t="s">
        <v>7316</v>
      </c>
      <c r="E1034" s="99" t="s">
        <v>346</v>
      </c>
      <c r="F1034" s="99" t="s">
        <v>7307</v>
      </c>
      <c r="G1034" s="99" t="s">
        <v>1028</v>
      </c>
      <c r="H1034" s="99" t="s">
        <v>189</v>
      </c>
      <c r="I1034" s="99" t="s">
        <v>530</v>
      </c>
      <c r="J1034" s="104"/>
      <c r="K1034" s="66" t="str">
        <f>IFNA(VLOOKUP(D1034,'EAN Codes'!A:C,2,False),"")</f>
        <v>5907615826788</v>
      </c>
      <c r="L1034" s="35"/>
      <c r="M1034" s="119"/>
      <c r="N1034" s="99"/>
      <c r="O1034" s="99"/>
      <c r="P1034" s="99"/>
      <c r="Q1034" s="99"/>
      <c r="R1034" s="99"/>
      <c r="S1034" s="104"/>
      <c r="T1034" s="99"/>
      <c r="U1034" s="93" t="b">
        <v>1</v>
      </c>
      <c r="V1034" s="99" t="s">
        <v>7327</v>
      </c>
      <c r="Z1034" t="b">
        <v>0</v>
      </c>
    </row>
    <row r="1035" hidden="1">
      <c r="A1035" s="86">
        <v>498.0</v>
      </c>
      <c r="B1035" s="86" t="s">
        <v>241</v>
      </c>
      <c r="C1035" s="86" t="s">
        <v>342</v>
      </c>
      <c r="D1035" s="86" t="s">
        <v>7316</v>
      </c>
      <c r="E1035" s="86" t="s">
        <v>346</v>
      </c>
      <c r="F1035" s="86" t="s">
        <v>7307</v>
      </c>
      <c r="G1035" s="91"/>
      <c r="H1035" s="86" t="s">
        <v>298</v>
      </c>
      <c r="I1035" s="115"/>
      <c r="J1035" s="263"/>
      <c r="K1035" s="66" t="str">
        <f>IFNA(VLOOKUP(D1035,'EAN Codes'!A:C,2,False),"")</f>
        <v>5907615826788</v>
      </c>
      <c r="L1035" s="160" t="s">
        <v>92</v>
      </c>
      <c r="M1035" s="276"/>
      <c r="N1035" s="106"/>
      <c r="O1035" s="106"/>
      <c r="P1035" s="106"/>
      <c r="Q1035" s="106"/>
      <c r="R1035" s="106"/>
      <c r="S1035" s="274"/>
      <c r="T1035" s="106"/>
      <c r="U1035" s="93" t="b">
        <v>1</v>
      </c>
      <c r="V1035" s="106"/>
      <c r="Z1035" t="b">
        <v>0</v>
      </c>
    </row>
    <row r="1036" hidden="1">
      <c r="A1036" s="99">
        <v>842.0</v>
      </c>
      <c r="B1036" s="99" t="s">
        <v>241</v>
      </c>
      <c r="C1036" s="217" t="s">
        <v>342</v>
      </c>
      <c r="D1036" s="99" t="s">
        <v>7316</v>
      </c>
      <c r="E1036" s="217" t="s">
        <v>346</v>
      </c>
      <c r="F1036" s="99" t="s">
        <v>7339</v>
      </c>
      <c r="G1036" s="99" t="s">
        <v>1032</v>
      </c>
      <c r="H1036" s="99" t="s">
        <v>189</v>
      </c>
      <c r="I1036" s="99" t="s">
        <v>585</v>
      </c>
      <c r="J1036" s="104"/>
      <c r="K1036" s="66" t="str">
        <f>IFNA(VLOOKUP(D1036,'EAN Codes'!A:C,2,False),"")</f>
        <v>5907615826788</v>
      </c>
      <c r="L1036" s="82"/>
      <c r="M1036" s="83"/>
      <c r="N1036" s="6"/>
      <c r="O1036" s="6"/>
      <c r="P1036" s="6"/>
      <c r="Q1036" s="6"/>
      <c r="R1036" s="6"/>
      <c r="S1036" s="84"/>
      <c r="T1036" s="6"/>
      <c r="U1036" s="93" t="b">
        <v>1</v>
      </c>
      <c r="V1036" s="6" t="s">
        <v>7344</v>
      </c>
      <c r="Z1036" t="b">
        <v>0</v>
      </c>
    </row>
    <row r="1037" hidden="1">
      <c r="A1037" s="6">
        <v>315.0</v>
      </c>
      <c r="B1037" s="6" t="s">
        <v>241</v>
      </c>
      <c r="C1037" s="6" t="s">
        <v>408</v>
      </c>
      <c r="D1037" s="6">
        <v>305423.0</v>
      </c>
      <c r="E1037" s="6" t="s">
        <v>373</v>
      </c>
      <c r="F1037" s="6" t="s">
        <v>7347</v>
      </c>
      <c r="G1037" s="6" t="s">
        <v>1222</v>
      </c>
      <c r="H1037" s="6" t="s">
        <v>189</v>
      </c>
      <c r="I1037" s="6" t="s">
        <v>585</v>
      </c>
      <c r="J1037" s="84"/>
      <c r="K1037" s="66" t="str">
        <f>IFNA(VLOOKUP(D1037,'EAN Codes'!A:C,2,False),"")</f>
        <v/>
      </c>
      <c r="L1037" s="35" t="s">
        <v>92</v>
      </c>
      <c r="M1037" s="67"/>
      <c r="S1037" s="60"/>
      <c r="U1037" s="93" t="b">
        <v>1</v>
      </c>
      <c r="Z1037" t="b">
        <v>0</v>
      </c>
    </row>
    <row r="1038" hidden="1">
      <c r="A1038" s="6">
        <v>314.0</v>
      </c>
      <c r="B1038" s="6" t="s">
        <v>241</v>
      </c>
      <c r="C1038" s="6" t="s">
        <v>760</v>
      </c>
      <c r="D1038" s="6" t="s">
        <v>1888</v>
      </c>
      <c r="E1038" s="6" t="s">
        <v>373</v>
      </c>
      <c r="F1038" s="6" t="s">
        <v>7347</v>
      </c>
      <c r="G1038" s="6" t="s">
        <v>1222</v>
      </c>
      <c r="H1038" s="6" t="s">
        <v>189</v>
      </c>
      <c r="I1038" s="6" t="s">
        <v>1007</v>
      </c>
      <c r="J1038" s="84"/>
      <c r="K1038" s="66" t="str">
        <f>IFNA(VLOOKUP(D1038,'EAN Codes'!A:C,2,False),"")</f>
        <v/>
      </c>
      <c r="L1038" s="35" t="s">
        <v>92</v>
      </c>
      <c r="M1038" s="83"/>
      <c r="N1038" s="6"/>
      <c r="O1038" s="6"/>
      <c r="P1038" s="6"/>
      <c r="Q1038" s="6"/>
      <c r="R1038" s="6"/>
      <c r="S1038" s="84"/>
      <c r="T1038" s="6"/>
      <c r="U1038" s="93" t="b">
        <v>1</v>
      </c>
      <c r="V1038" s="6" t="s">
        <v>7357</v>
      </c>
      <c r="Z1038" t="b">
        <v>0</v>
      </c>
    </row>
    <row r="1039" hidden="1">
      <c r="A1039" s="99">
        <v>736.0</v>
      </c>
      <c r="B1039" s="99" t="s">
        <v>241</v>
      </c>
      <c r="C1039" s="99" t="s">
        <v>342</v>
      </c>
      <c r="D1039" s="99" t="s">
        <v>7316</v>
      </c>
      <c r="E1039" s="99" t="s">
        <v>346</v>
      </c>
      <c r="F1039" s="99" t="s">
        <v>7359</v>
      </c>
      <c r="G1039" s="99" t="s">
        <v>1032</v>
      </c>
      <c r="H1039" s="99" t="s">
        <v>189</v>
      </c>
      <c r="I1039" s="99" t="s">
        <v>530</v>
      </c>
      <c r="J1039" s="104"/>
      <c r="K1039" s="66" t="str">
        <f>IFNA(VLOOKUP(D1039,'EAN Codes'!A:C,2,False),"")</f>
        <v>5907615826788</v>
      </c>
      <c r="L1039" s="101"/>
      <c r="M1039" s="119"/>
      <c r="N1039" s="99"/>
      <c r="O1039" s="99"/>
      <c r="P1039" s="99"/>
      <c r="Q1039" s="99"/>
      <c r="R1039" s="99"/>
      <c r="S1039" s="104"/>
      <c r="T1039" s="99"/>
      <c r="U1039" s="93" t="b">
        <v>1</v>
      </c>
      <c r="V1039" s="99" t="s">
        <v>7365</v>
      </c>
      <c r="Z1039" t="b">
        <v>0</v>
      </c>
    </row>
    <row r="1040" hidden="1">
      <c r="A1040" s="99">
        <v>409.0</v>
      </c>
      <c r="B1040" s="99" t="s">
        <v>241</v>
      </c>
      <c r="C1040" s="122" t="s">
        <v>4093</v>
      </c>
      <c r="D1040" s="121">
        <v>56039.0</v>
      </c>
      <c r="E1040" s="122" t="s">
        <v>454</v>
      </c>
      <c r="F1040" s="122" t="s">
        <v>7366</v>
      </c>
      <c r="G1040" s="122" t="s">
        <v>7367</v>
      </c>
      <c r="H1040" s="99" t="s">
        <v>189</v>
      </c>
      <c r="I1040" s="99" t="s">
        <v>570</v>
      </c>
      <c r="J1040" s="104"/>
      <c r="K1040" s="66" t="str">
        <f>IFNA(VLOOKUP(D1040,'EAN Codes'!A:C,2,False),"")</f>
        <v/>
      </c>
      <c r="L1040" s="99" t="s">
        <v>92</v>
      </c>
      <c r="M1040" s="119"/>
      <c r="N1040" s="99"/>
      <c r="O1040" s="99"/>
      <c r="P1040" s="99"/>
      <c r="Q1040" s="99"/>
      <c r="R1040" s="99"/>
      <c r="S1040" s="104"/>
      <c r="T1040" s="99"/>
      <c r="U1040" s="93" t="b">
        <v>1</v>
      </c>
      <c r="V1040" s="99" t="s">
        <v>7374</v>
      </c>
      <c r="Z1040" t="b">
        <v>0</v>
      </c>
    </row>
    <row r="1041" hidden="1">
      <c r="A1041" s="86">
        <v>269.0</v>
      </c>
      <c r="B1041" s="99" t="s">
        <v>241</v>
      </c>
      <c r="C1041" s="86" t="s">
        <v>408</v>
      </c>
      <c r="D1041" s="86">
        <v>321650.0</v>
      </c>
      <c r="E1041" s="86" t="s">
        <v>346</v>
      </c>
      <c r="F1041" s="86" t="s">
        <v>7380</v>
      </c>
      <c r="G1041" s="86" t="s">
        <v>4385</v>
      </c>
      <c r="H1041" s="86" t="s">
        <v>189</v>
      </c>
      <c r="I1041" s="86" t="s">
        <v>626</v>
      </c>
      <c r="J1041" s="88"/>
      <c r="K1041" s="66" t="str">
        <f>IFNA(VLOOKUP(D1041,'EAN Codes'!A:C,2,False),"")</f>
        <v/>
      </c>
      <c r="L1041" s="35" t="s">
        <v>269</v>
      </c>
      <c r="M1041" s="276"/>
      <c r="N1041" s="106"/>
      <c r="O1041" s="106"/>
      <c r="P1041" s="106"/>
      <c r="Q1041" s="106"/>
      <c r="R1041" s="106"/>
      <c r="S1041" s="274"/>
      <c r="T1041" s="106"/>
      <c r="U1041" s="93" t="b">
        <v>1</v>
      </c>
      <c r="V1041" s="106" t="s">
        <v>7389</v>
      </c>
      <c r="Y1041" s="6" t="s">
        <v>452</v>
      </c>
      <c r="Z1041" t="b">
        <v>0</v>
      </c>
    </row>
    <row r="1042" hidden="1">
      <c r="A1042" s="86">
        <v>557.0</v>
      </c>
      <c r="B1042" s="86" t="s">
        <v>241</v>
      </c>
      <c r="C1042" s="86" t="s">
        <v>408</v>
      </c>
      <c r="D1042" s="86">
        <v>321650.0</v>
      </c>
      <c r="E1042" s="86" t="s">
        <v>346</v>
      </c>
      <c r="F1042" s="86" t="s">
        <v>7395</v>
      </c>
      <c r="G1042" s="86" t="s">
        <v>4385</v>
      </c>
      <c r="H1042" s="86" t="s">
        <v>2158</v>
      </c>
      <c r="I1042" s="86"/>
      <c r="J1042" s="88"/>
      <c r="K1042" s="66" t="str">
        <f>IFNA(VLOOKUP(D1042,'EAN Codes'!A:C,2,False),"")</f>
        <v/>
      </c>
      <c r="L1042" s="86" t="s">
        <v>269</v>
      </c>
      <c r="M1042" s="92"/>
      <c r="N1042" s="86"/>
      <c r="O1042" s="86"/>
      <c r="P1042" s="86"/>
      <c r="Q1042" s="86"/>
      <c r="R1042" s="86"/>
      <c r="S1042" s="88"/>
      <c r="T1042" s="86"/>
      <c r="U1042" s="93" t="b">
        <v>1</v>
      </c>
      <c r="V1042" s="86" t="s">
        <v>7405</v>
      </c>
      <c r="Y1042" s="6" t="s">
        <v>452</v>
      </c>
      <c r="Z1042" t="b">
        <v>0</v>
      </c>
    </row>
    <row r="1043" hidden="1">
      <c r="A1043" s="99">
        <v>378.0</v>
      </c>
      <c r="B1043" s="99" t="s">
        <v>241</v>
      </c>
      <c r="C1043" s="122" t="s">
        <v>4365</v>
      </c>
      <c r="D1043" s="217" t="s">
        <v>7409</v>
      </c>
      <c r="E1043" s="122" t="s">
        <v>4367</v>
      </c>
      <c r="F1043" s="122" t="s">
        <v>7411</v>
      </c>
      <c r="G1043" s="122" t="s">
        <v>1897</v>
      </c>
      <c r="H1043" s="99" t="s">
        <v>189</v>
      </c>
      <c r="I1043" s="99" t="s">
        <v>1863</v>
      </c>
      <c r="J1043" s="104"/>
      <c r="K1043" s="66" t="str">
        <f>IFNA(VLOOKUP(D1043,'EAN Codes'!A:C,2,False),"")</f>
        <v/>
      </c>
      <c r="L1043" s="237" t="s">
        <v>269</v>
      </c>
      <c r="M1043" s="83"/>
      <c r="N1043" s="6"/>
      <c r="O1043" s="6"/>
      <c r="P1043" s="6"/>
      <c r="Q1043" s="6"/>
      <c r="R1043" s="6"/>
      <c r="S1043" s="84"/>
      <c r="T1043" s="6"/>
      <c r="U1043" s="93" t="b">
        <v>1</v>
      </c>
      <c r="V1043" s="6" t="s">
        <v>7419</v>
      </c>
      <c r="Y1043" s="6" t="s">
        <v>452</v>
      </c>
      <c r="Z1043" t="b">
        <v>0</v>
      </c>
    </row>
    <row r="1044" hidden="1">
      <c r="A1044" s="99">
        <v>454.0</v>
      </c>
      <c r="B1044" s="99" t="s">
        <v>241</v>
      </c>
      <c r="C1044" s="99" t="s">
        <v>408</v>
      </c>
      <c r="D1044" s="99">
        <v>321650.0</v>
      </c>
      <c r="E1044" s="99" t="s">
        <v>346</v>
      </c>
      <c r="F1044" s="99" t="s">
        <v>7421</v>
      </c>
      <c r="G1044" s="99" t="s">
        <v>4385</v>
      </c>
      <c r="H1044" s="99" t="s">
        <v>189</v>
      </c>
      <c r="I1044" s="99" t="s">
        <v>819</v>
      </c>
      <c r="J1044" s="104"/>
      <c r="K1044" s="66" t="str">
        <f>IFNA(VLOOKUP(D1044,'EAN Codes'!A:C,2,False),"")</f>
        <v/>
      </c>
      <c r="L1044" s="35" t="s">
        <v>269</v>
      </c>
      <c r="M1044" s="83"/>
      <c r="N1044" s="6"/>
      <c r="O1044" s="6"/>
      <c r="P1044" s="6"/>
      <c r="Q1044" s="6"/>
      <c r="R1044" s="6"/>
      <c r="S1044" s="84"/>
      <c r="T1044" s="6"/>
      <c r="U1044" s="93" t="b">
        <v>1</v>
      </c>
      <c r="V1044" s="6" t="s">
        <v>7431</v>
      </c>
      <c r="Y1044" s="6" t="s">
        <v>452</v>
      </c>
      <c r="Z1044" t="b">
        <v>0</v>
      </c>
    </row>
    <row r="1045" hidden="1">
      <c r="A1045" s="6">
        <v>437.0</v>
      </c>
      <c r="B1045" s="6" t="s">
        <v>181</v>
      </c>
      <c r="C1045" s="6" t="s">
        <v>950</v>
      </c>
      <c r="D1045" s="6">
        <v>748242.0</v>
      </c>
      <c r="E1045" s="6" t="s">
        <v>1110</v>
      </c>
      <c r="F1045" s="6" t="s">
        <v>7436</v>
      </c>
      <c r="G1045" s="6" t="s">
        <v>437</v>
      </c>
      <c r="H1045" s="6" t="s">
        <v>189</v>
      </c>
      <c r="I1045" s="6" t="s">
        <v>3978</v>
      </c>
      <c r="J1045" s="84"/>
      <c r="K1045" s="66" t="str">
        <f>IFNA(VLOOKUP(D1045,'EAN Codes'!A:C,2,False),"")</f>
        <v/>
      </c>
      <c r="L1045" s="82"/>
      <c r="M1045" s="83"/>
      <c r="N1045" s="6"/>
      <c r="O1045" s="6"/>
      <c r="P1045" s="6"/>
      <c r="Q1045" s="6"/>
      <c r="R1045" s="6"/>
      <c r="S1045" s="84"/>
      <c r="T1045" s="6"/>
      <c r="U1045" s="93" t="b">
        <v>1</v>
      </c>
      <c r="V1045" s="6" t="s">
        <v>7448</v>
      </c>
      <c r="Z1045" t="b">
        <v>0</v>
      </c>
    </row>
    <row r="1046" hidden="1">
      <c r="A1046" s="99">
        <v>299.0</v>
      </c>
      <c r="B1046" s="99" t="s">
        <v>181</v>
      </c>
      <c r="C1046" s="99" t="s">
        <v>760</v>
      </c>
      <c r="D1046" s="101"/>
      <c r="E1046" s="101"/>
      <c r="F1046" s="99" t="s">
        <v>7450</v>
      </c>
      <c r="G1046" s="101"/>
      <c r="H1046" s="99" t="s">
        <v>149</v>
      </c>
      <c r="I1046" s="101"/>
      <c r="J1046" s="110"/>
      <c r="K1046" s="66" t="str">
        <f>IFNA(VLOOKUP(D1046,'EAN Codes'!A:C,2,False),"")</f>
        <v/>
      </c>
      <c r="L1046" s="101"/>
      <c r="M1046" s="119"/>
      <c r="N1046" s="99"/>
      <c r="O1046" s="99"/>
      <c r="P1046" s="99"/>
      <c r="Q1046" s="99"/>
      <c r="R1046" s="99"/>
      <c r="S1046" s="104"/>
      <c r="T1046" s="99"/>
      <c r="U1046" s="93" t="b">
        <v>1</v>
      </c>
      <c r="V1046" s="99" t="s">
        <v>7458</v>
      </c>
      <c r="Z1046" t="b">
        <v>0</v>
      </c>
    </row>
    <row r="1047" hidden="1">
      <c r="A1047" s="99">
        <v>478.0</v>
      </c>
      <c r="B1047" s="99" t="s">
        <v>241</v>
      </c>
      <c r="C1047" s="99" t="s">
        <v>342</v>
      </c>
      <c r="D1047" s="99" t="s">
        <v>790</v>
      </c>
      <c r="E1047" s="99" t="s">
        <v>346</v>
      </c>
      <c r="F1047" s="101"/>
      <c r="G1047" s="101"/>
      <c r="H1047" s="99" t="s">
        <v>189</v>
      </c>
      <c r="I1047" s="99" t="s">
        <v>570</v>
      </c>
      <c r="J1047" s="104"/>
      <c r="K1047" s="66" t="str">
        <f>IFNA(VLOOKUP(D1047,'EAN Codes'!A:C,2,False),"")</f>
        <v>5907615800450</v>
      </c>
      <c r="L1047" s="99"/>
      <c r="M1047" s="119"/>
      <c r="N1047" s="99"/>
      <c r="O1047" s="99"/>
      <c r="P1047" s="99"/>
      <c r="Q1047" s="99"/>
      <c r="R1047" s="99"/>
      <c r="S1047" s="104"/>
      <c r="T1047" s="99"/>
      <c r="U1047" s="93" t="b">
        <v>1</v>
      </c>
      <c r="V1047" s="99" t="s">
        <v>7466</v>
      </c>
      <c r="Z1047" t="b">
        <v>0</v>
      </c>
    </row>
    <row r="1048" hidden="1">
      <c r="A1048" s="99">
        <v>443.0</v>
      </c>
      <c r="B1048" s="99" t="s">
        <v>241</v>
      </c>
      <c r="C1048" s="99" t="s">
        <v>408</v>
      </c>
      <c r="D1048" s="99">
        <v>303352.0</v>
      </c>
      <c r="E1048" s="101"/>
      <c r="F1048" s="101"/>
      <c r="G1048" s="101"/>
      <c r="H1048" s="99" t="s">
        <v>189</v>
      </c>
      <c r="I1048" s="99" t="s">
        <v>458</v>
      </c>
      <c r="J1048" s="104"/>
      <c r="K1048" s="66" t="str">
        <f>IFNA(VLOOKUP(D1048,'EAN Codes'!A:C,2,False),"")</f>
        <v/>
      </c>
      <c r="L1048" s="35"/>
      <c r="M1048" s="83"/>
      <c r="N1048" s="6"/>
      <c r="O1048" s="6"/>
      <c r="P1048" s="6"/>
      <c r="Q1048" s="6"/>
      <c r="R1048" s="6"/>
      <c r="S1048" s="84"/>
      <c r="T1048" s="6"/>
      <c r="U1048" s="93" t="b">
        <v>1</v>
      </c>
      <c r="V1048" s="6" t="s">
        <v>7477</v>
      </c>
      <c r="Z1048" t="b">
        <v>0</v>
      </c>
    </row>
    <row r="1049" hidden="1">
      <c r="A1049" s="99">
        <v>444.0</v>
      </c>
      <c r="B1049" s="99" t="s">
        <v>241</v>
      </c>
      <c r="C1049" s="99" t="s">
        <v>408</v>
      </c>
      <c r="D1049" s="99">
        <v>303352.0</v>
      </c>
      <c r="E1049" s="101"/>
      <c r="F1049" s="101"/>
      <c r="G1049" s="101"/>
      <c r="H1049" s="99" t="s">
        <v>189</v>
      </c>
      <c r="I1049" s="99" t="s">
        <v>458</v>
      </c>
      <c r="J1049" s="104"/>
      <c r="K1049" s="66" t="str">
        <f>IFNA(VLOOKUP(D1049,'EAN Codes'!A:C,2,False),"")</f>
        <v/>
      </c>
      <c r="L1049" s="99"/>
      <c r="M1049" s="83"/>
      <c r="N1049" s="6"/>
      <c r="O1049" s="6"/>
      <c r="P1049" s="6"/>
      <c r="Q1049" s="6"/>
      <c r="R1049" s="6"/>
      <c r="S1049" s="84"/>
      <c r="T1049" s="6"/>
      <c r="U1049" s="93" t="b">
        <v>1</v>
      </c>
      <c r="V1049" s="6" t="s">
        <v>7484</v>
      </c>
      <c r="Z1049" t="b">
        <v>0</v>
      </c>
    </row>
    <row r="1050" hidden="1">
      <c r="A1050" s="99">
        <v>445.0</v>
      </c>
      <c r="B1050" s="99" t="s">
        <v>241</v>
      </c>
      <c r="C1050" s="99" t="s">
        <v>408</v>
      </c>
      <c r="D1050" s="99">
        <v>303352.0</v>
      </c>
      <c r="E1050" s="101"/>
      <c r="F1050" s="101"/>
      <c r="G1050" s="101"/>
      <c r="H1050" s="99" t="s">
        <v>189</v>
      </c>
      <c r="I1050" s="99" t="s">
        <v>458</v>
      </c>
      <c r="J1050" s="104"/>
      <c r="K1050" s="66" t="str">
        <f>IFNA(VLOOKUP(D1050,'EAN Codes'!A:C,2,False),"")</f>
        <v/>
      </c>
      <c r="L1050" s="99"/>
      <c r="M1050" s="119"/>
      <c r="N1050" s="99"/>
      <c r="O1050" s="99"/>
      <c r="P1050" s="99"/>
      <c r="Q1050" s="99"/>
      <c r="R1050" s="99"/>
      <c r="S1050" s="104"/>
      <c r="T1050" s="99"/>
      <c r="U1050" s="93" t="b">
        <v>1</v>
      </c>
      <c r="V1050" s="99" t="s">
        <v>7493</v>
      </c>
      <c r="Z1050" t="b">
        <v>0</v>
      </c>
    </row>
    <row r="1051" hidden="1">
      <c r="A1051" s="99">
        <v>446.0</v>
      </c>
      <c r="B1051" s="99" t="s">
        <v>241</v>
      </c>
      <c r="C1051" s="99" t="s">
        <v>408</v>
      </c>
      <c r="D1051" s="99">
        <v>303352.0</v>
      </c>
      <c r="E1051" s="101"/>
      <c r="F1051" s="101"/>
      <c r="G1051" s="101"/>
      <c r="H1051" s="99" t="s">
        <v>189</v>
      </c>
      <c r="I1051" s="99" t="s">
        <v>458</v>
      </c>
      <c r="J1051" s="104"/>
      <c r="K1051" s="66" t="str">
        <f>IFNA(VLOOKUP(D1051,'EAN Codes'!A:C,2,False),"")</f>
        <v/>
      </c>
      <c r="L1051" s="99"/>
      <c r="M1051" s="119"/>
      <c r="N1051" s="99"/>
      <c r="O1051" s="99"/>
      <c r="P1051" s="99"/>
      <c r="Q1051" s="99"/>
      <c r="R1051" s="99"/>
      <c r="S1051" s="104"/>
      <c r="T1051" s="99"/>
      <c r="U1051" s="93" t="b">
        <v>1</v>
      </c>
      <c r="V1051" s="99" t="s">
        <v>7503</v>
      </c>
      <c r="Z1051" t="b">
        <v>0</v>
      </c>
    </row>
    <row r="1052" hidden="1">
      <c r="A1052" s="86">
        <v>654.0</v>
      </c>
      <c r="B1052" s="99" t="s">
        <v>241</v>
      </c>
      <c r="C1052" s="99" t="s">
        <v>342</v>
      </c>
      <c r="D1052" s="99" t="s">
        <v>3770</v>
      </c>
      <c r="E1052" s="99" t="s">
        <v>346</v>
      </c>
      <c r="F1052" s="101"/>
      <c r="G1052" s="101"/>
      <c r="H1052" s="99" t="s">
        <v>189</v>
      </c>
      <c r="I1052" s="99" t="s">
        <v>458</v>
      </c>
      <c r="J1052" s="104"/>
      <c r="K1052" s="66" t="str">
        <f>IFNA(VLOOKUP(D1052,'EAN Codes'!A:C,2,False),"")</f>
        <v>5907615808333</v>
      </c>
      <c r="L1052" s="99"/>
      <c r="M1052" s="119"/>
      <c r="N1052" s="99"/>
      <c r="O1052" s="99"/>
      <c r="P1052" s="99"/>
      <c r="Q1052" s="99"/>
      <c r="R1052" s="99"/>
      <c r="S1052" s="104"/>
      <c r="T1052" s="99"/>
      <c r="U1052" s="93" t="b">
        <v>1</v>
      </c>
      <c r="V1052" s="99" t="s">
        <v>7513</v>
      </c>
      <c r="Z1052" t="b">
        <v>0</v>
      </c>
    </row>
    <row r="1053" hidden="1">
      <c r="A1053" s="99">
        <v>479.0</v>
      </c>
      <c r="B1053" s="99" t="s">
        <v>241</v>
      </c>
      <c r="C1053" s="99" t="s">
        <v>342</v>
      </c>
      <c r="D1053" s="99" t="s">
        <v>4564</v>
      </c>
      <c r="E1053" s="99" t="s">
        <v>346</v>
      </c>
      <c r="F1053" s="101"/>
      <c r="G1053" s="101"/>
      <c r="H1053" s="99" t="s">
        <v>189</v>
      </c>
      <c r="I1053" s="99" t="s">
        <v>626</v>
      </c>
      <c r="J1053" s="104"/>
      <c r="K1053" s="66" t="str">
        <f>IFNA(VLOOKUP(D1053,'EAN Codes'!A:C,2,False),"")</f>
        <v>5907615827013</v>
      </c>
      <c r="L1053" s="99"/>
      <c r="M1053" s="119"/>
      <c r="N1053" s="99"/>
      <c r="O1053" s="99"/>
      <c r="P1053" s="99"/>
      <c r="Q1053" s="99"/>
      <c r="R1053" s="99"/>
      <c r="S1053" s="104"/>
      <c r="T1053" s="99"/>
      <c r="U1053" s="93" t="b">
        <v>1</v>
      </c>
      <c r="V1053" s="99" t="s">
        <v>7519</v>
      </c>
      <c r="Z1053" t="b">
        <v>0</v>
      </c>
    </row>
    <row r="1054" hidden="1">
      <c r="A1054" s="99">
        <v>456.0</v>
      </c>
      <c r="B1054" s="99" t="s">
        <v>241</v>
      </c>
      <c r="C1054" s="99" t="s">
        <v>408</v>
      </c>
      <c r="D1054" s="99">
        <v>320115.0</v>
      </c>
      <c r="E1054" s="101"/>
      <c r="F1054" s="101"/>
      <c r="G1054" s="101"/>
      <c r="H1054" s="99" t="s">
        <v>189</v>
      </c>
      <c r="I1054" s="99" t="s">
        <v>1863</v>
      </c>
      <c r="J1054" s="104"/>
      <c r="K1054" s="66" t="str">
        <f>IFNA(VLOOKUP(D1054,'EAN Codes'!A:C,2,False),"")</f>
        <v/>
      </c>
      <c r="L1054" s="237"/>
      <c r="M1054" s="119"/>
      <c r="N1054" s="99"/>
      <c r="O1054" s="99"/>
      <c r="P1054" s="99"/>
      <c r="Q1054" s="99"/>
      <c r="R1054" s="99"/>
      <c r="S1054" s="104"/>
      <c r="T1054" s="99"/>
      <c r="U1054" s="93" t="b">
        <v>1</v>
      </c>
      <c r="V1054" s="99" t="s">
        <v>7525</v>
      </c>
      <c r="Z1054" t="b">
        <v>0</v>
      </c>
    </row>
    <row r="1055" hidden="1">
      <c r="A1055" s="99">
        <v>480.0</v>
      </c>
      <c r="B1055" s="99" t="s">
        <v>241</v>
      </c>
      <c r="C1055" s="99" t="s">
        <v>342</v>
      </c>
      <c r="D1055" s="99" t="s">
        <v>999</v>
      </c>
      <c r="E1055" s="99" t="s">
        <v>346</v>
      </c>
      <c r="F1055" s="101"/>
      <c r="G1055" s="101"/>
      <c r="H1055" s="99" t="s">
        <v>189</v>
      </c>
      <c r="I1055" s="99" t="s">
        <v>1863</v>
      </c>
      <c r="J1055" s="104"/>
      <c r="K1055" s="66" t="str">
        <f>IFNA(VLOOKUP(D1055,'EAN Codes'!A:C,2,False),"")</f>
        <v>5907615800641</v>
      </c>
      <c r="L1055" s="237"/>
      <c r="M1055" s="119"/>
      <c r="N1055" s="99"/>
      <c r="O1055" s="99"/>
      <c r="P1055" s="99"/>
      <c r="Q1055" s="99"/>
      <c r="R1055" s="99"/>
      <c r="S1055" s="104"/>
      <c r="T1055" s="99"/>
      <c r="U1055" s="93" t="b">
        <v>1</v>
      </c>
      <c r="V1055" s="99" t="s">
        <v>7534</v>
      </c>
      <c r="Z1055" t="b">
        <v>0</v>
      </c>
    </row>
    <row r="1056" hidden="1">
      <c r="A1056" s="99">
        <v>457.0</v>
      </c>
      <c r="B1056" s="99" t="s">
        <v>241</v>
      </c>
      <c r="C1056" s="99" t="s">
        <v>342</v>
      </c>
      <c r="D1056" s="99" t="s">
        <v>3964</v>
      </c>
      <c r="E1056" s="101"/>
      <c r="F1056" s="101"/>
      <c r="G1056" s="101"/>
      <c r="H1056" s="99" t="s">
        <v>189</v>
      </c>
      <c r="I1056" s="99" t="s">
        <v>1634</v>
      </c>
      <c r="J1056" s="104"/>
      <c r="K1056" s="66" t="str">
        <f>IFNA(VLOOKUP(D1056,'EAN Codes'!A:C,2,False),"")</f>
        <v>5907615808777</v>
      </c>
      <c r="L1056" s="99"/>
      <c r="M1056" s="119"/>
      <c r="N1056" s="99"/>
      <c r="O1056" s="99"/>
      <c r="P1056" s="99"/>
      <c r="Q1056" s="99"/>
      <c r="R1056" s="99"/>
      <c r="S1056" s="104"/>
      <c r="T1056" s="99"/>
      <c r="U1056" s="93" t="b">
        <v>1</v>
      </c>
      <c r="V1056" s="99" t="s">
        <v>7544</v>
      </c>
      <c r="Z1056" t="b">
        <v>0</v>
      </c>
    </row>
    <row r="1057" hidden="1">
      <c r="A1057" s="462">
        <v>319.0</v>
      </c>
      <c r="B1057" s="99" t="s">
        <v>241</v>
      </c>
      <c r="C1057" s="99" t="s">
        <v>7548</v>
      </c>
      <c r="D1057" s="99" t="s">
        <v>7549</v>
      </c>
      <c r="E1057" s="99" t="s">
        <v>7550</v>
      </c>
      <c r="F1057" s="101"/>
      <c r="G1057" s="101"/>
      <c r="H1057" s="99" t="s">
        <v>189</v>
      </c>
      <c r="I1057" s="99" t="s">
        <v>397</v>
      </c>
      <c r="J1057" s="104"/>
      <c r="K1057" s="66" t="str">
        <f>IFNA(VLOOKUP(D1057,'EAN Codes'!A:C,2,False),"")</f>
        <v/>
      </c>
      <c r="L1057" s="35"/>
      <c r="M1057" s="119"/>
      <c r="N1057" s="99"/>
      <c r="O1057" s="99"/>
      <c r="P1057" s="99"/>
      <c r="Q1057" s="99"/>
      <c r="R1057" s="99"/>
      <c r="S1057" s="104"/>
      <c r="T1057" s="99"/>
      <c r="U1057" s="93" t="b">
        <v>1</v>
      </c>
      <c r="V1057" s="99" t="s">
        <v>7558</v>
      </c>
      <c r="Z1057" t="b">
        <v>0</v>
      </c>
    </row>
    <row r="1058" hidden="1">
      <c r="A1058" s="99">
        <v>466.0</v>
      </c>
      <c r="B1058" s="99" t="s">
        <v>241</v>
      </c>
      <c r="C1058" s="99" t="s">
        <v>408</v>
      </c>
      <c r="D1058" s="99">
        <v>317104.0</v>
      </c>
      <c r="E1058" s="101"/>
      <c r="F1058" s="101"/>
      <c r="G1058" s="101"/>
      <c r="H1058" s="99" t="s">
        <v>189</v>
      </c>
      <c r="I1058" s="99" t="s">
        <v>2253</v>
      </c>
      <c r="J1058" s="104"/>
      <c r="K1058" s="66" t="str">
        <f>IFNA(VLOOKUP(D1058,'EAN Codes'!A:C,2,False),"")</f>
        <v/>
      </c>
      <c r="L1058" s="99"/>
      <c r="M1058" s="119"/>
      <c r="N1058" s="99"/>
      <c r="O1058" s="99"/>
      <c r="P1058" s="99"/>
      <c r="Q1058" s="99"/>
      <c r="R1058" s="99"/>
      <c r="S1058" s="104"/>
      <c r="T1058" s="99"/>
      <c r="U1058" s="93" t="b">
        <v>1</v>
      </c>
      <c r="V1058" s="99" t="s">
        <v>7564</v>
      </c>
      <c r="Z1058" t="b">
        <v>0</v>
      </c>
    </row>
    <row r="1059" hidden="1">
      <c r="A1059" s="99">
        <v>467.0</v>
      </c>
      <c r="B1059" s="99" t="s">
        <v>241</v>
      </c>
      <c r="C1059" s="99" t="s">
        <v>408</v>
      </c>
      <c r="D1059" s="99">
        <v>317104.0</v>
      </c>
      <c r="E1059" s="101"/>
      <c r="F1059" s="101"/>
      <c r="G1059" s="101"/>
      <c r="H1059" s="99" t="s">
        <v>189</v>
      </c>
      <c r="I1059" s="99" t="s">
        <v>2253</v>
      </c>
      <c r="J1059" s="104"/>
      <c r="K1059" s="66" t="str">
        <f>IFNA(VLOOKUP(D1059,'EAN Codes'!A:C,2,False),"")</f>
        <v/>
      </c>
      <c r="L1059" s="99"/>
      <c r="M1059" s="119"/>
      <c r="N1059" s="99"/>
      <c r="O1059" s="99"/>
      <c r="P1059" s="99"/>
      <c r="Q1059" s="99"/>
      <c r="R1059" s="99"/>
      <c r="S1059" s="104"/>
      <c r="T1059" s="99"/>
      <c r="U1059" s="93" t="b">
        <v>1</v>
      </c>
      <c r="V1059" s="99" t="s">
        <v>7575</v>
      </c>
      <c r="Z1059" t="b">
        <v>0</v>
      </c>
    </row>
    <row r="1060" hidden="1">
      <c r="A1060" s="99">
        <v>463.0</v>
      </c>
      <c r="B1060" s="99" t="s">
        <v>241</v>
      </c>
      <c r="C1060" s="99" t="s">
        <v>408</v>
      </c>
      <c r="D1060" s="99">
        <v>303317.0</v>
      </c>
      <c r="E1060" s="101"/>
      <c r="F1060" s="101"/>
      <c r="G1060" s="101"/>
      <c r="H1060" s="99" t="s">
        <v>189</v>
      </c>
      <c r="I1060" s="99" t="s">
        <v>602</v>
      </c>
      <c r="J1060" s="104"/>
      <c r="K1060" s="66" t="str">
        <f>IFNA(VLOOKUP(D1060,'EAN Codes'!A:C,2,False),"")</f>
        <v/>
      </c>
      <c r="L1060" s="99"/>
      <c r="M1060" s="119"/>
      <c r="N1060" s="99"/>
      <c r="O1060" s="99"/>
      <c r="P1060" s="99"/>
      <c r="Q1060" s="99"/>
      <c r="R1060" s="99"/>
      <c r="S1060" s="104"/>
      <c r="T1060" s="99"/>
      <c r="U1060" s="93" t="b">
        <v>1</v>
      </c>
      <c r="V1060" s="99" t="s">
        <v>7584</v>
      </c>
      <c r="Z1060" t="b">
        <v>0</v>
      </c>
    </row>
    <row r="1061" hidden="1">
      <c r="A1061" s="99">
        <v>464.0</v>
      </c>
      <c r="B1061" s="99" t="s">
        <v>241</v>
      </c>
      <c r="C1061" s="99" t="s">
        <v>408</v>
      </c>
      <c r="D1061" s="99">
        <v>303398.0</v>
      </c>
      <c r="E1061" s="101"/>
      <c r="F1061" s="101"/>
      <c r="G1061" s="101"/>
      <c r="H1061" s="99" t="s">
        <v>189</v>
      </c>
      <c r="I1061" s="99" t="s">
        <v>602</v>
      </c>
      <c r="J1061" s="104"/>
      <c r="K1061" s="66" t="str">
        <f>IFNA(VLOOKUP(D1061,'EAN Codes'!A:C,2,False),"")</f>
        <v/>
      </c>
      <c r="L1061" s="99"/>
      <c r="M1061" s="119"/>
      <c r="N1061" s="99"/>
      <c r="O1061" s="99"/>
      <c r="P1061" s="99"/>
      <c r="Q1061" s="99"/>
      <c r="R1061" s="99"/>
      <c r="S1061" s="104"/>
      <c r="T1061" s="99"/>
      <c r="U1061" s="93" t="b">
        <v>1</v>
      </c>
      <c r="V1061" s="99" t="s">
        <v>7590</v>
      </c>
      <c r="Z1061" t="b">
        <v>0</v>
      </c>
    </row>
    <row r="1062" hidden="1">
      <c r="A1062" s="99">
        <v>465.0</v>
      </c>
      <c r="B1062" s="99" t="s">
        <v>241</v>
      </c>
      <c r="C1062" s="99" t="s">
        <v>408</v>
      </c>
      <c r="D1062" s="99">
        <v>303398.0</v>
      </c>
      <c r="E1062" s="101"/>
      <c r="F1062" s="101"/>
      <c r="G1062" s="101"/>
      <c r="H1062" s="99" t="s">
        <v>189</v>
      </c>
      <c r="I1062" s="99" t="s">
        <v>602</v>
      </c>
      <c r="J1062" s="104"/>
      <c r="K1062" s="66" t="str">
        <f>IFNA(VLOOKUP(D1062,'EAN Codes'!A:C,2,False),"")</f>
        <v/>
      </c>
      <c r="L1062" s="99"/>
      <c r="M1062" s="119"/>
      <c r="N1062" s="99"/>
      <c r="O1062" s="99"/>
      <c r="P1062" s="99"/>
      <c r="Q1062" s="99"/>
      <c r="R1062" s="99"/>
      <c r="S1062" s="104"/>
      <c r="T1062" s="99"/>
      <c r="U1062" s="93" t="b">
        <v>1</v>
      </c>
      <c r="V1062" s="99" t="s">
        <v>7598</v>
      </c>
      <c r="Z1062" t="b">
        <v>0</v>
      </c>
    </row>
    <row r="1063" hidden="1">
      <c r="A1063" s="99">
        <v>469.0</v>
      </c>
      <c r="B1063" s="99" t="s">
        <v>241</v>
      </c>
      <c r="C1063" s="99" t="s">
        <v>408</v>
      </c>
      <c r="D1063" s="99">
        <v>313438.0</v>
      </c>
      <c r="E1063" s="101"/>
      <c r="F1063" s="101"/>
      <c r="G1063" s="101"/>
      <c r="H1063" s="99" t="s">
        <v>189</v>
      </c>
      <c r="I1063" s="99" t="s">
        <v>602</v>
      </c>
      <c r="J1063" s="104"/>
      <c r="K1063" s="66" t="str">
        <f>IFNA(VLOOKUP(D1063,'EAN Codes'!A:C,2,False),"")</f>
        <v/>
      </c>
      <c r="L1063" s="99"/>
      <c r="M1063" s="119"/>
      <c r="N1063" s="99"/>
      <c r="O1063" s="99"/>
      <c r="P1063" s="99"/>
      <c r="Q1063" s="99"/>
      <c r="R1063" s="99"/>
      <c r="S1063" s="104"/>
      <c r="T1063" s="99"/>
      <c r="U1063" s="93" t="b">
        <v>1</v>
      </c>
      <c r="V1063" s="99" t="s">
        <v>7607</v>
      </c>
      <c r="Z1063" t="b">
        <v>0</v>
      </c>
    </row>
    <row r="1064" hidden="1">
      <c r="A1064" s="99">
        <v>470.0</v>
      </c>
      <c r="B1064" s="99" t="s">
        <v>241</v>
      </c>
      <c r="C1064" s="99" t="s">
        <v>408</v>
      </c>
      <c r="D1064" s="99">
        <v>303366.0</v>
      </c>
      <c r="E1064" s="101"/>
      <c r="F1064" s="101"/>
      <c r="G1064" s="101"/>
      <c r="H1064" s="99" t="s">
        <v>189</v>
      </c>
      <c r="I1064" s="99" t="s">
        <v>602</v>
      </c>
      <c r="J1064" s="104"/>
      <c r="K1064" s="66" t="str">
        <f>IFNA(VLOOKUP(D1064,'EAN Codes'!A:C,2,False),"")</f>
        <v/>
      </c>
      <c r="L1064" s="35"/>
      <c r="M1064" s="83"/>
      <c r="N1064" s="6"/>
      <c r="O1064" s="6"/>
      <c r="P1064" s="6"/>
      <c r="Q1064" s="6"/>
      <c r="R1064" s="6"/>
      <c r="S1064" s="84"/>
      <c r="T1064" s="6"/>
      <c r="U1064" s="93" t="b">
        <v>1</v>
      </c>
      <c r="V1064" s="6" t="s">
        <v>7618</v>
      </c>
      <c r="Z1064" t="b">
        <v>0</v>
      </c>
    </row>
    <row r="1065" hidden="1">
      <c r="A1065" s="99">
        <v>472.0</v>
      </c>
      <c r="B1065" s="99" t="s">
        <v>241</v>
      </c>
      <c r="C1065" s="99" t="s">
        <v>408</v>
      </c>
      <c r="D1065" s="99">
        <v>303330.0</v>
      </c>
      <c r="E1065" s="101"/>
      <c r="F1065" s="101"/>
      <c r="G1065" s="101"/>
      <c r="H1065" s="99" t="s">
        <v>189</v>
      </c>
      <c r="I1065" s="99" t="s">
        <v>602</v>
      </c>
      <c r="J1065" s="104"/>
      <c r="K1065" s="66" t="str">
        <f>IFNA(VLOOKUP(D1065,'EAN Codes'!A:C,2,False),"")</f>
        <v/>
      </c>
      <c r="L1065" s="35"/>
      <c r="M1065" s="67"/>
      <c r="S1065" s="60"/>
      <c r="U1065" s="93" t="b">
        <v>1</v>
      </c>
      <c r="Z1065" t="b">
        <v>0</v>
      </c>
    </row>
    <row r="1066" hidden="1">
      <c r="A1066" s="86">
        <v>533.0</v>
      </c>
      <c r="H1066" s="86" t="s">
        <v>7628</v>
      </c>
      <c r="I1066" s="91"/>
      <c r="J1066" s="97"/>
      <c r="K1066" s="66" t="str">
        <f>IFNA(VLOOKUP(D1066,'EAN Codes'!A:C,2,False),"")</f>
        <v/>
      </c>
      <c r="L1066" s="86"/>
      <c r="M1066" s="92"/>
      <c r="N1066" s="86"/>
      <c r="O1066" s="86"/>
      <c r="P1066" s="86"/>
      <c r="Q1066" s="86"/>
      <c r="R1066" s="86"/>
      <c r="S1066" s="88"/>
      <c r="T1066" s="86"/>
      <c r="U1066" s="93" t="b">
        <v>1</v>
      </c>
      <c r="V1066" s="86" t="s">
        <v>7634</v>
      </c>
      <c r="Z1066" t="b">
        <v>0</v>
      </c>
    </row>
    <row r="1067" hidden="1">
      <c r="A1067" s="99">
        <v>521.0</v>
      </c>
      <c r="B1067" s="99" t="s">
        <v>241</v>
      </c>
      <c r="C1067" s="99" t="s">
        <v>408</v>
      </c>
      <c r="D1067" s="99">
        <v>3.03352300113E11</v>
      </c>
      <c r="E1067" s="99" t="s">
        <v>1110</v>
      </c>
      <c r="F1067" s="101"/>
      <c r="G1067" s="99" t="s">
        <v>2194</v>
      </c>
      <c r="H1067" s="99" t="s">
        <v>517</v>
      </c>
      <c r="I1067" s="101"/>
      <c r="J1067" s="110"/>
      <c r="K1067" s="66" t="str">
        <f>IFNA(VLOOKUP(D1067,'EAN Codes'!A:C,2,False),"")</f>
        <v/>
      </c>
      <c r="L1067" s="99"/>
      <c r="M1067" s="119"/>
      <c r="N1067" s="99"/>
      <c r="O1067" s="99"/>
      <c r="P1067" s="99"/>
      <c r="Q1067" s="99"/>
      <c r="R1067" s="99"/>
      <c r="S1067" s="104"/>
      <c r="T1067" s="99"/>
      <c r="U1067" s="93" t="b">
        <v>1</v>
      </c>
      <c r="V1067" s="99" t="s">
        <v>7644</v>
      </c>
      <c r="Z1067" t="b">
        <v>0</v>
      </c>
    </row>
    <row r="1068" hidden="1">
      <c r="A1068" s="86">
        <v>792.0</v>
      </c>
      <c r="B1068" s="86" t="s">
        <v>241</v>
      </c>
      <c r="C1068" s="86" t="s">
        <v>342</v>
      </c>
      <c r="D1068" s="461" t="s">
        <v>3770</v>
      </c>
      <c r="E1068" s="91"/>
      <c r="F1068" s="91"/>
      <c r="G1068" s="91"/>
      <c r="H1068" s="86" t="s">
        <v>189</v>
      </c>
      <c r="I1068" s="86" t="s">
        <v>458</v>
      </c>
      <c r="J1068" s="88"/>
      <c r="K1068" s="66" t="str">
        <f>IFNA(VLOOKUP(D1068,'EAN Codes'!A:C,2,False),"")</f>
        <v>5907615808333</v>
      </c>
      <c r="L1068" s="91"/>
      <c r="M1068" s="92"/>
      <c r="N1068" s="86"/>
      <c r="O1068" s="86"/>
      <c r="P1068" s="86"/>
      <c r="Q1068" s="86"/>
      <c r="R1068" s="86"/>
      <c r="S1068" s="88"/>
      <c r="T1068" s="86"/>
      <c r="U1068" s="93" t="b">
        <v>1</v>
      </c>
      <c r="V1068" s="86" t="s">
        <v>7660</v>
      </c>
      <c r="Z1068" t="b">
        <v>0</v>
      </c>
    </row>
    <row r="1069" hidden="1">
      <c r="A1069" s="86">
        <v>522.0</v>
      </c>
      <c r="B1069" s="86" t="s">
        <v>2651</v>
      </c>
      <c r="C1069" s="86" t="s">
        <v>7662</v>
      </c>
      <c r="D1069" s="463" t="s">
        <v>7663</v>
      </c>
      <c r="H1069" s="6" t="s">
        <v>189</v>
      </c>
      <c r="I1069" s="6" t="s">
        <v>1007</v>
      </c>
      <c r="J1069" s="84"/>
      <c r="K1069" s="66" t="str">
        <f>IFNA(VLOOKUP(D1069,'EAN Codes'!A:C,2,False),"")</f>
        <v/>
      </c>
      <c r="L1069" s="35"/>
      <c r="M1069" s="83"/>
      <c r="N1069" s="6"/>
      <c r="O1069" s="6"/>
      <c r="P1069" s="6"/>
      <c r="Q1069" s="6"/>
      <c r="R1069" s="6"/>
      <c r="S1069" s="84"/>
      <c r="T1069" s="6"/>
      <c r="U1069" s="93" t="b">
        <v>1</v>
      </c>
      <c r="V1069" s="6" t="s">
        <v>7676</v>
      </c>
      <c r="Z1069" t="b">
        <v>0</v>
      </c>
    </row>
    <row r="1070" hidden="1">
      <c r="A1070" s="462">
        <v>318.0</v>
      </c>
      <c r="B1070" s="99" t="s">
        <v>241</v>
      </c>
      <c r="C1070" s="99" t="s">
        <v>7548</v>
      </c>
      <c r="D1070" s="99" t="s">
        <v>7679</v>
      </c>
      <c r="E1070" s="99" t="s">
        <v>7680</v>
      </c>
      <c r="F1070" s="101"/>
      <c r="G1070" s="101"/>
      <c r="H1070" s="99" t="s">
        <v>189</v>
      </c>
      <c r="I1070" s="99" t="s">
        <v>397</v>
      </c>
      <c r="J1070" s="104"/>
      <c r="K1070" s="66" t="str">
        <f>IFNA(VLOOKUP(D1070,'EAN Codes'!A:C,2,False),"")</f>
        <v/>
      </c>
      <c r="L1070" s="35"/>
      <c r="M1070" s="83"/>
      <c r="N1070" s="6"/>
      <c r="O1070" s="6"/>
      <c r="P1070" s="6"/>
      <c r="Q1070" s="6"/>
      <c r="R1070" s="6"/>
      <c r="S1070" s="84"/>
      <c r="T1070" s="6"/>
      <c r="U1070" s="93" t="b">
        <v>1</v>
      </c>
      <c r="V1070" s="6"/>
      <c r="Z1070" s="124" t="b">
        <v>0</v>
      </c>
      <c r="AA1070" s="124"/>
      <c r="AB1070" s="124"/>
      <c r="AC1070" s="124"/>
      <c r="AD1070" s="124"/>
      <c r="AE1070" s="124"/>
    </row>
    <row r="1071" hidden="1">
      <c r="A1071" s="462">
        <v>320.0</v>
      </c>
      <c r="B1071" s="99" t="s">
        <v>241</v>
      </c>
      <c r="C1071" s="99" t="s">
        <v>7548</v>
      </c>
      <c r="D1071" s="282" t="s">
        <v>7732</v>
      </c>
      <c r="E1071" s="99" t="s">
        <v>7680</v>
      </c>
      <c r="F1071" s="101"/>
      <c r="G1071" s="101"/>
      <c r="H1071" s="99" t="s">
        <v>189</v>
      </c>
      <c r="I1071" s="99" t="s">
        <v>397</v>
      </c>
      <c r="J1071" s="104"/>
      <c r="K1071" s="66" t="str">
        <f>IFNA(VLOOKUP(D1071,'EAN Codes'!A:C,2,False),"")</f>
        <v/>
      </c>
      <c r="L1071" s="82"/>
      <c r="M1071" s="67"/>
      <c r="S1071" s="60"/>
      <c r="U1071" s="93" t="b">
        <v>1</v>
      </c>
      <c r="Z1071" t="b">
        <v>0</v>
      </c>
    </row>
    <row r="1072" hidden="1">
      <c r="A1072" s="462">
        <v>321.0</v>
      </c>
      <c r="B1072" s="99" t="s">
        <v>241</v>
      </c>
      <c r="C1072" s="99" t="s">
        <v>7548</v>
      </c>
      <c r="D1072" s="99" t="s">
        <v>7745</v>
      </c>
      <c r="E1072" s="99" t="s">
        <v>7680</v>
      </c>
      <c r="F1072" s="101"/>
      <c r="G1072" s="101"/>
      <c r="H1072" s="99" t="s">
        <v>189</v>
      </c>
      <c r="I1072" s="99" t="s">
        <v>397</v>
      </c>
      <c r="J1072" s="104"/>
      <c r="K1072" s="66" t="str">
        <f>IFNA(VLOOKUP(D1072,'EAN Codes'!A:C,2,False),"")</f>
        <v/>
      </c>
      <c r="L1072" s="82"/>
      <c r="M1072" s="67"/>
      <c r="S1072" s="60"/>
      <c r="U1072" s="93" t="b">
        <v>1</v>
      </c>
      <c r="Z1072" t="b">
        <v>0</v>
      </c>
    </row>
    <row r="1073" hidden="1">
      <c r="A1073" s="462">
        <v>322.0</v>
      </c>
      <c r="B1073" s="99" t="s">
        <v>241</v>
      </c>
      <c r="C1073" s="99" t="s">
        <v>7548</v>
      </c>
      <c r="D1073" s="99" t="s">
        <v>7753</v>
      </c>
      <c r="E1073" s="99" t="s">
        <v>7680</v>
      </c>
      <c r="F1073" s="101"/>
      <c r="G1073" s="101"/>
      <c r="H1073" s="99" t="s">
        <v>189</v>
      </c>
      <c r="I1073" s="99" t="s">
        <v>397</v>
      </c>
      <c r="J1073" s="104"/>
      <c r="K1073" s="66" t="str">
        <f>IFNA(VLOOKUP(D1073,'EAN Codes'!A:C,2,False),"")</f>
        <v/>
      </c>
      <c r="L1073" s="82"/>
      <c r="M1073" s="67"/>
      <c r="S1073" s="60"/>
      <c r="U1073" s="93" t="b">
        <v>1</v>
      </c>
      <c r="Z1073" t="b">
        <v>0</v>
      </c>
    </row>
    <row r="1074" hidden="1">
      <c r="A1074" s="462">
        <v>325.0</v>
      </c>
      <c r="B1074" s="99" t="s">
        <v>241</v>
      </c>
      <c r="C1074" s="99" t="s">
        <v>7548</v>
      </c>
      <c r="D1074" s="99" t="s">
        <v>7760</v>
      </c>
      <c r="E1074" s="99" t="s">
        <v>4408</v>
      </c>
      <c r="F1074" s="101"/>
      <c r="G1074" s="101"/>
      <c r="H1074" s="99" t="s">
        <v>189</v>
      </c>
      <c r="I1074" s="99" t="s">
        <v>397</v>
      </c>
      <c r="J1074" s="104"/>
      <c r="K1074" s="66" t="str">
        <f>IFNA(VLOOKUP(D1074,'EAN Codes'!A:C,2,False),"")</f>
        <v/>
      </c>
      <c r="L1074" s="82"/>
      <c r="M1074" s="67"/>
      <c r="S1074" s="60"/>
      <c r="U1074" s="93" t="b">
        <v>1</v>
      </c>
      <c r="Z1074" t="b">
        <v>0</v>
      </c>
    </row>
    <row r="1075" hidden="1">
      <c r="A1075" s="86">
        <v>623.0</v>
      </c>
      <c r="B1075" s="86" t="s">
        <v>4408</v>
      </c>
      <c r="C1075" s="86" t="s">
        <v>7548</v>
      </c>
      <c r="D1075" s="86" t="s">
        <v>7774</v>
      </c>
      <c r="E1075" s="91"/>
      <c r="F1075" s="91"/>
      <c r="G1075" s="91"/>
      <c r="H1075" s="86" t="s">
        <v>189</v>
      </c>
      <c r="I1075" s="86" t="s">
        <v>397</v>
      </c>
      <c r="J1075" s="88"/>
      <c r="K1075" s="66" t="str">
        <f>IFNA(VLOOKUP(D1075,'EAN Codes'!A:C,2,False),"")</f>
        <v/>
      </c>
      <c r="L1075" s="91"/>
      <c r="M1075" s="92"/>
      <c r="N1075" s="86"/>
      <c r="O1075" s="86"/>
      <c r="P1075" s="86"/>
      <c r="Q1075" s="86"/>
      <c r="R1075" s="86"/>
      <c r="S1075" s="88"/>
      <c r="T1075" s="86"/>
      <c r="U1075" s="93" t="b">
        <v>1</v>
      </c>
      <c r="V1075" s="86" t="s">
        <v>7782</v>
      </c>
      <c r="Z1075" t="b">
        <v>0</v>
      </c>
    </row>
    <row r="1076" hidden="1">
      <c r="A1076" s="99">
        <v>641.0</v>
      </c>
      <c r="B1076" s="99" t="s">
        <v>4408</v>
      </c>
      <c r="C1076" s="99" t="s">
        <v>7548</v>
      </c>
      <c r="D1076" s="99" t="s">
        <v>7786</v>
      </c>
      <c r="E1076" s="101"/>
      <c r="F1076" s="101"/>
      <c r="G1076" s="101"/>
      <c r="H1076" s="99" t="s">
        <v>189</v>
      </c>
      <c r="I1076" s="99" t="s">
        <v>397</v>
      </c>
      <c r="J1076" s="104"/>
      <c r="K1076" s="66" t="str">
        <f>IFNA(VLOOKUP(D1076,'EAN Codes'!A:C,2,False),"")</f>
        <v/>
      </c>
      <c r="L1076" s="101"/>
      <c r="M1076" s="108"/>
      <c r="N1076" s="101"/>
      <c r="O1076" s="101"/>
      <c r="P1076" s="101"/>
      <c r="Q1076" s="101"/>
      <c r="R1076" s="101"/>
      <c r="S1076" s="110"/>
      <c r="T1076" s="101"/>
      <c r="U1076" s="93" t="b">
        <v>1</v>
      </c>
      <c r="V1076" s="101"/>
      <c r="Z1076" t="b">
        <v>0</v>
      </c>
    </row>
    <row r="1077" hidden="1">
      <c r="A1077" s="464">
        <v>324.0</v>
      </c>
      <c r="B1077" s="86" t="s">
        <v>241</v>
      </c>
      <c r="C1077" s="86" t="s">
        <v>342</v>
      </c>
      <c r="D1077" s="86" t="s">
        <v>7760</v>
      </c>
      <c r="E1077" s="86" t="s">
        <v>4408</v>
      </c>
      <c r="F1077" s="91"/>
      <c r="G1077" s="91"/>
      <c r="H1077" s="86" t="s">
        <v>2158</v>
      </c>
      <c r="I1077" s="91"/>
      <c r="J1077" s="97"/>
      <c r="K1077" s="66" t="str">
        <f>IFNA(VLOOKUP(D1077,'EAN Codes'!A:C,2,False),"")</f>
        <v/>
      </c>
      <c r="L1077" s="86"/>
      <c r="M1077" s="92"/>
      <c r="N1077" s="86"/>
      <c r="O1077" s="86"/>
      <c r="P1077" s="86"/>
      <c r="Q1077" s="86"/>
      <c r="R1077" s="86"/>
      <c r="S1077" s="88"/>
      <c r="T1077" s="86"/>
      <c r="U1077" s="93" t="b">
        <v>1</v>
      </c>
      <c r="V1077" s="86" t="s">
        <v>7793</v>
      </c>
      <c r="Z1077" t="b">
        <v>0</v>
      </c>
    </row>
    <row r="1078" hidden="1">
      <c r="A1078" s="86">
        <v>765.0</v>
      </c>
      <c r="B1078" s="86" t="s">
        <v>241</v>
      </c>
      <c r="C1078" s="86" t="s">
        <v>408</v>
      </c>
      <c r="D1078" s="86">
        <v>320071.0</v>
      </c>
      <c r="E1078" s="86" t="s">
        <v>346</v>
      </c>
      <c r="F1078" s="91"/>
      <c r="G1078" s="91"/>
      <c r="H1078" s="86" t="s">
        <v>7794</v>
      </c>
      <c r="I1078" s="91"/>
      <c r="J1078" s="97"/>
      <c r="K1078" s="66" t="str">
        <f>IFNA(VLOOKUP(D1078,'EAN Codes'!A:C,2,False),"")</f>
        <v/>
      </c>
      <c r="L1078" s="91"/>
      <c r="M1078" s="92"/>
      <c r="N1078" s="86"/>
      <c r="O1078" s="86"/>
      <c r="P1078" s="86"/>
      <c r="Q1078" s="86"/>
      <c r="R1078" s="86"/>
      <c r="S1078" s="88"/>
      <c r="T1078" s="86"/>
      <c r="U1078" s="93" t="b">
        <v>1</v>
      </c>
      <c r="V1078" s="86" t="s">
        <v>7798</v>
      </c>
      <c r="Z1078" t="b">
        <v>0</v>
      </c>
    </row>
    <row r="1079" hidden="1">
      <c r="A1079" s="6">
        <v>774.0</v>
      </c>
      <c r="B1079" s="99" t="s">
        <v>4408</v>
      </c>
      <c r="C1079" s="99" t="s">
        <v>7548</v>
      </c>
      <c r="D1079" s="99" t="s">
        <v>7799</v>
      </c>
      <c r="E1079" s="101"/>
      <c r="F1079" s="101"/>
      <c r="G1079" s="101"/>
      <c r="H1079" s="99" t="s">
        <v>189</v>
      </c>
      <c r="I1079" s="99" t="s">
        <v>3978</v>
      </c>
      <c r="J1079" s="104"/>
      <c r="K1079" s="66" t="str">
        <f>IFNA(VLOOKUP(D1079,'EAN Codes'!A:C,2,False),"")</f>
        <v/>
      </c>
      <c r="L1079" s="35"/>
      <c r="M1079" s="83"/>
      <c r="N1079" s="6"/>
      <c r="O1079" s="6"/>
      <c r="P1079" s="6"/>
      <c r="Q1079" s="6"/>
      <c r="R1079" s="6"/>
      <c r="S1079" s="84"/>
      <c r="T1079" s="6"/>
      <c r="U1079" s="93" t="b">
        <v>1</v>
      </c>
      <c r="V1079" s="6" t="s">
        <v>7804</v>
      </c>
      <c r="Z1079" t="b">
        <v>0</v>
      </c>
    </row>
    <row r="1080" hidden="1">
      <c r="A1080" s="99">
        <v>882.0</v>
      </c>
      <c r="B1080" s="99" t="s">
        <v>4408</v>
      </c>
      <c r="C1080" s="99" t="s">
        <v>7805</v>
      </c>
      <c r="D1080" s="101"/>
      <c r="E1080" s="99" t="s">
        <v>409</v>
      </c>
      <c r="F1080" s="101"/>
      <c r="G1080" s="101"/>
      <c r="H1080" s="99" t="s">
        <v>189</v>
      </c>
      <c r="I1080" s="99" t="s">
        <v>3978</v>
      </c>
      <c r="J1080" s="104"/>
      <c r="K1080" s="66" t="str">
        <f>IFNA(VLOOKUP(D1080,'EAN Codes'!A:C,2,False),"")</f>
        <v/>
      </c>
      <c r="L1080" s="82"/>
      <c r="M1080" s="67"/>
      <c r="S1080" s="60"/>
      <c r="U1080" s="93" t="b">
        <v>1</v>
      </c>
      <c r="Z1080" t="b">
        <v>0</v>
      </c>
    </row>
    <row r="1081" hidden="1">
      <c r="A1081" s="293">
        <v>323.0</v>
      </c>
      <c r="B1081" s="6" t="s">
        <v>241</v>
      </c>
      <c r="C1081" s="6" t="s">
        <v>1966</v>
      </c>
      <c r="D1081" s="6" t="s">
        <v>7811</v>
      </c>
      <c r="H1081" s="6" t="s">
        <v>189</v>
      </c>
      <c r="I1081" s="6" t="s">
        <v>397</v>
      </c>
      <c r="J1081" s="84"/>
      <c r="K1081" s="66" t="str">
        <f>IFNA(VLOOKUP(D1081,'EAN Codes'!A:C,2,False),"")</f>
        <v/>
      </c>
      <c r="L1081" s="35"/>
      <c r="M1081" s="83"/>
      <c r="N1081" s="6"/>
      <c r="O1081" s="6"/>
      <c r="P1081" s="6"/>
      <c r="Q1081" s="6"/>
      <c r="R1081" s="6"/>
      <c r="S1081" s="84"/>
      <c r="T1081" s="6"/>
      <c r="U1081" s="93" t="b">
        <v>1</v>
      </c>
      <c r="V1081" s="6" t="s">
        <v>4289</v>
      </c>
      <c r="Z1081" t="b">
        <v>0</v>
      </c>
    </row>
    <row r="1082" hidden="1">
      <c r="A1082" s="6">
        <v>140.0</v>
      </c>
      <c r="B1082" s="6" t="s">
        <v>241</v>
      </c>
      <c r="C1082" s="6" t="s">
        <v>342</v>
      </c>
      <c r="D1082" s="6" t="s">
        <v>7814</v>
      </c>
      <c r="E1082" s="6" t="s">
        <v>4408</v>
      </c>
      <c r="H1082" s="6" t="s">
        <v>189</v>
      </c>
      <c r="I1082" s="6" t="s">
        <v>2489</v>
      </c>
      <c r="J1082" s="84"/>
      <c r="K1082" s="66" t="str">
        <f>IFNA(VLOOKUP(D1082,'EAN Codes'!A:C,2,False),"")</f>
        <v/>
      </c>
      <c r="L1082" s="82"/>
      <c r="M1082" s="67"/>
      <c r="S1082" s="60"/>
      <c r="U1082" s="93" t="b">
        <v>1</v>
      </c>
      <c r="Z1082" t="b">
        <v>0</v>
      </c>
    </row>
    <row r="1083" hidden="1">
      <c r="A1083" s="6">
        <v>517.0</v>
      </c>
      <c r="B1083" s="6" t="s">
        <v>181</v>
      </c>
      <c r="C1083" s="6" t="s">
        <v>183</v>
      </c>
      <c r="E1083" s="6" t="s">
        <v>7819</v>
      </c>
      <c r="H1083" s="6" t="s">
        <v>189</v>
      </c>
      <c r="J1083" s="60"/>
      <c r="K1083" s="66" t="str">
        <f>IFNA(VLOOKUP(D1083,'EAN Codes'!A:C,2,False),"")</f>
        <v/>
      </c>
      <c r="L1083" s="35"/>
      <c r="M1083" s="67"/>
      <c r="S1083" s="60"/>
      <c r="U1083" s="93" t="b">
        <v>1</v>
      </c>
      <c r="Z1083" t="b">
        <v>0</v>
      </c>
    </row>
    <row r="1084" hidden="1">
      <c r="A1084" s="86">
        <v>1031.0</v>
      </c>
      <c r="B1084" s="86" t="s">
        <v>241</v>
      </c>
      <c r="C1084" s="86" t="s">
        <v>408</v>
      </c>
      <c r="D1084" s="87" t="s">
        <v>5246</v>
      </c>
      <c r="E1084" s="86" t="s">
        <v>373</v>
      </c>
      <c r="F1084" s="86" t="s">
        <v>7823</v>
      </c>
      <c r="G1084" s="86" t="s">
        <v>375</v>
      </c>
      <c r="H1084" s="86" t="s">
        <v>614</v>
      </c>
      <c r="I1084" s="91"/>
      <c r="J1084" s="97"/>
      <c r="K1084" s="90" t="str">
        <f>IFNA(VLOOKUP(D1084,'EAN Codes'!A:C,2,False),"")</f>
        <v>5060128539276</v>
      </c>
      <c r="L1084" s="91"/>
      <c r="M1084" s="92"/>
      <c r="N1084" s="86"/>
      <c r="O1084" s="86"/>
      <c r="P1084" s="86"/>
      <c r="Q1084" s="86"/>
      <c r="R1084" s="86"/>
      <c r="S1084" s="88"/>
      <c r="T1084" s="86"/>
      <c r="U1084" s="93" t="b">
        <v>1</v>
      </c>
      <c r="V1084" s="86" t="s">
        <v>7824</v>
      </c>
      <c r="Z1084" t="b">
        <v>0</v>
      </c>
    </row>
    <row r="1085" hidden="1">
      <c r="A1085" s="6">
        <v>420.0</v>
      </c>
      <c r="B1085" s="6" t="s">
        <v>493</v>
      </c>
      <c r="C1085" s="6" t="s">
        <v>494</v>
      </c>
      <c r="D1085" s="127" t="s">
        <v>1960</v>
      </c>
      <c r="F1085" s="6" t="s">
        <v>7825</v>
      </c>
      <c r="G1085" s="6" t="s">
        <v>375</v>
      </c>
      <c r="H1085" s="6" t="s">
        <v>189</v>
      </c>
      <c r="I1085" s="6" t="s">
        <v>498</v>
      </c>
      <c r="J1085" s="84"/>
      <c r="K1085" s="66" t="str">
        <f>IFNA(VLOOKUP(D1085,'EAN Codes'!A:C,2,False),"")</f>
        <v/>
      </c>
      <c r="L1085" s="35"/>
      <c r="M1085" s="83"/>
      <c r="N1085" s="6"/>
      <c r="O1085" s="6"/>
      <c r="P1085" s="6"/>
      <c r="Q1085" s="6"/>
      <c r="R1085" s="6"/>
      <c r="S1085" s="84"/>
      <c r="T1085" s="6"/>
      <c r="U1085" s="93" t="b">
        <v>1</v>
      </c>
      <c r="V1085" s="6" t="s">
        <v>7826</v>
      </c>
      <c r="Z1085" t="b">
        <v>0</v>
      </c>
    </row>
    <row r="1086" hidden="1">
      <c r="A1086" s="99">
        <v>1008.0</v>
      </c>
      <c r="B1086" s="99" t="s">
        <v>241</v>
      </c>
      <c r="C1086" s="99" t="s">
        <v>408</v>
      </c>
      <c r="D1086" s="100" t="s">
        <v>7828</v>
      </c>
      <c r="E1086" s="99" t="s">
        <v>346</v>
      </c>
      <c r="F1086" s="99" t="s">
        <v>5785</v>
      </c>
      <c r="G1086" s="99" t="s">
        <v>1028</v>
      </c>
      <c r="H1086" s="99" t="s">
        <v>189</v>
      </c>
      <c r="I1086" s="99" t="s">
        <v>458</v>
      </c>
      <c r="J1086" s="104"/>
      <c r="K1086" s="66" t="str">
        <f>IFNA(VLOOKUP(D1086,'EAN Codes'!A:C,2,False),"")</f>
        <v>4250141146488</v>
      </c>
      <c r="L1086" s="101"/>
      <c r="M1086" s="119"/>
      <c r="N1086" s="99"/>
      <c r="O1086" s="99"/>
      <c r="P1086" s="99"/>
      <c r="Q1086" s="99"/>
      <c r="R1086" s="99"/>
      <c r="S1086" s="104"/>
      <c r="T1086" s="99"/>
      <c r="U1086" s="93" t="b">
        <v>1</v>
      </c>
      <c r="V1086" s="99" t="s">
        <v>7833</v>
      </c>
      <c r="Z1086" t="b">
        <v>0</v>
      </c>
    </row>
    <row r="1087" hidden="1">
      <c r="A1087" s="99">
        <v>1002.0</v>
      </c>
      <c r="B1087" s="99" t="s">
        <v>241</v>
      </c>
      <c r="C1087" s="99" t="s">
        <v>342</v>
      </c>
      <c r="D1087" s="100" t="s">
        <v>6063</v>
      </c>
      <c r="E1087" s="99" t="s">
        <v>3450</v>
      </c>
      <c r="F1087" s="99" t="s">
        <v>6144</v>
      </c>
      <c r="G1087" s="99" t="s">
        <v>793</v>
      </c>
      <c r="H1087" s="99" t="s">
        <v>189</v>
      </c>
      <c r="I1087" s="99" t="s">
        <v>458</v>
      </c>
      <c r="J1087" s="104"/>
      <c r="K1087" s="66" t="str">
        <f>IFNA(VLOOKUP(D1087,'EAN Codes'!A:C,2,False),"")</f>
        <v/>
      </c>
      <c r="L1087" s="101"/>
      <c r="M1087" s="119"/>
      <c r="N1087" s="99"/>
      <c r="O1087" s="99"/>
      <c r="P1087" s="99"/>
      <c r="Q1087" s="99"/>
      <c r="R1087" s="99"/>
      <c r="S1087" s="104"/>
      <c r="T1087" s="99"/>
      <c r="U1087" s="93" t="b">
        <v>1</v>
      </c>
      <c r="V1087" s="99" t="s">
        <v>7837</v>
      </c>
      <c r="Z1087" t="b">
        <v>0</v>
      </c>
    </row>
    <row r="1088" hidden="1">
      <c r="A1088" s="6">
        <v>666.0</v>
      </c>
      <c r="B1088" s="6" t="s">
        <v>241</v>
      </c>
      <c r="C1088" s="6" t="s">
        <v>408</v>
      </c>
      <c r="D1088" s="127" t="s">
        <v>7838</v>
      </c>
      <c r="E1088" s="6" t="s">
        <v>346</v>
      </c>
      <c r="F1088" s="6" t="s">
        <v>6279</v>
      </c>
      <c r="H1088" s="6" t="s">
        <v>189</v>
      </c>
      <c r="I1088" s="6" t="s">
        <v>1634</v>
      </c>
      <c r="J1088" s="84"/>
      <c r="K1088" s="66" t="str">
        <f>IFNA(VLOOKUP(D1088,'EAN Codes'!A:C,2,False),"")</f>
        <v>4250141146426</v>
      </c>
      <c r="L1088" s="82"/>
      <c r="M1088" s="83"/>
      <c r="N1088" s="6"/>
      <c r="O1088" s="6"/>
      <c r="P1088" s="6"/>
      <c r="Q1088" s="6"/>
      <c r="R1088" s="6"/>
      <c r="S1088" s="84"/>
      <c r="T1088" s="6"/>
      <c r="U1088" s="93" t="b">
        <v>1</v>
      </c>
      <c r="V1088" s="6" t="s">
        <v>7840</v>
      </c>
      <c r="W1088" s="6" t="s">
        <v>7841</v>
      </c>
      <c r="Z1088" t="b">
        <v>0</v>
      </c>
    </row>
    <row r="1089" hidden="1">
      <c r="A1089" s="6">
        <v>379.0</v>
      </c>
      <c r="B1089" s="6" t="s">
        <v>241</v>
      </c>
      <c r="C1089" s="13" t="s">
        <v>760</v>
      </c>
      <c r="D1089" s="465" t="s">
        <v>7842</v>
      </c>
      <c r="E1089" s="233" t="s">
        <v>4367</v>
      </c>
      <c r="F1089" s="233" t="s">
        <v>7843</v>
      </c>
      <c r="G1089" s="233" t="s">
        <v>1897</v>
      </c>
      <c r="H1089" s="6" t="s">
        <v>189</v>
      </c>
      <c r="I1089" s="6" t="s">
        <v>570</v>
      </c>
      <c r="J1089" s="84"/>
      <c r="K1089" s="66" t="str">
        <f>IFNA(VLOOKUP(D1089,'EAN Codes'!A:C,2,False),"")</f>
        <v/>
      </c>
      <c r="L1089" s="35" t="s">
        <v>269</v>
      </c>
      <c r="M1089" s="67"/>
      <c r="S1089" s="60"/>
      <c r="U1089" s="93" t="b">
        <v>1</v>
      </c>
      <c r="Y1089" s="6" t="s">
        <v>452</v>
      </c>
      <c r="Z1089" t="b">
        <v>0</v>
      </c>
    </row>
    <row r="1090" hidden="1">
      <c r="A1090" s="101"/>
      <c r="B1090" s="99" t="s">
        <v>241</v>
      </c>
      <c r="C1090" s="99" t="s">
        <v>342</v>
      </c>
      <c r="D1090" s="100" t="s">
        <v>7847</v>
      </c>
      <c r="E1090" s="99" t="s">
        <v>346</v>
      </c>
      <c r="F1090" s="99" t="s">
        <v>7849</v>
      </c>
      <c r="G1090" s="99" t="s">
        <v>437</v>
      </c>
      <c r="H1090" s="99" t="s">
        <v>7850</v>
      </c>
      <c r="I1090" s="101"/>
      <c r="J1090" s="110"/>
      <c r="K1090" s="107" t="str">
        <f>IFNA(VLOOKUP(D1090,'EAN Codes'!A:C,2,False),"")</f>
        <v>5907615826139</v>
      </c>
      <c r="L1090" s="101"/>
      <c r="M1090" s="119"/>
      <c r="N1090" s="99"/>
      <c r="O1090" s="99"/>
      <c r="P1090" s="99"/>
      <c r="Q1090" s="99"/>
      <c r="R1090" s="99"/>
      <c r="S1090" s="104"/>
      <c r="T1090" s="99"/>
      <c r="U1090" s="93" t="b">
        <v>1</v>
      </c>
      <c r="V1090" s="99" t="s">
        <v>7853</v>
      </c>
      <c r="W1090" s="101"/>
      <c r="Z1090" t="b">
        <v>0</v>
      </c>
    </row>
    <row r="1091" hidden="1">
      <c r="A1091" s="6">
        <v>1015.0</v>
      </c>
      <c r="B1091" s="6" t="s">
        <v>241</v>
      </c>
      <c r="C1091" s="6" t="s">
        <v>342</v>
      </c>
      <c r="D1091" s="127" t="s">
        <v>7855</v>
      </c>
      <c r="E1091" s="6" t="s">
        <v>346</v>
      </c>
      <c r="F1091" s="6" t="s">
        <v>7856</v>
      </c>
      <c r="G1091" s="6" t="s">
        <v>7857</v>
      </c>
      <c r="H1091" s="6" t="s">
        <v>189</v>
      </c>
      <c r="I1091" s="6" t="s">
        <v>458</v>
      </c>
      <c r="J1091" s="84"/>
      <c r="K1091" s="66" t="str">
        <f>IFNA(VLOOKUP(D1091,'EAN Codes'!A:C,2,False),"")</f>
        <v>5907615826917</v>
      </c>
      <c r="L1091" s="82"/>
      <c r="M1091" s="83"/>
      <c r="N1091" s="6"/>
      <c r="O1091" s="6"/>
      <c r="P1091" s="6"/>
      <c r="Q1091" s="6"/>
      <c r="R1091" s="6"/>
      <c r="S1091" s="84"/>
      <c r="T1091" s="6"/>
      <c r="U1091" s="93" t="b">
        <v>1</v>
      </c>
      <c r="V1091" s="6" t="s">
        <v>7862</v>
      </c>
      <c r="W1091" s="6" t="s">
        <v>7864</v>
      </c>
      <c r="X1091" s="6" t="s">
        <v>7866</v>
      </c>
      <c r="Z1091" t="b">
        <v>0</v>
      </c>
    </row>
    <row r="1092" hidden="1">
      <c r="A1092" s="6">
        <v>685.0</v>
      </c>
      <c r="B1092" s="6" t="s">
        <v>241</v>
      </c>
      <c r="C1092" s="6" t="s">
        <v>1217</v>
      </c>
      <c r="D1092" s="127" t="s">
        <v>7868</v>
      </c>
      <c r="E1092" s="6" t="s">
        <v>346</v>
      </c>
      <c r="F1092" s="6" t="s">
        <v>7224</v>
      </c>
      <c r="G1092" s="6" t="s">
        <v>7869</v>
      </c>
      <c r="H1092" s="6" t="s">
        <v>189</v>
      </c>
      <c r="I1092" s="6" t="s">
        <v>570</v>
      </c>
      <c r="J1092" s="84"/>
      <c r="K1092" s="66" t="str">
        <f>IFNA(VLOOKUP(D1092,'EAN Codes'!A:C,2,False),"")</f>
        <v/>
      </c>
      <c r="L1092" s="35" t="s">
        <v>269</v>
      </c>
      <c r="M1092" s="67"/>
      <c r="S1092" s="60"/>
      <c r="U1092" s="93" t="b">
        <v>1</v>
      </c>
      <c r="Z1092" t="b">
        <v>0</v>
      </c>
    </row>
    <row r="1093" hidden="1">
      <c r="A1093" s="6">
        <v>945.0</v>
      </c>
      <c r="B1093" s="6" t="s">
        <v>241</v>
      </c>
      <c r="C1093" s="6" t="s">
        <v>342</v>
      </c>
      <c r="D1093" s="127" t="s">
        <v>7285</v>
      </c>
      <c r="E1093" s="6" t="s">
        <v>346</v>
      </c>
      <c r="F1093" s="6" t="s">
        <v>7872</v>
      </c>
      <c r="G1093" s="6" t="s">
        <v>4888</v>
      </c>
      <c r="H1093" s="6" t="s">
        <v>189</v>
      </c>
      <c r="I1093" s="6" t="s">
        <v>819</v>
      </c>
      <c r="J1093" s="84"/>
      <c r="K1093" s="66" t="str">
        <f>IFNA(VLOOKUP(D1093,'EAN Codes'!A:C,2,False),"")</f>
        <v>5907615826689</v>
      </c>
      <c r="L1093" s="82"/>
      <c r="M1093" s="83"/>
      <c r="N1093" s="6"/>
      <c r="O1093" s="6"/>
      <c r="P1093" s="6"/>
      <c r="Q1093" s="6"/>
      <c r="R1093" s="6"/>
      <c r="S1093" s="84"/>
      <c r="T1093" s="6"/>
      <c r="U1093" s="93" t="b">
        <v>1</v>
      </c>
      <c r="V1093" s="6" t="s">
        <v>7874</v>
      </c>
      <c r="Z1093" t="b">
        <v>0</v>
      </c>
    </row>
    <row r="1094" hidden="1">
      <c r="A1094" s="6">
        <v>515.0</v>
      </c>
      <c r="B1094" s="6" t="s">
        <v>241</v>
      </c>
      <c r="C1094" s="6" t="s">
        <v>408</v>
      </c>
      <c r="D1094" s="127" t="s">
        <v>7875</v>
      </c>
      <c r="E1094" s="6" t="s">
        <v>346</v>
      </c>
      <c r="F1094" s="6" t="s">
        <v>7876</v>
      </c>
      <c r="H1094" s="6" t="s">
        <v>189</v>
      </c>
      <c r="I1094" s="6" t="s">
        <v>397</v>
      </c>
      <c r="J1094" s="84"/>
      <c r="K1094" s="66" t="str">
        <f>IFNA(VLOOKUP(D1094,'EAN Codes'!A:C,2,False),"")</f>
        <v/>
      </c>
      <c r="L1094" s="35"/>
      <c r="M1094" s="83"/>
      <c r="N1094" s="6"/>
      <c r="O1094" s="6"/>
      <c r="P1094" s="6"/>
      <c r="Q1094" s="6"/>
      <c r="R1094" s="6"/>
      <c r="S1094" s="84"/>
      <c r="T1094" s="6"/>
      <c r="U1094" s="93" t="b">
        <v>1</v>
      </c>
      <c r="V1094" s="6" t="s">
        <v>7881</v>
      </c>
      <c r="Z1094" t="b">
        <v>0</v>
      </c>
    </row>
    <row r="1095" hidden="1">
      <c r="A1095" s="6">
        <v>1.0</v>
      </c>
      <c r="B1095" s="191" t="s">
        <v>391</v>
      </c>
      <c r="C1095" s="191" t="s">
        <v>392</v>
      </c>
      <c r="D1095" s="466"/>
      <c r="E1095" s="124"/>
      <c r="F1095" s="191" t="s">
        <v>7885</v>
      </c>
      <c r="G1095" s="124"/>
      <c r="H1095" s="191" t="s">
        <v>463</v>
      </c>
      <c r="I1095" s="124"/>
      <c r="J1095" s="467"/>
      <c r="K1095" s="468" t="str">
        <f>IFNA(VLOOKUP(D1095,'EAN Codes'!A:C,2,False),"")</f>
        <v/>
      </c>
      <c r="L1095" s="469"/>
      <c r="M1095" s="350"/>
      <c r="N1095" s="191"/>
      <c r="O1095" s="191"/>
      <c r="P1095" s="191"/>
      <c r="Q1095" s="191"/>
      <c r="R1095" s="191"/>
      <c r="S1095" s="351"/>
      <c r="T1095" s="191" t="s">
        <v>7888</v>
      </c>
      <c r="U1095" s="470" t="b">
        <v>1</v>
      </c>
      <c r="V1095" s="191" t="s">
        <v>7890</v>
      </c>
      <c r="X1095" s="471" t="s">
        <v>7891</v>
      </c>
      <c r="Z1095" t="b">
        <v>0</v>
      </c>
    </row>
    <row r="1096" hidden="1">
      <c r="A1096" s="106"/>
      <c r="B1096" s="106"/>
      <c r="C1096" s="106"/>
      <c r="D1096" s="273"/>
      <c r="E1096" s="106"/>
      <c r="F1096" s="106"/>
      <c r="G1096" s="106"/>
      <c r="H1096" s="106"/>
      <c r="I1096" s="115"/>
      <c r="J1096" s="263"/>
      <c r="K1096" s="275"/>
      <c r="L1096" s="261"/>
      <c r="M1096" s="276"/>
      <c r="N1096" s="106"/>
      <c r="O1096" s="106"/>
      <c r="P1096" s="106"/>
      <c r="Q1096" s="106"/>
      <c r="R1096" s="106"/>
      <c r="S1096" s="274"/>
      <c r="T1096" s="106"/>
      <c r="U1096" s="93" t="b">
        <v>1</v>
      </c>
      <c r="V1096" s="106"/>
      <c r="W1096" s="115"/>
      <c r="X1096" s="115"/>
      <c r="Y1096" s="115"/>
      <c r="Z1096" s="115" t="b">
        <v>0</v>
      </c>
      <c r="AA1096" s="115"/>
      <c r="AB1096" s="115"/>
      <c r="AC1096" s="115"/>
      <c r="AD1096" s="115"/>
      <c r="AE1096" s="115"/>
    </row>
    <row r="1097" hidden="1">
      <c r="B1097" s="6" t="s">
        <v>241</v>
      </c>
      <c r="C1097" s="6" t="s">
        <v>342</v>
      </c>
      <c r="D1097" s="127" t="s">
        <v>299</v>
      </c>
      <c r="E1097" s="6" t="s">
        <v>7896</v>
      </c>
      <c r="H1097" s="6" t="s">
        <v>189</v>
      </c>
      <c r="I1097" s="6" t="s">
        <v>1287</v>
      </c>
      <c r="J1097" s="84"/>
      <c r="K1097" s="66" t="str">
        <f>IFNA(VLOOKUP(D1097,'EAN Codes'!A:C,2,False),"")</f>
        <v/>
      </c>
      <c r="L1097" s="82"/>
      <c r="M1097" s="83"/>
      <c r="N1097" s="6"/>
      <c r="O1097" s="6"/>
      <c r="P1097" s="6"/>
      <c r="Q1097" s="6"/>
      <c r="R1097" s="6"/>
      <c r="S1097" s="84"/>
      <c r="T1097" s="6"/>
      <c r="U1097" s="93" t="b">
        <v>1</v>
      </c>
      <c r="V1097" s="6" t="s">
        <v>7899</v>
      </c>
      <c r="Z1097" t="b">
        <v>0</v>
      </c>
    </row>
    <row r="1098" hidden="1">
      <c r="A1098" s="91"/>
      <c r="B1098" s="86" t="s">
        <v>241</v>
      </c>
      <c r="C1098" s="86" t="s">
        <v>1813</v>
      </c>
      <c r="D1098" s="87" t="s">
        <v>7901</v>
      </c>
      <c r="E1098" s="86" t="s">
        <v>346</v>
      </c>
      <c r="F1098" s="86" t="s">
        <v>7903</v>
      </c>
      <c r="G1098" s="86" t="s">
        <v>4095</v>
      </c>
      <c r="H1098" s="86" t="s">
        <v>7904</v>
      </c>
      <c r="I1098" s="91"/>
      <c r="J1098" s="97"/>
      <c r="K1098" s="90" t="str">
        <f>IFNA(VLOOKUP(D1098,'EAN Codes'!A:C,2,False),"")</f>
        <v/>
      </c>
      <c r="L1098" s="91"/>
      <c r="M1098" s="92"/>
      <c r="N1098" s="86"/>
      <c r="O1098" s="86"/>
      <c r="P1098" s="86"/>
      <c r="Q1098" s="86"/>
      <c r="R1098" s="86"/>
      <c r="S1098" s="88"/>
      <c r="T1098" s="86"/>
      <c r="U1098" s="93" t="b">
        <v>1</v>
      </c>
      <c r="V1098" s="86" t="s">
        <v>7908</v>
      </c>
      <c r="W1098" s="86" t="s">
        <v>7909</v>
      </c>
      <c r="X1098" s="91"/>
      <c r="Y1098" s="91"/>
      <c r="Z1098" s="91" t="b">
        <v>0</v>
      </c>
      <c r="AA1098" s="91"/>
      <c r="AB1098" s="91"/>
      <c r="AC1098" s="91"/>
      <c r="AD1098" s="91"/>
      <c r="AE1098" s="91"/>
    </row>
    <row r="1099" hidden="1">
      <c r="A1099" s="82"/>
      <c r="B1099" s="99" t="s">
        <v>241</v>
      </c>
      <c r="C1099" s="99" t="s">
        <v>760</v>
      </c>
      <c r="D1099" s="100" t="s">
        <v>7910</v>
      </c>
      <c r="E1099" s="99" t="s">
        <v>346</v>
      </c>
      <c r="F1099" s="99" t="s">
        <v>7903</v>
      </c>
      <c r="G1099" s="99" t="s">
        <v>4095</v>
      </c>
      <c r="H1099" s="99" t="s">
        <v>7904</v>
      </c>
      <c r="I1099" s="101"/>
      <c r="J1099" s="110"/>
      <c r="K1099" s="107" t="str">
        <f>IFNA(VLOOKUP(D1099,'EAN Codes'!A:C,2,False),"")</f>
        <v>5060128536329</v>
      </c>
      <c r="L1099" s="101"/>
      <c r="M1099" s="119"/>
      <c r="N1099" s="99"/>
      <c r="O1099" s="99"/>
      <c r="P1099" s="99"/>
      <c r="Q1099" s="99"/>
      <c r="R1099" s="99"/>
      <c r="S1099" s="104"/>
      <c r="T1099" s="99"/>
      <c r="U1099" s="93" t="b">
        <v>1</v>
      </c>
      <c r="V1099" s="99" t="s">
        <v>7915</v>
      </c>
      <c r="W1099" s="101"/>
      <c r="X1099" s="472"/>
      <c r="Y1099" s="472"/>
      <c r="Z1099" s="472" t="b">
        <v>0</v>
      </c>
      <c r="AA1099" s="472"/>
      <c r="AB1099" s="472"/>
      <c r="AC1099" s="472"/>
      <c r="AD1099" s="472"/>
      <c r="AE1099" s="472"/>
    </row>
    <row r="1100" hidden="1">
      <c r="A1100" s="6">
        <v>1.0</v>
      </c>
      <c r="B1100" s="99" t="s">
        <v>731</v>
      </c>
      <c r="C1100" s="99" t="s">
        <v>7918</v>
      </c>
      <c r="D1100" s="100" t="s">
        <v>7919</v>
      </c>
      <c r="E1100" s="6" t="s">
        <v>7920</v>
      </c>
      <c r="F1100" s="6" t="s">
        <v>7922</v>
      </c>
      <c r="G1100" s="6" t="s">
        <v>7923</v>
      </c>
      <c r="H1100" s="473" t="s">
        <v>135</v>
      </c>
      <c r="I1100" s="474"/>
      <c r="J1100" s="475"/>
      <c r="K1100" s="275" t="str">
        <f>IFNA(VLOOKUP(D1100,'EAN Codes'!A:C,2,False),"")</f>
        <v/>
      </c>
      <c r="L1100" s="82"/>
      <c r="M1100" s="476" t="b">
        <v>0</v>
      </c>
      <c r="N1100" s="477" t="b">
        <v>0</v>
      </c>
      <c r="O1100" s="477" t="b">
        <v>0</v>
      </c>
      <c r="P1100" s="477" t="b">
        <v>0</v>
      </c>
      <c r="Q1100" s="477" t="b">
        <v>0</v>
      </c>
      <c r="R1100" s="478"/>
      <c r="S1100" s="479"/>
      <c r="T1100" s="480" t="s">
        <v>7926</v>
      </c>
      <c r="U1100" s="481" t="b">
        <v>1</v>
      </c>
      <c r="V1100" s="6" t="s">
        <v>7927</v>
      </c>
      <c r="Z1100" t="b">
        <v>0</v>
      </c>
    </row>
    <row r="1101" hidden="1">
      <c r="A1101" s="91"/>
      <c r="B1101" s="86" t="s">
        <v>241</v>
      </c>
      <c r="C1101" s="86" t="s">
        <v>342</v>
      </c>
      <c r="D1101" s="87" t="s">
        <v>7929</v>
      </c>
      <c r="E1101" s="86" t="s">
        <v>7930</v>
      </c>
      <c r="F1101" s="86" t="s">
        <v>3307</v>
      </c>
      <c r="G1101" s="91"/>
      <c r="H1101" s="86" t="s">
        <v>7932</v>
      </c>
      <c r="I1101" s="91"/>
      <c r="J1101" s="97"/>
      <c r="K1101" s="90" t="str">
        <f>IFNA(VLOOKUP(D1101,'EAN Codes'!A:C,2,False),"")</f>
        <v>5907615805264</v>
      </c>
      <c r="L1101" s="91"/>
      <c r="M1101" s="92"/>
      <c r="N1101" s="86"/>
      <c r="O1101" s="86"/>
      <c r="P1101" s="86"/>
      <c r="Q1101" s="86"/>
      <c r="R1101" s="86"/>
      <c r="S1101" s="88"/>
      <c r="T1101" s="86"/>
      <c r="U1101" s="93" t="b">
        <v>1</v>
      </c>
      <c r="V1101" s="86" t="s">
        <v>7934</v>
      </c>
      <c r="Z1101" t="b">
        <v>0</v>
      </c>
    </row>
    <row r="1102" hidden="1">
      <c r="A1102" s="86">
        <v>1201.0</v>
      </c>
      <c r="B1102" s="86" t="s">
        <v>241</v>
      </c>
      <c r="C1102" s="86" t="s">
        <v>342</v>
      </c>
      <c r="D1102" s="87" t="s">
        <v>4232</v>
      </c>
      <c r="E1102" s="86" t="s">
        <v>346</v>
      </c>
      <c r="F1102" s="86" t="s">
        <v>4236</v>
      </c>
      <c r="G1102" s="86" t="s">
        <v>375</v>
      </c>
      <c r="H1102" s="86" t="s">
        <v>7936</v>
      </c>
      <c r="I1102" s="91"/>
      <c r="J1102" s="97"/>
      <c r="K1102" s="90" t="str">
        <f>IFNA(VLOOKUP(D1102,'EAN Codes'!A:C,2,False),"")</f>
        <v>5907615813139</v>
      </c>
      <c r="L1102" s="91"/>
      <c r="M1102" s="92"/>
      <c r="N1102" s="86"/>
      <c r="O1102" s="86"/>
      <c r="P1102" s="86"/>
      <c r="Q1102" s="86"/>
      <c r="R1102" s="86"/>
      <c r="S1102" s="88"/>
      <c r="T1102" s="86"/>
      <c r="U1102" s="93" t="b">
        <v>1</v>
      </c>
      <c r="V1102" s="86" t="s">
        <v>7939</v>
      </c>
      <c r="W1102" s="6" t="s">
        <v>7940</v>
      </c>
      <c r="Z1102" t="b">
        <v>0</v>
      </c>
    </row>
    <row r="1103" hidden="1">
      <c r="A1103" s="101"/>
      <c r="B1103" s="99" t="s">
        <v>241</v>
      </c>
      <c r="C1103" s="99" t="s">
        <v>3701</v>
      </c>
      <c r="D1103" s="100" t="s">
        <v>3911</v>
      </c>
      <c r="E1103" s="99" t="s">
        <v>409</v>
      </c>
      <c r="F1103" s="99" t="s">
        <v>7941</v>
      </c>
      <c r="G1103" s="99" t="s">
        <v>793</v>
      </c>
      <c r="H1103" s="99" t="s">
        <v>698</v>
      </c>
      <c r="I1103" s="101"/>
      <c r="J1103" s="110"/>
      <c r="K1103" s="107" t="str">
        <f>IFNA(VLOOKUP(D1103,'EAN Codes'!A:C,2,False),"")</f>
        <v/>
      </c>
      <c r="L1103" s="101"/>
      <c r="M1103" s="119"/>
      <c r="N1103" s="99"/>
      <c r="O1103" s="99"/>
      <c r="P1103" s="99"/>
      <c r="Q1103" s="99"/>
      <c r="R1103" s="99"/>
      <c r="S1103" s="104"/>
      <c r="T1103" s="99"/>
      <c r="U1103" s="93" t="b">
        <v>1</v>
      </c>
      <c r="V1103" s="99" t="s">
        <v>7943</v>
      </c>
      <c r="W1103" s="99" t="s">
        <v>7944</v>
      </c>
      <c r="Z1103" t="b">
        <v>0</v>
      </c>
    </row>
    <row r="1104" hidden="1">
      <c r="A1104" s="91"/>
      <c r="B1104" s="86" t="s">
        <v>241</v>
      </c>
      <c r="C1104" s="86" t="s">
        <v>342</v>
      </c>
      <c r="D1104" s="87" t="s">
        <v>3403</v>
      </c>
      <c r="E1104" s="86" t="s">
        <v>346</v>
      </c>
      <c r="F1104" s="86" t="s">
        <v>6859</v>
      </c>
      <c r="G1104" s="91"/>
      <c r="H1104" s="86" t="s">
        <v>7945</v>
      </c>
      <c r="I1104" s="91"/>
      <c r="J1104" s="97"/>
      <c r="K1104" s="90" t="str">
        <f>IFNA(VLOOKUP(D1104,'EAN Codes'!A:C,2,False),"")</f>
        <v>5907615805523</v>
      </c>
      <c r="L1104" s="91"/>
      <c r="M1104" s="482"/>
      <c r="N1104" s="483"/>
      <c r="O1104" s="483"/>
      <c r="P1104" s="483"/>
      <c r="Q1104" s="483"/>
      <c r="R1104" s="483"/>
      <c r="S1104" s="484"/>
      <c r="T1104" s="483"/>
      <c r="U1104" s="93" t="b">
        <v>1</v>
      </c>
      <c r="V1104" s="485" t="s">
        <v>7946</v>
      </c>
      <c r="Z1104" t="b">
        <v>0</v>
      </c>
    </row>
    <row r="1105" hidden="1">
      <c r="A1105" s="101"/>
      <c r="B1105" s="99" t="s">
        <v>241</v>
      </c>
      <c r="C1105" s="99" t="s">
        <v>342</v>
      </c>
      <c r="D1105" s="100" t="s">
        <v>7947</v>
      </c>
      <c r="E1105" s="99" t="s">
        <v>346</v>
      </c>
      <c r="F1105" s="99" t="s">
        <v>6846</v>
      </c>
      <c r="G1105" s="101"/>
      <c r="H1105" s="99" t="s">
        <v>517</v>
      </c>
      <c r="I1105" s="101"/>
      <c r="J1105" s="110"/>
      <c r="K1105" s="107" t="str">
        <f>IFNA(VLOOKUP(D1105,'EAN Codes'!A:C,2,False),"")</f>
        <v>5907615805844</v>
      </c>
      <c r="L1105" s="101"/>
      <c r="M1105" s="119"/>
      <c r="N1105" s="99"/>
      <c r="O1105" s="99"/>
      <c r="P1105" s="99"/>
      <c r="Q1105" s="99"/>
      <c r="R1105" s="99"/>
      <c r="S1105" s="104"/>
      <c r="T1105" s="99"/>
      <c r="U1105" s="93" t="b">
        <v>1</v>
      </c>
      <c r="V1105" s="99" t="s">
        <v>7948</v>
      </c>
      <c r="Z1105" t="b">
        <v>0</v>
      </c>
    </row>
    <row r="1106" hidden="1">
      <c r="A1106" s="115"/>
      <c r="B1106" s="86" t="s">
        <v>241</v>
      </c>
      <c r="C1106" s="86" t="s">
        <v>1813</v>
      </c>
      <c r="D1106" s="87" t="s">
        <v>3705</v>
      </c>
      <c r="E1106" s="86" t="s">
        <v>7949</v>
      </c>
      <c r="F1106" s="86" t="s">
        <v>7950</v>
      </c>
      <c r="G1106" s="86" t="s">
        <v>7951</v>
      </c>
      <c r="H1106" s="86" t="s">
        <v>132</v>
      </c>
      <c r="I1106" s="91"/>
      <c r="J1106" s="97"/>
      <c r="K1106" s="486" t="s">
        <v>7952</v>
      </c>
      <c r="L1106" s="91"/>
      <c r="M1106" s="92"/>
      <c r="N1106" s="86"/>
      <c r="O1106" s="86"/>
      <c r="P1106" s="86"/>
      <c r="Q1106" s="86"/>
      <c r="R1106" s="86"/>
      <c r="S1106" s="88"/>
      <c r="T1106" s="86"/>
      <c r="U1106" s="93" t="b">
        <v>1</v>
      </c>
      <c r="V1106" s="86" t="s">
        <v>7953</v>
      </c>
      <c r="W1106" s="6"/>
      <c r="Z1106" t="b">
        <v>0</v>
      </c>
    </row>
    <row r="1107" hidden="1">
      <c r="A1107" s="91"/>
      <c r="B1107" s="86" t="s">
        <v>241</v>
      </c>
      <c r="C1107" s="86" t="s">
        <v>1250</v>
      </c>
      <c r="D1107" s="87" t="s">
        <v>7954</v>
      </c>
      <c r="E1107" s="86" t="s">
        <v>409</v>
      </c>
      <c r="F1107" s="86" t="s">
        <v>7955</v>
      </c>
      <c r="G1107" s="86" t="s">
        <v>7956</v>
      </c>
      <c r="H1107" s="86" t="s">
        <v>149</v>
      </c>
      <c r="I1107" s="91"/>
      <c r="J1107" s="97"/>
      <c r="K1107" s="90" t="str">
        <f>IFNA(VLOOKUP(D1107,'EAN Codes'!A:C,2,False),"")</f>
        <v>8054521990045</v>
      </c>
      <c r="L1107" s="91"/>
      <c r="M1107" s="92"/>
      <c r="N1107" s="86"/>
      <c r="O1107" s="86"/>
      <c r="P1107" s="86"/>
      <c r="Q1107" s="86"/>
      <c r="R1107" s="86"/>
      <c r="S1107" s="88"/>
      <c r="T1107" s="86"/>
      <c r="U1107" s="93" t="b">
        <v>1</v>
      </c>
      <c r="V1107" s="86" t="s">
        <v>7957</v>
      </c>
      <c r="W1107" s="6" t="s">
        <v>7958</v>
      </c>
      <c r="Z1107" t="b">
        <v>0</v>
      </c>
    </row>
    <row r="1108" hidden="1">
      <c r="A1108" s="91"/>
      <c r="B1108" s="86" t="s">
        <v>241</v>
      </c>
      <c r="C1108" s="86" t="s">
        <v>342</v>
      </c>
      <c r="D1108" s="87" t="s">
        <v>7847</v>
      </c>
      <c r="E1108" s="86" t="s">
        <v>346</v>
      </c>
      <c r="F1108" s="86" t="s">
        <v>7959</v>
      </c>
      <c r="G1108" s="86">
        <v>2012.0</v>
      </c>
      <c r="H1108" s="86" t="s">
        <v>7960</v>
      </c>
      <c r="I1108" s="91"/>
      <c r="J1108" s="97"/>
      <c r="K1108" s="90"/>
      <c r="L1108" s="91"/>
      <c r="M1108" s="92"/>
      <c r="N1108" s="86"/>
      <c r="O1108" s="86"/>
      <c r="P1108" s="86"/>
      <c r="Q1108" s="86"/>
      <c r="R1108" s="86"/>
      <c r="S1108" s="88"/>
      <c r="T1108" s="86"/>
      <c r="U1108" s="93" t="b">
        <v>1</v>
      </c>
      <c r="V1108" s="86" t="s">
        <v>7961</v>
      </c>
      <c r="Z1108" t="b">
        <v>0</v>
      </c>
    </row>
    <row r="1109" hidden="1">
      <c r="A1109" s="91"/>
      <c r="B1109" s="86" t="s">
        <v>241</v>
      </c>
      <c r="C1109" s="86" t="s">
        <v>342</v>
      </c>
      <c r="D1109" s="87" t="s">
        <v>7962</v>
      </c>
      <c r="E1109" s="86" t="s">
        <v>346</v>
      </c>
      <c r="F1109" s="86" t="s">
        <v>7963</v>
      </c>
      <c r="G1109" s="91"/>
      <c r="H1109" s="86" t="s">
        <v>7960</v>
      </c>
      <c r="I1109" s="91"/>
      <c r="J1109" s="97"/>
      <c r="K1109" s="90"/>
      <c r="L1109" s="91"/>
      <c r="M1109" s="92"/>
      <c r="N1109" s="86"/>
      <c r="O1109" s="86"/>
      <c r="P1109" s="86"/>
      <c r="Q1109" s="86"/>
      <c r="R1109" s="86"/>
      <c r="S1109" s="88"/>
      <c r="T1109" s="86"/>
      <c r="U1109" s="93" t="b">
        <v>1</v>
      </c>
      <c r="V1109" s="86" t="s">
        <v>7964</v>
      </c>
      <c r="Z1109" t="b">
        <v>0</v>
      </c>
    </row>
    <row r="1110" hidden="1">
      <c r="A1110" s="115"/>
      <c r="B1110" s="86" t="s">
        <v>731</v>
      </c>
      <c r="C1110" s="86" t="s">
        <v>1116</v>
      </c>
      <c r="D1110" s="87" t="s">
        <v>7965</v>
      </c>
      <c r="E1110" s="86" t="s">
        <v>7966</v>
      </c>
      <c r="F1110" s="86" t="s">
        <v>7967</v>
      </c>
      <c r="G1110" s="86" t="s">
        <v>2194</v>
      </c>
      <c r="H1110" s="86" t="s">
        <v>1287</v>
      </c>
      <c r="I1110" s="91"/>
      <c r="J1110" s="97"/>
      <c r="K1110" s="90" t="str">
        <f>IFNA(VLOOKUP(D1110,'EAN Codes'!A:C,2,False),"")</f>
        <v>8717323052303</v>
      </c>
      <c r="L1110" s="91"/>
      <c r="M1110" s="92"/>
      <c r="N1110" s="86"/>
      <c r="O1110" s="86"/>
      <c r="P1110" s="86"/>
      <c r="Q1110" s="86"/>
      <c r="R1110" s="86"/>
      <c r="S1110" s="88"/>
      <c r="T1110" s="86"/>
      <c r="U1110" s="93" t="b">
        <v>1</v>
      </c>
      <c r="V1110" s="86" t="s">
        <v>7970</v>
      </c>
      <c r="Z1110" t="b">
        <v>0</v>
      </c>
    </row>
    <row r="1111" hidden="1">
      <c r="A1111" s="101"/>
      <c r="B1111" s="99" t="s">
        <v>241</v>
      </c>
      <c r="C1111" s="99" t="s">
        <v>342</v>
      </c>
      <c r="D1111" s="100" t="s">
        <v>6747</v>
      </c>
      <c r="E1111" s="99" t="s">
        <v>409</v>
      </c>
      <c r="F1111" s="99" t="s">
        <v>7331</v>
      </c>
      <c r="G1111" s="101"/>
      <c r="H1111" s="99" t="s">
        <v>7973</v>
      </c>
      <c r="I1111" s="101"/>
      <c r="J1111" s="110"/>
      <c r="K1111" s="107" t="str">
        <f>IFNA(VLOOKUP(D1111,'EAN Codes'!A:C,2,False),"")</f>
        <v>5907615827297</v>
      </c>
      <c r="L1111" s="101"/>
      <c r="M1111" s="119"/>
      <c r="N1111" s="99"/>
      <c r="O1111" s="99"/>
      <c r="P1111" s="99"/>
      <c r="Q1111" s="99"/>
      <c r="R1111" s="99"/>
      <c r="S1111" s="104"/>
      <c r="T1111" s="99"/>
      <c r="U1111" s="93" t="b">
        <v>1</v>
      </c>
      <c r="V1111" s="99" t="s">
        <v>7974</v>
      </c>
      <c r="W1111" s="99" t="s">
        <v>7975</v>
      </c>
      <c r="X1111" s="101"/>
      <c r="Y1111" s="101"/>
      <c r="Z1111" s="101" t="b">
        <v>0</v>
      </c>
      <c r="AA1111" s="101"/>
      <c r="AB1111" s="101"/>
      <c r="AC1111" s="101"/>
      <c r="AD1111" s="101"/>
      <c r="AE1111" s="101"/>
    </row>
    <row r="1112">
      <c r="A1112" s="6">
        <v>1.0</v>
      </c>
      <c r="B1112" s="160" t="s">
        <v>241</v>
      </c>
      <c r="C1112" s="160" t="s">
        <v>342</v>
      </c>
      <c r="D1112" s="272" t="s">
        <v>7976</v>
      </c>
      <c r="E1112" s="160" t="s">
        <v>2639</v>
      </c>
      <c r="F1112" s="160" t="s">
        <v>6419</v>
      </c>
      <c r="G1112" s="261"/>
      <c r="H1112" s="473" t="s">
        <v>255</v>
      </c>
      <c r="I1112" s="473" t="s">
        <v>7977</v>
      </c>
      <c r="J1112" s="475"/>
      <c r="K1112" s="275" t="str">
        <f>IFNA(VLOOKUP(D1112,'EAN Codes'!A:C,2,False),"")</f>
        <v>5907615801471</v>
      </c>
      <c r="L1112" s="82"/>
      <c r="M1112" s="476" t="b">
        <v>0</v>
      </c>
      <c r="N1112" s="477" t="b">
        <v>0</v>
      </c>
      <c r="O1112" s="477" t="b">
        <v>0</v>
      </c>
      <c r="P1112" s="477" t="b">
        <v>0</v>
      </c>
      <c r="Q1112" s="477" t="b">
        <v>0</v>
      </c>
      <c r="R1112" s="478"/>
      <c r="S1112" s="479"/>
      <c r="T1112" s="480"/>
      <c r="U1112" s="481" t="b">
        <v>0</v>
      </c>
      <c r="V1112" s="6" t="s">
        <v>7979</v>
      </c>
      <c r="Z1112" s="6" t="b">
        <v>1</v>
      </c>
      <c r="AA1112" s="6" t="b">
        <v>0</v>
      </c>
      <c r="AC1112" s="35">
        <v>702.0</v>
      </c>
      <c r="AD1112" t="str">
        <f>IFNA(IFS(U1112=False,D1112),"")</f>
        <v>B-080</v>
      </c>
      <c r="AE1112" t="str">
        <f>IFNA(IFS(U1112=false,H1112),"")</f>
        <v>Järfälla</v>
      </c>
    </row>
    <row r="1113" hidden="1">
      <c r="A1113" s="6">
        <v>1.0</v>
      </c>
      <c r="B1113" s="99" t="s">
        <v>731</v>
      </c>
      <c r="C1113" s="99" t="s">
        <v>950</v>
      </c>
      <c r="D1113" s="100" t="s">
        <v>7980</v>
      </c>
      <c r="E1113" s="99" t="s">
        <v>7920</v>
      </c>
      <c r="F1113" s="99" t="s">
        <v>7982</v>
      </c>
      <c r="G1113" s="101"/>
      <c r="H1113" s="487" t="s">
        <v>135</v>
      </c>
      <c r="I1113" s="474"/>
      <c r="J1113" s="475"/>
      <c r="K1113" s="275" t="str">
        <f>IFNA(VLOOKUP(D1113,'EAN Codes'!A:C,2,False),"")</f>
        <v/>
      </c>
      <c r="L1113" s="82"/>
      <c r="M1113" s="476" t="b">
        <v>0</v>
      </c>
      <c r="N1113" s="477" t="b">
        <v>0</v>
      </c>
      <c r="O1113" s="477" t="b">
        <v>0</v>
      </c>
      <c r="P1113" s="477" t="b">
        <v>0</v>
      </c>
      <c r="Q1113" s="477" t="b">
        <v>0</v>
      </c>
      <c r="R1113" s="478"/>
      <c r="S1113" s="479"/>
      <c r="T1113" s="480"/>
      <c r="U1113" s="481" t="b">
        <v>1</v>
      </c>
      <c r="V1113" s="6" t="s">
        <v>7984</v>
      </c>
      <c r="Z1113" t="b">
        <v>0</v>
      </c>
      <c r="AA1113" t="b">
        <v>0</v>
      </c>
    </row>
    <row r="1114" hidden="1">
      <c r="A1114" s="6">
        <v>1.0</v>
      </c>
      <c r="B1114" s="86" t="s">
        <v>241</v>
      </c>
      <c r="C1114" s="86" t="s">
        <v>342</v>
      </c>
      <c r="D1114" s="87" t="s">
        <v>7985</v>
      </c>
      <c r="E1114" s="86" t="s">
        <v>346</v>
      </c>
      <c r="F1114" s="86" t="s">
        <v>7986</v>
      </c>
      <c r="G1114" s="86" t="s">
        <v>1013</v>
      </c>
      <c r="H1114" s="487" t="s">
        <v>542</v>
      </c>
      <c r="I1114" s="488"/>
      <c r="J1114" s="489" t="s">
        <v>7987</v>
      </c>
      <c r="K1114" s="275" t="str">
        <f>IFNA(VLOOKUP(D1114,'EAN Codes'!A:C,2,False),"")</f>
        <v>5907615801938</v>
      </c>
      <c r="L1114" s="261"/>
      <c r="M1114" s="476" t="b">
        <v>0</v>
      </c>
      <c r="N1114" s="477" t="b">
        <v>0</v>
      </c>
      <c r="O1114" s="477" t="b">
        <v>0</v>
      </c>
      <c r="P1114" s="477" t="b">
        <v>0</v>
      </c>
      <c r="Q1114" s="477" t="b">
        <v>0</v>
      </c>
      <c r="R1114" s="478"/>
      <c r="S1114" s="479"/>
      <c r="T1114" s="480"/>
      <c r="U1114" s="481" t="b">
        <v>1</v>
      </c>
      <c r="V1114" s="106" t="s">
        <v>7988</v>
      </c>
      <c r="X1114" s="471" t="s">
        <v>7891</v>
      </c>
      <c r="Z1114" t="b">
        <v>0</v>
      </c>
      <c r="AA1114" t="b">
        <v>0</v>
      </c>
    </row>
    <row r="1115" hidden="1">
      <c r="A1115" s="101"/>
      <c r="B1115" s="99" t="s">
        <v>241</v>
      </c>
      <c r="C1115" s="99" t="s">
        <v>342</v>
      </c>
      <c r="D1115" s="100" t="s">
        <v>4652</v>
      </c>
      <c r="E1115" s="99" t="s">
        <v>346</v>
      </c>
      <c r="F1115" s="99" t="s">
        <v>6475</v>
      </c>
      <c r="G1115" s="101"/>
      <c r="H1115" s="99" t="s">
        <v>7989</v>
      </c>
      <c r="I1115" s="101"/>
      <c r="J1115" s="110"/>
      <c r="K1115" s="107" t="str">
        <f>IFNA(VLOOKUP(D1115,'EAN Codes'!A:C,2,False),"")</f>
        <v>5907615819728</v>
      </c>
      <c r="L1115" s="101"/>
      <c r="M1115" s="119"/>
      <c r="N1115" s="99"/>
      <c r="O1115" s="99"/>
      <c r="P1115" s="99"/>
      <c r="Q1115" s="99"/>
      <c r="R1115" s="99"/>
      <c r="S1115" s="104"/>
      <c r="T1115" s="99"/>
      <c r="U1115" s="93" t="b">
        <v>1</v>
      </c>
      <c r="V1115" s="99" t="s">
        <v>7990</v>
      </c>
      <c r="Z1115" t="b">
        <v>0</v>
      </c>
      <c r="AA1115" t="b">
        <v>0</v>
      </c>
    </row>
    <row r="1116" hidden="1">
      <c r="A1116" s="101"/>
      <c r="B1116" s="99" t="s">
        <v>241</v>
      </c>
      <c r="C1116" s="99" t="s">
        <v>3701</v>
      </c>
      <c r="D1116" s="100" t="s">
        <v>7991</v>
      </c>
      <c r="E1116" s="99" t="s">
        <v>346</v>
      </c>
      <c r="F1116" s="99" t="s">
        <v>7992</v>
      </c>
      <c r="G1116" s="99" t="s">
        <v>793</v>
      </c>
      <c r="H1116" s="99" t="s">
        <v>360</v>
      </c>
      <c r="I1116" s="101"/>
      <c r="J1116" s="110"/>
      <c r="K1116" s="107" t="str">
        <f>IFNA(VLOOKUP(D1116,'EAN Codes'!A:C,2,False),"")</f>
        <v/>
      </c>
      <c r="L1116" s="101"/>
      <c r="M1116" s="119"/>
      <c r="N1116" s="99"/>
      <c r="O1116" s="99"/>
      <c r="P1116" s="99"/>
      <c r="Q1116" s="99"/>
      <c r="R1116" s="99"/>
      <c r="S1116" s="104"/>
      <c r="T1116" s="99"/>
      <c r="U1116" s="93" t="b">
        <v>1</v>
      </c>
      <c r="V1116" s="99" t="s">
        <v>7993</v>
      </c>
      <c r="Z1116" t="b">
        <v>0</v>
      </c>
      <c r="AA1116" t="b">
        <v>0</v>
      </c>
    </row>
    <row r="1117" hidden="1">
      <c r="A1117" s="115"/>
      <c r="B1117" s="86" t="s">
        <v>241</v>
      </c>
      <c r="C1117" s="86" t="s">
        <v>4382</v>
      </c>
      <c r="D1117" s="87" t="s">
        <v>7994</v>
      </c>
      <c r="E1117" s="86" t="s">
        <v>409</v>
      </c>
      <c r="F1117" s="86" t="s">
        <v>7995</v>
      </c>
      <c r="G1117" s="91"/>
      <c r="H1117" s="86" t="s">
        <v>517</v>
      </c>
      <c r="I1117" s="91"/>
      <c r="J1117" s="97"/>
      <c r="K1117" s="90" t="str">
        <f>IFNA(VLOOKUP(D1117,'EAN Codes'!A:C,2,False),"")</f>
        <v/>
      </c>
      <c r="L1117" s="91"/>
      <c r="M1117" s="92"/>
      <c r="N1117" s="86"/>
      <c r="O1117" s="86"/>
      <c r="P1117" s="86"/>
      <c r="Q1117" s="86"/>
      <c r="R1117" s="86"/>
      <c r="S1117" s="88"/>
      <c r="T1117" s="86"/>
      <c r="U1117" s="93" t="b">
        <v>1</v>
      </c>
      <c r="V1117" s="86" t="s">
        <v>7996</v>
      </c>
      <c r="Z1117" t="b">
        <v>0</v>
      </c>
      <c r="AA1117" t="b">
        <v>0</v>
      </c>
    </row>
    <row r="1118" hidden="1">
      <c r="A1118" s="91"/>
      <c r="B1118" s="86" t="s">
        <v>241</v>
      </c>
      <c r="C1118" s="86" t="s">
        <v>342</v>
      </c>
      <c r="D1118" s="87" t="s">
        <v>7997</v>
      </c>
      <c r="E1118" s="86" t="s">
        <v>346</v>
      </c>
      <c r="F1118" s="86" t="s">
        <v>7998</v>
      </c>
      <c r="G1118" s="86">
        <v>201309.0</v>
      </c>
      <c r="H1118" s="86" t="s">
        <v>7999</v>
      </c>
      <c r="I1118" s="91"/>
      <c r="J1118" s="97"/>
      <c r="K1118" s="90" t="str">
        <f>IFNA(VLOOKUP(D1118,'EAN Codes'!A:C,2,False),"")</f>
        <v>5907615807190</v>
      </c>
      <c r="L1118" s="91"/>
      <c r="M1118" s="92"/>
      <c r="N1118" s="86"/>
      <c r="O1118" s="86"/>
      <c r="P1118" s="86"/>
      <c r="Q1118" s="86"/>
      <c r="R1118" s="86"/>
      <c r="S1118" s="88"/>
      <c r="T1118" s="86"/>
      <c r="U1118" s="93" t="b">
        <v>1</v>
      </c>
      <c r="V1118" s="86" t="s">
        <v>8000</v>
      </c>
      <c r="W1118" s="115"/>
      <c r="X1118" s="115"/>
      <c r="Y1118" s="115"/>
      <c r="Z1118" s="124" t="b">
        <v>0</v>
      </c>
      <c r="AA1118" s="124" t="b">
        <v>0</v>
      </c>
      <c r="AB1118" s="124"/>
      <c r="AC1118" s="124"/>
      <c r="AD1118" s="124"/>
      <c r="AE1118" s="124"/>
    </row>
    <row r="1119" hidden="1">
      <c r="A1119" s="101"/>
      <c r="B1119" s="99" t="s">
        <v>241</v>
      </c>
      <c r="C1119" s="99" t="s">
        <v>408</v>
      </c>
      <c r="D1119" s="100" t="s">
        <v>8001</v>
      </c>
      <c r="E1119" s="99" t="s">
        <v>409</v>
      </c>
      <c r="F1119" s="99" t="s">
        <v>6144</v>
      </c>
      <c r="G1119" s="99" t="s">
        <v>793</v>
      </c>
      <c r="H1119" s="99" t="s">
        <v>135</v>
      </c>
      <c r="I1119" s="101"/>
      <c r="J1119" s="110"/>
      <c r="K1119" s="107" t="str">
        <f>IFNA(VLOOKUP(D1119,'EAN Codes'!A:C,2,False),"")</f>
        <v>4250557517797</v>
      </c>
      <c r="L1119" s="101"/>
      <c r="M1119" s="119"/>
      <c r="N1119" s="99"/>
      <c r="O1119" s="99"/>
      <c r="P1119" s="99"/>
      <c r="Q1119" s="99"/>
      <c r="R1119" s="99"/>
      <c r="S1119" s="104"/>
      <c r="T1119" s="99"/>
      <c r="U1119" s="93" t="b">
        <v>1</v>
      </c>
      <c r="V1119" s="99" t="s">
        <v>8002</v>
      </c>
      <c r="Z1119" t="b">
        <v>0</v>
      </c>
      <c r="AA1119" t="b">
        <v>0</v>
      </c>
    </row>
    <row r="1120" hidden="1">
      <c r="A1120" s="91"/>
      <c r="B1120" s="86" t="s">
        <v>241</v>
      </c>
      <c r="C1120" s="86" t="s">
        <v>342</v>
      </c>
      <c r="D1120" s="87" t="s">
        <v>8003</v>
      </c>
      <c r="E1120" s="86" t="s">
        <v>346</v>
      </c>
      <c r="F1120" s="86" t="s">
        <v>8004</v>
      </c>
      <c r="G1120" s="86" t="s">
        <v>1057</v>
      </c>
      <c r="H1120" s="86" t="s">
        <v>517</v>
      </c>
      <c r="I1120" s="91"/>
      <c r="J1120" s="97"/>
      <c r="K1120" s="90" t="str">
        <f>IFNA(VLOOKUP(D1120,'EAN Codes'!A:C,2,False),"")</f>
        <v/>
      </c>
      <c r="L1120" s="91"/>
      <c r="M1120" s="92"/>
      <c r="N1120" s="86"/>
      <c r="O1120" s="86"/>
      <c r="P1120" s="86"/>
      <c r="Q1120" s="86"/>
      <c r="R1120" s="86"/>
      <c r="S1120" s="88"/>
      <c r="T1120" s="86"/>
      <c r="U1120" s="93" t="b">
        <v>1</v>
      </c>
      <c r="V1120" s="86" t="s">
        <v>8006</v>
      </c>
      <c r="Z1120" t="b">
        <v>0</v>
      </c>
      <c r="AA1120" t="b">
        <v>0</v>
      </c>
    </row>
    <row r="1121" hidden="1">
      <c r="A1121" s="91"/>
      <c r="B1121" s="86" t="s">
        <v>241</v>
      </c>
      <c r="C1121" s="86" t="s">
        <v>4460</v>
      </c>
      <c r="D1121" s="87" t="s">
        <v>8007</v>
      </c>
      <c r="E1121" s="86" t="s">
        <v>409</v>
      </c>
      <c r="F1121" s="86" t="s">
        <v>8008</v>
      </c>
      <c r="G1121" s="86" t="s">
        <v>3452</v>
      </c>
      <c r="H1121" s="86" t="s">
        <v>171</v>
      </c>
      <c r="I1121" s="91"/>
      <c r="J1121" s="97"/>
      <c r="K1121" s="90" t="str">
        <f>IFNA(VLOOKUP(D1121,'EAN Codes'!A:C,2,False),"")</f>
        <v/>
      </c>
      <c r="L1121" s="91"/>
      <c r="M1121" s="92"/>
      <c r="N1121" s="86"/>
      <c r="O1121" s="86"/>
      <c r="P1121" s="86"/>
      <c r="Q1121" s="86"/>
      <c r="R1121" s="86"/>
      <c r="S1121" s="88"/>
      <c r="T1121" s="86"/>
      <c r="U1121" s="93" t="b">
        <v>1</v>
      </c>
      <c r="V1121" s="86" t="s">
        <v>8009</v>
      </c>
      <c r="W1121" s="6" t="s">
        <v>8010</v>
      </c>
      <c r="Z1121" t="b">
        <v>0</v>
      </c>
      <c r="AA1121" t="b">
        <v>0</v>
      </c>
    </row>
    <row r="1122" hidden="1">
      <c r="A1122" s="124"/>
      <c r="B1122" s="86" t="s">
        <v>241</v>
      </c>
      <c r="C1122" s="86" t="s">
        <v>408</v>
      </c>
      <c r="D1122" s="87" t="s">
        <v>8011</v>
      </c>
      <c r="E1122" s="86" t="s">
        <v>346</v>
      </c>
      <c r="F1122" s="86" t="s">
        <v>8012</v>
      </c>
      <c r="G1122" s="91"/>
      <c r="H1122" s="86" t="s">
        <v>135</v>
      </c>
      <c r="I1122" s="91"/>
      <c r="J1122" s="97"/>
      <c r="K1122" s="90" t="str">
        <f>IFNA(VLOOKUP(D1122,'EAN Codes'!A:C,2,False),"")</f>
        <v>4250141147447</v>
      </c>
      <c r="L1122" s="91"/>
      <c r="M1122" s="92"/>
      <c r="N1122" s="86"/>
      <c r="O1122" s="86"/>
      <c r="P1122" s="86"/>
      <c r="Q1122" s="86"/>
      <c r="R1122" s="86"/>
      <c r="S1122" s="88"/>
      <c r="T1122" s="86"/>
      <c r="U1122" s="93" t="b">
        <v>1</v>
      </c>
      <c r="V1122" s="86" t="s">
        <v>8013</v>
      </c>
      <c r="Z1122" t="b">
        <v>0</v>
      </c>
      <c r="AA1122" t="b">
        <v>0</v>
      </c>
    </row>
    <row r="1123" hidden="1">
      <c r="A1123" s="91"/>
      <c r="B1123" s="86" t="s">
        <v>731</v>
      </c>
      <c r="C1123" s="86" t="s">
        <v>7918</v>
      </c>
      <c r="D1123" s="87" t="s">
        <v>8014</v>
      </c>
      <c r="E1123" s="86" t="s">
        <v>7966</v>
      </c>
      <c r="F1123" s="86" t="s">
        <v>8015</v>
      </c>
      <c r="G1123" s="91"/>
      <c r="H1123" s="86" t="s">
        <v>135</v>
      </c>
      <c r="I1123" s="91"/>
      <c r="J1123" s="97"/>
      <c r="K1123" s="90" t="str">
        <f>IFNA(VLOOKUP(D1123,'EAN Codes'!A:C,2,False),"")</f>
        <v/>
      </c>
      <c r="L1123" s="91"/>
      <c r="M1123" s="92"/>
      <c r="N1123" s="86"/>
      <c r="O1123" s="86"/>
      <c r="P1123" s="86"/>
      <c r="Q1123" s="86"/>
      <c r="R1123" s="86"/>
      <c r="S1123" s="88"/>
      <c r="T1123" s="86" t="s">
        <v>8017</v>
      </c>
      <c r="U1123" s="88" t="b">
        <v>1</v>
      </c>
      <c r="V1123" s="86" t="s">
        <v>8018</v>
      </c>
      <c r="W1123" s="91"/>
      <c r="X1123" s="91"/>
      <c r="Y1123" s="91"/>
      <c r="Z1123" s="91" t="b">
        <v>0</v>
      </c>
      <c r="AA1123" s="91" t="b">
        <v>0</v>
      </c>
      <c r="AB1123" s="91"/>
      <c r="AC1123" s="91"/>
      <c r="AD1123" s="91"/>
      <c r="AE1123" s="91"/>
    </row>
    <row r="1124" hidden="1">
      <c r="A1124" s="101"/>
      <c r="B1124" s="99" t="s">
        <v>241</v>
      </c>
      <c r="C1124" s="99" t="s">
        <v>342</v>
      </c>
      <c r="D1124" s="100" t="s">
        <v>8019</v>
      </c>
      <c r="E1124" s="99" t="s">
        <v>346</v>
      </c>
      <c r="F1124" s="99" t="s">
        <v>6658</v>
      </c>
      <c r="G1124" s="99" t="s">
        <v>3039</v>
      </c>
      <c r="H1124" s="99" t="s">
        <v>2158</v>
      </c>
      <c r="I1124" s="101"/>
      <c r="J1124" s="110"/>
      <c r="K1124" s="107" t="str">
        <f>IFNA(VLOOKUP(D1124,'EAN Codes'!A:C,2,False),"")</f>
        <v>5907615812583</v>
      </c>
      <c r="L1124" s="101"/>
      <c r="M1124" s="119"/>
      <c r="N1124" s="99"/>
      <c r="O1124" s="99"/>
      <c r="P1124" s="99"/>
      <c r="Q1124" s="99"/>
      <c r="R1124" s="99"/>
      <c r="S1124" s="104"/>
      <c r="T1124" s="99"/>
      <c r="U1124" s="93" t="b">
        <v>1</v>
      </c>
      <c r="V1124" s="99" t="s">
        <v>8021</v>
      </c>
      <c r="W1124" s="6" t="s">
        <v>8010</v>
      </c>
      <c r="Z1124" t="b">
        <v>0</v>
      </c>
      <c r="AA1124" t="b">
        <v>0</v>
      </c>
    </row>
    <row r="1125" hidden="1">
      <c r="A1125" s="91"/>
      <c r="B1125" s="86" t="s">
        <v>241</v>
      </c>
      <c r="C1125" s="86" t="s">
        <v>760</v>
      </c>
      <c r="D1125" s="87" t="s">
        <v>8022</v>
      </c>
      <c r="E1125" s="86" t="s">
        <v>8023</v>
      </c>
      <c r="F1125" s="86" t="s">
        <v>4345</v>
      </c>
      <c r="G1125" s="91"/>
      <c r="H1125" s="86" t="s">
        <v>8024</v>
      </c>
      <c r="I1125" s="91"/>
      <c r="J1125" s="97"/>
      <c r="K1125" s="90" t="str">
        <f>IFNA(VLOOKUP(D1125,'EAN Codes'!A:C,2,False),"")</f>
        <v>5060128531461</v>
      </c>
      <c r="L1125" s="91"/>
      <c r="M1125" s="92"/>
      <c r="N1125" s="86"/>
      <c r="O1125" s="86"/>
      <c r="P1125" s="86"/>
      <c r="Q1125" s="86"/>
      <c r="R1125" s="86"/>
      <c r="S1125" s="88"/>
      <c r="T1125" s="86"/>
      <c r="U1125" s="93" t="b">
        <v>1</v>
      </c>
      <c r="V1125" s="86" t="s">
        <v>8025</v>
      </c>
      <c r="Z1125" t="b">
        <v>0</v>
      </c>
      <c r="AA1125" t="b">
        <v>0</v>
      </c>
    </row>
    <row r="1126" hidden="1">
      <c r="A1126" s="91"/>
      <c r="B1126" s="86" t="s">
        <v>241</v>
      </c>
      <c r="C1126" s="86" t="s">
        <v>4382</v>
      </c>
      <c r="D1126" s="87" t="s">
        <v>8027</v>
      </c>
      <c r="E1126" s="86" t="s">
        <v>373</v>
      </c>
      <c r="F1126" s="86" t="s">
        <v>8028</v>
      </c>
      <c r="G1126" s="91"/>
      <c r="H1126" s="86" t="s">
        <v>542</v>
      </c>
      <c r="I1126" s="91"/>
      <c r="J1126" s="97"/>
      <c r="K1126" s="90" t="str">
        <f>IFNA(VLOOKUP(D1126,'EAN Codes'!A:C,2,False),"")</f>
        <v/>
      </c>
      <c r="L1126" s="91"/>
      <c r="M1126" s="92"/>
      <c r="N1126" s="86"/>
      <c r="O1126" s="86"/>
      <c r="P1126" s="86"/>
      <c r="Q1126" s="86"/>
      <c r="R1126" s="86"/>
      <c r="S1126" s="88"/>
      <c r="T1126" s="86" t="s">
        <v>8029</v>
      </c>
      <c r="U1126" s="88" t="b">
        <v>1</v>
      </c>
      <c r="V1126" s="86" t="s">
        <v>8030</v>
      </c>
      <c r="W1126" s="91"/>
      <c r="X1126" s="91"/>
      <c r="Y1126" s="91"/>
      <c r="Z1126" s="91" t="b">
        <v>0</v>
      </c>
      <c r="AA1126" s="91" t="b">
        <v>0</v>
      </c>
      <c r="AB1126" s="91"/>
      <c r="AC1126" s="91"/>
      <c r="AD1126" s="91"/>
      <c r="AE1126" s="91"/>
    </row>
    <row r="1127" hidden="1">
      <c r="A1127" s="101"/>
      <c r="B1127" s="99" t="s">
        <v>241</v>
      </c>
      <c r="C1127" s="99" t="s">
        <v>342</v>
      </c>
      <c r="D1127" s="100" t="s">
        <v>4564</v>
      </c>
      <c r="E1127" s="99" t="s">
        <v>346</v>
      </c>
      <c r="F1127" s="101"/>
      <c r="G1127" s="101"/>
      <c r="H1127" s="99" t="s">
        <v>135</v>
      </c>
      <c r="I1127" s="101"/>
      <c r="J1127" s="110"/>
      <c r="K1127" s="107" t="str">
        <f>IFNA(VLOOKUP(D1127,'EAN Codes'!A:C,2,False),"")</f>
        <v>5907615827013</v>
      </c>
      <c r="L1127" s="101"/>
      <c r="M1127" s="119"/>
      <c r="N1127" s="99"/>
      <c r="O1127" s="99"/>
      <c r="P1127" s="99"/>
      <c r="Q1127" s="99"/>
      <c r="R1127" s="99"/>
      <c r="S1127" s="104"/>
      <c r="T1127" s="99"/>
      <c r="U1127" s="93" t="b">
        <v>1</v>
      </c>
      <c r="V1127" s="99" t="s">
        <v>8031</v>
      </c>
      <c r="W1127" s="101"/>
      <c r="X1127" s="101"/>
      <c r="Y1127" s="101"/>
      <c r="Z1127" s="101" t="b">
        <v>0</v>
      </c>
      <c r="AA1127" s="101" t="b">
        <v>0</v>
      </c>
      <c r="AB1127" s="101"/>
      <c r="AC1127" s="101"/>
      <c r="AD1127" s="101"/>
      <c r="AE1127" s="101"/>
    </row>
    <row r="1128" hidden="1">
      <c r="B1128" s="99" t="s">
        <v>241</v>
      </c>
      <c r="C1128" s="99" t="s">
        <v>342</v>
      </c>
      <c r="D1128" s="100" t="s">
        <v>4287</v>
      </c>
      <c r="E1128" s="99" t="s">
        <v>346</v>
      </c>
      <c r="F1128" s="99" t="s">
        <v>4288</v>
      </c>
      <c r="G1128" s="99" t="s">
        <v>1155</v>
      </c>
      <c r="H1128" s="99" t="s">
        <v>8032</v>
      </c>
      <c r="I1128" s="101"/>
      <c r="J1128" s="110"/>
      <c r="K1128" s="107" t="str">
        <f>IFNA(VLOOKUP(D1128,'EAN Codes'!A:C,2,False),"")</f>
        <v>5907615814990</v>
      </c>
      <c r="L1128" s="101"/>
      <c r="M1128" s="119"/>
      <c r="N1128" s="99"/>
      <c r="O1128" s="99"/>
      <c r="P1128" s="99"/>
      <c r="Q1128" s="99"/>
      <c r="R1128" s="99"/>
      <c r="S1128" s="104"/>
      <c r="T1128" s="99"/>
      <c r="U1128" s="93" t="b">
        <v>1</v>
      </c>
      <c r="V1128" s="99" t="s">
        <v>8033</v>
      </c>
      <c r="Z1128" t="b">
        <v>0</v>
      </c>
      <c r="AA1128" t="b">
        <v>0</v>
      </c>
    </row>
    <row r="1129" hidden="1">
      <c r="A1129" s="91"/>
      <c r="B1129" s="86" t="s">
        <v>731</v>
      </c>
      <c r="C1129" s="86" t="s">
        <v>8034</v>
      </c>
      <c r="D1129" s="87" t="s">
        <v>8035</v>
      </c>
      <c r="E1129" s="86"/>
      <c r="F1129" s="86" t="s">
        <v>8036</v>
      </c>
      <c r="G1129" s="86" t="s">
        <v>8037</v>
      </c>
      <c r="H1129" s="86" t="s">
        <v>542</v>
      </c>
      <c r="I1129" s="91"/>
      <c r="J1129" s="97"/>
      <c r="K1129" s="90"/>
      <c r="L1129" s="91"/>
      <c r="M1129" s="92"/>
      <c r="N1129" s="86"/>
      <c r="O1129" s="86"/>
      <c r="P1129" s="86"/>
      <c r="Q1129" s="86"/>
      <c r="R1129" s="86"/>
      <c r="S1129" s="88"/>
      <c r="T1129" s="86"/>
      <c r="U1129" s="93" t="b">
        <v>1</v>
      </c>
      <c r="V1129" s="86" t="s">
        <v>8038</v>
      </c>
      <c r="Z1129" t="b">
        <v>0</v>
      </c>
      <c r="AA1129" t="b">
        <v>0</v>
      </c>
    </row>
    <row r="1130" hidden="1">
      <c r="A1130" s="115"/>
      <c r="B1130" s="106" t="s">
        <v>241</v>
      </c>
      <c r="C1130" s="106" t="s">
        <v>4382</v>
      </c>
      <c r="D1130" s="273" t="s">
        <v>8039</v>
      </c>
      <c r="E1130" s="106" t="s">
        <v>373</v>
      </c>
      <c r="F1130" s="106" t="s">
        <v>3839</v>
      </c>
      <c r="G1130" s="115"/>
      <c r="H1130" s="106" t="s">
        <v>542</v>
      </c>
      <c r="I1130" s="115"/>
      <c r="J1130" s="263"/>
      <c r="K1130" s="275" t="str">
        <f>IFNA(VLOOKUP(D1130,'EAN Codes'!A:C,2,False),"")</f>
        <v/>
      </c>
      <c r="L1130" s="261"/>
      <c r="M1130" s="276"/>
      <c r="N1130" s="106"/>
      <c r="O1130" s="106"/>
      <c r="P1130" s="106"/>
      <c r="Q1130" s="106"/>
      <c r="R1130" s="106"/>
      <c r="S1130" s="274"/>
      <c r="T1130" s="106" t="s">
        <v>8029</v>
      </c>
      <c r="U1130" s="161" t="b">
        <v>1</v>
      </c>
      <c r="V1130" s="106" t="s">
        <v>8040</v>
      </c>
      <c r="W1130" s="115"/>
      <c r="X1130" s="115"/>
      <c r="Y1130" s="115"/>
      <c r="Z1130" s="115" t="b">
        <v>0</v>
      </c>
      <c r="AA1130" s="115" t="b">
        <v>0</v>
      </c>
      <c r="AB1130" s="115"/>
      <c r="AC1130" s="115"/>
      <c r="AD1130" s="115"/>
      <c r="AE1130" s="115"/>
    </row>
    <row r="1131" hidden="1">
      <c r="A1131" s="490"/>
      <c r="B1131" s="375" t="s">
        <v>241</v>
      </c>
      <c r="C1131" s="375" t="s">
        <v>342</v>
      </c>
      <c r="D1131" s="491" t="s">
        <v>4031</v>
      </c>
      <c r="E1131" s="375" t="s">
        <v>409</v>
      </c>
      <c r="F1131" s="375" t="s">
        <v>8041</v>
      </c>
      <c r="G1131" s="490"/>
      <c r="H1131" s="375" t="s">
        <v>8042</v>
      </c>
      <c r="I1131" s="490"/>
      <c r="J1131" s="492"/>
      <c r="K1131" s="493" t="str">
        <f>IFNA(VLOOKUP(D1131,'EAN Codes'!A:C,2,False),"")</f>
        <v>5907615809576</v>
      </c>
      <c r="L1131" s="490"/>
      <c r="M1131" s="494"/>
      <c r="N1131" s="375"/>
      <c r="O1131" s="375"/>
      <c r="P1131" s="375"/>
      <c r="Q1131" s="375"/>
      <c r="R1131" s="375"/>
      <c r="S1131" s="495"/>
      <c r="T1131" s="375"/>
      <c r="U1131" s="93" t="b">
        <v>1</v>
      </c>
      <c r="V1131" s="375" t="s">
        <v>8043</v>
      </c>
      <c r="Z1131" t="b">
        <v>0</v>
      </c>
      <c r="AA1131" t="b">
        <v>0</v>
      </c>
    </row>
    <row r="1132" hidden="1">
      <c r="A1132" s="6">
        <v>1.0</v>
      </c>
      <c r="B1132" s="106" t="s">
        <v>241</v>
      </c>
      <c r="C1132" s="106" t="s">
        <v>3701</v>
      </c>
      <c r="D1132" s="273" t="s">
        <v>8044</v>
      </c>
      <c r="E1132" s="106" t="s">
        <v>409</v>
      </c>
      <c r="F1132" s="106" t="s">
        <v>8045</v>
      </c>
      <c r="G1132" s="115"/>
      <c r="H1132" s="160" t="s">
        <v>8046</v>
      </c>
      <c r="I1132" s="473" t="s">
        <v>8047</v>
      </c>
      <c r="J1132" s="22" t="s">
        <v>8048</v>
      </c>
      <c r="K1132" s="275" t="str">
        <f>IFNA(VLOOKUP(D1132,'EAN Codes'!A:C,2,False),"")</f>
        <v/>
      </c>
      <c r="L1132" s="469"/>
      <c r="M1132" s="496" t="b">
        <v>0</v>
      </c>
      <c r="N1132" s="477" t="b">
        <v>0</v>
      </c>
      <c r="O1132" s="477" t="b">
        <v>0</v>
      </c>
      <c r="P1132" s="477" t="b">
        <v>0</v>
      </c>
      <c r="Q1132" s="477" t="b">
        <v>0</v>
      </c>
      <c r="R1132" s="478"/>
      <c r="S1132" s="479"/>
      <c r="T1132" s="480" t="s">
        <v>8049</v>
      </c>
      <c r="U1132" s="481" t="b">
        <v>1</v>
      </c>
      <c r="V1132" s="191" t="s">
        <v>8050</v>
      </c>
      <c r="W1132" s="115"/>
      <c r="Z1132" t="b">
        <v>0</v>
      </c>
      <c r="AA1132" t="b">
        <v>0</v>
      </c>
    </row>
    <row r="1133" hidden="1">
      <c r="B1133" s="86" t="s">
        <v>241</v>
      </c>
      <c r="C1133" s="86" t="s">
        <v>1250</v>
      </c>
      <c r="D1133" s="87" t="s">
        <v>8051</v>
      </c>
      <c r="E1133" s="86" t="s">
        <v>1390</v>
      </c>
      <c r="F1133" s="86" t="s">
        <v>8052</v>
      </c>
      <c r="G1133" s="91"/>
      <c r="H1133" s="86" t="s">
        <v>255</v>
      </c>
      <c r="I1133" s="91"/>
      <c r="J1133" s="97"/>
      <c r="K1133" s="90" t="str">
        <f>IFNA(VLOOKUP(D1133,'EAN Codes'!A:C,2,False),"")</f>
        <v>8054521993039</v>
      </c>
      <c r="L1133" s="91"/>
      <c r="M1133" s="92"/>
      <c r="N1133" s="86"/>
      <c r="O1133" s="86"/>
      <c r="P1133" s="86"/>
      <c r="Q1133" s="86"/>
      <c r="R1133" s="86"/>
      <c r="S1133" s="88"/>
      <c r="T1133" s="86"/>
      <c r="U1133" s="93" t="b">
        <v>1</v>
      </c>
      <c r="V1133" s="86" t="s">
        <v>8053</v>
      </c>
      <c r="Z1133" t="b">
        <v>0</v>
      </c>
      <c r="AA1133" t="b">
        <v>0</v>
      </c>
    </row>
    <row r="1134" hidden="1">
      <c r="A1134" s="101"/>
      <c r="B1134" s="99" t="s">
        <v>241</v>
      </c>
      <c r="C1134" s="99" t="s">
        <v>342</v>
      </c>
      <c r="D1134" s="100" t="s">
        <v>4611</v>
      </c>
      <c r="E1134" s="99" t="s">
        <v>2639</v>
      </c>
      <c r="F1134" s="99" t="s">
        <v>6515</v>
      </c>
      <c r="G1134" s="101"/>
      <c r="H1134" s="99" t="s">
        <v>542</v>
      </c>
      <c r="I1134" s="101"/>
      <c r="J1134" s="110"/>
      <c r="K1134" s="107" t="str">
        <f>IFNA(VLOOKUP(D1134,'EAN Codes'!A:C,2,False),"")</f>
        <v>5907615818851</v>
      </c>
      <c r="L1134" s="101"/>
      <c r="M1134" s="119"/>
      <c r="N1134" s="99"/>
      <c r="O1134" s="99"/>
      <c r="P1134" s="99"/>
      <c r="Q1134" s="99"/>
      <c r="R1134" s="99"/>
      <c r="S1134" s="104"/>
      <c r="T1134" s="99"/>
      <c r="U1134" s="93" t="b">
        <v>1</v>
      </c>
      <c r="V1134" s="99" t="s">
        <v>8054</v>
      </c>
      <c r="Z1134" t="b">
        <v>0</v>
      </c>
      <c r="AA1134" t="b">
        <v>0</v>
      </c>
    </row>
    <row r="1135" hidden="1">
      <c r="A1135" s="115"/>
      <c r="B1135" s="86" t="s">
        <v>241</v>
      </c>
      <c r="C1135" s="86" t="s">
        <v>342</v>
      </c>
      <c r="D1135" s="87" t="s">
        <v>8055</v>
      </c>
      <c r="E1135" s="86" t="s">
        <v>346</v>
      </c>
      <c r="F1135" s="86" t="s">
        <v>7731</v>
      </c>
      <c r="G1135" s="91"/>
      <c r="H1135" s="86" t="s">
        <v>717</v>
      </c>
      <c r="I1135" s="91"/>
      <c r="J1135" s="97"/>
      <c r="K1135" s="90" t="str">
        <f>IFNA(VLOOKUP(D1135,'EAN Codes'!A:C,2,False),"")</f>
        <v>5907615819421</v>
      </c>
      <c r="L1135" s="91"/>
      <c r="M1135" s="92"/>
      <c r="N1135" s="86"/>
      <c r="O1135" s="86"/>
      <c r="P1135" s="86"/>
      <c r="Q1135" s="86"/>
      <c r="R1135" s="86"/>
      <c r="S1135" s="88"/>
      <c r="T1135" s="86"/>
      <c r="U1135" s="93" t="b">
        <v>1</v>
      </c>
      <c r="V1135" s="86" t="s">
        <v>8056</v>
      </c>
      <c r="Z1135" t="b">
        <v>0</v>
      </c>
      <c r="AA1135" t="b">
        <v>0</v>
      </c>
    </row>
    <row r="1136" hidden="1">
      <c r="A1136" s="91"/>
      <c r="B1136" s="86" t="s">
        <v>241</v>
      </c>
      <c r="C1136" s="86" t="s">
        <v>342</v>
      </c>
      <c r="D1136" s="87" t="s">
        <v>4661</v>
      </c>
      <c r="E1136" s="86" t="s">
        <v>346</v>
      </c>
      <c r="F1136" s="86" t="s">
        <v>8057</v>
      </c>
      <c r="G1136" s="86" t="s">
        <v>4261</v>
      </c>
      <c r="H1136" s="86" t="s">
        <v>132</v>
      </c>
      <c r="I1136" s="91"/>
      <c r="J1136" s="97"/>
      <c r="K1136" s="90" t="str">
        <f>IFNA(VLOOKUP(D1136,'EAN Codes'!A:C,2,False),"")</f>
        <v>5907615820748</v>
      </c>
      <c r="L1136" s="91"/>
      <c r="M1136" s="92"/>
      <c r="N1136" s="86"/>
      <c r="O1136" s="86"/>
      <c r="P1136" s="86"/>
      <c r="Q1136" s="86"/>
      <c r="R1136" s="86"/>
      <c r="S1136" s="88"/>
      <c r="T1136" s="86"/>
      <c r="U1136" s="93" t="b">
        <v>1</v>
      </c>
      <c r="V1136" s="86" t="s">
        <v>8058</v>
      </c>
      <c r="Z1136" t="b">
        <v>0</v>
      </c>
      <c r="AA1136" t="b">
        <v>0</v>
      </c>
    </row>
    <row r="1137" hidden="1">
      <c r="A1137" s="91"/>
      <c r="B1137" s="86" t="s">
        <v>241</v>
      </c>
      <c r="C1137" s="86" t="s">
        <v>760</v>
      </c>
      <c r="D1137" s="87" t="s">
        <v>8059</v>
      </c>
      <c r="E1137" s="86" t="s">
        <v>409</v>
      </c>
      <c r="F1137" s="86" t="s">
        <v>8060</v>
      </c>
      <c r="G1137" s="91"/>
      <c r="H1137" s="86" t="s">
        <v>171</v>
      </c>
      <c r="I1137" s="91"/>
      <c r="J1137" s="97"/>
      <c r="K1137" s="90" t="str">
        <f>IFNA(VLOOKUP(D1137,'EAN Codes'!A:C,2,False),"")</f>
        <v>5060128539924</v>
      </c>
      <c r="L1137" s="91"/>
      <c r="M1137" s="92"/>
      <c r="N1137" s="86"/>
      <c r="O1137" s="86"/>
      <c r="P1137" s="86"/>
      <c r="Q1137" s="86"/>
      <c r="R1137" s="86"/>
      <c r="S1137" s="88"/>
      <c r="T1137" s="86"/>
      <c r="U1137" s="93" t="b">
        <v>1</v>
      </c>
      <c r="V1137" s="86" t="s">
        <v>8061</v>
      </c>
      <c r="W1137" s="6" t="s">
        <v>8062</v>
      </c>
      <c r="Z1137" t="b">
        <v>0</v>
      </c>
      <c r="AA1137" t="b">
        <v>0</v>
      </c>
    </row>
    <row r="1138" hidden="1">
      <c r="A1138" s="91"/>
      <c r="B1138" s="86" t="s">
        <v>8063</v>
      </c>
      <c r="C1138" s="86" t="s">
        <v>8064</v>
      </c>
      <c r="D1138" s="87" t="s">
        <v>8065</v>
      </c>
      <c r="E1138" s="91"/>
      <c r="F1138" s="86" t="s">
        <v>8066</v>
      </c>
      <c r="G1138" s="91"/>
      <c r="H1138" s="86" t="s">
        <v>8067</v>
      </c>
      <c r="I1138" s="91"/>
      <c r="J1138" s="97"/>
      <c r="K1138" s="90" t="str">
        <f>IFNA(VLOOKUP(D1138,'EAN Codes'!A:C,2,False),"")</f>
        <v/>
      </c>
      <c r="L1138" s="91"/>
      <c r="M1138" s="92"/>
      <c r="N1138" s="86"/>
      <c r="O1138" s="86"/>
      <c r="P1138" s="86"/>
      <c r="Q1138" s="86"/>
      <c r="R1138" s="86"/>
      <c r="S1138" s="88"/>
      <c r="T1138" s="86"/>
      <c r="U1138" s="93" t="b">
        <v>1</v>
      </c>
      <c r="V1138" s="86" t="s">
        <v>8068</v>
      </c>
      <c r="Z1138" t="b">
        <v>0</v>
      </c>
      <c r="AA1138" t="b">
        <v>0</v>
      </c>
    </row>
    <row r="1139" hidden="1">
      <c r="A1139" s="91"/>
      <c r="B1139" s="86" t="s">
        <v>241</v>
      </c>
      <c r="C1139" s="86" t="s">
        <v>342</v>
      </c>
      <c r="D1139" s="87" t="s">
        <v>8069</v>
      </c>
      <c r="E1139" s="86" t="s">
        <v>346</v>
      </c>
      <c r="F1139" s="86" t="s">
        <v>7134</v>
      </c>
      <c r="G1139" s="86" t="s">
        <v>793</v>
      </c>
      <c r="H1139" s="86" t="s">
        <v>490</v>
      </c>
      <c r="I1139" s="91"/>
      <c r="J1139" s="97"/>
      <c r="K1139" s="90" t="str">
        <f>IFNA(VLOOKUP(D1139,'EAN Codes'!A:C,2,False),"")</f>
        <v>5907615824623</v>
      </c>
      <c r="L1139" s="91"/>
      <c r="M1139" s="92"/>
      <c r="N1139" s="86"/>
      <c r="O1139" s="86"/>
      <c r="P1139" s="86"/>
      <c r="Q1139" s="86"/>
      <c r="R1139" s="86"/>
      <c r="S1139" s="88"/>
      <c r="T1139" s="86"/>
      <c r="U1139" s="93" t="b">
        <v>1</v>
      </c>
      <c r="V1139" s="86" t="s">
        <v>8070</v>
      </c>
      <c r="W1139" s="6" t="s">
        <v>8071</v>
      </c>
      <c r="Z1139" t="b">
        <v>0</v>
      </c>
      <c r="AA1139" t="b">
        <v>0</v>
      </c>
    </row>
    <row r="1140" hidden="1">
      <c r="B1140" s="6"/>
      <c r="C1140" s="6"/>
      <c r="D1140" s="127"/>
      <c r="E1140" s="6"/>
      <c r="F1140" s="6"/>
      <c r="H1140" s="6"/>
      <c r="J1140" s="60"/>
      <c r="K1140" s="66"/>
      <c r="L1140" s="82"/>
      <c r="M1140" s="83"/>
      <c r="N1140" s="6"/>
      <c r="O1140" s="6"/>
      <c r="P1140" s="6"/>
      <c r="Q1140" s="6"/>
      <c r="R1140" s="6"/>
      <c r="S1140" s="84"/>
      <c r="T1140" s="6"/>
      <c r="U1140" s="93" t="b">
        <v>1</v>
      </c>
      <c r="V1140" s="6"/>
      <c r="Z1140" t="b">
        <v>0</v>
      </c>
      <c r="AA1140" t="b">
        <v>0</v>
      </c>
    </row>
    <row r="1141" hidden="1">
      <c r="A1141" s="101"/>
      <c r="B1141" s="99" t="s">
        <v>241</v>
      </c>
      <c r="C1141" s="99" t="s">
        <v>1250</v>
      </c>
      <c r="D1141" s="100" t="s">
        <v>8073</v>
      </c>
      <c r="E1141" s="99" t="s">
        <v>1390</v>
      </c>
      <c r="F1141" s="99" t="s">
        <v>6317</v>
      </c>
      <c r="G1141" s="99" t="s">
        <v>2955</v>
      </c>
      <c r="H1141" s="99" t="s">
        <v>360</v>
      </c>
      <c r="I1141" s="101"/>
      <c r="J1141" s="110"/>
      <c r="K1141" s="107" t="str">
        <f>IFNA(VLOOKUP(D1141,'EAN Codes'!A:C,2,False),"")</f>
        <v>8054521994760</v>
      </c>
      <c r="L1141" s="101"/>
      <c r="M1141" s="119"/>
      <c r="N1141" s="99"/>
      <c r="O1141" s="99"/>
      <c r="P1141" s="99"/>
      <c r="Q1141" s="99"/>
      <c r="R1141" s="99"/>
      <c r="S1141" s="104"/>
      <c r="T1141" s="99"/>
      <c r="U1141" s="93" t="b">
        <v>1</v>
      </c>
      <c r="V1141" s="99" t="s">
        <v>8074</v>
      </c>
      <c r="Z1141" t="b">
        <v>0</v>
      </c>
      <c r="AA1141" t="b">
        <v>0</v>
      </c>
    </row>
    <row r="1142" hidden="1">
      <c r="A1142" s="6">
        <v>1.0</v>
      </c>
      <c r="B1142" s="106" t="s">
        <v>241</v>
      </c>
      <c r="C1142" s="106" t="s">
        <v>4382</v>
      </c>
      <c r="D1142" s="273" t="s">
        <v>8075</v>
      </c>
      <c r="E1142" s="106" t="s">
        <v>373</v>
      </c>
      <c r="F1142" s="106" t="s">
        <v>8076</v>
      </c>
      <c r="G1142" s="106" t="s">
        <v>793</v>
      </c>
      <c r="H1142" s="474"/>
      <c r="I1142" s="474"/>
      <c r="J1142" s="475"/>
      <c r="K1142" s="275"/>
      <c r="L1142" s="469"/>
      <c r="M1142" s="496" t="b">
        <v>1</v>
      </c>
      <c r="N1142" s="477" t="b">
        <v>0</v>
      </c>
      <c r="O1142" s="477" t="b">
        <v>0</v>
      </c>
      <c r="P1142" s="477" t="b">
        <v>0</v>
      </c>
      <c r="Q1142" s="497" t="b">
        <v>0</v>
      </c>
      <c r="R1142" s="478" t="s">
        <v>8077</v>
      </c>
      <c r="S1142" s="479" t="s">
        <v>8078</v>
      </c>
      <c r="T1142" s="480" t="s">
        <v>8079</v>
      </c>
      <c r="U1142" s="481" t="b">
        <v>1</v>
      </c>
      <c r="V1142" s="106" t="s">
        <v>8080</v>
      </c>
      <c r="X1142" s="471" t="s">
        <v>7891</v>
      </c>
      <c r="Z1142" t="b">
        <v>0</v>
      </c>
      <c r="AA1142" t="b">
        <v>0</v>
      </c>
    </row>
    <row r="1143" hidden="1">
      <c r="A1143" s="101"/>
      <c r="B1143" s="99" t="s">
        <v>731</v>
      </c>
      <c r="C1143" s="99" t="s">
        <v>1116</v>
      </c>
      <c r="D1143" s="100" t="s">
        <v>8081</v>
      </c>
      <c r="E1143" s="99" t="s">
        <v>8082</v>
      </c>
      <c r="F1143" s="99" t="s">
        <v>8083</v>
      </c>
      <c r="G1143" s="101"/>
      <c r="H1143" s="99" t="s">
        <v>542</v>
      </c>
      <c r="I1143" s="101"/>
      <c r="J1143" s="110"/>
      <c r="K1143" s="107" t="str">
        <f>IFNA(VLOOKUP(D1143,'EAN Codes'!A:C,2,False),"")</f>
        <v>8717323059715</v>
      </c>
      <c r="L1143" s="101"/>
      <c r="M1143" s="119"/>
      <c r="N1143" s="99"/>
      <c r="O1143" s="99"/>
      <c r="P1143" s="99"/>
      <c r="Q1143" s="99"/>
      <c r="R1143" s="99"/>
      <c r="S1143" s="104"/>
      <c r="T1143" s="99"/>
      <c r="U1143" s="93" t="b">
        <v>1</v>
      </c>
      <c r="V1143" s="99" t="s">
        <v>8084</v>
      </c>
      <c r="Z1143" t="b">
        <v>0</v>
      </c>
      <c r="AA1143" t="b">
        <v>0</v>
      </c>
    </row>
    <row r="1144" hidden="1">
      <c r="A1144" s="91"/>
      <c r="B1144" s="86" t="s">
        <v>241</v>
      </c>
      <c r="C1144" s="86" t="s">
        <v>342</v>
      </c>
      <c r="D1144" s="87" t="s">
        <v>4847</v>
      </c>
      <c r="E1144" s="86" t="s">
        <v>346</v>
      </c>
      <c r="F1144" s="86" t="s">
        <v>8085</v>
      </c>
      <c r="G1144" s="91"/>
      <c r="H1144" s="86" t="s">
        <v>463</v>
      </c>
      <c r="I1144" s="91"/>
      <c r="J1144" s="97"/>
      <c r="K1144" s="90" t="str">
        <f>IFNA(VLOOKUP(D1144,'EAN Codes'!A:C,2,False),"")</f>
        <v>5907615826092</v>
      </c>
      <c r="L1144" s="91"/>
      <c r="M1144" s="92"/>
      <c r="N1144" s="86"/>
      <c r="O1144" s="86"/>
      <c r="P1144" s="86"/>
      <c r="Q1144" s="86"/>
      <c r="R1144" s="86"/>
      <c r="S1144" s="88"/>
      <c r="T1144" s="86"/>
      <c r="U1144" s="93" t="b">
        <v>1</v>
      </c>
      <c r="V1144" s="86" t="s">
        <v>8086</v>
      </c>
      <c r="W1144" s="91"/>
      <c r="Z1144" t="b">
        <v>0</v>
      </c>
      <c r="AA1144" t="b">
        <v>0</v>
      </c>
    </row>
    <row r="1145" hidden="1">
      <c r="A1145" s="101"/>
      <c r="B1145" s="99" t="s">
        <v>241</v>
      </c>
      <c r="C1145" s="99" t="s">
        <v>342</v>
      </c>
      <c r="D1145" s="100" t="s">
        <v>8087</v>
      </c>
      <c r="E1145" s="99" t="s">
        <v>346</v>
      </c>
      <c r="F1145" s="99" t="s">
        <v>8088</v>
      </c>
      <c r="G1145" s="99" t="s">
        <v>7085</v>
      </c>
      <c r="H1145" s="99" t="s">
        <v>448</v>
      </c>
      <c r="I1145" s="101"/>
      <c r="J1145" s="110"/>
      <c r="K1145" s="107" t="str">
        <f>IFNA(VLOOKUP(D1145,'EAN Codes'!A:C,2,False),"")</f>
        <v>5907615826948</v>
      </c>
      <c r="L1145" s="101"/>
      <c r="M1145" s="119"/>
      <c r="N1145" s="99"/>
      <c r="O1145" s="99"/>
      <c r="P1145" s="99"/>
      <c r="Q1145" s="99"/>
      <c r="R1145" s="99"/>
      <c r="S1145" s="104"/>
      <c r="T1145" s="99"/>
      <c r="U1145" s="93" t="b">
        <v>1</v>
      </c>
      <c r="V1145" s="99" t="s">
        <v>8089</v>
      </c>
      <c r="Z1145" t="b">
        <v>0</v>
      </c>
      <c r="AA1145" t="b">
        <v>0</v>
      </c>
    </row>
    <row r="1146" hidden="1">
      <c r="A1146" s="91"/>
      <c r="B1146" s="86" t="s">
        <v>241</v>
      </c>
      <c r="C1146" s="86" t="s">
        <v>342</v>
      </c>
      <c r="D1146" s="87" t="s">
        <v>8090</v>
      </c>
      <c r="E1146" s="86" t="s">
        <v>346</v>
      </c>
      <c r="F1146" s="86" t="s">
        <v>7128</v>
      </c>
      <c r="G1146" s="91"/>
      <c r="H1146" s="86" t="s">
        <v>517</v>
      </c>
      <c r="I1146" s="91"/>
      <c r="J1146" s="97"/>
      <c r="K1146" s="90" t="str">
        <f>IFNA(VLOOKUP(D1146,'EAN Codes'!A:C,2,False),"")</f>
        <v/>
      </c>
      <c r="L1146" s="91"/>
      <c r="M1146" s="92"/>
      <c r="N1146" s="86"/>
      <c r="O1146" s="86"/>
      <c r="P1146" s="86"/>
      <c r="Q1146" s="86"/>
      <c r="R1146" s="86"/>
      <c r="S1146" s="88"/>
      <c r="T1146" s="86"/>
      <c r="U1146" s="93" t="b">
        <v>1</v>
      </c>
      <c r="V1146" s="86" t="s">
        <v>8091</v>
      </c>
      <c r="Z1146" t="b">
        <v>0</v>
      </c>
      <c r="AA1146" t="b">
        <v>0</v>
      </c>
    </row>
    <row r="1147" hidden="1">
      <c r="A1147" s="91"/>
      <c r="B1147" s="86" t="s">
        <v>241</v>
      </c>
      <c r="C1147" s="86" t="s">
        <v>342</v>
      </c>
      <c r="D1147" s="87" t="s">
        <v>8092</v>
      </c>
      <c r="E1147" s="86" t="s">
        <v>346</v>
      </c>
      <c r="F1147" s="86" t="s">
        <v>8093</v>
      </c>
      <c r="G1147" s="91"/>
      <c r="H1147" s="86" t="s">
        <v>360</v>
      </c>
      <c r="I1147" s="91"/>
      <c r="J1147" s="97"/>
      <c r="K1147" s="90" t="str">
        <f>IFNA(VLOOKUP(D1147,'EAN Codes'!A:C,2,False),"")</f>
        <v>5907615827372</v>
      </c>
      <c r="L1147" s="91"/>
      <c r="M1147" s="92"/>
      <c r="N1147" s="86"/>
      <c r="O1147" s="86"/>
      <c r="P1147" s="86"/>
      <c r="Q1147" s="86"/>
      <c r="R1147" s="86"/>
      <c r="S1147" s="88"/>
      <c r="T1147" s="86"/>
      <c r="U1147" s="93" t="b">
        <v>1</v>
      </c>
      <c r="V1147" s="86" t="s">
        <v>8094</v>
      </c>
      <c r="Z1147" t="b">
        <v>0</v>
      </c>
      <c r="AA1147" t="b">
        <v>0</v>
      </c>
    </row>
    <row r="1148" hidden="1">
      <c r="A1148" s="91"/>
      <c r="B1148" s="86" t="s">
        <v>731</v>
      </c>
      <c r="C1148" s="86" t="s">
        <v>408</v>
      </c>
      <c r="D1148" s="87" t="s">
        <v>1283</v>
      </c>
      <c r="E1148" s="86" t="s">
        <v>1282</v>
      </c>
      <c r="F1148" s="86" t="s">
        <v>1286</v>
      </c>
      <c r="G1148" s="86" t="s">
        <v>793</v>
      </c>
      <c r="H1148" s="86" t="s">
        <v>1287</v>
      </c>
      <c r="I1148" s="91"/>
      <c r="J1148" s="97"/>
      <c r="K1148" s="90" t="str">
        <f>IFNA(VLOOKUP(D1148,'EAN Codes'!A:C,2,False),"")</f>
        <v/>
      </c>
      <c r="L1148" s="91"/>
      <c r="M1148" s="92"/>
      <c r="N1148" s="86"/>
      <c r="O1148" s="86"/>
      <c r="P1148" s="86"/>
      <c r="Q1148" s="86"/>
      <c r="R1148" s="86"/>
      <c r="S1148" s="88"/>
      <c r="T1148" s="86"/>
      <c r="U1148" s="93" t="b">
        <v>1</v>
      </c>
      <c r="V1148" s="86" t="s">
        <v>1316</v>
      </c>
      <c r="Z1148" t="b">
        <v>0</v>
      </c>
      <c r="AA1148" t="b">
        <v>0</v>
      </c>
    </row>
    <row r="1149" hidden="1">
      <c r="A1149" s="101"/>
      <c r="B1149" s="99" t="s">
        <v>181</v>
      </c>
      <c r="C1149" s="99" t="s">
        <v>408</v>
      </c>
      <c r="D1149" s="100" t="s">
        <v>1283</v>
      </c>
      <c r="E1149" s="99" t="s">
        <v>733</v>
      </c>
      <c r="F1149" s="99" t="s">
        <v>8097</v>
      </c>
      <c r="G1149" s="101"/>
      <c r="H1149" s="99" t="s">
        <v>8099</v>
      </c>
      <c r="I1149" s="101"/>
      <c r="J1149" s="110"/>
      <c r="K1149" s="107" t="str">
        <f>IFNA(VLOOKUP(D1149,'EAN Codes'!A:C,2,False),"")</f>
        <v/>
      </c>
      <c r="L1149" s="101"/>
      <c r="M1149" s="119"/>
      <c r="N1149" s="99"/>
      <c r="O1149" s="99"/>
      <c r="P1149" s="99"/>
      <c r="Q1149" s="99"/>
      <c r="R1149" s="99"/>
      <c r="S1149" s="104"/>
      <c r="T1149" s="99"/>
      <c r="U1149" s="93" t="b">
        <v>1</v>
      </c>
      <c r="V1149" s="99" t="s">
        <v>8100</v>
      </c>
      <c r="Z1149" t="b">
        <v>0</v>
      </c>
      <c r="AA1149" t="b">
        <v>0</v>
      </c>
    </row>
    <row r="1150" hidden="1">
      <c r="A1150" s="91"/>
      <c r="B1150" s="86" t="s">
        <v>731</v>
      </c>
      <c r="C1150" s="86" t="s">
        <v>1116</v>
      </c>
      <c r="D1150" s="498"/>
      <c r="E1150" s="86" t="s">
        <v>7966</v>
      </c>
      <c r="F1150" s="86" t="s">
        <v>8008</v>
      </c>
      <c r="G1150" s="86" t="s">
        <v>3452</v>
      </c>
      <c r="H1150" s="86" t="s">
        <v>171</v>
      </c>
      <c r="I1150" s="91"/>
      <c r="J1150" s="97"/>
      <c r="K1150" s="90" t="str">
        <f>IFNA(VLOOKUP(D1150,'EAN Codes'!A:C,2,False),"")</f>
        <v/>
      </c>
      <c r="L1150" s="91"/>
      <c r="M1150" s="92"/>
      <c r="N1150" s="86"/>
      <c r="O1150" s="86"/>
      <c r="P1150" s="86"/>
      <c r="Q1150" s="86"/>
      <c r="R1150" s="86"/>
      <c r="S1150" s="88"/>
      <c r="T1150" s="86"/>
      <c r="U1150" s="93" t="b">
        <v>1</v>
      </c>
      <c r="V1150" s="86" t="s">
        <v>8009</v>
      </c>
      <c r="W1150" s="6" t="s">
        <v>8010</v>
      </c>
      <c r="Z1150" t="b">
        <v>0</v>
      </c>
      <c r="AA1150" t="b">
        <v>0</v>
      </c>
    </row>
    <row r="1151" hidden="1">
      <c r="A1151" s="91"/>
      <c r="B1151" s="86" t="s">
        <v>241</v>
      </c>
      <c r="C1151" s="86" t="s">
        <v>342</v>
      </c>
      <c r="D1151" s="87" t="s">
        <v>4918</v>
      </c>
      <c r="E1151" s="86" t="s">
        <v>346</v>
      </c>
      <c r="F1151" s="86" t="s">
        <v>4925</v>
      </c>
      <c r="G1151" s="91"/>
      <c r="H1151" s="86" t="s">
        <v>7932</v>
      </c>
      <c r="I1151" s="91"/>
      <c r="J1151" s="97"/>
      <c r="K1151" s="90" t="str">
        <f>IFNA(VLOOKUP(D1151,'EAN Codes'!A:C,2,False),"")</f>
        <v>5907615827099</v>
      </c>
      <c r="L1151" s="91"/>
      <c r="M1151" s="92"/>
      <c r="N1151" s="86"/>
      <c r="O1151" s="86"/>
      <c r="P1151" s="86"/>
      <c r="Q1151" s="86"/>
      <c r="R1151" s="86"/>
      <c r="S1151" s="88"/>
      <c r="T1151" s="86"/>
      <c r="U1151" s="93" t="b">
        <v>1</v>
      </c>
      <c r="V1151" s="86" t="s">
        <v>8101</v>
      </c>
      <c r="Z1151" t="b">
        <v>0</v>
      </c>
      <c r="AA1151" t="b">
        <v>0</v>
      </c>
    </row>
    <row r="1152" hidden="1">
      <c r="A1152" s="91"/>
      <c r="B1152" s="86" t="s">
        <v>241</v>
      </c>
      <c r="C1152" s="86" t="s">
        <v>4460</v>
      </c>
      <c r="D1152" s="87" t="s">
        <v>8102</v>
      </c>
      <c r="E1152" s="86" t="s">
        <v>409</v>
      </c>
      <c r="F1152" s="86" t="s">
        <v>5785</v>
      </c>
      <c r="G1152" s="91"/>
      <c r="H1152" s="86" t="s">
        <v>132</v>
      </c>
      <c r="I1152" s="91"/>
      <c r="J1152" s="97"/>
      <c r="K1152" s="90" t="str">
        <f>IFNA(VLOOKUP(D1152,'EAN Codes'!A:C,2,False),"")</f>
        <v/>
      </c>
      <c r="L1152" s="91"/>
      <c r="M1152" s="92"/>
      <c r="N1152" s="86"/>
      <c r="O1152" s="86"/>
      <c r="P1152" s="86"/>
      <c r="Q1152" s="86"/>
      <c r="R1152" s="86"/>
      <c r="S1152" s="88"/>
      <c r="T1152" s="86"/>
      <c r="U1152" s="93" t="b">
        <v>1</v>
      </c>
      <c r="V1152" s="86" t="s">
        <v>8104</v>
      </c>
      <c r="Z1152" t="b">
        <v>0</v>
      </c>
      <c r="AA1152" t="b">
        <v>0</v>
      </c>
    </row>
    <row r="1153" hidden="1">
      <c r="A1153" s="91"/>
      <c r="B1153" s="86" t="s">
        <v>241</v>
      </c>
      <c r="C1153" s="86" t="s">
        <v>4382</v>
      </c>
      <c r="D1153" s="87" t="s">
        <v>8105</v>
      </c>
      <c r="E1153" s="86" t="s">
        <v>346</v>
      </c>
      <c r="F1153" s="86" t="s">
        <v>6279</v>
      </c>
      <c r="G1153" s="86" t="s">
        <v>8106</v>
      </c>
      <c r="H1153" s="86" t="s">
        <v>135</v>
      </c>
      <c r="I1153" s="91"/>
      <c r="J1153" s="97"/>
      <c r="K1153" s="90" t="str">
        <f>IFNA(VLOOKUP(D1153,'EAN Codes'!A:C,2,False),"")</f>
        <v/>
      </c>
      <c r="L1153" s="91"/>
      <c r="M1153" s="92"/>
      <c r="N1153" s="86"/>
      <c r="O1153" s="86"/>
      <c r="P1153" s="86"/>
      <c r="Q1153" s="86"/>
      <c r="R1153" s="86"/>
      <c r="S1153" s="88"/>
      <c r="T1153" s="86"/>
      <c r="U1153" s="93" t="b">
        <v>1</v>
      </c>
      <c r="V1153" s="86" t="s">
        <v>8108</v>
      </c>
      <c r="Z1153" t="b">
        <v>0</v>
      </c>
      <c r="AA1153" t="b">
        <v>0</v>
      </c>
    </row>
    <row r="1154" hidden="1">
      <c r="A1154" s="86">
        <v>997.0</v>
      </c>
      <c r="B1154" s="86" t="s">
        <v>241</v>
      </c>
      <c r="C1154" s="86" t="s">
        <v>408</v>
      </c>
      <c r="D1154" s="87" t="s">
        <v>8109</v>
      </c>
      <c r="E1154" s="86" t="s">
        <v>3450</v>
      </c>
      <c r="F1154" s="86" t="s">
        <v>8110</v>
      </c>
      <c r="G1154" s="86" t="s">
        <v>8111</v>
      </c>
      <c r="H1154" s="86" t="s">
        <v>542</v>
      </c>
      <c r="I1154" s="91"/>
      <c r="J1154" s="97"/>
      <c r="K1154" s="90" t="str">
        <f>IFNA(VLOOKUP(D1154,'EAN Codes'!A:C,2,False),"")</f>
        <v>4250141190801</v>
      </c>
      <c r="L1154" s="91"/>
      <c r="M1154" s="92"/>
      <c r="N1154" s="86"/>
      <c r="O1154" s="86"/>
      <c r="P1154" s="86"/>
      <c r="Q1154" s="86"/>
      <c r="R1154" s="86"/>
      <c r="S1154" s="88"/>
      <c r="T1154" s="86"/>
      <c r="U1154" s="93" t="b">
        <v>1</v>
      </c>
      <c r="V1154" s="86" t="s">
        <v>8113</v>
      </c>
      <c r="W1154" s="99" t="s">
        <v>8114</v>
      </c>
      <c r="Z1154" t="b">
        <v>0</v>
      </c>
      <c r="AA1154" t="b">
        <v>0</v>
      </c>
    </row>
    <row r="1155" hidden="1">
      <c r="A1155" s="115"/>
      <c r="B1155" s="86" t="s">
        <v>241</v>
      </c>
      <c r="C1155" s="86" t="s">
        <v>408</v>
      </c>
      <c r="D1155" s="87" t="s">
        <v>8115</v>
      </c>
      <c r="E1155" s="86" t="s">
        <v>409</v>
      </c>
      <c r="F1155" s="86" t="s">
        <v>6699</v>
      </c>
      <c r="G1155" s="86" t="s">
        <v>751</v>
      </c>
      <c r="H1155" s="86" t="s">
        <v>255</v>
      </c>
      <c r="I1155" s="91"/>
      <c r="J1155" s="97"/>
      <c r="K1155" s="90" t="str">
        <f>IFNA(VLOOKUP(D1155,'EAN Codes'!A:C,2,False),"")</f>
        <v>7340091404268</v>
      </c>
      <c r="L1155" s="91"/>
      <c r="M1155" s="92"/>
      <c r="N1155" s="86"/>
      <c r="O1155" s="86"/>
      <c r="P1155" s="86"/>
      <c r="Q1155" s="86"/>
      <c r="R1155" s="86"/>
      <c r="S1155" s="88"/>
      <c r="T1155" s="86"/>
      <c r="U1155" s="93" t="b">
        <v>1</v>
      </c>
      <c r="V1155" s="86" t="s">
        <v>8118</v>
      </c>
      <c r="Z1155" t="b">
        <v>0</v>
      </c>
      <c r="AA1155" t="b">
        <v>0</v>
      </c>
    </row>
    <row r="1156" hidden="1">
      <c r="A1156" s="6">
        <v>1.0</v>
      </c>
      <c r="J1156" s="60"/>
      <c r="K1156" s="66"/>
      <c r="M1156" s="67"/>
      <c r="S1156" s="60"/>
      <c r="U1156" s="84" t="b">
        <v>1</v>
      </c>
      <c r="W1156" s="6" t="s">
        <v>8121</v>
      </c>
      <c r="Z1156" t="b">
        <v>0</v>
      </c>
      <c r="AA1156" t="b">
        <v>0</v>
      </c>
    </row>
    <row r="1157" hidden="1">
      <c r="A1157" s="91"/>
      <c r="B1157" s="86" t="s">
        <v>241</v>
      </c>
      <c r="C1157" s="86" t="s">
        <v>342</v>
      </c>
      <c r="D1157" s="87" t="s">
        <v>4640</v>
      </c>
      <c r="E1157" s="86" t="s">
        <v>346</v>
      </c>
      <c r="F1157" s="91"/>
      <c r="G1157" s="91"/>
      <c r="H1157" s="86" t="s">
        <v>8125</v>
      </c>
      <c r="I1157" s="91"/>
      <c r="J1157" s="97"/>
      <c r="K1157" s="90" t="str">
        <f>IFNA(VLOOKUP(D1157,'EAN Codes'!A:C,2,False),"")</f>
        <v>5907615819773</v>
      </c>
      <c r="L1157" s="91"/>
      <c r="M1157" s="92"/>
      <c r="N1157" s="86"/>
      <c r="O1157" s="86"/>
      <c r="P1157" s="86"/>
      <c r="Q1157" s="86"/>
      <c r="R1157" s="86"/>
      <c r="S1157" s="88"/>
      <c r="T1157" s="86"/>
      <c r="U1157" s="93" t="b">
        <v>1</v>
      </c>
      <c r="V1157" s="86" t="s">
        <v>8126</v>
      </c>
      <c r="Z1157" t="b">
        <v>0</v>
      </c>
      <c r="AA1157" t="b">
        <v>0</v>
      </c>
    </row>
    <row r="1158" hidden="1">
      <c r="A1158" s="91"/>
      <c r="B1158" s="86" t="s">
        <v>241</v>
      </c>
      <c r="C1158" s="86" t="s">
        <v>342</v>
      </c>
      <c r="D1158" s="87" t="s">
        <v>7847</v>
      </c>
      <c r="E1158" s="86" t="s">
        <v>346</v>
      </c>
      <c r="F1158" s="91"/>
      <c r="G1158" s="91"/>
      <c r="H1158" s="86" t="s">
        <v>149</v>
      </c>
      <c r="I1158" s="91"/>
      <c r="J1158" s="97"/>
      <c r="K1158" s="90" t="str">
        <f>IFNA(VLOOKUP(D1158,'EAN Codes'!A:C,2,False),"")</f>
        <v>5907615826139</v>
      </c>
      <c r="L1158" s="91"/>
      <c r="M1158" s="92"/>
      <c r="N1158" s="86"/>
      <c r="O1158" s="86"/>
      <c r="P1158" s="86"/>
      <c r="Q1158" s="86"/>
      <c r="R1158" s="86"/>
      <c r="S1158" s="88"/>
      <c r="T1158" s="86"/>
      <c r="U1158" s="93" t="b">
        <v>1</v>
      </c>
      <c r="V1158" s="86" t="s">
        <v>8129</v>
      </c>
      <c r="Z1158" t="b">
        <v>0</v>
      </c>
      <c r="AA1158" t="b">
        <v>0</v>
      </c>
    </row>
    <row r="1159" hidden="1">
      <c r="A1159" s="91"/>
      <c r="B1159" s="86" t="s">
        <v>241</v>
      </c>
      <c r="C1159" s="86" t="s">
        <v>342</v>
      </c>
      <c r="D1159" s="87" t="s">
        <v>567</v>
      </c>
      <c r="E1159" s="86" t="s">
        <v>409</v>
      </c>
      <c r="F1159" s="91"/>
      <c r="G1159" s="91"/>
      <c r="H1159" s="86" t="s">
        <v>255</v>
      </c>
      <c r="I1159" s="91"/>
      <c r="J1159" s="97"/>
      <c r="K1159" s="90" t="str">
        <f>IFNA(VLOOKUP(D1159,'EAN Codes'!A:C,2,False),"")</f>
        <v>5907615826146</v>
      </c>
      <c r="L1159" s="91"/>
      <c r="M1159" s="92"/>
      <c r="N1159" s="86"/>
      <c r="O1159" s="86"/>
      <c r="P1159" s="86"/>
      <c r="Q1159" s="86"/>
      <c r="R1159" s="86"/>
      <c r="S1159" s="88"/>
      <c r="T1159" s="86"/>
      <c r="U1159" s="93" t="b">
        <v>1</v>
      </c>
      <c r="V1159" s="86" t="s">
        <v>8131</v>
      </c>
      <c r="Z1159" t="b">
        <v>0</v>
      </c>
      <c r="AA1159" t="b">
        <v>0</v>
      </c>
    </row>
    <row r="1160" hidden="1">
      <c r="A1160" s="101"/>
      <c r="B1160" s="99" t="s">
        <v>241</v>
      </c>
      <c r="C1160" s="99" t="s">
        <v>342</v>
      </c>
      <c r="D1160" s="100" t="s">
        <v>6218</v>
      </c>
      <c r="E1160" s="99" t="s">
        <v>346</v>
      </c>
      <c r="F1160" s="99"/>
      <c r="G1160" s="101"/>
      <c r="H1160" s="99" t="s">
        <v>8132</v>
      </c>
      <c r="I1160" s="101"/>
      <c r="J1160" s="110"/>
      <c r="K1160" s="107"/>
      <c r="L1160" s="101"/>
      <c r="M1160" s="119"/>
      <c r="N1160" s="99"/>
      <c r="O1160" s="99"/>
      <c r="P1160" s="99"/>
      <c r="Q1160" s="99"/>
      <c r="R1160" s="99"/>
      <c r="S1160" s="104"/>
      <c r="T1160" s="99"/>
      <c r="U1160" s="93" t="b">
        <v>1</v>
      </c>
      <c r="V1160" s="99" t="s">
        <v>8133</v>
      </c>
      <c r="W1160" s="115"/>
      <c r="X1160" s="115"/>
      <c r="Y1160" s="115"/>
      <c r="Z1160" s="115" t="b">
        <v>0</v>
      </c>
      <c r="AA1160" s="115" t="b">
        <v>0</v>
      </c>
      <c r="AB1160" s="115"/>
      <c r="AC1160" s="115"/>
      <c r="AD1160" s="115"/>
      <c r="AE1160" s="115"/>
    </row>
    <row r="1161" hidden="1">
      <c r="A1161" s="115"/>
      <c r="B1161" s="106" t="s">
        <v>241</v>
      </c>
      <c r="C1161" s="106" t="s">
        <v>1250</v>
      </c>
      <c r="D1161" s="273" t="s">
        <v>8134</v>
      </c>
      <c r="E1161" s="115"/>
      <c r="F1161" s="106" t="s">
        <v>8135</v>
      </c>
      <c r="G1161" s="115"/>
      <c r="H1161" s="106" t="s">
        <v>542</v>
      </c>
      <c r="I1161" s="115"/>
      <c r="J1161" s="263"/>
      <c r="K1161" s="275" t="str">
        <f>IFNA(VLOOKUP(D1161,'EAN Codes'!A:C,2,False),"")</f>
        <v/>
      </c>
      <c r="L1161" s="261"/>
      <c r="M1161" s="276"/>
      <c r="N1161" s="106"/>
      <c r="O1161" s="106"/>
      <c r="P1161" s="106"/>
      <c r="Q1161" s="106"/>
      <c r="R1161" s="106"/>
      <c r="S1161" s="274"/>
      <c r="T1161" s="106" t="s">
        <v>8136</v>
      </c>
      <c r="U1161" s="161" t="b">
        <v>1</v>
      </c>
      <c r="V1161" s="106" t="s">
        <v>8137</v>
      </c>
      <c r="W1161" s="115"/>
      <c r="X1161" s="115"/>
      <c r="Y1161" s="115"/>
      <c r="Z1161" s="115" t="b">
        <v>0</v>
      </c>
      <c r="AA1161" s="115" t="b">
        <v>0</v>
      </c>
      <c r="AB1161" s="115"/>
      <c r="AC1161" s="115"/>
      <c r="AD1161" s="115"/>
      <c r="AE1161" s="115"/>
    </row>
    <row r="1162" hidden="1">
      <c r="J1162" s="60"/>
      <c r="K1162" s="66"/>
      <c r="L1162" s="82"/>
      <c r="M1162" s="67"/>
      <c r="S1162" s="60"/>
      <c r="U1162" s="93" t="b">
        <v>1</v>
      </c>
      <c r="Z1162" t="b">
        <v>0</v>
      </c>
      <c r="AA1162" t="b">
        <v>0</v>
      </c>
    </row>
    <row r="1163" hidden="1">
      <c r="A1163" s="91"/>
      <c r="B1163" s="86" t="s">
        <v>241</v>
      </c>
      <c r="C1163" s="86" t="s">
        <v>342</v>
      </c>
      <c r="D1163" s="87" t="s">
        <v>8138</v>
      </c>
      <c r="E1163" s="86" t="s">
        <v>409</v>
      </c>
      <c r="F1163" s="86" t="s">
        <v>8139</v>
      </c>
      <c r="G1163" s="86" t="s">
        <v>8140</v>
      </c>
      <c r="H1163" s="86" t="s">
        <v>463</v>
      </c>
      <c r="I1163" s="91"/>
      <c r="J1163" s="97"/>
      <c r="K1163" s="90" t="str">
        <f>IFNA(VLOOKUP(D1163,'EAN Codes'!A:C,2,False),"")</f>
        <v>5907615825262</v>
      </c>
      <c r="L1163" s="91"/>
      <c r="M1163" s="92"/>
      <c r="N1163" s="86"/>
      <c r="O1163" s="86"/>
      <c r="P1163" s="86"/>
      <c r="Q1163" s="86"/>
      <c r="R1163" s="86"/>
      <c r="S1163" s="88"/>
      <c r="T1163" s="86"/>
      <c r="U1163" s="93" t="b">
        <v>1</v>
      </c>
      <c r="V1163" s="86" t="s">
        <v>8141</v>
      </c>
      <c r="W1163" s="91"/>
      <c r="X1163" s="91"/>
      <c r="Y1163" s="91"/>
      <c r="Z1163" s="91" t="b">
        <v>0</v>
      </c>
      <c r="AA1163" s="91" t="b">
        <v>0</v>
      </c>
      <c r="AB1163" s="91"/>
      <c r="AC1163" s="91"/>
      <c r="AD1163" s="91"/>
      <c r="AE1163" s="91"/>
    </row>
    <row r="1164" hidden="1">
      <c r="A1164" s="376"/>
      <c r="B1164" s="373" t="s">
        <v>241</v>
      </c>
      <c r="C1164" s="373" t="s">
        <v>408</v>
      </c>
      <c r="D1164" s="374" t="s">
        <v>8142</v>
      </c>
      <c r="E1164" s="373" t="s">
        <v>409</v>
      </c>
      <c r="F1164" s="373" t="s">
        <v>8143</v>
      </c>
      <c r="G1164" s="373" t="s">
        <v>8144</v>
      </c>
      <c r="H1164" s="373" t="s">
        <v>728</v>
      </c>
      <c r="I1164" s="376"/>
      <c r="J1164" s="377"/>
      <c r="K1164" s="378" t="str">
        <f>IFNA(VLOOKUP(D1164,'EAN Codes'!A:C,2,False),"")</f>
        <v>4250557547954</v>
      </c>
      <c r="L1164" s="376"/>
      <c r="M1164" s="380"/>
      <c r="N1164" s="373"/>
      <c r="O1164" s="373"/>
      <c r="P1164" s="373"/>
      <c r="Q1164" s="373"/>
      <c r="R1164" s="373"/>
      <c r="S1164" s="382"/>
      <c r="T1164" s="373"/>
      <c r="U1164" s="93" t="b">
        <v>1</v>
      </c>
      <c r="V1164" s="373" t="s">
        <v>8145</v>
      </c>
      <c r="W1164" s="499"/>
      <c r="X1164" s="261"/>
      <c r="Y1164" s="261"/>
      <c r="Z1164" s="469" t="b">
        <v>0</v>
      </c>
      <c r="AA1164" s="469" t="b">
        <v>0</v>
      </c>
      <c r="AB1164" s="469"/>
      <c r="AC1164" s="469"/>
      <c r="AD1164" s="469"/>
      <c r="AE1164" s="469"/>
    </row>
    <row r="1165" hidden="1">
      <c r="A1165" s="115"/>
      <c r="B1165" s="106" t="s">
        <v>241</v>
      </c>
      <c r="C1165" s="106" t="s">
        <v>342</v>
      </c>
      <c r="D1165" s="273" t="s">
        <v>4199</v>
      </c>
      <c r="E1165" s="106" t="s">
        <v>346</v>
      </c>
      <c r="F1165" s="106" t="s">
        <v>4304</v>
      </c>
      <c r="G1165" s="115"/>
      <c r="H1165" s="106" t="s">
        <v>542</v>
      </c>
      <c r="I1165" s="115"/>
      <c r="J1165" s="263"/>
      <c r="K1165" s="275" t="str">
        <f>IFNA(VLOOKUP(D1165,'EAN Codes'!A:C,2,False),"")</f>
        <v>5907615811913</v>
      </c>
      <c r="L1165" s="261"/>
      <c r="M1165" s="230"/>
      <c r="N1165" s="231"/>
      <c r="O1165" s="231"/>
      <c r="P1165" s="231"/>
      <c r="Q1165" s="231"/>
      <c r="R1165" s="231"/>
      <c r="S1165" s="232"/>
      <c r="T1165" s="231"/>
      <c r="U1165" s="161" t="b">
        <v>1</v>
      </c>
      <c r="V1165" s="231" t="s">
        <v>8146</v>
      </c>
      <c r="W1165" s="115"/>
      <c r="X1165" s="115"/>
      <c r="Y1165" s="115"/>
      <c r="Z1165" s="115" t="b">
        <v>0</v>
      </c>
      <c r="AA1165" s="115" t="b">
        <v>0</v>
      </c>
      <c r="AB1165" s="115"/>
      <c r="AC1165" s="115"/>
      <c r="AD1165" s="115"/>
      <c r="AE1165" s="115"/>
    </row>
    <row r="1166" hidden="1">
      <c r="A1166" s="86"/>
      <c r="B1166" s="86" t="s">
        <v>241</v>
      </c>
      <c r="C1166" s="86" t="s">
        <v>342</v>
      </c>
      <c r="D1166" s="87" t="s">
        <v>4287</v>
      </c>
      <c r="E1166" s="86" t="s">
        <v>346</v>
      </c>
      <c r="F1166" s="86" t="s">
        <v>8147</v>
      </c>
      <c r="G1166" s="86" t="s">
        <v>8148</v>
      </c>
      <c r="H1166" s="86" t="s">
        <v>7171</v>
      </c>
      <c r="I1166" s="86"/>
      <c r="J1166" s="88"/>
      <c r="K1166" s="90"/>
      <c r="L1166" s="91"/>
      <c r="M1166" s="92"/>
      <c r="N1166" s="86"/>
      <c r="O1166" s="86"/>
      <c r="P1166" s="86"/>
      <c r="Q1166" s="86"/>
      <c r="R1166" s="86"/>
      <c r="S1166" s="88"/>
      <c r="T1166" s="86" t="s">
        <v>8149</v>
      </c>
      <c r="U1166" s="88" t="b">
        <v>1</v>
      </c>
      <c r="V1166" s="86" t="s">
        <v>8150</v>
      </c>
      <c r="Z1166" t="b">
        <v>0</v>
      </c>
      <c r="AA1166" t="b">
        <v>0</v>
      </c>
    </row>
    <row r="1167" hidden="1">
      <c r="A1167" s="6">
        <v>1.0</v>
      </c>
      <c r="B1167" s="500" t="s">
        <v>241</v>
      </c>
      <c r="C1167" s="500" t="s">
        <v>1217</v>
      </c>
      <c r="D1167" s="501" t="s">
        <v>8151</v>
      </c>
      <c r="E1167" s="500" t="s">
        <v>409</v>
      </c>
      <c r="F1167" s="500" t="s">
        <v>4300</v>
      </c>
      <c r="G1167" s="500" t="s">
        <v>1057</v>
      </c>
      <c r="H1167" s="473" t="s">
        <v>542</v>
      </c>
      <c r="I1167" s="473"/>
      <c r="J1167" s="502"/>
      <c r="K1167" s="275" t="str">
        <f>IFNA(VLOOKUP(D1167,'EAN Codes'!A:C,2,False),"")</f>
        <v>39407</v>
      </c>
      <c r="L1167" s="472"/>
      <c r="M1167" s="496" t="b">
        <v>1</v>
      </c>
      <c r="N1167" s="477" t="b">
        <v>0</v>
      </c>
      <c r="O1167" s="477" t="b">
        <v>0</v>
      </c>
      <c r="P1167" s="477" t="b">
        <v>0</v>
      </c>
      <c r="Q1167" s="477" t="b">
        <v>0</v>
      </c>
      <c r="R1167" s="503"/>
      <c r="S1167" s="504"/>
      <c r="T1167" s="505"/>
      <c r="U1167" s="481" t="b">
        <v>1</v>
      </c>
      <c r="V1167" s="506" t="s">
        <v>8152</v>
      </c>
      <c r="Z1167" t="b">
        <v>0</v>
      </c>
      <c r="AA1167" t="b">
        <v>0</v>
      </c>
    </row>
    <row r="1168" hidden="1">
      <c r="A1168" s="101"/>
      <c r="B1168" s="86" t="s">
        <v>342</v>
      </c>
      <c r="C1168" s="99" t="s">
        <v>1813</v>
      </c>
      <c r="D1168" s="100" t="s">
        <v>8153</v>
      </c>
      <c r="E1168" s="99" t="s">
        <v>3450</v>
      </c>
      <c r="F1168" s="99" t="s">
        <v>8154</v>
      </c>
      <c r="G1168" s="99" t="s">
        <v>1185</v>
      </c>
      <c r="H1168" s="99" t="s">
        <v>415</v>
      </c>
      <c r="I1168" s="101"/>
      <c r="J1168" s="110"/>
      <c r="K1168" s="107" t="str">
        <f>IFNA(VLOOKUP(D1168,'EAN Codes'!A:C,2,False),"")</f>
        <v/>
      </c>
      <c r="L1168" s="101"/>
      <c r="M1168" s="119"/>
      <c r="N1168" s="99"/>
      <c r="O1168" s="99"/>
      <c r="P1168" s="99"/>
      <c r="Q1168" s="99"/>
      <c r="R1168" s="99"/>
      <c r="S1168" s="104"/>
      <c r="T1168" s="99"/>
      <c r="U1168" s="93" t="b">
        <v>1</v>
      </c>
      <c r="V1168" s="99" t="s">
        <v>8156</v>
      </c>
      <c r="W1168" s="86" t="s">
        <v>8157</v>
      </c>
      <c r="X1168" s="91"/>
      <c r="Y1168" s="91"/>
      <c r="Z1168" s="91" t="b">
        <v>0</v>
      </c>
      <c r="AA1168" s="91" t="b">
        <v>0</v>
      </c>
      <c r="AB1168" s="91"/>
      <c r="AC1168" s="91"/>
      <c r="AD1168" s="91"/>
      <c r="AE1168" s="91"/>
    </row>
    <row r="1169" hidden="1">
      <c r="A1169" s="86"/>
      <c r="B1169" s="86" t="s">
        <v>241</v>
      </c>
      <c r="C1169" s="86" t="s">
        <v>408</v>
      </c>
      <c r="D1169" s="87" t="s">
        <v>8158</v>
      </c>
      <c r="E1169" s="86" t="s">
        <v>346</v>
      </c>
      <c r="F1169" s="86" t="s">
        <v>4332</v>
      </c>
      <c r="G1169" s="91"/>
      <c r="H1169" s="86" t="s">
        <v>1618</v>
      </c>
      <c r="I1169" s="91"/>
      <c r="J1169" s="97"/>
      <c r="K1169" s="90" t="str">
        <f>IFNA(VLOOKUP(D1169,'EAN Codes'!A:C,2,False),"")</f>
        <v>4250557522067</v>
      </c>
      <c r="L1169" s="91"/>
      <c r="M1169" s="92"/>
      <c r="N1169" s="86"/>
      <c r="O1169" s="86"/>
      <c r="P1169" s="86"/>
      <c r="Q1169" s="86"/>
      <c r="R1169" s="86"/>
      <c r="S1169" s="88"/>
      <c r="T1169" s="86"/>
      <c r="U1169" s="93" t="b">
        <v>1</v>
      </c>
      <c r="V1169" s="86" t="s">
        <v>8159</v>
      </c>
      <c r="Z1169" t="b">
        <v>0</v>
      </c>
      <c r="AA1169" t="b">
        <v>0</v>
      </c>
    </row>
    <row r="1170" hidden="1">
      <c r="A1170" s="124"/>
      <c r="B1170" s="191" t="s">
        <v>241</v>
      </c>
      <c r="C1170" s="191" t="s">
        <v>342</v>
      </c>
      <c r="D1170" s="507" t="s">
        <v>8160</v>
      </c>
      <c r="E1170" s="191" t="s">
        <v>346</v>
      </c>
      <c r="F1170" s="191" t="s">
        <v>7730</v>
      </c>
      <c r="G1170" s="124"/>
      <c r="H1170" s="191" t="s">
        <v>542</v>
      </c>
      <c r="I1170" s="124"/>
      <c r="J1170" s="467"/>
      <c r="K1170" s="468" t="str">
        <f>IFNA(VLOOKUP(D1170,'EAN Codes'!A:C,2,False),"")</f>
        <v>5907615821585</v>
      </c>
      <c r="L1170" s="469"/>
      <c r="M1170" s="350"/>
      <c r="N1170" s="191"/>
      <c r="O1170" s="191"/>
      <c r="P1170" s="191"/>
      <c r="Q1170" s="191"/>
      <c r="R1170" s="191"/>
      <c r="S1170" s="351"/>
      <c r="T1170" s="191" t="s">
        <v>8161</v>
      </c>
      <c r="U1170" s="470" t="b">
        <v>1</v>
      </c>
      <c r="V1170" s="191" t="s">
        <v>8162</v>
      </c>
      <c r="Z1170" t="b">
        <v>0</v>
      </c>
      <c r="AA1170" t="b">
        <v>0</v>
      </c>
    </row>
    <row r="1171" hidden="1">
      <c r="A1171" s="115"/>
      <c r="B1171" s="106" t="s">
        <v>241</v>
      </c>
      <c r="C1171" s="106" t="s">
        <v>760</v>
      </c>
      <c r="D1171" s="273" t="s">
        <v>8163</v>
      </c>
      <c r="E1171" s="106" t="s">
        <v>346</v>
      </c>
      <c r="F1171" s="106" t="s">
        <v>6454</v>
      </c>
      <c r="G1171" s="115"/>
      <c r="H1171" s="106" t="s">
        <v>542</v>
      </c>
      <c r="I1171" s="115"/>
      <c r="J1171" s="263"/>
      <c r="K1171" s="275" t="str">
        <f>IFNA(VLOOKUP(D1171,'EAN Codes'!A:C,2,False),"")</f>
        <v>5060128539887</v>
      </c>
      <c r="L1171" s="261"/>
      <c r="M1171" s="227"/>
      <c r="N1171" s="187"/>
      <c r="O1171" s="187"/>
      <c r="P1171" s="187"/>
      <c r="Q1171" s="187"/>
      <c r="R1171" s="187"/>
      <c r="S1171" s="228"/>
      <c r="T1171" s="187"/>
      <c r="U1171" s="93" t="b">
        <v>1</v>
      </c>
      <c r="V1171" s="187" t="s">
        <v>8164</v>
      </c>
      <c r="Z1171" t="b">
        <v>0</v>
      </c>
      <c r="AA1171" t="b">
        <v>0</v>
      </c>
    </row>
    <row r="1172" hidden="1">
      <c r="A1172" s="373">
        <v>977.0</v>
      </c>
      <c r="B1172" s="373" t="s">
        <v>241</v>
      </c>
      <c r="C1172" s="373" t="s">
        <v>342</v>
      </c>
      <c r="D1172" s="374" t="s">
        <v>8165</v>
      </c>
      <c r="E1172" s="373" t="s">
        <v>346</v>
      </c>
      <c r="F1172" s="373" t="s">
        <v>6376</v>
      </c>
      <c r="G1172" s="373" t="s">
        <v>452</v>
      </c>
      <c r="H1172" s="373" t="s">
        <v>581</v>
      </c>
      <c r="I1172" s="376"/>
      <c r="J1172" s="377"/>
      <c r="K1172" s="378" t="str">
        <f>IFNA(VLOOKUP(D1172,'EAN Codes'!A:C,2,False),"")</f>
        <v>5907615823725</v>
      </c>
      <c r="L1172" s="376"/>
      <c r="M1172" s="380"/>
      <c r="N1172" s="373"/>
      <c r="O1172" s="373"/>
      <c r="P1172" s="373"/>
      <c r="Q1172" s="373"/>
      <c r="R1172" s="373"/>
      <c r="S1172" s="382"/>
      <c r="T1172" s="373"/>
      <c r="U1172" s="93" t="b">
        <v>1</v>
      </c>
      <c r="V1172" s="373" t="s">
        <v>8166</v>
      </c>
      <c r="W1172" s="187" t="s">
        <v>8167</v>
      </c>
      <c r="X1172" s="6"/>
      <c r="Z1172" t="b">
        <v>0</v>
      </c>
      <c r="AA1172" t="b">
        <v>0</v>
      </c>
    </row>
    <row r="1173" hidden="1">
      <c r="B1173" s="99" t="s">
        <v>731</v>
      </c>
      <c r="C1173" s="99" t="s">
        <v>1116</v>
      </c>
      <c r="D1173" s="100" t="s">
        <v>8168</v>
      </c>
      <c r="E1173" s="99" t="s">
        <v>733</v>
      </c>
      <c r="F1173" s="99" t="s">
        <v>8169</v>
      </c>
      <c r="G1173" s="101"/>
      <c r="H1173" s="99" t="s">
        <v>737</v>
      </c>
      <c r="I1173" s="101"/>
      <c r="J1173" s="110"/>
      <c r="K1173" s="107" t="str">
        <f>IFNA(VLOOKUP(D1173,'EAN Codes'!A:C,2,False),"")</f>
        <v/>
      </c>
      <c r="L1173" s="101"/>
      <c r="M1173" s="119"/>
      <c r="N1173" s="99"/>
      <c r="O1173" s="99"/>
      <c r="P1173" s="99"/>
      <c r="Q1173" s="99"/>
      <c r="R1173" s="99"/>
      <c r="S1173" s="104"/>
      <c r="T1173" s="99"/>
      <c r="U1173" s="93" t="b">
        <v>1</v>
      </c>
      <c r="V1173" s="99" t="s">
        <v>8171</v>
      </c>
      <c r="Z1173" t="b">
        <v>0</v>
      </c>
      <c r="AA1173" t="b">
        <v>0</v>
      </c>
    </row>
    <row r="1174" hidden="1">
      <c r="A1174" s="91"/>
      <c r="B1174" s="86" t="s">
        <v>241</v>
      </c>
      <c r="C1174" s="86" t="s">
        <v>342</v>
      </c>
      <c r="D1174" s="87" t="s">
        <v>8172</v>
      </c>
      <c r="E1174" s="86" t="s">
        <v>409</v>
      </c>
      <c r="F1174" s="86" t="s">
        <v>4851</v>
      </c>
      <c r="G1174" s="91"/>
      <c r="H1174" s="86" t="s">
        <v>622</v>
      </c>
      <c r="I1174" s="91"/>
      <c r="J1174" s="97"/>
      <c r="K1174" s="90" t="str">
        <f>IFNA(VLOOKUP(D1174,'EAN Codes'!A:C,2,False),"")</f>
        <v>5907615826160</v>
      </c>
      <c r="L1174" s="91"/>
      <c r="M1174" s="92"/>
      <c r="N1174" s="86"/>
      <c r="O1174" s="86"/>
      <c r="P1174" s="86"/>
      <c r="Q1174" s="86"/>
      <c r="R1174" s="86"/>
      <c r="S1174" s="88"/>
      <c r="T1174" s="86"/>
      <c r="U1174" s="93" t="b">
        <v>1</v>
      </c>
      <c r="V1174" s="86" t="s">
        <v>8174</v>
      </c>
      <c r="Z1174" t="b">
        <v>0</v>
      </c>
      <c r="AA1174" t="b">
        <v>0</v>
      </c>
    </row>
    <row r="1175" hidden="1">
      <c r="A1175" s="115"/>
      <c r="B1175" s="86" t="s">
        <v>241</v>
      </c>
      <c r="C1175" s="86" t="s">
        <v>760</v>
      </c>
      <c r="D1175" s="87" t="s">
        <v>8175</v>
      </c>
      <c r="E1175" s="86" t="s">
        <v>346</v>
      </c>
      <c r="F1175" s="91"/>
      <c r="G1175" s="91"/>
      <c r="H1175" s="86" t="s">
        <v>517</v>
      </c>
      <c r="I1175" s="91"/>
      <c r="J1175" s="97"/>
      <c r="K1175" s="90" t="str">
        <f>IFNA(VLOOKUP(D1175,'EAN Codes'!A:C,2,False),"")</f>
        <v>5060128531454</v>
      </c>
      <c r="L1175" s="91"/>
      <c r="M1175" s="92"/>
      <c r="N1175" s="86"/>
      <c r="O1175" s="86"/>
      <c r="P1175" s="86"/>
      <c r="Q1175" s="86"/>
      <c r="R1175" s="86"/>
      <c r="S1175" s="88"/>
      <c r="T1175" s="86"/>
      <c r="U1175" s="93" t="b">
        <v>1</v>
      </c>
      <c r="V1175" s="86" t="s">
        <v>8176</v>
      </c>
      <c r="Z1175" t="b">
        <v>0</v>
      </c>
      <c r="AA1175" t="b">
        <v>0</v>
      </c>
    </row>
    <row r="1176" hidden="1">
      <c r="A1176" s="373"/>
      <c r="B1176" s="373" t="s">
        <v>241</v>
      </c>
      <c r="C1176" s="373" t="s">
        <v>342</v>
      </c>
      <c r="D1176" s="374" t="s">
        <v>6063</v>
      </c>
      <c r="E1176" s="373" t="s">
        <v>346</v>
      </c>
      <c r="F1176" s="373" t="s">
        <v>6144</v>
      </c>
      <c r="G1176" s="376"/>
      <c r="H1176" s="373" t="s">
        <v>8177</v>
      </c>
      <c r="I1176" s="376"/>
      <c r="J1176" s="377"/>
      <c r="K1176" s="378" t="str">
        <f>IFNA(VLOOKUP(D1176,'EAN Codes'!A:C,2,False),"")</f>
        <v/>
      </c>
      <c r="L1176" s="376"/>
      <c r="M1176" s="380"/>
      <c r="N1176" s="373"/>
      <c r="O1176" s="373"/>
      <c r="P1176" s="373"/>
      <c r="Q1176" s="373"/>
      <c r="R1176" s="373"/>
      <c r="S1176" s="382"/>
      <c r="T1176" s="373"/>
      <c r="U1176" s="93" t="b">
        <v>1</v>
      </c>
      <c r="V1176" s="373" t="s">
        <v>8180</v>
      </c>
      <c r="Z1176" t="b">
        <v>0</v>
      </c>
      <c r="AA1176" t="b">
        <v>0</v>
      </c>
    </row>
    <row r="1177" hidden="1">
      <c r="A1177" s="376"/>
      <c r="B1177" s="373" t="s">
        <v>241</v>
      </c>
      <c r="C1177" s="373" t="s">
        <v>4382</v>
      </c>
      <c r="D1177" s="374" t="s">
        <v>8181</v>
      </c>
      <c r="E1177" s="373" t="s">
        <v>373</v>
      </c>
      <c r="F1177" s="373" t="s">
        <v>8182</v>
      </c>
      <c r="G1177" s="376"/>
      <c r="H1177" s="373" t="s">
        <v>7171</v>
      </c>
      <c r="I1177" s="376"/>
      <c r="J1177" s="377"/>
      <c r="K1177" s="378" t="str">
        <f>IFNA(VLOOKUP(D1177,'EAN Codes'!A:C,2,False),"")</f>
        <v/>
      </c>
      <c r="L1177" s="376"/>
      <c r="M1177" s="380"/>
      <c r="N1177" s="373"/>
      <c r="O1177" s="373"/>
      <c r="P1177" s="373"/>
      <c r="Q1177" s="373"/>
      <c r="R1177" s="373"/>
      <c r="S1177" s="382"/>
      <c r="T1177" s="373"/>
      <c r="U1177" s="93" t="b">
        <v>1</v>
      </c>
      <c r="V1177" s="373" t="s">
        <v>8183</v>
      </c>
      <c r="Z1177" t="b">
        <v>0</v>
      </c>
      <c r="AA1177" t="b">
        <v>0</v>
      </c>
    </row>
    <row r="1178" hidden="1">
      <c r="A1178" s="376"/>
      <c r="B1178" s="373" t="s">
        <v>241</v>
      </c>
      <c r="C1178" s="373" t="s">
        <v>4382</v>
      </c>
      <c r="D1178" s="374" t="s">
        <v>8184</v>
      </c>
      <c r="E1178" s="373" t="s">
        <v>409</v>
      </c>
      <c r="F1178" s="373" t="s">
        <v>4925</v>
      </c>
      <c r="G1178" s="376"/>
      <c r="H1178" s="373" t="s">
        <v>8185</v>
      </c>
      <c r="I1178" s="376"/>
      <c r="J1178" s="377"/>
      <c r="K1178" s="378" t="str">
        <f>IFNA(VLOOKUP(D1178,'EAN Codes'!A:C,2,False),"")</f>
        <v/>
      </c>
      <c r="L1178" s="376"/>
      <c r="M1178" s="380"/>
      <c r="N1178" s="373"/>
      <c r="O1178" s="373"/>
      <c r="P1178" s="373"/>
      <c r="Q1178" s="373"/>
      <c r="R1178" s="373"/>
      <c r="S1178" s="382"/>
      <c r="T1178" s="373"/>
      <c r="U1178" s="93" t="b">
        <v>1</v>
      </c>
      <c r="V1178" s="373" t="s">
        <v>8186</v>
      </c>
      <c r="W1178" s="115"/>
      <c r="X1178" s="115"/>
      <c r="Y1178" s="115"/>
      <c r="Z1178" s="115" t="b">
        <v>0</v>
      </c>
      <c r="AA1178" s="115" t="b">
        <v>0</v>
      </c>
      <c r="AB1178" s="115"/>
      <c r="AC1178" s="115"/>
      <c r="AD1178" s="115"/>
      <c r="AE1178" s="115"/>
    </row>
    <row r="1179" hidden="1">
      <c r="A1179" s="115"/>
      <c r="B1179" s="106" t="s">
        <v>241</v>
      </c>
      <c r="C1179" s="106" t="s">
        <v>1813</v>
      </c>
      <c r="D1179" s="273" t="s">
        <v>6955</v>
      </c>
      <c r="E1179" s="106" t="s">
        <v>346</v>
      </c>
      <c r="F1179" s="106" t="s">
        <v>8187</v>
      </c>
      <c r="G1179" s="106" t="s">
        <v>8188</v>
      </c>
      <c r="H1179" s="106" t="s">
        <v>542</v>
      </c>
      <c r="I1179" s="115"/>
      <c r="J1179" s="263"/>
      <c r="K1179" s="275" t="str">
        <f>IFNA(VLOOKUP(D1179,'EAN Codes'!A:C,2,False),"")</f>
        <v/>
      </c>
      <c r="L1179" s="261"/>
      <c r="M1179" s="276"/>
      <c r="N1179" s="106"/>
      <c r="O1179" s="106"/>
      <c r="P1179" s="106"/>
      <c r="Q1179" s="106"/>
      <c r="R1179" s="106"/>
      <c r="S1179" s="274"/>
      <c r="T1179" s="106" t="s">
        <v>8189</v>
      </c>
      <c r="U1179" s="161" t="b">
        <v>1</v>
      </c>
      <c r="V1179" s="106" t="s">
        <v>8190</v>
      </c>
      <c r="W1179" s="115"/>
      <c r="X1179" s="115"/>
      <c r="Y1179" s="115"/>
      <c r="Z1179" s="115" t="b">
        <v>0</v>
      </c>
      <c r="AA1179" s="115" t="b">
        <v>0</v>
      </c>
      <c r="AB1179" s="115"/>
      <c r="AC1179" s="115"/>
      <c r="AD1179" s="115"/>
      <c r="AE1179" s="115"/>
    </row>
    <row r="1180" hidden="1">
      <c r="A1180" s="91"/>
      <c r="B1180" s="86" t="s">
        <v>8191</v>
      </c>
      <c r="C1180" s="86" t="s">
        <v>3751</v>
      </c>
      <c r="D1180" s="87" t="s">
        <v>8192</v>
      </c>
      <c r="E1180" s="91"/>
      <c r="F1180" s="91"/>
      <c r="G1180" s="91"/>
      <c r="H1180" s="86" t="s">
        <v>8193</v>
      </c>
      <c r="I1180" s="91"/>
      <c r="J1180" s="97"/>
      <c r="K1180" s="90" t="str">
        <f>IFNA(VLOOKUP(D1180,'EAN Codes'!A:C,2,False),"")</f>
        <v/>
      </c>
      <c r="L1180" s="91"/>
      <c r="M1180" s="92"/>
      <c r="N1180" s="86"/>
      <c r="O1180" s="86"/>
      <c r="P1180" s="86"/>
      <c r="Q1180" s="86"/>
      <c r="R1180" s="86"/>
      <c r="S1180" s="88"/>
      <c r="T1180" s="86"/>
      <c r="U1180" s="93" t="b">
        <v>1</v>
      </c>
      <c r="V1180" s="86" t="s">
        <v>8194</v>
      </c>
      <c r="W1180" s="91"/>
      <c r="X1180" s="91"/>
      <c r="Y1180" s="91"/>
      <c r="Z1180" s="91" t="b">
        <v>0</v>
      </c>
      <c r="AA1180" s="91" t="b">
        <v>0</v>
      </c>
      <c r="AB1180" s="91"/>
      <c r="AC1180" s="91"/>
      <c r="AD1180" s="91"/>
      <c r="AE1180" s="91"/>
    </row>
    <row r="1181" hidden="1">
      <c r="A1181" s="91"/>
      <c r="B1181" s="86" t="s">
        <v>731</v>
      </c>
      <c r="C1181" s="86" t="s">
        <v>4382</v>
      </c>
      <c r="D1181" s="498"/>
      <c r="E1181" s="86" t="s">
        <v>4157</v>
      </c>
      <c r="F1181" s="91"/>
      <c r="G1181" s="91"/>
      <c r="H1181" s="86" t="s">
        <v>8185</v>
      </c>
      <c r="I1181" s="91"/>
      <c r="J1181" s="97"/>
      <c r="K1181" s="90" t="str">
        <f>IFNA(VLOOKUP(D1181,'EAN Codes'!A:C,2,False),"")</f>
        <v/>
      </c>
      <c r="L1181" s="91"/>
      <c r="M1181" s="92"/>
      <c r="N1181" s="86"/>
      <c r="O1181" s="86"/>
      <c r="P1181" s="86"/>
      <c r="Q1181" s="86"/>
      <c r="R1181" s="86"/>
      <c r="S1181" s="88"/>
      <c r="T1181" s="86"/>
      <c r="U1181" s="93" t="b">
        <v>1</v>
      </c>
      <c r="V1181" s="86" t="s">
        <v>8186</v>
      </c>
      <c r="W1181" s="91"/>
      <c r="X1181" s="91"/>
      <c r="Y1181" s="91"/>
      <c r="Z1181" s="91" t="b">
        <v>0</v>
      </c>
      <c r="AA1181" s="91" t="b">
        <v>0</v>
      </c>
      <c r="AB1181" s="91"/>
      <c r="AC1181" s="91"/>
      <c r="AD1181" s="91"/>
      <c r="AE1181" s="91"/>
    </row>
    <row r="1182">
      <c r="A1182" s="6">
        <v>1.0</v>
      </c>
      <c r="B1182" s="6" t="s">
        <v>241</v>
      </c>
      <c r="C1182" s="6" t="s">
        <v>4382</v>
      </c>
      <c r="D1182" s="127" t="s">
        <v>8195</v>
      </c>
      <c r="E1182" s="6" t="s">
        <v>409</v>
      </c>
      <c r="F1182" s="6" t="s">
        <v>8196</v>
      </c>
      <c r="G1182" s="6" t="s">
        <v>4095</v>
      </c>
      <c r="H1182" s="473" t="s">
        <v>255</v>
      </c>
      <c r="I1182" s="473" t="s">
        <v>8197</v>
      </c>
      <c r="J1182" s="508" t="s">
        <v>8198</v>
      </c>
      <c r="K1182" s="509" t="str">
        <f>IFNA(VLOOKUP(D1182,'EAN Codes'!A:C,2,False),"")</f>
        <v/>
      </c>
      <c r="L1182" s="510"/>
      <c r="M1182" s="496" t="b">
        <v>0</v>
      </c>
      <c r="N1182" s="477" t="b">
        <v>0</v>
      </c>
      <c r="O1182" s="477" t="b">
        <v>0</v>
      </c>
      <c r="P1182" s="477" t="b">
        <v>0</v>
      </c>
      <c r="Q1182" s="477" t="b">
        <v>0</v>
      </c>
      <c r="R1182" s="511"/>
      <c r="S1182" s="512"/>
      <c r="T1182" s="513"/>
      <c r="U1182" s="514" t="b">
        <v>0</v>
      </c>
      <c r="V1182" s="471" t="s">
        <v>8199</v>
      </c>
      <c r="W1182" s="510"/>
      <c r="X1182" s="510"/>
      <c r="Y1182" s="510"/>
      <c r="Z1182" s="515" t="b">
        <v>0</v>
      </c>
      <c r="AA1182" s="6" t="b">
        <v>0</v>
      </c>
      <c r="AB1182" s="516"/>
      <c r="AC1182" s="517">
        <v>2740.5</v>
      </c>
      <c r="AD1182" t="str">
        <f t="shared" ref="AD1182:AD1183" si="1">IFNA(IFS(U1182=False,D1182),"")</f>
        <v>E1919AS</v>
      </c>
      <c r="AE1182" t="str">
        <f t="shared" ref="AE1182:AE1183" si="2">IFNA(IFS(U1182=false,H1182),"")</f>
        <v>Järfälla</v>
      </c>
    </row>
    <row r="1183">
      <c r="A1183" s="6">
        <v>1.0</v>
      </c>
      <c r="B1183" s="160" t="s">
        <v>241</v>
      </c>
      <c r="C1183" s="160" t="s">
        <v>1813</v>
      </c>
      <c r="D1183" s="272" t="s">
        <v>8200</v>
      </c>
      <c r="E1183" s="160" t="s">
        <v>346</v>
      </c>
      <c r="F1183" s="160" t="s">
        <v>8201</v>
      </c>
      <c r="G1183" s="160" t="s">
        <v>4906</v>
      </c>
      <c r="H1183" s="473" t="s">
        <v>1065</v>
      </c>
      <c r="I1183" s="473" t="s">
        <v>8202</v>
      </c>
      <c r="J1183" s="508" t="s">
        <v>8203</v>
      </c>
      <c r="K1183" s="509" t="str">
        <f>IFNA(VLOOKUP(D1183,'EAN Codes'!A:C,2,False),"")</f>
        <v/>
      </c>
      <c r="L1183" s="510"/>
      <c r="M1183" s="496" t="b">
        <v>0</v>
      </c>
      <c r="N1183" s="477" t="b">
        <v>0</v>
      </c>
      <c r="O1183" s="497" t="b">
        <v>0</v>
      </c>
      <c r="P1183" s="477" t="b">
        <v>0</v>
      </c>
      <c r="Q1183" s="477" t="b">
        <v>0</v>
      </c>
      <c r="R1183" s="511"/>
      <c r="S1183" s="512"/>
      <c r="T1183" s="513"/>
      <c r="U1183" s="514" t="b">
        <v>0</v>
      </c>
      <c r="V1183" s="471" t="s">
        <v>8204</v>
      </c>
      <c r="W1183" s="510"/>
      <c r="X1183" s="510"/>
      <c r="Y1183" s="510"/>
      <c r="Z1183" s="516" t="b">
        <v>0</v>
      </c>
      <c r="AA1183" s="6" t="b">
        <v>0</v>
      </c>
      <c r="AB1183" s="516"/>
      <c r="AC1183" s="517">
        <v>2740.5</v>
      </c>
      <c r="AD1183" t="str">
        <f t="shared" si="1"/>
        <v>W/055</v>
      </c>
      <c r="AE1183" t="str">
        <f t="shared" si="2"/>
        <v>Furuvik</v>
      </c>
    </row>
    <row r="1184" hidden="1">
      <c r="A1184" s="6">
        <v>1.0</v>
      </c>
      <c r="B1184" s="86" t="s">
        <v>731</v>
      </c>
      <c r="C1184" s="86" t="s">
        <v>950</v>
      </c>
      <c r="D1184" s="87" t="s">
        <v>8205</v>
      </c>
      <c r="E1184" s="86" t="s">
        <v>8206</v>
      </c>
      <c r="F1184" s="86" t="s">
        <v>8207</v>
      </c>
      <c r="G1184" s="91"/>
      <c r="H1184" s="86" t="s">
        <v>8208</v>
      </c>
      <c r="I1184" s="518" t="s">
        <v>8209</v>
      </c>
      <c r="J1184" s="508" t="s">
        <v>8210</v>
      </c>
      <c r="K1184" s="275" t="str">
        <f>IFNA(VLOOKUP(D1184,'EAN Codes'!A:C,2,False),"")</f>
        <v/>
      </c>
      <c r="L1184" s="469"/>
      <c r="M1184" s="476" t="b">
        <v>0</v>
      </c>
      <c r="N1184" s="477" t="b">
        <v>0</v>
      </c>
      <c r="O1184" s="497" t="b">
        <v>1</v>
      </c>
      <c r="P1184" s="477" t="b">
        <v>0</v>
      </c>
      <c r="Q1184" s="477" t="b">
        <v>0</v>
      </c>
      <c r="R1184" s="478"/>
      <c r="S1184" s="479"/>
      <c r="T1184" s="480"/>
      <c r="U1184" s="481" t="b">
        <v>1</v>
      </c>
      <c r="V1184" s="191" t="s">
        <v>8211</v>
      </c>
      <c r="Z1184" t="b">
        <v>0</v>
      </c>
      <c r="AA1184" t="b">
        <v>0</v>
      </c>
    </row>
    <row r="1185" hidden="1">
      <c r="A1185" s="115"/>
      <c r="B1185" s="106" t="s">
        <v>241</v>
      </c>
      <c r="C1185" s="106" t="s">
        <v>1813</v>
      </c>
      <c r="D1185" s="273" t="s">
        <v>8212</v>
      </c>
      <c r="E1185" s="115"/>
      <c r="F1185" s="115"/>
      <c r="G1185" s="115"/>
      <c r="H1185" s="106" t="s">
        <v>548</v>
      </c>
      <c r="I1185" s="115"/>
      <c r="J1185" s="263"/>
      <c r="K1185" s="275" t="str">
        <f>IFNA(VLOOKUP(D1185,'EAN Codes'!A:C,2,False),"")</f>
        <v/>
      </c>
      <c r="L1185" s="261"/>
      <c r="M1185" s="276"/>
      <c r="N1185" s="106"/>
      <c r="O1185" s="106"/>
      <c r="P1185" s="106"/>
      <c r="Q1185" s="106"/>
      <c r="R1185" s="106"/>
      <c r="S1185" s="274"/>
      <c r="T1185" s="106" t="s">
        <v>8213</v>
      </c>
      <c r="U1185" s="161" t="b">
        <v>1</v>
      </c>
      <c r="V1185" s="106" t="s">
        <v>8214</v>
      </c>
      <c r="W1185" s="115"/>
      <c r="X1185" s="115"/>
      <c r="Z1185" t="b">
        <v>0</v>
      </c>
      <c r="AA1185" t="b">
        <v>0</v>
      </c>
    </row>
    <row r="1186" hidden="1">
      <c r="A1186" s="91"/>
      <c r="B1186" s="86" t="s">
        <v>241</v>
      </c>
      <c r="C1186" s="86" t="s">
        <v>342</v>
      </c>
      <c r="D1186" s="87" t="s">
        <v>8215</v>
      </c>
      <c r="E1186" s="86" t="s">
        <v>346</v>
      </c>
      <c r="F1186" s="86" t="s">
        <v>8216</v>
      </c>
      <c r="G1186" s="91"/>
      <c r="H1186" s="86" t="s">
        <v>8217</v>
      </c>
      <c r="I1186" s="91"/>
      <c r="J1186" s="97"/>
      <c r="K1186" s="90" t="str">
        <f>IFNA(VLOOKUP(D1186,'EAN Codes'!A:C,2,False),"")</f>
        <v>5907615804274</v>
      </c>
      <c r="L1186" s="91"/>
      <c r="M1186" s="92"/>
      <c r="N1186" s="86"/>
      <c r="O1186" s="86"/>
      <c r="P1186" s="86"/>
      <c r="Q1186" s="86"/>
      <c r="R1186" s="86"/>
      <c r="S1186" s="88"/>
      <c r="T1186" s="86"/>
      <c r="U1186" s="93" t="b">
        <v>1</v>
      </c>
      <c r="V1186" s="86" t="s">
        <v>8218</v>
      </c>
      <c r="W1186" s="101"/>
      <c r="X1186" s="101"/>
      <c r="Y1186" s="101"/>
      <c r="Z1186" s="101" t="b">
        <v>0</v>
      </c>
      <c r="AA1186" s="101" t="b">
        <v>0</v>
      </c>
      <c r="AB1186" s="101"/>
      <c r="AC1186" s="101"/>
      <c r="AD1186" s="101"/>
      <c r="AE1186" s="101"/>
    </row>
    <row r="1187" hidden="1">
      <c r="A1187" s="91"/>
      <c r="B1187" s="86" t="s">
        <v>241</v>
      </c>
      <c r="C1187" s="86" t="s">
        <v>342</v>
      </c>
      <c r="D1187" s="87" t="s">
        <v>3210</v>
      </c>
      <c r="E1187" s="86" t="s">
        <v>346</v>
      </c>
      <c r="F1187" s="86" t="s">
        <v>6929</v>
      </c>
      <c r="G1187" s="86" t="s">
        <v>793</v>
      </c>
      <c r="H1187" s="86" t="s">
        <v>517</v>
      </c>
      <c r="I1187" s="91"/>
      <c r="J1187" s="97"/>
      <c r="K1187" s="90"/>
      <c r="L1187" s="91"/>
      <c r="M1187" s="92"/>
      <c r="N1187" s="86"/>
      <c r="O1187" s="86"/>
      <c r="P1187" s="86"/>
      <c r="Q1187" s="86"/>
      <c r="R1187" s="86"/>
      <c r="S1187" s="88"/>
      <c r="T1187" s="86"/>
      <c r="U1187" s="93" t="b">
        <v>1</v>
      </c>
      <c r="V1187" s="86" t="s">
        <v>8219</v>
      </c>
      <c r="W1187" s="101"/>
      <c r="X1187" s="101"/>
      <c r="Y1187" s="101"/>
      <c r="Z1187" s="101" t="b">
        <v>0</v>
      </c>
      <c r="AA1187" s="101" t="b">
        <v>0</v>
      </c>
      <c r="AB1187" s="101"/>
      <c r="AC1187" s="101"/>
      <c r="AD1187" s="101"/>
      <c r="AE1187" s="101"/>
    </row>
    <row r="1188" hidden="1">
      <c r="A1188" s="91"/>
      <c r="B1188" s="86" t="s">
        <v>241</v>
      </c>
      <c r="C1188" s="86" t="s">
        <v>342</v>
      </c>
      <c r="D1188" s="87" t="s">
        <v>8215</v>
      </c>
      <c r="E1188" s="86" t="s">
        <v>346</v>
      </c>
      <c r="F1188" s="86" t="s">
        <v>8216</v>
      </c>
      <c r="G1188" s="91"/>
      <c r="H1188" s="86" t="s">
        <v>8217</v>
      </c>
      <c r="I1188" s="91"/>
      <c r="J1188" s="97"/>
      <c r="K1188" s="90" t="str">
        <f>IFNA(VLOOKUP(D1188,'EAN Codes'!A:C,2,False),"")</f>
        <v>5907615804274</v>
      </c>
      <c r="L1188" s="91"/>
      <c r="M1188" s="92"/>
      <c r="N1188" s="86"/>
      <c r="O1188" s="86"/>
      <c r="P1188" s="86"/>
      <c r="Q1188" s="86"/>
      <c r="R1188" s="86"/>
      <c r="S1188" s="88"/>
      <c r="T1188" s="86"/>
      <c r="U1188" s="93" t="b">
        <v>1</v>
      </c>
      <c r="V1188" s="86" t="s">
        <v>8218</v>
      </c>
      <c r="W1188" s="101"/>
      <c r="X1188" s="101"/>
      <c r="Y1188" s="101"/>
      <c r="Z1188" s="101" t="b">
        <v>0</v>
      </c>
      <c r="AA1188" s="101" t="b">
        <v>0</v>
      </c>
      <c r="AB1188" s="101"/>
      <c r="AC1188" s="101"/>
      <c r="AD1188" s="101"/>
      <c r="AE1188" s="101"/>
    </row>
    <row r="1189" hidden="1">
      <c r="A1189" s="91"/>
      <c r="B1189" s="86" t="s">
        <v>241</v>
      </c>
      <c r="C1189" s="86" t="s">
        <v>342</v>
      </c>
      <c r="D1189" s="87" t="s">
        <v>8215</v>
      </c>
      <c r="E1189" s="86" t="s">
        <v>346</v>
      </c>
      <c r="F1189" s="86" t="s">
        <v>8216</v>
      </c>
      <c r="G1189" s="91"/>
      <c r="H1189" s="86" t="s">
        <v>8217</v>
      </c>
      <c r="I1189" s="91"/>
      <c r="J1189" s="97"/>
      <c r="K1189" s="90" t="str">
        <f>IFNA(VLOOKUP(D1189,'EAN Codes'!A:C,2,False),"")</f>
        <v>5907615804274</v>
      </c>
      <c r="L1189" s="91"/>
      <c r="M1189" s="92"/>
      <c r="N1189" s="86"/>
      <c r="O1189" s="86"/>
      <c r="P1189" s="86"/>
      <c r="Q1189" s="86"/>
      <c r="R1189" s="86"/>
      <c r="S1189" s="88"/>
      <c r="T1189" s="86"/>
      <c r="U1189" s="93" t="b">
        <v>1</v>
      </c>
      <c r="V1189" s="86" t="s">
        <v>8218</v>
      </c>
      <c r="W1189" s="101"/>
      <c r="X1189" s="101"/>
      <c r="Y1189" s="101"/>
      <c r="Z1189" s="101" t="b">
        <v>0</v>
      </c>
      <c r="AA1189" s="101" t="b">
        <v>0</v>
      </c>
      <c r="AB1189" s="101"/>
      <c r="AC1189" s="101"/>
      <c r="AD1189" s="101"/>
      <c r="AE1189" s="101"/>
    </row>
    <row r="1190" hidden="1">
      <c r="A1190" s="91"/>
      <c r="B1190" s="86" t="s">
        <v>241</v>
      </c>
      <c r="C1190" s="86" t="s">
        <v>1250</v>
      </c>
      <c r="D1190" s="87" t="s">
        <v>8220</v>
      </c>
      <c r="E1190" s="86" t="s">
        <v>1390</v>
      </c>
      <c r="F1190" s="91"/>
      <c r="G1190" s="91"/>
      <c r="H1190" s="86" t="s">
        <v>255</v>
      </c>
      <c r="I1190" s="91"/>
      <c r="J1190" s="97"/>
      <c r="K1190" s="90" t="str">
        <f>IFNA(VLOOKUP(D1190,'EAN Codes'!A:C,2,False),"")</f>
        <v>8058772223044</v>
      </c>
      <c r="L1190" s="91"/>
      <c r="M1190" s="92"/>
      <c r="N1190" s="86"/>
      <c r="O1190" s="86"/>
      <c r="P1190" s="86"/>
      <c r="Q1190" s="86"/>
      <c r="R1190" s="86"/>
      <c r="S1190" s="88"/>
      <c r="T1190" s="86"/>
      <c r="U1190" s="93" t="b">
        <v>1</v>
      </c>
      <c r="V1190" s="86" t="s">
        <v>8221</v>
      </c>
      <c r="Z1190" t="b">
        <v>0</v>
      </c>
      <c r="AA1190" t="b">
        <v>0</v>
      </c>
    </row>
    <row r="1191" hidden="1">
      <c r="A1191" s="91"/>
      <c r="B1191" s="86" t="s">
        <v>241</v>
      </c>
      <c r="C1191" s="86" t="s">
        <v>342</v>
      </c>
      <c r="D1191" s="87" t="s">
        <v>4287</v>
      </c>
      <c r="E1191" s="91"/>
      <c r="F1191" s="91"/>
      <c r="G1191" s="91"/>
      <c r="H1191" s="86" t="s">
        <v>135</v>
      </c>
      <c r="I1191" s="91"/>
      <c r="J1191" s="97"/>
      <c r="K1191" s="90" t="str">
        <f>IFNA(VLOOKUP(D1191,'EAN Codes'!A:C,2,False),"")</f>
        <v>5907615814990</v>
      </c>
      <c r="L1191" s="91"/>
      <c r="M1191" s="92"/>
      <c r="N1191" s="86"/>
      <c r="O1191" s="86"/>
      <c r="P1191" s="86"/>
      <c r="Q1191" s="86"/>
      <c r="R1191" s="86"/>
      <c r="S1191" s="88"/>
      <c r="T1191" s="86"/>
      <c r="U1191" s="93" t="b">
        <v>1</v>
      </c>
      <c r="V1191" s="86" t="s">
        <v>8223</v>
      </c>
      <c r="X1191" s="6" t="s">
        <v>8224</v>
      </c>
      <c r="Z1191" t="b">
        <v>0</v>
      </c>
      <c r="AA1191" t="b">
        <v>0</v>
      </c>
    </row>
    <row r="1192" hidden="1">
      <c r="A1192" s="6">
        <v>1.0</v>
      </c>
      <c r="B1192" s="6" t="s">
        <v>731</v>
      </c>
      <c r="C1192" s="6" t="s">
        <v>1116</v>
      </c>
      <c r="D1192" s="127" t="s">
        <v>8225</v>
      </c>
      <c r="E1192" s="6" t="s">
        <v>1110</v>
      </c>
      <c r="F1192" s="6" t="s">
        <v>8226</v>
      </c>
      <c r="H1192" s="473" t="s">
        <v>135</v>
      </c>
      <c r="I1192" s="473" t="s">
        <v>8227</v>
      </c>
      <c r="J1192" s="508"/>
      <c r="K1192" s="275" t="str">
        <f>IFNA(VLOOKUP(D1192,'EAN Codes'!A:C,2,False),"")</f>
        <v>8717323069820</v>
      </c>
      <c r="L1192" s="82"/>
      <c r="M1192" s="476" t="b">
        <v>0</v>
      </c>
      <c r="N1192" s="477" t="b">
        <v>0</v>
      </c>
      <c r="O1192" s="477" t="b">
        <v>0</v>
      </c>
      <c r="P1192" s="477" t="b">
        <v>0</v>
      </c>
      <c r="Q1192" s="477" t="b">
        <v>0</v>
      </c>
      <c r="R1192" s="478"/>
      <c r="S1192" s="479"/>
      <c r="T1192" s="480" t="s">
        <v>8228</v>
      </c>
      <c r="U1192" s="481" t="b">
        <v>1</v>
      </c>
      <c r="V1192" s="6" t="s">
        <v>8229</v>
      </c>
      <c r="Z1192" s="6" t="b">
        <v>1</v>
      </c>
      <c r="AA1192" t="b">
        <v>0</v>
      </c>
    </row>
    <row r="1193" hidden="1">
      <c r="A1193" s="101"/>
      <c r="B1193" s="99" t="s">
        <v>731</v>
      </c>
      <c r="C1193" s="99" t="s">
        <v>1116</v>
      </c>
      <c r="D1193" s="100" t="s">
        <v>8225</v>
      </c>
      <c r="E1193" s="99" t="s">
        <v>1110</v>
      </c>
      <c r="F1193" s="101"/>
      <c r="G1193" s="101"/>
      <c r="H1193" s="99" t="s">
        <v>135</v>
      </c>
      <c r="I1193" s="101"/>
      <c r="J1193" s="110"/>
      <c r="K1193" s="107" t="str">
        <f>IFNA(VLOOKUP(D1193,'EAN Codes'!A:C,2,False),"")</f>
        <v>8717323069820</v>
      </c>
      <c r="L1193" s="101"/>
      <c r="M1193" s="119"/>
      <c r="N1193" s="99"/>
      <c r="O1193" s="99"/>
      <c r="P1193" s="99"/>
      <c r="Q1193" s="99"/>
      <c r="R1193" s="99"/>
      <c r="S1193" s="104"/>
      <c r="T1193" s="99"/>
      <c r="U1193" s="93" t="b">
        <v>1</v>
      </c>
      <c r="V1193" s="99" t="s">
        <v>8229</v>
      </c>
      <c r="Z1193" t="b">
        <v>0</v>
      </c>
      <c r="AA1193" t="b">
        <v>0</v>
      </c>
    </row>
    <row r="1194" hidden="1">
      <c r="A1194" s="91"/>
      <c r="B1194" s="86" t="s">
        <v>241</v>
      </c>
      <c r="C1194" s="86" t="s">
        <v>342</v>
      </c>
      <c r="D1194" s="87" t="s">
        <v>4918</v>
      </c>
      <c r="E1194" s="86" t="s">
        <v>346</v>
      </c>
      <c r="F1194" s="91"/>
      <c r="G1194" s="91"/>
      <c r="H1194" s="86" t="s">
        <v>8177</v>
      </c>
      <c r="I1194" s="91"/>
      <c r="J1194" s="97"/>
      <c r="K1194" s="90" t="str">
        <f>IFNA(VLOOKUP(D1194,'EAN Codes'!A:C,2,False),"")</f>
        <v>5907615827099</v>
      </c>
      <c r="L1194" s="91"/>
      <c r="M1194" s="92"/>
      <c r="N1194" s="86"/>
      <c r="O1194" s="86"/>
      <c r="P1194" s="86"/>
      <c r="Q1194" s="86"/>
      <c r="R1194" s="86"/>
      <c r="S1194" s="88"/>
      <c r="T1194" s="86"/>
      <c r="U1194" s="93" t="b">
        <v>1</v>
      </c>
      <c r="V1194" s="86" t="s">
        <v>8230</v>
      </c>
      <c r="Z1194" t="b">
        <v>0</v>
      </c>
      <c r="AA1194" t="b">
        <v>0</v>
      </c>
    </row>
    <row r="1195" hidden="1">
      <c r="A1195" s="91"/>
      <c r="B1195" s="86" t="s">
        <v>241</v>
      </c>
      <c r="C1195" s="86" t="s">
        <v>342</v>
      </c>
      <c r="D1195" s="87" t="s">
        <v>5671</v>
      </c>
      <c r="E1195" s="86" t="s">
        <v>346</v>
      </c>
      <c r="F1195" s="91"/>
      <c r="G1195" s="91"/>
      <c r="H1195" s="86" t="s">
        <v>542</v>
      </c>
      <c r="I1195" s="91"/>
      <c r="J1195" s="97"/>
      <c r="K1195" s="90" t="str">
        <f>IFNA(VLOOKUP(D1195,'EAN Codes'!A:C,2,False),"")</f>
        <v>5907615827235</v>
      </c>
      <c r="L1195" s="91"/>
      <c r="M1195" s="92"/>
      <c r="N1195" s="86"/>
      <c r="O1195" s="86"/>
      <c r="P1195" s="86"/>
      <c r="Q1195" s="86"/>
      <c r="R1195" s="86"/>
      <c r="S1195" s="88"/>
      <c r="T1195" s="86" t="s">
        <v>8231</v>
      </c>
      <c r="U1195" s="88" t="b">
        <v>1</v>
      </c>
      <c r="V1195" s="86" t="s">
        <v>8232</v>
      </c>
      <c r="W1195" s="91"/>
      <c r="X1195" s="91"/>
      <c r="Y1195" s="91"/>
      <c r="Z1195" s="91" t="b">
        <v>0</v>
      </c>
      <c r="AA1195" s="91" t="b">
        <v>0</v>
      </c>
      <c r="AB1195" s="91"/>
      <c r="AC1195" s="91"/>
      <c r="AD1195" s="91"/>
      <c r="AE1195" s="91"/>
    </row>
    <row r="1196" hidden="1">
      <c r="A1196" s="91"/>
      <c r="B1196" s="86" t="s">
        <v>241</v>
      </c>
      <c r="C1196" s="86" t="s">
        <v>342</v>
      </c>
      <c r="D1196" s="87" t="s">
        <v>4564</v>
      </c>
      <c r="E1196" s="86" t="s">
        <v>346</v>
      </c>
      <c r="F1196" s="91"/>
      <c r="G1196" s="91"/>
      <c r="H1196" s="86" t="s">
        <v>542</v>
      </c>
      <c r="I1196" s="91"/>
      <c r="J1196" s="97"/>
      <c r="K1196" s="90" t="str">
        <f>IFNA(VLOOKUP(D1196,'EAN Codes'!A:C,2,False),"")</f>
        <v>5907615827013</v>
      </c>
      <c r="L1196" s="91"/>
      <c r="M1196" s="230"/>
      <c r="N1196" s="231"/>
      <c r="O1196" s="231"/>
      <c r="P1196" s="231"/>
      <c r="Q1196" s="231"/>
      <c r="R1196" s="231"/>
      <c r="S1196" s="232"/>
      <c r="T1196" s="231"/>
      <c r="U1196" s="93" t="b">
        <v>1</v>
      </c>
      <c r="V1196" s="231" t="s">
        <v>8234</v>
      </c>
      <c r="W1196" s="101"/>
      <c r="X1196" s="101"/>
      <c r="Y1196" s="101"/>
      <c r="Z1196" s="101" t="b">
        <v>0</v>
      </c>
      <c r="AA1196" s="101" t="b">
        <v>0</v>
      </c>
      <c r="AB1196" s="101"/>
      <c r="AC1196" s="101"/>
      <c r="AD1196" s="101"/>
      <c r="AE1196" s="101"/>
    </row>
    <row r="1197" hidden="1">
      <c r="A1197" s="101"/>
      <c r="B1197" s="86" t="s">
        <v>241</v>
      </c>
      <c r="C1197" s="99" t="s">
        <v>3701</v>
      </c>
      <c r="D1197" s="100" t="s">
        <v>8235</v>
      </c>
      <c r="E1197" s="99" t="s">
        <v>409</v>
      </c>
      <c r="F1197" s="99" t="s">
        <v>7105</v>
      </c>
      <c r="G1197" s="101"/>
      <c r="H1197" s="99" t="s">
        <v>135</v>
      </c>
      <c r="I1197" s="101"/>
      <c r="J1197" s="110"/>
      <c r="K1197" s="107" t="str">
        <f>IFNA(VLOOKUP(D1197,'EAN Codes'!A:C,2,False),"")</f>
        <v/>
      </c>
      <c r="L1197" s="101"/>
      <c r="M1197" s="119"/>
      <c r="N1197" s="99"/>
      <c r="O1197" s="99"/>
      <c r="P1197" s="99"/>
      <c r="Q1197" s="99"/>
      <c r="R1197" s="99"/>
      <c r="S1197" s="104"/>
      <c r="T1197" s="99"/>
      <c r="U1197" s="93" t="b">
        <v>1</v>
      </c>
      <c r="V1197" s="99" t="s">
        <v>8236</v>
      </c>
      <c r="Z1197" t="b">
        <v>0</v>
      </c>
      <c r="AA1197" t="b">
        <v>0</v>
      </c>
    </row>
    <row r="1198" hidden="1">
      <c r="A1198" s="6">
        <v>1.0</v>
      </c>
      <c r="B1198" s="86" t="s">
        <v>731</v>
      </c>
      <c r="C1198" s="86" t="s">
        <v>408</v>
      </c>
      <c r="D1198" s="87" t="s">
        <v>8237</v>
      </c>
      <c r="E1198" s="86" t="s">
        <v>8206</v>
      </c>
      <c r="F1198" s="86" t="s">
        <v>8238</v>
      </c>
      <c r="G1198" s="86" t="s">
        <v>1057</v>
      </c>
      <c r="H1198" s="473" t="s">
        <v>135</v>
      </c>
      <c r="I1198" s="474"/>
      <c r="J1198" s="475"/>
      <c r="K1198" s="275" t="str">
        <f>IFNA(VLOOKUP(D1198,'EAN Codes'!A:C,2,False),"")</f>
        <v/>
      </c>
      <c r="L1198" s="82"/>
      <c r="M1198" s="476" t="b">
        <v>0</v>
      </c>
      <c r="N1198" s="477" t="b">
        <v>0</v>
      </c>
      <c r="O1198" s="477" t="b">
        <v>0</v>
      </c>
      <c r="P1198" s="477" t="b">
        <v>0</v>
      </c>
      <c r="Q1198" s="477" t="b">
        <v>0</v>
      </c>
      <c r="R1198" s="478"/>
      <c r="S1198" s="479"/>
      <c r="T1198" s="480" t="s">
        <v>8239</v>
      </c>
      <c r="U1198" s="481" t="b">
        <v>1</v>
      </c>
      <c r="V1198" s="6" t="s">
        <v>8240</v>
      </c>
      <c r="Z1198" t="b">
        <v>0</v>
      </c>
      <c r="AA1198" t="b">
        <v>0</v>
      </c>
    </row>
    <row r="1199" hidden="1">
      <c r="A1199" s="101"/>
      <c r="B1199" s="99" t="s">
        <v>241</v>
      </c>
      <c r="C1199" s="99" t="s">
        <v>342</v>
      </c>
      <c r="D1199" s="100" t="s">
        <v>8241</v>
      </c>
      <c r="E1199" s="99" t="s">
        <v>409</v>
      </c>
      <c r="F1199" s="101"/>
      <c r="G1199" s="101"/>
      <c r="H1199" s="99" t="s">
        <v>2158</v>
      </c>
      <c r="I1199" s="101"/>
      <c r="J1199" s="110"/>
      <c r="K1199" s="107" t="str">
        <f>IFNA(VLOOKUP(D1199,'EAN Codes'!A:C,2,False),"")</f>
        <v>5907615807367</v>
      </c>
      <c r="L1199" s="101"/>
      <c r="M1199" s="119"/>
      <c r="N1199" s="99"/>
      <c r="O1199" s="99"/>
      <c r="P1199" s="99"/>
      <c r="Q1199" s="99"/>
      <c r="R1199" s="99"/>
      <c r="S1199" s="104"/>
      <c r="T1199" s="99"/>
      <c r="U1199" s="93" t="b">
        <v>1</v>
      </c>
      <c r="V1199" s="99" t="s">
        <v>8242</v>
      </c>
      <c r="Z1199" t="b">
        <v>0</v>
      </c>
      <c r="AA1199" t="b">
        <v>0</v>
      </c>
    </row>
    <row r="1200" hidden="1">
      <c r="A1200" s="101"/>
      <c r="B1200" s="99" t="s">
        <v>731</v>
      </c>
      <c r="C1200" s="99" t="s">
        <v>1116</v>
      </c>
      <c r="D1200" s="100" t="s">
        <v>8243</v>
      </c>
      <c r="E1200" s="99" t="s">
        <v>1110</v>
      </c>
      <c r="F1200" s="101"/>
      <c r="G1200" s="101"/>
      <c r="H1200" s="99" t="s">
        <v>2158</v>
      </c>
      <c r="I1200" s="101"/>
      <c r="J1200" s="110"/>
      <c r="K1200" s="107" t="str">
        <f>IFNA(VLOOKUP(D1200,'EAN Codes'!A:C,2,False),"")</f>
        <v>8717323068373</v>
      </c>
      <c r="L1200" s="101"/>
      <c r="M1200" s="119"/>
      <c r="N1200" s="99"/>
      <c r="O1200" s="99"/>
      <c r="P1200" s="99"/>
      <c r="Q1200" s="99"/>
      <c r="R1200" s="99"/>
      <c r="S1200" s="104"/>
      <c r="T1200" s="99"/>
      <c r="U1200" s="93" t="b">
        <v>1</v>
      </c>
      <c r="V1200" s="99" t="s">
        <v>8244</v>
      </c>
      <c r="Z1200" t="b">
        <v>0</v>
      </c>
      <c r="AA1200" t="b">
        <v>0</v>
      </c>
    </row>
    <row r="1201" hidden="1">
      <c r="A1201" s="101"/>
      <c r="B1201" s="99" t="s">
        <v>241</v>
      </c>
      <c r="C1201" s="99" t="s">
        <v>1813</v>
      </c>
      <c r="D1201" s="100" t="s">
        <v>4531</v>
      </c>
      <c r="E1201" s="99" t="s">
        <v>346</v>
      </c>
      <c r="F1201" s="99" t="s">
        <v>8245</v>
      </c>
      <c r="G1201" s="99" t="s">
        <v>939</v>
      </c>
      <c r="H1201" s="99" t="s">
        <v>7171</v>
      </c>
      <c r="I1201" s="101"/>
      <c r="J1201" s="110"/>
      <c r="K1201" s="107" t="str">
        <f>IFNA(VLOOKUP(D1201,'EAN Codes'!A:C,2,False),"")</f>
        <v/>
      </c>
      <c r="L1201" s="101"/>
      <c r="M1201" s="119"/>
      <c r="N1201" s="99"/>
      <c r="O1201" s="99"/>
      <c r="P1201" s="99"/>
      <c r="Q1201" s="99"/>
      <c r="R1201" s="99"/>
      <c r="S1201" s="104"/>
      <c r="T1201" s="99" t="s">
        <v>8246</v>
      </c>
      <c r="U1201" s="104" t="b">
        <v>1</v>
      </c>
      <c r="V1201" s="99" t="s">
        <v>8247</v>
      </c>
      <c r="Z1201" t="b">
        <v>0</v>
      </c>
      <c r="AA1201" t="b">
        <v>0</v>
      </c>
    </row>
    <row r="1202" hidden="1">
      <c r="A1202" s="101"/>
      <c r="B1202" s="99" t="s">
        <v>241</v>
      </c>
      <c r="C1202" s="99" t="s">
        <v>1813</v>
      </c>
      <c r="D1202" s="100" t="s">
        <v>4860</v>
      </c>
      <c r="E1202" s="99" t="s">
        <v>346</v>
      </c>
      <c r="F1202" s="101"/>
      <c r="G1202" s="101"/>
      <c r="H1202" s="99" t="s">
        <v>132</v>
      </c>
      <c r="I1202" s="101"/>
      <c r="J1202" s="110"/>
      <c r="K1202" s="107" t="str">
        <f>IFNA(VLOOKUP(D1202,'EAN Codes'!A:C,2,False),"")</f>
        <v/>
      </c>
      <c r="L1202" s="101"/>
      <c r="M1202" s="119"/>
      <c r="N1202" s="99"/>
      <c r="O1202" s="99"/>
      <c r="P1202" s="99"/>
      <c r="Q1202" s="99"/>
      <c r="R1202" s="99"/>
      <c r="S1202" s="104"/>
      <c r="T1202" s="99"/>
      <c r="U1202" s="93" t="b">
        <v>1</v>
      </c>
      <c r="V1202" s="99" t="s">
        <v>8248</v>
      </c>
      <c r="Z1202" t="b">
        <v>0</v>
      </c>
      <c r="AA1202" t="b">
        <v>0</v>
      </c>
    </row>
    <row r="1203" hidden="1">
      <c r="A1203" s="101"/>
      <c r="B1203" s="99" t="s">
        <v>241</v>
      </c>
      <c r="C1203" s="99" t="s">
        <v>342</v>
      </c>
      <c r="D1203" s="100" t="s">
        <v>4611</v>
      </c>
      <c r="E1203" s="99" t="s">
        <v>346</v>
      </c>
      <c r="F1203" s="99" t="s">
        <v>6515</v>
      </c>
      <c r="G1203" s="101"/>
      <c r="H1203" s="99" t="s">
        <v>517</v>
      </c>
      <c r="I1203" s="101"/>
      <c r="J1203" s="110"/>
      <c r="K1203" s="107" t="str">
        <f>IFNA(VLOOKUP(D1203,'EAN Codes'!A:C,2,False),"")</f>
        <v>5907615818851</v>
      </c>
      <c r="L1203" s="101"/>
      <c r="M1203" s="119"/>
      <c r="N1203" s="99"/>
      <c r="O1203" s="99"/>
      <c r="P1203" s="99"/>
      <c r="Q1203" s="99"/>
      <c r="R1203" s="99"/>
      <c r="S1203" s="104"/>
      <c r="T1203" s="99"/>
      <c r="U1203" s="93" t="b">
        <v>1</v>
      </c>
      <c r="V1203" s="99" t="s">
        <v>8249</v>
      </c>
      <c r="W1203" s="101"/>
      <c r="X1203" s="101"/>
      <c r="Y1203" s="101"/>
      <c r="Z1203" s="101" t="b">
        <v>0</v>
      </c>
      <c r="AA1203" s="101" t="b">
        <v>0</v>
      </c>
      <c r="AB1203" s="101"/>
      <c r="AC1203" s="101"/>
      <c r="AD1203" s="101"/>
      <c r="AE1203" s="101"/>
    </row>
    <row r="1204" hidden="1">
      <c r="A1204" s="101"/>
      <c r="B1204" s="101"/>
      <c r="C1204" s="101"/>
      <c r="D1204" s="519"/>
      <c r="E1204" s="282" t="s">
        <v>733</v>
      </c>
      <c r="F1204" s="101"/>
      <c r="G1204" s="99" t="s">
        <v>8250</v>
      </c>
      <c r="H1204" s="99" t="s">
        <v>1065</v>
      </c>
      <c r="I1204" s="101"/>
      <c r="J1204" s="110"/>
      <c r="K1204" s="107" t="str">
        <f>IFNA(VLOOKUP(D1204,'EAN Codes'!A:C,2,False),"")</f>
        <v/>
      </c>
      <c r="L1204" s="101"/>
      <c r="M1204" s="108"/>
      <c r="N1204" s="101"/>
      <c r="O1204" s="101"/>
      <c r="P1204" s="101"/>
      <c r="Q1204" s="101"/>
      <c r="R1204" s="101"/>
      <c r="S1204" s="110"/>
      <c r="T1204" s="101"/>
      <c r="U1204" s="93" t="b">
        <v>1</v>
      </c>
      <c r="V1204" s="101"/>
      <c r="W1204" s="101"/>
      <c r="X1204" s="520" t="s">
        <v>8251</v>
      </c>
      <c r="Y1204" s="101"/>
      <c r="Z1204" s="101" t="b">
        <v>0</v>
      </c>
      <c r="AA1204" s="101" t="b">
        <v>0</v>
      </c>
      <c r="AB1204" s="101"/>
      <c r="AC1204" s="101"/>
      <c r="AD1204" s="101"/>
      <c r="AE1204" s="101"/>
    </row>
    <row r="1205" hidden="1">
      <c r="A1205" s="101"/>
      <c r="B1205" s="101"/>
      <c r="C1205" s="101"/>
      <c r="D1205" s="519"/>
      <c r="E1205" s="99" t="s">
        <v>1110</v>
      </c>
      <c r="F1205" s="101"/>
      <c r="G1205" s="99" t="s">
        <v>8252</v>
      </c>
      <c r="H1205" s="99" t="s">
        <v>1065</v>
      </c>
      <c r="I1205" s="101"/>
      <c r="J1205" s="110"/>
      <c r="K1205" s="107" t="str">
        <f>IFNA(VLOOKUP(D1205,'EAN Codes'!A:C,2,False),"")</f>
        <v/>
      </c>
      <c r="L1205" s="101"/>
      <c r="M1205" s="108"/>
      <c r="N1205" s="101"/>
      <c r="O1205" s="101"/>
      <c r="P1205" s="101"/>
      <c r="Q1205" s="101"/>
      <c r="R1205" s="101"/>
      <c r="S1205" s="110"/>
      <c r="T1205" s="101"/>
      <c r="U1205" s="93" t="b">
        <v>1</v>
      </c>
      <c r="V1205" s="101"/>
      <c r="W1205" s="101"/>
      <c r="X1205" s="520" t="s">
        <v>8251</v>
      </c>
      <c r="Y1205" s="101"/>
      <c r="Z1205" s="101" t="b">
        <v>0</v>
      </c>
      <c r="AA1205" s="101" t="b">
        <v>0</v>
      </c>
      <c r="AB1205" s="101"/>
      <c r="AC1205" s="101"/>
      <c r="AD1205" s="101"/>
      <c r="AE1205" s="101"/>
    </row>
    <row r="1206" hidden="1">
      <c r="A1206" s="101"/>
      <c r="B1206" s="101"/>
      <c r="C1206" s="101"/>
      <c r="D1206" s="519"/>
      <c r="E1206" s="99" t="s">
        <v>733</v>
      </c>
      <c r="F1206" s="101"/>
      <c r="G1206" s="99" t="s">
        <v>8253</v>
      </c>
      <c r="H1206" s="99" t="s">
        <v>1065</v>
      </c>
      <c r="I1206" s="101"/>
      <c r="J1206" s="110"/>
      <c r="K1206" s="107" t="str">
        <f>IFNA(VLOOKUP(D1206,'EAN Codes'!A:C,2,False),"")</f>
        <v/>
      </c>
      <c r="L1206" s="101"/>
      <c r="M1206" s="108"/>
      <c r="N1206" s="101"/>
      <c r="O1206" s="101"/>
      <c r="P1206" s="101"/>
      <c r="Q1206" s="101"/>
      <c r="R1206" s="101"/>
      <c r="S1206" s="110"/>
      <c r="T1206" s="101"/>
      <c r="U1206" s="93" t="b">
        <v>1</v>
      </c>
      <c r="V1206" s="101"/>
      <c r="W1206" s="101"/>
      <c r="X1206" s="520" t="s">
        <v>8251</v>
      </c>
      <c r="Y1206" s="101"/>
      <c r="Z1206" s="101" t="b">
        <v>0</v>
      </c>
      <c r="AA1206" s="101" t="b">
        <v>0</v>
      </c>
      <c r="AB1206" s="101"/>
      <c r="AC1206" s="101"/>
      <c r="AD1206" s="101"/>
      <c r="AE1206" s="101"/>
    </row>
    <row r="1207" hidden="1">
      <c r="A1207" s="91"/>
      <c r="B1207" s="86" t="s">
        <v>2651</v>
      </c>
      <c r="C1207" s="86" t="s">
        <v>1759</v>
      </c>
      <c r="D1207" s="87" t="s">
        <v>8254</v>
      </c>
      <c r="E1207" s="91"/>
      <c r="F1207" s="91"/>
      <c r="G1207" s="91"/>
      <c r="H1207" s="86" t="s">
        <v>807</v>
      </c>
      <c r="I1207" s="91"/>
      <c r="J1207" s="97"/>
      <c r="K1207" s="90" t="str">
        <f>IFNA(VLOOKUP(D1207,'EAN Codes'!A:C,2,False),"")</f>
        <v/>
      </c>
      <c r="L1207" s="91"/>
      <c r="M1207" s="92"/>
      <c r="N1207" s="86"/>
      <c r="O1207" s="86"/>
      <c r="P1207" s="86"/>
      <c r="Q1207" s="86"/>
      <c r="R1207" s="86"/>
      <c r="S1207" s="88"/>
      <c r="T1207" s="86" t="s">
        <v>8255</v>
      </c>
      <c r="U1207" s="93" t="b">
        <v>1</v>
      </c>
      <c r="V1207" s="86" t="s">
        <v>8256</v>
      </c>
      <c r="W1207" s="91"/>
      <c r="X1207" s="86" t="s">
        <v>8257</v>
      </c>
      <c r="Y1207" s="91"/>
      <c r="Z1207" s="91" t="b">
        <v>0</v>
      </c>
      <c r="AA1207" s="91" t="b">
        <v>0</v>
      </c>
      <c r="AB1207" s="91"/>
      <c r="AC1207" s="91"/>
      <c r="AD1207" s="91"/>
      <c r="AE1207" s="91"/>
    </row>
    <row r="1208" hidden="1">
      <c r="A1208" s="115"/>
      <c r="B1208" s="106" t="s">
        <v>241</v>
      </c>
      <c r="C1208" s="106" t="s">
        <v>4382</v>
      </c>
      <c r="D1208" s="273" t="s">
        <v>8258</v>
      </c>
      <c r="E1208" s="106" t="s">
        <v>373</v>
      </c>
      <c r="F1208" s="115"/>
      <c r="G1208" s="115"/>
      <c r="H1208" s="106" t="s">
        <v>763</v>
      </c>
      <c r="I1208" s="115"/>
      <c r="J1208" s="263"/>
      <c r="K1208" s="275" t="str">
        <f>IFNA(VLOOKUP(D1208,'EAN Codes'!A:C,2,False),"")</f>
        <v/>
      </c>
      <c r="L1208" s="261"/>
      <c r="M1208" s="276"/>
      <c r="N1208" s="106"/>
      <c r="O1208" s="106"/>
      <c r="P1208" s="106"/>
      <c r="Q1208" s="106"/>
      <c r="R1208" s="106"/>
      <c r="S1208" s="274"/>
      <c r="T1208" s="106" t="s">
        <v>8259</v>
      </c>
      <c r="U1208" s="161" t="b">
        <v>1</v>
      </c>
      <c r="V1208" s="106" t="s">
        <v>8260</v>
      </c>
      <c r="W1208" s="115"/>
      <c r="X1208" s="115"/>
      <c r="Y1208" s="115"/>
      <c r="Z1208" s="115" t="b">
        <v>0</v>
      </c>
      <c r="AA1208" s="115" t="b">
        <v>0</v>
      </c>
      <c r="AB1208" s="115"/>
      <c r="AC1208" s="115"/>
      <c r="AD1208" s="115"/>
      <c r="AE1208" s="115"/>
    </row>
    <row r="1209" hidden="1">
      <c r="A1209" s="91"/>
      <c r="B1209" s="86" t="s">
        <v>241</v>
      </c>
      <c r="C1209" s="86" t="s">
        <v>342</v>
      </c>
      <c r="D1209" s="87" t="s">
        <v>4564</v>
      </c>
      <c r="E1209" s="86" t="s">
        <v>346</v>
      </c>
      <c r="F1209" s="86" t="s">
        <v>8261</v>
      </c>
      <c r="G1209" s="86" t="s">
        <v>375</v>
      </c>
      <c r="H1209" s="86" t="s">
        <v>2434</v>
      </c>
      <c r="I1209" s="91"/>
      <c r="J1209" s="97"/>
      <c r="K1209" s="90" t="str">
        <f>IFNA(VLOOKUP(D1209,'EAN Codes'!A:C,2,False),"")</f>
        <v>5907615827013</v>
      </c>
      <c r="L1209" s="91"/>
      <c r="M1209" s="92"/>
      <c r="N1209" s="86"/>
      <c r="O1209" s="86"/>
      <c r="P1209" s="86"/>
      <c r="Q1209" s="86"/>
      <c r="R1209" s="86"/>
      <c r="S1209" s="88"/>
      <c r="T1209" s="86" t="s">
        <v>8262</v>
      </c>
      <c r="U1209" s="88" t="b">
        <v>1</v>
      </c>
      <c r="V1209" s="86" t="s">
        <v>8263</v>
      </c>
      <c r="W1209" s="91"/>
      <c r="X1209" s="91"/>
      <c r="Y1209" s="91"/>
      <c r="Z1209" s="91" t="b">
        <v>0</v>
      </c>
      <c r="AA1209" s="91" t="b">
        <v>0</v>
      </c>
      <c r="AB1209" s="91"/>
      <c r="AC1209" s="91"/>
      <c r="AD1209" s="91"/>
      <c r="AE1209" s="91"/>
    </row>
    <row r="1210" hidden="1">
      <c r="A1210" s="6">
        <v>1.0</v>
      </c>
      <c r="B1210" s="6" t="s">
        <v>241</v>
      </c>
      <c r="C1210" s="6" t="s">
        <v>4382</v>
      </c>
      <c r="D1210" s="127" t="s">
        <v>8264</v>
      </c>
      <c r="F1210" s="6" t="s">
        <v>1196</v>
      </c>
      <c r="H1210" s="473" t="s">
        <v>8265</v>
      </c>
      <c r="I1210" s="473" t="s">
        <v>8266</v>
      </c>
      <c r="J1210" s="508"/>
      <c r="K1210" s="275" t="str">
        <f>IFNA(VLOOKUP(D1210,'EAN Codes'!A:C,2,False),"")</f>
        <v/>
      </c>
      <c r="L1210" s="82"/>
      <c r="M1210" s="496" t="b">
        <v>1</v>
      </c>
      <c r="N1210" s="477" t="b">
        <v>0</v>
      </c>
      <c r="O1210" s="477" t="b">
        <v>0</v>
      </c>
      <c r="P1210" s="477" t="b">
        <v>0</v>
      </c>
      <c r="Q1210" s="477" t="b">
        <v>0</v>
      </c>
      <c r="R1210" s="478"/>
      <c r="S1210" s="479"/>
      <c r="T1210" s="480" t="s">
        <v>8267</v>
      </c>
      <c r="U1210" s="481" t="b">
        <v>1</v>
      </c>
      <c r="V1210" s="6" t="s">
        <v>8268</v>
      </c>
      <c r="Z1210" t="b">
        <v>0</v>
      </c>
      <c r="AA1210" t="b">
        <v>0</v>
      </c>
    </row>
    <row r="1211" hidden="1">
      <c r="A1211" s="6">
        <v>1.0</v>
      </c>
      <c r="B1211" s="6" t="s">
        <v>241</v>
      </c>
      <c r="C1211" s="6" t="s">
        <v>342</v>
      </c>
      <c r="D1211" s="127" t="s">
        <v>8269</v>
      </c>
      <c r="E1211" s="6" t="s">
        <v>373</v>
      </c>
      <c r="H1211" s="473" t="s">
        <v>8270</v>
      </c>
      <c r="I1211" s="473" t="s">
        <v>8271</v>
      </c>
      <c r="J1211" s="521"/>
      <c r="K1211" s="275" t="str">
        <f>IFNA(VLOOKUP(D1211,'EAN Codes'!A:C,2,False),"")</f>
        <v>5907615800917</v>
      </c>
      <c r="L1211" s="82"/>
      <c r="M1211" s="476" t="b">
        <v>0</v>
      </c>
      <c r="N1211" s="497" t="b">
        <v>1</v>
      </c>
      <c r="O1211" s="477" t="b">
        <v>0</v>
      </c>
      <c r="P1211" s="477" t="b">
        <v>0</v>
      </c>
      <c r="Q1211" s="477" t="b">
        <v>0</v>
      </c>
      <c r="R1211" s="478"/>
      <c r="S1211" s="479" t="s">
        <v>8272</v>
      </c>
      <c r="T1211" s="480"/>
      <c r="U1211" s="481" t="b">
        <v>1</v>
      </c>
      <c r="V1211" s="6" t="s">
        <v>8273</v>
      </c>
      <c r="Z1211" t="b">
        <v>0</v>
      </c>
      <c r="AA1211" t="b">
        <v>0</v>
      </c>
    </row>
    <row r="1212" hidden="1">
      <c r="A1212" s="115"/>
      <c r="B1212" s="106" t="s">
        <v>241</v>
      </c>
      <c r="C1212" s="106" t="s">
        <v>342</v>
      </c>
      <c r="D1212" s="273" t="s">
        <v>8274</v>
      </c>
      <c r="E1212" s="115"/>
      <c r="F1212" s="115"/>
      <c r="G1212" s="115"/>
      <c r="H1212" s="106" t="s">
        <v>763</v>
      </c>
      <c r="I1212" s="115"/>
      <c r="J1212" s="263"/>
      <c r="K1212" s="275" t="str">
        <f>IFNA(VLOOKUP(D1212,'EAN Codes'!A:C,2,False),"")</f>
        <v>5907615822544</v>
      </c>
      <c r="L1212" s="261"/>
      <c r="M1212" s="276"/>
      <c r="N1212" s="106"/>
      <c r="O1212" s="106"/>
      <c r="P1212" s="106"/>
      <c r="Q1212" s="106"/>
      <c r="R1212" s="106"/>
      <c r="S1212" s="274"/>
      <c r="T1212" s="106" t="s">
        <v>8275</v>
      </c>
      <c r="U1212" s="161" t="b">
        <v>1</v>
      </c>
      <c r="V1212" s="106" t="s">
        <v>8276</v>
      </c>
      <c r="W1212" s="115"/>
      <c r="X1212" s="115"/>
      <c r="Y1212" s="115"/>
      <c r="Z1212" s="115" t="b">
        <v>0</v>
      </c>
      <c r="AA1212" s="115" t="b">
        <v>0</v>
      </c>
      <c r="AB1212" s="115"/>
      <c r="AC1212" s="115"/>
      <c r="AD1212" s="115"/>
      <c r="AE1212" s="115"/>
    </row>
    <row r="1213" hidden="1">
      <c r="A1213" s="101"/>
      <c r="B1213" s="99" t="s">
        <v>8277</v>
      </c>
      <c r="C1213" s="99" t="s">
        <v>8278</v>
      </c>
      <c r="D1213" s="100" t="s">
        <v>8279</v>
      </c>
      <c r="E1213" s="101"/>
      <c r="F1213" s="101"/>
      <c r="G1213" s="101"/>
      <c r="H1213" s="99" t="s">
        <v>135</v>
      </c>
      <c r="I1213" s="101"/>
      <c r="J1213" s="110"/>
      <c r="K1213" s="107" t="str">
        <f>IFNA(VLOOKUP(D1213,'EAN Codes'!A:C,2,False),"")</f>
        <v/>
      </c>
      <c r="L1213" s="101"/>
      <c r="M1213" s="119"/>
      <c r="N1213" s="99"/>
      <c r="O1213" s="99"/>
      <c r="P1213" s="99"/>
      <c r="Q1213" s="99"/>
      <c r="R1213" s="99"/>
      <c r="S1213" s="104"/>
      <c r="T1213" s="99"/>
      <c r="U1213" s="93" t="b">
        <v>1</v>
      </c>
      <c r="V1213" s="99" t="s">
        <v>8280</v>
      </c>
      <c r="W1213" s="101"/>
      <c r="X1213" s="101"/>
      <c r="Y1213" s="101"/>
      <c r="Z1213" s="101" t="b">
        <v>0</v>
      </c>
      <c r="AA1213" s="101" t="b">
        <v>0</v>
      </c>
      <c r="AB1213" s="101"/>
      <c r="AC1213" s="101"/>
      <c r="AD1213" s="101"/>
      <c r="AE1213" s="101"/>
    </row>
    <row r="1214" hidden="1">
      <c r="A1214" s="101"/>
      <c r="B1214" s="99" t="s">
        <v>8277</v>
      </c>
      <c r="C1214" s="99" t="s">
        <v>8278</v>
      </c>
      <c r="D1214" s="100" t="s">
        <v>8281</v>
      </c>
      <c r="E1214" s="101"/>
      <c r="F1214" s="101"/>
      <c r="G1214" s="101"/>
      <c r="H1214" s="99" t="s">
        <v>135</v>
      </c>
      <c r="I1214" s="101"/>
      <c r="J1214" s="110"/>
      <c r="K1214" s="107" t="str">
        <f>IFNA(VLOOKUP(D1214,'EAN Codes'!A:C,2,False),"")</f>
        <v/>
      </c>
      <c r="L1214" s="101"/>
      <c r="M1214" s="119"/>
      <c r="N1214" s="99"/>
      <c r="O1214" s="99"/>
      <c r="P1214" s="99"/>
      <c r="Q1214" s="99"/>
      <c r="R1214" s="99"/>
      <c r="S1214" s="104"/>
      <c r="T1214" s="99"/>
      <c r="U1214" s="93" t="b">
        <v>1</v>
      </c>
      <c r="V1214" s="99" t="s">
        <v>8280</v>
      </c>
      <c r="W1214" s="101"/>
      <c r="X1214" s="101"/>
      <c r="Y1214" s="101"/>
      <c r="Z1214" s="101" t="b">
        <v>0</v>
      </c>
      <c r="AA1214" s="101" t="b">
        <v>0</v>
      </c>
      <c r="AB1214" s="101"/>
      <c r="AC1214" s="101"/>
      <c r="AD1214" s="101"/>
      <c r="AE1214" s="101"/>
    </row>
    <row r="1215">
      <c r="A1215" s="522">
        <v>1.0</v>
      </c>
      <c r="B1215" s="522" t="s">
        <v>241</v>
      </c>
      <c r="C1215" s="522" t="s">
        <v>1217</v>
      </c>
      <c r="D1215" s="523" t="s">
        <v>8282</v>
      </c>
      <c r="E1215" s="522" t="s">
        <v>8283</v>
      </c>
      <c r="F1215" s="522" t="s">
        <v>8284</v>
      </c>
      <c r="G1215" s="524"/>
      <c r="H1215" s="525" t="s">
        <v>1467</v>
      </c>
      <c r="I1215" s="525" t="s">
        <v>8285</v>
      </c>
      <c r="J1215" s="526"/>
      <c r="K1215" s="527" t="str">
        <f>IFNA(VLOOKUP(#REF!,'EAN Codes'!A:C,2,False),"")</f>
        <v>#REF!</v>
      </c>
      <c r="L1215" s="528"/>
      <c r="M1215" s="529" t="b">
        <v>0</v>
      </c>
      <c r="N1215" s="530" t="b">
        <v>0</v>
      </c>
      <c r="O1215" s="530" t="b">
        <v>0</v>
      </c>
      <c r="P1215" s="530" t="b">
        <v>0</v>
      </c>
      <c r="Q1215" s="530" t="b">
        <v>0</v>
      </c>
      <c r="R1215" s="531"/>
      <c r="S1215" s="532"/>
      <c r="T1215" s="533"/>
      <c r="U1215" s="534" t="b">
        <v>0</v>
      </c>
      <c r="V1215" s="522" t="s">
        <v>8280</v>
      </c>
      <c r="W1215" s="524"/>
      <c r="X1215" s="524"/>
      <c r="Y1215" s="524"/>
      <c r="Z1215" s="522" t="b">
        <v>1</v>
      </c>
      <c r="AA1215" s="522" t="b">
        <v>0</v>
      </c>
      <c r="AB1215" s="524"/>
      <c r="AC1215" s="535">
        <v>171.0</v>
      </c>
      <c r="AD1215" s="524" t="str">
        <f>IFNA(IFS(U1215=False,D1215),"")</f>
        <v>R42A</v>
      </c>
      <c r="AE1215" s="524" t="str">
        <f>IFNA(IFS(U1215=false,H1215),"")</f>
        <v>Krylbo</v>
      </c>
    </row>
    <row r="1216" hidden="1">
      <c r="A1216" s="101"/>
      <c r="B1216" s="99" t="s">
        <v>8277</v>
      </c>
      <c r="C1216" s="99" t="s">
        <v>8278</v>
      </c>
      <c r="D1216" s="100" t="s">
        <v>8286</v>
      </c>
      <c r="E1216" s="101"/>
      <c r="F1216" s="101"/>
      <c r="G1216" s="101"/>
      <c r="H1216" s="99" t="s">
        <v>135</v>
      </c>
      <c r="I1216" s="101"/>
      <c r="J1216" s="110"/>
      <c r="K1216" s="107" t="str">
        <f>IFNA(VLOOKUP(#REF!,'EAN Codes'!A:C,2,False),"")</f>
        <v>#REF!</v>
      </c>
      <c r="L1216" s="101"/>
      <c r="M1216" s="119"/>
      <c r="N1216" s="99"/>
      <c r="O1216" s="99"/>
      <c r="P1216" s="99"/>
      <c r="Q1216" s="99"/>
      <c r="R1216" s="99"/>
      <c r="S1216" s="104"/>
      <c r="T1216" s="99">
        <v>307380.0</v>
      </c>
      <c r="U1216" s="104" t="b">
        <v>1</v>
      </c>
      <c r="V1216" s="99" t="s">
        <v>8280</v>
      </c>
      <c r="W1216" s="101"/>
      <c r="X1216" s="101"/>
      <c r="Y1216" s="101"/>
      <c r="Z1216" s="101" t="b">
        <v>0</v>
      </c>
      <c r="AA1216" s="101" t="b">
        <v>0</v>
      </c>
      <c r="AB1216" s="101"/>
      <c r="AC1216" s="101"/>
      <c r="AD1216" s="101"/>
      <c r="AE1216" s="101"/>
    </row>
    <row r="1217" hidden="1">
      <c r="A1217" s="6">
        <v>1.0</v>
      </c>
      <c r="B1217" s="6" t="s">
        <v>8287</v>
      </c>
      <c r="C1217" s="6" t="s">
        <v>8278</v>
      </c>
      <c r="D1217" s="127" t="s">
        <v>8288</v>
      </c>
      <c r="H1217" s="473" t="s">
        <v>135</v>
      </c>
      <c r="I1217" s="474"/>
      <c r="J1217" s="475"/>
      <c r="K1217" s="275" t="str">
        <f>IFNA(VLOOKUP(D1215,'EAN Codes'!A:C,2,False),"")</f>
        <v>16385</v>
      </c>
      <c r="L1217" s="82"/>
      <c r="M1217" s="476" t="b">
        <v>0</v>
      </c>
      <c r="N1217" s="477" t="b">
        <v>0</v>
      </c>
      <c r="O1217" s="477" t="b">
        <v>0</v>
      </c>
      <c r="P1217" s="477" t="b">
        <v>0</v>
      </c>
      <c r="Q1217" s="477" t="b">
        <v>0</v>
      </c>
      <c r="R1217" s="478"/>
      <c r="S1217" s="479"/>
      <c r="T1217" s="480"/>
      <c r="U1217" s="481" t="b">
        <v>1</v>
      </c>
      <c r="V1217" s="6" t="s">
        <v>8280</v>
      </c>
      <c r="Z1217" t="b">
        <v>0</v>
      </c>
      <c r="AA1217" t="b">
        <v>0</v>
      </c>
    </row>
    <row r="1218" hidden="1">
      <c r="H1218" s="99" t="s">
        <v>135</v>
      </c>
      <c r="I1218" s="101"/>
      <c r="J1218" s="110"/>
      <c r="K1218" s="107" t="str">
        <f>IFNA(VLOOKUP(D1216,'EAN Codes'!A:C,2,False),"")</f>
        <v/>
      </c>
      <c r="L1218" s="101"/>
      <c r="M1218" s="119"/>
      <c r="N1218" s="99"/>
      <c r="O1218" s="99"/>
      <c r="P1218" s="99"/>
      <c r="Q1218" s="99"/>
      <c r="R1218" s="99"/>
      <c r="S1218" s="104"/>
      <c r="T1218" s="99"/>
      <c r="U1218" s="93" t="b">
        <v>1</v>
      </c>
      <c r="V1218" s="99" t="s">
        <v>8280</v>
      </c>
      <c r="W1218" s="101"/>
      <c r="X1218" s="101"/>
      <c r="Y1218" s="101"/>
      <c r="Z1218" s="101" t="b">
        <v>0</v>
      </c>
      <c r="AA1218" s="101" t="b">
        <v>0</v>
      </c>
      <c r="AB1218" s="101"/>
      <c r="AC1218" s="101"/>
      <c r="AD1218" s="101"/>
      <c r="AE1218" s="101"/>
    </row>
    <row r="1219" hidden="1">
      <c r="H1219" s="473" t="s">
        <v>135</v>
      </c>
      <c r="I1219" s="474"/>
      <c r="J1219" s="475"/>
      <c r="K1219" s="275" t="str">
        <f>IFNA(VLOOKUP(D1217,'EAN Codes'!A:C,2,False),"")</f>
        <v/>
      </c>
      <c r="L1219" s="82"/>
      <c r="M1219" s="476" t="b">
        <v>0</v>
      </c>
      <c r="N1219" s="477" t="b">
        <v>0</v>
      </c>
      <c r="O1219" s="477" t="b">
        <v>0</v>
      </c>
      <c r="P1219" s="477" t="b">
        <v>0</v>
      </c>
      <c r="Q1219" s="477" t="b">
        <v>0</v>
      </c>
      <c r="R1219" s="478"/>
      <c r="S1219" s="479"/>
      <c r="T1219" s="480"/>
      <c r="U1219" s="481" t="b">
        <v>1</v>
      </c>
      <c r="V1219" s="6" t="s">
        <v>8280</v>
      </c>
      <c r="Z1219" t="b">
        <v>0</v>
      </c>
      <c r="AA1219" t="b">
        <v>0</v>
      </c>
    </row>
    <row r="1220" hidden="1">
      <c r="A1220" s="6">
        <v>1.0</v>
      </c>
      <c r="B1220" s="6" t="s">
        <v>8287</v>
      </c>
      <c r="C1220" s="6" t="s">
        <v>8278</v>
      </c>
      <c r="D1220" s="127" t="s">
        <v>8289</v>
      </c>
      <c r="H1220" s="473" t="s">
        <v>135</v>
      </c>
      <c r="I1220" s="474"/>
      <c r="J1220" s="475"/>
      <c r="K1220" s="275" t="str">
        <f>IFNA(VLOOKUP(D1220,'EAN Codes'!A:C,2,False),"")</f>
        <v/>
      </c>
      <c r="L1220" s="82"/>
      <c r="M1220" s="476" t="b">
        <v>0</v>
      </c>
      <c r="N1220" s="477" t="b">
        <v>0</v>
      </c>
      <c r="O1220" s="477" t="b">
        <v>0</v>
      </c>
      <c r="P1220" s="477" t="b">
        <v>0</v>
      </c>
      <c r="Q1220" s="477" t="b">
        <v>0</v>
      </c>
      <c r="R1220" s="478"/>
      <c r="S1220" s="479"/>
      <c r="T1220" s="480"/>
      <c r="U1220" s="481" t="b">
        <v>1</v>
      </c>
      <c r="V1220" s="6" t="s">
        <v>8280</v>
      </c>
      <c r="Z1220" t="b">
        <v>0</v>
      </c>
      <c r="AA1220" t="b">
        <v>0</v>
      </c>
    </row>
    <row r="1221" hidden="1">
      <c r="A1221" s="101"/>
      <c r="B1221" s="99" t="s">
        <v>8277</v>
      </c>
      <c r="C1221" s="99" t="s">
        <v>8278</v>
      </c>
      <c r="D1221" s="100" t="s">
        <v>8290</v>
      </c>
      <c r="E1221" s="101"/>
      <c r="F1221" s="101"/>
      <c r="G1221" s="101"/>
      <c r="H1221" s="99" t="s">
        <v>135</v>
      </c>
      <c r="I1221" s="101"/>
      <c r="J1221" s="110"/>
      <c r="K1221" s="107" t="str">
        <f>IFNA(VLOOKUP(D1221,'EAN Codes'!A:C,2,False),"")</f>
        <v/>
      </c>
      <c r="L1221" s="101"/>
      <c r="M1221" s="119"/>
      <c r="N1221" s="99"/>
      <c r="O1221" s="99"/>
      <c r="P1221" s="99"/>
      <c r="Q1221" s="99"/>
      <c r="R1221" s="99"/>
      <c r="S1221" s="104"/>
      <c r="T1221" s="99"/>
      <c r="U1221" s="93" t="b">
        <v>1</v>
      </c>
      <c r="V1221" s="99" t="s">
        <v>8280</v>
      </c>
      <c r="W1221" s="101"/>
      <c r="X1221" s="101"/>
      <c r="Y1221" s="101"/>
      <c r="Z1221" s="101" t="b">
        <v>0</v>
      </c>
      <c r="AA1221" s="101" t="b">
        <v>0</v>
      </c>
      <c r="AB1221" s="101"/>
      <c r="AC1221" s="101"/>
      <c r="AD1221" s="101"/>
      <c r="AE1221" s="101"/>
    </row>
    <row r="1222" hidden="1">
      <c r="A1222" s="6">
        <v>1.0</v>
      </c>
      <c r="B1222" s="6" t="s">
        <v>8277</v>
      </c>
      <c r="C1222" s="6" t="s">
        <v>8278</v>
      </c>
      <c r="D1222" s="127" t="s">
        <v>8291</v>
      </c>
      <c r="H1222" s="473" t="s">
        <v>135</v>
      </c>
      <c r="I1222" s="474"/>
      <c r="J1222" s="536"/>
      <c r="K1222" s="275" t="str">
        <f>IFNA(VLOOKUP(D1222,'EAN Codes'!A:C,2,False),"")</f>
        <v/>
      </c>
      <c r="L1222" s="82"/>
      <c r="M1222" s="476" t="b">
        <v>0</v>
      </c>
      <c r="N1222" s="477" t="b">
        <v>0</v>
      </c>
      <c r="O1222" s="477" t="b">
        <v>0</v>
      </c>
      <c r="P1222" s="477" t="b">
        <v>0</v>
      </c>
      <c r="Q1222" s="477" t="b">
        <v>0</v>
      </c>
      <c r="R1222" s="478"/>
      <c r="S1222" s="479"/>
      <c r="T1222" s="480" t="s">
        <v>8295</v>
      </c>
      <c r="U1222" s="481" t="b">
        <v>1</v>
      </c>
      <c r="V1222" s="6" t="s">
        <v>8280</v>
      </c>
      <c r="Z1222" t="b">
        <v>0</v>
      </c>
      <c r="AA1222" t="b">
        <v>0</v>
      </c>
    </row>
    <row r="1223" hidden="1">
      <c r="A1223" s="86">
        <v>1.0</v>
      </c>
      <c r="B1223" s="86" t="s">
        <v>241</v>
      </c>
      <c r="C1223" s="86" t="s">
        <v>342</v>
      </c>
      <c r="D1223" s="87" t="s">
        <v>8296</v>
      </c>
      <c r="E1223" s="91"/>
      <c r="F1223" s="86" t="s">
        <v>8297</v>
      </c>
      <c r="G1223" s="91"/>
      <c r="H1223" s="473" t="s">
        <v>8298</v>
      </c>
      <c r="I1223" s="473" t="s">
        <v>8299</v>
      </c>
      <c r="J1223" s="537"/>
      <c r="K1223" s="90"/>
      <c r="L1223" s="91"/>
      <c r="M1223" s="476" t="b">
        <v>0</v>
      </c>
      <c r="N1223" s="477" t="b">
        <v>0</v>
      </c>
      <c r="O1223" s="477" t="b">
        <v>0</v>
      </c>
      <c r="P1223" s="497" t="b">
        <v>1</v>
      </c>
      <c r="Q1223" s="477" t="b">
        <v>0</v>
      </c>
      <c r="R1223" s="503" t="s">
        <v>8300</v>
      </c>
      <c r="S1223" s="504" t="s">
        <v>8301</v>
      </c>
      <c r="T1223" s="505"/>
      <c r="U1223" s="481" t="b">
        <v>1</v>
      </c>
      <c r="V1223" s="86" t="s">
        <v>8302</v>
      </c>
      <c r="W1223" s="91"/>
      <c r="X1223" s="86" t="s">
        <v>8303</v>
      </c>
      <c r="Y1223" s="91"/>
      <c r="Z1223" s="91" t="b">
        <v>0</v>
      </c>
      <c r="AA1223" s="91" t="b">
        <v>0</v>
      </c>
      <c r="AB1223" s="91"/>
      <c r="AC1223" s="91"/>
      <c r="AD1223" s="91"/>
      <c r="AE1223" s="91"/>
    </row>
    <row r="1224" hidden="1">
      <c r="A1224" s="6">
        <v>1.0</v>
      </c>
      <c r="B1224" s="99" t="s">
        <v>241</v>
      </c>
      <c r="C1224" s="99" t="s">
        <v>8304</v>
      </c>
      <c r="D1224" s="100" t="s">
        <v>8305</v>
      </c>
      <c r="E1224" s="101"/>
      <c r="F1224" s="99" t="s">
        <v>8306</v>
      </c>
      <c r="G1224" s="101"/>
      <c r="H1224" s="99" t="s">
        <v>132</v>
      </c>
      <c r="I1224" s="101"/>
      <c r="J1224" s="110"/>
      <c r="K1224" s="107" t="str">
        <f>IFNA(VLOOKUP(D1224,'EAN Codes'!A:C,2,False),"")</f>
        <v/>
      </c>
      <c r="L1224" s="101"/>
      <c r="M1224" s="119"/>
      <c r="N1224" s="99"/>
      <c r="O1224" s="99"/>
      <c r="P1224" s="99"/>
      <c r="Q1224" s="99"/>
      <c r="R1224" s="101"/>
      <c r="S1224" s="110"/>
      <c r="T1224" s="99" t="s">
        <v>8307</v>
      </c>
      <c r="U1224" s="104" t="b">
        <v>1</v>
      </c>
      <c r="V1224" s="101"/>
      <c r="W1224" s="101"/>
      <c r="X1224" s="101"/>
      <c r="Y1224" s="101"/>
      <c r="Z1224" s="101" t="b">
        <v>0</v>
      </c>
      <c r="AA1224" s="101" t="b">
        <v>0</v>
      </c>
      <c r="AB1224" s="101"/>
      <c r="AC1224" s="101"/>
      <c r="AD1224" s="101"/>
      <c r="AE1224" s="101"/>
    </row>
    <row r="1225" hidden="1">
      <c r="A1225" s="6">
        <v>1.0</v>
      </c>
      <c r="B1225" s="99" t="s">
        <v>241</v>
      </c>
      <c r="C1225" s="99" t="s">
        <v>342</v>
      </c>
      <c r="D1225" s="100" t="s">
        <v>8309</v>
      </c>
      <c r="E1225" s="101"/>
      <c r="F1225" s="99" t="s">
        <v>4851</v>
      </c>
      <c r="G1225" s="101"/>
      <c r="H1225" s="99" t="s">
        <v>8310</v>
      </c>
      <c r="I1225" s="101"/>
      <c r="J1225" s="110"/>
      <c r="K1225" s="107" t="str">
        <f>IFNA(VLOOKUP(D1225,'EAN Codes'!A:C,2,False),"")</f>
        <v>5907615826153</v>
      </c>
      <c r="L1225" s="101"/>
      <c r="M1225" s="119"/>
      <c r="N1225" s="99"/>
      <c r="O1225" s="99"/>
      <c r="P1225" s="99"/>
      <c r="Q1225" s="99"/>
      <c r="R1225" s="99"/>
      <c r="S1225" s="104"/>
      <c r="T1225" s="99"/>
      <c r="U1225" s="104" t="b">
        <v>1</v>
      </c>
      <c r="V1225" s="99" t="s">
        <v>8311</v>
      </c>
      <c r="Z1225" t="b">
        <v>0</v>
      </c>
      <c r="AA1225" t="b">
        <v>0</v>
      </c>
    </row>
    <row r="1226" hidden="1">
      <c r="A1226" s="6">
        <v>1.0</v>
      </c>
      <c r="B1226" s="99" t="s">
        <v>241</v>
      </c>
      <c r="C1226" s="99" t="s">
        <v>342</v>
      </c>
      <c r="D1226" s="100" t="s">
        <v>2023</v>
      </c>
      <c r="E1226" s="101"/>
      <c r="F1226" s="99" t="s">
        <v>8312</v>
      </c>
      <c r="G1226" s="99" t="s">
        <v>8313</v>
      </c>
      <c r="H1226" s="473" t="s">
        <v>8314</v>
      </c>
      <c r="I1226" s="473" t="s">
        <v>8315</v>
      </c>
      <c r="J1226" s="521"/>
      <c r="K1226" s="275" t="str">
        <f>IFNA(VLOOKUP(D1226,'EAN Codes'!A:C,2,False),"")</f>
        <v>5907615801174</v>
      </c>
      <c r="L1226" s="82"/>
      <c r="M1226" s="476" t="b">
        <v>0</v>
      </c>
      <c r="N1226" s="497" t="b">
        <v>1</v>
      </c>
      <c r="O1226" s="477" t="b">
        <v>0</v>
      </c>
      <c r="P1226" s="477" t="b">
        <v>0</v>
      </c>
      <c r="Q1226" s="477" t="b">
        <v>0</v>
      </c>
      <c r="R1226" s="478"/>
      <c r="S1226" s="479"/>
      <c r="T1226" s="480" t="s">
        <v>8316</v>
      </c>
      <c r="U1226" s="481" t="b">
        <v>1</v>
      </c>
      <c r="V1226" s="6" t="s">
        <v>8317</v>
      </c>
      <c r="Z1226" t="b">
        <v>0</v>
      </c>
      <c r="AA1226" t="b">
        <v>0</v>
      </c>
    </row>
    <row r="1227" hidden="1">
      <c r="B1227" s="6" t="s">
        <v>241</v>
      </c>
      <c r="C1227" s="6" t="s">
        <v>4382</v>
      </c>
      <c r="D1227" s="127" t="s">
        <v>8318</v>
      </c>
      <c r="H1227" s="6" t="s">
        <v>135</v>
      </c>
      <c r="J1227" s="60"/>
      <c r="K1227" s="66" t="str">
        <f>IFNA(VLOOKUP(D1227,'EAN Codes'!A:C,2,False),"")</f>
        <v/>
      </c>
      <c r="L1227" s="82"/>
      <c r="M1227" s="83"/>
      <c r="N1227" s="6"/>
      <c r="O1227" s="6"/>
      <c r="P1227" s="6"/>
      <c r="Q1227" s="6"/>
      <c r="R1227" s="6"/>
      <c r="S1227" s="84"/>
      <c r="T1227" s="6" t="s">
        <v>8319</v>
      </c>
      <c r="U1227" s="93" t="b">
        <v>1</v>
      </c>
      <c r="V1227" s="6" t="s">
        <v>8320</v>
      </c>
      <c r="Z1227" t="b">
        <v>0</v>
      </c>
      <c r="AA1227" t="b">
        <v>0</v>
      </c>
    </row>
    <row r="1228" hidden="1">
      <c r="A1228" s="115"/>
      <c r="B1228" s="106" t="s">
        <v>241</v>
      </c>
      <c r="C1228" s="106" t="s">
        <v>4382</v>
      </c>
      <c r="D1228" s="273" t="s">
        <v>8264</v>
      </c>
      <c r="E1228" s="115"/>
      <c r="F1228" s="115"/>
      <c r="G1228" s="115"/>
      <c r="H1228" s="106" t="s">
        <v>807</v>
      </c>
      <c r="I1228" s="115"/>
      <c r="J1228" s="263"/>
      <c r="K1228" s="275" t="str">
        <f>IFNA(VLOOKUP(D1228,'EAN Codes'!A:C,2,False),"")</f>
        <v/>
      </c>
      <c r="L1228" s="261"/>
      <c r="M1228" s="276"/>
      <c r="N1228" s="106"/>
      <c r="O1228" s="106"/>
      <c r="P1228" s="106"/>
      <c r="Q1228" s="106"/>
      <c r="R1228" s="115"/>
      <c r="S1228" s="263"/>
      <c r="T1228" s="106" t="s">
        <v>8255</v>
      </c>
      <c r="U1228" s="93" t="b">
        <v>1</v>
      </c>
      <c r="V1228" s="115"/>
      <c r="W1228" s="115"/>
      <c r="Z1228" t="b">
        <v>0</v>
      </c>
      <c r="AA1228" t="b">
        <v>0</v>
      </c>
    </row>
    <row r="1229" hidden="1">
      <c r="A1229" s="115"/>
      <c r="B1229" s="106" t="s">
        <v>241</v>
      </c>
      <c r="C1229" s="106" t="s">
        <v>342</v>
      </c>
      <c r="D1229" s="273" t="s">
        <v>2266</v>
      </c>
      <c r="E1229" s="115"/>
      <c r="F1229" s="115"/>
      <c r="G1229" s="115"/>
      <c r="H1229" s="106" t="s">
        <v>763</v>
      </c>
      <c r="I1229" s="115"/>
      <c r="J1229" s="263"/>
      <c r="K1229" s="275" t="str">
        <f>IFNA(VLOOKUP(D1229,'EAN Codes'!A:C,2,False),"")</f>
        <v>5907615801297</v>
      </c>
      <c r="L1229" s="261"/>
      <c r="M1229" s="276"/>
      <c r="N1229" s="106"/>
      <c r="O1229" s="106"/>
      <c r="P1229" s="106"/>
      <c r="Q1229" s="106"/>
      <c r="R1229" s="106"/>
      <c r="S1229" s="274"/>
      <c r="T1229" s="106" t="s">
        <v>8321</v>
      </c>
      <c r="U1229" s="161" t="b">
        <v>1</v>
      </c>
      <c r="V1229" s="106" t="s">
        <v>8323</v>
      </c>
      <c r="W1229" s="115"/>
      <c r="X1229" s="115"/>
      <c r="Y1229" s="115"/>
      <c r="Z1229" s="115" t="b">
        <v>0</v>
      </c>
      <c r="AA1229" s="115" t="b">
        <v>0</v>
      </c>
      <c r="AB1229" s="115"/>
      <c r="AC1229" s="115"/>
      <c r="AD1229" s="115"/>
      <c r="AE1229" s="115"/>
    </row>
    <row r="1230" hidden="1">
      <c r="A1230" s="6">
        <v>1.0</v>
      </c>
      <c r="B1230" s="191" t="s">
        <v>241</v>
      </c>
      <c r="C1230" s="191" t="s">
        <v>4382</v>
      </c>
      <c r="D1230" s="507" t="s">
        <v>8195</v>
      </c>
      <c r="E1230" s="124"/>
      <c r="F1230" s="124"/>
      <c r="G1230" s="124"/>
      <c r="H1230" s="473" t="s">
        <v>376</v>
      </c>
      <c r="I1230" s="473" t="s">
        <v>8324</v>
      </c>
      <c r="J1230" s="521" t="s">
        <v>8325</v>
      </c>
      <c r="K1230" s="275" t="str">
        <f>IFNA(VLOOKUP(D1230,'EAN Codes'!A:C,2,False),"")</f>
        <v/>
      </c>
      <c r="L1230" s="469"/>
      <c r="M1230" s="476" t="b">
        <v>0</v>
      </c>
      <c r="N1230" s="497" t="b">
        <v>1</v>
      </c>
      <c r="O1230" s="477" t="b">
        <v>0</v>
      </c>
      <c r="P1230" s="477" t="b">
        <v>0</v>
      </c>
      <c r="Q1230" s="477" t="b">
        <v>0</v>
      </c>
      <c r="R1230" s="478"/>
      <c r="S1230" s="479"/>
      <c r="T1230" s="480"/>
      <c r="U1230" s="481" t="b">
        <v>1</v>
      </c>
      <c r="V1230" s="191" t="s">
        <v>8326</v>
      </c>
      <c r="Z1230" t="b">
        <v>0</v>
      </c>
      <c r="AA1230" t="b">
        <v>0</v>
      </c>
    </row>
    <row r="1231" hidden="1">
      <c r="A1231" s="91"/>
      <c r="B1231" s="86" t="s">
        <v>241</v>
      </c>
      <c r="C1231" s="86" t="s">
        <v>342</v>
      </c>
      <c r="D1231" s="87" t="s">
        <v>8328</v>
      </c>
      <c r="E1231" s="91"/>
      <c r="F1231" s="91"/>
      <c r="G1231" s="91"/>
      <c r="H1231" s="86" t="s">
        <v>517</v>
      </c>
      <c r="I1231" s="91"/>
      <c r="J1231" s="97"/>
      <c r="K1231" s="90" t="str">
        <f>IFNA(VLOOKUP(D1231,'EAN Codes'!A:C,2,False),"")</f>
        <v>5907615824630</v>
      </c>
      <c r="L1231" s="91"/>
      <c r="M1231" s="92"/>
      <c r="N1231" s="86"/>
      <c r="O1231" s="86"/>
      <c r="P1231" s="86"/>
      <c r="Q1231" s="86"/>
      <c r="R1231" s="86"/>
      <c r="S1231" s="88"/>
      <c r="T1231" s="86" t="s">
        <v>8329</v>
      </c>
      <c r="U1231" s="93" t="b">
        <v>1</v>
      </c>
      <c r="V1231" s="86" t="s">
        <v>8330</v>
      </c>
      <c r="Z1231" t="b">
        <v>0</v>
      </c>
      <c r="AA1231" t="b">
        <v>0</v>
      </c>
    </row>
    <row r="1232" hidden="1">
      <c r="A1232" s="101"/>
      <c r="B1232" s="99" t="s">
        <v>241</v>
      </c>
      <c r="C1232" s="101"/>
      <c r="D1232" s="100" t="s">
        <v>8331</v>
      </c>
      <c r="E1232" s="101"/>
      <c r="F1232" s="101"/>
      <c r="G1232" s="101"/>
      <c r="H1232" s="99" t="s">
        <v>807</v>
      </c>
      <c r="I1232" s="101"/>
      <c r="J1232" s="110"/>
      <c r="K1232" s="107" t="str">
        <f>IFNA(VLOOKUP(D1232,'EAN Codes'!A:C,2,False),"")</f>
        <v/>
      </c>
      <c r="L1232" s="101"/>
      <c r="M1232" s="108"/>
      <c r="N1232" s="101"/>
      <c r="O1232" s="101"/>
      <c r="P1232" s="101"/>
      <c r="Q1232" s="101"/>
      <c r="R1232" s="101"/>
      <c r="S1232" s="110"/>
      <c r="T1232" s="101"/>
      <c r="U1232" s="93" t="b">
        <v>1</v>
      </c>
      <c r="V1232" s="101"/>
      <c r="W1232" s="101"/>
      <c r="X1232" s="101"/>
      <c r="Y1232" s="101"/>
      <c r="Z1232" s="101" t="b">
        <v>0</v>
      </c>
      <c r="AA1232" s="101" t="b">
        <v>0</v>
      </c>
      <c r="AB1232" s="101"/>
      <c r="AC1232" s="101"/>
      <c r="AD1232" s="101"/>
      <c r="AE1232" s="101"/>
    </row>
    <row r="1233" hidden="1">
      <c r="A1233" s="6">
        <v>1.0</v>
      </c>
      <c r="B1233" s="86" t="s">
        <v>241</v>
      </c>
      <c r="C1233" s="86" t="s">
        <v>760</v>
      </c>
      <c r="D1233" s="87" t="s">
        <v>8332</v>
      </c>
      <c r="E1233" s="115"/>
      <c r="F1233" s="106" t="s">
        <v>7650</v>
      </c>
      <c r="G1233" s="115"/>
      <c r="H1233" s="160" t="s">
        <v>794</v>
      </c>
      <c r="I1233" s="473" t="s">
        <v>8333</v>
      </c>
      <c r="J1233" s="508"/>
      <c r="K1233" s="275" t="str">
        <f>IFNA(VLOOKUP(D1233,'EAN Codes'!A:C,2,False),"")</f>
        <v>5060128538170</v>
      </c>
      <c r="L1233" s="469"/>
      <c r="M1233" s="476" t="b">
        <v>0</v>
      </c>
      <c r="N1233" s="497" t="b">
        <v>1</v>
      </c>
      <c r="O1233" s="477" t="b">
        <v>0</v>
      </c>
      <c r="P1233" s="477" t="b">
        <v>0</v>
      </c>
      <c r="Q1233" s="477" t="b">
        <v>0</v>
      </c>
      <c r="R1233" s="478"/>
      <c r="S1233" s="479"/>
      <c r="T1233" s="480" t="s">
        <v>8334</v>
      </c>
      <c r="U1233" s="481" t="b">
        <v>1</v>
      </c>
      <c r="V1233" s="191" t="s">
        <v>8336</v>
      </c>
      <c r="Z1233" t="b">
        <v>0</v>
      </c>
      <c r="AA1233" t="b">
        <v>0</v>
      </c>
    </row>
    <row r="1234" hidden="1">
      <c r="A1234" s="6">
        <v>1.0</v>
      </c>
      <c r="B1234" s="86" t="s">
        <v>241</v>
      </c>
      <c r="C1234" s="86" t="s">
        <v>1813</v>
      </c>
      <c r="D1234" s="87" t="s">
        <v>8337</v>
      </c>
      <c r="E1234" s="91"/>
      <c r="F1234" s="86" t="s">
        <v>8338</v>
      </c>
      <c r="G1234" s="91"/>
      <c r="H1234" s="86" t="s">
        <v>7171</v>
      </c>
      <c r="I1234" s="473" t="s">
        <v>8339</v>
      </c>
      <c r="J1234" s="508"/>
      <c r="K1234" s="275" t="str">
        <f>IFNA(VLOOKUP(D1234,'EAN Codes'!A:C,2,False),"")</f>
        <v/>
      </c>
      <c r="L1234" s="469"/>
      <c r="M1234" s="476" t="b">
        <v>0</v>
      </c>
      <c r="N1234" s="497" t="b">
        <v>1</v>
      </c>
      <c r="O1234" s="477" t="b">
        <v>0</v>
      </c>
      <c r="P1234" s="477" t="b">
        <v>0</v>
      </c>
      <c r="Q1234" s="477" t="b">
        <v>0</v>
      </c>
      <c r="R1234" s="478"/>
      <c r="S1234" s="479"/>
      <c r="T1234" s="480" t="s">
        <v>8340</v>
      </c>
      <c r="U1234" s="481" t="b">
        <v>1</v>
      </c>
      <c r="V1234" s="106" t="s">
        <v>8341</v>
      </c>
      <c r="Z1234" t="b">
        <v>0</v>
      </c>
      <c r="AA1234" t="b">
        <v>0</v>
      </c>
    </row>
    <row r="1235" hidden="1">
      <c r="A1235" s="101"/>
      <c r="B1235" s="99" t="s">
        <v>241</v>
      </c>
      <c r="C1235" s="99" t="s">
        <v>4382</v>
      </c>
      <c r="D1235" s="100" t="s">
        <v>8342</v>
      </c>
      <c r="E1235" s="101"/>
      <c r="F1235" s="99" t="s">
        <v>6497</v>
      </c>
      <c r="G1235" s="101"/>
      <c r="H1235" s="99" t="s">
        <v>415</v>
      </c>
      <c r="I1235" s="101"/>
      <c r="J1235" s="110"/>
      <c r="K1235" s="107" t="str">
        <f>IFNA(VLOOKUP(D1235,'EAN Codes'!A:C,2,False),"")</f>
        <v/>
      </c>
      <c r="L1235" s="101"/>
      <c r="M1235" s="119"/>
      <c r="N1235" s="99"/>
      <c r="O1235" s="99"/>
      <c r="P1235" s="99"/>
      <c r="Q1235" s="99"/>
      <c r="R1235" s="99"/>
      <c r="S1235" s="104"/>
      <c r="T1235" s="99" t="s">
        <v>8343</v>
      </c>
      <c r="U1235" s="104" t="b">
        <v>1</v>
      </c>
      <c r="V1235" s="99" t="s">
        <v>8344</v>
      </c>
      <c r="W1235" s="101"/>
      <c r="Z1235" t="b">
        <v>0</v>
      </c>
      <c r="AA1235" t="b">
        <v>0</v>
      </c>
    </row>
    <row r="1236" hidden="1">
      <c r="A1236" s="6">
        <v>1.0</v>
      </c>
      <c r="B1236" s="6" t="s">
        <v>241</v>
      </c>
      <c r="C1236" s="6" t="s">
        <v>4382</v>
      </c>
      <c r="D1236" s="127" t="s">
        <v>8195</v>
      </c>
      <c r="F1236" s="538" t="s">
        <v>6826</v>
      </c>
      <c r="H1236" s="6" t="s">
        <v>8345</v>
      </c>
      <c r="J1236" s="60"/>
      <c r="K1236" s="66"/>
      <c r="L1236" s="82"/>
      <c r="M1236" s="83"/>
      <c r="N1236" s="6"/>
      <c r="O1236" s="6"/>
      <c r="P1236" s="6"/>
      <c r="Q1236" s="6"/>
      <c r="R1236" s="6"/>
      <c r="S1236" s="84"/>
      <c r="T1236" s="6" t="s">
        <v>8324</v>
      </c>
      <c r="U1236" s="146" t="b">
        <v>1</v>
      </c>
      <c r="V1236" s="6" t="s">
        <v>8346</v>
      </c>
      <c r="Z1236" t="b">
        <v>0</v>
      </c>
      <c r="AA1236" t="b">
        <v>0</v>
      </c>
    </row>
    <row r="1237" hidden="1">
      <c r="A1237" s="6">
        <v>1.0</v>
      </c>
      <c r="B1237" s="99" t="s">
        <v>8277</v>
      </c>
      <c r="C1237" s="99" t="s">
        <v>408</v>
      </c>
      <c r="D1237" s="100" t="s">
        <v>8347</v>
      </c>
      <c r="E1237" s="101"/>
      <c r="F1237" s="101"/>
      <c r="G1237" s="101"/>
      <c r="H1237" s="487" t="s">
        <v>135</v>
      </c>
      <c r="I1237" s="474"/>
      <c r="J1237" s="536"/>
      <c r="K1237" s="275" t="str">
        <f>IFNA(VLOOKUP(D1237,'EAN Codes'!A:C,2,False),"")</f>
        <v/>
      </c>
      <c r="L1237" s="82"/>
      <c r="M1237" s="476" t="b">
        <v>0</v>
      </c>
      <c r="N1237" s="477" t="b">
        <v>0</v>
      </c>
      <c r="O1237" s="477" t="b">
        <v>0</v>
      </c>
      <c r="P1237" s="477" t="b">
        <v>0</v>
      </c>
      <c r="Q1237" s="477" t="b">
        <v>0</v>
      </c>
      <c r="R1237" s="539"/>
      <c r="S1237" s="540"/>
      <c r="T1237" s="480">
        <v>308035.0</v>
      </c>
      <c r="U1237" s="481" t="b">
        <v>1</v>
      </c>
      <c r="Z1237" t="b">
        <v>0</v>
      </c>
      <c r="AA1237" t="b">
        <v>0</v>
      </c>
    </row>
    <row r="1238" hidden="1">
      <c r="A1238" s="101"/>
      <c r="B1238" s="99" t="s">
        <v>8277</v>
      </c>
      <c r="C1238" s="99" t="s">
        <v>408</v>
      </c>
      <c r="D1238" s="100" t="s">
        <v>8348</v>
      </c>
      <c r="E1238" s="101"/>
      <c r="F1238" s="101"/>
      <c r="G1238" s="101"/>
      <c r="H1238" s="99" t="s">
        <v>135</v>
      </c>
      <c r="I1238" s="101"/>
      <c r="J1238" s="110"/>
      <c r="K1238" s="107" t="str">
        <f>IFNA(VLOOKUP(D1238,'EAN Codes'!A:C,2,False),"")</f>
        <v/>
      </c>
      <c r="L1238" s="101"/>
      <c r="M1238" s="119"/>
      <c r="N1238" s="99"/>
      <c r="O1238" s="99"/>
      <c r="P1238" s="99"/>
      <c r="Q1238" s="99"/>
      <c r="R1238" s="101"/>
      <c r="S1238" s="110"/>
      <c r="T1238" s="99">
        <v>307208.0</v>
      </c>
      <c r="U1238" s="104" t="b">
        <v>1</v>
      </c>
      <c r="V1238" s="101"/>
      <c r="W1238" s="101"/>
      <c r="X1238" s="101"/>
      <c r="Y1238" s="101"/>
      <c r="Z1238" s="101" t="b">
        <v>0</v>
      </c>
      <c r="AA1238" s="101" t="b">
        <v>0</v>
      </c>
      <c r="AB1238" s="101"/>
      <c r="AC1238" s="101"/>
      <c r="AD1238" s="101"/>
      <c r="AE1238" s="101"/>
    </row>
    <row r="1239" hidden="1">
      <c r="A1239" s="6">
        <v>1.0</v>
      </c>
      <c r="B1239" s="99" t="s">
        <v>8277</v>
      </c>
      <c r="C1239" s="99" t="s">
        <v>408</v>
      </c>
      <c r="D1239" s="100" t="s">
        <v>8349</v>
      </c>
      <c r="E1239" s="101"/>
      <c r="F1239" s="101"/>
      <c r="G1239" s="101"/>
      <c r="H1239" s="487" t="s">
        <v>135</v>
      </c>
      <c r="I1239" s="474"/>
      <c r="J1239" s="536"/>
      <c r="K1239" s="275" t="str">
        <f>IFNA(VLOOKUP(D1239,'EAN Codes'!A:C,2,False),"")</f>
        <v/>
      </c>
      <c r="L1239" s="82"/>
      <c r="M1239" s="476" t="b">
        <v>0</v>
      </c>
      <c r="N1239" s="477" t="b">
        <v>0</v>
      </c>
      <c r="O1239" s="477" t="b">
        <v>0</v>
      </c>
      <c r="P1239" s="477" t="b">
        <v>0</v>
      </c>
      <c r="Q1239" s="477" t="b">
        <v>0</v>
      </c>
      <c r="R1239" s="539"/>
      <c r="S1239" s="540"/>
      <c r="T1239" s="480">
        <v>308075.0</v>
      </c>
      <c r="U1239" s="481" t="b">
        <v>1</v>
      </c>
      <c r="Z1239" t="b">
        <v>0</v>
      </c>
      <c r="AA1239" t="b">
        <v>0</v>
      </c>
    </row>
    <row r="1240" hidden="1">
      <c r="A1240" s="6">
        <v>1.0</v>
      </c>
      <c r="B1240" s="99" t="s">
        <v>8277</v>
      </c>
      <c r="C1240" s="99" t="s">
        <v>408</v>
      </c>
      <c r="D1240" s="100" t="s">
        <v>8350</v>
      </c>
      <c r="E1240" s="101"/>
      <c r="F1240" s="101"/>
      <c r="G1240" s="101"/>
      <c r="H1240" s="473" t="s">
        <v>135</v>
      </c>
      <c r="I1240" s="474"/>
      <c r="J1240" s="541"/>
      <c r="K1240" s="90" t="str">
        <f>IFNA(VLOOKUP(D1240,'EAN Codes'!A:C,2,False),"")</f>
        <v/>
      </c>
      <c r="L1240" s="101"/>
      <c r="M1240" s="476" t="b">
        <v>0</v>
      </c>
      <c r="N1240" s="477" t="b">
        <v>0</v>
      </c>
      <c r="O1240" s="477" t="b">
        <v>0</v>
      </c>
      <c r="P1240" s="477" t="b">
        <v>0</v>
      </c>
      <c r="Q1240" s="477" t="b">
        <v>0</v>
      </c>
      <c r="R1240" s="539"/>
      <c r="S1240" s="540"/>
      <c r="T1240" s="505">
        <v>307833.0</v>
      </c>
      <c r="U1240" s="481" t="b">
        <v>1</v>
      </c>
      <c r="Z1240" t="b">
        <v>0</v>
      </c>
      <c r="AA1240" t="b">
        <v>0</v>
      </c>
    </row>
    <row r="1241" hidden="1">
      <c r="A1241" s="6">
        <v>1.0</v>
      </c>
      <c r="B1241" s="99" t="s">
        <v>8277</v>
      </c>
      <c r="C1241" s="99" t="s">
        <v>408</v>
      </c>
      <c r="D1241" s="100" t="s">
        <v>8350</v>
      </c>
      <c r="E1241" s="82"/>
      <c r="F1241" s="82"/>
      <c r="G1241" s="82"/>
      <c r="H1241" s="473" t="s">
        <v>135</v>
      </c>
      <c r="I1241" s="474"/>
      <c r="J1241" s="542"/>
      <c r="K1241" s="90" t="str">
        <f>IFNA(VLOOKUP(D1241,'EAN Codes'!A:C,2,False),"")</f>
        <v/>
      </c>
      <c r="L1241" s="101"/>
      <c r="M1241" s="476" t="b">
        <v>0</v>
      </c>
      <c r="N1241" s="477" t="b">
        <v>0</v>
      </c>
      <c r="O1241" s="477" t="b">
        <v>0</v>
      </c>
      <c r="P1241" s="477" t="b">
        <v>0</v>
      </c>
      <c r="Q1241" s="477" t="b">
        <v>0</v>
      </c>
      <c r="R1241" s="539"/>
      <c r="S1241" s="540"/>
      <c r="T1241" s="480">
        <v>369424.0</v>
      </c>
      <c r="U1241" s="481" t="b">
        <v>1</v>
      </c>
      <c r="Z1241" t="b">
        <v>0</v>
      </c>
      <c r="AA1241" t="b">
        <v>0</v>
      </c>
    </row>
    <row r="1242" hidden="1">
      <c r="A1242" s="6">
        <v>1.0</v>
      </c>
      <c r="B1242" s="6" t="s">
        <v>8277</v>
      </c>
      <c r="C1242" s="6" t="s">
        <v>408</v>
      </c>
      <c r="D1242" s="127" t="s">
        <v>8352</v>
      </c>
      <c r="H1242" s="473" t="s">
        <v>135</v>
      </c>
      <c r="I1242" s="474"/>
      <c r="J1242" s="475"/>
      <c r="K1242" s="275" t="str">
        <f>IFNA(VLOOKUP(D1242,'EAN Codes'!A:C,2,False),"")</f>
        <v/>
      </c>
      <c r="L1242" s="82"/>
      <c r="M1242" s="476" t="b">
        <v>0</v>
      </c>
      <c r="N1242" s="477" t="b">
        <v>0</v>
      </c>
      <c r="O1242" s="477" t="b">
        <v>0</v>
      </c>
      <c r="P1242" s="477" t="b">
        <v>0</v>
      </c>
      <c r="Q1242" s="477" t="b">
        <v>0</v>
      </c>
      <c r="R1242" s="539"/>
      <c r="S1242" s="540"/>
      <c r="T1242" s="480">
        <v>369830.0</v>
      </c>
      <c r="U1242" s="481" t="b">
        <v>1</v>
      </c>
      <c r="Z1242" t="b">
        <v>0</v>
      </c>
      <c r="AA1242" t="b">
        <v>0</v>
      </c>
    </row>
    <row r="1243" hidden="1">
      <c r="A1243" s="101"/>
      <c r="B1243" s="99" t="s">
        <v>8277</v>
      </c>
      <c r="C1243" s="99" t="s">
        <v>408</v>
      </c>
      <c r="D1243" s="100" t="s">
        <v>8354</v>
      </c>
      <c r="E1243" s="101"/>
      <c r="F1243" s="101"/>
      <c r="G1243" s="101"/>
      <c r="H1243" s="99" t="s">
        <v>135</v>
      </c>
      <c r="I1243" s="101"/>
      <c r="J1243" s="110"/>
      <c r="K1243" s="107" t="str">
        <f>IFNA(VLOOKUP(D1243,'EAN Codes'!A:C,2,False),"")</f>
        <v/>
      </c>
      <c r="L1243" s="101"/>
      <c r="M1243" s="119"/>
      <c r="N1243" s="99"/>
      <c r="O1243" s="99"/>
      <c r="P1243" s="99"/>
      <c r="Q1243" s="99"/>
      <c r="R1243" s="101"/>
      <c r="S1243" s="110"/>
      <c r="T1243" s="99" t="s">
        <v>8355</v>
      </c>
      <c r="U1243" s="104" t="b">
        <v>1</v>
      </c>
      <c r="V1243" s="101"/>
      <c r="W1243" s="101"/>
      <c r="X1243" s="101"/>
      <c r="Y1243" s="101"/>
      <c r="Z1243" s="101" t="b">
        <v>0</v>
      </c>
      <c r="AA1243" t="b">
        <v>0</v>
      </c>
      <c r="AB1243" s="101"/>
      <c r="AC1243" s="101"/>
      <c r="AD1243" s="101"/>
      <c r="AE1243" s="101"/>
    </row>
    <row r="1244" hidden="1">
      <c r="A1244" s="6">
        <v>1.0</v>
      </c>
      <c r="B1244" s="6" t="s">
        <v>8277</v>
      </c>
      <c r="C1244" s="6" t="s">
        <v>408</v>
      </c>
      <c r="D1244" s="127" t="s">
        <v>8354</v>
      </c>
      <c r="H1244" s="473" t="s">
        <v>135</v>
      </c>
      <c r="I1244" s="474"/>
      <c r="J1244" s="536"/>
      <c r="K1244" s="275" t="str">
        <f>IFNA(VLOOKUP(D1244,'EAN Codes'!A:C,2,False),"")</f>
        <v/>
      </c>
      <c r="L1244" s="82"/>
      <c r="M1244" s="476" t="b">
        <v>0</v>
      </c>
      <c r="N1244" s="477" t="b">
        <v>0</v>
      </c>
      <c r="O1244" s="477" t="b">
        <v>0</v>
      </c>
      <c r="P1244" s="477" t="b">
        <v>0</v>
      </c>
      <c r="Q1244" s="477" t="b">
        <v>0</v>
      </c>
      <c r="R1244" s="539"/>
      <c r="S1244" s="540"/>
      <c r="T1244" s="480">
        <v>308176.0</v>
      </c>
      <c r="U1244" s="481" t="b">
        <v>1</v>
      </c>
      <c r="Z1244" t="b">
        <v>0</v>
      </c>
      <c r="AA1244" t="b">
        <v>0</v>
      </c>
    </row>
    <row r="1245">
      <c r="A1245" s="6">
        <v>1.0</v>
      </c>
      <c r="B1245" s="6" t="s">
        <v>241</v>
      </c>
      <c r="C1245" s="6" t="s">
        <v>342</v>
      </c>
      <c r="D1245" s="127" t="s">
        <v>3737</v>
      </c>
      <c r="E1245" s="6" t="s">
        <v>2639</v>
      </c>
      <c r="F1245" s="6" t="s">
        <v>6753</v>
      </c>
      <c r="H1245" s="473" t="s">
        <v>255</v>
      </c>
      <c r="I1245" s="473" t="s">
        <v>8356</v>
      </c>
      <c r="J1245" s="475"/>
      <c r="K1245" s="275" t="str">
        <f>IFNA(VLOOKUP(D1245,'EAN Codes'!A:C,2,False),"")</f>
        <v>5907615808548</v>
      </c>
      <c r="L1245" s="82"/>
      <c r="M1245" s="476" t="b">
        <v>0</v>
      </c>
      <c r="N1245" s="477" t="b">
        <v>0</v>
      </c>
      <c r="O1245" s="477" t="b">
        <v>0</v>
      </c>
      <c r="P1245" s="477" t="b">
        <v>0</v>
      </c>
      <c r="Q1245" s="477" t="b">
        <v>0</v>
      </c>
      <c r="R1245" s="539"/>
      <c r="S1245" s="540"/>
      <c r="T1245" s="543"/>
      <c r="U1245" s="514" t="b">
        <v>0</v>
      </c>
      <c r="Z1245" s="6" t="b">
        <v>1</v>
      </c>
      <c r="AA1245" s="6" t="b">
        <v>0</v>
      </c>
      <c r="AC1245" s="82"/>
      <c r="AD1245" t="str">
        <f>IFNA(IFS(U1245=False,D1245),"")</f>
        <v>K-057</v>
      </c>
      <c r="AE1245" t="str">
        <f>IFNA(IFS(U1245=false,H1245),"")</f>
        <v>Järfälla</v>
      </c>
    </row>
    <row r="1246" hidden="1">
      <c r="A1246" s="6">
        <v>1.0</v>
      </c>
      <c r="B1246" s="99" t="s">
        <v>8277</v>
      </c>
      <c r="C1246" s="99" t="s">
        <v>408</v>
      </c>
      <c r="D1246" s="100" t="s">
        <v>8357</v>
      </c>
      <c r="E1246" s="101"/>
      <c r="F1246" s="101"/>
      <c r="G1246" s="101"/>
      <c r="H1246" s="487" t="s">
        <v>135</v>
      </c>
      <c r="I1246" s="474"/>
      <c r="J1246" s="536"/>
      <c r="K1246" s="275" t="str">
        <f>IFNA(VLOOKUP(D1246,'EAN Codes'!A:C,2,False),"")</f>
        <v/>
      </c>
      <c r="L1246" s="82"/>
      <c r="M1246" s="476" t="b">
        <v>0</v>
      </c>
      <c r="N1246" s="477" t="b">
        <v>0</v>
      </c>
      <c r="O1246" s="477" t="b">
        <v>0</v>
      </c>
      <c r="P1246" s="477" t="b">
        <v>0</v>
      </c>
      <c r="Q1246" s="477" t="b">
        <v>0</v>
      </c>
      <c r="R1246" s="539"/>
      <c r="S1246" s="540"/>
      <c r="T1246" s="480">
        <v>308028.0</v>
      </c>
      <c r="U1246" s="481" t="b">
        <v>1</v>
      </c>
      <c r="Z1246" t="b">
        <v>0</v>
      </c>
      <c r="AA1246" t="b">
        <v>0</v>
      </c>
    </row>
    <row r="1247" hidden="1">
      <c r="A1247" s="6">
        <v>1.0</v>
      </c>
      <c r="B1247" s="99" t="s">
        <v>8277</v>
      </c>
      <c r="C1247" s="99" t="s">
        <v>408</v>
      </c>
      <c r="D1247" s="100" t="s">
        <v>8358</v>
      </c>
      <c r="E1247" s="101"/>
      <c r="F1247" s="101"/>
      <c r="G1247" s="101"/>
      <c r="H1247" s="99" t="s">
        <v>135</v>
      </c>
      <c r="J1247" s="60"/>
      <c r="K1247" s="66" t="str">
        <f>IFNA(VLOOKUP(D1247,'EAN Codes'!A:C,2,False),"")</f>
        <v/>
      </c>
      <c r="L1247" s="82"/>
      <c r="M1247" s="83"/>
      <c r="N1247" s="6"/>
      <c r="O1247" s="6"/>
      <c r="P1247" s="6"/>
      <c r="Q1247" s="6"/>
      <c r="S1247" s="60"/>
      <c r="T1247" s="6">
        <v>307671.0</v>
      </c>
      <c r="U1247" s="146" t="b">
        <v>1</v>
      </c>
      <c r="Z1247" t="b">
        <v>0</v>
      </c>
      <c r="AA1247" t="b">
        <v>0</v>
      </c>
    </row>
    <row r="1248" hidden="1">
      <c r="A1248" s="6">
        <v>1.0</v>
      </c>
      <c r="B1248" s="99" t="s">
        <v>8277</v>
      </c>
      <c r="C1248" s="99" t="s">
        <v>408</v>
      </c>
      <c r="D1248" s="100" t="s">
        <v>8359</v>
      </c>
      <c r="H1248" s="473" t="s">
        <v>135</v>
      </c>
      <c r="I1248" s="474"/>
      <c r="J1248" s="475"/>
      <c r="K1248" s="275" t="str">
        <f>IFNA(VLOOKUP(D1248,'EAN Codes'!A:C,2,False),"")</f>
        <v/>
      </c>
      <c r="L1248" s="82"/>
      <c r="M1248" s="476" t="b">
        <v>0</v>
      </c>
      <c r="N1248" s="477" t="b">
        <v>0</v>
      </c>
      <c r="O1248" s="477" t="b">
        <v>0</v>
      </c>
      <c r="P1248" s="477" t="b">
        <v>0</v>
      </c>
      <c r="Q1248" s="477" t="b">
        <v>0</v>
      </c>
      <c r="R1248" s="539"/>
      <c r="S1248" s="540"/>
      <c r="T1248" s="480">
        <v>308353.0</v>
      </c>
      <c r="U1248" s="481" t="b">
        <v>1</v>
      </c>
      <c r="Z1248" t="b">
        <v>0</v>
      </c>
      <c r="AA1248" t="b">
        <v>0</v>
      </c>
    </row>
    <row r="1249" hidden="1">
      <c r="A1249" s="6">
        <v>1.0</v>
      </c>
      <c r="B1249" s="99" t="s">
        <v>8277</v>
      </c>
      <c r="C1249" s="99" t="s">
        <v>408</v>
      </c>
      <c r="D1249" s="100" t="s">
        <v>8360</v>
      </c>
      <c r="H1249" s="473" t="s">
        <v>135</v>
      </c>
      <c r="I1249" s="474"/>
      <c r="J1249" s="475"/>
      <c r="K1249" s="275" t="str">
        <f>IFNA(VLOOKUP(D1249,'EAN Codes'!A:C,2,False),"")</f>
        <v/>
      </c>
      <c r="L1249" s="82"/>
      <c r="M1249" s="476" t="b">
        <v>0</v>
      </c>
      <c r="N1249" s="477" t="b">
        <v>0</v>
      </c>
      <c r="O1249" s="477" t="b">
        <v>0</v>
      </c>
      <c r="P1249" s="477" t="b">
        <v>0</v>
      </c>
      <c r="Q1249" s="477" t="b">
        <v>0</v>
      </c>
      <c r="R1249" s="539"/>
      <c r="S1249" s="540"/>
      <c r="T1249" s="480">
        <v>369602.0</v>
      </c>
      <c r="U1249" s="481" t="b">
        <v>1</v>
      </c>
      <c r="Z1249" t="b">
        <v>0</v>
      </c>
      <c r="AA1249" t="b">
        <v>0</v>
      </c>
    </row>
    <row r="1250" hidden="1">
      <c r="A1250" s="6">
        <v>1.0</v>
      </c>
      <c r="B1250" s="6" t="s">
        <v>241</v>
      </c>
      <c r="C1250" s="6" t="s">
        <v>342</v>
      </c>
      <c r="D1250" s="127" t="s">
        <v>4804</v>
      </c>
      <c r="F1250" s="6" t="s">
        <v>7592</v>
      </c>
      <c r="H1250" s="500" t="s">
        <v>717</v>
      </c>
      <c r="I1250" s="473" t="s">
        <v>8361</v>
      </c>
      <c r="J1250" s="508"/>
      <c r="K1250" s="275" t="str">
        <f>IFNA(VLOOKUP(D1250,'EAN Codes'!A:C,2,False),"")</f>
        <v>5907615824265</v>
      </c>
      <c r="L1250" s="82"/>
      <c r="M1250" s="476" t="b">
        <v>0</v>
      </c>
      <c r="N1250" s="497" t="b">
        <v>1</v>
      </c>
      <c r="O1250" s="477" t="b">
        <v>0</v>
      </c>
      <c r="P1250" s="477" t="b">
        <v>0</v>
      </c>
      <c r="Q1250" s="477" t="b">
        <v>0</v>
      </c>
      <c r="R1250" s="478"/>
      <c r="S1250" s="479"/>
      <c r="T1250" s="480"/>
      <c r="U1250" s="481" t="b">
        <v>1</v>
      </c>
      <c r="V1250" s="6" t="s">
        <v>8362</v>
      </c>
      <c r="Z1250" t="b">
        <v>0</v>
      </c>
      <c r="AA1250" t="b">
        <v>0</v>
      </c>
    </row>
    <row r="1251" hidden="1">
      <c r="A1251" s="6">
        <v>1.0</v>
      </c>
      <c r="B1251" s="86" t="s">
        <v>181</v>
      </c>
      <c r="C1251" s="86" t="s">
        <v>8363</v>
      </c>
      <c r="D1251" s="87" t="s">
        <v>8364</v>
      </c>
      <c r="E1251" s="91"/>
      <c r="F1251" s="86" t="s">
        <v>8365</v>
      </c>
      <c r="G1251" s="115"/>
      <c r="H1251" s="160"/>
      <c r="I1251" s="473" t="s">
        <v>8361</v>
      </c>
      <c r="J1251" s="508" t="s">
        <v>8366</v>
      </c>
      <c r="K1251" s="275" t="str">
        <f>IFNA(VLOOKUP(D1251,'EAN Codes'!A:C,2,False),"")</f>
        <v/>
      </c>
      <c r="L1251" s="82"/>
      <c r="M1251" s="476" t="b">
        <v>0</v>
      </c>
      <c r="N1251" s="497" t="b">
        <v>1</v>
      </c>
      <c r="O1251" s="477" t="b">
        <v>0</v>
      </c>
      <c r="P1251" s="477" t="b">
        <v>0</v>
      </c>
      <c r="Q1251" s="477" t="b">
        <v>0</v>
      </c>
      <c r="R1251" s="478"/>
      <c r="S1251" s="479"/>
      <c r="T1251" s="480"/>
      <c r="U1251" s="481" t="b">
        <v>1</v>
      </c>
      <c r="V1251" s="6" t="s">
        <v>8362</v>
      </c>
      <c r="Z1251" t="b">
        <v>0</v>
      </c>
      <c r="AA1251" t="b">
        <v>0</v>
      </c>
    </row>
    <row r="1252" hidden="1">
      <c r="A1252" s="101"/>
      <c r="B1252" s="99" t="s">
        <v>8277</v>
      </c>
      <c r="C1252" s="99" t="s">
        <v>7548</v>
      </c>
      <c r="D1252" s="100" t="s">
        <v>8367</v>
      </c>
      <c r="E1252" s="101"/>
      <c r="F1252" s="101"/>
      <c r="G1252" s="101"/>
      <c r="H1252" s="99" t="s">
        <v>135</v>
      </c>
      <c r="I1252" s="101"/>
      <c r="J1252" s="110"/>
      <c r="K1252" s="107" t="str">
        <f>IFNA(VLOOKUP(D1252,'EAN Codes'!A:C,2,False),"")</f>
        <v/>
      </c>
      <c r="L1252" s="101"/>
      <c r="M1252" s="119"/>
      <c r="N1252" s="99"/>
      <c r="O1252" s="99"/>
      <c r="P1252" s="99"/>
      <c r="Q1252" s="99"/>
      <c r="R1252" s="101"/>
      <c r="S1252" s="110"/>
      <c r="T1252" s="99" t="s">
        <v>8368</v>
      </c>
      <c r="U1252" s="104" t="b">
        <v>1</v>
      </c>
      <c r="V1252" s="101"/>
      <c r="W1252" s="101"/>
      <c r="X1252" s="101"/>
      <c r="Y1252" s="101"/>
      <c r="Z1252" s="101" t="b">
        <v>0</v>
      </c>
      <c r="AA1252" t="b">
        <v>0</v>
      </c>
      <c r="AB1252" s="101"/>
      <c r="AC1252" s="101"/>
      <c r="AD1252" s="101"/>
      <c r="AE1252" s="101"/>
    </row>
    <row r="1253" hidden="1">
      <c r="A1253" s="6">
        <v>1.0</v>
      </c>
      <c r="B1253" s="99" t="s">
        <v>8277</v>
      </c>
      <c r="C1253" s="99" t="s">
        <v>7548</v>
      </c>
      <c r="D1253" s="100" t="s">
        <v>8369</v>
      </c>
      <c r="H1253" s="473" t="s">
        <v>135</v>
      </c>
      <c r="I1253" s="474"/>
      <c r="J1253" s="536"/>
      <c r="K1253" s="275" t="str">
        <f>IFNA(VLOOKUP(D1253,'EAN Codes'!A:C,2,False),"")</f>
        <v/>
      </c>
      <c r="L1253" s="82"/>
      <c r="M1253" s="476" t="b">
        <v>0</v>
      </c>
      <c r="N1253" s="477" t="b">
        <v>0</v>
      </c>
      <c r="O1253" s="477" t="b">
        <v>0</v>
      </c>
      <c r="P1253" s="477" t="b">
        <v>0</v>
      </c>
      <c r="Q1253" s="477" t="b">
        <v>0</v>
      </c>
      <c r="R1253" s="539"/>
      <c r="S1253" s="540"/>
      <c r="T1253" s="480">
        <v>307933.0</v>
      </c>
      <c r="U1253" s="481" t="b">
        <v>1</v>
      </c>
      <c r="Z1253" t="b">
        <v>0</v>
      </c>
      <c r="AA1253" t="b">
        <v>0</v>
      </c>
    </row>
    <row r="1254" hidden="1">
      <c r="A1254" s="6">
        <v>1.0</v>
      </c>
      <c r="B1254" s="99" t="s">
        <v>8277</v>
      </c>
      <c r="C1254" s="99" t="s">
        <v>7548</v>
      </c>
      <c r="D1254" s="100" t="s">
        <v>8370</v>
      </c>
      <c r="E1254" s="101"/>
      <c r="F1254" s="101"/>
      <c r="G1254" s="101"/>
      <c r="H1254" s="487" t="s">
        <v>135</v>
      </c>
      <c r="I1254" s="474"/>
      <c r="J1254" s="536"/>
      <c r="K1254" s="275" t="str">
        <f>IFNA(VLOOKUP(D1254,'EAN Codes'!A:C,2,False),"")</f>
        <v/>
      </c>
      <c r="L1254" s="82"/>
      <c r="M1254" s="476" t="b">
        <v>0</v>
      </c>
      <c r="N1254" s="477" t="b">
        <v>0</v>
      </c>
      <c r="O1254" s="477" t="b">
        <v>0</v>
      </c>
      <c r="P1254" s="477" t="b">
        <v>0</v>
      </c>
      <c r="Q1254" s="477" t="b">
        <v>0</v>
      </c>
      <c r="R1254" s="539"/>
      <c r="S1254" s="540"/>
      <c r="T1254" s="480">
        <v>308023.0</v>
      </c>
      <c r="U1254" s="481" t="b">
        <v>1</v>
      </c>
      <c r="Z1254" t="b">
        <v>0</v>
      </c>
      <c r="AA1254" t="b">
        <v>0</v>
      </c>
    </row>
    <row r="1255" hidden="1">
      <c r="A1255" s="99">
        <v>1.0</v>
      </c>
      <c r="B1255" s="99" t="s">
        <v>8277</v>
      </c>
      <c r="C1255" s="99" t="s">
        <v>7548</v>
      </c>
      <c r="D1255" s="100" t="s">
        <v>8371</v>
      </c>
      <c r="E1255" s="101"/>
      <c r="F1255" s="101"/>
      <c r="G1255" s="101"/>
      <c r="H1255" s="473" t="s">
        <v>135</v>
      </c>
      <c r="I1255" s="474"/>
      <c r="J1255" s="541"/>
      <c r="K1255" s="90" t="str">
        <f>IFNA(VLOOKUP(D1255,'EAN Codes'!A:C,2,False),"")</f>
        <v/>
      </c>
      <c r="L1255" s="101"/>
      <c r="M1255" s="476" t="b">
        <v>0</v>
      </c>
      <c r="N1255" s="477" t="b">
        <v>0</v>
      </c>
      <c r="O1255" s="477" t="b">
        <v>0</v>
      </c>
      <c r="P1255" s="477" t="b">
        <v>0</v>
      </c>
      <c r="Q1255" s="477" t="b">
        <v>0</v>
      </c>
      <c r="R1255" s="544"/>
      <c r="S1255" s="545"/>
      <c r="T1255" s="505">
        <v>307768.0</v>
      </c>
      <c r="U1255" s="481" t="b">
        <v>1</v>
      </c>
      <c r="V1255" s="101"/>
      <c r="W1255" s="101"/>
      <c r="X1255" s="101"/>
      <c r="Y1255" s="101"/>
      <c r="Z1255" s="101" t="b">
        <v>0</v>
      </c>
      <c r="AA1255" t="b">
        <v>0</v>
      </c>
      <c r="AB1255" s="101"/>
      <c r="AC1255" s="101"/>
      <c r="AD1255" s="101"/>
      <c r="AE1255" s="101"/>
    </row>
    <row r="1256" hidden="1">
      <c r="A1256" s="101"/>
      <c r="B1256" s="99" t="s">
        <v>8277</v>
      </c>
      <c r="C1256" s="99" t="s">
        <v>408</v>
      </c>
      <c r="D1256" s="100" t="s">
        <v>8372</v>
      </c>
      <c r="E1256" s="101"/>
      <c r="F1256" s="101"/>
      <c r="G1256" s="101"/>
      <c r="H1256" s="99" t="s">
        <v>135</v>
      </c>
      <c r="I1256" s="101"/>
      <c r="J1256" s="110"/>
      <c r="K1256" s="107" t="str">
        <f>IFNA(VLOOKUP(D1256,'EAN Codes'!A:C,2,False),"")</f>
        <v/>
      </c>
      <c r="L1256" s="101"/>
      <c r="M1256" s="119"/>
      <c r="N1256" s="99"/>
      <c r="O1256" s="99"/>
      <c r="P1256" s="99"/>
      <c r="Q1256" s="99"/>
      <c r="S1256" s="60"/>
      <c r="T1256" s="99">
        <v>307367.0</v>
      </c>
      <c r="U1256" s="104" t="b">
        <v>1</v>
      </c>
      <c r="Z1256" t="b">
        <v>0</v>
      </c>
      <c r="AA1256" t="b">
        <v>0</v>
      </c>
    </row>
    <row r="1257" hidden="1">
      <c r="A1257" s="142"/>
      <c r="B1257" s="21" t="s">
        <v>8277</v>
      </c>
      <c r="C1257" s="546" t="s">
        <v>7548</v>
      </c>
      <c r="D1257" s="547" t="s">
        <v>8372</v>
      </c>
      <c r="E1257" s="142"/>
      <c r="F1257" s="142"/>
      <c r="G1257" s="142"/>
      <c r="H1257" s="21" t="s">
        <v>135</v>
      </c>
      <c r="I1257" s="142"/>
      <c r="J1257" s="548"/>
      <c r="K1257" s="549" t="str">
        <f>IFNA(VLOOKUP(D1257,'EAN Codes'!A:C,2,False),"")</f>
        <v/>
      </c>
      <c r="L1257" s="550"/>
      <c r="M1257" s="551"/>
      <c r="N1257" s="21"/>
      <c r="O1257" s="21"/>
      <c r="P1257" s="21"/>
      <c r="Q1257" s="21"/>
      <c r="S1257" s="60"/>
      <c r="T1257" s="21">
        <v>307405.0</v>
      </c>
      <c r="U1257" s="552" t="b">
        <v>1</v>
      </c>
      <c r="Z1257" t="b">
        <v>0</v>
      </c>
      <c r="AA1257" t="b">
        <v>0</v>
      </c>
    </row>
    <row r="1258" hidden="1">
      <c r="A1258" s="101"/>
      <c r="B1258" s="99" t="s">
        <v>8277</v>
      </c>
      <c r="C1258" s="99" t="s">
        <v>7548</v>
      </c>
      <c r="D1258" s="100" t="s">
        <v>8373</v>
      </c>
      <c r="E1258" s="101"/>
      <c r="F1258" s="101"/>
      <c r="G1258" s="101"/>
      <c r="H1258" s="99" t="s">
        <v>135</v>
      </c>
      <c r="I1258" s="101"/>
      <c r="J1258" s="110"/>
      <c r="K1258" s="107" t="str">
        <f>IFNA(VLOOKUP(D1258,'EAN Codes'!A:C,2,False),"")</f>
        <v/>
      </c>
      <c r="L1258" s="99"/>
      <c r="M1258" s="119"/>
      <c r="N1258" s="99"/>
      <c r="O1258" s="99"/>
      <c r="P1258" s="99"/>
      <c r="Q1258" s="99"/>
      <c r="R1258" s="101"/>
      <c r="S1258" s="110"/>
      <c r="T1258" s="99">
        <v>307166.0</v>
      </c>
      <c r="U1258" s="104" t="b">
        <v>1</v>
      </c>
      <c r="V1258" s="101"/>
      <c r="W1258" s="101"/>
      <c r="X1258" s="101"/>
      <c r="Y1258" s="101"/>
      <c r="Z1258" s="101" t="b">
        <v>0</v>
      </c>
      <c r="AA1258" t="b">
        <v>0</v>
      </c>
      <c r="AB1258" s="101"/>
      <c r="AC1258" s="101"/>
      <c r="AD1258" s="101"/>
      <c r="AE1258" s="101"/>
    </row>
    <row r="1259" hidden="1">
      <c r="A1259" s="6">
        <v>1.0</v>
      </c>
      <c r="B1259" s="99" t="s">
        <v>8277</v>
      </c>
      <c r="C1259" s="99" t="s">
        <v>7548</v>
      </c>
      <c r="D1259" s="100" t="s">
        <v>8374</v>
      </c>
      <c r="E1259" s="101"/>
      <c r="F1259" s="101"/>
      <c r="G1259" s="101"/>
      <c r="H1259" s="99" t="s">
        <v>135</v>
      </c>
      <c r="I1259" s="101"/>
      <c r="J1259" s="110"/>
      <c r="K1259" s="107" t="str">
        <f>IFNA(VLOOKUP(D1259,'EAN Codes'!A:C,2,False),"")</f>
        <v/>
      </c>
      <c r="L1259" s="101"/>
      <c r="M1259" s="83"/>
      <c r="N1259" s="6"/>
      <c r="O1259" s="6"/>
      <c r="P1259" s="6"/>
      <c r="Q1259" s="6"/>
      <c r="S1259" s="60"/>
      <c r="T1259" s="6">
        <v>307632.0</v>
      </c>
      <c r="U1259" s="146" t="b">
        <v>1</v>
      </c>
      <c r="Z1259" t="b">
        <v>0</v>
      </c>
      <c r="AA1259" t="b">
        <v>0</v>
      </c>
    </row>
    <row r="1260" hidden="1">
      <c r="A1260" s="101"/>
      <c r="B1260" s="99" t="s">
        <v>8277</v>
      </c>
      <c r="C1260" s="99" t="s">
        <v>7548</v>
      </c>
      <c r="D1260" s="100" t="s">
        <v>8375</v>
      </c>
      <c r="E1260" s="101"/>
      <c r="F1260" s="101"/>
      <c r="G1260" s="101"/>
      <c r="H1260" s="99" t="s">
        <v>135</v>
      </c>
      <c r="I1260" s="101"/>
      <c r="J1260" s="110"/>
      <c r="K1260" s="107" t="str">
        <f>IFNA(VLOOKUP(D1260,'EAN Codes'!A:C,2,False),"")</f>
        <v/>
      </c>
      <c r="L1260" s="101"/>
      <c r="M1260" s="119"/>
      <c r="N1260" s="99"/>
      <c r="O1260" s="99"/>
      <c r="P1260" s="99"/>
      <c r="Q1260" s="99"/>
      <c r="S1260" s="60"/>
      <c r="T1260" s="99">
        <v>307443.0</v>
      </c>
      <c r="U1260" s="104" t="b">
        <v>1</v>
      </c>
      <c r="Z1260" t="b">
        <v>0</v>
      </c>
      <c r="AA1260" t="b">
        <v>0</v>
      </c>
    </row>
    <row r="1261" hidden="1">
      <c r="A1261" s="6">
        <v>1.0</v>
      </c>
      <c r="B1261" s="99" t="s">
        <v>8277</v>
      </c>
      <c r="C1261" s="99" t="s">
        <v>7548</v>
      </c>
      <c r="D1261" s="100" t="s">
        <v>8377</v>
      </c>
      <c r="E1261" s="101"/>
      <c r="F1261" s="101"/>
      <c r="G1261" s="101"/>
      <c r="H1261" s="99" t="s">
        <v>135</v>
      </c>
      <c r="I1261" s="101"/>
      <c r="J1261" s="110"/>
      <c r="K1261" s="107" t="str">
        <f>IFNA(VLOOKUP(D1261,'EAN Codes'!A:C,2,False),"")</f>
        <v/>
      </c>
      <c r="L1261" s="101"/>
      <c r="M1261" s="119"/>
      <c r="N1261" s="99"/>
      <c r="O1261" s="99"/>
      <c r="P1261" s="99"/>
      <c r="Q1261" s="99"/>
      <c r="R1261" s="101"/>
      <c r="S1261" s="110"/>
      <c r="T1261" s="99">
        <v>307707.0</v>
      </c>
      <c r="U1261" s="104" t="b">
        <v>1</v>
      </c>
      <c r="V1261" s="101"/>
      <c r="W1261" s="101"/>
      <c r="X1261" s="101"/>
      <c r="Y1261" s="101"/>
      <c r="Z1261" s="101" t="b">
        <v>0</v>
      </c>
      <c r="AA1261" t="b">
        <v>0</v>
      </c>
      <c r="AB1261" s="101"/>
      <c r="AC1261" s="101"/>
      <c r="AD1261" s="101"/>
      <c r="AE1261" s="101"/>
    </row>
    <row r="1262" hidden="1">
      <c r="A1262" s="6">
        <v>1.0</v>
      </c>
      <c r="B1262" s="99" t="s">
        <v>8277</v>
      </c>
      <c r="C1262" s="99" t="s">
        <v>7548</v>
      </c>
      <c r="D1262" s="100" t="s">
        <v>8369</v>
      </c>
      <c r="E1262" s="101"/>
      <c r="F1262" s="101"/>
      <c r="G1262" s="101"/>
      <c r="H1262" s="487" t="s">
        <v>135</v>
      </c>
      <c r="I1262" s="474"/>
      <c r="J1262" s="536"/>
      <c r="K1262" s="275" t="str">
        <f>IFNA(VLOOKUP(D1262,'EAN Codes'!A:C,2,False),"")</f>
        <v/>
      </c>
      <c r="L1262" s="82"/>
      <c r="M1262" s="476" t="b">
        <v>0</v>
      </c>
      <c r="N1262" s="477" t="b">
        <v>0</v>
      </c>
      <c r="O1262" s="477" t="b">
        <v>0</v>
      </c>
      <c r="P1262" s="477" t="b">
        <v>0</v>
      </c>
      <c r="Q1262" s="477" t="b">
        <v>0</v>
      </c>
      <c r="R1262" s="539"/>
      <c r="S1262" s="540"/>
      <c r="T1262" s="480" t="s">
        <v>8378</v>
      </c>
      <c r="U1262" s="481" t="b">
        <v>1</v>
      </c>
      <c r="Z1262" t="b">
        <v>0</v>
      </c>
      <c r="AA1262" t="b">
        <v>0</v>
      </c>
    </row>
    <row r="1263" hidden="1">
      <c r="A1263" s="101"/>
      <c r="B1263" s="99" t="s">
        <v>8277</v>
      </c>
      <c r="C1263" s="99" t="s">
        <v>7548</v>
      </c>
      <c r="D1263" s="100" t="s">
        <v>8370</v>
      </c>
      <c r="E1263" s="101"/>
      <c r="F1263" s="101"/>
      <c r="G1263" s="101"/>
      <c r="H1263" s="99" t="s">
        <v>135</v>
      </c>
      <c r="I1263" s="101"/>
      <c r="J1263" s="110"/>
      <c r="K1263" s="107" t="str">
        <f>IFNA(VLOOKUP(D1263,'EAN Codes'!A:C,2,False),"")</f>
        <v/>
      </c>
      <c r="L1263" s="101"/>
      <c r="M1263" s="119"/>
      <c r="N1263" s="99"/>
      <c r="O1263" s="99"/>
      <c r="P1263" s="99"/>
      <c r="Q1263" s="99"/>
      <c r="R1263" s="101"/>
      <c r="S1263" s="110"/>
      <c r="T1263" s="99" t="s">
        <v>8379</v>
      </c>
      <c r="U1263" s="104" t="b">
        <v>1</v>
      </c>
      <c r="V1263" s="101"/>
      <c r="Z1263" t="b">
        <v>0</v>
      </c>
      <c r="AA1263" t="b">
        <v>0</v>
      </c>
    </row>
    <row r="1264" hidden="1">
      <c r="A1264" s="101"/>
      <c r="B1264" s="99" t="s">
        <v>8277</v>
      </c>
      <c r="C1264" s="99" t="s">
        <v>7548</v>
      </c>
      <c r="D1264" s="100" t="s">
        <v>8371</v>
      </c>
      <c r="E1264" s="101"/>
      <c r="F1264" s="101"/>
      <c r="G1264" s="101"/>
      <c r="H1264" s="99" t="s">
        <v>135</v>
      </c>
      <c r="I1264" s="101"/>
      <c r="J1264" s="110"/>
      <c r="K1264" s="107" t="str">
        <f>IFNA(VLOOKUP(D1264,'EAN Codes'!A:C,2,False),"")</f>
        <v/>
      </c>
      <c r="L1264" s="101"/>
      <c r="M1264" s="145"/>
      <c r="N1264" s="35"/>
      <c r="O1264" s="35"/>
      <c r="P1264" s="35"/>
      <c r="Q1264" s="35"/>
      <c r="R1264" s="101"/>
      <c r="S1264" s="110"/>
      <c r="T1264" s="35">
        <v>307524.0</v>
      </c>
      <c r="U1264" s="104" t="b">
        <v>1</v>
      </c>
      <c r="V1264" s="101"/>
      <c r="W1264" s="101"/>
      <c r="X1264" s="101"/>
      <c r="Y1264" s="101"/>
      <c r="Z1264" s="101" t="b">
        <v>0</v>
      </c>
      <c r="AA1264" t="b">
        <v>0</v>
      </c>
      <c r="AB1264" s="101"/>
      <c r="AC1264" s="101"/>
      <c r="AD1264" s="101"/>
      <c r="AE1264" s="101"/>
    </row>
    <row r="1265" hidden="1">
      <c r="A1265" s="101"/>
      <c r="B1265" s="99" t="s">
        <v>8277</v>
      </c>
      <c r="C1265" s="99" t="s">
        <v>7548</v>
      </c>
      <c r="D1265" s="100" t="s">
        <v>8372</v>
      </c>
      <c r="E1265" s="101"/>
      <c r="F1265" s="101"/>
      <c r="G1265" s="101"/>
      <c r="H1265" s="99" t="s">
        <v>135</v>
      </c>
      <c r="I1265" s="101"/>
      <c r="J1265" s="110"/>
      <c r="K1265" s="107" t="str">
        <f>IFNA(VLOOKUP(D1265,'EAN Codes'!A:C,2,False),"")</f>
        <v/>
      </c>
      <c r="L1265" s="101"/>
      <c r="M1265" s="119"/>
      <c r="N1265" s="99"/>
      <c r="O1265" s="99"/>
      <c r="P1265" s="99"/>
      <c r="Q1265" s="99"/>
      <c r="R1265" s="101"/>
      <c r="S1265" s="110"/>
      <c r="T1265" s="99">
        <v>307283.0</v>
      </c>
      <c r="U1265" s="104" t="b">
        <v>1</v>
      </c>
      <c r="V1265" s="101"/>
      <c r="W1265" s="101"/>
      <c r="X1265" s="101"/>
      <c r="Y1265" s="101"/>
      <c r="Z1265" s="101" t="b">
        <v>0</v>
      </c>
      <c r="AA1265" t="b">
        <v>0</v>
      </c>
      <c r="AB1265" s="101"/>
      <c r="AC1265" s="101"/>
      <c r="AD1265" s="101"/>
      <c r="AE1265" s="101"/>
    </row>
    <row r="1266" hidden="1">
      <c r="A1266" s="101"/>
      <c r="B1266" s="99" t="s">
        <v>8277</v>
      </c>
      <c r="C1266" s="99" t="s">
        <v>7548</v>
      </c>
      <c r="D1266" s="100" t="s">
        <v>8373</v>
      </c>
      <c r="E1266" s="101"/>
      <c r="F1266" s="101"/>
      <c r="G1266" s="101"/>
      <c r="H1266" s="99" t="s">
        <v>135</v>
      </c>
      <c r="I1266" s="101"/>
      <c r="J1266" s="110"/>
      <c r="K1266" s="107" t="str">
        <f>IFNA(VLOOKUP(D1266,'EAN Codes'!A:C,2,False),"")</f>
        <v/>
      </c>
      <c r="L1266" s="101"/>
      <c r="M1266" s="119"/>
      <c r="N1266" s="99"/>
      <c r="O1266" s="99"/>
      <c r="P1266" s="99"/>
      <c r="Q1266" s="99"/>
      <c r="R1266" s="101"/>
      <c r="S1266" s="110"/>
      <c r="T1266" s="99">
        <v>307300.0</v>
      </c>
      <c r="U1266" s="104" t="b">
        <v>1</v>
      </c>
      <c r="V1266" s="101"/>
      <c r="W1266" s="101"/>
      <c r="X1266" s="101"/>
      <c r="Y1266" s="101"/>
      <c r="Z1266" s="101" t="b">
        <v>0</v>
      </c>
      <c r="AA1266" t="b">
        <v>0</v>
      </c>
      <c r="AB1266" s="101"/>
      <c r="AC1266" s="101"/>
      <c r="AD1266" s="101"/>
      <c r="AE1266" s="101"/>
    </row>
    <row r="1267" hidden="1">
      <c r="B1267" s="6" t="s">
        <v>8277</v>
      </c>
      <c r="C1267" s="6" t="s">
        <v>7548</v>
      </c>
      <c r="D1267" s="127" t="s">
        <v>8380</v>
      </c>
      <c r="H1267" s="6" t="s">
        <v>135</v>
      </c>
      <c r="J1267" s="60"/>
      <c r="K1267" s="66" t="str">
        <f>IFNA(VLOOKUP(D1267,'EAN Codes'!A:C,2,False),"")</f>
        <v/>
      </c>
      <c r="L1267" s="82"/>
      <c r="M1267" s="67"/>
      <c r="S1267" s="60"/>
      <c r="U1267" s="93" t="b">
        <v>1</v>
      </c>
      <c r="Z1267" t="b">
        <v>0</v>
      </c>
      <c r="AA1267" t="b">
        <v>0</v>
      </c>
    </row>
    <row r="1268" hidden="1">
      <c r="A1268" s="101"/>
      <c r="B1268" s="99" t="s">
        <v>8277</v>
      </c>
      <c r="C1268" s="99" t="s">
        <v>7548</v>
      </c>
      <c r="D1268" s="100" t="s">
        <v>8374</v>
      </c>
      <c r="E1268" s="101"/>
      <c r="F1268" s="101"/>
      <c r="G1268" s="101"/>
      <c r="H1268" s="99" t="s">
        <v>135</v>
      </c>
      <c r="I1268" s="101"/>
      <c r="J1268" s="110"/>
      <c r="K1268" s="107" t="str">
        <f>IFNA(VLOOKUP(D1268,'EAN Codes'!A:C,2,False),"")</f>
        <v/>
      </c>
      <c r="L1268" s="101"/>
      <c r="M1268" s="119"/>
      <c r="N1268" s="99"/>
      <c r="O1268" s="99"/>
      <c r="P1268" s="99"/>
      <c r="Q1268" s="99"/>
      <c r="R1268" s="101"/>
      <c r="S1268" s="110"/>
      <c r="T1268" s="99">
        <v>307202.0</v>
      </c>
      <c r="U1268" s="104" t="b">
        <v>1</v>
      </c>
      <c r="V1268" s="101"/>
      <c r="W1268" s="101"/>
      <c r="X1268" s="101"/>
      <c r="Y1268" s="101"/>
      <c r="Z1268" s="101" t="b">
        <v>0</v>
      </c>
      <c r="AA1268" t="b">
        <v>0</v>
      </c>
      <c r="AB1268" s="101"/>
      <c r="AC1268" s="101"/>
      <c r="AD1268" s="101"/>
      <c r="AE1268" s="101"/>
    </row>
    <row r="1269" hidden="1">
      <c r="A1269" s="101"/>
      <c r="B1269" s="99" t="s">
        <v>8277</v>
      </c>
      <c r="C1269" s="99" t="s">
        <v>7548</v>
      </c>
      <c r="D1269" s="100" t="s">
        <v>8375</v>
      </c>
      <c r="E1269" s="101"/>
      <c r="F1269" s="101"/>
      <c r="G1269" s="101"/>
      <c r="H1269" s="99" t="s">
        <v>135</v>
      </c>
      <c r="I1269" s="101"/>
      <c r="J1269" s="110"/>
      <c r="K1269" s="107" t="str">
        <f>IFNA(VLOOKUP(D1269,'EAN Codes'!A:C,2,False),"")</f>
        <v/>
      </c>
      <c r="L1269" s="101"/>
      <c r="M1269" s="119"/>
      <c r="N1269" s="99"/>
      <c r="O1269" s="99"/>
      <c r="P1269" s="99"/>
      <c r="Q1269" s="99"/>
      <c r="R1269" s="101"/>
      <c r="S1269" s="110"/>
      <c r="T1269" s="99">
        <v>307365.0</v>
      </c>
      <c r="U1269" s="104" t="b">
        <v>1</v>
      </c>
      <c r="V1269" s="101"/>
      <c r="W1269" s="101"/>
      <c r="X1269" s="101"/>
      <c r="Y1269" s="101"/>
      <c r="Z1269" s="101" t="b">
        <v>0</v>
      </c>
      <c r="AA1269" t="b">
        <v>0</v>
      </c>
      <c r="AB1269" s="101"/>
      <c r="AC1269" s="101"/>
      <c r="AD1269" s="101"/>
      <c r="AE1269" s="101"/>
    </row>
    <row r="1270" hidden="1">
      <c r="B1270" s="6" t="s">
        <v>8277</v>
      </c>
      <c r="C1270" s="6" t="s">
        <v>7548</v>
      </c>
      <c r="D1270" s="127" t="s">
        <v>8377</v>
      </c>
      <c r="H1270" s="6" t="s">
        <v>135</v>
      </c>
      <c r="J1270" s="60"/>
      <c r="K1270" s="66" t="str">
        <f>IFNA(VLOOKUP(D1270,'EAN Codes'!A:C,2,False),"")</f>
        <v/>
      </c>
      <c r="L1270" s="82"/>
      <c r="M1270" s="67"/>
      <c r="S1270" s="60"/>
      <c r="U1270" s="93" t="b">
        <v>1</v>
      </c>
      <c r="Z1270" t="b">
        <v>0</v>
      </c>
      <c r="AA1270" t="b">
        <v>0</v>
      </c>
    </row>
    <row r="1271" hidden="1">
      <c r="B1271" s="6" t="s">
        <v>8277</v>
      </c>
      <c r="C1271" s="6" t="s">
        <v>7548</v>
      </c>
      <c r="D1271" s="127" t="s">
        <v>8375</v>
      </c>
      <c r="H1271" s="6" t="s">
        <v>135</v>
      </c>
      <c r="J1271" s="60"/>
      <c r="K1271" s="66" t="str">
        <f>IFNA(VLOOKUP(D1271,'EAN Codes'!A:C,2,False),"")</f>
        <v/>
      </c>
      <c r="L1271" s="82"/>
      <c r="M1271" s="67"/>
      <c r="S1271" s="60"/>
      <c r="U1271" s="93" t="b">
        <v>1</v>
      </c>
      <c r="Z1271" t="b">
        <v>0</v>
      </c>
      <c r="AA1271" t="b">
        <v>0</v>
      </c>
    </row>
    <row r="1272" hidden="1">
      <c r="B1272" s="6" t="s">
        <v>8277</v>
      </c>
      <c r="C1272" s="6" t="s">
        <v>408</v>
      </c>
      <c r="D1272" s="127" t="s">
        <v>8381</v>
      </c>
      <c r="H1272" s="6" t="s">
        <v>135</v>
      </c>
      <c r="J1272" s="60"/>
      <c r="K1272" s="66" t="str">
        <f>IFNA(VLOOKUP(D1272,'EAN Codes'!A:C,2,False),"")</f>
        <v/>
      </c>
      <c r="L1272" s="82"/>
      <c r="M1272" s="67"/>
      <c r="S1272" s="60"/>
      <c r="U1272" s="93" t="b">
        <v>1</v>
      </c>
      <c r="Z1272" t="b">
        <v>0</v>
      </c>
      <c r="AA1272" t="b">
        <v>0</v>
      </c>
    </row>
    <row r="1273" hidden="1">
      <c r="A1273" s="6">
        <v>1.0</v>
      </c>
      <c r="B1273" s="99" t="s">
        <v>241</v>
      </c>
      <c r="C1273" s="99" t="s">
        <v>4382</v>
      </c>
      <c r="D1273" s="100" t="s">
        <v>8382</v>
      </c>
      <c r="E1273" s="101"/>
      <c r="F1273" s="99" t="s">
        <v>6505</v>
      </c>
      <c r="G1273" s="101"/>
      <c r="H1273" s="487" t="s">
        <v>517</v>
      </c>
      <c r="I1273" s="488"/>
      <c r="J1273" s="489" t="s">
        <v>8383</v>
      </c>
      <c r="K1273" s="553" t="str">
        <f>IFNA(VLOOKUP(D1273,'EAN Codes'!A:C,2,False),"")</f>
        <v/>
      </c>
      <c r="L1273" s="554"/>
      <c r="M1273" s="496" t="b">
        <v>1</v>
      </c>
      <c r="N1273" s="477" t="b">
        <v>0</v>
      </c>
      <c r="O1273" s="477" t="b">
        <v>0</v>
      </c>
      <c r="P1273" s="477" t="b">
        <v>0</v>
      </c>
      <c r="Q1273" s="477" t="b">
        <v>0</v>
      </c>
      <c r="R1273" s="555"/>
      <c r="S1273" s="556"/>
      <c r="T1273" s="557"/>
      <c r="U1273" s="481" t="b">
        <v>1</v>
      </c>
      <c r="V1273" s="558" t="s">
        <v>8384</v>
      </c>
      <c r="Z1273" t="b">
        <v>0</v>
      </c>
      <c r="AA1273" t="b">
        <v>0</v>
      </c>
    </row>
    <row r="1274" hidden="1">
      <c r="A1274" s="6">
        <v>1.0</v>
      </c>
      <c r="B1274" s="6" t="s">
        <v>241</v>
      </c>
      <c r="C1274" s="6" t="s">
        <v>4382</v>
      </c>
      <c r="D1274" s="127" t="s">
        <v>8385</v>
      </c>
      <c r="H1274" s="473" t="s">
        <v>8386</v>
      </c>
      <c r="I1274" s="473" t="s">
        <v>8387</v>
      </c>
      <c r="J1274" s="521"/>
      <c r="K1274" s="275" t="str">
        <f>IFNA(VLOOKUP(D1274,'EAN Codes'!A:C,2,False),"")</f>
        <v/>
      </c>
      <c r="L1274" s="82"/>
      <c r="M1274" s="476" t="b">
        <v>0</v>
      </c>
      <c r="N1274" s="497" t="b">
        <v>1</v>
      </c>
      <c r="O1274" s="477" t="b">
        <v>0</v>
      </c>
      <c r="P1274" s="477" t="b">
        <v>0</v>
      </c>
      <c r="Q1274" s="477" t="b">
        <v>0</v>
      </c>
      <c r="R1274" s="478"/>
      <c r="S1274" s="479" t="s">
        <v>8388</v>
      </c>
      <c r="T1274" s="480"/>
      <c r="U1274" s="481" t="b">
        <v>1</v>
      </c>
      <c r="V1274" s="6" t="s">
        <v>8389</v>
      </c>
      <c r="Z1274" t="b">
        <v>0</v>
      </c>
      <c r="AA1274" t="b">
        <v>0</v>
      </c>
    </row>
    <row r="1275" hidden="1">
      <c r="A1275" s="91"/>
      <c r="B1275" s="86" t="s">
        <v>241</v>
      </c>
      <c r="C1275" s="86" t="s">
        <v>1250</v>
      </c>
      <c r="D1275" s="87" t="s">
        <v>2859</v>
      </c>
      <c r="E1275" s="91"/>
      <c r="F1275" s="91"/>
      <c r="G1275" s="91"/>
      <c r="H1275" s="86" t="s">
        <v>2158</v>
      </c>
      <c r="I1275" s="91"/>
      <c r="J1275" s="97"/>
      <c r="K1275" s="90" t="str">
        <f>IFNA(VLOOKUP(D1275,'EAN Codes'!A:C,2,False),"")</f>
        <v>8058772227905</v>
      </c>
      <c r="L1275" s="91"/>
      <c r="M1275" s="92"/>
      <c r="N1275" s="86"/>
      <c r="O1275" s="86"/>
      <c r="P1275" s="86"/>
      <c r="Q1275" s="86"/>
      <c r="R1275" s="91"/>
      <c r="S1275" s="97"/>
      <c r="T1275" s="86" t="s">
        <v>8390</v>
      </c>
      <c r="U1275" s="88" t="b">
        <v>1</v>
      </c>
      <c r="V1275" s="91"/>
      <c r="W1275" s="91"/>
      <c r="X1275" s="91"/>
      <c r="Y1275" s="91"/>
      <c r="Z1275" s="91" t="b">
        <v>0</v>
      </c>
      <c r="AA1275" t="b">
        <v>0</v>
      </c>
      <c r="AB1275" s="91"/>
      <c r="AC1275" s="91"/>
      <c r="AD1275" s="91"/>
      <c r="AE1275" s="91"/>
    </row>
    <row r="1276" hidden="1">
      <c r="A1276" s="91"/>
      <c r="B1276" s="86" t="s">
        <v>241</v>
      </c>
      <c r="C1276" s="86" t="s">
        <v>1250</v>
      </c>
      <c r="D1276" s="87" t="s">
        <v>2807</v>
      </c>
      <c r="E1276" s="91"/>
      <c r="F1276" s="91"/>
      <c r="G1276" s="91"/>
      <c r="H1276" s="86" t="s">
        <v>2158</v>
      </c>
      <c r="I1276" s="91"/>
      <c r="J1276" s="97"/>
      <c r="K1276" s="90" t="str">
        <f>IFNA(VLOOKUP(D1276,'EAN Codes'!A:C,2,False),"")</f>
        <v/>
      </c>
      <c r="L1276" s="91"/>
      <c r="M1276" s="92"/>
      <c r="N1276" s="86"/>
      <c r="O1276" s="86"/>
      <c r="P1276" s="86"/>
      <c r="Q1276" s="86"/>
      <c r="R1276" s="91"/>
      <c r="S1276" s="97"/>
      <c r="T1276" s="86" t="s">
        <v>8391</v>
      </c>
      <c r="U1276" s="88" t="b">
        <v>1</v>
      </c>
      <c r="V1276" s="91"/>
      <c r="W1276" s="91"/>
      <c r="X1276" s="91"/>
      <c r="Y1276" s="91"/>
      <c r="Z1276" s="91" t="b">
        <v>0</v>
      </c>
      <c r="AA1276" t="b">
        <v>0</v>
      </c>
      <c r="AB1276" s="91"/>
      <c r="AC1276" s="91"/>
      <c r="AD1276" s="91"/>
      <c r="AE1276" s="91"/>
    </row>
    <row r="1277" hidden="1">
      <c r="A1277" s="91"/>
      <c r="B1277" s="86" t="s">
        <v>241</v>
      </c>
      <c r="C1277" s="86" t="s">
        <v>1813</v>
      </c>
      <c r="D1277" s="87" t="s">
        <v>8392</v>
      </c>
      <c r="E1277" s="91"/>
      <c r="F1277" s="91"/>
      <c r="G1277" s="91"/>
      <c r="H1277" s="86" t="s">
        <v>2158</v>
      </c>
      <c r="I1277" s="91"/>
      <c r="J1277" s="97"/>
      <c r="K1277" s="90" t="str">
        <f>IFNA(VLOOKUP(D1277,'EAN Codes'!A:C,2,False),"")</f>
        <v/>
      </c>
      <c r="L1277" s="91"/>
      <c r="M1277" s="92"/>
      <c r="N1277" s="86"/>
      <c r="O1277" s="86"/>
      <c r="P1277" s="86"/>
      <c r="Q1277" s="86"/>
      <c r="R1277" s="91"/>
      <c r="S1277" s="97"/>
      <c r="T1277" s="86" t="s">
        <v>8393</v>
      </c>
      <c r="U1277" s="88" t="b">
        <v>1</v>
      </c>
      <c r="V1277" s="91"/>
      <c r="W1277" s="91"/>
      <c r="X1277" s="91"/>
      <c r="Y1277" s="91"/>
      <c r="Z1277" s="91" t="b">
        <v>0</v>
      </c>
      <c r="AA1277" t="b">
        <v>0</v>
      </c>
      <c r="AB1277" s="91"/>
      <c r="AC1277" s="91"/>
      <c r="AD1277" s="91"/>
      <c r="AE1277" s="91"/>
    </row>
    <row r="1278" hidden="1">
      <c r="A1278" s="91"/>
      <c r="B1278" s="86" t="s">
        <v>241</v>
      </c>
      <c r="C1278" s="86" t="s">
        <v>4382</v>
      </c>
      <c r="D1278" s="87" t="s">
        <v>8394</v>
      </c>
      <c r="E1278" s="91"/>
      <c r="F1278" s="91"/>
      <c r="G1278" s="91"/>
      <c r="H1278" s="86" t="s">
        <v>2158</v>
      </c>
      <c r="I1278" s="91"/>
      <c r="J1278" s="97"/>
      <c r="K1278" s="90" t="str">
        <f>IFNA(VLOOKUP(D1278,'EAN Codes'!A:C,2,False),"")</f>
        <v/>
      </c>
      <c r="L1278" s="91"/>
      <c r="M1278" s="92"/>
      <c r="N1278" s="86"/>
      <c r="O1278" s="86"/>
      <c r="P1278" s="86"/>
      <c r="Q1278" s="86"/>
      <c r="R1278" s="91"/>
      <c r="S1278" s="97"/>
      <c r="T1278" s="86" t="s">
        <v>8395</v>
      </c>
      <c r="U1278" s="88" t="b">
        <v>1</v>
      </c>
      <c r="V1278" s="91"/>
      <c r="W1278" s="91"/>
      <c r="X1278" s="91"/>
      <c r="Y1278" s="91"/>
      <c r="Z1278" s="91" t="b">
        <v>0</v>
      </c>
      <c r="AA1278" t="b">
        <v>0</v>
      </c>
      <c r="AB1278" s="91"/>
      <c r="AC1278" s="91"/>
      <c r="AD1278" s="91"/>
      <c r="AE1278" s="91"/>
    </row>
    <row r="1279">
      <c r="A1279" s="106">
        <v>1.0</v>
      </c>
      <c r="B1279" s="6" t="s">
        <v>241</v>
      </c>
      <c r="C1279" s="6" t="s">
        <v>342</v>
      </c>
      <c r="D1279" s="6" t="s">
        <v>8396</v>
      </c>
      <c r="E1279" s="6" t="s">
        <v>409</v>
      </c>
      <c r="F1279" s="6" t="s">
        <v>8397</v>
      </c>
      <c r="G1279" s="6"/>
      <c r="H1279" s="473" t="s">
        <v>8314</v>
      </c>
      <c r="I1279" s="474" t="s">
        <v>8398</v>
      </c>
      <c r="J1279" s="474" t="s">
        <v>8317</v>
      </c>
      <c r="K1279" s="275" t="str">
        <f>IFNA(VLOOKUP(D1279,'EAN Codes'!A:C,2,False),"")</f>
        <v/>
      </c>
      <c r="L1279" s="82"/>
      <c r="M1279" s="476" t="b">
        <v>0</v>
      </c>
      <c r="N1279" s="497" t="b">
        <v>0</v>
      </c>
      <c r="O1279" s="477" t="b">
        <v>0</v>
      </c>
      <c r="P1279" s="477" t="b">
        <v>0</v>
      </c>
      <c r="Q1279" s="477" t="b">
        <v>0</v>
      </c>
      <c r="R1279" s="478"/>
      <c r="S1279" s="479"/>
      <c r="T1279" s="480"/>
      <c r="U1279" s="514" t="b">
        <v>0</v>
      </c>
      <c r="V1279" s="6" t="s">
        <v>8399</v>
      </c>
      <c r="Z1279" s="6" t="b">
        <v>1</v>
      </c>
      <c r="AA1279" s="106" t="b">
        <v>0</v>
      </c>
      <c r="AC1279" s="82"/>
      <c r="AD1279" t="str">
        <f>IFNA(IFS(U1279=False,D1279),"")</f>
        <v>B-101</v>
      </c>
      <c r="AE1279" t="str">
        <f>IFNA(IFS(U1279=false,H1279),"")</f>
        <v>Solid Örebro</v>
      </c>
    </row>
    <row r="1280" hidden="1">
      <c r="A1280" s="6">
        <v>1.0</v>
      </c>
      <c r="B1280" s="6" t="s">
        <v>8400</v>
      </c>
      <c r="C1280" s="6" t="s">
        <v>408</v>
      </c>
      <c r="D1280" s="127" t="s">
        <v>8401</v>
      </c>
      <c r="H1280" s="473" t="s">
        <v>135</v>
      </c>
      <c r="I1280" s="474"/>
      <c r="J1280" s="475"/>
      <c r="K1280" s="275" t="str">
        <f>IFNA(VLOOKUP(D1280,'EAN Codes'!A:C,2,False),"")</f>
        <v/>
      </c>
      <c r="L1280" s="82"/>
      <c r="M1280" s="476" t="b">
        <v>0</v>
      </c>
      <c r="N1280" s="477" t="b">
        <v>0</v>
      </c>
      <c r="O1280" s="477" t="b">
        <v>0</v>
      </c>
      <c r="P1280" s="477" t="b">
        <v>0</v>
      </c>
      <c r="Q1280" s="477" t="b">
        <v>0</v>
      </c>
      <c r="R1280" s="539"/>
      <c r="S1280" s="540"/>
      <c r="T1280" s="480" t="s">
        <v>8402</v>
      </c>
      <c r="U1280" s="481" t="b">
        <v>1</v>
      </c>
      <c r="Z1280" s="6" t="b">
        <v>1</v>
      </c>
      <c r="AA1280" t="b">
        <v>0</v>
      </c>
    </row>
    <row r="1281" hidden="1">
      <c r="A1281" s="6">
        <v>1.0</v>
      </c>
      <c r="B1281" s="6" t="s">
        <v>8400</v>
      </c>
      <c r="C1281" s="6" t="s">
        <v>408</v>
      </c>
      <c r="D1281" s="127" t="s">
        <v>8401</v>
      </c>
      <c r="H1281" s="473" t="s">
        <v>135</v>
      </c>
      <c r="I1281" s="474"/>
      <c r="J1281" s="475"/>
      <c r="K1281" s="275" t="str">
        <f>IFNA(VLOOKUP(D1281,'EAN Codes'!A:C,2,False),"")</f>
        <v/>
      </c>
      <c r="L1281" s="82"/>
      <c r="M1281" s="476" t="b">
        <v>0</v>
      </c>
      <c r="N1281" s="477" t="b">
        <v>0</v>
      </c>
      <c r="O1281" s="477" t="b">
        <v>0</v>
      </c>
      <c r="P1281" s="477" t="b">
        <v>0</v>
      </c>
      <c r="Q1281" s="477" t="b">
        <v>0</v>
      </c>
      <c r="R1281" s="539"/>
      <c r="S1281" s="540"/>
      <c r="T1281" s="480" t="s">
        <v>8403</v>
      </c>
      <c r="U1281" s="481" t="b">
        <v>1</v>
      </c>
      <c r="Z1281" s="6" t="b">
        <v>1</v>
      </c>
      <c r="AA1281" t="b">
        <v>0</v>
      </c>
    </row>
    <row r="1282" hidden="1">
      <c r="A1282" s="6">
        <v>1.0</v>
      </c>
      <c r="B1282" s="6" t="s">
        <v>8400</v>
      </c>
      <c r="C1282" s="6" t="s">
        <v>408</v>
      </c>
      <c r="D1282" s="127" t="s">
        <v>8401</v>
      </c>
      <c r="H1282" s="473" t="s">
        <v>135</v>
      </c>
      <c r="I1282" s="474"/>
      <c r="J1282" s="475"/>
      <c r="K1282" s="275" t="str">
        <f>IFNA(VLOOKUP(D1282,'EAN Codes'!A:C,2,False),"")</f>
        <v/>
      </c>
      <c r="L1282" s="82"/>
      <c r="M1282" s="476" t="b">
        <v>0</v>
      </c>
      <c r="N1282" s="477" t="b">
        <v>0</v>
      </c>
      <c r="O1282" s="477" t="b">
        <v>0</v>
      </c>
      <c r="P1282" s="477" t="b">
        <v>0</v>
      </c>
      <c r="Q1282" s="477" t="b">
        <v>0</v>
      </c>
      <c r="R1282" s="539"/>
      <c r="S1282" s="540"/>
      <c r="T1282" s="543"/>
      <c r="U1282" s="481" t="b">
        <v>1</v>
      </c>
      <c r="Z1282" t="b">
        <v>0</v>
      </c>
      <c r="AA1282" t="b">
        <v>0</v>
      </c>
    </row>
    <row r="1283">
      <c r="A1283" s="6">
        <v>1.0</v>
      </c>
      <c r="B1283" s="6" t="s">
        <v>241</v>
      </c>
      <c r="C1283" s="6" t="s">
        <v>4382</v>
      </c>
      <c r="D1283" s="127" t="s">
        <v>8404</v>
      </c>
      <c r="E1283" s="6" t="s">
        <v>8405</v>
      </c>
      <c r="F1283" s="6" t="s">
        <v>8406</v>
      </c>
      <c r="G1283" s="6" t="s">
        <v>5393</v>
      </c>
      <c r="H1283" s="473" t="s">
        <v>255</v>
      </c>
      <c r="I1283" s="473" t="s">
        <v>8407</v>
      </c>
      <c r="J1283" s="508" t="s">
        <v>8408</v>
      </c>
      <c r="K1283" s="275" t="str">
        <f>IFNA(VLOOKUP(D1283,'EAN Codes'!A:C,2,False),"")</f>
        <v/>
      </c>
      <c r="L1283" s="82"/>
      <c r="M1283" s="476" t="b">
        <v>0</v>
      </c>
      <c r="N1283" s="477" t="b">
        <v>0</v>
      </c>
      <c r="O1283" s="477" t="b">
        <v>0</v>
      </c>
      <c r="P1283" s="477" t="b">
        <v>0</v>
      </c>
      <c r="Q1283" s="477" t="b">
        <v>0</v>
      </c>
      <c r="R1283" s="539"/>
      <c r="S1283" s="540"/>
      <c r="T1283" s="543"/>
      <c r="U1283" s="481" t="b">
        <v>0</v>
      </c>
      <c r="Z1283" s="6" t="b">
        <v>1</v>
      </c>
      <c r="AA1283" s="6" t="b">
        <v>0</v>
      </c>
      <c r="AC1283" s="82"/>
      <c r="AD1283" t="str">
        <f t="shared" ref="AD1283:AD1290" si="3">IFNA(IFS(U1283=False,D1283),"")</f>
        <v>E0801DV</v>
      </c>
      <c r="AE1283" t="str">
        <f t="shared" ref="AE1283:AE1290" si="4">IFNA(IFS(U1283=false,H1283),"")</f>
        <v>Järfälla</v>
      </c>
    </row>
    <row r="1284">
      <c r="A1284" s="6">
        <v>1.0</v>
      </c>
      <c r="B1284" s="6" t="s">
        <v>241</v>
      </c>
      <c r="C1284" s="6" t="s">
        <v>1250</v>
      </c>
      <c r="D1284" s="127" t="s">
        <v>8409</v>
      </c>
      <c r="E1284" s="6" t="s">
        <v>8405</v>
      </c>
      <c r="F1284" s="6" t="s">
        <v>4843</v>
      </c>
      <c r="G1284" s="6" t="s">
        <v>8410</v>
      </c>
      <c r="H1284" s="473" t="s">
        <v>135</v>
      </c>
      <c r="I1284" s="473" t="s">
        <v>8411</v>
      </c>
      <c r="J1284" s="508" t="s">
        <v>8412</v>
      </c>
      <c r="K1284" s="275" t="str">
        <f>IFNA(VLOOKUP(D1284,'EAN Codes'!A:C,2,False),"")</f>
        <v>8054521994920</v>
      </c>
      <c r="L1284" s="82"/>
      <c r="M1284" s="496" t="b">
        <v>0</v>
      </c>
      <c r="N1284" s="477" t="b">
        <v>0</v>
      </c>
      <c r="O1284" s="497" t="b">
        <v>0</v>
      </c>
      <c r="P1284" s="477" t="b">
        <v>0</v>
      </c>
      <c r="Q1284" s="477" t="b">
        <v>0</v>
      </c>
      <c r="R1284" s="539"/>
      <c r="S1284" s="540"/>
      <c r="T1284" s="543"/>
      <c r="U1284" s="514" t="b">
        <v>0</v>
      </c>
      <c r="Z1284" t="b">
        <v>0</v>
      </c>
      <c r="AA1284" s="6" t="b">
        <v>0</v>
      </c>
      <c r="AC1284" s="82"/>
      <c r="AD1284" t="str">
        <f t="shared" si="3"/>
        <v>39031</v>
      </c>
      <c r="AE1284" t="str">
        <f t="shared" si="4"/>
        <v>Kontoret</v>
      </c>
    </row>
    <row r="1285">
      <c r="A1285" s="6">
        <v>1.0</v>
      </c>
      <c r="B1285" s="6" t="s">
        <v>241</v>
      </c>
      <c r="C1285" s="6" t="s">
        <v>1813</v>
      </c>
      <c r="D1285" s="127" t="s">
        <v>8413</v>
      </c>
      <c r="E1285" s="6" t="s">
        <v>2639</v>
      </c>
      <c r="F1285" s="6" t="s">
        <v>8414</v>
      </c>
      <c r="H1285" s="160" t="s">
        <v>8314</v>
      </c>
      <c r="I1285" s="473" t="s">
        <v>8415</v>
      </c>
      <c r="J1285" s="508" t="s">
        <v>8416</v>
      </c>
      <c r="K1285" s="275" t="str">
        <f>IFNA(VLOOKUP(D1285,'EAN Codes'!A:C,2,False),"")</f>
        <v/>
      </c>
      <c r="L1285" s="82"/>
      <c r="M1285" s="496" t="b">
        <v>0</v>
      </c>
      <c r="N1285" s="477" t="b">
        <v>0</v>
      </c>
      <c r="O1285" s="497" t="b">
        <v>0</v>
      </c>
      <c r="P1285" s="477" t="b">
        <v>0</v>
      </c>
      <c r="Q1285" s="477" t="b">
        <v>0</v>
      </c>
      <c r="R1285" s="539"/>
      <c r="S1285" s="540"/>
      <c r="T1285" s="543"/>
      <c r="U1285" s="514" t="b">
        <v>0</v>
      </c>
      <c r="Z1285" t="b">
        <v>0</v>
      </c>
      <c r="AA1285" s="6" t="b">
        <v>0</v>
      </c>
      <c r="AC1285" s="82"/>
      <c r="AD1285" t="str">
        <f t="shared" si="3"/>
        <v>E/038</v>
      </c>
      <c r="AE1285" t="str">
        <f t="shared" si="4"/>
        <v>Solid Örebro</v>
      </c>
    </row>
    <row r="1286">
      <c r="A1286" s="6">
        <v>1.0</v>
      </c>
      <c r="B1286" s="6" t="s">
        <v>241</v>
      </c>
      <c r="C1286" s="6" t="s">
        <v>4382</v>
      </c>
      <c r="D1286" s="127" t="s">
        <v>8417</v>
      </c>
      <c r="E1286" s="6" t="s">
        <v>8405</v>
      </c>
      <c r="F1286" s="6" t="s">
        <v>8418</v>
      </c>
      <c r="H1286" s="160" t="s">
        <v>1467</v>
      </c>
      <c r="I1286" s="473" t="s">
        <v>8419</v>
      </c>
      <c r="J1286" s="508"/>
      <c r="K1286" s="275" t="str">
        <f>IFNA(VLOOKUP(D1286,'EAN Codes'!A:C,2,False),"")</f>
        <v/>
      </c>
      <c r="L1286" s="82"/>
      <c r="M1286" s="476" t="b">
        <v>0</v>
      </c>
      <c r="N1286" s="477" t="b">
        <v>0</v>
      </c>
      <c r="O1286" s="477" t="b">
        <v>0</v>
      </c>
      <c r="P1286" s="477" t="b">
        <v>0</v>
      </c>
      <c r="Q1286" s="477" t="b">
        <v>0</v>
      </c>
      <c r="R1286" s="478" t="s">
        <v>8420</v>
      </c>
      <c r="S1286" s="540"/>
      <c r="T1286" s="543"/>
      <c r="U1286" s="514" t="b">
        <v>0</v>
      </c>
      <c r="Z1286" s="6" t="b">
        <v>1</v>
      </c>
      <c r="AC1286" s="82"/>
      <c r="AD1286" t="str">
        <f t="shared" si="3"/>
        <v>E7001AV</v>
      </c>
      <c r="AE1286" t="str">
        <f t="shared" si="4"/>
        <v>Krylbo</v>
      </c>
    </row>
    <row r="1287">
      <c r="A1287" s="6">
        <v>1.0</v>
      </c>
      <c r="B1287" s="6" t="s">
        <v>241</v>
      </c>
      <c r="C1287" s="6" t="s">
        <v>1813</v>
      </c>
      <c r="D1287" s="127" t="s">
        <v>8421</v>
      </c>
      <c r="E1287" s="6" t="s">
        <v>2639</v>
      </c>
      <c r="F1287" s="6" t="s">
        <v>6718</v>
      </c>
      <c r="H1287" s="160" t="s">
        <v>255</v>
      </c>
      <c r="I1287" s="473" t="s">
        <v>8422</v>
      </c>
      <c r="J1287" s="508" t="s">
        <v>8423</v>
      </c>
      <c r="K1287" s="275" t="str">
        <f>IFNA(VLOOKUP(D1287,'EAN Codes'!A:C,2,False),"")</f>
        <v/>
      </c>
      <c r="L1287" s="82"/>
      <c r="M1287" s="476" t="b">
        <v>0</v>
      </c>
      <c r="N1287" s="477" t="b">
        <v>0</v>
      </c>
      <c r="O1287" s="477" t="b">
        <v>0</v>
      </c>
      <c r="P1287" s="477" t="b">
        <v>0</v>
      </c>
      <c r="Q1287" s="477" t="b">
        <v>0</v>
      </c>
      <c r="R1287" s="539"/>
      <c r="S1287" s="540"/>
      <c r="T1287" s="543"/>
      <c r="U1287" s="514" t="b">
        <v>0</v>
      </c>
      <c r="Z1287" s="6" t="b">
        <v>1</v>
      </c>
      <c r="AA1287" s="6" t="b">
        <v>0</v>
      </c>
      <c r="AC1287" s="82"/>
      <c r="AD1287" t="str">
        <f t="shared" si="3"/>
        <v>L/031</v>
      </c>
      <c r="AE1287" t="str">
        <f t="shared" si="4"/>
        <v>Järfälla</v>
      </c>
    </row>
    <row r="1288">
      <c r="A1288" s="6">
        <v>1.0</v>
      </c>
      <c r="B1288" s="6" t="s">
        <v>241</v>
      </c>
      <c r="C1288" s="6" t="s">
        <v>1813</v>
      </c>
      <c r="D1288" s="127" t="s">
        <v>3761</v>
      </c>
      <c r="E1288" s="6" t="s">
        <v>346</v>
      </c>
      <c r="F1288" s="6" t="s">
        <v>3759</v>
      </c>
      <c r="G1288" s="6" t="s">
        <v>3672</v>
      </c>
      <c r="H1288" s="473" t="s">
        <v>132</v>
      </c>
      <c r="I1288" s="473" t="s">
        <v>8424</v>
      </c>
      <c r="J1288" s="508" t="s">
        <v>8425</v>
      </c>
      <c r="K1288" s="275" t="str">
        <f>IFNA(VLOOKUP(D1288,'EAN Codes'!A:C,2,False),"")</f>
        <v/>
      </c>
      <c r="L1288" s="82"/>
      <c r="M1288" s="476" t="b">
        <v>0</v>
      </c>
      <c r="N1288" s="477" t="b">
        <v>0</v>
      </c>
      <c r="O1288" s="477" t="b">
        <v>0</v>
      </c>
      <c r="P1288" s="477" t="b">
        <v>0</v>
      </c>
      <c r="Q1288" s="477" t="b">
        <v>0</v>
      </c>
      <c r="R1288" s="539"/>
      <c r="S1288" s="540"/>
      <c r="T1288" s="543"/>
      <c r="U1288" s="514" t="b">
        <v>0</v>
      </c>
      <c r="Z1288" s="6" t="b">
        <v>1</v>
      </c>
      <c r="AA1288" s="6" t="b">
        <v>0</v>
      </c>
      <c r="AC1288" s="82"/>
      <c r="AD1288" t="str">
        <f t="shared" si="3"/>
        <v>K/043</v>
      </c>
      <c r="AE1288" t="str">
        <f t="shared" si="4"/>
        <v>Borås</v>
      </c>
    </row>
    <row r="1289">
      <c r="A1289" s="6">
        <v>1.0</v>
      </c>
      <c r="B1289" s="6" t="s">
        <v>241</v>
      </c>
      <c r="C1289" s="6" t="s">
        <v>342</v>
      </c>
      <c r="D1289" s="127" t="s">
        <v>6626</v>
      </c>
      <c r="E1289" s="6" t="s">
        <v>409</v>
      </c>
      <c r="F1289" s="6" t="s">
        <v>2115</v>
      </c>
      <c r="H1289" s="473" t="s">
        <v>132</v>
      </c>
      <c r="I1289" s="473" t="s">
        <v>8426</v>
      </c>
      <c r="J1289" s="508" t="s">
        <v>8416</v>
      </c>
      <c r="K1289" s="275" t="str">
        <f>IFNA(VLOOKUP(D1289,'EAN Codes'!A:C,2,False),"")</f>
        <v>5907615801389</v>
      </c>
      <c r="L1289" s="82"/>
      <c r="M1289" s="476" t="b">
        <v>0</v>
      </c>
      <c r="N1289" s="477" t="b">
        <v>0</v>
      </c>
      <c r="O1289" s="477" t="b">
        <v>0</v>
      </c>
      <c r="P1289" s="477" t="b">
        <v>0</v>
      </c>
      <c r="Q1289" s="477" t="b">
        <v>0</v>
      </c>
      <c r="R1289" s="539"/>
      <c r="S1289" s="540"/>
      <c r="T1289" s="543"/>
      <c r="U1289" s="514" t="b">
        <v>0</v>
      </c>
      <c r="Z1289" s="6" t="b">
        <v>1</v>
      </c>
      <c r="AA1289" s="6" t="b">
        <v>0</v>
      </c>
      <c r="AC1289" s="82"/>
      <c r="AD1289" t="str">
        <f t="shared" si="3"/>
        <v>B-073</v>
      </c>
      <c r="AE1289" t="str">
        <f t="shared" si="4"/>
        <v>Borås</v>
      </c>
    </row>
    <row r="1290">
      <c r="A1290" s="6">
        <v>1.0</v>
      </c>
      <c r="B1290" s="106" t="s">
        <v>241</v>
      </c>
      <c r="C1290" s="106" t="s">
        <v>4382</v>
      </c>
      <c r="D1290" s="273" t="s">
        <v>8427</v>
      </c>
      <c r="E1290" s="115"/>
      <c r="F1290" s="106" t="s">
        <v>8428</v>
      </c>
      <c r="G1290" s="115"/>
      <c r="H1290" s="473" t="s">
        <v>542</v>
      </c>
      <c r="I1290" s="474"/>
      <c r="J1290" s="475"/>
      <c r="K1290" s="275" t="str">
        <f>IFNA(VLOOKUP(D1290,'EAN Codes'!A:C,2,False),"")</f>
        <v/>
      </c>
      <c r="L1290" s="82"/>
      <c r="M1290" s="496" t="b">
        <v>0</v>
      </c>
      <c r="N1290" s="477" t="b">
        <v>0</v>
      </c>
      <c r="O1290" s="497" t="b">
        <v>0</v>
      </c>
      <c r="P1290" s="477" t="b">
        <v>0</v>
      </c>
      <c r="Q1290" s="477" t="b">
        <v>0</v>
      </c>
      <c r="R1290" s="539"/>
      <c r="S1290" s="540"/>
      <c r="T1290" s="543"/>
      <c r="U1290" s="514" t="b">
        <v>0</v>
      </c>
      <c r="Z1290" t="b">
        <v>0</v>
      </c>
      <c r="AA1290" s="6" t="b">
        <v>0</v>
      </c>
      <c r="AC1290" s="82" t="str">
        <f>3.35*#REF!</f>
        <v>#REF!</v>
      </c>
      <c r="AD1290" t="str">
        <f t="shared" si="3"/>
        <v>AEV0052</v>
      </c>
      <c r="AE1290" t="str">
        <f t="shared" si="4"/>
        <v>Kållered</v>
      </c>
    </row>
    <row r="1291" hidden="1">
      <c r="B1291" s="99" t="s">
        <v>181</v>
      </c>
      <c r="C1291" s="99" t="s">
        <v>1116</v>
      </c>
      <c r="D1291" s="100" t="s">
        <v>8243</v>
      </c>
      <c r="E1291" s="101"/>
      <c r="F1291" s="101"/>
      <c r="G1291" s="101"/>
      <c r="H1291" s="99" t="s">
        <v>135</v>
      </c>
      <c r="I1291" s="101"/>
      <c r="J1291" s="110"/>
      <c r="K1291" s="107" t="str">
        <f>IFNA(VLOOKUP(D1291,'EAN Codes'!A:C,2,False),"")</f>
        <v>8717323068373</v>
      </c>
      <c r="L1291" s="101"/>
      <c r="M1291" s="83"/>
      <c r="N1291" s="6"/>
      <c r="O1291" s="6"/>
      <c r="P1291" s="6"/>
      <c r="Q1291" s="6"/>
      <c r="S1291" s="60"/>
      <c r="T1291" s="6" t="s">
        <v>8429</v>
      </c>
      <c r="U1291" s="146" t="b">
        <v>1</v>
      </c>
      <c r="Z1291" t="b">
        <v>0</v>
      </c>
      <c r="AA1291" t="b">
        <v>0</v>
      </c>
    </row>
    <row r="1292" hidden="1">
      <c r="B1292" s="99" t="s">
        <v>181</v>
      </c>
      <c r="C1292" s="99" t="s">
        <v>1116</v>
      </c>
      <c r="D1292" s="100" t="s">
        <v>8243</v>
      </c>
      <c r="E1292" s="101"/>
      <c r="F1292" s="101"/>
      <c r="G1292" s="101"/>
      <c r="H1292" s="99" t="s">
        <v>135</v>
      </c>
      <c r="I1292" s="101"/>
      <c r="J1292" s="110"/>
      <c r="K1292" s="107" t="str">
        <f>IFNA(VLOOKUP(D1292,'EAN Codes'!A:C,2,False),"")</f>
        <v>8717323068373</v>
      </c>
      <c r="L1292" s="101"/>
      <c r="M1292" s="83"/>
      <c r="N1292" s="6"/>
      <c r="O1292" s="6"/>
      <c r="P1292" s="6"/>
      <c r="Q1292" s="6"/>
      <c r="S1292" s="60"/>
      <c r="T1292" s="6" t="s">
        <v>8430</v>
      </c>
      <c r="U1292" s="146" t="b">
        <v>1</v>
      </c>
      <c r="Z1292" t="b">
        <v>0</v>
      </c>
      <c r="AA1292" t="b">
        <v>0</v>
      </c>
    </row>
    <row r="1293" hidden="1">
      <c r="A1293" s="101"/>
      <c r="B1293" s="99" t="s">
        <v>181</v>
      </c>
      <c r="C1293" s="99" t="s">
        <v>1116</v>
      </c>
      <c r="D1293" s="100" t="s">
        <v>8243</v>
      </c>
      <c r="E1293" s="101"/>
      <c r="F1293" s="101"/>
      <c r="G1293" s="101"/>
      <c r="H1293" s="99" t="s">
        <v>135</v>
      </c>
      <c r="I1293" s="101"/>
      <c r="J1293" s="110"/>
      <c r="K1293" s="107" t="str">
        <f>IFNA(VLOOKUP(D1293,'EAN Codes'!A:C,2,False),"")</f>
        <v>8717323068373</v>
      </c>
      <c r="L1293" s="101"/>
      <c r="M1293" s="119"/>
      <c r="N1293" s="99"/>
      <c r="O1293" s="99"/>
      <c r="P1293" s="99"/>
      <c r="Q1293" s="99"/>
      <c r="S1293" s="60"/>
      <c r="T1293" s="99" t="s">
        <v>8431</v>
      </c>
      <c r="U1293" s="104" t="b">
        <v>1</v>
      </c>
      <c r="Z1293" t="b">
        <v>0</v>
      </c>
      <c r="AA1293" t="b">
        <v>0</v>
      </c>
    </row>
    <row r="1294" hidden="1">
      <c r="B1294" s="336" t="s">
        <v>181</v>
      </c>
      <c r="C1294" s="336" t="s">
        <v>1116</v>
      </c>
      <c r="D1294" s="337" t="s">
        <v>8243</v>
      </c>
      <c r="E1294" s="335"/>
      <c r="F1294" s="335"/>
      <c r="G1294" s="335"/>
      <c r="H1294" s="336" t="s">
        <v>135</v>
      </c>
      <c r="I1294" s="335"/>
      <c r="J1294" s="559"/>
      <c r="K1294" s="339" t="str">
        <f>IFNA(VLOOKUP(D1294,'EAN Codes'!A:C,2,False),"")</f>
        <v>8717323068373</v>
      </c>
      <c r="L1294" s="340"/>
      <c r="M1294" s="67"/>
      <c r="R1294" s="6"/>
      <c r="S1294" s="84"/>
      <c r="U1294" s="411" t="b">
        <v>1</v>
      </c>
      <c r="V1294" s="6" t="s">
        <v>8432</v>
      </c>
      <c r="Z1294" t="b">
        <v>0</v>
      </c>
      <c r="AA1294" t="b">
        <v>0</v>
      </c>
    </row>
    <row r="1295" hidden="1">
      <c r="B1295" s="336" t="s">
        <v>181</v>
      </c>
      <c r="C1295" s="336" t="s">
        <v>1116</v>
      </c>
      <c r="D1295" s="337" t="s">
        <v>8243</v>
      </c>
      <c r="E1295" s="335"/>
      <c r="F1295" s="335"/>
      <c r="G1295" s="335"/>
      <c r="H1295" s="336" t="s">
        <v>135</v>
      </c>
      <c r="I1295" s="335"/>
      <c r="J1295" s="559"/>
      <c r="K1295" s="339" t="str">
        <f>IFNA(VLOOKUP(D1295,'EAN Codes'!A:C,2,False),"")</f>
        <v>8717323068373</v>
      </c>
      <c r="L1295" s="340"/>
      <c r="M1295" s="67"/>
      <c r="R1295" s="6"/>
      <c r="S1295" s="84"/>
      <c r="U1295" s="411" t="b">
        <v>1</v>
      </c>
      <c r="V1295" s="6" t="s">
        <v>8432</v>
      </c>
      <c r="Z1295" t="b">
        <v>0</v>
      </c>
      <c r="AA1295" t="b">
        <v>0</v>
      </c>
    </row>
    <row r="1296" hidden="1">
      <c r="B1296" s="336" t="s">
        <v>181</v>
      </c>
      <c r="C1296" s="336" t="s">
        <v>1116</v>
      </c>
      <c r="D1296" s="337" t="s">
        <v>8243</v>
      </c>
      <c r="E1296" s="335"/>
      <c r="F1296" s="335"/>
      <c r="G1296" s="335"/>
      <c r="H1296" s="336" t="s">
        <v>135</v>
      </c>
      <c r="I1296" s="335"/>
      <c r="J1296" s="559"/>
      <c r="K1296" s="339" t="str">
        <f>IFNA(VLOOKUP(D1296,'EAN Codes'!A:C,2,False),"")</f>
        <v>8717323068373</v>
      </c>
      <c r="L1296" s="340"/>
      <c r="M1296" s="67"/>
      <c r="R1296" s="6"/>
      <c r="S1296" s="84"/>
      <c r="U1296" s="411" t="b">
        <v>1</v>
      </c>
      <c r="V1296" s="6" t="s">
        <v>8432</v>
      </c>
      <c r="Z1296" t="b">
        <v>0</v>
      </c>
      <c r="AA1296" t="b">
        <v>0</v>
      </c>
    </row>
    <row r="1297">
      <c r="A1297" s="6">
        <v>1.0</v>
      </c>
      <c r="B1297" s="35" t="s">
        <v>241</v>
      </c>
      <c r="C1297" s="35" t="s">
        <v>342</v>
      </c>
      <c r="D1297" s="365" t="s">
        <v>8433</v>
      </c>
      <c r="E1297" s="35" t="s">
        <v>2639</v>
      </c>
      <c r="F1297" s="35" t="s">
        <v>8434</v>
      </c>
      <c r="G1297" s="82"/>
      <c r="H1297" s="473" t="s">
        <v>622</v>
      </c>
      <c r="I1297" s="473" t="s">
        <v>8435</v>
      </c>
      <c r="J1297" s="502" t="s">
        <v>8436</v>
      </c>
      <c r="K1297" s="367" t="str">
        <f>IFNA(VLOOKUP(D1297,'EAN Codes'!A:C,2,False),"")</f>
        <v>5907615802652</v>
      </c>
      <c r="L1297" s="82"/>
      <c r="M1297" s="496" t="b">
        <v>0</v>
      </c>
      <c r="N1297" s="477" t="b">
        <v>0</v>
      </c>
      <c r="O1297" s="497" t="b">
        <v>0</v>
      </c>
      <c r="P1297" s="477" t="b">
        <v>0</v>
      </c>
      <c r="Q1297" s="477" t="b">
        <v>0</v>
      </c>
      <c r="R1297" s="539"/>
      <c r="S1297" s="540"/>
      <c r="T1297" s="543"/>
      <c r="U1297" s="514" t="b">
        <v>0</v>
      </c>
      <c r="Z1297" t="b">
        <v>0</v>
      </c>
      <c r="AA1297" s="106" t="b">
        <v>0</v>
      </c>
      <c r="AC1297" s="82"/>
      <c r="AD1297" t="str">
        <f t="shared" ref="AD1297:AD1298" si="5">IFNA(IFS(U1297=False,D1297),"")</f>
        <v>D-008</v>
      </c>
      <c r="AE1297" t="str">
        <f t="shared" ref="AE1297:AE1298" si="6">IFNA(IFS(U1297=false,H1297),"")</f>
        <v>Linköping</v>
      </c>
    </row>
    <row r="1298" hidden="1">
      <c r="A1298" s="6">
        <v>1.0</v>
      </c>
      <c r="B1298" s="233" t="s">
        <v>8437</v>
      </c>
      <c r="C1298" s="233" t="s">
        <v>8438</v>
      </c>
      <c r="D1298" s="560" t="s">
        <v>8439</v>
      </c>
      <c r="E1298" s="233"/>
      <c r="F1298" s="6" t="s">
        <v>8440</v>
      </c>
      <c r="G1298" s="233"/>
      <c r="H1298" s="561" t="s">
        <v>135</v>
      </c>
      <c r="I1298" s="561"/>
      <c r="J1298" s="562"/>
      <c r="K1298" s="563" t="str">
        <f>IFNA(VLOOKUP(D1298,'EAN Codes'!A:C,2,False),"")</f>
        <v/>
      </c>
      <c r="L1298" s="233"/>
      <c r="M1298" s="476" t="b">
        <v>0</v>
      </c>
      <c r="N1298" s="477" t="b">
        <v>0</v>
      </c>
      <c r="O1298" s="477" t="b">
        <v>0</v>
      </c>
      <c r="P1298" s="477" t="b">
        <v>0</v>
      </c>
      <c r="Q1298" s="477" t="b">
        <v>0</v>
      </c>
      <c r="R1298" s="564"/>
      <c r="S1298" s="565"/>
      <c r="T1298" s="566"/>
      <c r="U1298" s="567" t="b">
        <v>1</v>
      </c>
      <c r="V1298" s="233"/>
      <c r="W1298" s="233"/>
      <c r="X1298" s="233"/>
      <c r="Y1298" s="233"/>
      <c r="Z1298" s="13" t="b">
        <v>1</v>
      </c>
      <c r="AA1298" t="b">
        <v>0</v>
      </c>
      <c r="AB1298" s="233"/>
      <c r="AC1298" s="568">
        <v>211.15</v>
      </c>
      <c r="AD1298" t="str">
        <f t="shared" si="5"/>
        <v/>
      </c>
      <c r="AE1298" t="str">
        <f t="shared" si="6"/>
        <v/>
      </c>
    </row>
    <row r="1299" hidden="1">
      <c r="A1299" s="6">
        <v>1.0</v>
      </c>
      <c r="B1299" s="233" t="s">
        <v>8437</v>
      </c>
      <c r="C1299" s="233" t="s">
        <v>8438</v>
      </c>
      <c r="D1299" s="560" t="s">
        <v>8439</v>
      </c>
      <c r="E1299" s="233"/>
      <c r="F1299" s="6" t="s">
        <v>8440</v>
      </c>
      <c r="G1299" s="233"/>
      <c r="H1299" s="561" t="s">
        <v>135</v>
      </c>
      <c r="I1299" s="561"/>
      <c r="J1299" s="562"/>
      <c r="K1299" s="563" t="str">
        <f>IFNA(VLOOKUP(D1299,'EAN Codes'!A:C,2,False),"")</f>
        <v/>
      </c>
      <c r="L1299" s="233"/>
      <c r="M1299" s="476" t="b">
        <v>0</v>
      </c>
      <c r="N1299" s="477" t="b">
        <v>0</v>
      </c>
      <c r="O1299" s="477" t="b">
        <v>0</v>
      </c>
      <c r="P1299" s="477" t="b">
        <v>0</v>
      </c>
      <c r="Q1299" s="477" t="b">
        <v>0</v>
      </c>
      <c r="R1299" s="564"/>
      <c r="S1299" s="565"/>
      <c r="T1299" s="566"/>
      <c r="U1299" s="567" t="b">
        <v>1</v>
      </c>
      <c r="V1299" s="233"/>
      <c r="W1299" s="233"/>
      <c r="X1299" s="233"/>
      <c r="Y1299" s="233"/>
      <c r="Z1299" s="233" t="b">
        <v>0</v>
      </c>
      <c r="AA1299" t="b">
        <v>0</v>
      </c>
      <c r="AB1299" s="233"/>
      <c r="AC1299" s="233"/>
      <c r="AD1299" s="233"/>
      <c r="AE1299" s="233"/>
    </row>
    <row r="1300" hidden="1">
      <c r="A1300" s="6">
        <v>1.0</v>
      </c>
      <c r="B1300" s="233" t="s">
        <v>8437</v>
      </c>
      <c r="C1300" s="233" t="s">
        <v>8438</v>
      </c>
      <c r="D1300" s="560" t="s">
        <v>8439</v>
      </c>
      <c r="E1300" s="233"/>
      <c r="F1300" s="6" t="s">
        <v>8440</v>
      </c>
      <c r="G1300" s="233"/>
      <c r="H1300" s="561" t="s">
        <v>135</v>
      </c>
      <c r="I1300" s="561"/>
      <c r="J1300" s="562"/>
      <c r="K1300" s="563" t="str">
        <f>IFNA(VLOOKUP(D1300,'EAN Codes'!A:C,2,False),"")</f>
        <v/>
      </c>
      <c r="L1300" s="233"/>
      <c r="M1300" s="476" t="b">
        <v>0</v>
      </c>
      <c r="N1300" s="477" t="b">
        <v>0</v>
      </c>
      <c r="O1300" s="477" t="b">
        <v>0</v>
      </c>
      <c r="P1300" s="477" t="b">
        <v>0</v>
      </c>
      <c r="Q1300" s="477" t="b">
        <v>0</v>
      </c>
      <c r="R1300" s="564"/>
      <c r="S1300" s="565"/>
      <c r="T1300" s="566"/>
      <c r="U1300" s="567" t="b">
        <v>1</v>
      </c>
      <c r="V1300" s="233"/>
      <c r="W1300" s="233"/>
      <c r="X1300" s="233"/>
      <c r="Y1300" s="233"/>
      <c r="Z1300" s="233" t="b">
        <v>0</v>
      </c>
      <c r="AA1300" t="b">
        <v>0</v>
      </c>
      <c r="AB1300" s="233"/>
      <c r="AC1300" s="233"/>
      <c r="AD1300" s="233"/>
      <c r="AE1300" s="233"/>
    </row>
    <row r="1301" hidden="1">
      <c r="A1301" s="6">
        <v>1.0</v>
      </c>
      <c r="B1301" s="86" t="s">
        <v>181</v>
      </c>
      <c r="C1301" s="86" t="s">
        <v>1116</v>
      </c>
      <c r="D1301" s="87" t="s">
        <v>8441</v>
      </c>
      <c r="E1301" s="91"/>
      <c r="F1301" s="91"/>
      <c r="G1301" s="91"/>
      <c r="H1301" s="165" t="s">
        <v>135</v>
      </c>
      <c r="I1301" s="91"/>
      <c r="J1301" s="97"/>
      <c r="K1301" s="90" t="str">
        <f>IFNA(VLOOKUP(D1301,'EAN Codes'!A:C,2,False),"")</f>
        <v/>
      </c>
      <c r="L1301" s="91"/>
      <c r="M1301" s="83"/>
      <c r="N1301" s="6"/>
      <c r="O1301" s="6"/>
      <c r="P1301" s="6"/>
      <c r="Q1301" s="6"/>
      <c r="S1301" s="60"/>
      <c r="T1301" s="6" t="s">
        <v>8442</v>
      </c>
      <c r="U1301" s="88" t="b">
        <v>1</v>
      </c>
      <c r="Z1301" t="b">
        <v>0</v>
      </c>
      <c r="AA1301" t="b">
        <v>0</v>
      </c>
    </row>
    <row r="1302" hidden="1">
      <c r="A1302" s="6">
        <v>1.0</v>
      </c>
      <c r="B1302" s="6" t="s">
        <v>181</v>
      </c>
      <c r="C1302" s="6" t="s">
        <v>1116</v>
      </c>
      <c r="D1302" s="127" t="s">
        <v>8441</v>
      </c>
      <c r="H1302" s="233" t="s">
        <v>135</v>
      </c>
      <c r="J1302" s="60"/>
      <c r="K1302" s="66" t="str">
        <f>IFNA(VLOOKUP(D1302,'EAN Codes'!A:C,2,False),"")</f>
        <v/>
      </c>
      <c r="L1302" s="82"/>
      <c r="M1302" s="83"/>
      <c r="N1302" s="6"/>
      <c r="O1302" s="6"/>
      <c r="P1302" s="6"/>
      <c r="Q1302" s="6"/>
      <c r="S1302" s="60"/>
      <c r="T1302" s="6" t="s">
        <v>8443</v>
      </c>
      <c r="U1302" s="146" t="b">
        <v>1</v>
      </c>
      <c r="Z1302" t="b">
        <v>0</v>
      </c>
      <c r="AA1302" t="b">
        <v>0</v>
      </c>
    </row>
    <row r="1303" hidden="1">
      <c r="A1303" s="6">
        <v>1.0</v>
      </c>
      <c r="B1303" s="6" t="s">
        <v>181</v>
      </c>
      <c r="C1303" s="6" t="s">
        <v>1116</v>
      </c>
      <c r="D1303" s="127" t="s">
        <v>8441</v>
      </c>
      <c r="H1303" s="233" t="s">
        <v>135</v>
      </c>
      <c r="J1303" s="60"/>
      <c r="K1303" s="66" t="str">
        <f>IFNA(VLOOKUP(D1303,'EAN Codes'!A:C,2,False),"")</f>
        <v/>
      </c>
      <c r="L1303" s="82"/>
      <c r="M1303" s="83"/>
      <c r="N1303" s="6"/>
      <c r="O1303" s="6"/>
      <c r="P1303" s="6"/>
      <c r="Q1303" s="6"/>
      <c r="S1303" s="60"/>
      <c r="T1303" s="6" t="s">
        <v>8444</v>
      </c>
      <c r="U1303" s="146" t="b">
        <v>1</v>
      </c>
      <c r="Z1303" t="b">
        <v>0</v>
      </c>
      <c r="AA1303" t="b">
        <v>0</v>
      </c>
    </row>
    <row r="1304" hidden="1">
      <c r="A1304" s="6">
        <v>1.0</v>
      </c>
      <c r="B1304" s="6" t="s">
        <v>181</v>
      </c>
      <c r="C1304" s="6" t="s">
        <v>1116</v>
      </c>
      <c r="D1304" s="127" t="s">
        <v>8441</v>
      </c>
      <c r="H1304" s="233" t="s">
        <v>135</v>
      </c>
      <c r="J1304" s="60"/>
      <c r="K1304" s="66" t="str">
        <f>IFNA(VLOOKUP(D1304,'EAN Codes'!A:C,2,False),"")</f>
        <v/>
      </c>
      <c r="L1304" s="82"/>
      <c r="M1304" s="83"/>
      <c r="N1304" s="6"/>
      <c r="O1304" s="6"/>
      <c r="P1304" s="6"/>
      <c r="Q1304" s="6"/>
      <c r="S1304" s="60"/>
      <c r="T1304" s="6" t="s">
        <v>8445</v>
      </c>
      <c r="U1304" s="146" t="b">
        <v>1</v>
      </c>
      <c r="Z1304" t="b">
        <v>0</v>
      </c>
      <c r="AA1304" t="b">
        <v>0</v>
      </c>
    </row>
    <row r="1305" hidden="1">
      <c r="A1305" s="6">
        <v>1.0</v>
      </c>
      <c r="B1305" s="99" t="s">
        <v>181</v>
      </c>
      <c r="C1305" s="99" t="s">
        <v>1116</v>
      </c>
      <c r="D1305" s="100" t="s">
        <v>8441</v>
      </c>
      <c r="E1305" s="101"/>
      <c r="F1305" s="101"/>
      <c r="G1305" s="101"/>
      <c r="H1305" s="122" t="s">
        <v>135</v>
      </c>
      <c r="I1305" s="101"/>
      <c r="J1305" s="110"/>
      <c r="K1305" s="107" t="str">
        <f>IFNA(VLOOKUP(D1305,'EAN Codes'!A:C,2,False),"")</f>
        <v/>
      </c>
      <c r="L1305" s="101"/>
      <c r="M1305" s="119"/>
      <c r="N1305" s="99"/>
      <c r="O1305" s="99"/>
      <c r="P1305" s="99"/>
      <c r="Q1305" s="99"/>
      <c r="S1305" s="60"/>
      <c r="T1305" s="99" t="s">
        <v>8444</v>
      </c>
      <c r="U1305" s="104" t="b">
        <v>1</v>
      </c>
      <c r="Z1305" t="b">
        <v>0</v>
      </c>
      <c r="AA1305" t="b">
        <v>0</v>
      </c>
    </row>
    <row r="1306" hidden="1">
      <c r="A1306" s="6">
        <v>1.0</v>
      </c>
      <c r="B1306" s="99" t="s">
        <v>8277</v>
      </c>
      <c r="C1306" s="99" t="s">
        <v>7548</v>
      </c>
      <c r="D1306" s="519" t="s">
        <v>8380</v>
      </c>
      <c r="E1306" s="101"/>
      <c r="F1306" s="101"/>
      <c r="G1306" s="101"/>
      <c r="H1306" s="99" t="s">
        <v>135</v>
      </c>
      <c r="I1306" s="101"/>
      <c r="J1306" s="110"/>
      <c r="K1306" s="107" t="str">
        <f>IFNA(VLOOKUP(D1306,'EAN Codes'!A:C,2,False),"")</f>
        <v/>
      </c>
      <c r="L1306" s="101"/>
      <c r="M1306" s="83"/>
      <c r="N1306" s="6"/>
      <c r="O1306" s="6"/>
      <c r="P1306" s="6"/>
      <c r="Q1306" s="6"/>
      <c r="S1306" s="60"/>
      <c r="T1306" s="6">
        <v>307686.0</v>
      </c>
      <c r="U1306" s="146" t="b">
        <v>1</v>
      </c>
      <c r="Z1306" t="b">
        <v>0</v>
      </c>
      <c r="AA1306" t="b">
        <v>0</v>
      </c>
    </row>
    <row r="1307" hidden="1">
      <c r="A1307" s="101"/>
      <c r="B1307" s="99" t="s">
        <v>181</v>
      </c>
      <c r="C1307" s="99" t="s">
        <v>1116</v>
      </c>
      <c r="D1307" s="100" t="s">
        <v>8446</v>
      </c>
      <c r="E1307" s="101"/>
      <c r="F1307" s="101"/>
      <c r="G1307" s="101"/>
      <c r="H1307" s="99" t="s">
        <v>135</v>
      </c>
      <c r="I1307" s="101"/>
      <c r="J1307" s="110"/>
      <c r="K1307" s="107" t="str">
        <f>IFNA(VLOOKUP(D1307,'EAN Codes'!A:C,2,False),"")</f>
        <v/>
      </c>
      <c r="L1307" s="101"/>
      <c r="M1307" s="119"/>
      <c r="N1307" s="99"/>
      <c r="O1307" s="99"/>
      <c r="P1307" s="99"/>
      <c r="Q1307" s="99"/>
      <c r="R1307" s="99"/>
      <c r="S1307" s="104"/>
      <c r="T1307" s="99" t="s">
        <v>8447</v>
      </c>
      <c r="U1307" s="104" t="b">
        <v>1</v>
      </c>
      <c r="V1307" s="99" t="s">
        <v>8448</v>
      </c>
      <c r="W1307" s="101"/>
      <c r="X1307" s="101"/>
      <c r="Y1307" s="101"/>
      <c r="Z1307" s="101" t="b">
        <v>0</v>
      </c>
      <c r="AA1307" t="b">
        <v>0</v>
      </c>
      <c r="AB1307" s="101"/>
      <c r="AC1307" s="101"/>
      <c r="AD1307" s="101"/>
      <c r="AE1307" s="101"/>
    </row>
    <row r="1308">
      <c r="A1308" s="522">
        <v>1.0</v>
      </c>
      <c r="B1308" s="522" t="s">
        <v>241</v>
      </c>
      <c r="C1308" s="522" t="s">
        <v>342</v>
      </c>
      <c r="D1308" s="523" t="s">
        <v>8449</v>
      </c>
      <c r="E1308" s="522" t="s">
        <v>2639</v>
      </c>
      <c r="F1308" s="522" t="s">
        <v>8450</v>
      </c>
      <c r="G1308" s="524"/>
      <c r="H1308" s="525" t="s">
        <v>1467</v>
      </c>
      <c r="I1308" s="525" t="s">
        <v>8451</v>
      </c>
      <c r="J1308" s="569"/>
      <c r="K1308" s="527" t="str">
        <f>IFNA(VLOOKUP(D1308,'EAN Codes'!A:C,2,False),"")</f>
        <v/>
      </c>
      <c r="L1308" s="528"/>
      <c r="M1308" s="570" t="b">
        <v>0</v>
      </c>
      <c r="N1308" s="530" t="b">
        <v>0</v>
      </c>
      <c r="O1308" s="571" t="b">
        <v>0</v>
      </c>
      <c r="P1308" s="530" t="b">
        <v>0</v>
      </c>
      <c r="Q1308" s="530" t="b">
        <v>0</v>
      </c>
      <c r="R1308" s="531" t="s">
        <v>8420</v>
      </c>
      <c r="S1308" s="572"/>
      <c r="T1308" s="573"/>
      <c r="U1308" s="534" t="b">
        <v>0</v>
      </c>
      <c r="V1308" s="524"/>
      <c r="W1308" s="524"/>
      <c r="X1308" s="524"/>
      <c r="Y1308" s="524"/>
      <c r="Z1308" s="524" t="b">
        <v>0</v>
      </c>
      <c r="AA1308" s="574" t="b">
        <v>0</v>
      </c>
      <c r="AB1308" s="524"/>
      <c r="AC1308" s="528"/>
      <c r="AD1308" s="524" t="str">
        <f t="shared" ref="AD1308:AD1310" si="7">IFNA(IFS(U1308=False,D1308),"")</f>
        <v>M-188</v>
      </c>
      <c r="AE1308" s="524" t="str">
        <f t="shared" ref="AE1308:AE1310" si="8">IFNA(IFS(U1308=false,H1308),"")</f>
        <v>Krylbo</v>
      </c>
    </row>
    <row r="1309">
      <c r="A1309" s="6">
        <v>1.0</v>
      </c>
      <c r="B1309" s="6" t="s">
        <v>241</v>
      </c>
      <c r="C1309" s="6" t="s">
        <v>342</v>
      </c>
      <c r="D1309" s="127" t="s">
        <v>8452</v>
      </c>
      <c r="E1309" s="6" t="s">
        <v>2639</v>
      </c>
      <c r="F1309" s="6" t="s">
        <v>8453</v>
      </c>
      <c r="H1309" s="473" t="s">
        <v>135</v>
      </c>
      <c r="I1309" s="473" t="s">
        <v>8454</v>
      </c>
      <c r="J1309" s="475"/>
      <c r="K1309" s="275" t="str">
        <f>IFNA(VLOOKUP(D1309,'EAN Codes'!A:C,2,False),"")</f>
        <v>5907615825842</v>
      </c>
      <c r="L1309" s="82"/>
      <c r="M1309" s="496" t="b">
        <v>0</v>
      </c>
      <c r="N1309" s="477" t="b">
        <v>0</v>
      </c>
      <c r="O1309" s="497" t="b">
        <v>0</v>
      </c>
      <c r="P1309" s="477" t="b">
        <v>0</v>
      </c>
      <c r="Q1309" s="477" t="b">
        <v>0</v>
      </c>
      <c r="R1309" s="539"/>
      <c r="S1309" s="540"/>
      <c r="T1309" s="543"/>
      <c r="U1309" s="514" t="b">
        <v>0</v>
      </c>
      <c r="Z1309" t="b">
        <v>0</v>
      </c>
      <c r="AA1309" t="b">
        <v>0</v>
      </c>
      <c r="AC1309" s="82"/>
      <c r="AD1309" t="str">
        <f t="shared" si="7"/>
        <v>V-033</v>
      </c>
      <c r="AE1309" t="str">
        <f t="shared" si="8"/>
        <v>Kontoret</v>
      </c>
    </row>
    <row r="1310">
      <c r="A1310" s="6">
        <v>1.0</v>
      </c>
      <c r="B1310" s="6" t="s">
        <v>241</v>
      </c>
      <c r="C1310" s="6" t="s">
        <v>342</v>
      </c>
      <c r="D1310" s="127" t="s">
        <v>8455</v>
      </c>
      <c r="E1310" s="6" t="s">
        <v>2639</v>
      </c>
      <c r="F1310" s="6" t="s">
        <v>8456</v>
      </c>
      <c r="H1310" s="473" t="s">
        <v>8457</v>
      </c>
      <c r="I1310" s="473" t="s">
        <v>8458</v>
      </c>
      <c r="J1310" s="475"/>
      <c r="K1310" s="275" t="str">
        <f>IFNA(VLOOKUP(D1310,'EAN Codes'!A:C,2,False),"")</f>
        <v/>
      </c>
      <c r="L1310" s="82"/>
      <c r="M1310" s="496" t="b">
        <v>0</v>
      </c>
      <c r="N1310" s="477" t="b">
        <v>0</v>
      </c>
      <c r="O1310" s="497" t="b">
        <v>0</v>
      </c>
      <c r="P1310" s="477" t="b">
        <v>0</v>
      </c>
      <c r="Q1310" s="477" t="b">
        <v>0</v>
      </c>
      <c r="R1310" s="539"/>
      <c r="S1310" s="540"/>
      <c r="T1310" s="543"/>
      <c r="U1310" s="514" t="b">
        <v>0</v>
      </c>
      <c r="Z1310" t="b">
        <v>0</v>
      </c>
      <c r="AA1310" t="b">
        <v>0</v>
      </c>
      <c r="AC1310" s="82"/>
      <c r="AD1310" t="str">
        <f t="shared" si="7"/>
        <v>T-236</v>
      </c>
      <c r="AE1310" t="str">
        <f t="shared" si="8"/>
        <v>kontoret</v>
      </c>
    </row>
    <row r="1311" hidden="1">
      <c r="A1311" s="91"/>
      <c r="B1311" s="86" t="s">
        <v>241</v>
      </c>
      <c r="C1311" s="86" t="s">
        <v>408</v>
      </c>
      <c r="D1311" s="87" t="s">
        <v>8460</v>
      </c>
      <c r="E1311" s="91"/>
      <c r="F1311" s="91"/>
      <c r="G1311" s="91"/>
      <c r="H1311" s="86" t="s">
        <v>238</v>
      </c>
      <c r="I1311" s="91"/>
      <c r="J1311" s="97"/>
      <c r="K1311" s="90" t="str">
        <f>IFNA(VLOOKUP(D1311,'EAN Codes'!A:C,2,False),"")</f>
        <v>4250557534183</v>
      </c>
      <c r="L1311" s="91"/>
      <c r="M1311" s="92"/>
      <c r="N1311" s="86"/>
      <c r="O1311" s="86"/>
      <c r="P1311" s="86"/>
      <c r="Q1311" s="86"/>
      <c r="R1311" s="86"/>
      <c r="S1311" s="88"/>
      <c r="T1311" s="86" t="s">
        <v>8461</v>
      </c>
      <c r="U1311" s="88" t="b">
        <v>1</v>
      </c>
      <c r="V1311" s="86" t="s">
        <v>8462</v>
      </c>
      <c r="Z1311" t="b">
        <v>0</v>
      </c>
      <c r="AA1311" t="b">
        <v>0</v>
      </c>
    </row>
    <row r="1312" hidden="1">
      <c r="B1312" s="99" t="s">
        <v>8277</v>
      </c>
      <c r="C1312" s="99" t="s">
        <v>408</v>
      </c>
      <c r="D1312" s="100" t="s">
        <v>8358</v>
      </c>
      <c r="E1312" s="101"/>
      <c r="F1312" s="101"/>
      <c r="G1312" s="101"/>
      <c r="H1312" s="99" t="s">
        <v>135</v>
      </c>
      <c r="I1312" s="101"/>
      <c r="J1312" s="110"/>
      <c r="K1312" s="107" t="str">
        <f>IFNA(VLOOKUP(D1312,'EAN Codes'!A:C,2,False),"")</f>
        <v/>
      </c>
      <c r="L1312" s="101"/>
      <c r="M1312" s="119"/>
      <c r="N1312" s="99"/>
      <c r="O1312" s="99"/>
      <c r="P1312" s="99"/>
      <c r="Q1312" s="99"/>
      <c r="R1312" s="99"/>
      <c r="S1312" s="104"/>
      <c r="T1312" s="99">
        <v>307413.0</v>
      </c>
      <c r="U1312" s="104" t="b">
        <v>1</v>
      </c>
      <c r="V1312" s="99" t="s">
        <v>8463</v>
      </c>
      <c r="Z1312" t="b">
        <v>0</v>
      </c>
      <c r="AA1312" t="b">
        <v>0</v>
      </c>
    </row>
    <row r="1313" hidden="1">
      <c r="A1313" s="6">
        <v>1.0</v>
      </c>
      <c r="B1313" s="99" t="s">
        <v>181</v>
      </c>
      <c r="C1313" s="99" t="s">
        <v>950</v>
      </c>
      <c r="D1313" s="100" t="s">
        <v>8464</v>
      </c>
      <c r="E1313" s="101"/>
      <c r="F1313" s="99" t="s">
        <v>8465</v>
      </c>
      <c r="G1313" s="101"/>
      <c r="H1313" s="473" t="s">
        <v>135</v>
      </c>
      <c r="I1313" s="474"/>
      <c r="J1313" s="536"/>
      <c r="K1313" s="275" t="str">
        <f>IFNA(VLOOKUP(D1313,'EAN Codes'!A:C,2,False),"")</f>
        <v/>
      </c>
      <c r="L1313" s="82"/>
      <c r="M1313" s="476" t="b">
        <v>0</v>
      </c>
      <c r="N1313" s="477" t="b">
        <v>0</v>
      </c>
      <c r="O1313" s="477" t="b">
        <v>0</v>
      </c>
      <c r="P1313" s="477" t="b">
        <v>0</v>
      </c>
      <c r="Q1313" s="477" t="b">
        <v>0</v>
      </c>
      <c r="R1313" s="478"/>
      <c r="S1313" s="479"/>
      <c r="T1313" s="480">
        <v>307934.0</v>
      </c>
      <c r="U1313" s="481" t="b">
        <v>1</v>
      </c>
      <c r="V1313" s="6" t="s">
        <v>8467</v>
      </c>
      <c r="Z1313" t="b">
        <v>0</v>
      </c>
      <c r="AA1313" t="b">
        <v>0</v>
      </c>
    </row>
    <row r="1314" hidden="1">
      <c r="A1314" s="6">
        <v>1.0</v>
      </c>
      <c r="B1314" s="6" t="s">
        <v>8287</v>
      </c>
      <c r="C1314" s="99" t="s">
        <v>408</v>
      </c>
      <c r="D1314" s="100" t="s">
        <v>8468</v>
      </c>
      <c r="H1314" s="473" t="s">
        <v>135</v>
      </c>
      <c r="I1314" s="474"/>
      <c r="J1314" s="475"/>
      <c r="K1314" s="275" t="str">
        <f>IFNA(VLOOKUP(D1314,'EAN Codes'!A:C,2,False),"")</f>
        <v/>
      </c>
      <c r="L1314" s="82"/>
      <c r="M1314" s="476" t="b">
        <v>0</v>
      </c>
      <c r="N1314" s="477" t="b">
        <v>0</v>
      </c>
      <c r="O1314" s="477" t="b">
        <v>0</v>
      </c>
      <c r="P1314" s="477" t="b">
        <v>0</v>
      </c>
      <c r="Q1314" s="477" t="b">
        <v>0</v>
      </c>
      <c r="R1314" s="539"/>
      <c r="S1314" s="479" t="s">
        <v>8469</v>
      </c>
      <c r="T1314" s="543"/>
      <c r="U1314" s="481" t="b">
        <v>1</v>
      </c>
      <c r="Z1314" t="b">
        <v>0</v>
      </c>
      <c r="AA1314" t="b">
        <v>0</v>
      </c>
    </row>
    <row r="1315">
      <c r="A1315" s="6">
        <v>1.0</v>
      </c>
      <c r="B1315" s="6" t="s">
        <v>241</v>
      </c>
      <c r="C1315" s="6" t="s">
        <v>342</v>
      </c>
      <c r="D1315" s="127" t="s">
        <v>4079</v>
      </c>
      <c r="E1315" s="6" t="s">
        <v>2639</v>
      </c>
      <c r="F1315" s="6" t="s">
        <v>8470</v>
      </c>
      <c r="H1315" s="473" t="s">
        <v>132</v>
      </c>
      <c r="I1315" s="473" t="s">
        <v>8471</v>
      </c>
      <c r="J1315" s="508" t="s">
        <v>8472</v>
      </c>
      <c r="K1315" s="275" t="str">
        <f>IFNA(VLOOKUP(D1315,'EAN Codes'!A:C,2,False),"")</f>
        <v>5907615811487</v>
      </c>
      <c r="L1315" s="82"/>
      <c r="M1315" s="476" t="b">
        <v>0</v>
      </c>
      <c r="N1315" s="477" t="b">
        <v>0</v>
      </c>
      <c r="O1315" s="477" t="b">
        <v>0</v>
      </c>
      <c r="P1315" s="477" t="b">
        <v>0</v>
      </c>
      <c r="Q1315" s="477" t="b">
        <v>0</v>
      </c>
      <c r="R1315" s="539"/>
      <c r="S1315" s="540"/>
      <c r="T1315" s="543"/>
      <c r="U1315" s="514" t="b">
        <v>0</v>
      </c>
      <c r="Z1315" s="6" t="b">
        <v>1</v>
      </c>
      <c r="AA1315" s="6" t="b">
        <v>0</v>
      </c>
      <c r="AC1315" s="82" t="str">
        <f>IFERROR(__xludf.DUMMYFUNCTION("IFS(C1315=""ECS"",Vlookup(D1315,IMPORTRANGE(""https://docs.google.com/spreadsheets/d/1CONXwApUCNE4s-NquayczLLZJS3lBxtkAQwk9d9t2gA/edit"",""'Prislista 2024'!I:M""),5,false)*$AC$1)*A1315"),"#N/A")</f>
        <v>#N/A</v>
      </c>
      <c r="AD1315" t="str">
        <f>IFNA(IFS(U1315=False,D1315),"")</f>
        <v>M-098</v>
      </c>
      <c r="AE1315" t="str">
        <f>IFNA(IFS(U1315=false,H1315),"")</f>
        <v>Borås</v>
      </c>
    </row>
    <row r="1316" hidden="1">
      <c r="A1316" s="6">
        <v>1.0</v>
      </c>
      <c r="B1316" s="6" t="s">
        <v>181</v>
      </c>
      <c r="C1316" s="6" t="s">
        <v>1116</v>
      </c>
      <c r="D1316" s="127" t="s">
        <v>8473</v>
      </c>
      <c r="H1316" s="473" t="s">
        <v>135</v>
      </c>
      <c r="I1316" s="474"/>
      <c r="J1316" s="536"/>
      <c r="K1316" s="275" t="str">
        <f>IFNA(VLOOKUP(D1316,'EAN Codes'!A:C,2,False),"")</f>
        <v>8717323066539</v>
      </c>
      <c r="L1316" s="82"/>
      <c r="M1316" s="476" t="b">
        <v>0</v>
      </c>
      <c r="N1316" s="477" t="b">
        <v>0</v>
      </c>
      <c r="O1316" s="477" t="b">
        <v>0</v>
      </c>
      <c r="P1316" s="477" t="b">
        <v>0</v>
      </c>
      <c r="Q1316" s="477" t="b">
        <v>0</v>
      </c>
      <c r="R1316" s="539"/>
      <c r="S1316" s="540"/>
      <c r="T1316" s="480">
        <v>308226.0</v>
      </c>
      <c r="U1316" s="481" t="b">
        <v>1</v>
      </c>
      <c r="Z1316" t="b">
        <v>0</v>
      </c>
      <c r="AA1316" t="b">
        <v>0</v>
      </c>
    </row>
    <row r="1317" hidden="1">
      <c r="A1317" s="99">
        <v>1.0</v>
      </c>
      <c r="B1317" s="99" t="s">
        <v>181</v>
      </c>
      <c r="C1317" s="99" t="s">
        <v>408</v>
      </c>
      <c r="D1317" s="100" t="s">
        <v>8474</v>
      </c>
      <c r="E1317" s="101"/>
      <c r="F1317" s="101"/>
      <c r="G1317" s="101"/>
      <c r="H1317" s="473" t="s">
        <v>135</v>
      </c>
      <c r="I1317" s="474"/>
      <c r="J1317" s="541"/>
      <c r="K1317" s="90" t="str">
        <f>IFNA(VLOOKUP(D1317,'EAN Codes'!A:C,2,False),"")</f>
        <v/>
      </c>
      <c r="L1317" s="101"/>
      <c r="M1317" s="476" t="b">
        <v>0</v>
      </c>
      <c r="N1317" s="477" t="b">
        <v>0</v>
      </c>
      <c r="O1317" s="477" t="b">
        <v>0</v>
      </c>
      <c r="P1317" s="477" t="b">
        <v>0</v>
      </c>
      <c r="Q1317" s="477" t="b">
        <v>0</v>
      </c>
      <c r="R1317" s="539"/>
      <c r="S1317" s="540"/>
      <c r="T1317" s="505">
        <v>307794.0</v>
      </c>
      <c r="U1317" s="481" t="b">
        <v>1</v>
      </c>
      <c r="Z1317" t="b">
        <v>0</v>
      </c>
      <c r="AA1317" t="b">
        <v>0</v>
      </c>
    </row>
    <row r="1318">
      <c r="A1318" s="99"/>
      <c r="B1318" s="99"/>
      <c r="C1318" s="99"/>
      <c r="D1318" s="100"/>
      <c r="E1318" s="101"/>
      <c r="F1318" s="99"/>
      <c r="H1318" s="473"/>
      <c r="I1318" s="473"/>
      <c r="J1318" s="508"/>
      <c r="K1318" s="275"/>
      <c r="L1318" s="82"/>
      <c r="M1318" s="476"/>
      <c r="N1318" s="477"/>
      <c r="O1318" s="477"/>
      <c r="P1318" s="477"/>
      <c r="Q1318" s="477"/>
      <c r="R1318" s="539"/>
      <c r="S1318" s="540"/>
      <c r="T1318" s="543"/>
      <c r="U1318" s="481"/>
      <c r="AC1318" s="82"/>
    </row>
    <row r="1319" hidden="1">
      <c r="A1319" s="6">
        <v>1.0</v>
      </c>
      <c r="B1319" s="6" t="s">
        <v>181</v>
      </c>
      <c r="C1319" s="6" t="s">
        <v>408</v>
      </c>
      <c r="D1319" s="127" t="s">
        <v>8475</v>
      </c>
      <c r="H1319" s="473" t="s">
        <v>135</v>
      </c>
      <c r="I1319" s="474"/>
      <c r="J1319" s="475"/>
      <c r="K1319" s="275" t="str">
        <f>IFNA(VLOOKUP(D1319,'EAN Codes'!A:C,2,False),"")</f>
        <v/>
      </c>
      <c r="L1319" s="82"/>
      <c r="M1319" s="476" t="b">
        <v>0</v>
      </c>
      <c r="N1319" s="477" t="b">
        <v>0</v>
      </c>
      <c r="O1319" s="477" t="b">
        <v>0</v>
      </c>
      <c r="P1319" s="477" t="b">
        <v>0</v>
      </c>
      <c r="Q1319" s="477" t="b">
        <v>0</v>
      </c>
      <c r="R1319" s="539"/>
      <c r="S1319" s="540"/>
      <c r="T1319" s="480" t="s">
        <v>8476</v>
      </c>
      <c r="U1319" s="481" t="b">
        <v>1</v>
      </c>
      <c r="Z1319" t="b">
        <v>0</v>
      </c>
      <c r="AA1319" t="b">
        <v>0</v>
      </c>
    </row>
    <row r="1320" hidden="1">
      <c r="A1320" s="6">
        <v>1.0</v>
      </c>
      <c r="B1320" s="6" t="s">
        <v>181</v>
      </c>
      <c r="C1320" s="6" t="s">
        <v>408</v>
      </c>
      <c r="D1320" s="127" t="s">
        <v>8477</v>
      </c>
      <c r="F1320" s="6" t="s">
        <v>8478</v>
      </c>
      <c r="H1320" s="473" t="s">
        <v>135</v>
      </c>
      <c r="I1320" s="473" t="s">
        <v>8479</v>
      </c>
      <c r="J1320" s="475"/>
      <c r="K1320" s="275" t="str">
        <f>IFNA(VLOOKUP(D1320,'EAN Codes'!A:C,2,False),"")</f>
        <v/>
      </c>
      <c r="L1320" s="82"/>
      <c r="M1320" s="476" t="b">
        <v>0</v>
      </c>
      <c r="N1320" s="477" t="b">
        <v>0</v>
      </c>
      <c r="O1320" s="477" t="b">
        <v>0</v>
      </c>
      <c r="P1320" s="477" t="b">
        <v>0</v>
      </c>
      <c r="Q1320" s="477" t="b">
        <v>0</v>
      </c>
      <c r="R1320" s="539"/>
      <c r="S1320" s="540"/>
      <c r="T1320" s="543"/>
      <c r="U1320" s="481" t="b">
        <v>1</v>
      </c>
      <c r="Z1320" t="b">
        <v>0</v>
      </c>
      <c r="AA1320" t="b">
        <v>0</v>
      </c>
    </row>
    <row r="1321" hidden="1">
      <c r="A1321" s="99">
        <v>1.0</v>
      </c>
      <c r="B1321" s="99" t="s">
        <v>181</v>
      </c>
      <c r="C1321" s="99" t="s">
        <v>950</v>
      </c>
      <c r="D1321" s="100" t="s">
        <v>8480</v>
      </c>
      <c r="E1321" s="101"/>
      <c r="F1321" s="99" t="s">
        <v>8481</v>
      </c>
      <c r="G1321" s="101"/>
      <c r="H1321" s="487" t="s">
        <v>135</v>
      </c>
      <c r="I1321" s="488"/>
      <c r="J1321" s="542"/>
      <c r="K1321" s="90" t="str">
        <f>IFNA(VLOOKUP(D1321,'EAN Codes'!A:C,2,False),"")</f>
        <v/>
      </c>
      <c r="L1321" s="101"/>
      <c r="M1321" s="575" t="b">
        <v>0</v>
      </c>
      <c r="N1321" s="576" t="b">
        <v>0</v>
      </c>
      <c r="O1321" s="577" t="b">
        <v>0</v>
      </c>
      <c r="P1321" s="576" t="b">
        <v>0</v>
      </c>
      <c r="Q1321" s="576" t="b">
        <v>0</v>
      </c>
      <c r="R1321" s="544"/>
      <c r="S1321" s="545"/>
      <c r="T1321" s="578"/>
      <c r="U1321" s="579" t="b">
        <v>1</v>
      </c>
      <c r="V1321" s="101"/>
      <c r="W1321" s="101"/>
      <c r="X1321" s="101"/>
      <c r="Y1321" s="101"/>
      <c r="Z1321" s="99" t="b">
        <v>1</v>
      </c>
      <c r="AA1321" t="b">
        <v>0</v>
      </c>
      <c r="AB1321" s="101"/>
      <c r="AC1321" s="101"/>
      <c r="AD1321" s="101"/>
      <c r="AE1321" s="101"/>
    </row>
    <row r="1322" hidden="1">
      <c r="A1322" s="6">
        <v>1.0</v>
      </c>
      <c r="B1322" s="6" t="s">
        <v>181</v>
      </c>
      <c r="C1322" s="6" t="s">
        <v>1116</v>
      </c>
      <c r="D1322" s="127" t="s">
        <v>1243</v>
      </c>
      <c r="F1322" s="6" t="s">
        <v>8482</v>
      </c>
      <c r="G1322" s="6" t="s">
        <v>8483</v>
      </c>
      <c r="H1322" s="473" t="s">
        <v>135</v>
      </c>
      <c r="I1322" s="474"/>
      <c r="J1322" s="475"/>
      <c r="K1322" s="275" t="str">
        <f>IFNA(VLOOKUP(D1322,'EAN Codes'!A:C,2,False),"")</f>
        <v>8717323061756</v>
      </c>
      <c r="L1322" s="82"/>
      <c r="M1322" s="476" t="b">
        <v>0</v>
      </c>
      <c r="N1322" s="477" t="b">
        <v>0</v>
      </c>
      <c r="O1322" s="477" t="b">
        <v>0</v>
      </c>
      <c r="P1322" s="477" t="b">
        <v>0</v>
      </c>
      <c r="Q1322" s="477" t="b">
        <v>0</v>
      </c>
      <c r="R1322" s="539"/>
      <c r="S1322" s="540"/>
      <c r="T1322" s="543"/>
      <c r="U1322" s="481" t="b">
        <v>1</v>
      </c>
      <c r="Z1322" s="6" t="b">
        <v>1</v>
      </c>
      <c r="AA1322" t="b">
        <v>0</v>
      </c>
      <c r="AC1322" s="82">
        <f>IFERROR(__xludf.DUMMYFUNCTION("IFS(C1322=""ECS"",Vlookup(D1322,IMPORTRANGE(""https://docs.google.com/spreadsheets/d/1CONXwApUCNE4s-NquayczLLZJS3lBxtkAQwk9d9t2gA/edit"",""'Prislista 2024'!I:M""),5,false)*$AC$1)*A1322"),700.6400000000001)</f>
        <v>700.64</v>
      </c>
      <c r="AD1322" t="str">
        <f>IFNA(IFS(U1322=False,D1322),"")</f>
        <v/>
      </c>
      <c r="AE1322" t="str">
        <f>IFNA(IFS(U1322=false,H1322),"")</f>
        <v/>
      </c>
    </row>
    <row r="1323" hidden="1">
      <c r="A1323" s="6">
        <v>1.0</v>
      </c>
      <c r="B1323" s="99" t="s">
        <v>181</v>
      </c>
      <c r="C1323" s="99" t="s">
        <v>1116</v>
      </c>
      <c r="D1323" s="100" t="s">
        <v>1215</v>
      </c>
      <c r="E1323" s="101"/>
      <c r="F1323" s="101"/>
      <c r="G1323" s="101"/>
      <c r="H1323" s="473" t="s">
        <v>135</v>
      </c>
      <c r="I1323" s="474"/>
      <c r="J1323" s="541"/>
      <c r="K1323" s="90" t="str">
        <f>IFNA(VLOOKUP(D1323,'EAN Codes'!A:C,2,False),"")</f>
        <v>8717323060957</v>
      </c>
      <c r="L1323" s="82"/>
      <c r="M1323" s="476" t="b">
        <v>0</v>
      </c>
      <c r="N1323" s="477" t="b">
        <v>0</v>
      </c>
      <c r="O1323" s="477" t="b">
        <v>0</v>
      </c>
      <c r="P1323" s="477" t="b">
        <v>0</v>
      </c>
      <c r="Q1323" s="477" t="b">
        <v>0</v>
      </c>
      <c r="R1323" s="478"/>
      <c r="S1323" s="479"/>
      <c r="T1323" s="480" t="s">
        <v>8485</v>
      </c>
      <c r="U1323" s="481" t="b">
        <v>1</v>
      </c>
      <c r="V1323" s="6" t="s">
        <v>8485</v>
      </c>
      <c r="Z1323" t="b">
        <v>0</v>
      </c>
      <c r="AA1323" t="b">
        <v>0</v>
      </c>
    </row>
    <row r="1324" hidden="1">
      <c r="A1324" s="6">
        <v>1.0</v>
      </c>
      <c r="B1324" s="336" t="s">
        <v>181</v>
      </c>
      <c r="C1324" s="336" t="s">
        <v>1116</v>
      </c>
      <c r="D1324" s="337" t="s">
        <v>1234</v>
      </c>
      <c r="E1324" s="335"/>
      <c r="F1324" s="335"/>
      <c r="G1324" s="335"/>
      <c r="H1324" s="473" t="s">
        <v>135</v>
      </c>
      <c r="I1324" s="474"/>
      <c r="J1324" s="536"/>
      <c r="K1324" s="275" t="str">
        <f>IFNA(VLOOKUP(D1324,'EAN Codes'!A:C,2,False),"")</f>
        <v>8717323061763</v>
      </c>
      <c r="L1324" s="340"/>
      <c r="M1324" s="476" t="b">
        <v>0</v>
      </c>
      <c r="N1324" s="477" t="b">
        <v>0</v>
      </c>
      <c r="O1324" s="477" t="b">
        <v>0</v>
      </c>
      <c r="P1324" s="477" t="b">
        <v>0</v>
      </c>
      <c r="Q1324" s="477" t="b">
        <v>0</v>
      </c>
      <c r="R1324" s="478"/>
      <c r="S1324" s="479"/>
      <c r="T1324" s="480" t="s">
        <v>8486</v>
      </c>
      <c r="U1324" s="481" t="b">
        <v>1</v>
      </c>
      <c r="V1324" s="6" t="s">
        <v>8486</v>
      </c>
      <c r="Z1324" t="b">
        <v>0</v>
      </c>
      <c r="AA1324" t="b">
        <v>0</v>
      </c>
    </row>
    <row r="1325" hidden="1">
      <c r="A1325" s="6">
        <v>1.0</v>
      </c>
      <c r="B1325" s="99" t="s">
        <v>181</v>
      </c>
      <c r="C1325" s="99" t="s">
        <v>950</v>
      </c>
      <c r="D1325" s="100" t="s">
        <v>8487</v>
      </c>
      <c r="E1325" s="101"/>
      <c r="F1325" s="99" t="s">
        <v>8488</v>
      </c>
      <c r="G1325" s="101"/>
      <c r="H1325" s="473" t="s">
        <v>135</v>
      </c>
      <c r="I1325" s="474"/>
      <c r="J1325" s="508" t="s">
        <v>8489</v>
      </c>
      <c r="K1325" s="275" t="str">
        <f>IFNA(VLOOKUP(D1325,'EAN Codes'!A:C,2,False),"")</f>
        <v/>
      </c>
      <c r="L1325" s="82"/>
      <c r="M1325" s="476" t="b">
        <v>0</v>
      </c>
      <c r="N1325" s="477" t="b">
        <v>0</v>
      </c>
      <c r="O1325" s="477" t="b">
        <v>0</v>
      </c>
      <c r="P1325" s="477" t="b">
        <v>0</v>
      </c>
      <c r="Q1325" s="497" t="b">
        <v>1</v>
      </c>
      <c r="R1325" s="539"/>
      <c r="S1325" s="540"/>
      <c r="T1325" s="480" t="s">
        <v>8489</v>
      </c>
      <c r="U1325" s="481" t="b">
        <v>1</v>
      </c>
      <c r="Z1325" t="b">
        <v>0</v>
      </c>
      <c r="AA1325" t="b">
        <v>0</v>
      </c>
    </row>
    <row r="1326">
      <c r="A1326" s="99"/>
      <c r="B1326" s="99"/>
      <c r="C1326" s="99"/>
      <c r="D1326" s="100"/>
      <c r="E1326" s="101"/>
      <c r="F1326" s="101"/>
      <c r="G1326" s="101"/>
      <c r="H1326" s="487"/>
      <c r="I1326" s="487"/>
      <c r="J1326" s="581"/>
      <c r="K1326" s="90"/>
      <c r="L1326" s="101"/>
      <c r="M1326" s="575"/>
      <c r="N1326" s="576"/>
      <c r="O1326" s="576"/>
      <c r="P1326" s="477"/>
      <c r="Q1326" s="477"/>
      <c r="R1326" s="539"/>
      <c r="S1326" s="540"/>
      <c r="T1326" s="480"/>
      <c r="U1326" s="481"/>
      <c r="AC1326" s="35"/>
    </row>
    <row r="1327" hidden="1">
      <c r="A1327" s="6">
        <v>1.0</v>
      </c>
      <c r="B1327" s="99" t="s">
        <v>181</v>
      </c>
      <c r="C1327" s="99" t="s">
        <v>1116</v>
      </c>
      <c r="D1327" s="100" t="s">
        <v>1234</v>
      </c>
      <c r="E1327" s="101"/>
      <c r="F1327" s="101"/>
      <c r="G1327" s="101"/>
      <c r="H1327" s="99" t="s">
        <v>135</v>
      </c>
      <c r="I1327" s="101"/>
      <c r="J1327" s="110"/>
      <c r="K1327" s="107" t="str">
        <f>IFNA(VLOOKUP(D1327,'EAN Codes'!A:C,2,False),"")</f>
        <v>8717323061763</v>
      </c>
      <c r="L1327" s="101"/>
      <c r="M1327" s="108"/>
      <c r="N1327" s="101"/>
      <c r="O1327" s="101"/>
      <c r="P1327" s="101"/>
      <c r="Q1327" s="101"/>
      <c r="R1327" s="99"/>
      <c r="S1327" s="104"/>
      <c r="T1327" s="101"/>
      <c r="U1327" s="104" t="b">
        <v>1</v>
      </c>
      <c r="V1327" s="99" t="s">
        <v>8490</v>
      </c>
      <c r="W1327" s="101"/>
      <c r="X1327" s="101"/>
      <c r="Y1327" s="101"/>
      <c r="Z1327" s="101" t="b">
        <v>0</v>
      </c>
      <c r="AA1327" t="b">
        <v>0</v>
      </c>
      <c r="AB1327" s="101"/>
      <c r="AC1327" s="101"/>
      <c r="AD1327" s="101"/>
      <c r="AE1327" s="101"/>
    </row>
    <row r="1328" hidden="1">
      <c r="A1328" s="6">
        <v>1.0</v>
      </c>
      <c r="B1328" s="6" t="s">
        <v>181</v>
      </c>
      <c r="C1328" s="6" t="s">
        <v>1116</v>
      </c>
      <c r="D1328" s="127" t="s">
        <v>8491</v>
      </c>
      <c r="F1328" s="6" t="s">
        <v>7254</v>
      </c>
      <c r="H1328" s="473" t="s">
        <v>135</v>
      </c>
      <c r="I1328" s="474"/>
      <c r="J1328" s="475"/>
      <c r="K1328" s="275" t="str">
        <f>IFNA(VLOOKUP(D1328,'EAN Codes'!A:C,2,False),"")</f>
        <v>8717323051177</v>
      </c>
      <c r="L1328" s="82"/>
      <c r="M1328" s="476" t="b">
        <v>0</v>
      </c>
      <c r="N1328" s="477" t="b">
        <v>0</v>
      </c>
      <c r="O1328" s="477" t="b">
        <v>0</v>
      </c>
      <c r="P1328" s="477" t="b">
        <v>0</v>
      </c>
      <c r="Q1328" s="477" t="b">
        <v>0</v>
      </c>
      <c r="R1328" s="539"/>
      <c r="S1328" s="540"/>
      <c r="T1328" s="543"/>
      <c r="U1328" s="481" t="b">
        <v>1</v>
      </c>
      <c r="Z1328" s="6" t="b">
        <v>1</v>
      </c>
      <c r="AA1328" t="b">
        <v>0</v>
      </c>
    </row>
    <row r="1329">
      <c r="A1329" s="6">
        <v>1.0</v>
      </c>
      <c r="B1329" s="6" t="s">
        <v>241</v>
      </c>
      <c r="C1329" s="6" t="s">
        <v>4382</v>
      </c>
      <c r="D1329" s="127" t="s">
        <v>8492</v>
      </c>
      <c r="E1329" s="6" t="s">
        <v>2941</v>
      </c>
      <c r="F1329" s="6" t="s">
        <v>8493</v>
      </c>
      <c r="H1329" s="473" t="s">
        <v>1467</v>
      </c>
      <c r="I1329" s="473">
        <v>374428.0</v>
      </c>
      <c r="J1329" s="475"/>
      <c r="K1329" s="275" t="str">
        <f>IFNA(VLOOKUP(D1329,'EAN Codes'!A:C,2,False),"")</f>
        <v/>
      </c>
      <c r="L1329" s="82"/>
      <c r="M1329" s="476" t="b">
        <v>0</v>
      </c>
      <c r="N1329" s="477" t="b">
        <v>0</v>
      </c>
      <c r="O1329" s="477" t="b">
        <v>0</v>
      </c>
      <c r="P1329" s="477" t="b">
        <v>0</v>
      </c>
      <c r="Q1329" s="477" t="b">
        <v>0</v>
      </c>
      <c r="R1329" s="539"/>
      <c r="S1329" s="540"/>
      <c r="T1329" s="543"/>
      <c r="U1329" s="514" t="b">
        <v>0</v>
      </c>
      <c r="Z1329" s="6" t="b">
        <v>1</v>
      </c>
      <c r="AA1329" s="371" t="b">
        <v>1</v>
      </c>
      <c r="AC1329" s="82" t="str">
        <f>IFERROR(__xludf.DUMMYFUNCTION("IFS(C1329=""ECS"",Vlookup(D1329,IMPORTRANGE(""https://docs.google.com/spreadsheets/d/1CONXwApUCNE4s-NquayczLLZJS3lBxtkAQwk9d9t2gA/edit"",""'Prislista 2024'!I:M""),5,false)*$AC$1)*A1329"),"#N/A")</f>
        <v>#N/A</v>
      </c>
      <c r="AD1329" t="str">
        <f>IFNA(IFS(U1329=False,D1329),"")</f>
        <v>E0800IV</v>
      </c>
      <c r="AE1329" t="str">
        <f>IFNA(IFS(U1329=false,H1329),"")</f>
        <v>Krylbo</v>
      </c>
    </row>
    <row r="1330">
      <c r="A1330" s="99"/>
      <c r="B1330" s="99"/>
      <c r="C1330" s="99"/>
      <c r="D1330" s="100"/>
      <c r="E1330" s="101"/>
      <c r="F1330" s="101"/>
      <c r="G1330" s="101"/>
      <c r="H1330" s="487"/>
      <c r="I1330" s="487"/>
      <c r="J1330" s="581"/>
      <c r="K1330" s="90"/>
      <c r="L1330" s="101"/>
      <c r="M1330" s="575"/>
      <c r="N1330" s="576"/>
      <c r="O1330" s="576"/>
      <c r="P1330" s="576"/>
      <c r="Q1330" s="576"/>
      <c r="R1330" s="503"/>
      <c r="S1330" s="540"/>
      <c r="T1330" s="480"/>
      <c r="U1330" s="481"/>
      <c r="AC1330" s="82"/>
    </row>
    <row r="1331" hidden="1">
      <c r="A1331" s="6">
        <v>1.0</v>
      </c>
      <c r="B1331" s="99" t="s">
        <v>181</v>
      </c>
      <c r="C1331" s="99" t="s">
        <v>1116</v>
      </c>
      <c r="D1331" s="100" t="s">
        <v>8225</v>
      </c>
      <c r="E1331" s="101"/>
      <c r="F1331" s="99" t="s">
        <v>8226</v>
      </c>
      <c r="G1331" s="101"/>
      <c r="H1331" s="487" t="s">
        <v>135</v>
      </c>
      <c r="I1331" s="474"/>
      <c r="J1331" s="475"/>
      <c r="K1331" s="275" t="str">
        <f>IFNA(VLOOKUP(D1331,'EAN Codes'!A:C,2,False),"")</f>
        <v>8717323069820</v>
      </c>
      <c r="L1331" s="82"/>
      <c r="M1331" s="476" t="b">
        <v>0</v>
      </c>
      <c r="N1331" s="477" t="b">
        <v>0</v>
      </c>
      <c r="O1331" s="477" t="b">
        <v>0</v>
      </c>
      <c r="P1331" s="477" t="b">
        <v>0</v>
      </c>
      <c r="Q1331" s="477" t="b">
        <v>0</v>
      </c>
      <c r="R1331" s="539"/>
      <c r="S1331" s="540"/>
      <c r="T1331" s="480" t="s">
        <v>8494</v>
      </c>
      <c r="U1331" s="481" t="b">
        <v>1</v>
      </c>
      <c r="Z1331" s="6" t="b">
        <v>1</v>
      </c>
      <c r="AA1331" t="b">
        <v>0</v>
      </c>
    </row>
    <row r="1332">
      <c r="A1332" s="99"/>
      <c r="B1332" s="99"/>
      <c r="C1332" s="99"/>
      <c r="D1332" s="99"/>
      <c r="E1332" s="101"/>
      <c r="F1332" s="101"/>
      <c r="G1332" s="101"/>
      <c r="H1332" s="487"/>
      <c r="I1332" s="487"/>
      <c r="J1332" s="581"/>
      <c r="K1332" s="90"/>
      <c r="L1332" s="101"/>
      <c r="M1332" s="575"/>
      <c r="N1332" s="576"/>
      <c r="O1332" s="576"/>
      <c r="P1332" s="576"/>
      <c r="Q1332" s="576"/>
      <c r="R1332" s="544"/>
      <c r="S1332" s="545"/>
      <c r="T1332" s="505"/>
      <c r="U1332" s="481"/>
      <c r="AC1332" s="82"/>
    </row>
    <row r="1333">
      <c r="A1333" s="99"/>
      <c r="B1333" s="99"/>
      <c r="C1333" s="99"/>
      <c r="D1333" s="100"/>
      <c r="E1333" s="101"/>
      <c r="F1333" s="101"/>
      <c r="G1333" s="101"/>
      <c r="H1333" s="487"/>
      <c r="I1333" s="473"/>
      <c r="J1333" s="508"/>
      <c r="K1333" s="275"/>
      <c r="L1333" s="82"/>
      <c r="M1333" s="476"/>
      <c r="N1333" s="477"/>
      <c r="O1333" s="477"/>
      <c r="P1333" s="477"/>
      <c r="Q1333" s="477"/>
      <c r="R1333" s="478"/>
      <c r="S1333" s="540"/>
      <c r="T1333" s="543"/>
      <c r="U1333" s="514"/>
      <c r="AC1333" s="82"/>
    </row>
    <row r="1334">
      <c r="A1334" s="6">
        <v>1.0</v>
      </c>
      <c r="B1334" s="6" t="s">
        <v>241</v>
      </c>
      <c r="C1334" s="6" t="s">
        <v>342</v>
      </c>
      <c r="D1334" s="127" t="s">
        <v>8495</v>
      </c>
      <c r="E1334" s="6" t="s">
        <v>2639</v>
      </c>
      <c r="F1334" s="6" t="s">
        <v>8496</v>
      </c>
      <c r="H1334" s="473" t="s">
        <v>427</v>
      </c>
      <c r="I1334" s="473" t="s">
        <v>8497</v>
      </c>
      <c r="J1334" s="508" t="s">
        <v>8472</v>
      </c>
      <c r="K1334" s="275" t="str">
        <f>IFNA(VLOOKUP(D1334,'EAN Codes'!A:C,2,False),"")</f>
        <v/>
      </c>
      <c r="L1334" s="82"/>
      <c r="M1334" s="476" t="b">
        <v>0</v>
      </c>
      <c r="N1334" s="477" t="b">
        <v>0</v>
      </c>
      <c r="O1334" s="477" t="b">
        <v>0</v>
      </c>
      <c r="P1334" s="477" t="b">
        <v>0</v>
      </c>
      <c r="Q1334" s="477" t="b">
        <v>0</v>
      </c>
      <c r="R1334" s="539"/>
      <c r="S1334" s="540"/>
      <c r="T1334" s="543"/>
      <c r="U1334" s="514" t="b">
        <v>0</v>
      </c>
      <c r="Z1334" s="6" t="b">
        <v>1</v>
      </c>
      <c r="AA1334" s="6" t="b">
        <v>0</v>
      </c>
      <c r="AC1334" s="82" t="str">
        <f>IFERROR(__xludf.DUMMYFUNCTION("IFS(C1334=""ECS"",Vlookup(D1334,IMPORTRANGE(""https://docs.google.com/spreadsheets/d/1CONXwApUCNE4s-NquayczLLZJS3lBxtkAQwk9d9t2gA/edit"",""'Prislista 2024'!I:M""),5,false)*$AC$1)*A1334"),"#N/A")</f>
        <v>#N/A</v>
      </c>
      <c r="AD1334" t="str">
        <f>IFNA(IFS(U1334=False,D1334),"")</f>
        <v>A-119</v>
      </c>
      <c r="AE1334" t="str">
        <f>IFNA(IFS(U1334=false,H1334),"")</f>
        <v>Karlstad</v>
      </c>
    </row>
    <row r="1335">
      <c r="A1335" s="99"/>
      <c r="B1335" s="99"/>
      <c r="C1335" s="99"/>
      <c r="D1335" s="100"/>
      <c r="E1335" s="101"/>
      <c r="F1335" s="99"/>
      <c r="G1335" s="101"/>
      <c r="H1335" s="487"/>
      <c r="I1335" s="488"/>
      <c r="J1335" s="542"/>
      <c r="K1335" s="90"/>
      <c r="L1335" s="101"/>
      <c r="M1335" s="575"/>
      <c r="N1335" s="576"/>
      <c r="O1335" s="576"/>
      <c r="P1335" s="576"/>
      <c r="Q1335" s="576"/>
      <c r="R1335" s="539"/>
      <c r="S1335" s="540"/>
      <c r="T1335" s="543"/>
      <c r="U1335" s="481"/>
      <c r="AA1335" s="371"/>
      <c r="AC1335" s="82"/>
    </row>
    <row r="1336">
      <c r="A1336" s="35">
        <v>1.0</v>
      </c>
      <c r="B1336" s="35" t="s">
        <v>8287</v>
      </c>
      <c r="C1336" s="35" t="s">
        <v>408</v>
      </c>
      <c r="D1336" s="365" t="s">
        <v>8498</v>
      </c>
      <c r="E1336" s="82"/>
      <c r="F1336" s="35">
        <v>9.42001513203E11</v>
      </c>
      <c r="H1336" s="473" t="s">
        <v>597</v>
      </c>
      <c r="I1336" s="474"/>
      <c r="J1336" s="475"/>
      <c r="K1336" s="275" t="str">
        <f>IFNA(VLOOKUP(D1336,'EAN Codes'!A:C,2,False),"")</f>
        <v/>
      </c>
      <c r="L1336" s="82"/>
      <c r="M1336" s="476" t="b">
        <v>0</v>
      </c>
      <c r="N1336" s="477" t="b">
        <v>0</v>
      </c>
      <c r="O1336" s="477" t="b">
        <v>0</v>
      </c>
      <c r="P1336" s="477" t="b">
        <v>0</v>
      </c>
      <c r="Q1336" s="477" t="b">
        <v>0</v>
      </c>
      <c r="R1336" s="539"/>
      <c r="S1336" s="540"/>
      <c r="T1336" s="543"/>
      <c r="U1336" s="514" t="b">
        <v>0</v>
      </c>
      <c r="Z1336" s="6" t="b">
        <v>1</v>
      </c>
      <c r="AA1336" s="371" t="b">
        <v>1</v>
      </c>
      <c r="AC1336" s="82" t="str">
        <f>IFERROR(__xludf.DUMMYFUNCTION("IFS(C1336=""ECS"",Vlookup(D1336,IMPORTRANGE(""https://docs.google.com/spreadsheets/d/1CONXwApUCNE4s-NquayczLLZJS3lBxtkAQwk9d9t2gA/edit"",""'Prislista 2024'!I:M""),5,false)*$AC$1)*A1336"),"#N/A")</f>
        <v>#N/A</v>
      </c>
      <c r="AD1336" t="str">
        <f t="shared" ref="AD1336:AD1337" si="9">IFNA(IFS(U1336=False,D1336),"")</f>
        <v>2W03</v>
      </c>
      <c r="AE1336" t="str">
        <f t="shared" ref="AE1336:AE1337" si="10">IFNA(IFS(U1336=false,H1336),"")</f>
        <v>Stockholm</v>
      </c>
    </row>
    <row r="1337">
      <c r="A1337" s="35">
        <v>1.0</v>
      </c>
      <c r="B1337" s="35" t="s">
        <v>8287</v>
      </c>
      <c r="C1337" s="35" t="s">
        <v>408</v>
      </c>
      <c r="D1337" s="365" t="s">
        <v>8499</v>
      </c>
      <c r="E1337" s="101"/>
      <c r="F1337" s="35">
        <v>9.42001513239E11</v>
      </c>
      <c r="G1337" s="99"/>
      <c r="H1337" s="473" t="s">
        <v>597</v>
      </c>
      <c r="I1337" s="474"/>
      <c r="J1337" s="475"/>
      <c r="K1337" s="275" t="str">
        <f>IFNA(VLOOKUP(D1337,'EAN Codes'!A:C,2,False),"")</f>
        <v/>
      </c>
      <c r="L1337" s="82"/>
      <c r="M1337" s="476" t="b">
        <v>0</v>
      </c>
      <c r="N1337" s="477" t="b">
        <v>0</v>
      </c>
      <c r="O1337" s="477" t="b">
        <v>0</v>
      </c>
      <c r="P1337" s="477" t="b">
        <v>0</v>
      </c>
      <c r="Q1337" s="477" t="b">
        <v>0</v>
      </c>
      <c r="R1337" s="478"/>
      <c r="S1337" s="479"/>
      <c r="T1337" s="480"/>
      <c r="U1337" s="514" t="b">
        <v>0</v>
      </c>
      <c r="V1337" s="6" t="s">
        <v>8500</v>
      </c>
      <c r="Z1337" s="6" t="b">
        <v>1</v>
      </c>
      <c r="AA1337" s="371" t="b">
        <v>1</v>
      </c>
      <c r="AC1337" s="82" t="str">
        <f>IFERROR(__xludf.DUMMYFUNCTION("IFS(C1337=""ECS"",Vlookup(D1337,IMPORTRANGE(""https://docs.google.com/spreadsheets/d/1CONXwApUCNE4s-NquayczLLZJS3lBxtkAQwk9d9t2gA/edit"",""'Prislista 2024'!I:M""),5,false)*$AC$1)*A1337"),"#N/A")</f>
        <v>#N/A</v>
      </c>
      <c r="AD1337" t="str">
        <f t="shared" si="9"/>
        <v>2W39</v>
      </c>
      <c r="AE1337" t="str">
        <f t="shared" si="10"/>
        <v>Stockholm</v>
      </c>
    </row>
    <row r="1338" hidden="1">
      <c r="A1338" s="6">
        <v>1.0</v>
      </c>
      <c r="B1338" s="336" t="s">
        <v>241</v>
      </c>
      <c r="C1338" s="336" t="s">
        <v>342</v>
      </c>
      <c r="D1338" s="337" t="s">
        <v>6218</v>
      </c>
      <c r="E1338" s="335"/>
      <c r="F1338" s="335"/>
      <c r="G1338" s="335"/>
      <c r="H1338" s="336" t="s">
        <v>717</v>
      </c>
      <c r="I1338" s="335"/>
      <c r="J1338" s="559"/>
      <c r="K1338" s="339" t="str">
        <f>IFNA(VLOOKUP(D1338,'EAN Codes'!A:C,2,False),"")</f>
        <v>5907615827150</v>
      </c>
      <c r="L1338" s="340"/>
      <c r="M1338" s="341"/>
      <c r="N1338" s="336"/>
      <c r="O1338" s="336"/>
      <c r="P1338" s="336"/>
      <c r="Q1338" s="336"/>
      <c r="R1338" s="336"/>
      <c r="S1338" s="338"/>
      <c r="T1338" s="336" t="s">
        <v>8501</v>
      </c>
      <c r="U1338" s="411" t="b">
        <v>1</v>
      </c>
      <c r="V1338" s="336" t="s">
        <v>8502</v>
      </c>
      <c r="W1338" s="335"/>
      <c r="X1338" s="335"/>
      <c r="Y1338" s="335"/>
      <c r="Z1338" s="124" t="b">
        <v>0</v>
      </c>
      <c r="AA1338" t="b">
        <v>0</v>
      </c>
      <c r="AB1338" s="124"/>
      <c r="AC1338" s="124"/>
      <c r="AD1338" s="124"/>
      <c r="AE1338" s="124"/>
    </row>
    <row r="1339" hidden="1">
      <c r="A1339" s="99">
        <v>1.0</v>
      </c>
      <c r="B1339" s="99" t="s">
        <v>8437</v>
      </c>
      <c r="C1339" s="99" t="s">
        <v>1116</v>
      </c>
      <c r="D1339" s="100" t="s">
        <v>8503</v>
      </c>
      <c r="E1339" s="101"/>
      <c r="F1339" s="101"/>
      <c r="G1339" s="101"/>
      <c r="H1339" s="487" t="s">
        <v>135</v>
      </c>
      <c r="I1339" s="488"/>
      <c r="J1339" s="542"/>
      <c r="K1339" s="90" t="str">
        <f>IFNA(VLOOKUP(D1339,'EAN Codes'!A:C,2,False),"")</f>
        <v/>
      </c>
      <c r="L1339" s="101"/>
      <c r="M1339" s="575" t="b">
        <v>0</v>
      </c>
      <c r="N1339" s="576" t="b">
        <v>0</v>
      </c>
      <c r="O1339" s="576" t="b">
        <v>0</v>
      </c>
      <c r="P1339" s="576" t="b">
        <v>0</v>
      </c>
      <c r="Q1339" s="576" t="b">
        <v>0</v>
      </c>
      <c r="R1339" s="503"/>
      <c r="S1339" s="504"/>
      <c r="T1339" s="505">
        <v>369977.0</v>
      </c>
      <c r="U1339" s="579" t="b">
        <v>1</v>
      </c>
      <c r="V1339" s="99" t="s">
        <v>8504</v>
      </c>
      <c r="W1339" s="101"/>
      <c r="X1339" s="101"/>
      <c r="Y1339" s="101"/>
      <c r="Z1339" s="101" t="b">
        <v>0</v>
      </c>
      <c r="AA1339" t="b">
        <v>0</v>
      </c>
      <c r="AB1339" s="101"/>
      <c r="AC1339" s="101"/>
      <c r="AD1339" s="101"/>
      <c r="AE1339" s="101"/>
    </row>
    <row r="1340">
      <c r="A1340" s="35">
        <v>1.0</v>
      </c>
      <c r="B1340" s="35" t="s">
        <v>8287</v>
      </c>
      <c r="C1340" s="35" t="s">
        <v>408</v>
      </c>
      <c r="D1340" s="365" t="s">
        <v>8505</v>
      </c>
      <c r="E1340" s="101"/>
      <c r="F1340" s="35">
        <v>9.42001513202E11</v>
      </c>
      <c r="H1340" s="473" t="s">
        <v>597</v>
      </c>
      <c r="I1340" s="474"/>
      <c r="J1340" s="475"/>
      <c r="K1340" s="275" t="str">
        <f>IFNA(VLOOKUP(D1340,'EAN Codes'!A:C,2,False),"")</f>
        <v/>
      </c>
      <c r="L1340" s="82"/>
      <c r="M1340" s="476" t="b">
        <v>0</v>
      </c>
      <c r="N1340" s="477" t="b">
        <v>0</v>
      </c>
      <c r="O1340" s="477" t="b">
        <v>0</v>
      </c>
      <c r="P1340" s="477" t="b">
        <v>0</v>
      </c>
      <c r="Q1340" s="477" t="b">
        <v>0</v>
      </c>
      <c r="R1340" s="478"/>
      <c r="S1340" s="479"/>
      <c r="T1340" s="543"/>
      <c r="U1340" s="514" t="b">
        <v>0</v>
      </c>
      <c r="V1340" s="6" t="s">
        <v>8506</v>
      </c>
      <c r="Z1340" s="6" t="b">
        <v>1</v>
      </c>
      <c r="AA1340" s="371" t="b">
        <v>1</v>
      </c>
      <c r="AC1340" s="82"/>
      <c r="AD1340" t="str">
        <f t="shared" ref="AD1340:AD1347" si="11">IFNA(IFS(U1340=False,D1340),"")</f>
        <v>2W02</v>
      </c>
      <c r="AE1340" t="str">
        <f t="shared" ref="AE1340:AE1347" si="12">IFNA(IFS(U1340=false,H1340),"")</f>
        <v>Stockholm</v>
      </c>
    </row>
    <row r="1341">
      <c r="A1341" s="35">
        <v>1.0</v>
      </c>
      <c r="B1341" s="35" t="s">
        <v>8287</v>
      </c>
      <c r="C1341" s="35" t="s">
        <v>408</v>
      </c>
      <c r="D1341" s="365" t="s">
        <v>8507</v>
      </c>
      <c r="E1341" s="101"/>
      <c r="F1341" s="35">
        <v>9.4200151322E11</v>
      </c>
      <c r="H1341" s="473" t="s">
        <v>597</v>
      </c>
      <c r="I1341" s="474"/>
      <c r="J1341" s="475"/>
      <c r="K1341" s="275" t="str">
        <f>IFNA(VLOOKUP(D1341,'EAN Codes'!A:C,2,False),"")</f>
        <v/>
      </c>
      <c r="L1341" s="82"/>
      <c r="M1341" s="476" t="b">
        <v>0</v>
      </c>
      <c r="N1341" s="477" t="b">
        <v>0</v>
      </c>
      <c r="O1341" s="477" t="b">
        <v>0</v>
      </c>
      <c r="P1341" s="477" t="b">
        <v>0</v>
      </c>
      <c r="Q1341" s="477" t="b">
        <v>0</v>
      </c>
      <c r="R1341" s="478"/>
      <c r="S1341" s="479"/>
      <c r="T1341" s="543"/>
      <c r="U1341" s="514" t="b">
        <v>0</v>
      </c>
      <c r="V1341" s="6" t="s">
        <v>8508</v>
      </c>
      <c r="Z1341" s="6" t="b">
        <v>1</v>
      </c>
      <c r="AA1341" s="371" t="b">
        <v>1</v>
      </c>
      <c r="AC1341" s="82"/>
      <c r="AD1341" t="str">
        <f t="shared" si="11"/>
        <v>2W20</v>
      </c>
      <c r="AE1341" t="str">
        <f t="shared" si="12"/>
        <v>Stockholm</v>
      </c>
    </row>
    <row r="1342" hidden="1">
      <c r="A1342" s="6">
        <v>1.0</v>
      </c>
      <c r="B1342" s="6" t="s">
        <v>8437</v>
      </c>
      <c r="C1342" s="6" t="s">
        <v>1116</v>
      </c>
      <c r="D1342" s="127" t="s">
        <v>8503</v>
      </c>
      <c r="H1342" s="473" t="s">
        <v>135</v>
      </c>
      <c r="I1342" s="474"/>
      <c r="J1342" s="475"/>
      <c r="K1342" s="275" t="str">
        <f>IFNA(VLOOKUP(D1342,'EAN Codes'!A:C,2,False),"")</f>
        <v/>
      </c>
      <c r="L1342" s="82"/>
      <c r="M1342" s="476" t="b">
        <v>0</v>
      </c>
      <c r="N1342" s="477" t="b">
        <v>0</v>
      </c>
      <c r="O1342" s="477" t="b">
        <v>0</v>
      </c>
      <c r="P1342" s="477" t="b">
        <v>0</v>
      </c>
      <c r="Q1342" s="477" t="b">
        <v>0</v>
      </c>
      <c r="R1342" s="478"/>
      <c r="S1342" s="479"/>
      <c r="T1342" s="543"/>
      <c r="U1342" s="481" t="b">
        <v>1</v>
      </c>
      <c r="V1342" s="6" t="s">
        <v>8509</v>
      </c>
      <c r="Z1342" s="6" t="b">
        <v>1</v>
      </c>
      <c r="AA1342" s="6" t="b">
        <v>0</v>
      </c>
      <c r="AC1342" s="82"/>
      <c r="AD1342" t="str">
        <f t="shared" si="11"/>
        <v/>
      </c>
      <c r="AE1342" t="str">
        <f t="shared" si="12"/>
        <v/>
      </c>
    </row>
    <row r="1343" hidden="1">
      <c r="A1343" s="6">
        <v>1.0</v>
      </c>
      <c r="B1343" s="6" t="s">
        <v>8437</v>
      </c>
      <c r="C1343" s="6" t="s">
        <v>1116</v>
      </c>
      <c r="D1343" s="127" t="s">
        <v>8503</v>
      </c>
      <c r="H1343" s="473" t="s">
        <v>135</v>
      </c>
      <c r="I1343" s="474"/>
      <c r="J1343" s="475"/>
      <c r="K1343" s="275" t="str">
        <f>IFNA(VLOOKUP(D1343,'EAN Codes'!A:C,2,False),"")</f>
        <v/>
      </c>
      <c r="L1343" s="82"/>
      <c r="M1343" s="476" t="b">
        <v>0</v>
      </c>
      <c r="N1343" s="477" t="b">
        <v>0</v>
      </c>
      <c r="O1343" s="477" t="b">
        <v>0</v>
      </c>
      <c r="P1343" s="477" t="b">
        <v>0</v>
      </c>
      <c r="Q1343" s="477" t="b">
        <v>0</v>
      </c>
      <c r="R1343" s="478"/>
      <c r="S1343" s="479"/>
      <c r="T1343" s="543"/>
      <c r="U1343" s="481" t="b">
        <v>1</v>
      </c>
      <c r="V1343" s="6" t="s">
        <v>8510</v>
      </c>
      <c r="Z1343" s="6" t="b">
        <v>1</v>
      </c>
      <c r="AA1343" t="b">
        <v>0</v>
      </c>
      <c r="AC1343" s="82"/>
      <c r="AD1343" t="str">
        <f t="shared" si="11"/>
        <v/>
      </c>
      <c r="AE1343" t="str">
        <f t="shared" si="12"/>
        <v/>
      </c>
    </row>
    <row r="1344" hidden="1">
      <c r="A1344" s="6">
        <v>1.0</v>
      </c>
      <c r="B1344" s="6" t="s">
        <v>8437</v>
      </c>
      <c r="C1344" s="6" t="s">
        <v>1116</v>
      </c>
      <c r="D1344" s="127" t="s">
        <v>8503</v>
      </c>
      <c r="H1344" s="473" t="s">
        <v>135</v>
      </c>
      <c r="I1344" s="474"/>
      <c r="J1344" s="475"/>
      <c r="K1344" s="275" t="str">
        <f>IFNA(VLOOKUP(D1344,'EAN Codes'!A:C,2,False),"")</f>
        <v/>
      </c>
      <c r="L1344" s="82"/>
      <c r="M1344" s="476" t="b">
        <v>0</v>
      </c>
      <c r="N1344" s="477" t="b">
        <v>0</v>
      </c>
      <c r="O1344" s="477" t="b">
        <v>0</v>
      </c>
      <c r="P1344" s="477" t="b">
        <v>0</v>
      </c>
      <c r="Q1344" s="477" t="b">
        <v>0</v>
      </c>
      <c r="R1344" s="478"/>
      <c r="S1344" s="479"/>
      <c r="T1344" s="543"/>
      <c r="U1344" s="481" t="b">
        <v>1</v>
      </c>
      <c r="V1344" s="6" t="s">
        <v>8511</v>
      </c>
      <c r="Z1344" s="6" t="b">
        <v>1</v>
      </c>
      <c r="AA1344" t="b">
        <v>0</v>
      </c>
      <c r="AC1344" s="82"/>
      <c r="AD1344" t="str">
        <f t="shared" si="11"/>
        <v/>
      </c>
      <c r="AE1344" t="str">
        <f t="shared" si="12"/>
        <v/>
      </c>
    </row>
    <row r="1345" hidden="1">
      <c r="A1345" s="6">
        <v>1.0</v>
      </c>
      <c r="B1345" s="6" t="s">
        <v>8437</v>
      </c>
      <c r="C1345" s="6" t="s">
        <v>1116</v>
      </c>
      <c r="D1345" s="127" t="s">
        <v>8503</v>
      </c>
      <c r="H1345" s="473" t="s">
        <v>135</v>
      </c>
      <c r="I1345" s="474"/>
      <c r="J1345" s="475"/>
      <c r="K1345" s="275" t="str">
        <f>IFNA(VLOOKUP(D1345,'EAN Codes'!A:C,2,False),"")</f>
        <v/>
      </c>
      <c r="L1345" s="82"/>
      <c r="M1345" s="476" t="b">
        <v>0</v>
      </c>
      <c r="N1345" s="477" t="b">
        <v>0</v>
      </c>
      <c r="O1345" s="477" t="b">
        <v>0</v>
      </c>
      <c r="P1345" s="477" t="b">
        <v>0</v>
      </c>
      <c r="Q1345" s="477" t="b">
        <v>0</v>
      </c>
      <c r="R1345" s="478"/>
      <c r="S1345" s="479"/>
      <c r="T1345" s="543"/>
      <c r="U1345" s="481" t="b">
        <v>1</v>
      </c>
      <c r="V1345" s="6" t="s">
        <v>8512</v>
      </c>
      <c r="Z1345" s="6" t="b">
        <v>1</v>
      </c>
      <c r="AA1345" t="b">
        <v>0</v>
      </c>
      <c r="AC1345" s="82"/>
      <c r="AD1345" t="str">
        <f t="shared" si="11"/>
        <v/>
      </c>
      <c r="AE1345" t="str">
        <f t="shared" si="12"/>
        <v/>
      </c>
    </row>
    <row r="1346" hidden="1">
      <c r="A1346" s="6">
        <v>1.0</v>
      </c>
      <c r="B1346" s="6" t="s">
        <v>8437</v>
      </c>
      <c r="C1346" s="6" t="s">
        <v>1116</v>
      </c>
      <c r="D1346" s="127" t="s">
        <v>8503</v>
      </c>
      <c r="H1346" s="473" t="s">
        <v>135</v>
      </c>
      <c r="I1346" s="474"/>
      <c r="J1346" s="475"/>
      <c r="K1346" s="275" t="str">
        <f>IFNA(VLOOKUP(D1346,'EAN Codes'!A:C,2,False),"")</f>
        <v/>
      </c>
      <c r="L1346" s="82"/>
      <c r="M1346" s="476" t="b">
        <v>0</v>
      </c>
      <c r="N1346" s="477" t="b">
        <v>0</v>
      </c>
      <c r="O1346" s="477" t="b">
        <v>0</v>
      </c>
      <c r="P1346" s="477" t="b">
        <v>0</v>
      </c>
      <c r="Q1346" s="477" t="b">
        <v>0</v>
      </c>
      <c r="R1346" s="478"/>
      <c r="S1346" s="479"/>
      <c r="T1346" s="543"/>
      <c r="U1346" s="481" t="b">
        <v>1</v>
      </c>
      <c r="V1346" s="6" t="s">
        <v>8513</v>
      </c>
      <c r="Z1346" s="6" t="b">
        <v>1</v>
      </c>
      <c r="AA1346" t="b">
        <v>0</v>
      </c>
      <c r="AC1346" s="82"/>
      <c r="AD1346" t="str">
        <f t="shared" si="11"/>
        <v/>
      </c>
      <c r="AE1346" t="str">
        <f t="shared" si="12"/>
        <v/>
      </c>
    </row>
    <row r="1347" hidden="1">
      <c r="A1347" s="6">
        <v>1.0</v>
      </c>
      <c r="B1347" s="6" t="s">
        <v>8437</v>
      </c>
      <c r="C1347" s="6" t="s">
        <v>1116</v>
      </c>
      <c r="D1347" s="127" t="s">
        <v>8503</v>
      </c>
      <c r="H1347" s="473" t="s">
        <v>135</v>
      </c>
      <c r="I1347" s="474"/>
      <c r="J1347" s="475"/>
      <c r="K1347" s="275" t="str">
        <f>IFNA(VLOOKUP(D1347,'EAN Codes'!A:C,2,False),"")</f>
        <v/>
      </c>
      <c r="L1347" s="82"/>
      <c r="M1347" s="476" t="b">
        <v>0</v>
      </c>
      <c r="N1347" s="477" t="b">
        <v>0</v>
      </c>
      <c r="O1347" s="477" t="b">
        <v>0</v>
      </c>
      <c r="P1347" s="477" t="b">
        <v>0</v>
      </c>
      <c r="Q1347" s="477" t="b">
        <v>0</v>
      </c>
      <c r="R1347" s="478"/>
      <c r="S1347" s="479"/>
      <c r="T1347" s="543"/>
      <c r="U1347" s="481" t="b">
        <v>1</v>
      </c>
      <c r="V1347" s="6" t="s">
        <v>8514</v>
      </c>
      <c r="Z1347" s="6" t="b">
        <v>1</v>
      </c>
      <c r="AA1347" t="b">
        <v>0</v>
      </c>
      <c r="AC1347" s="82"/>
      <c r="AD1347" t="str">
        <f t="shared" si="11"/>
        <v/>
      </c>
      <c r="AE1347" t="str">
        <f t="shared" si="12"/>
        <v/>
      </c>
    </row>
    <row r="1348" hidden="1">
      <c r="A1348" s="6">
        <v>1.0</v>
      </c>
      <c r="B1348" s="99" t="s">
        <v>8437</v>
      </c>
      <c r="C1348" s="99" t="s">
        <v>1116</v>
      </c>
      <c r="D1348" s="100" t="s">
        <v>8503</v>
      </c>
      <c r="H1348" s="473" t="s">
        <v>135</v>
      </c>
      <c r="I1348" s="474"/>
      <c r="J1348" s="536"/>
      <c r="K1348" s="275" t="str">
        <f>IFNA(VLOOKUP(D1348,'EAN Codes'!A:C,2,False),"")</f>
        <v/>
      </c>
      <c r="L1348" s="82"/>
      <c r="M1348" s="476" t="b">
        <v>0</v>
      </c>
      <c r="N1348" s="477" t="b">
        <v>0</v>
      </c>
      <c r="O1348" s="477" t="b">
        <v>0</v>
      </c>
      <c r="P1348" s="477" t="b">
        <v>0</v>
      </c>
      <c r="Q1348" s="477" t="b">
        <v>0</v>
      </c>
      <c r="R1348" s="478"/>
      <c r="S1348" s="479"/>
      <c r="T1348" s="480" t="s">
        <v>8515</v>
      </c>
      <c r="U1348" s="481" t="b">
        <v>1</v>
      </c>
      <c r="V1348" s="6" t="s">
        <v>8516</v>
      </c>
      <c r="Z1348" t="b">
        <v>0</v>
      </c>
      <c r="AA1348" t="b">
        <v>0</v>
      </c>
    </row>
    <row r="1349" hidden="1">
      <c r="A1349" s="6">
        <v>1.0</v>
      </c>
      <c r="B1349" s="99" t="s">
        <v>181</v>
      </c>
      <c r="C1349" s="99" t="s">
        <v>1116</v>
      </c>
      <c r="D1349" s="100" t="s">
        <v>8243</v>
      </c>
      <c r="E1349" s="101"/>
      <c r="F1349" s="101"/>
      <c r="G1349" s="101"/>
      <c r="H1349" s="99" t="s">
        <v>135</v>
      </c>
      <c r="I1349" s="101"/>
      <c r="J1349" s="110"/>
      <c r="K1349" s="107" t="str">
        <f>IFNA(VLOOKUP(D1349,'EAN Codes'!A:C,2,False),"")</f>
        <v>8717323068373</v>
      </c>
      <c r="L1349" s="101"/>
      <c r="M1349" s="119"/>
      <c r="N1349" s="99"/>
      <c r="O1349" s="99"/>
      <c r="P1349" s="99"/>
      <c r="Q1349" s="99"/>
      <c r="R1349" s="99"/>
      <c r="S1349" s="104"/>
      <c r="T1349" s="99" t="s">
        <v>8517</v>
      </c>
      <c r="U1349" s="104" t="b">
        <v>1</v>
      </c>
      <c r="V1349" s="99" t="s">
        <v>8518</v>
      </c>
      <c r="W1349" s="101"/>
      <c r="X1349" s="101"/>
      <c r="Y1349" s="101"/>
      <c r="Z1349" s="101" t="b">
        <v>0</v>
      </c>
      <c r="AA1349" t="b">
        <v>0</v>
      </c>
      <c r="AB1349" s="101"/>
      <c r="AC1349" s="101"/>
      <c r="AD1349" s="101"/>
      <c r="AE1349" s="101"/>
    </row>
    <row r="1350" hidden="1">
      <c r="A1350" s="6">
        <v>1.0</v>
      </c>
      <c r="B1350" s="191" t="s">
        <v>241</v>
      </c>
      <c r="C1350" s="191" t="s">
        <v>342</v>
      </c>
      <c r="D1350" s="507" t="s">
        <v>8519</v>
      </c>
      <c r="E1350" s="124"/>
      <c r="F1350" s="191" t="s">
        <v>6665</v>
      </c>
      <c r="G1350" s="191">
        <v>200004.0</v>
      </c>
      <c r="H1350" s="473" t="s">
        <v>835</v>
      </c>
      <c r="I1350" s="473" t="s">
        <v>8520</v>
      </c>
      <c r="J1350" s="582" t="s">
        <v>8521</v>
      </c>
      <c r="K1350" s="275" t="str">
        <f>IFNA(VLOOKUP(D1350,'EAN Codes'!A:C,2,False),"")</f>
        <v>5907615811722</v>
      </c>
      <c r="L1350" s="469"/>
      <c r="M1350" s="476" t="b">
        <v>0</v>
      </c>
      <c r="N1350" s="477" t="b">
        <v>0</v>
      </c>
      <c r="O1350" s="477" t="b">
        <v>0</v>
      </c>
      <c r="P1350" s="477" t="b">
        <v>0</v>
      </c>
      <c r="Q1350" s="477" t="b">
        <v>0</v>
      </c>
      <c r="R1350" s="478" t="s">
        <v>8522</v>
      </c>
      <c r="S1350" s="582" t="s">
        <v>8521</v>
      </c>
      <c r="T1350" s="480"/>
      <c r="U1350" s="481" t="b">
        <v>1</v>
      </c>
      <c r="V1350" s="191" t="s">
        <v>8523</v>
      </c>
      <c r="W1350" s="124"/>
      <c r="X1350" s="124"/>
      <c r="Y1350" s="124"/>
      <c r="Z1350" s="191" t="b">
        <v>1</v>
      </c>
      <c r="AA1350" t="b">
        <v>0</v>
      </c>
      <c r="AB1350" s="124"/>
      <c r="AC1350" s="124"/>
      <c r="AD1350" s="124"/>
      <c r="AE1350" s="124"/>
    </row>
    <row r="1351" hidden="1">
      <c r="A1351" s="6">
        <v>1.0</v>
      </c>
      <c r="B1351" s="191" t="s">
        <v>241</v>
      </c>
      <c r="C1351" s="191" t="s">
        <v>4382</v>
      </c>
      <c r="D1351" s="507" t="s">
        <v>8524</v>
      </c>
      <c r="E1351" s="124"/>
      <c r="F1351" s="191" t="s">
        <v>8525</v>
      </c>
      <c r="G1351" s="124"/>
      <c r="H1351" s="473" t="s">
        <v>8526</v>
      </c>
      <c r="I1351" s="473" t="s">
        <v>8527</v>
      </c>
      <c r="J1351" s="521"/>
      <c r="K1351" s="275" t="str">
        <f>IFNA(VLOOKUP(D1351,'EAN Codes'!A:C,2,False),"")</f>
        <v/>
      </c>
      <c r="L1351" s="469"/>
      <c r="M1351" s="476" t="b">
        <v>0</v>
      </c>
      <c r="N1351" s="477" t="b">
        <v>0</v>
      </c>
      <c r="O1351" s="477" t="b">
        <v>0</v>
      </c>
      <c r="P1351" s="497" t="b">
        <v>1</v>
      </c>
      <c r="Q1351" s="477" t="b">
        <v>0</v>
      </c>
      <c r="R1351" s="478"/>
      <c r="S1351" s="479" t="s">
        <v>8528</v>
      </c>
      <c r="T1351" s="480"/>
      <c r="U1351" s="481" t="b">
        <v>1</v>
      </c>
      <c r="V1351" s="191" t="s">
        <v>8529</v>
      </c>
      <c r="W1351" s="124"/>
      <c r="X1351" s="124"/>
      <c r="Y1351" s="124"/>
      <c r="Z1351" s="124" t="b">
        <v>0</v>
      </c>
      <c r="AA1351" t="b">
        <v>0</v>
      </c>
      <c r="AB1351" s="124"/>
      <c r="AC1351" s="124"/>
      <c r="AD1351" s="124"/>
      <c r="AE1351" s="124"/>
    </row>
    <row r="1352" hidden="1">
      <c r="A1352" s="6">
        <v>1.0</v>
      </c>
      <c r="B1352" s="191" t="s">
        <v>241</v>
      </c>
      <c r="C1352" s="191" t="s">
        <v>1250</v>
      </c>
      <c r="D1352" s="507" t="s">
        <v>8530</v>
      </c>
      <c r="E1352" s="124"/>
      <c r="F1352" s="124"/>
      <c r="G1352" s="124"/>
      <c r="H1352" s="473" t="s">
        <v>255</v>
      </c>
      <c r="I1352" s="473" t="s">
        <v>8531</v>
      </c>
      <c r="J1352" s="521"/>
      <c r="K1352" s="275" t="str">
        <f>IFNA(VLOOKUP(D1352,'EAN Codes'!A:C,2,False),"")</f>
        <v/>
      </c>
      <c r="L1352" s="469"/>
      <c r="M1352" s="476" t="b">
        <v>0</v>
      </c>
      <c r="N1352" s="477" t="b">
        <v>0</v>
      </c>
      <c r="O1352" s="477" t="b">
        <v>0</v>
      </c>
      <c r="P1352" s="477" t="b">
        <v>0</v>
      </c>
      <c r="Q1352" s="497" t="b">
        <v>1</v>
      </c>
      <c r="R1352" s="478"/>
      <c r="S1352" s="479"/>
      <c r="T1352" s="480" t="s">
        <v>8532</v>
      </c>
      <c r="U1352" s="481" t="b">
        <v>1</v>
      </c>
      <c r="V1352" s="191" t="s">
        <v>8533</v>
      </c>
      <c r="Z1352" t="b">
        <v>0</v>
      </c>
      <c r="AA1352" t="b">
        <v>0</v>
      </c>
    </row>
    <row r="1353">
      <c r="A1353" s="35">
        <v>1.0</v>
      </c>
      <c r="B1353" s="35" t="s">
        <v>8287</v>
      </c>
      <c r="C1353" s="35" t="s">
        <v>408</v>
      </c>
      <c r="D1353" s="365" t="s">
        <v>8534</v>
      </c>
      <c r="E1353" s="583"/>
      <c r="F1353" s="160">
        <v>9.42001513249E11</v>
      </c>
      <c r="G1353" s="115"/>
      <c r="H1353" s="473" t="s">
        <v>597</v>
      </c>
      <c r="I1353" s="473"/>
      <c r="J1353" s="508"/>
      <c r="K1353" s="275"/>
      <c r="L1353" s="469"/>
      <c r="M1353" s="476" t="b">
        <v>0</v>
      </c>
      <c r="N1353" s="497" t="b">
        <v>0</v>
      </c>
      <c r="O1353" s="477" t="b">
        <v>0</v>
      </c>
      <c r="P1353" s="477" t="b">
        <v>0</v>
      </c>
      <c r="Q1353" s="497" t="b">
        <v>0</v>
      </c>
      <c r="R1353" s="478"/>
      <c r="S1353" s="479"/>
      <c r="T1353" s="480"/>
      <c r="U1353" s="514" t="b">
        <v>0</v>
      </c>
      <c r="V1353" s="191" t="s">
        <v>8535</v>
      </c>
      <c r="Z1353" s="6" t="b">
        <v>1</v>
      </c>
      <c r="AA1353" s="371" t="b">
        <v>1</v>
      </c>
      <c r="AC1353" s="82"/>
      <c r="AD1353" t="str">
        <f>IFNA(IFS(U1353=False,D1353),"")</f>
        <v>2W49</v>
      </c>
      <c r="AE1353" t="str">
        <f>IFNA(IFS(U1353=false,H1353),"")</f>
        <v>Stockholm</v>
      </c>
    </row>
    <row r="1354" hidden="1">
      <c r="A1354" s="6">
        <v>1.0</v>
      </c>
      <c r="B1354" s="6" t="s">
        <v>391</v>
      </c>
      <c r="C1354" s="6" t="s">
        <v>8536</v>
      </c>
      <c r="D1354" s="127" t="s">
        <v>8537</v>
      </c>
      <c r="H1354" s="6" t="s">
        <v>763</v>
      </c>
      <c r="J1354" s="60"/>
      <c r="K1354" s="66" t="str">
        <f>IFNA(VLOOKUP(D1354,'EAN Codes'!A:C,2,False),"")</f>
        <v/>
      </c>
      <c r="L1354" s="82"/>
      <c r="M1354" s="83"/>
      <c r="N1354" s="6"/>
      <c r="O1354" s="6"/>
      <c r="P1354" s="6"/>
      <c r="Q1354" s="6"/>
      <c r="R1354" s="6"/>
      <c r="S1354" s="84"/>
      <c r="T1354" s="6" t="s">
        <v>8538</v>
      </c>
      <c r="U1354" s="146" t="b">
        <v>1</v>
      </c>
      <c r="V1354" s="6" t="s">
        <v>8539</v>
      </c>
      <c r="Z1354" t="b">
        <v>0</v>
      </c>
      <c r="AA1354" t="b">
        <v>0</v>
      </c>
    </row>
    <row r="1355" hidden="1">
      <c r="A1355" s="6">
        <v>1.0</v>
      </c>
      <c r="B1355" s="6" t="s">
        <v>391</v>
      </c>
      <c r="C1355" s="6" t="s">
        <v>8536</v>
      </c>
      <c r="D1355" s="127" t="s">
        <v>8540</v>
      </c>
      <c r="H1355" s="6" t="s">
        <v>763</v>
      </c>
      <c r="J1355" s="60"/>
      <c r="K1355" s="66" t="str">
        <f>IFNA(VLOOKUP(D1355,'EAN Codes'!A:C,2,False),"")</f>
        <v/>
      </c>
      <c r="L1355" s="82"/>
      <c r="M1355" s="83"/>
      <c r="N1355" s="6"/>
      <c r="O1355" s="6"/>
      <c r="P1355" s="6"/>
      <c r="Q1355" s="6"/>
      <c r="R1355" s="6"/>
      <c r="S1355" s="84"/>
      <c r="T1355" s="6" t="s">
        <v>8538</v>
      </c>
      <c r="U1355" s="146" t="b">
        <v>1</v>
      </c>
      <c r="V1355" s="6" t="s">
        <v>8539</v>
      </c>
      <c r="Z1355" t="b">
        <v>0</v>
      </c>
      <c r="AA1355" t="b">
        <v>0</v>
      </c>
    </row>
    <row r="1356" hidden="1">
      <c r="A1356" s="6">
        <v>1.0</v>
      </c>
      <c r="B1356" s="6" t="s">
        <v>391</v>
      </c>
      <c r="C1356" s="6" t="s">
        <v>8536</v>
      </c>
      <c r="D1356" s="127" t="s">
        <v>8541</v>
      </c>
      <c r="H1356" s="6" t="s">
        <v>763</v>
      </c>
      <c r="J1356" s="60"/>
      <c r="K1356" s="66" t="str">
        <f>IFNA(VLOOKUP(D1356,'EAN Codes'!A:C,2,False),"")</f>
        <v/>
      </c>
      <c r="L1356" s="82"/>
      <c r="M1356" s="83"/>
      <c r="N1356" s="6"/>
      <c r="O1356" s="6"/>
      <c r="P1356" s="6"/>
      <c r="Q1356" s="6"/>
      <c r="R1356" s="6"/>
      <c r="S1356" s="84"/>
      <c r="T1356" s="6" t="s">
        <v>8538</v>
      </c>
      <c r="U1356" s="146" t="b">
        <v>1</v>
      </c>
      <c r="V1356" s="6" t="s">
        <v>8539</v>
      </c>
      <c r="Z1356" t="b">
        <v>0</v>
      </c>
      <c r="AA1356" t="b">
        <v>0</v>
      </c>
    </row>
    <row r="1357" hidden="1">
      <c r="A1357" s="6">
        <v>1.0</v>
      </c>
      <c r="B1357" s="99" t="s">
        <v>241</v>
      </c>
      <c r="C1357" s="99" t="s">
        <v>1813</v>
      </c>
      <c r="D1357" s="100" t="s">
        <v>8542</v>
      </c>
      <c r="E1357" s="101"/>
      <c r="F1357" s="99" t="s">
        <v>7524</v>
      </c>
      <c r="G1357" s="101"/>
      <c r="H1357" s="473" t="s">
        <v>8543</v>
      </c>
      <c r="I1357" s="473" t="s">
        <v>8544</v>
      </c>
      <c r="J1357" s="521"/>
      <c r="K1357" s="275" t="str">
        <f>IFNA(VLOOKUP(D1357,'EAN Codes'!A:C,2,False),"")</f>
        <v/>
      </c>
      <c r="L1357" s="82"/>
      <c r="M1357" s="476" t="b">
        <v>0</v>
      </c>
      <c r="N1357" s="497" t="b">
        <v>1</v>
      </c>
      <c r="O1357" s="477" t="b">
        <v>0</v>
      </c>
      <c r="P1357" s="497" t="b">
        <v>1</v>
      </c>
      <c r="Q1357" s="477" t="b">
        <v>0</v>
      </c>
      <c r="R1357" s="478" t="s">
        <v>8545</v>
      </c>
      <c r="S1357" s="479" t="s">
        <v>8546</v>
      </c>
      <c r="T1357" s="480"/>
      <c r="U1357" s="481" t="b">
        <v>1</v>
      </c>
      <c r="V1357" s="6" t="s">
        <v>8547</v>
      </c>
      <c r="Z1357" t="b">
        <v>0</v>
      </c>
      <c r="AA1357" t="b">
        <v>0</v>
      </c>
    </row>
    <row r="1358" hidden="1">
      <c r="A1358" s="6">
        <v>1.0</v>
      </c>
      <c r="B1358" s="6" t="s">
        <v>241</v>
      </c>
      <c r="C1358" s="6" t="s">
        <v>3701</v>
      </c>
      <c r="D1358" s="127" t="s">
        <v>8548</v>
      </c>
      <c r="E1358" s="6" t="s">
        <v>346</v>
      </c>
      <c r="F1358" s="6" t="s">
        <v>8549</v>
      </c>
      <c r="H1358" s="473" t="s">
        <v>6</v>
      </c>
      <c r="I1358" s="474"/>
      <c r="J1358" s="508" t="s">
        <v>8550</v>
      </c>
      <c r="K1358" s="275" t="str">
        <f>IFNA(VLOOKUP(D1358,'EAN Codes'!A:C,2,False),"")</f>
        <v/>
      </c>
      <c r="L1358" s="82"/>
      <c r="M1358" s="476" t="b">
        <v>0</v>
      </c>
      <c r="N1358" s="497" t="b">
        <v>1</v>
      </c>
      <c r="O1358" s="477" t="b">
        <v>0</v>
      </c>
      <c r="P1358" s="477" t="b">
        <v>0</v>
      </c>
      <c r="Q1358" s="477" t="b">
        <v>0</v>
      </c>
      <c r="R1358" s="478" t="s">
        <v>8551</v>
      </c>
      <c r="S1358" s="540"/>
      <c r="T1358" s="543"/>
      <c r="U1358" s="481" t="b">
        <v>1</v>
      </c>
      <c r="Z1358" t="b">
        <v>0</v>
      </c>
      <c r="AA1358" t="b">
        <v>0</v>
      </c>
    </row>
    <row r="1359" hidden="1">
      <c r="A1359" s="99">
        <v>1.0</v>
      </c>
      <c r="B1359" s="99" t="s">
        <v>241</v>
      </c>
      <c r="C1359" s="99" t="s">
        <v>3701</v>
      </c>
      <c r="D1359" s="100" t="s">
        <v>8552</v>
      </c>
      <c r="E1359" s="101"/>
      <c r="F1359" s="101"/>
      <c r="G1359" s="101"/>
      <c r="H1359" s="99" t="s">
        <v>255</v>
      </c>
      <c r="I1359" s="101"/>
      <c r="J1359" s="110"/>
      <c r="K1359" s="107" t="str">
        <f>IFNA(VLOOKUP(D1359,'EAN Codes'!A:C,2,False),"")</f>
        <v/>
      </c>
      <c r="L1359" s="101"/>
      <c r="M1359" s="119"/>
      <c r="N1359" s="99"/>
      <c r="O1359" s="99"/>
      <c r="P1359" s="99"/>
      <c r="Q1359" s="99"/>
      <c r="R1359" s="99"/>
      <c r="S1359" s="104"/>
      <c r="T1359" s="99" t="s">
        <v>8553</v>
      </c>
      <c r="U1359" s="104" t="b">
        <v>1</v>
      </c>
      <c r="V1359" s="99" t="s">
        <v>8554</v>
      </c>
      <c r="W1359" s="101"/>
      <c r="X1359" s="101"/>
      <c r="Y1359" s="101"/>
      <c r="Z1359" s="101" t="b">
        <v>0</v>
      </c>
      <c r="AA1359" t="b">
        <v>0</v>
      </c>
      <c r="AB1359" s="101"/>
      <c r="AC1359" s="101"/>
      <c r="AD1359" s="101"/>
      <c r="AE1359" s="101"/>
    </row>
    <row r="1360" hidden="1">
      <c r="A1360" s="99">
        <v>1.0</v>
      </c>
      <c r="B1360" s="99" t="s">
        <v>181</v>
      </c>
      <c r="C1360" s="99" t="s">
        <v>1116</v>
      </c>
      <c r="D1360" s="100" t="s">
        <v>8081</v>
      </c>
      <c r="E1360" s="101"/>
      <c r="F1360" s="101"/>
      <c r="G1360" s="101"/>
      <c r="H1360" s="99" t="s">
        <v>255</v>
      </c>
      <c r="I1360" s="101"/>
      <c r="J1360" s="110"/>
      <c r="K1360" s="107" t="str">
        <f>IFNA(VLOOKUP(D1360,'EAN Codes'!A:C,2,False),"")</f>
        <v>8717323059715</v>
      </c>
      <c r="L1360" s="101"/>
      <c r="M1360" s="119"/>
      <c r="N1360" s="99"/>
      <c r="O1360" s="99"/>
      <c r="P1360" s="99"/>
      <c r="Q1360" s="99"/>
      <c r="R1360" s="99"/>
      <c r="S1360" s="104"/>
      <c r="T1360" s="99" t="s">
        <v>8553</v>
      </c>
      <c r="U1360" s="104" t="b">
        <v>1</v>
      </c>
      <c r="V1360" s="99" t="s">
        <v>8554</v>
      </c>
      <c r="W1360" s="101"/>
      <c r="X1360" s="101"/>
      <c r="Y1360" s="101"/>
      <c r="Z1360" s="101" t="b">
        <v>0</v>
      </c>
      <c r="AA1360" t="b">
        <v>0</v>
      </c>
      <c r="AB1360" s="101"/>
      <c r="AC1360" s="101"/>
      <c r="AD1360" s="101"/>
      <c r="AE1360" s="101"/>
    </row>
    <row r="1361">
      <c r="A1361" s="6">
        <v>1.0</v>
      </c>
      <c r="B1361" s="35" t="s">
        <v>8287</v>
      </c>
      <c r="C1361" s="35" t="s">
        <v>408</v>
      </c>
      <c r="D1361" s="272" t="s">
        <v>8555</v>
      </c>
      <c r="E1361" s="101"/>
      <c r="F1361" s="35">
        <v>9.42001513221E11</v>
      </c>
      <c r="H1361" s="473" t="s">
        <v>597</v>
      </c>
      <c r="I1361" s="474"/>
      <c r="J1361" s="475"/>
      <c r="K1361" s="275" t="str">
        <f>IFNA(VLOOKUP(D1361,'EAN Codes'!A:C,2,False),"")</f>
        <v/>
      </c>
      <c r="L1361" s="82"/>
      <c r="M1361" s="476" t="b">
        <v>0</v>
      </c>
      <c r="N1361" s="477" t="b">
        <v>0</v>
      </c>
      <c r="O1361" s="477" t="b">
        <v>0</v>
      </c>
      <c r="P1361" s="477" t="b">
        <v>0</v>
      </c>
      <c r="Q1361" s="477" t="b">
        <v>0</v>
      </c>
      <c r="R1361" s="539"/>
      <c r="S1361" s="540"/>
      <c r="T1361" s="543"/>
      <c r="U1361" s="514" t="b">
        <v>0</v>
      </c>
      <c r="Z1361" s="6" t="b">
        <v>1</v>
      </c>
      <c r="AA1361" s="371" t="b">
        <v>1</v>
      </c>
      <c r="AC1361" s="35">
        <f>22.19</f>
        <v>22.19</v>
      </c>
      <c r="AD1361" t="str">
        <f t="shared" ref="AD1361:AD1364" si="13">IFNA(IFS(U1361=False,D1361),"")</f>
        <v>2W21</v>
      </c>
      <c r="AE1361" t="str">
        <f t="shared" ref="AE1361:AE1364" si="14">IFNA(IFS(U1361=false,H1361),"")</f>
        <v>Stockholm</v>
      </c>
    </row>
    <row r="1362">
      <c r="A1362" s="6">
        <v>1.0</v>
      </c>
      <c r="B1362" s="35" t="s">
        <v>8287</v>
      </c>
      <c r="C1362" s="35" t="s">
        <v>408</v>
      </c>
      <c r="D1362" s="272" t="s">
        <v>8556</v>
      </c>
      <c r="E1362" s="101"/>
      <c r="F1362" s="35">
        <v>9.42001513234E11</v>
      </c>
      <c r="H1362" s="473" t="s">
        <v>597</v>
      </c>
      <c r="I1362" s="474"/>
      <c r="J1362" s="475"/>
      <c r="K1362" s="275" t="str">
        <f>IFNA(VLOOKUP(D1362,'EAN Codes'!A:C,2,False),"")</f>
        <v/>
      </c>
      <c r="L1362" s="82"/>
      <c r="M1362" s="476" t="b">
        <v>0</v>
      </c>
      <c r="N1362" s="477" t="b">
        <v>0</v>
      </c>
      <c r="O1362" s="477" t="b">
        <v>0</v>
      </c>
      <c r="P1362" s="477" t="b">
        <v>0</v>
      </c>
      <c r="Q1362" s="477" t="b">
        <v>0</v>
      </c>
      <c r="R1362" s="539"/>
      <c r="S1362" s="540"/>
      <c r="T1362" s="543"/>
      <c r="U1362" s="514" t="b">
        <v>0</v>
      </c>
      <c r="Z1362" s="6" t="b">
        <v>1</v>
      </c>
      <c r="AA1362" s="371" t="b">
        <v>1</v>
      </c>
      <c r="AC1362" s="82"/>
      <c r="AD1362" t="str">
        <f t="shared" si="13"/>
        <v>2W34</v>
      </c>
      <c r="AE1362" t="str">
        <f t="shared" si="14"/>
        <v>Stockholm</v>
      </c>
    </row>
    <row r="1363">
      <c r="A1363" s="6">
        <v>1.0</v>
      </c>
      <c r="B1363" s="35" t="s">
        <v>8287</v>
      </c>
      <c r="C1363" s="35" t="s">
        <v>408</v>
      </c>
      <c r="D1363" s="272" t="s">
        <v>8557</v>
      </c>
      <c r="E1363" s="101"/>
      <c r="F1363" s="35">
        <v>9.42001513211E11</v>
      </c>
      <c r="H1363" s="473" t="s">
        <v>597</v>
      </c>
      <c r="I1363" s="474"/>
      <c r="J1363" s="475"/>
      <c r="K1363" s="275" t="str">
        <f>IFNA(VLOOKUP(D1363,'EAN Codes'!A:C,2,False),"")</f>
        <v/>
      </c>
      <c r="L1363" s="82"/>
      <c r="M1363" s="476" t="b">
        <v>0</v>
      </c>
      <c r="N1363" s="477" t="b">
        <v>0</v>
      </c>
      <c r="O1363" s="477" t="b">
        <v>0</v>
      </c>
      <c r="P1363" s="477" t="b">
        <v>0</v>
      </c>
      <c r="Q1363" s="477" t="b">
        <v>0</v>
      </c>
      <c r="R1363" s="539"/>
      <c r="S1363" s="540"/>
      <c r="T1363" s="543"/>
      <c r="U1363" s="514" t="b">
        <v>0</v>
      </c>
      <c r="Z1363" s="6" t="b">
        <v>1</v>
      </c>
      <c r="AA1363" s="371" t="b">
        <v>1</v>
      </c>
      <c r="AC1363" s="82"/>
      <c r="AD1363" t="str">
        <f t="shared" si="13"/>
        <v>2W11</v>
      </c>
      <c r="AE1363" t="str">
        <f t="shared" si="14"/>
        <v>Stockholm</v>
      </c>
    </row>
    <row r="1364" hidden="1">
      <c r="A1364" s="6">
        <v>1.0</v>
      </c>
      <c r="B1364" s="6" t="s">
        <v>2651</v>
      </c>
      <c r="C1364" s="6" t="s">
        <v>1759</v>
      </c>
      <c r="D1364" s="127" t="s">
        <v>8558</v>
      </c>
      <c r="F1364" s="6" t="s">
        <v>2932</v>
      </c>
      <c r="H1364" s="473" t="s">
        <v>135</v>
      </c>
      <c r="I1364" s="474"/>
      <c r="J1364" s="475"/>
      <c r="K1364" s="275" t="str">
        <f>IFNA(VLOOKUP(D1364,'EAN Codes'!A:C,2,False),"")</f>
        <v/>
      </c>
      <c r="L1364" s="82"/>
      <c r="M1364" s="476" t="b">
        <v>0</v>
      </c>
      <c r="N1364" s="477" t="b">
        <v>0</v>
      </c>
      <c r="O1364" s="477" t="b">
        <v>0</v>
      </c>
      <c r="P1364" s="477" t="b">
        <v>0</v>
      </c>
      <c r="Q1364" s="477" t="b">
        <v>0</v>
      </c>
      <c r="R1364" s="539"/>
      <c r="S1364" s="540"/>
      <c r="T1364" s="543"/>
      <c r="U1364" s="481" t="b">
        <v>1</v>
      </c>
      <c r="Z1364" s="6" t="b">
        <v>1</v>
      </c>
      <c r="AA1364" t="b">
        <v>0</v>
      </c>
      <c r="AC1364" s="82"/>
      <c r="AD1364" t="str">
        <f t="shared" si="13"/>
        <v/>
      </c>
      <c r="AE1364" t="str">
        <f t="shared" si="14"/>
        <v/>
      </c>
    </row>
    <row r="1365" hidden="1">
      <c r="A1365" s="6">
        <v>1.0</v>
      </c>
      <c r="B1365" s="6" t="s">
        <v>2651</v>
      </c>
      <c r="C1365" s="6" t="s">
        <v>3751</v>
      </c>
      <c r="D1365" s="127" t="s">
        <v>8559</v>
      </c>
      <c r="H1365" s="473" t="s">
        <v>135</v>
      </c>
      <c r="I1365" s="474"/>
      <c r="J1365" s="536"/>
      <c r="K1365" s="275" t="str">
        <f>IFNA(VLOOKUP(D1365,'EAN Codes'!A:C,2,False),"")</f>
        <v/>
      </c>
      <c r="L1365" s="82"/>
      <c r="M1365" s="476" t="b">
        <v>0</v>
      </c>
      <c r="N1365" s="477" t="b">
        <v>0</v>
      </c>
      <c r="O1365" s="477" t="b">
        <v>0</v>
      </c>
      <c r="P1365" s="497" t="b">
        <v>1</v>
      </c>
      <c r="Q1365" s="477" t="b">
        <v>0</v>
      </c>
      <c r="R1365" s="478" t="s">
        <v>8560</v>
      </c>
      <c r="S1365" s="540"/>
      <c r="T1365" s="543"/>
      <c r="U1365" s="481" t="b">
        <v>1</v>
      </c>
      <c r="Z1365" t="b">
        <v>0</v>
      </c>
      <c r="AA1365" t="b">
        <v>0</v>
      </c>
    </row>
    <row r="1366" hidden="1">
      <c r="A1366" s="6">
        <v>1.0</v>
      </c>
      <c r="B1366" s="6" t="s">
        <v>2651</v>
      </c>
      <c r="C1366" s="6" t="s">
        <v>3751</v>
      </c>
      <c r="D1366" s="127" t="s">
        <v>8561</v>
      </c>
      <c r="H1366" s="473" t="s">
        <v>135</v>
      </c>
      <c r="I1366" s="474"/>
      <c r="J1366" s="536"/>
      <c r="K1366" s="275" t="str">
        <f>IFNA(VLOOKUP(D1366,'EAN Codes'!A:C,2,False),"")</f>
        <v/>
      </c>
      <c r="L1366" s="82"/>
      <c r="M1366" s="476" t="b">
        <v>0</v>
      </c>
      <c r="N1366" s="477" t="b">
        <v>0</v>
      </c>
      <c r="O1366" s="477" t="b">
        <v>0</v>
      </c>
      <c r="P1366" s="497" t="b">
        <v>1</v>
      </c>
      <c r="Q1366" s="477" t="b">
        <v>0</v>
      </c>
      <c r="R1366" s="478" t="s">
        <v>8560</v>
      </c>
      <c r="S1366" s="540"/>
      <c r="T1366" s="543"/>
      <c r="U1366" s="481" t="b">
        <v>1</v>
      </c>
      <c r="Z1366" t="b">
        <v>0</v>
      </c>
      <c r="AA1366" t="b">
        <v>0</v>
      </c>
    </row>
    <row r="1367" hidden="1">
      <c r="A1367" s="6">
        <v>1.0</v>
      </c>
      <c r="B1367" s="99" t="s">
        <v>181</v>
      </c>
      <c r="C1367" s="99" t="s">
        <v>408</v>
      </c>
      <c r="D1367" s="100" t="s">
        <v>8562</v>
      </c>
      <c r="H1367" s="473" t="s">
        <v>135</v>
      </c>
      <c r="I1367" s="474"/>
      <c r="J1367" s="475"/>
      <c r="K1367" s="275" t="str">
        <f>IFNA(VLOOKUP(D1367,'EAN Codes'!A:C,2,False),"")</f>
        <v/>
      </c>
      <c r="L1367" s="82"/>
      <c r="M1367" s="476" t="b">
        <v>0</v>
      </c>
      <c r="N1367" s="477" t="b">
        <v>0</v>
      </c>
      <c r="O1367" s="477" t="b">
        <v>0</v>
      </c>
      <c r="P1367" s="477" t="b">
        <v>0</v>
      </c>
      <c r="Q1367" s="477" t="b">
        <v>0</v>
      </c>
      <c r="R1367" s="539"/>
      <c r="S1367" s="540"/>
      <c r="T1367" s="543"/>
      <c r="U1367" s="481" t="b">
        <v>1</v>
      </c>
      <c r="Z1367" t="b">
        <v>0</v>
      </c>
      <c r="AA1367" t="b">
        <v>0</v>
      </c>
    </row>
    <row r="1368" hidden="1">
      <c r="A1368" s="6">
        <v>1.0</v>
      </c>
      <c r="B1368" s="99" t="s">
        <v>181</v>
      </c>
      <c r="C1368" s="99" t="s">
        <v>8438</v>
      </c>
      <c r="D1368" s="100" t="s">
        <v>8563</v>
      </c>
      <c r="E1368" s="101"/>
      <c r="F1368" s="99" t="s">
        <v>8564</v>
      </c>
      <c r="G1368" s="101"/>
      <c r="H1368" s="473" t="s">
        <v>135</v>
      </c>
      <c r="I1368" s="474"/>
      <c r="J1368" s="475"/>
      <c r="K1368" s="275" t="str">
        <f>IFNA(VLOOKUP(D1368,'EAN Codes'!A:C,2,False),"")</f>
        <v/>
      </c>
      <c r="L1368" s="82"/>
      <c r="M1368" s="476" t="b">
        <v>0</v>
      </c>
      <c r="N1368" s="477" t="b">
        <v>0</v>
      </c>
      <c r="O1368" s="477" t="b">
        <v>0</v>
      </c>
      <c r="P1368" s="477" t="b">
        <v>0</v>
      </c>
      <c r="Q1368" s="477" t="b">
        <v>0</v>
      </c>
      <c r="R1368" s="539"/>
      <c r="S1368" s="540"/>
      <c r="T1368" s="480" t="s">
        <v>8565</v>
      </c>
      <c r="U1368" s="481" t="b">
        <v>1</v>
      </c>
      <c r="Z1368" t="b">
        <v>0</v>
      </c>
      <c r="AA1368" t="b">
        <v>0</v>
      </c>
    </row>
    <row r="1369">
      <c r="A1369" s="6">
        <v>1.0</v>
      </c>
      <c r="B1369" s="35" t="s">
        <v>8287</v>
      </c>
      <c r="C1369" s="35" t="s">
        <v>408</v>
      </c>
      <c r="D1369" s="272" t="s">
        <v>8566</v>
      </c>
      <c r="E1369" s="101"/>
      <c r="F1369" s="35">
        <v>9.4200151325E11</v>
      </c>
      <c r="H1369" s="473" t="s">
        <v>597</v>
      </c>
      <c r="I1369" s="474"/>
      <c r="J1369" s="475"/>
      <c r="K1369" s="275" t="str">
        <f>IFNA(VLOOKUP(D1369,'EAN Codes'!A:C,2,False),"")</f>
        <v/>
      </c>
      <c r="L1369" s="82"/>
      <c r="M1369" s="476" t="b">
        <v>0</v>
      </c>
      <c r="N1369" s="477" t="b">
        <v>0</v>
      </c>
      <c r="O1369" s="477" t="b">
        <v>0</v>
      </c>
      <c r="P1369" s="477" t="b">
        <v>0</v>
      </c>
      <c r="Q1369" s="477" t="b">
        <v>0</v>
      </c>
      <c r="R1369" s="539"/>
      <c r="S1369" s="540"/>
      <c r="T1369" s="543"/>
      <c r="U1369" s="514" t="b">
        <v>0</v>
      </c>
      <c r="Z1369" s="6" t="b">
        <v>1</v>
      </c>
      <c r="AA1369" s="371" t="b">
        <v>1</v>
      </c>
      <c r="AC1369" s="35">
        <v>523.9</v>
      </c>
      <c r="AD1369" t="str">
        <f t="shared" ref="AD1369:AD1372" si="15">IFNA(IFS(U1369=False,D1369),"")</f>
        <v>2W50</v>
      </c>
      <c r="AE1369" t="str">
        <f t="shared" ref="AE1369:AE1372" si="16">IFNA(IFS(U1369=false,H1369),"")</f>
        <v>Stockholm</v>
      </c>
    </row>
    <row r="1370">
      <c r="A1370" s="6">
        <v>1.0</v>
      </c>
      <c r="B1370" s="35" t="s">
        <v>8287</v>
      </c>
      <c r="C1370" s="35" t="s">
        <v>408</v>
      </c>
      <c r="D1370" s="272" t="s">
        <v>8557</v>
      </c>
      <c r="E1370" s="101"/>
      <c r="F1370" s="35">
        <v>9.42001513211E11</v>
      </c>
      <c r="H1370" s="473" t="s">
        <v>597</v>
      </c>
      <c r="I1370" s="474"/>
      <c r="J1370" s="475"/>
      <c r="K1370" s="275" t="str">
        <f>IFNA(VLOOKUP(D1370,'EAN Codes'!A:C,2,False),"")</f>
        <v/>
      </c>
      <c r="L1370" s="82"/>
      <c r="M1370" s="476" t="b">
        <v>0</v>
      </c>
      <c r="N1370" s="477" t="b">
        <v>0</v>
      </c>
      <c r="O1370" s="477" t="b">
        <v>0</v>
      </c>
      <c r="P1370" s="477" t="b">
        <v>0</v>
      </c>
      <c r="Q1370" s="477" t="b">
        <v>0</v>
      </c>
      <c r="R1370" s="539"/>
      <c r="S1370" s="540"/>
      <c r="T1370" s="543"/>
      <c r="U1370" s="514" t="b">
        <v>0</v>
      </c>
      <c r="Z1370" s="6" t="b">
        <v>1</v>
      </c>
      <c r="AA1370" s="371" t="b">
        <v>1</v>
      </c>
      <c r="AC1370" s="35">
        <v>575.64</v>
      </c>
      <c r="AD1370" t="str">
        <f t="shared" si="15"/>
        <v>2W11</v>
      </c>
      <c r="AE1370" t="str">
        <f t="shared" si="16"/>
        <v>Stockholm</v>
      </c>
    </row>
    <row r="1371">
      <c r="A1371" s="6">
        <v>1.0</v>
      </c>
      <c r="B1371" s="35" t="s">
        <v>8287</v>
      </c>
      <c r="C1371" s="35" t="s">
        <v>408</v>
      </c>
      <c r="D1371" s="365" t="s">
        <v>8567</v>
      </c>
      <c r="E1371" s="101"/>
      <c r="F1371" s="35">
        <v>9.42001513216E11</v>
      </c>
      <c r="H1371" s="473" t="s">
        <v>597</v>
      </c>
      <c r="I1371" s="474"/>
      <c r="J1371" s="475"/>
      <c r="K1371" s="275" t="str">
        <f>IFNA(VLOOKUP(D1371,'EAN Codes'!A:C,2,False),"")</f>
        <v/>
      </c>
      <c r="L1371" s="82"/>
      <c r="M1371" s="476" t="b">
        <v>0</v>
      </c>
      <c r="N1371" s="477" t="b">
        <v>0</v>
      </c>
      <c r="O1371" s="477" t="b">
        <v>0</v>
      </c>
      <c r="P1371" s="477" t="b">
        <v>0</v>
      </c>
      <c r="Q1371" s="477" t="b">
        <v>0</v>
      </c>
      <c r="R1371" s="539"/>
      <c r="S1371" s="540"/>
      <c r="T1371" s="543"/>
      <c r="U1371" s="514" t="b">
        <v>0</v>
      </c>
      <c r="Z1371" s="6" t="b">
        <v>1</v>
      </c>
      <c r="AA1371" s="371" t="b">
        <v>1</v>
      </c>
      <c r="AC1371" s="82" t="str">
        <f>IFERROR(__xludf.DUMMYFUNCTION("IFS(C1371=""ECS"",Vlookup(D1371,IMPORTRANGE(""https://docs.google.com/spreadsheets/d/1CONXwApUCNE4s-NquayczLLZJS3lBxtkAQwk9d9t2gA/edit"",""'Prislista 2024'!I:M""),5,false)*$AC$1)*A1371"),"#N/A")</f>
        <v>#N/A</v>
      </c>
      <c r="AD1371" t="str">
        <f t="shared" si="15"/>
        <v>2W16</v>
      </c>
      <c r="AE1371" t="str">
        <f t="shared" si="16"/>
        <v>Stockholm</v>
      </c>
    </row>
    <row r="1372">
      <c r="A1372" s="6">
        <v>1.0</v>
      </c>
      <c r="B1372" s="35" t="s">
        <v>8287</v>
      </c>
      <c r="C1372" s="35" t="s">
        <v>408</v>
      </c>
      <c r="D1372" s="365" t="s">
        <v>8568</v>
      </c>
      <c r="E1372" s="101"/>
      <c r="F1372" s="35">
        <v>9.42001513247E11</v>
      </c>
      <c r="H1372" s="473" t="s">
        <v>597</v>
      </c>
      <c r="I1372" s="474"/>
      <c r="J1372" s="475"/>
      <c r="K1372" s="275" t="str">
        <f>IFNA(VLOOKUP(D1372,'EAN Codes'!A:C,2,False),"")</f>
        <v/>
      </c>
      <c r="L1372" s="82"/>
      <c r="M1372" s="476" t="b">
        <v>0</v>
      </c>
      <c r="N1372" s="477" t="b">
        <v>0</v>
      </c>
      <c r="O1372" s="477" t="b">
        <v>0</v>
      </c>
      <c r="P1372" s="477" t="b">
        <v>0</v>
      </c>
      <c r="Q1372" s="477" t="b">
        <v>0</v>
      </c>
      <c r="R1372" s="539"/>
      <c r="S1372" s="540"/>
      <c r="T1372" s="543"/>
      <c r="U1372" s="514" t="b">
        <v>0</v>
      </c>
      <c r="V1372" s="284"/>
      <c r="Z1372" s="6" t="b">
        <v>1</v>
      </c>
      <c r="AA1372" s="371" t="b">
        <v>1</v>
      </c>
      <c r="AC1372" s="82"/>
      <c r="AD1372" t="str">
        <f t="shared" si="15"/>
        <v>2W47</v>
      </c>
      <c r="AE1372" t="str">
        <f t="shared" si="16"/>
        <v>Stockholm</v>
      </c>
    </row>
    <row r="1373">
      <c r="A1373" s="99"/>
      <c r="B1373" s="99"/>
      <c r="C1373" s="99"/>
      <c r="D1373" s="87"/>
      <c r="E1373" s="101"/>
      <c r="F1373" s="99"/>
      <c r="G1373" s="101"/>
      <c r="H1373" s="473"/>
      <c r="I1373" s="488"/>
      <c r="J1373" s="542"/>
      <c r="K1373" s="90"/>
      <c r="L1373" s="101"/>
      <c r="M1373" s="575"/>
      <c r="N1373" s="576"/>
      <c r="O1373" s="576"/>
      <c r="P1373" s="576"/>
      <c r="Q1373" s="576"/>
      <c r="R1373" s="544"/>
      <c r="S1373" s="545"/>
      <c r="T1373" s="505"/>
      <c r="U1373" s="579"/>
      <c r="V1373" s="101"/>
      <c r="W1373" s="101"/>
      <c r="X1373" s="101"/>
      <c r="Y1373" s="101"/>
      <c r="Z1373" s="99"/>
      <c r="AA1373" s="383"/>
      <c r="AB1373" s="101"/>
      <c r="AC1373" s="101"/>
      <c r="AD1373" s="101"/>
      <c r="AE1373" s="101"/>
    </row>
    <row r="1374">
      <c r="A1374" s="6">
        <v>1.0</v>
      </c>
      <c r="B1374" s="35" t="s">
        <v>8287</v>
      </c>
      <c r="C1374" s="35" t="s">
        <v>408</v>
      </c>
      <c r="D1374" s="272" t="s">
        <v>8569</v>
      </c>
      <c r="E1374" s="101"/>
      <c r="F1374" s="35">
        <v>9.4200151321E11</v>
      </c>
      <c r="H1374" s="473" t="s">
        <v>597</v>
      </c>
      <c r="I1374" s="474"/>
      <c r="J1374" s="475"/>
      <c r="K1374" s="275" t="str">
        <f>IFNA(VLOOKUP(D1374,'EAN Codes'!A:C,2,False),"")</f>
        <v/>
      </c>
      <c r="L1374" s="82"/>
      <c r="M1374" s="476" t="b">
        <v>0</v>
      </c>
      <c r="N1374" s="477" t="b">
        <v>0</v>
      </c>
      <c r="O1374" s="477" t="b">
        <v>0</v>
      </c>
      <c r="P1374" s="477" t="b">
        <v>0</v>
      </c>
      <c r="Q1374" s="477" t="b">
        <v>0</v>
      </c>
      <c r="R1374" s="539"/>
      <c r="S1374" s="540"/>
      <c r="T1374" s="543"/>
      <c r="U1374" s="514" t="b">
        <v>0</v>
      </c>
      <c r="Z1374" s="6" t="b">
        <v>1</v>
      </c>
      <c r="AA1374" s="371" t="b">
        <v>1</v>
      </c>
      <c r="AC1374" s="82"/>
      <c r="AD1374" t="str">
        <f t="shared" ref="AD1374:AD1375" si="17">IFNA(IFS(U1374=False,D1374),"")</f>
        <v>2W10</v>
      </c>
      <c r="AE1374" t="str">
        <f t="shared" ref="AE1374:AE1375" si="18">IFNA(IFS(U1374=false,H1374),"")</f>
        <v>Stockholm</v>
      </c>
    </row>
    <row r="1375" hidden="1">
      <c r="A1375" s="6">
        <v>1.0</v>
      </c>
      <c r="B1375" s="6" t="s">
        <v>241</v>
      </c>
      <c r="C1375" s="6" t="s">
        <v>760</v>
      </c>
      <c r="D1375" s="127" t="s">
        <v>8575</v>
      </c>
      <c r="H1375" s="473" t="s">
        <v>135</v>
      </c>
      <c r="I1375" s="474"/>
      <c r="J1375" s="475"/>
      <c r="K1375" s="275" t="str">
        <f>IFNA(VLOOKUP(D1375,'EAN Codes'!A:C,2,False),"")</f>
        <v/>
      </c>
      <c r="L1375" s="82"/>
      <c r="M1375" s="476" t="b">
        <v>0</v>
      </c>
      <c r="N1375" s="477" t="b">
        <v>0</v>
      </c>
      <c r="O1375" s="477" t="b">
        <v>0</v>
      </c>
      <c r="P1375" s="477" t="b">
        <v>0</v>
      </c>
      <c r="Q1375" s="477" t="b">
        <v>0</v>
      </c>
      <c r="R1375" s="539"/>
      <c r="S1375" s="540"/>
      <c r="T1375" s="543"/>
      <c r="U1375" s="481" t="b">
        <v>1</v>
      </c>
      <c r="Z1375" s="6" t="b">
        <v>1</v>
      </c>
      <c r="AA1375" t="b">
        <v>0</v>
      </c>
      <c r="AC1375" s="82"/>
      <c r="AD1375" t="str">
        <f t="shared" si="17"/>
        <v/>
      </c>
      <c r="AE1375" t="str">
        <f t="shared" si="18"/>
        <v/>
      </c>
    </row>
    <row r="1376" hidden="1">
      <c r="A1376" s="6">
        <v>1.0</v>
      </c>
      <c r="B1376" s="6" t="s">
        <v>241</v>
      </c>
      <c r="C1376" s="6" t="s">
        <v>342</v>
      </c>
      <c r="D1376" s="127" t="s">
        <v>299</v>
      </c>
      <c r="H1376" s="473" t="s">
        <v>135</v>
      </c>
      <c r="I1376" s="474"/>
      <c r="J1376" s="475"/>
      <c r="K1376" s="275" t="str">
        <f>IFNA(VLOOKUP(D1376,'EAN Codes'!A:C,2,False),"")</f>
        <v/>
      </c>
      <c r="L1376" s="82"/>
      <c r="M1376" s="476" t="b">
        <v>0</v>
      </c>
      <c r="N1376" s="477" t="b">
        <v>0</v>
      </c>
      <c r="O1376" s="477" t="b">
        <v>0</v>
      </c>
      <c r="P1376" s="477" t="b">
        <v>0</v>
      </c>
      <c r="Q1376" s="477" t="b">
        <v>0</v>
      </c>
      <c r="R1376" s="539"/>
      <c r="S1376" s="540"/>
      <c r="T1376" s="543"/>
      <c r="U1376" s="481" t="b">
        <v>1</v>
      </c>
      <c r="Z1376" t="b">
        <v>0</v>
      </c>
      <c r="AA1376" t="b">
        <v>0</v>
      </c>
    </row>
    <row r="1377">
      <c r="A1377" s="6">
        <v>1.0</v>
      </c>
      <c r="B1377" s="35" t="s">
        <v>8287</v>
      </c>
      <c r="C1377" s="35" t="s">
        <v>408</v>
      </c>
      <c r="D1377" s="365" t="s">
        <v>8605</v>
      </c>
      <c r="E1377" s="101"/>
      <c r="F1377" s="35">
        <v>9.42001513245E11</v>
      </c>
      <c r="H1377" s="473" t="s">
        <v>597</v>
      </c>
      <c r="I1377" s="474"/>
      <c r="J1377" s="475"/>
      <c r="K1377" s="275" t="str">
        <f>IFNA(VLOOKUP(D1377,'EAN Codes'!A:C,2,False),"")</f>
        <v/>
      </c>
      <c r="L1377" s="82"/>
      <c r="M1377" s="476" t="b">
        <v>0</v>
      </c>
      <c r="N1377" s="477" t="b">
        <v>0</v>
      </c>
      <c r="O1377" s="477" t="b">
        <v>0</v>
      </c>
      <c r="P1377" s="477" t="b">
        <v>0</v>
      </c>
      <c r="Q1377" s="477" t="b">
        <v>0</v>
      </c>
      <c r="R1377" s="539"/>
      <c r="S1377" s="540"/>
      <c r="T1377" s="543"/>
      <c r="U1377" s="514" t="b">
        <v>0</v>
      </c>
      <c r="Z1377" s="6" t="b">
        <v>1</v>
      </c>
      <c r="AA1377" s="371" t="b">
        <v>1</v>
      </c>
      <c r="AC1377" s="35">
        <v>1967.95</v>
      </c>
      <c r="AD1377" t="str">
        <f>IFNA(IFS(U1377=False,D1377),"")</f>
        <v>2W45</v>
      </c>
      <c r="AE1377" t="str">
        <f>IFNA(IFS(U1377=false,H1377),"")</f>
        <v>Stockholm</v>
      </c>
    </row>
    <row r="1378">
      <c r="A1378" s="99"/>
      <c r="B1378" s="99"/>
      <c r="C1378" s="99"/>
      <c r="D1378" s="100"/>
      <c r="E1378" s="101"/>
      <c r="F1378" s="99"/>
      <c r="G1378" s="101"/>
      <c r="H1378" s="487"/>
      <c r="I1378" s="474"/>
      <c r="J1378" s="475"/>
      <c r="K1378" s="275"/>
      <c r="L1378" s="82"/>
      <c r="M1378" s="476"/>
      <c r="N1378" s="477"/>
      <c r="O1378" s="477"/>
      <c r="P1378" s="477"/>
      <c r="Q1378" s="477"/>
      <c r="R1378" s="539"/>
      <c r="S1378" s="540"/>
      <c r="T1378" s="543"/>
      <c r="U1378" s="481"/>
      <c r="AA1378" s="371"/>
      <c r="AC1378" s="35"/>
    </row>
    <row r="1379">
      <c r="A1379" s="6">
        <v>1.0</v>
      </c>
      <c r="B1379" s="35" t="s">
        <v>241</v>
      </c>
      <c r="C1379" s="35" t="s">
        <v>4382</v>
      </c>
      <c r="D1379" s="365" t="s">
        <v>8635</v>
      </c>
      <c r="E1379" s="35" t="s">
        <v>2941</v>
      </c>
      <c r="F1379" s="35" t="s">
        <v>8638</v>
      </c>
      <c r="G1379" s="82"/>
      <c r="H1379" s="473" t="s">
        <v>1467</v>
      </c>
      <c r="I1379" s="473" t="s">
        <v>8640</v>
      </c>
      <c r="J1379" s="475"/>
      <c r="K1379" s="275" t="str">
        <f>IFNA(VLOOKUP(D1379,'EAN Codes'!A:C,2,False),"")</f>
        <v/>
      </c>
      <c r="L1379" s="82"/>
      <c r="M1379" s="476" t="b">
        <v>0</v>
      </c>
      <c r="N1379" s="477" t="b">
        <v>0</v>
      </c>
      <c r="O1379" s="477" t="b">
        <v>0</v>
      </c>
      <c r="P1379" s="477" t="b">
        <v>0</v>
      </c>
      <c r="Q1379" s="477" t="b">
        <v>0</v>
      </c>
      <c r="R1379" s="539"/>
      <c r="S1379" s="540"/>
      <c r="T1379" s="543"/>
      <c r="U1379" s="514" t="b">
        <v>0</v>
      </c>
      <c r="Z1379" s="6" t="b">
        <v>1</v>
      </c>
      <c r="AA1379" s="371" t="b">
        <v>1</v>
      </c>
      <c r="AC1379" s="35">
        <v>337.0</v>
      </c>
      <c r="AD1379" t="str">
        <f t="shared" ref="AD1379:AD1380" si="19">IFNA(IFS(U1379=False,D1379),"")</f>
        <v>E6901BS</v>
      </c>
      <c r="AE1379" t="str">
        <f t="shared" ref="AE1379:AE1380" si="20">IFNA(IFS(U1379=false,H1379),"")</f>
        <v>Krylbo</v>
      </c>
    </row>
    <row r="1380" hidden="1">
      <c r="A1380" s="6">
        <v>1.0</v>
      </c>
      <c r="B1380" s="6" t="s">
        <v>241</v>
      </c>
      <c r="C1380" s="6" t="s">
        <v>1250</v>
      </c>
      <c r="D1380" s="127" t="s">
        <v>8662</v>
      </c>
      <c r="F1380" s="6" t="s">
        <v>8664</v>
      </c>
      <c r="H1380" s="473" t="s">
        <v>135</v>
      </c>
      <c r="I1380" s="474"/>
      <c r="J1380" s="475"/>
      <c r="K1380" s="275" t="str">
        <f>IFNA(VLOOKUP(D1380,'EAN Codes'!A:C,2,False),"")</f>
        <v/>
      </c>
      <c r="L1380" s="82"/>
      <c r="M1380" s="476" t="b">
        <v>0</v>
      </c>
      <c r="N1380" s="477" t="b">
        <v>0</v>
      </c>
      <c r="O1380" s="477" t="b">
        <v>0</v>
      </c>
      <c r="P1380" s="477" t="b">
        <v>0</v>
      </c>
      <c r="Q1380" s="477" t="b">
        <v>0</v>
      </c>
      <c r="R1380" s="539"/>
      <c r="S1380" s="540"/>
      <c r="T1380" s="543"/>
      <c r="U1380" s="481" t="b">
        <v>1</v>
      </c>
      <c r="Z1380" s="6" t="b">
        <v>1</v>
      </c>
      <c r="AA1380" t="b">
        <v>0</v>
      </c>
      <c r="AC1380" s="35">
        <v>1594.66</v>
      </c>
      <c r="AD1380" t="str">
        <f t="shared" si="19"/>
        <v/>
      </c>
      <c r="AE1380" t="str">
        <f t="shared" si="20"/>
        <v/>
      </c>
    </row>
    <row r="1381" hidden="1">
      <c r="A1381" s="6">
        <v>1.0</v>
      </c>
      <c r="B1381" s="6" t="s">
        <v>241</v>
      </c>
      <c r="C1381" s="6" t="s">
        <v>408</v>
      </c>
      <c r="D1381" s="127" t="s">
        <v>8677</v>
      </c>
      <c r="H1381" s="473" t="s">
        <v>135</v>
      </c>
      <c r="I1381" s="474"/>
      <c r="J1381" s="536"/>
      <c r="K1381" s="275" t="str">
        <f>IFNA(VLOOKUP(D1381,'EAN Codes'!A:C,2,False),"")</f>
        <v/>
      </c>
      <c r="L1381" s="82"/>
      <c r="M1381" s="476" t="b">
        <v>0</v>
      </c>
      <c r="N1381" s="477" t="b">
        <v>0</v>
      </c>
      <c r="O1381" s="477" t="b">
        <v>0</v>
      </c>
      <c r="P1381" s="477" t="b">
        <v>0</v>
      </c>
      <c r="Q1381" s="477" t="b">
        <v>0</v>
      </c>
      <c r="R1381" s="539"/>
      <c r="S1381" s="540"/>
      <c r="T1381" s="480">
        <v>307976.0</v>
      </c>
      <c r="U1381" s="481" t="b">
        <v>1</v>
      </c>
      <c r="Z1381" t="b">
        <v>0</v>
      </c>
      <c r="AA1381" t="b">
        <v>0</v>
      </c>
    </row>
    <row r="1382" hidden="1">
      <c r="A1382" s="6">
        <v>1.0</v>
      </c>
      <c r="B1382" s="6" t="s">
        <v>241</v>
      </c>
      <c r="C1382" s="6" t="s">
        <v>408</v>
      </c>
      <c r="D1382" s="127" t="s">
        <v>8691</v>
      </c>
      <c r="H1382" s="473" t="s">
        <v>135</v>
      </c>
      <c r="I1382" s="474"/>
      <c r="J1382" s="475"/>
      <c r="K1382" s="275" t="str">
        <f>IFNA(VLOOKUP(D1382,'EAN Codes'!A:C,2,False),"")</f>
        <v/>
      </c>
      <c r="L1382" s="82"/>
      <c r="M1382" s="476" t="b">
        <v>0</v>
      </c>
      <c r="N1382" s="477" t="b">
        <v>0</v>
      </c>
      <c r="O1382" s="477" t="b">
        <v>0</v>
      </c>
      <c r="P1382" s="477" t="b">
        <v>0</v>
      </c>
      <c r="Q1382" s="477" t="b">
        <v>0</v>
      </c>
      <c r="R1382" s="539"/>
      <c r="S1382" s="540"/>
      <c r="T1382" s="480" t="s">
        <v>8703</v>
      </c>
      <c r="U1382" s="481" t="b">
        <v>1</v>
      </c>
      <c r="Z1382" t="b">
        <v>0</v>
      </c>
      <c r="AA1382" t="b">
        <v>0</v>
      </c>
    </row>
    <row r="1383" hidden="1">
      <c r="A1383" s="99">
        <v>1.0</v>
      </c>
      <c r="B1383" s="99" t="s">
        <v>181</v>
      </c>
      <c r="C1383" s="99" t="s">
        <v>408</v>
      </c>
      <c r="D1383" s="100" t="s">
        <v>8474</v>
      </c>
      <c r="E1383" s="101"/>
      <c r="F1383" s="101"/>
      <c r="G1383" s="101"/>
      <c r="H1383" s="473" t="s">
        <v>135</v>
      </c>
      <c r="I1383" s="474"/>
      <c r="J1383" s="541"/>
      <c r="K1383" s="90" t="str">
        <f>IFNA(VLOOKUP(D1383,'EAN Codes'!A:C,2,False),"")</f>
        <v/>
      </c>
      <c r="L1383" s="101"/>
      <c r="M1383" s="476" t="b">
        <v>0</v>
      </c>
      <c r="N1383" s="477" t="b">
        <v>0</v>
      </c>
      <c r="O1383" s="477" t="b">
        <v>0</v>
      </c>
      <c r="P1383" s="477" t="b">
        <v>0</v>
      </c>
      <c r="Q1383" s="477" t="b">
        <v>0</v>
      </c>
      <c r="R1383" s="539"/>
      <c r="S1383" s="540"/>
      <c r="T1383" s="505">
        <v>307794.0</v>
      </c>
      <c r="U1383" s="481" t="b">
        <v>1</v>
      </c>
      <c r="Z1383" t="b">
        <v>0</v>
      </c>
      <c r="AA1383" t="b">
        <v>0</v>
      </c>
    </row>
    <row r="1384" hidden="1">
      <c r="A1384" s="6">
        <v>1.0</v>
      </c>
      <c r="B1384" s="99" t="s">
        <v>181</v>
      </c>
      <c r="C1384" s="99" t="s">
        <v>1116</v>
      </c>
      <c r="D1384" s="100" t="s">
        <v>1215</v>
      </c>
      <c r="E1384" s="101"/>
      <c r="F1384" s="101"/>
      <c r="G1384" s="101"/>
      <c r="H1384" s="473" t="s">
        <v>135</v>
      </c>
      <c r="I1384" s="474"/>
      <c r="J1384" s="541"/>
      <c r="K1384" s="90" t="str">
        <f>IFNA(VLOOKUP(D1384,'EAN Codes'!A:C,2,False),"")</f>
        <v>8717323060957</v>
      </c>
      <c r="L1384" s="101"/>
      <c r="M1384" s="476" t="b">
        <v>0</v>
      </c>
      <c r="N1384" s="477" t="b">
        <v>0</v>
      </c>
      <c r="O1384" s="477" t="b">
        <v>0</v>
      </c>
      <c r="P1384" s="477" t="b">
        <v>0</v>
      </c>
      <c r="Q1384" s="477" t="b">
        <v>0</v>
      </c>
      <c r="R1384" s="539"/>
      <c r="S1384" s="540"/>
      <c r="T1384" s="505" t="s">
        <v>8732</v>
      </c>
      <c r="U1384" s="481" t="b">
        <v>1</v>
      </c>
      <c r="Z1384" t="b">
        <v>0</v>
      </c>
      <c r="AA1384" t="b">
        <v>0</v>
      </c>
    </row>
    <row r="1385">
      <c r="A1385" s="522">
        <v>1.0</v>
      </c>
      <c r="B1385" s="535" t="s">
        <v>241</v>
      </c>
      <c r="C1385" s="535" t="s">
        <v>4382</v>
      </c>
      <c r="D1385" s="587" t="s">
        <v>8737</v>
      </c>
      <c r="E1385" s="588"/>
      <c r="F1385" s="535" t="s">
        <v>8743</v>
      </c>
      <c r="G1385" s="524"/>
      <c r="H1385" s="525" t="s">
        <v>1467</v>
      </c>
      <c r="I1385" s="525" t="s">
        <v>8745</v>
      </c>
      <c r="J1385" s="526"/>
      <c r="K1385" s="527" t="str">
        <f>IFNA(VLOOKUP(D1385,'EAN Codes'!A:C,2,False),"")</f>
        <v/>
      </c>
      <c r="L1385" s="528"/>
      <c r="M1385" s="529" t="b">
        <v>0</v>
      </c>
      <c r="N1385" s="530" t="b">
        <v>0</v>
      </c>
      <c r="O1385" s="530" t="b">
        <v>0</v>
      </c>
      <c r="P1385" s="530" t="b">
        <v>0</v>
      </c>
      <c r="Q1385" s="530" t="b">
        <v>0</v>
      </c>
      <c r="R1385" s="590"/>
      <c r="S1385" s="572"/>
      <c r="T1385" s="573"/>
      <c r="U1385" s="534" t="b">
        <v>0</v>
      </c>
      <c r="V1385" s="524"/>
      <c r="W1385" s="524"/>
      <c r="X1385" s="524"/>
      <c r="Y1385" s="524"/>
      <c r="Z1385" s="522" t="b">
        <v>1</v>
      </c>
      <c r="AA1385" s="591" t="b">
        <v>1</v>
      </c>
      <c r="AB1385" s="524"/>
      <c r="AC1385" s="535">
        <v>55.76</v>
      </c>
      <c r="AD1385" s="524" t="str">
        <f>IFNA(IFS(U1385=False,D1385),"")</f>
        <v>E6004CV</v>
      </c>
      <c r="AE1385" s="524" t="str">
        <f>IFNA(IFS(U1385=false,H1385),"")</f>
        <v>Krylbo</v>
      </c>
    </row>
    <row r="1386">
      <c r="A1386" s="99"/>
      <c r="B1386" s="99"/>
      <c r="C1386" s="99"/>
      <c r="D1386" s="100"/>
      <c r="E1386" s="101"/>
      <c r="F1386" s="99"/>
      <c r="G1386" s="101"/>
      <c r="H1386" s="487"/>
      <c r="I1386" s="474"/>
      <c r="J1386" s="475"/>
      <c r="K1386" s="275"/>
      <c r="L1386" s="82"/>
      <c r="M1386" s="476"/>
      <c r="N1386" s="477"/>
      <c r="O1386" s="477"/>
      <c r="P1386" s="477"/>
      <c r="Q1386" s="477"/>
      <c r="R1386" s="539"/>
      <c r="S1386" s="540"/>
      <c r="T1386" s="480"/>
      <c r="U1386" s="481"/>
      <c r="AC1386" s="35"/>
    </row>
    <row r="1387" hidden="1">
      <c r="A1387" s="6">
        <v>4.0</v>
      </c>
      <c r="B1387" s="6" t="s">
        <v>241</v>
      </c>
      <c r="C1387" s="6" t="s">
        <v>1250</v>
      </c>
      <c r="D1387" s="127" t="s">
        <v>8773</v>
      </c>
      <c r="F1387" s="6" t="s">
        <v>8775</v>
      </c>
      <c r="H1387" s="473" t="s">
        <v>135</v>
      </c>
      <c r="I1387" s="474"/>
      <c r="J1387" s="475"/>
      <c r="K1387" s="275" t="str">
        <f>IFNA(VLOOKUP(D1387,'EAN Codes'!A:C,2,False),"")</f>
        <v/>
      </c>
      <c r="L1387" s="82"/>
      <c r="M1387" s="476" t="b">
        <v>0</v>
      </c>
      <c r="N1387" s="477" t="b">
        <v>0</v>
      </c>
      <c r="O1387" s="477" t="b">
        <v>0</v>
      </c>
      <c r="P1387" s="477" t="b">
        <v>0</v>
      </c>
      <c r="Q1387" s="477" t="b">
        <v>0</v>
      </c>
      <c r="R1387" s="539"/>
      <c r="S1387" s="540"/>
      <c r="T1387" s="543"/>
      <c r="U1387" s="481" t="b">
        <v>1</v>
      </c>
      <c r="Z1387" s="6" t="b">
        <v>1</v>
      </c>
      <c r="AA1387" t="b">
        <v>0</v>
      </c>
      <c r="AC1387" s="35">
        <v>167.27</v>
      </c>
      <c r="AD1387" t="str">
        <f t="shared" ref="AD1387:AD1395" si="21">IFNA(IFS(U1387=False,D1387),"")</f>
        <v/>
      </c>
      <c r="AE1387" t="str">
        <f t="shared" ref="AE1387:AE1395" si="22">IFNA(IFS(U1387=false,H1387),"")</f>
        <v/>
      </c>
    </row>
    <row r="1388">
      <c r="A1388" s="6">
        <v>1.0</v>
      </c>
      <c r="B1388" s="35" t="s">
        <v>241</v>
      </c>
      <c r="C1388" s="35" t="s">
        <v>4382</v>
      </c>
      <c r="D1388" s="35" t="s">
        <v>8802</v>
      </c>
      <c r="E1388" s="101"/>
      <c r="F1388" s="35" t="s">
        <v>8804</v>
      </c>
      <c r="H1388" s="473" t="s">
        <v>463</v>
      </c>
      <c r="I1388" s="473" t="s">
        <v>8805</v>
      </c>
      <c r="J1388" s="475"/>
      <c r="K1388" s="275" t="str">
        <f>IFNA(VLOOKUP(D1388,'EAN Codes'!A:C,2,False),"")</f>
        <v/>
      </c>
      <c r="L1388" s="82"/>
      <c r="M1388" s="476" t="b">
        <v>0</v>
      </c>
      <c r="N1388" s="477" t="b">
        <v>0</v>
      </c>
      <c r="O1388" s="477" t="b">
        <v>0</v>
      </c>
      <c r="P1388" s="477" t="b">
        <v>0</v>
      </c>
      <c r="Q1388" s="477" t="b">
        <v>0</v>
      </c>
      <c r="R1388" s="539"/>
      <c r="S1388" s="540"/>
      <c r="T1388" s="543"/>
      <c r="U1388" s="514" t="b">
        <v>0</v>
      </c>
      <c r="Z1388" s="6" t="b">
        <v>1</v>
      </c>
      <c r="AA1388" s="6" t="b">
        <v>0</v>
      </c>
      <c r="AC1388" s="35">
        <v>117.14</v>
      </c>
      <c r="AD1388" t="str">
        <f t="shared" si="21"/>
        <v>E2518AS</v>
      </c>
      <c r="AE1388" t="str">
        <f t="shared" si="22"/>
        <v>Gävle</v>
      </c>
    </row>
    <row r="1389">
      <c r="A1389" s="6">
        <v>1.0</v>
      </c>
      <c r="B1389" s="35" t="s">
        <v>4408</v>
      </c>
      <c r="C1389" s="35" t="s">
        <v>408</v>
      </c>
      <c r="D1389" s="365" t="s">
        <v>8818</v>
      </c>
      <c r="E1389" s="101"/>
      <c r="F1389" s="101"/>
      <c r="H1389" s="473" t="s">
        <v>597</v>
      </c>
      <c r="I1389" s="474"/>
      <c r="J1389" s="475"/>
      <c r="K1389" s="275" t="str">
        <f>IFNA(VLOOKUP(D1389,'EAN Codes'!A:C,2,False),"")</f>
        <v/>
      </c>
      <c r="L1389" s="82"/>
      <c r="M1389" s="476" t="b">
        <v>0</v>
      </c>
      <c r="N1389" s="477" t="b">
        <v>0</v>
      </c>
      <c r="O1389" s="477" t="b">
        <v>0</v>
      </c>
      <c r="P1389" s="477" t="b">
        <v>0</v>
      </c>
      <c r="Q1389" s="477" t="b">
        <v>0</v>
      </c>
      <c r="R1389" s="539"/>
      <c r="S1389" s="540"/>
      <c r="T1389" s="543"/>
      <c r="U1389" s="514" t="b">
        <v>0</v>
      </c>
      <c r="Z1389" s="6" t="b">
        <v>1</v>
      </c>
      <c r="AA1389" s="6" t="b">
        <v>0</v>
      </c>
      <c r="AC1389" s="35">
        <v>125.95</v>
      </c>
      <c r="AD1389" t="str">
        <f t="shared" si="21"/>
        <v>915226601090</v>
      </c>
      <c r="AE1389" t="str">
        <f t="shared" si="22"/>
        <v>Stockholm</v>
      </c>
    </row>
    <row r="1390">
      <c r="A1390" s="35">
        <v>1.0</v>
      </c>
      <c r="B1390" s="35" t="s">
        <v>241</v>
      </c>
      <c r="C1390" s="35" t="s">
        <v>3701</v>
      </c>
      <c r="D1390" s="365" t="s">
        <v>8833</v>
      </c>
      <c r="E1390" s="82"/>
      <c r="F1390" s="35" t="s">
        <v>8837</v>
      </c>
      <c r="H1390" s="473" t="s">
        <v>8838</v>
      </c>
      <c r="I1390" s="473" t="s">
        <v>8840</v>
      </c>
      <c r="J1390" s="475"/>
      <c r="K1390" s="275" t="str">
        <f>IFNA(VLOOKUP(D1390,'EAN Codes'!A:C,2,False),"")</f>
        <v/>
      </c>
      <c r="L1390" s="82"/>
      <c r="M1390" s="476" t="b">
        <v>0</v>
      </c>
      <c r="N1390" s="477" t="b">
        <v>0</v>
      </c>
      <c r="O1390" s="477" t="b">
        <v>0</v>
      </c>
      <c r="P1390" s="477" t="b">
        <v>0</v>
      </c>
      <c r="Q1390" s="477" t="b">
        <v>0</v>
      </c>
      <c r="R1390" s="539"/>
      <c r="S1390" s="540"/>
      <c r="T1390" s="543"/>
      <c r="U1390" s="514" t="b">
        <v>0</v>
      </c>
      <c r="Z1390" s="6" t="b">
        <v>1</v>
      </c>
      <c r="AA1390" s="6" t="b">
        <v>0</v>
      </c>
      <c r="AC1390" s="82" t="str">
        <f>IFERROR(__xludf.DUMMYFUNCTION("IFS(C1390=""ECS"",Vlookup(D1390,IMPORTRANGE(""https://docs.google.com/spreadsheets/d/1CONXwApUCNE4s-NquayczLLZJS3lBxtkAQwk9d9t2gA/edit"",""'Prislista 2024'!I:M""),5,false)*$AC$1)*A1390"),"#N/A")</f>
        <v>#N/A</v>
      </c>
      <c r="AD1390" t="str">
        <f t="shared" si="21"/>
        <v>2430</v>
      </c>
      <c r="AE1390" t="str">
        <f t="shared" si="22"/>
        <v>Samppas</v>
      </c>
    </row>
    <row r="1391">
      <c r="A1391" s="598">
        <v>1.0</v>
      </c>
      <c r="B1391" s="598" t="s">
        <v>241</v>
      </c>
      <c r="C1391" s="598" t="s">
        <v>342</v>
      </c>
      <c r="D1391" s="600" t="s">
        <v>4915</v>
      </c>
      <c r="E1391" s="598" t="s">
        <v>346</v>
      </c>
      <c r="F1391" s="598" t="s">
        <v>8872</v>
      </c>
      <c r="G1391" s="601"/>
      <c r="H1391" s="598" t="s">
        <v>8876</v>
      </c>
      <c r="I1391" s="598" t="s">
        <v>8879</v>
      </c>
      <c r="J1391" s="603"/>
      <c r="K1391" s="605" t="str">
        <f>IFNA(VLOOKUP(D1391,'EAN Codes'!A:C,2,False),"")</f>
        <v/>
      </c>
      <c r="L1391" s="601"/>
      <c r="M1391" s="606" t="b">
        <v>0</v>
      </c>
      <c r="N1391" s="601" t="b">
        <v>0</v>
      </c>
      <c r="O1391" s="601" t="b">
        <v>0</v>
      </c>
      <c r="P1391" s="601" t="b">
        <v>0</v>
      </c>
      <c r="Q1391" s="601" t="b">
        <v>0</v>
      </c>
      <c r="R1391" s="605"/>
      <c r="S1391" s="603"/>
      <c r="T1391" s="601"/>
      <c r="U1391" s="608" t="b">
        <v>0</v>
      </c>
      <c r="V1391" s="601"/>
      <c r="W1391" s="601"/>
      <c r="X1391" s="601"/>
      <c r="Y1391" s="601"/>
      <c r="Z1391" s="598" t="b">
        <v>1</v>
      </c>
      <c r="AA1391" s="598" t="b">
        <v>0</v>
      </c>
      <c r="AB1391" s="601"/>
      <c r="AC1391" s="601" t="str">
        <f>IFERROR(__xludf.DUMMYFUNCTION("IFS(C1391=""ECS"",Vlookup(D1391,IMPORTRANGE(""https://docs.google.com/spreadsheets/d/1CONXwApUCNE4s-NquayczLLZJS3lBxtkAQwk9d9t2gA/edit"",""'Prislista 2024'!I:M""),5,false)*$AC$1)*A1391"),"#N/A")</f>
        <v>#N/A</v>
      </c>
      <c r="AD1391" s="601" t="str">
        <f t="shared" si="21"/>
        <v>V-296</v>
      </c>
      <c r="AE1391" s="601" t="str">
        <f t="shared" si="22"/>
        <v>Henriks Förråd</v>
      </c>
    </row>
    <row r="1392">
      <c r="A1392" s="6">
        <v>1.0</v>
      </c>
      <c r="B1392" s="99" t="s">
        <v>241</v>
      </c>
      <c r="C1392" s="99" t="s">
        <v>4382</v>
      </c>
      <c r="D1392" s="100" t="s">
        <v>8894</v>
      </c>
      <c r="E1392" s="99" t="s">
        <v>2639</v>
      </c>
      <c r="F1392" s="609" t="s">
        <v>8895</v>
      </c>
      <c r="H1392" s="473" t="s">
        <v>8896</v>
      </c>
      <c r="I1392" s="474"/>
      <c r="J1392" s="475"/>
      <c r="K1392" s="275" t="str">
        <f>IFNA(VLOOKUP(D1392,'EAN Codes'!A:C,2,False),"")</f>
        <v/>
      </c>
      <c r="L1392" s="82"/>
      <c r="M1392" s="476" t="b">
        <v>0</v>
      </c>
      <c r="N1392" s="477" t="b">
        <v>0</v>
      </c>
      <c r="O1392" s="477" t="b">
        <v>0</v>
      </c>
      <c r="P1392" s="477" t="b">
        <v>0</v>
      </c>
      <c r="Q1392" s="477" t="b">
        <v>0</v>
      </c>
      <c r="R1392" s="539"/>
      <c r="S1392" s="540"/>
      <c r="T1392" s="543"/>
      <c r="U1392" s="514" t="b">
        <v>0</v>
      </c>
      <c r="Z1392" s="6" t="b">
        <v>1</v>
      </c>
      <c r="AA1392" s="6" t="b">
        <v>0</v>
      </c>
      <c r="AC1392" s="82" t="str">
        <f>IFERROR(__xludf.DUMMYFUNCTION("IFS(C1392=""ECS"",Vlookup(D1392,IMPORTRANGE(""https://docs.google.com/spreadsheets/d/1CONXwApUCNE4s-NquayczLLZJS3lBxtkAQwk9d9t2gA/edit"",""'Prislista 2024'!I:M""),5,false)*$AC$1)*A1392"),"#N/A")</f>
        <v>#N/A</v>
      </c>
      <c r="AD1392" t="str">
        <f t="shared" si="21"/>
        <v>E6701BA</v>
      </c>
      <c r="AE1392" t="str">
        <f t="shared" si="22"/>
        <v>Linköping BG</v>
      </c>
    </row>
    <row r="1393">
      <c r="A1393" s="522">
        <v>1.0</v>
      </c>
      <c r="B1393" s="614" t="s">
        <v>241</v>
      </c>
      <c r="C1393" s="614" t="s">
        <v>342</v>
      </c>
      <c r="D1393" s="615" t="s">
        <v>8898</v>
      </c>
      <c r="E1393" s="614" t="s">
        <v>8899</v>
      </c>
      <c r="F1393" s="614" t="s">
        <v>8900</v>
      </c>
      <c r="G1393" s="522" t="s">
        <v>8901</v>
      </c>
      <c r="H1393" s="525" t="s">
        <v>1467</v>
      </c>
      <c r="I1393" s="616"/>
      <c r="J1393" s="526"/>
      <c r="K1393" s="527" t="str">
        <f>IFNA(VLOOKUP(D1393,'EAN Codes'!A:C,2,False),"")</f>
        <v/>
      </c>
      <c r="L1393" s="528"/>
      <c r="M1393" s="529" t="b">
        <v>0</v>
      </c>
      <c r="N1393" s="530" t="b">
        <v>0</v>
      </c>
      <c r="O1393" s="530" t="b">
        <v>0</v>
      </c>
      <c r="P1393" s="530" t="b">
        <v>0</v>
      </c>
      <c r="Q1393" s="530" t="b">
        <v>0</v>
      </c>
      <c r="R1393" s="590"/>
      <c r="S1393" s="572"/>
      <c r="T1393" s="573"/>
      <c r="U1393" s="534" t="b">
        <v>0</v>
      </c>
      <c r="V1393" s="524"/>
      <c r="W1393" s="524"/>
      <c r="X1393" s="524"/>
      <c r="Y1393" s="524"/>
      <c r="Z1393" s="522" t="b">
        <v>1</v>
      </c>
      <c r="AA1393" s="522" t="b">
        <v>0</v>
      </c>
      <c r="AB1393" s="524"/>
      <c r="AC1393" s="528" t="str">
        <f>IFERROR(__xludf.DUMMYFUNCTION("IFS(C1393=""ECS"",Vlookup(D1393,IMPORTRANGE(""https://docs.google.com/spreadsheets/d/1CONXwApUCNE4s-NquayczLLZJS3lBxtkAQwk9d9t2gA/edit"",""'Prislista 2024'!I:M""),5,false)*$AC$1)*A1393"),"#N/A")</f>
        <v>#N/A</v>
      </c>
      <c r="AD1393" s="524" t="str">
        <f t="shared" si="21"/>
        <v>T-135</v>
      </c>
      <c r="AE1393" s="524" t="str">
        <f t="shared" si="22"/>
        <v>Krylbo</v>
      </c>
    </row>
    <row r="1394">
      <c r="B1394" s="99"/>
      <c r="C1394" s="99"/>
      <c r="D1394" s="100"/>
      <c r="E1394" s="101"/>
      <c r="F1394" s="99"/>
      <c r="H1394" s="473"/>
      <c r="I1394" s="474"/>
      <c r="J1394" s="475"/>
      <c r="K1394" s="275" t="str">
        <f>IFNA(VLOOKUP(D1394,'EAN Codes'!A:C,2,False),"")</f>
        <v/>
      </c>
      <c r="L1394" s="82"/>
      <c r="M1394" s="476" t="b">
        <v>0</v>
      </c>
      <c r="N1394" s="477" t="b">
        <v>0</v>
      </c>
      <c r="O1394" s="477" t="b">
        <v>0</v>
      </c>
      <c r="P1394" s="477" t="b">
        <v>0</v>
      </c>
      <c r="Q1394" s="477" t="b">
        <v>0</v>
      </c>
      <c r="R1394" s="539"/>
      <c r="S1394" s="540"/>
      <c r="T1394" s="543"/>
      <c r="U1394" s="514" t="b">
        <v>0</v>
      </c>
      <c r="Z1394" s="6" t="b">
        <v>1</v>
      </c>
      <c r="AA1394" s="6" t="b">
        <v>0</v>
      </c>
      <c r="AC1394" s="35">
        <v>41.44</v>
      </c>
      <c r="AD1394" t="str">
        <f t="shared" si="21"/>
        <v/>
      </c>
      <c r="AE1394" t="str">
        <f t="shared" si="22"/>
        <v/>
      </c>
    </row>
    <row r="1395">
      <c r="B1395" s="99"/>
      <c r="C1395" s="99"/>
      <c r="D1395" s="100"/>
      <c r="E1395" s="101"/>
      <c r="F1395" s="99"/>
      <c r="H1395" s="473"/>
      <c r="I1395" s="474"/>
      <c r="J1395" s="475"/>
      <c r="K1395" s="275" t="str">
        <f>IFNA(VLOOKUP(D1395,'EAN Codes'!A:C,2,False),"")</f>
        <v/>
      </c>
      <c r="L1395" s="82"/>
      <c r="M1395" s="476" t="b">
        <v>0</v>
      </c>
      <c r="N1395" s="477" t="b">
        <v>0</v>
      </c>
      <c r="O1395" s="477" t="b">
        <v>0</v>
      </c>
      <c r="P1395" s="477" t="b">
        <v>0</v>
      </c>
      <c r="Q1395" s="477" t="b">
        <v>0</v>
      </c>
      <c r="R1395" s="539"/>
      <c r="S1395" s="540"/>
      <c r="T1395" s="543"/>
      <c r="U1395" s="514" t="b">
        <v>0</v>
      </c>
      <c r="Z1395" s="6" t="b">
        <v>1</v>
      </c>
      <c r="AA1395" s="6" t="b">
        <v>0</v>
      </c>
      <c r="AC1395" s="35">
        <v>76.16</v>
      </c>
      <c r="AD1395" t="str">
        <f t="shared" si="21"/>
        <v/>
      </c>
      <c r="AE1395" t="str">
        <f t="shared" si="22"/>
        <v/>
      </c>
    </row>
    <row r="1396" hidden="1">
      <c r="A1396" s="191">
        <v>1.0</v>
      </c>
      <c r="B1396" s="106"/>
      <c r="C1396" s="115"/>
      <c r="D1396" s="621"/>
      <c r="E1396" s="115"/>
      <c r="F1396" s="106"/>
      <c r="G1396" s="115"/>
      <c r="H1396" s="160"/>
      <c r="I1396" s="473"/>
      <c r="J1396" s="475"/>
      <c r="K1396" s="275" t="str">
        <f>IFNA(VLOOKUP(D1396,'EAN Codes'!A:C,2,False),"")</f>
        <v/>
      </c>
      <c r="L1396" s="469"/>
      <c r="M1396" s="476" t="b">
        <v>0</v>
      </c>
      <c r="N1396" s="477" t="b">
        <v>0</v>
      </c>
      <c r="O1396" s="477" t="b">
        <v>0</v>
      </c>
      <c r="P1396" s="477" t="b">
        <v>0</v>
      </c>
      <c r="Q1396" s="477" t="b">
        <v>0</v>
      </c>
      <c r="R1396" s="478"/>
      <c r="S1396" s="479"/>
      <c r="T1396" s="543"/>
      <c r="U1396" s="481" t="b">
        <v>1</v>
      </c>
      <c r="V1396" s="191" t="s">
        <v>8908</v>
      </c>
      <c r="W1396" s="124"/>
      <c r="X1396" s="124"/>
      <c r="Y1396" s="124"/>
      <c r="Z1396" s="124" t="b">
        <v>0</v>
      </c>
      <c r="AA1396" t="b">
        <v>0</v>
      </c>
      <c r="AB1396" s="124"/>
      <c r="AC1396" s="124"/>
      <c r="AD1396" s="124"/>
      <c r="AE1396" s="124"/>
    </row>
    <row r="1397" hidden="1">
      <c r="A1397" s="191">
        <v>1.0</v>
      </c>
      <c r="B1397" s="86" t="s">
        <v>241</v>
      </c>
      <c r="C1397" s="86" t="s">
        <v>1813</v>
      </c>
      <c r="D1397" s="87" t="s">
        <v>8910</v>
      </c>
      <c r="E1397" s="622"/>
      <c r="F1397" s="623" t="s">
        <v>8912</v>
      </c>
      <c r="G1397" s="622"/>
      <c r="H1397" s="624" t="s">
        <v>698</v>
      </c>
      <c r="I1397" s="473" t="s">
        <v>8913</v>
      </c>
      <c r="J1397" s="508"/>
      <c r="K1397" s="275" t="str">
        <f>IFNA(VLOOKUP(D1397,'EAN Codes'!A:C,2,False),"")</f>
        <v/>
      </c>
      <c r="L1397" s="469"/>
      <c r="M1397" s="476" t="b">
        <v>0</v>
      </c>
      <c r="N1397" s="497" t="b">
        <v>1</v>
      </c>
      <c r="O1397" s="477" t="b">
        <v>0</v>
      </c>
      <c r="P1397" s="477" t="b">
        <v>0</v>
      </c>
      <c r="Q1397" s="477" t="b">
        <v>0</v>
      </c>
      <c r="R1397" s="478" t="s">
        <v>8914</v>
      </c>
      <c r="S1397" s="479"/>
      <c r="T1397" s="543"/>
      <c r="U1397" s="481" t="b">
        <v>1</v>
      </c>
      <c r="V1397" s="106" t="s">
        <v>8915</v>
      </c>
      <c r="W1397" s="115"/>
      <c r="X1397" s="115"/>
      <c r="Y1397" s="124"/>
      <c r="Z1397" s="124" t="b">
        <v>0</v>
      </c>
      <c r="AA1397" t="b">
        <v>0</v>
      </c>
      <c r="AB1397" s="124"/>
      <c r="AC1397" s="124"/>
      <c r="AD1397" s="124"/>
      <c r="AE1397" s="124"/>
    </row>
    <row r="1398" hidden="1">
      <c r="A1398" s="191">
        <v>1.0</v>
      </c>
      <c r="B1398" s="86" t="s">
        <v>241</v>
      </c>
      <c r="C1398" s="86" t="s">
        <v>342</v>
      </c>
      <c r="D1398" s="87" t="s">
        <v>8916</v>
      </c>
      <c r="E1398" s="622"/>
      <c r="F1398" s="623"/>
      <c r="G1398" s="622"/>
      <c r="H1398" s="624" t="s">
        <v>698</v>
      </c>
      <c r="I1398" s="473" t="s">
        <v>8917</v>
      </c>
      <c r="J1398" s="508"/>
      <c r="K1398" s="275" t="str">
        <f>IFNA(VLOOKUP(D1398,'EAN Codes'!A:C,2,False),"")</f>
        <v/>
      </c>
      <c r="L1398" s="469"/>
      <c r="M1398" s="476" t="b">
        <v>0</v>
      </c>
      <c r="N1398" s="497" t="b">
        <v>1</v>
      </c>
      <c r="O1398" s="477" t="b">
        <v>0</v>
      </c>
      <c r="P1398" s="477" t="b">
        <v>0</v>
      </c>
      <c r="Q1398" s="477" t="b">
        <v>0</v>
      </c>
      <c r="R1398" s="478" t="s">
        <v>8914</v>
      </c>
      <c r="S1398" s="479"/>
      <c r="T1398" s="543"/>
      <c r="U1398" s="481" t="b">
        <v>1</v>
      </c>
      <c r="V1398" s="106" t="s">
        <v>8915</v>
      </c>
      <c r="W1398" s="115"/>
      <c r="X1398" s="115"/>
      <c r="Y1398" s="124"/>
      <c r="Z1398" s="124" t="b">
        <v>0</v>
      </c>
      <c r="AA1398" t="b">
        <v>0</v>
      </c>
      <c r="AB1398" s="124"/>
      <c r="AC1398" s="124"/>
      <c r="AD1398" s="124"/>
      <c r="AE1398" s="124"/>
    </row>
    <row r="1399" hidden="1">
      <c r="A1399" s="622"/>
      <c r="B1399" s="623" t="s">
        <v>241</v>
      </c>
      <c r="C1399" s="623" t="s">
        <v>760</v>
      </c>
      <c r="D1399" s="626" t="s">
        <v>8922</v>
      </c>
      <c r="E1399" s="622"/>
      <c r="F1399" s="622"/>
      <c r="G1399" s="622"/>
      <c r="H1399" s="473" t="s">
        <v>307</v>
      </c>
      <c r="I1399" s="473" t="s">
        <v>8923</v>
      </c>
      <c r="J1399" s="521"/>
      <c r="K1399" s="275" t="str">
        <f>IFNA(VLOOKUP(D1399,'EAN Codes'!A:C,2,False),"")</f>
        <v>5060128532819</v>
      </c>
      <c r="L1399" s="628"/>
      <c r="M1399" s="476" t="b">
        <v>0</v>
      </c>
      <c r="N1399" s="497" t="b">
        <v>1</v>
      </c>
      <c r="O1399" s="497" t="b">
        <v>0</v>
      </c>
      <c r="P1399" s="477" t="b">
        <v>0</v>
      </c>
      <c r="Q1399" s="477" t="b">
        <v>0</v>
      </c>
      <c r="R1399" s="478" t="s">
        <v>8925</v>
      </c>
      <c r="S1399" s="479" t="s">
        <v>8926</v>
      </c>
      <c r="T1399" s="543"/>
      <c r="U1399" s="481" t="b">
        <v>1</v>
      </c>
      <c r="V1399" s="623"/>
      <c r="W1399" s="622"/>
      <c r="X1399" s="622"/>
      <c r="Y1399" s="622"/>
      <c r="Z1399" s="622" t="b">
        <v>0</v>
      </c>
      <c r="AA1399" t="b">
        <v>0</v>
      </c>
      <c r="AB1399" s="622"/>
      <c r="AC1399" s="622"/>
      <c r="AD1399" s="622"/>
      <c r="AE1399" s="622"/>
    </row>
    <row r="1400" hidden="1">
      <c r="B1400" s="6" t="s">
        <v>241</v>
      </c>
      <c r="C1400" s="6" t="s">
        <v>1250</v>
      </c>
      <c r="D1400" s="127" t="s">
        <v>8927</v>
      </c>
      <c r="E1400" s="6" t="s">
        <v>346</v>
      </c>
      <c r="F1400" s="6" t="s">
        <v>8928</v>
      </c>
      <c r="G1400" s="6" t="s">
        <v>8929</v>
      </c>
      <c r="H1400" s="473" t="s">
        <v>8930</v>
      </c>
      <c r="I1400" s="473" t="s">
        <v>8931</v>
      </c>
      <c r="J1400" s="521" t="s">
        <v>8932</v>
      </c>
      <c r="K1400" s="275" t="str">
        <f>IFNA(VLOOKUP(D1400,'EAN Codes'!A:C,2,False),"")</f>
        <v>NULL</v>
      </c>
      <c r="L1400" s="82"/>
      <c r="M1400" s="476" t="b">
        <v>0</v>
      </c>
      <c r="N1400" s="477" t="b">
        <v>0</v>
      </c>
      <c r="O1400" s="477" t="b">
        <v>0</v>
      </c>
      <c r="P1400" s="477" t="b">
        <v>0</v>
      </c>
      <c r="Q1400" s="497" t="b">
        <v>1</v>
      </c>
      <c r="R1400" s="478" t="s">
        <v>8936</v>
      </c>
      <c r="S1400" s="479" t="s">
        <v>8937</v>
      </c>
      <c r="T1400" s="480" t="s">
        <v>8938</v>
      </c>
      <c r="U1400" s="481" t="b">
        <v>1</v>
      </c>
      <c r="V1400" s="6" t="s">
        <v>8939</v>
      </c>
      <c r="Z1400" t="b">
        <v>0</v>
      </c>
      <c r="AA1400" t="b">
        <v>0</v>
      </c>
    </row>
    <row r="1401" hidden="1">
      <c r="B1401" s="99" t="s">
        <v>241</v>
      </c>
      <c r="C1401" s="99" t="s">
        <v>3701</v>
      </c>
      <c r="D1401" s="100" t="s">
        <v>8941</v>
      </c>
      <c r="E1401" s="99" t="s">
        <v>346</v>
      </c>
      <c r="F1401" s="99" t="s">
        <v>8943</v>
      </c>
      <c r="G1401" s="101"/>
      <c r="H1401" s="487" t="s">
        <v>135</v>
      </c>
      <c r="I1401" s="488"/>
      <c r="J1401" s="541"/>
      <c r="K1401" s="90" t="str">
        <f>IFNA(VLOOKUP(D1401,'EAN Codes'!A:C,2,False),"")</f>
        <v/>
      </c>
      <c r="L1401" s="101"/>
      <c r="M1401" s="575" t="b">
        <v>0</v>
      </c>
      <c r="N1401" s="576" t="b">
        <v>0</v>
      </c>
      <c r="O1401" s="576" t="b">
        <v>0</v>
      </c>
      <c r="P1401" s="576" t="b">
        <v>0</v>
      </c>
      <c r="Q1401" s="576" t="b">
        <v>0</v>
      </c>
      <c r="R1401" s="544"/>
      <c r="S1401" s="545"/>
      <c r="T1401" s="632" t="s">
        <v>8956</v>
      </c>
      <c r="U1401" s="481" t="b">
        <v>1</v>
      </c>
      <c r="Z1401" t="b">
        <v>0</v>
      </c>
      <c r="AA1401" t="b">
        <v>0</v>
      </c>
    </row>
    <row r="1402" hidden="1">
      <c r="A1402" s="6">
        <v>1.0</v>
      </c>
      <c r="B1402" s="99" t="s">
        <v>241</v>
      </c>
      <c r="C1402" s="99" t="s">
        <v>408</v>
      </c>
      <c r="D1402" s="100" t="s">
        <v>8957</v>
      </c>
      <c r="E1402" s="99" t="s">
        <v>346</v>
      </c>
      <c r="F1402" s="99" t="s">
        <v>5785</v>
      </c>
      <c r="G1402" s="101"/>
      <c r="H1402" s="487" t="s">
        <v>135</v>
      </c>
      <c r="I1402" s="487" t="s">
        <v>8958</v>
      </c>
      <c r="J1402" s="541"/>
      <c r="K1402" s="90" t="str">
        <f>IFNA(VLOOKUP(D1402,'EAN Codes'!A:C,2,False),"")</f>
        <v>4250141156845</v>
      </c>
      <c r="L1402" s="82"/>
      <c r="M1402" s="476" t="b">
        <v>0</v>
      </c>
      <c r="N1402" s="477" t="b">
        <v>0</v>
      </c>
      <c r="O1402" s="477" t="b">
        <v>0</v>
      </c>
      <c r="P1402" s="477" t="b">
        <v>0</v>
      </c>
      <c r="Q1402" s="497" t="b">
        <v>1</v>
      </c>
      <c r="R1402" s="478" t="s">
        <v>8961</v>
      </c>
      <c r="S1402" s="479" t="s">
        <v>8962</v>
      </c>
      <c r="T1402" s="480" t="s">
        <v>8963</v>
      </c>
      <c r="U1402" s="481" t="b">
        <v>1</v>
      </c>
      <c r="V1402" s="6" t="s">
        <v>8964</v>
      </c>
      <c r="Z1402" t="b">
        <v>0</v>
      </c>
      <c r="AA1402" t="b">
        <v>0</v>
      </c>
    </row>
    <row r="1403" hidden="1">
      <c r="A1403" s="6">
        <v>1.0</v>
      </c>
      <c r="B1403" s="99" t="s">
        <v>181</v>
      </c>
      <c r="C1403" s="99" t="s">
        <v>8965</v>
      </c>
      <c r="D1403" s="100" t="s">
        <v>8331</v>
      </c>
      <c r="H1403" s="473" t="s">
        <v>135</v>
      </c>
      <c r="I1403" s="474"/>
      <c r="J1403" s="475"/>
      <c r="K1403" s="275" t="str">
        <f>IFNA(VLOOKUP(D1403,'EAN Codes'!A:C,2,False),"")</f>
        <v/>
      </c>
      <c r="L1403" s="82"/>
      <c r="M1403" s="476" t="b">
        <v>0</v>
      </c>
      <c r="N1403" s="477" t="b">
        <v>0</v>
      </c>
      <c r="O1403" s="477" t="b">
        <v>0</v>
      </c>
      <c r="P1403" s="477" t="b">
        <v>0</v>
      </c>
      <c r="Q1403" s="477" t="b">
        <v>0</v>
      </c>
      <c r="R1403" s="539"/>
      <c r="S1403" s="540"/>
      <c r="T1403" s="480" t="s">
        <v>8967</v>
      </c>
      <c r="U1403" s="481" t="b">
        <v>1</v>
      </c>
      <c r="V1403" s="6" t="s">
        <v>8964</v>
      </c>
      <c r="Z1403" t="b">
        <v>0</v>
      </c>
      <c r="AA1403" t="b">
        <v>0</v>
      </c>
    </row>
    <row r="1404" hidden="1">
      <c r="A1404" s="6">
        <v>1.0</v>
      </c>
      <c r="B1404" s="6" t="s">
        <v>181</v>
      </c>
      <c r="C1404" s="6" t="s">
        <v>408</v>
      </c>
      <c r="D1404" s="365"/>
      <c r="E1404" s="6" t="s">
        <v>1110</v>
      </c>
      <c r="F1404" s="6" t="s">
        <v>8968</v>
      </c>
      <c r="G1404" s="6" t="s">
        <v>8969</v>
      </c>
      <c r="H1404" s="473" t="s">
        <v>135</v>
      </c>
      <c r="I1404" s="474"/>
      <c r="J1404" s="475"/>
      <c r="K1404" s="275" t="str">
        <f>IFNA(VLOOKUP(D1404,'EAN Codes'!A:C,2,False),"")</f>
        <v/>
      </c>
      <c r="L1404" s="82"/>
      <c r="M1404" s="476" t="b">
        <v>0</v>
      </c>
      <c r="N1404" s="477" t="b">
        <v>0</v>
      </c>
      <c r="O1404" s="477" t="b">
        <v>0</v>
      </c>
      <c r="P1404" s="477" t="b">
        <v>0</v>
      </c>
      <c r="Q1404" s="477" t="b">
        <v>0</v>
      </c>
      <c r="R1404" s="539"/>
      <c r="S1404" s="540"/>
      <c r="T1404" s="480">
        <v>369440.0</v>
      </c>
      <c r="U1404" s="481" t="b">
        <v>1</v>
      </c>
      <c r="V1404" s="6" t="s">
        <v>8964</v>
      </c>
      <c r="Z1404" t="b">
        <v>0</v>
      </c>
      <c r="AA1404" t="b">
        <v>0</v>
      </c>
    </row>
    <row r="1405" hidden="1">
      <c r="A1405" s="6">
        <v>1.0</v>
      </c>
      <c r="B1405" s="99" t="s">
        <v>241</v>
      </c>
      <c r="C1405" s="99" t="s">
        <v>4382</v>
      </c>
      <c r="D1405" s="100" t="s">
        <v>8264</v>
      </c>
      <c r="E1405" s="101"/>
      <c r="F1405" s="99" t="s">
        <v>1196</v>
      </c>
      <c r="H1405" s="473" t="s">
        <v>135</v>
      </c>
      <c r="I1405" s="474"/>
      <c r="J1405" s="475"/>
      <c r="K1405" s="275" t="str">
        <f>IFNA(VLOOKUP(D1405,'EAN Codes'!A:C,2,False),"")</f>
        <v/>
      </c>
      <c r="L1405" s="82"/>
      <c r="M1405" s="476" t="b">
        <v>0</v>
      </c>
      <c r="N1405" s="477" t="b">
        <v>0</v>
      </c>
      <c r="O1405" s="477" t="b">
        <v>0</v>
      </c>
      <c r="P1405" s="477" t="b">
        <v>0</v>
      </c>
      <c r="Q1405" s="477" t="b">
        <v>0</v>
      </c>
      <c r="R1405" s="539"/>
      <c r="S1405" s="540"/>
      <c r="T1405" s="543"/>
      <c r="U1405" s="481" t="b">
        <v>1</v>
      </c>
      <c r="V1405" s="6" t="s">
        <v>8964</v>
      </c>
      <c r="Z1405" t="b">
        <v>0</v>
      </c>
      <c r="AA1405" t="b">
        <v>0</v>
      </c>
    </row>
    <row r="1406" hidden="1">
      <c r="A1406" s="6">
        <v>1.0</v>
      </c>
      <c r="B1406" s="6" t="s">
        <v>391</v>
      </c>
      <c r="C1406" s="6" t="s">
        <v>8536</v>
      </c>
      <c r="D1406" s="127" t="s">
        <v>8541</v>
      </c>
      <c r="H1406" s="473" t="s">
        <v>135</v>
      </c>
      <c r="I1406" s="474"/>
      <c r="J1406" s="475"/>
      <c r="K1406" s="275" t="str">
        <f>IFNA(VLOOKUP(D1406,'EAN Codes'!A:C,2,False),"")</f>
        <v/>
      </c>
      <c r="L1406" s="82"/>
      <c r="M1406" s="476" t="b">
        <v>0</v>
      </c>
      <c r="N1406" s="477" t="b">
        <v>0</v>
      </c>
      <c r="O1406" s="477" t="b">
        <v>0</v>
      </c>
      <c r="P1406" s="477" t="b">
        <v>0</v>
      </c>
      <c r="Q1406" s="477" t="b">
        <v>0</v>
      </c>
      <c r="R1406" s="539"/>
      <c r="S1406" s="540"/>
      <c r="T1406" s="480">
        <v>307886.0</v>
      </c>
      <c r="U1406" s="481" t="b">
        <v>1</v>
      </c>
      <c r="V1406" s="6" t="s">
        <v>8964</v>
      </c>
      <c r="Z1406" t="b">
        <v>0</v>
      </c>
      <c r="AA1406" t="b">
        <v>0</v>
      </c>
    </row>
    <row r="1407" hidden="1">
      <c r="A1407" s="6">
        <v>1.0</v>
      </c>
      <c r="B1407" s="6" t="s">
        <v>391</v>
      </c>
      <c r="C1407" s="6" t="s">
        <v>8536</v>
      </c>
      <c r="D1407" s="127" t="s">
        <v>8540</v>
      </c>
      <c r="H1407" s="473" t="s">
        <v>135</v>
      </c>
      <c r="I1407" s="474"/>
      <c r="J1407" s="475"/>
      <c r="K1407" s="275" t="str">
        <f>IFNA(VLOOKUP(D1407,'EAN Codes'!A:C,2,False),"")</f>
        <v/>
      </c>
      <c r="L1407" s="82"/>
      <c r="M1407" s="476" t="b">
        <v>0</v>
      </c>
      <c r="N1407" s="477" t="b">
        <v>0</v>
      </c>
      <c r="O1407" s="477" t="b">
        <v>0</v>
      </c>
      <c r="P1407" s="477" t="b">
        <v>0</v>
      </c>
      <c r="Q1407" s="477" t="b">
        <v>0</v>
      </c>
      <c r="R1407" s="539"/>
      <c r="S1407" s="540"/>
      <c r="T1407" s="480">
        <v>307886.0</v>
      </c>
      <c r="U1407" s="481" t="b">
        <v>1</v>
      </c>
      <c r="V1407" s="6" t="s">
        <v>8964</v>
      </c>
      <c r="Z1407" t="b">
        <v>0</v>
      </c>
      <c r="AA1407" t="b">
        <v>0</v>
      </c>
    </row>
    <row r="1408">
      <c r="B1408" s="99"/>
      <c r="C1408" s="99"/>
      <c r="D1408" s="100"/>
      <c r="E1408" s="101"/>
      <c r="F1408" s="101"/>
      <c r="H1408" s="473"/>
      <c r="I1408" s="474"/>
      <c r="J1408" s="475"/>
      <c r="K1408" s="275" t="str">
        <f>IFNA(VLOOKUP(D1408,'EAN Codes'!A:C,2,False),"")</f>
        <v/>
      </c>
      <c r="L1408" s="82"/>
      <c r="M1408" s="476" t="b">
        <v>0</v>
      </c>
      <c r="N1408" s="477" t="b">
        <v>0</v>
      </c>
      <c r="O1408" s="477" t="b">
        <v>0</v>
      </c>
      <c r="P1408" s="477" t="b">
        <v>0</v>
      </c>
      <c r="Q1408" s="477" t="b">
        <v>0</v>
      </c>
      <c r="R1408" s="539"/>
      <c r="S1408" s="540"/>
      <c r="T1408" s="543"/>
      <c r="U1408" s="514" t="b">
        <v>0</v>
      </c>
      <c r="V1408" s="6" t="s">
        <v>8964</v>
      </c>
      <c r="Z1408" s="6" t="b">
        <v>1</v>
      </c>
      <c r="AA1408" s="6" t="b">
        <v>0</v>
      </c>
      <c r="AC1408" s="35">
        <v>412.16</v>
      </c>
      <c r="AD1408" t="str">
        <f t="shared" ref="AD1408:AD1409" si="23">IFNA(IFS(U1408=False,D1408),"")</f>
        <v/>
      </c>
      <c r="AE1408" t="str">
        <f t="shared" ref="AE1408:AE1409" si="24">IFNA(IFS(U1408=false,H1408),"")</f>
        <v/>
      </c>
    </row>
    <row r="1409">
      <c r="B1409" s="99"/>
      <c r="C1409" s="99"/>
      <c r="D1409" s="100"/>
      <c r="E1409" s="101"/>
      <c r="F1409" s="101"/>
      <c r="H1409" s="473"/>
      <c r="I1409" s="474"/>
      <c r="J1409" s="475"/>
      <c r="K1409" s="275" t="str">
        <f>IFNA(VLOOKUP(D1409,'EAN Codes'!A:C,2,False),"")</f>
        <v/>
      </c>
      <c r="L1409" s="82"/>
      <c r="M1409" s="476" t="b">
        <v>0</v>
      </c>
      <c r="N1409" s="477" t="b">
        <v>0</v>
      </c>
      <c r="O1409" s="477" t="b">
        <v>0</v>
      </c>
      <c r="P1409" s="477" t="b">
        <v>0</v>
      </c>
      <c r="Q1409" s="477" t="b">
        <v>0</v>
      </c>
      <c r="R1409" s="539"/>
      <c r="S1409" s="540"/>
      <c r="T1409" s="543"/>
      <c r="U1409" s="514" t="b">
        <v>0</v>
      </c>
      <c r="V1409" s="6" t="s">
        <v>8964</v>
      </c>
      <c r="Z1409" s="6" t="b">
        <v>1</v>
      </c>
      <c r="AA1409" s="6" t="b">
        <v>0</v>
      </c>
      <c r="AC1409" s="35">
        <v>412.16</v>
      </c>
      <c r="AD1409" t="str">
        <f t="shared" si="23"/>
        <v/>
      </c>
      <c r="AE1409" t="str">
        <f t="shared" si="24"/>
        <v/>
      </c>
    </row>
    <row r="1410" hidden="1">
      <c r="B1410" s="6" t="s">
        <v>391</v>
      </c>
      <c r="C1410" s="6" t="s">
        <v>8536</v>
      </c>
      <c r="D1410" s="127" t="s">
        <v>8978</v>
      </c>
      <c r="H1410" s="473" t="s">
        <v>135</v>
      </c>
      <c r="I1410" s="474"/>
      <c r="J1410" s="536"/>
      <c r="K1410" s="275" t="str">
        <f>IFNA(VLOOKUP(D1410,'EAN Codes'!A:C,2,False),"")</f>
        <v/>
      </c>
      <c r="L1410" s="82"/>
      <c r="M1410" s="476" t="b">
        <v>0</v>
      </c>
      <c r="N1410" s="477" t="b">
        <v>0</v>
      </c>
      <c r="O1410" s="477" t="b">
        <v>0</v>
      </c>
      <c r="P1410" s="497" t="b">
        <v>1</v>
      </c>
      <c r="Q1410" s="477" t="b">
        <v>0</v>
      </c>
      <c r="R1410" s="478" t="s">
        <v>8560</v>
      </c>
      <c r="S1410" s="540"/>
      <c r="T1410" s="543"/>
      <c r="U1410" s="481" t="b">
        <v>1</v>
      </c>
      <c r="V1410" s="6" t="s">
        <v>8964</v>
      </c>
      <c r="Z1410" t="b">
        <v>0</v>
      </c>
      <c r="AA1410" t="b">
        <v>0</v>
      </c>
    </row>
    <row r="1411" hidden="1">
      <c r="B1411" s="6" t="s">
        <v>391</v>
      </c>
      <c r="C1411" s="6" t="s">
        <v>8536</v>
      </c>
      <c r="D1411" s="127" t="s">
        <v>8978</v>
      </c>
      <c r="H1411" s="473" t="s">
        <v>135</v>
      </c>
      <c r="I1411" s="474"/>
      <c r="J1411" s="536"/>
      <c r="K1411" s="275" t="str">
        <f>IFNA(VLOOKUP(D1411,'EAN Codes'!A:C,2,False),"")</f>
        <v/>
      </c>
      <c r="L1411" s="82"/>
      <c r="M1411" s="476" t="b">
        <v>0</v>
      </c>
      <c r="N1411" s="477" t="b">
        <v>0</v>
      </c>
      <c r="O1411" s="477" t="b">
        <v>0</v>
      </c>
      <c r="P1411" s="497" t="b">
        <v>1</v>
      </c>
      <c r="Q1411" s="477" t="b">
        <v>0</v>
      </c>
      <c r="R1411" s="478" t="s">
        <v>8560</v>
      </c>
      <c r="S1411" s="540"/>
      <c r="T1411" s="543"/>
      <c r="U1411" s="481" t="b">
        <v>1</v>
      </c>
      <c r="V1411" s="6" t="s">
        <v>8964</v>
      </c>
      <c r="Z1411" t="b">
        <v>0</v>
      </c>
      <c r="AA1411" t="b">
        <v>0</v>
      </c>
    </row>
    <row r="1412" hidden="1">
      <c r="B1412" s="6" t="s">
        <v>2651</v>
      </c>
      <c r="C1412" s="6" t="s">
        <v>3751</v>
      </c>
      <c r="D1412" s="127" t="s">
        <v>8984</v>
      </c>
      <c r="H1412" s="473" t="s">
        <v>135</v>
      </c>
      <c r="I1412" s="474"/>
      <c r="J1412" s="536"/>
      <c r="K1412" s="275" t="str">
        <f>IFNA(VLOOKUP(D1412,'EAN Codes'!A:C,2,False),"")</f>
        <v/>
      </c>
      <c r="L1412" s="82"/>
      <c r="M1412" s="476" t="b">
        <v>0</v>
      </c>
      <c r="N1412" s="477" t="b">
        <v>0</v>
      </c>
      <c r="O1412" s="477" t="b">
        <v>0</v>
      </c>
      <c r="P1412" s="497" t="b">
        <v>1</v>
      </c>
      <c r="Q1412" s="477" t="b">
        <v>0</v>
      </c>
      <c r="R1412" s="478" t="s">
        <v>8560</v>
      </c>
      <c r="S1412" s="540"/>
      <c r="T1412" s="543"/>
      <c r="U1412" s="481" t="b">
        <v>1</v>
      </c>
      <c r="V1412" s="6" t="s">
        <v>8964</v>
      </c>
      <c r="Z1412" t="b">
        <v>0</v>
      </c>
      <c r="AA1412" t="b">
        <v>0</v>
      </c>
    </row>
    <row r="1413" hidden="1">
      <c r="B1413" s="6" t="s">
        <v>2651</v>
      </c>
      <c r="C1413" s="6" t="s">
        <v>3751</v>
      </c>
      <c r="D1413" s="127" t="s">
        <v>8986</v>
      </c>
      <c r="H1413" s="473" t="s">
        <v>135</v>
      </c>
      <c r="I1413" s="474"/>
      <c r="J1413" s="536"/>
      <c r="K1413" s="275" t="str">
        <f>IFNA(VLOOKUP(D1413,'EAN Codes'!A:C,2,False),"")</f>
        <v/>
      </c>
      <c r="L1413" s="82"/>
      <c r="M1413" s="476" t="b">
        <v>0</v>
      </c>
      <c r="N1413" s="477" t="b">
        <v>0</v>
      </c>
      <c r="O1413" s="477" t="b">
        <v>0</v>
      </c>
      <c r="P1413" s="497" t="b">
        <v>1</v>
      </c>
      <c r="Q1413" s="477" t="b">
        <v>0</v>
      </c>
      <c r="R1413" s="478" t="s">
        <v>8560</v>
      </c>
      <c r="S1413" s="540"/>
      <c r="T1413" s="543"/>
      <c r="U1413" s="481" t="b">
        <v>1</v>
      </c>
      <c r="V1413" s="6" t="s">
        <v>8964</v>
      </c>
      <c r="Z1413" t="b">
        <v>0</v>
      </c>
      <c r="AA1413" t="b">
        <v>0</v>
      </c>
    </row>
    <row r="1414" hidden="1">
      <c r="B1414" s="6" t="s">
        <v>2651</v>
      </c>
      <c r="C1414" s="6" t="s">
        <v>3751</v>
      </c>
      <c r="D1414" s="127" t="s">
        <v>8986</v>
      </c>
      <c r="H1414" s="473" t="s">
        <v>135</v>
      </c>
      <c r="I1414" s="474"/>
      <c r="J1414" s="536"/>
      <c r="K1414" s="275" t="str">
        <f>IFNA(VLOOKUP(D1414,'EAN Codes'!A:C,2,False),"")</f>
        <v/>
      </c>
      <c r="L1414" s="82"/>
      <c r="M1414" s="476" t="b">
        <v>0</v>
      </c>
      <c r="N1414" s="477" t="b">
        <v>0</v>
      </c>
      <c r="O1414" s="477" t="b">
        <v>0</v>
      </c>
      <c r="P1414" s="497" t="b">
        <v>1</v>
      </c>
      <c r="Q1414" s="477" t="b">
        <v>0</v>
      </c>
      <c r="R1414" s="478" t="s">
        <v>8560</v>
      </c>
      <c r="S1414" s="540"/>
      <c r="T1414" s="543"/>
      <c r="U1414" s="481" t="b">
        <v>1</v>
      </c>
      <c r="V1414" s="6" t="s">
        <v>8964</v>
      </c>
      <c r="Z1414" t="b">
        <v>0</v>
      </c>
      <c r="AA1414" t="b">
        <v>0</v>
      </c>
    </row>
    <row r="1415" hidden="1">
      <c r="A1415" s="6">
        <v>1.0</v>
      </c>
      <c r="B1415" s="99" t="s">
        <v>8989</v>
      </c>
      <c r="C1415" s="99" t="s">
        <v>408</v>
      </c>
      <c r="D1415" s="100" t="s">
        <v>8990</v>
      </c>
      <c r="H1415" s="473" t="s">
        <v>135</v>
      </c>
      <c r="I1415" s="474"/>
      <c r="J1415" s="475"/>
      <c r="K1415" s="275" t="str">
        <f>IFNA(VLOOKUP(D1415,'EAN Codes'!A:C,2,False),"")</f>
        <v/>
      </c>
      <c r="L1415" s="82"/>
      <c r="M1415" s="476" t="b">
        <v>0</v>
      </c>
      <c r="N1415" s="477" t="b">
        <v>0</v>
      </c>
      <c r="O1415" s="477" t="b">
        <v>0</v>
      </c>
      <c r="P1415" s="477" t="b">
        <v>0</v>
      </c>
      <c r="Q1415" s="477" t="b">
        <v>0</v>
      </c>
      <c r="R1415" s="539"/>
      <c r="S1415" s="540"/>
      <c r="T1415" s="480">
        <v>308344.0</v>
      </c>
      <c r="U1415" s="481" t="b">
        <v>1</v>
      </c>
      <c r="V1415" s="6" t="s">
        <v>8964</v>
      </c>
      <c r="Z1415" t="b">
        <v>0</v>
      </c>
      <c r="AA1415" t="b">
        <v>0</v>
      </c>
    </row>
    <row r="1416">
      <c r="B1416" s="99"/>
      <c r="C1416" s="99"/>
      <c r="D1416" s="100"/>
      <c r="E1416" s="101"/>
      <c r="F1416" s="101"/>
      <c r="H1416" s="473"/>
      <c r="I1416" s="474"/>
      <c r="J1416" s="475"/>
      <c r="K1416" s="275" t="str">
        <f>IFNA(VLOOKUP(D1416,'EAN Codes'!A:C,2,False),"")</f>
        <v/>
      </c>
      <c r="L1416" s="82"/>
      <c r="M1416" s="476" t="b">
        <v>0</v>
      </c>
      <c r="N1416" s="477" t="b">
        <v>0</v>
      </c>
      <c r="O1416" s="477" t="b">
        <v>0</v>
      </c>
      <c r="P1416" s="477" t="b">
        <v>0</v>
      </c>
      <c r="Q1416" s="477" t="b">
        <v>0</v>
      </c>
      <c r="R1416" s="539"/>
      <c r="S1416" s="540"/>
      <c r="T1416" s="543"/>
      <c r="U1416" s="514" t="b">
        <v>0</v>
      </c>
      <c r="V1416" s="6" t="s">
        <v>8964</v>
      </c>
      <c r="Z1416" s="6" t="b">
        <v>1</v>
      </c>
      <c r="AA1416" s="6" t="b">
        <v>0</v>
      </c>
      <c r="AC1416" s="35">
        <v>412.16</v>
      </c>
      <c r="AD1416" t="str">
        <f>IFNA(IFS(U1416=False,D1416),"")</f>
        <v/>
      </c>
      <c r="AE1416" t="str">
        <f>IFNA(IFS(U1416=false,H1416),"")</f>
        <v/>
      </c>
    </row>
    <row r="1417" hidden="1">
      <c r="B1417" s="6" t="s">
        <v>2651</v>
      </c>
      <c r="C1417" s="6" t="s">
        <v>3751</v>
      </c>
      <c r="D1417" s="127" t="s">
        <v>8996</v>
      </c>
      <c r="H1417" s="473" t="s">
        <v>135</v>
      </c>
      <c r="I1417" s="474"/>
      <c r="J1417" s="536"/>
      <c r="K1417" s="275" t="str">
        <f>IFNA(VLOOKUP(D1417,'EAN Codes'!A:C,2,False),"")</f>
        <v/>
      </c>
      <c r="L1417" s="82"/>
      <c r="M1417" s="476" t="b">
        <v>0</v>
      </c>
      <c r="N1417" s="477" t="b">
        <v>0</v>
      </c>
      <c r="O1417" s="477" t="b">
        <v>0</v>
      </c>
      <c r="P1417" s="497" t="b">
        <v>1</v>
      </c>
      <c r="Q1417" s="477" t="b">
        <v>0</v>
      </c>
      <c r="R1417" s="478" t="s">
        <v>8560</v>
      </c>
      <c r="S1417" s="540"/>
      <c r="T1417" s="543"/>
      <c r="U1417" s="481" t="b">
        <v>1</v>
      </c>
      <c r="V1417" s="6" t="s">
        <v>8964</v>
      </c>
      <c r="Z1417" t="b">
        <v>0</v>
      </c>
      <c r="AA1417" t="b">
        <v>0</v>
      </c>
    </row>
    <row r="1418">
      <c r="B1418" s="99"/>
      <c r="C1418" s="99"/>
      <c r="D1418" s="100"/>
      <c r="E1418" s="101"/>
      <c r="F1418" s="101"/>
      <c r="H1418" s="473"/>
      <c r="I1418" s="474"/>
      <c r="J1418" s="475"/>
      <c r="K1418" s="275" t="str">
        <f>IFNA(VLOOKUP(D1418,'EAN Codes'!A:C,2,False),"")</f>
        <v/>
      </c>
      <c r="L1418" s="82"/>
      <c r="M1418" s="476" t="b">
        <v>0</v>
      </c>
      <c r="N1418" s="477" t="b">
        <v>0</v>
      </c>
      <c r="O1418" s="477" t="b">
        <v>0</v>
      </c>
      <c r="P1418" s="477" t="b">
        <v>0</v>
      </c>
      <c r="Q1418" s="477" t="b">
        <v>0</v>
      </c>
      <c r="R1418" s="539"/>
      <c r="S1418" s="540"/>
      <c r="T1418" s="543"/>
      <c r="U1418" s="514" t="b">
        <v>0</v>
      </c>
      <c r="V1418" s="6" t="s">
        <v>8964</v>
      </c>
      <c r="Z1418" s="6" t="b">
        <v>1</v>
      </c>
      <c r="AA1418" s="6" t="b">
        <v>0</v>
      </c>
      <c r="AC1418" s="35">
        <v>0.0</v>
      </c>
      <c r="AD1418" t="str">
        <f t="shared" ref="AD1418:AD1419" si="25">IFNA(IFS(U1418=False,D1418),"")</f>
        <v/>
      </c>
      <c r="AE1418" t="str">
        <f t="shared" ref="AE1418:AE1419" si="26">IFNA(IFS(U1418=false,H1418),"")</f>
        <v/>
      </c>
    </row>
    <row r="1419">
      <c r="D1419" s="127"/>
      <c r="H1419" s="473"/>
      <c r="I1419" s="474"/>
      <c r="J1419" s="475"/>
      <c r="K1419" s="275" t="str">
        <f>IFNA(VLOOKUP(D1419,'EAN Codes'!A:C,2,False),"")</f>
        <v/>
      </c>
      <c r="L1419" s="82"/>
      <c r="M1419" s="476" t="b">
        <v>0</v>
      </c>
      <c r="N1419" s="477" t="b">
        <v>0</v>
      </c>
      <c r="O1419" s="477" t="b">
        <v>0</v>
      </c>
      <c r="P1419" s="477" t="b">
        <v>0</v>
      </c>
      <c r="Q1419" s="477" t="b">
        <v>0</v>
      </c>
      <c r="R1419" s="539"/>
      <c r="S1419" s="540"/>
      <c r="T1419" s="543"/>
      <c r="U1419" s="514" t="b">
        <v>0</v>
      </c>
      <c r="V1419" s="6" t="s">
        <v>8964</v>
      </c>
      <c r="Z1419" s="6" t="b">
        <v>1</v>
      </c>
      <c r="AA1419" s="6" t="b">
        <v>0</v>
      </c>
      <c r="AC1419" s="35">
        <v>389.76</v>
      </c>
      <c r="AD1419" t="str">
        <f t="shared" si="25"/>
        <v/>
      </c>
      <c r="AE1419" t="str">
        <f t="shared" si="26"/>
        <v/>
      </c>
    </row>
    <row r="1420" hidden="1">
      <c r="B1420" s="99" t="s">
        <v>181</v>
      </c>
      <c r="C1420" s="99" t="s">
        <v>1116</v>
      </c>
      <c r="D1420" s="100" t="s">
        <v>9003</v>
      </c>
      <c r="H1420" s="473" t="s">
        <v>135</v>
      </c>
      <c r="I1420" s="474"/>
      <c r="J1420" s="536"/>
      <c r="K1420" s="275" t="str">
        <f>IFNA(VLOOKUP(D1420,'EAN Codes'!A:C,2,False),"")</f>
        <v>8717323062746</v>
      </c>
      <c r="L1420" s="82"/>
      <c r="M1420" s="476" t="b">
        <v>0</v>
      </c>
      <c r="N1420" s="477" t="b">
        <v>0</v>
      </c>
      <c r="O1420" s="477" t="b">
        <v>0</v>
      </c>
      <c r="P1420" s="477" t="b">
        <v>0</v>
      </c>
      <c r="Q1420" s="477" t="b">
        <v>0</v>
      </c>
      <c r="R1420" s="539"/>
      <c r="S1420" s="540"/>
      <c r="T1420" s="480" t="s">
        <v>9005</v>
      </c>
      <c r="U1420" s="481" t="b">
        <v>1</v>
      </c>
      <c r="V1420" s="6" t="s">
        <v>8964</v>
      </c>
      <c r="Z1420" t="b">
        <v>0</v>
      </c>
      <c r="AA1420" t="b">
        <v>0</v>
      </c>
    </row>
    <row r="1421" hidden="1">
      <c r="A1421" s="6">
        <v>1.0</v>
      </c>
      <c r="B1421" s="99" t="s">
        <v>181</v>
      </c>
      <c r="C1421" s="99" t="s">
        <v>1116</v>
      </c>
      <c r="D1421" s="100" t="s">
        <v>9003</v>
      </c>
      <c r="H1421" s="473" t="s">
        <v>135</v>
      </c>
      <c r="I1421" s="474"/>
      <c r="J1421" s="475"/>
      <c r="K1421" s="275" t="str">
        <f>IFNA(VLOOKUP(D1421,'EAN Codes'!A:C,2,False),"")</f>
        <v>8717323062746</v>
      </c>
      <c r="L1421" s="82"/>
      <c r="M1421" s="476" t="b">
        <v>0</v>
      </c>
      <c r="N1421" s="477" t="b">
        <v>0</v>
      </c>
      <c r="O1421" s="477" t="b">
        <v>0</v>
      </c>
      <c r="P1421" s="477" t="b">
        <v>0</v>
      </c>
      <c r="Q1421" s="477" t="b">
        <v>0</v>
      </c>
      <c r="R1421" s="539"/>
      <c r="S1421" s="540"/>
      <c r="T1421" s="480" t="s">
        <v>9007</v>
      </c>
      <c r="U1421" s="481" t="b">
        <v>1</v>
      </c>
      <c r="V1421" s="6" t="s">
        <v>8964</v>
      </c>
      <c r="Z1421" t="b">
        <v>0</v>
      </c>
      <c r="AA1421" t="b">
        <v>0</v>
      </c>
    </row>
    <row r="1422">
      <c r="B1422" s="99"/>
      <c r="C1422" s="99"/>
      <c r="D1422" s="100"/>
      <c r="E1422" s="101"/>
      <c r="F1422" s="99"/>
      <c r="G1422" s="101"/>
      <c r="H1422" s="473"/>
      <c r="I1422" s="474"/>
      <c r="J1422" s="475"/>
      <c r="K1422" s="275" t="str">
        <f>IFNA(VLOOKUP(D1422,'EAN Codes'!A:C,2,False),"")</f>
        <v/>
      </c>
      <c r="L1422" s="82"/>
      <c r="M1422" s="476" t="b">
        <v>0</v>
      </c>
      <c r="N1422" s="477" t="b">
        <v>0</v>
      </c>
      <c r="O1422" s="477" t="b">
        <v>0</v>
      </c>
      <c r="P1422" s="477" t="b">
        <v>0</v>
      </c>
      <c r="Q1422" s="477" t="b">
        <v>0</v>
      </c>
      <c r="R1422" s="539"/>
      <c r="S1422" s="540"/>
      <c r="T1422" s="543"/>
      <c r="U1422" s="514" t="b">
        <v>0</v>
      </c>
      <c r="V1422" s="6" t="s">
        <v>8964</v>
      </c>
      <c r="Z1422" s="6" t="b">
        <v>1</v>
      </c>
      <c r="AA1422" s="6" t="b">
        <v>0</v>
      </c>
      <c r="AC1422" s="35">
        <v>396.72</v>
      </c>
      <c r="AD1422" t="str">
        <f>IFNA(IFS(U1422=False,D1422),"")</f>
        <v/>
      </c>
      <c r="AE1422" t="str">
        <f>IFNA(IFS(U1422=false,H1422),"")</f>
        <v/>
      </c>
    </row>
    <row r="1423" hidden="1">
      <c r="B1423" s="6" t="s">
        <v>181</v>
      </c>
      <c r="C1423" s="6" t="s">
        <v>1116</v>
      </c>
      <c r="D1423" s="127" t="s">
        <v>9011</v>
      </c>
      <c r="H1423" s="473" t="s">
        <v>135</v>
      </c>
      <c r="I1423" s="474"/>
      <c r="J1423" s="536"/>
      <c r="K1423" s="275" t="str">
        <f>IFNA(VLOOKUP(D1423,'EAN Codes'!A:C,2,False),"")</f>
        <v>8717323065013</v>
      </c>
      <c r="L1423" s="82"/>
      <c r="M1423" s="476" t="b">
        <v>0</v>
      </c>
      <c r="N1423" s="477" t="b">
        <v>0</v>
      </c>
      <c r="O1423" s="477" t="b">
        <v>0</v>
      </c>
      <c r="P1423" s="477" t="b">
        <v>0</v>
      </c>
      <c r="Q1423" s="477" t="b">
        <v>0</v>
      </c>
      <c r="R1423" s="539"/>
      <c r="S1423" s="540"/>
      <c r="T1423" s="480">
        <v>307963.0</v>
      </c>
      <c r="U1423" s="481" t="b">
        <v>1</v>
      </c>
      <c r="V1423" s="6" t="s">
        <v>8964</v>
      </c>
      <c r="Z1423" t="b">
        <v>0</v>
      </c>
      <c r="AA1423" t="b">
        <v>0</v>
      </c>
    </row>
    <row r="1424" hidden="1">
      <c r="A1424" s="101"/>
      <c r="B1424" s="99" t="s">
        <v>181</v>
      </c>
      <c r="C1424" s="99" t="s">
        <v>1116</v>
      </c>
      <c r="D1424" s="100" t="s">
        <v>9011</v>
      </c>
      <c r="E1424" s="101"/>
      <c r="F1424" s="101"/>
      <c r="G1424" s="101"/>
      <c r="H1424" s="487" t="s">
        <v>135</v>
      </c>
      <c r="I1424" s="488"/>
      <c r="J1424" s="541"/>
      <c r="K1424" s="90" t="str">
        <f>IFNA(VLOOKUP(D1424,'EAN Codes'!A:C,2,False),"")</f>
        <v>8717323065013</v>
      </c>
      <c r="L1424" s="101"/>
      <c r="M1424" s="575" t="b">
        <v>0</v>
      </c>
      <c r="N1424" s="576" t="b">
        <v>0</v>
      </c>
      <c r="O1424" s="576" t="b">
        <v>0</v>
      </c>
      <c r="P1424" s="576" t="b">
        <v>0</v>
      </c>
      <c r="Q1424" s="576" t="b">
        <v>0</v>
      </c>
      <c r="R1424" s="544"/>
      <c r="S1424" s="545"/>
      <c r="T1424" s="505" t="s">
        <v>9013</v>
      </c>
      <c r="U1424" s="579" t="b">
        <v>1</v>
      </c>
      <c r="V1424" s="99" t="s">
        <v>8964</v>
      </c>
      <c r="W1424" s="101"/>
      <c r="X1424" s="101"/>
      <c r="Y1424" s="101"/>
      <c r="Z1424" s="101" t="b">
        <v>0</v>
      </c>
      <c r="AA1424" t="b">
        <v>0</v>
      </c>
      <c r="AB1424" s="101"/>
      <c r="AC1424" s="101"/>
      <c r="AD1424" s="101"/>
      <c r="AE1424" s="101"/>
    </row>
    <row r="1425" hidden="1">
      <c r="B1425" s="6" t="s">
        <v>2651</v>
      </c>
      <c r="C1425" s="6" t="s">
        <v>3751</v>
      </c>
      <c r="D1425" s="127" t="s">
        <v>9014</v>
      </c>
      <c r="H1425" s="473" t="s">
        <v>135</v>
      </c>
      <c r="I1425" s="474"/>
      <c r="J1425" s="536"/>
      <c r="K1425" s="275" t="str">
        <f>IFNA(VLOOKUP(D1425,'EAN Codes'!A:C,2,False),"")</f>
        <v/>
      </c>
      <c r="L1425" s="82"/>
      <c r="M1425" s="476" t="b">
        <v>0</v>
      </c>
      <c r="N1425" s="477" t="b">
        <v>0</v>
      </c>
      <c r="O1425" s="477" t="b">
        <v>0</v>
      </c>
      <c r="P1425" s="497" t="b">
        <v>1</v>
      </c>
      <c r="Q1425" s="477" t="b">
        <v>0</v>
      </c>
      <c r="R1425" s="478" t="s">
        <v>8560</v>
      </c>
      <c r="S1425" s="540"/>
      <c r="T1425" s="543"/>
      <c r="U1425" s="481" t="b">
        <v>1</v>
      </c>
      <c r="V1425" s="6" t="s">
        <v>8964</v>
      </c>
      <c r="Z1425" t="b">
        <v>0</v>
      </c>
      <c r="AA1425" t="b">
        <v>0</v>
      </c>
    </row>
    <row r="1426" hidden="1">
      <c r="B1426" s="6" t="s">
        <v>391</v>
      </c>
      <c r="C1426" s="6" t="s">
        <v>8536</v>
      </c>
      <c r="D1426" s="127" t="s">
        <v>9015</v>
      </c>
      <c r="H1426" s="473" t="s">
        <v>135</v>
      </c>
      <c r="I1426" s="474"/>
      <c r="J1426" s="536"/>
      <c r="K1426" s="275" t="str">
        <f>IFNA(VLOOKUP(D1426,'EAN Codes'!A:C,2,False),"")</f>
        <v/>
      </c>
      <c r="L1426" s="82"/>
      <c r="M1426" s="476" t="b">
        <v>0</v>
      </c>
      <c r="N1426" s="477" t="b">
        <v>0</v>
      </c>
      <c r="O1426" s="477" t="b">
        <v>0</v>
      </c>
      <c r="P1426" s="497" t="b">
        <v>1</v>
      </c>
      <c r="Q1426" s="477" t="b">
        <v>0</v>
      </c>
      <c r="R1426" s="478" t="s">
        <v>8560</v>
      </c>
      <c r="S1426" s="540"/>
      <c r="T1426" s="543"/>
      <c r="U1426" s="481" t="b">
        <v>1</v>
      </c>
      <c r="V1426" s="6" t="s">
        <v>8964</v>
      </c>
      <c r="Z1426" t="b">
        <v>0</v>
      </c>
      <c r="AA1426" t="b">
        <v>0</v>
      </c>
    </row>
    <row r="1427" hidden="1">
      <c r="A1427" s="6">
        <v>1.0</v>
      </c>
      <c r="B1427" s="6" t="s">
        <v>181</v>
      </c>
      <c r="C1427" s="6" t="s">
        <v>408</v>
      </c>
      <c r="D1427" s="127" t="s">
        <v>9016</v>
      </c>
      <c r="F1427" s="6" t="s">
        <v>9017</v>
      </c>
      <c r="G1427" s="6" t="s">
        <v>7118</v>
      </c>
      <c r="H1427" s="473" t="s">
        <v>135</v>
      </c>
      <c r="I1427" s="474"/>
      <c r="J1427" s="475"/>
      <c r="K1427" s="275" t="str">
        <f>IFNA(VLOOKUP(D1427,'EAN Codes'!A:C,2,False),"")</f>
        <v/>
      </c>
      <c r="L1427" s="82"/>
      <c r="M1427" s="476" t="b">
        <v>0</v>
      </c>
      <c r="N1427" s="477" t="b">
        <v>0</v>
      </c>
      <c r="O1427" s="477" t="b">
        <v>0</v>
      </c>
      <c r="P1427" s="477" t="b">
        <v>0</v>
      </c>
      <c r="Q1427" s="477" t="b">
        <v>0</v>
      </c>
      <c r="R1427" s="539"/>
      <c r="S1427" s="540"/>
      <c r="T1427" s="480" t="s">
        <v>9018</v>
      </c>
      <c r="U1427" s="481" t="b">
        <v>1</v>
      </c>
      <c r="V1427" s="6" t="s">
        <v>8964</v>
      </c>
      <c r="Z1427" s="6" t="b">
        <v>1</v>
      </c>
      <c r="AA1427" t="b">
        <v>0</v>
      </c>
      <c r="AC1427" s="82"/>
      <c r="AD1427" t="str">
        <f>IFNA(IFS(U1427=False,D1427),"")</f>
        <v/>
      </c>
      <c r="AE1427" t="str">
        <f>IFNA(IFS(U1427=false,H1427),"")</f>
        <v/>
      </c>
    </row>
    <row r="1428" hidden="1">
      <c r="A1428" s="6">
        <v>1.0</v>
      </c>
      <c r="B1428" s="99" t="s">
        <v>181</v>
      </c>
      <c r="C1428" s="99" t="s">
        <v>408</v>
      </c>
      <c r="D1428" s="100" t="s">
        <v>1283</v>
      </c>
      <c r="E1428" s="101"/>
      <c r="F1428" s="99" t="s">
        <v>6194</v>
      </c>
      <c r="G1428" s="99" t="s">
        <v>4906</v>
      </c>
      <c r="H1428" s="473" t="s">
        <v>135</v>
      </c>
      <c r="I1428" s="474"/>
      <c r="J1428" s="475"/>
      <c r="K1428" s="275" t="str">
        <f>IFNA(VLOOKUP(D1428,'EAN Codes'!A:C,2,False),"")</f>
        <v/>
      </c>
      <c r="L1428" s="82"/>
      <c r="M1428" s="476" t="b">
        <v>0</v>
      </c>
      <c r="N1428" s="477" t="b">
        <v>0</v>
      </c>
      <c r="O1428" s="477" t="b">
        <v>0</v>
      </c>
      <c r="P1428" s="477" t="b">
        <v>0</v>
      </c>
      <c r="Q1428" s="497" t="b">
        <v>1</v>
      </c>
      <c r="R1428" s="478" t="s">
        <v>8078</v>
      </c>
      <c r="S1428" s="479"/>
      <c r="T1428" s="480" t="s">
        <v>9019</v>
      </c>
      <c r="U1428" s="481" t="b">
        <v>1</v>
      </c>
      <c r="V1428" s="99" t="s">
        <v>9020</v>
      </c>
      <c r="Z1428" t="b">
        <v>0</v>
      </c>
      <c r="AA1428" t="b">
        <v>0</v>
      </c>
    </row>
    <row r="1429" hidden="1">
      <c r="B1429" s="99" t="s">
        <v>181</v>
      </c>
      <c r="C1429" s="99" t="s">
        <v>950</v>
      </c>
      <c r="D1429" s="100" t="s">
        <v>9021</v>
      </c>
      <c r="H1429" s="410" t="s">
        <v>135</v>
      </c>
      <c r="I1429" s="474"/>
      <c r="J1429" s="536"/>
      <c r="K1429" s="275" t="str">
        <f>IFNA(VLOOKUP(D1429,'EAN Codes'!A:C,2,False),"")</f>
        <v/>
      </c>
      <c r="L1429" s="82"/>
      <c r="M1429" s="476" t="b">
        <v>0</v>
      </c>
      <c r="N1429" s="477" t="b">
        <v>0</v>
      </c>
      <c r="O1429" s="477" t="b">
        <v>0</v>
      </c>
      <c r="P1429" s="477" t="b">
        <v>0</v>
      </c>
      <c r="Q1429" s="477" t="b">
        <v>0</v>
      </c>
      <c r="R1429" s="539"/>
      <c r="S1429" s="540"/>
      <c r="T1429" s="480">
        <v>307996.0</v>
      </c>
      <c r="U1429" s="481" t="b">
        <v>1</v>
      </c>
      <c r="V1429" s="6" t="s">
        <v>8964</v>
      </c>
      <c r="Z1429" t="b">
        <v>0</v>
      </c>
      <c r="AA1429" t="b">
        <v>0</v>
      </c>
    </row>
    <row r="1430">
      <c r="B1430" s="99"/>
      <c r="C1430" s="99"/>
      <c r="D1430" s="100"/>
      <c r="E1430" s="101"/>
      <c r="F1430" s="99"/>
      <c r="G1430" s="101"/>
      <c r="H1430" s="473"/>
      <c r="I1430" s="474"/>
      <c r="J1430" s="475"/>
      <c r="K1430" s="275" t="str">
        <f>IFNA(VLOOKUP(D1430,'EAN Codes'!A:C,2,False),"")</f>
        <v/>
      </c>
      <c r="L1430" s="82"/>
      <c r="M1430" s="476" t="b">
        <v>0</v>
      </c>
      <c r="N1430" s="477" t="b">
        <v>0</v>
      </c>
      <c r="O1430" s="477" t="b">
        <v>0</v>
      </c>
      <c r="P1430" s="477" t="b">
        <v>0</v>
      </c>
      <c r="Q1430" s="477" t="b">
        <v>0</v>
      </c>
      <c r="R1430" s="539"/>
      <c r="S1430" s="540"/>
      <c r="T1430" s="543"/>
      <c r="U1430" s="514" t="b">
        <v>0</v>
      </c>
      <c r="V1430" s="6" t="s">
        <v>8964</v>
      </c>
      <c r="Z1430" s="6" t="b">
        <v>1</v>
      </c>
      <c r="AA1430" s="6" t="b">
        <v>0</v>
      </c>
      <c r="AC1430" s="35">
        <v>312.5</v>
      </c>
      <c r="AD1430" t="str">
        <f>IFNA(IFS(U1430=False,D1430),"")</f>
        <v/>
      </c>
      <c r="AE1430" t="str">
        <f>IFNA(IFS(U1430=false,H1430),"")</f>
        <v/>
      </c>
    </row>
    <row r="1431" hidden="1">
      <c r="B1431" s="6" t="s">
        <v>391</v>
      </c>
      <c r="C1431" s="6" t="s">
        <v>8536</v>
      </c>
      <c r="D1431" s="127" t="s">
        <v>9022</v>
      </c>
      <c r="H1431" s="473" t="s">
        <v>135</v>
      </c>
      <c r="I1431" s="474"/>
      <c r="J1431" s="536"/>
      <c r="K1431" s="275" t="str">
        <f>IFNA(VLOOKUP(D1431,'EAN Codes'!A:C,2,False),"")</f>
        <v/>
      </c>
      <c r="L1431" s="82"/>
      <c r="M1431" s="476" t="b">
        <v>0</v>
      </c>
      <c r="N1431" s="477" t="b">
        <v>0</v>
      </c>
      <c r="O1431" s="477" t="b">
        <v>0</v>
      </c>
      <c r="P1431" s="497" t="b">
        <v>1</v>
      </c>
      <c r="Q1431" s="477" t="b">
        <v>0</v>
      </c>
      <c r="R1431" s="478" t="s">
        <v>8560</v>
      </c>
      <c r="S1431" s="540"/>
      <c r="T1431" s="543"/>
      <c r="U1431" s="481" t="b">
        <v>1</v>
      </c>
      <c r="V1431" s="6" t="s">
        <v>8964</v>
      </c>
      <c r="Z1431" t="b">
        <v>0</v>
      </c>
      <c r="AA1431" t="b">
        <v>0</v>
      </c>
    </row>
    <row r="1432" hidden="1">
      <c r="B1432" s="6" t="s">
        <v>2651</v>
      </c>
      <c r="C1432" s="6" t="s">
        <v>3751</v>
      </c>
      <c r="D1432" s="127" t="s">
        <v>9023</v>
      </c>
      <c r="H1432" s="473" t="s">
        <v>135</v>
      </c>
      <c r="I1432" s="474"/>
      <c r="J1432" s="536"/>
      <c r="K1432" s="275" t="str">
        <f>IFNA(VLOOKUP(D1432,'EAN Codes'!A:C,2,False),"")</f>
        <v/>
      </c>
      <c r="L1432" s="82"/>
      <c r="M1432" s="476" t="b">
        <v>0</v>
      </c>
      <c r="N1432" s="477" t="b">
        <v>0</v>
      </c>
      <c r="O1432" s="477" t="b">
        <v>0</v>
      </c>
      <c r="P1432" s="497" t="b">
        <v>1</v>
      </c>
      <c r="Q1432" s="477" t="b">
        <v>0</v>
      </c>
      <c r="R1432" s="478" t="s">
        <v>8560</v>
      </c>
      <c r="S1432" s="540"/>
      <c r="T1432" s="543"/>
      <c r="U1432" s="481" t="b">
        <v>1</v>
      </c>
      <c r="V1432" s="6" t="s">
        <v>8964</v>
      </c>
      <c r="Z1432" t="b">
        <v>0</v>
      </c>
      <c r="AA1432" t="b">
        <v>0</v>
      </c>
    </row>
    <row r="1433">
      <c r="B1433" s="99"/>
      <c r="C1433" s="99"/>
      <c r="D1433" s="100"/>
      <c r="E1433" s="101"/>
      <c r="F1433" s="99"/>
      <c r="G1433" s="101"/>
      <c r="H1433" s="473"/>
      <c r="I1433" s="474"/>
      <c r="J1433" s="475"/>
      <c r="K1433" s="275" t="str">
        <f>IFNA(VLOOKUP(D1433,'EAN Codes'!A:C,2,False),"")</f>
        <v/>
      </c>
      <c r="L1433" s="82"/>
      <c r="M1433" s="476" t="b">
        <v>0</v>
      </c>
      <c r="N1433" s="477" t="b">
        <v>0</v>
      </c>
      <c r="O1433" s="477" t="b">
        <v>0</v>
      </c>
      <c r="P1433" s="477" t="b">
        <v>0</v>
      </c>
      <c r="Q1433" s="477" t="b">
        <v>0</v>
      </c>
      <c r="R1433" s="539"/>
      <c r="S1433" s="540"/>
      <c r="T1433" s="543"/>
      <c r="U1433" s="514" t="b">
        <v>0</v>
      </c>
      <c r="V1433" s="6" t="s">
        <v>8964</v>
      </c>
      <c r="Z1433" s="6" t="b">
        <v>1</v>
      </c>
      <c r="AA1433" s="6" t="b">
        <v>0</v>
      </c>
      <c r="AC1433" s="35">
        <v>422.46</v>
      </c>
      <c r="AD1433" t="str">
        <f>IFNA(IFS(U1433=False,D1433),"")</f>
        <v/>
      </c>
      <c r="AE1433" t="str">
        <f>IFNA(IFS(U1433=false,H1433),"")</f>
        <v/>
      </c>
    </row>
    <row r="1434" hidden="1">
      <c r="A1434" s="99">
        <v>1.0</v>
      </c>
      <c r="B1434" s="99" t="s">
        <v>181</v>
      </c>
      <c r="C1434" s="99" t="s">
        <v>1116</v>
      </c>
      <c r="D1434" s="100" t="s">
        <v>9024</v>
      </c>
      <c r="E1434" s="101"/>
      <c r="F1434" s="99" t="s">
        <v>1196</v>
      </c>
      <c r="G1434" s="101"/>
      <c r="H1434" s="487" t="s">
        <v>135</v>
      </c>
      <c r="I1434" s="474"/>
      <c r="J1434" s="475"/>
      <c r="K1434" s="275" t="str">
        <f>IFNA(VLOOKUP(D1434,'EAN Codes'!A:C,2,False),"")</f>
        <v>8717323065822</v>
      </c>
      <c r="L1434" s="82"/>
      <c r="M1434" s="476" t="b">
        <v>0</v>
      </c>
      <c r="N1434" s="477" t="b">
        <v>0</v>
      </c>
      <c r="O1434" s="477" t="b">
        <v>0</v>
      </c>
      <c r="P1434" s="477" t="b">
        <v>0</v>
      </c>
      <c r="Q1434" s="477" t="b">
        <v>0</v>
      </c>
      <c r="R1434" s="539"/>
      <c r="S1434" s="540"/>
      <c r="T1434" s="480" t="s">
        <v>9025</v>
      </c>
      <c r="U1434" s="481" t="b">
        <v>1</v>
      </c>
      <c r="V1434" s="6" t="s">
        <v>8964</v>
      </c>
      <c r="Z1434" s="6" t="b">
        <v>1</v>
      </c>
      <c r="AA1434" t="b">
        <v>0</v>
      </c>
    </row>
    <row r="1435">
      <c r="B1435" s="99"/>
      <c r="C1435" s="99"/>
      <c r="D1435" s="100"/>
      <c r="E1435" s="101"/>
      <c r="F1435" s="99"/>
      <c r="G1435" s="101"/>
      <c r="H1435" s="473"/>
      <c r="I1435" s="474"/>
      <c r="J1435" s="475"/>
      <c r="K1435" s="275" t="str">
        <f>IFNA(VLOOKUP(D1435,'EAN Codes'!A:C,2,False),"")</f>
        <v/>
      </c>
      <c r="L1435" s="82"/>
      <c r="M1435" s="476" t="b">
        <v>0</v>
      </c>
      <c r="N1435" s="477" t="b">
        <v>0</v>
      </c>
      <c r="O1435" s="477" t="b">
        <v>0</v>
      </c>
      <c r="P1435" s="477" t="b">
        <v>0</v>
      </c>
      <c r="Q1435" s="477" t="b">
        <v>0</v>
      </c>
      <c r="R1435" s="539"/>
      <c r="S1435" s="540"/>
      <c r="T1435" s="543"/>
      <c r="U1435" s="514" t="b">
        <v>0</v>
      </c>
      <c r="V1435" s="6" t="s">
        <v>8964</v>
      </c>
      <c r="Z1435" s="6" t="b">
        <v>1</v>
      </c>
      <c r="AA1435" s="6" t="b">
        <v>0</v>
      </c>
      <c r="AC1435" s="82" t="str">
        <f>IFERROR(__xludf.DUMMYFUNCTION("IFS(C1435=""ECS"",Vlookup(D1435,IMPORTRANGE(""https://docs.google.com/spreadsheets/d/1CONXwApUCNE4s-NquayczLLZJS3lBxtkAQwk9d9t2gA/edit"",""'Prislista 2024'!I:M""),5,false)*$AC$1)*A1435"),"#N/A")</f>
        <v>#N/A</v>
      </c>
      <c r="AD1435" t="str">
        <f t="shared" ref="AD1435:AD1440" si="27">IFNA(IFS(U1435=False,D1435),"")</f>
        <v/>
      </c>
      <c r="AE1435" t="str">
        <f t="shared" ref="AE1435:AE1440" si="28">IFNA(IFS(U1435=false,H1435),"")</f>
        <v/>
      </c>
    </row>
    <row r="1436">
      <c r="B1436" s="99"/>
      <c r="C1436" s="99"/>
      <c r="D1436" s="100"/>
      <c r="E1436" s="101"/>
      <c r="F1436" s="99"/>
      <c r="G1436" s="101"/>
      <c r="H1436" s="473"/>
      <c r="I1436" s="474"/>
      <c r="J1436" s="475"/>
      <c r="K1436" s="275" t="str">
        <f>IFNA(VLOOKUP(D1436,'EAN Codes'!A:C,2,False),"")</f>
        <v/>
      </c>
      <c r="L1436" s="82"/>
      <c r="M1436" s="476" t="b">
        <v>0</v>
      </c>
      <c r="N1436" s="477" t="b">
        <v>0</v>
      </c>
      <c r="O1436" s="477" t="b">
        <v>0</v>
      </c>
      <c r="P1436" s="477" t="b">
        <v>0</v>
      </c>
      <c r="Q1436" s="477" t="b">
        <v>0</v>
      </c>
      <c r="R1436" s="539"/>
      <c r="S1436" s="540"/>
      <c r="T1436" s="543"/>
      <c r="U1436" s="514" t="b">
        <v>0</v>
      </c>
      <c r="V1436" s="6" t="s">
        <v>8964</v>
      </c>
      <c r="Z1436" s="6" t="b">
        <v>1</v>
      </c>
      <c r="AA1436" s="6" t="b">
        <v>0</v>
      </c>
      <c r="AC1436" s="82" t="str">
        <f>IFERROR(__xludf.DUMMYFUNCTION("IFS(C1436=""ECS"",Vlookup(D1436,IMPORTRANGE(""https://docs.google.com/spreadsheets/d/1CONXwApUCNE4s-NquayczLLZJS3lBxtkAQwk9d9t2gA/edit"",""'Prislista 2024'!I:M""),5,false)*$AC$1)*A1436"),"#N/A")</f>
        <v>#N/A</v>
      </c>
      <c r="AD1436" t="str">
        <f t="shared" si="27"/>
        <v/>
      </c>
      <c r="AE1436" t="str">
        <f t="shared" si="28"/>
        <v/>
      </c>
    </row>
    <row r="1437" hidden="1">
      <c r="A1437" s="6">
        <v>1.0</v>
      </c>
      <c r="B1437" s="6" t="s">
        <v>181</v>
      </c>
      <c r="C1437" s="6" t="s">
        <v>1116</v>
      </c>
      <c r="D1437" s="127" t="s">
        <v>9024</v>
      </c>
      <c r="F1437" s="6" t="s">
        <v>1196</v>
      </c>
      <c r="H1437" s="473" t="s">
        <v>135</v>
      </c>
      <c r="I1437" s="474"/>
      <c r="J1437" s="475"/>
      <c r="K1437" s="275" t="str">
        <f>IFNA(VLOOKUP(D1437,'EAN Codes'!A:C,2,False),"")</f>
        <v>8717323065822</v>
      </c>
      <c r="L1437" s="82"/>
      <c r="M1437" s="476" t="b">
        <v>0</v>
      </c>
      <c r="N1437" s="477" t="b">
        <v>0</v>
      </c>
      <c r="O1437" s="477" t="b">
        <v>0</v>
      </c>
      <c r="P1437" s="477" t="b">
        <v>0</v>
      </c>
      <c r="Q1437" s="477" t="b">
        <v>0</v>
      </c>
      <c r="R1437" s="539"/>
      <c r="S1437" s="540"/>
      <c r="T1437" s="543"/>
      <c r="U1437" s="481" t="b">
        <v>1</v>
      </c>
      <c r="V1437" s="6" t="s">
        <v>8964</v>
      </c>
      <c r="Z1437" s="6" t="b">
        <v>1</v>
      </c>
      <c r="AA1437" t="b">
        <v>0</v>
      </c>
      <c r="AC1437" s="82">
        <f>IFERROR(__xludf.DUMMYFUNCTION("IFS(C1437=""ECS"",Vlookup(D1437,IMPORTRANGE(""https://docs.google.com/spreadsheets/d/1CONXwApUCNE4s-NquayczLLZJS3lBxtkAQwk9d9t2gA/edit"",""'Prislista 2024'!I:M""),5,false)*$AC$1)*A1437"),774.88)</f>
        <v>774.88</v>
      </c>
      <c r="AD1437" t="str">
        <f t="shared" si="27"/>
        <v/>
      </c>
      <c r="AE1437" t="str">
        <f t="shared" si="28"/>
        <v/>
      </c>
    </row>
    <row r="1438" hidden="1">
      <c r="A1438" s="6">
        <v>1.0</v>
      </c>
      <c r="B1438" s="6" t="s">
        <v>181</v>
      </c>
      <c r="C1438" s="6" t="s">
        <v>1116</v>
      </c>
      <c r="D1438" s="127" t="s">
        <v>9026</v>
      </c>
      <c r="F1438" s="6" t="s">
        <v>9027</v>
      </c>
      <c r="H1438" s="473" t="s">
        <v>135</v>
      </c>
      <c r="I1438" s="474"/>
      <c r="J1438" s="475"/>
      <c r="K1438" s="275" t="str">
        <f>IFNA(VLOOKUP(D1438,'EAN Codes'!A:C,2,False),"")</f>
        <v>8717323070901</v>
      </c>
      <c r="L1438" s="82"/>
      <c r="M1438" s="476" t="b">
        <v>0</v>
      </c>
      <c r="N1438" s="477" t="b">
        <v>0</v>
      </c>
      <c r="O1438" s="477" t="b">
        <v>0</v>
      </c>
      <c r="P1438" s="477" t="b">
        <v>0</v>
      </c>
      <c r="Q1438" s="477" t="b">
        <v>0</v>
      </c>
      <c r="R1438" s="539"/>
      <c r="S1438" s="540"/>
      <c r="T1438" s="543"/>
      <c r="U1438" s="481" t="b">
        <v>1</v>
      </c>
      <c r="V1438" s="6" t="s">
        <v>8964</v>
      </c>
      <c r="Z1438" s="6" t="b">
        <v>1</v>
      </c>
      <c r="AA1438" t="b">
        <v>0</v>
      </c>
      <c r="AC1438" s="82">
        <f>IFERROR(__xludf.DUMMYFUNCTION("IFS(C1438=""ECS"",Vlookup(D1438,IMPORTRANGE(""https://docs.google.com/spreadsheets/d/1CONXwApUCNE4s-NquayczLLZJS3lBxtkAQwk9d9t2gA/edit"",""'Prislista 2024'!I:M""),5,false)*$AC$1)*A1438"),747.0400000000001)</f>
        <v>747.04</v>
      </c>
      <c r="AD1438" t="str">
        <f t="shared" si="27"/>
        <v/>
      </c>
      <c r="AE1438" t="str">
        <f t="shared" si="28"/>
        <v/>
      </c>
    </row>
    <row r="1439">
      <c r="B1439" s="99"/>
      <c r="C1439" s="99"/>
      <c r="D1439" s="100"/>
      <c r="E1439" s="101"/>
      <c r="F1439" s="99"/>
      <c r="G1439" s="99"/>
      <c r="H1439" s="473"/>
      <c r="I1439" s="474"/>
      <c r="J1439" s="475"/>
      <c r="K1439" s="275"/>
      <c r="L1439" s="82"/>
      <c r="M1439" s="476" t="b">
        <v>0</v>
      </c>
      <c r="N1439" s="477" t="b">
        <v>0</v>
      </c>
      <c r="O1439" s="477" t="b">
        <v>0</v>
      </c>
      <c r="P1439" s="477" t="b">
        <v>0</v>
      </c>
      <c r="Q1439" s="477" t="b">
        <v>0</v>
      </c>
      <c r="R1439" s="539"/>
      <c r="S1439" s="540"/>
      <c r="T1439" s="543"/>
      <c r="U1439" s="514" t="b">
        <v>0</v>
      </c>
      <c r="V1439" s="6"/>
      <c r="Z1439" s="6" t="b">
        <v>1</v>
      </c>
      <c r="AA1439" s="6" t="b">
        <v>0</v>
      </c>
      <c r="AC1439" s="82" t="str">
        <f>IFERROR(__xludf.DUMMYFUNCTION("IFS(C1439=""ECS"",Vlookup(D1439,IMPORTRANGE(""https://docs.google.com/spreadsheets/d/1CONXwApUCNE4s-NquayczLLZJS3lBxtkAQwk9d9t2gA/edit"",""'Prislista 2024'!I:M""),5,false)*$AC$1)*A1439"),"#N/A")</f>
        <v>#N/A</v>
      </c>
      <c r="AD1439" t="str">
        <f t="shared" si="27"/>
        <v/>
      </c>
      <c r="AE1439" t="str">
        <f t="shared" si="28"/>
        <v/>
      </c>
    </row>
    <row r="1440">
      <c r="B1440" s="99"/>
      <c r="C1440" s="99"/>
      <c r="D1440" s="100"/>
      <c r="E1440" s="101"/>
      <c r="F1440" s="99"/>
      <c r="G1440" s="101"/>
      <c r="H1440" s="473"/>
      <c r="I1440" s="474"/>
      <c r="J1440" s="475"/>
      <c r="K1440" s="275" t="str">
        <f>IFNA(VLOOKUP(D1440,'EAN Codes'!A:C,2,False),"")</f>
        <v/>
      </c>
      <c r="L1440" s="82"/>
      <c r="M1440" s="476" t="b">
        <v>0</v>
      </c>
      <c r="N1440" s="477" t="b">
        <v>0</v>
      </c>
      <c r="O1440" s="477" t="b">
        <v>0</v>
      </c>
      <c r="P1440" s="477" t="b">
        <v>0</v>
      </c>
      <c r="Q1440" s="477" t="b">
        <v>0</v>
      </c>
      <c r="R1440" s="539"/>
      <c r="S1440" s="540"/>
      <c r="T1440" s="543"/>
      <c r="U1440" s="514" t="b">
        <v>0</v>
      </c>
      <c r="V1440" s="6" t="s">
        <v>8964</v>
      </c>
      <c r="Z1440" s="6" t="b">
        <v>1</v>
      </c>
      <c r="AA1440" s="6" t="b">
        <v>0</v>
      </c>
      <c r="AC1440" s="35">
        <v>469.04</v>
      </c>
      <c r="AD1440" t="str">
        <f t="shared" si="27"/>
        <v/>
      </c>
      <c r="AE1440" t="str">
        <f t="shared" si="28"/>
        <v/>
      </c>
    </row>
    <row r="1441" hidden="1">
      <c r="B1441" s="6" t="s">
        <v>391</v>
      </c>
      <c r="C1441" s="6" t="s">
        <v>8536</v>
      </c>
      <c r="D1441" s="127" t="s">
        <v>9028</v>
      </c>
      <c r="H1441" s="473" t="s">
        <v>135</v>
      </c>
      <c r="I1441" s="474"/>
      <c r="J1441" s="536"/>
      <c r="K1441" s="275" t="str">
        <f>IFNA(VLOOKUP(D1441,'EAN Codes'!A:C,2,False),"")</f>
        <v/>
      </c>
      <c r="L1441" s="82"/>
      <c r="M1441" s="476" t="b">
        <v>0</v>
      </c>
      <c r="N1441" s="477" t="b">
        <v>0</v>
      </c>
      <c r="O1441" s="477" t="b">
        <v>0</v>
      </c>
      <c r="P1441" s="497" t="b">
        <v>1</v>
      </c>
      <c r="Q1441" s="477" t="b">
        <v>0</v>
      </c>
      <c r="R1441" s="478" t="s">
        <v>8560</v>
      </c>
      <c r="S1441" s="540"/>
      <c r="T1441" s="543"/>
      <c r="U1441" s="481" t="b">
        <v>1</v>
      </c>
      <c r="V1441" s="6" t="s">
        <v>8964</v>
      </c>
      <c r="Z1441" t="b">
        <v>0</v>
      </c>
      <c r="AA1441" t="b">
        <v>0</v>
      </c>
    </row>
    <row r="1442" hidden="1">
      <c r="A1442" s="6">
        <v>1.0</v>
      </c>
      <c r="B1442" s="99" t="s">
        <v>181</v>
      </c>
      <c r="C1442" s="99" t="s">
        <v>1116</v>
      </c>
      <c r="D1442" s="100" t="s">
        <v>8446</v>
      </c>
      <c r="H1442" s="473" t="s">
        <v>135</v>
      </c>
      <c r="I1442" s="474"/>
      <c r="J1442" s="475"/>
      <c r="K1442" s="275" t="str">
        <f>IFNA(VLOOKUP(D1442,'EAN Codes'!A:C,2,False),"")</f>
        <v/>
      </c>
      <c r="L1442" s="82"/>
      <c r="M1442" s="476" t="b">
        <v>0</v>
      </c>
      <c r="N1442" s="477" t="b">
        <v>0</v>
      </c>
      <c r="O1442" s="477" t="b">
        <v>0</v>
      </c>
      <c r="P1442" s="497" t="b">
        <v>0</v>
      </c>
      <c r="Q1442" s="477" t="b">
        <v>0</v>
      </c>
      <c r="R1442" s="539"/>
      <c r="S1442" s="540"/>
      <c r="T1442" s="480" t="s">
        <v>9029</v>
      </c>
      <c r="U1442" s="481" t="b">
        <v>1</v>
      </c>
      <c r="V1442" s="6" t="s">
        <v>8964</v>
      </c>
      <c r="Z1442" t="b">
        <v>0</v>
      </c>
      <c r="AA1442" t="b">
        <v>0</v>
      </c>
    </row>
    <row r="1443" hidden="1">
      <c r="B1443" s="6" t="s">
        <v>391</v>
      </c>
      <c r="C1443" s="6" t="s">
        <v>8536</v>
      </c>
      <c r="D1443" s="127" t="s">
        <v>9030</v>
      </c>
      <c r="H1443" s="473" t="s">
        <v>135</v>
      </c>
      <c r="I1443" s="474"/>
      <c r="J1443" s="536"/>
      <c r="K1443" s="275" t="str">
        <f>IFNA(VLOOKUP(D1443,'EAN Codes'!A:C,2,False),"")</f>
        <v/>
      </c>
      <c r="L1443" s="82"/>
      <c r="M1443" s="476" t="b">
        <v>0</v>
      </c>
      <c r="N1443" s="477" t="b">
        <v>0</v>
      </c>
      <c r="O1443" s="477" t="b">
        <v>0</v>
      </c>
      <c r="P1443" s="497" t="b">
        <v>1</v>
      </c>
      <c r="Q1443" s="477" t="b">
        <v>0</v>
      </c>
      <c r="R1443" s="478" t="s">
        <v>8560</v>
      </c>
      <c r="S1443" s="540"/>
      <c r="T1443" s="543"/>
      <c r="U1443" s="481" t="b">
        <v>1</v>
      </c>
      <c r="V1443" s="6" t="s">
        <v>8964</v>
      </c>
      <c r="Z1443" t="b">
        <v>0</v>
      </c>
      <c r="AA1443" t="b">
        <v>0</v>
      </c>
    </row>
    <row r="1444" hidden="1">
      <c r="A1444" s="6">
        <v>1.0</v>
      </c>
      <c r="B1444" s="6" t="s">
        <v>391</v>
      </c>
      <c r="C1444" s="6" t="s">
        <v>4532</v>
      </c>
      <c r="D1444" s="127" t="s">
        <v>9031</v>
      </c>
      <c r="H1444" s="473" t="s">
        <v>135</v>
      </c>
      <c r="I1444" s="474"/>
      <c r="J1444" s="475"/>
      <c r="K1444" s="275" t="str">
        <f>IFNA(VLOOKUP(D1444,'EAN Codes'!A:C,2,False),"")</f>
        <v/>
      </c>
      <c r="L1444" s="82"/>
      <c r="M1444" s="476" t="b">
        <v>0</v>
      </c>
      <c r="N1444" s="477" t="b">
        <v>0</v>
      </c>
      <c r="O1444" s="477" t="b">
        <v>0</v>
      </c>
      <c r="P1444" s="477" t="b">
        <v>0</v>
      </c>
      <c r="Q1444" s="477" t="b">
        <v>0</v>
      </c>
      <c r="R1444" s="539"/>
      <c r="S1444" s="540"/>
      <c r="T1444" s="543"/>
      <c r="U1444" s="481" t="b">
        <v>1</v>
      </c>
      <c r="V1444" s="6" t="s">
        <v>8964</v>
      </c>
      <c r="Z1444" t="b">
        <v>0</v>
      </c>
      <c r="AA1444" t="b">
        <v>0</v>
      </c>
    </row>
    <row r="1445" hidden="1">
      <c r="A1445" s="6">
        <v>1.0</v>
      </c>
      <c r="B1445" s="6" t="s">
        <v>391</v>
      </c>
      <c r="C1445" s="6" t="s">
        <v>8536</v>
      </c>
      <c r="D1445" s="6" t="s">
        <v>9032</v>
      </c>
      <c r="H1445" s="473" t="s">
        <v>135</v>
      </c>
      <c r="I1445" s="473" t="s">
        <v>9033</v>
      </c>
      <c r="J1445" s="508" t="s">
        <v>8317</v>
      </c>
      <c r="K1445" s="275" t="str">
        <f>IFNA(VLOOKUP(D1445,'EAN Codes'!A:C,2,False),"")</f>
        <v/>
      </c>
      <c r="L1445" s="82"/>
      <c r="M1445" s="476" t="b">
        <v>0</v>
      </c>
      <c r="N1445" s="477" t="b">
        <v>0</v>
      </c>
      <c r="O1445" s="477" t="b">
        <v>0</v>
      </c>
      <c r="P1445" s="477" t="b">
        <v>0</v>
      </c>
      <c r="Q1445" s="477" t="b">
        <v>0</v>
      </c>
      <c r="R1445" s="539"/>
      <c r="S1445" s="540"/>
      <c r="T1445" s="543"/>
      <c r="U1445" s="481" t="b">
        <v>1</v>
      </c>
      <c r="Z1445" t="b">
        <v>0</v>
      </c>
      <c r="AA1445" t="b">
        <v>0</v>
      </c>
    </row>
    <row r="1446" hidden="1">
      <c r="A1446" s="6">
        <v>1.0</v>
      </c>
      <c r="B1446" s="6" t="s">
        <v>391</v>
      </c>
      <c r="C1446" s="6" t="s">
        <v>8536</v>
      </c>
      <c r="D1446" s="127" t="s">
        <v>9034</v>
      </c>
      <c r="H1446" s="473" t="s">
        <v>135</v>
      </c>
      <c r="I1446" s="473" t="s">
        <v>9033</v>
      </c>
      <c r="J1446" s="508" t="s">
        <v>8317</v>
      </c>
      <c r="K1446" s="275" t="str">
        <f>IFNA(VLOOKUP(D1446,'EAN Codes'!A:C,2,False),"")</f>
        <v/>
      </c>
      <c r="L1446" s="82"/>
      <c r="M1446" s="476" t="b">
        <v>0</v>
      </c>
      <c r="N1446" s="477" t="b">
        <v>0</v>
      </c>
      <c r="O1446" s="477" t="b">
        <v>0</v>
      </c>
      <c r="P1446" s="477" t="b">
        <v>0</v>
      </c>
      <c r="Q1446" s="477" t="b">
        <v>0</v>
      </c>
      <c r="R1446" s="539"/>
      <c r="S1446" s="540"/>
      <c r="T1446" s="543"/>
      <c r="U1446" s="481" t="b">
        <v>1</v>
      </c>
      <c r="Z1446" t="b">
        <v>0</v>
      </c>
      <c r="AA1446" t="b">
        <v>0</v>
      </c>
    </row>
    <row r="1447" hidden="1">
      <c r="A1447" s="6">
        <v>1.0</v>
      </c>
      <c r="B1447" s="6" t="s">
        <v>391</v>
      </c>
      <c r="C1447" s="6" t="s">
        <v>8536</v>
      </c>
      <c r="D1447" s="127" t="s">
        <v>8978</v>
      </c>
      <c r="H1447" s="473" t="s">
        <v>135</v>
      </c>
      <c r="I1447" s="473" t="s">
        <v>9033</v>
      </c>
      <c r="J1447" s="508" t="s">
        <v>8317</v>
      </c>
      <c r="K1447" s="275" t="str">
        <f>IFNA(VLOOKUP(D1447,'EAN Codes'!A:C,2,False),"")</f>
        <v/>
      </c>
      <c r="L1447" s="82"/>
      <c r="M1447" s="476" t="b">
        <v>0</v>
      </c>
      <c r="N1447" s="477" t="b">
        <v>0</v>
      </c>
      <c r="O1447" s="477" t="b">
        <v>0</v>
      </c>
      <c r="P1447" s="477" t="b">
        <v>0</v>
      </c>
      <c r="Q1447" s="477" t="b">
        <v>0</v>
      </c>
      <c r="R1447" s="539"/>
      <c r="S1447" s="540"/>
      <c r="T1447" s="543"/>
      <c r="U1447" s="481" t="b">
        <v>1</v>
      </c>
      <c r="Z1447" t="b">
        <v>0</v>
      </c>
      <c r="AA1447" t="b">
        <v>0</v>
      </c>
    </row>
    <row r="1448" hidden="1">
      <c r="A1448" s="6">
        <v>1.0</v>
      </c>
      <c r="B1448" s="99" t="s">
        <v>241</v>
      </c>
      <c r="C1448" s="99" t="s">
        <v>342</v>
      </c>
      <c r="D1448" s="100" t="s">
        <v>4564</v>
      </c>
      <c r="H1448" s="473" t="s">
        <v>7932</v>
      </c>
      <c r="I1448" s="473" t="s">
        <v>9035</v>
      </c>
      <c r="J1448" s="508" t="s">
        <v>9036</v>
      </c>
      <c r="K1448" s="275" t="str">
        <f>IFNA(VLOOKUP(D1448,'EAN Codes'!A:C,2,False),"")</f>
        <v>5907615827013</v>
      </c>
      <c r="L1448" s="82"/>
      <c r="M1448" s="476" t="b">
        <v>0</v>
      </c>
      <c r="N1448" s="477" t="b">
        <v>0</v>
      </c>
      <c r="O1448" s="477" t="b">
        <v>0</v>
      </c>
      <c r="P1448" s="477" t="b">
        <v>0</v>
      </c>
      <c r="Q1448" s="477" t="b">
        <v>0</v>
      </c>
      <c r="R1448" s="539"/>
      <c r="S1448" s="479" t="s">
        <v>9037</v>
      </c>
      <c r="T1448" s="480">
        <v>308015.0</v>
      </c>
      <c r="U1448" s="481" t="b">
        <v>1</v>
      </c>
      <c r="Z1448" t="b">
        <v>0</v>
      </c>
      <c r="AA1448" t="b">
        <v>0</v>
      </c>
    </row>
    <row r="1449" hidden="1">
      <c r="B1449" s="6" t="s">
        <v>8277</v>
      </c>
      <c r="C1449" s="6" t="s">
        <v>8278</v>
      </c>
      <c r="D1449" s="127" t="s">
        <v>8279</v>
      </c>
      <c r="H1449" s="473" t="s">
        <v>135</v>
      </c>
      <c r="I1449" s="474"/>
      <c r="J1449" s="536"/>
      <c r="K1449" s="275" t="str">
        <f>IFNA(VLOOKUP(D1449,'EAN Codes'!A:C,2,False),"")</f>
        <v/>
      </c>
      <c r="L1449" s="82"/>
      <c r="M1449" s="476" t="b">
        <v>0</v>
      </c>
      <c r="N1449" s="477" t="b">
        <v>0</v>
      </c>
      <c r="O1449" s="477" t="b">
        <v>0</v>
      </c>
      <c r="P1449" s="477" t="b">
        <v>0</v>
      </c>
      <c r="Q1449" s="477" t="b">
        <v>0</v>
      </c>
      <c r="R1449" s="539"/>
      <c r="S1449" s="540"/>
      <c r="T1449" s="480">
        <v>308008.0</v>
      </c>
      <c r="U1449" s="481" t="b">
        <v>1</v>
      </c>
      <c r="Z1449" t="b">
        <v>0</v>
      </c>
      <c r="AA1449" t="b">
        <v>0</v>
      </c>
    </row>
    <row r="1450" hidden="1">
      <c r="A1450" s="86">
        <v>1.0</v>
      </c>
      <c r="B1450" s="86" t="s">
        <v>8287</v>
      </c>
      <c r="C1450" s="86" t="s">
        <v>8278</v>
      </c>
      <c r="D1450" s="87" t="s">
        <v>9038</v>
      </c>
      <c r="E1450" s="91"/>
      <c r="F1450" s="91"/>
      <c r="G1450" s="91"/>
      <c r="H1450" s="86" t="s">
        <v>135</v>
      </c>
      <c r="I1450" s="91"/>
      <c r="J1450" s="643"/>
      <c r="K1450" s="90" t="str">
        <f>IFNA(VLOOKUP(D1450,'EAN Codes'!A:C,2,False),"")</f>
        <v/>
      </c>
      <c r="L1450" s="91"/>
      <c r="M1450" s="364" t="b">
        <v>0</v>
      </c>
      <c r="N1450" s="91" t="b">
        <v>0</v>
      </c>
      <c r="O1450" s="91" t="b">
        <v>0</v>
      </c>
      <c r="P1450" s="91" t="b">
        <v>0</v>
      </c>
      <c r="Q1450" s="91" t="b">
        <v>0</v>
      </c>
      <c r="R1450" s="90"/>
      <c r="S1450" s="643"/>
      <c r="T1450" s="86">
        <v>371493.0</v>
      </c>
      <c r="U1450" s="88" t="b">
        <v>1</v>
      </c>
      <c r="V1450" s="91"/>
      <c r="W1450" s="91"/>
      <c r="X1450" s="91"/>
      <c r="Y1450" s="91"/>
      <c r="Z1450" s="91" t="b">
        <v>0</v>
      </c>
      <c r="AA1450" t="b">
        <v>0</v>
      </c>
      <c r="AB1450" s="91"/>
      <c r="AC1450" s="91"/>
      <c r="AD1450" s="91"/>
      <c r="AE1450" s="91"/>
    </row>
    <row r="1451" hidden="1">
      <c r="A1451" s="6">
        <v>1.0</v>
      </c>
      <c r="B1451" s="6" t="s">
        <v>8287</v>
      </c>
      <c r="C1451" s="6" t="s">
        <v>8278</v>
      </c>
      <c r="D1451" s="127" t="s">
        <v>8286</v>
      </c>
      <c r="H1451" s="473" t="s">
        <v>135</v>
      </c>
      <c r="I1451" s="474"/>
      <c r="J1451" s="475"/>
      <c r="K1451" s="275" t="str">
        <f>IFNA(VLOOKUP(D1451,'EAN Codes'!A:C,2,False),"")</f>
        <v/>
      </c>
      <c r="L1451" s="82"/>
      <c r="M1451" s="476" t="b">
        <v>0</v>
      </c>
      <c r="N1451" s="477" t="b">
        <v>0</v>
      </c>
      <c r="O1451" s="477" t="b">
        <v>0</v>
      </c>
      <c r="P1451" s="477" t="b">
        <v>0</v>
      </c>
      <c r="Q1451" s="477" t="b">
        <v>0</v>
      </c>
      <c r="R1451" s="539"/>
      <c r="S1451" s="540"/>
      <c r="T1451" s="543"/>
      <c r="U1451" s="481" t="b">
        <v>1</v>
      </c>
      <c r="Z1451" t="b">
        <v>0</v>
      </c>
      <c r="AA1451" t="b">
        <v>0</v>
      </c>
    </row>
    <row r="1452">
      <c r="B1452" s="99"/>
      <c r="C1452" s="99"/>
      <c r="D1452" s="100"/>
      <c r="E1452" s="101"/>
      <c r="F1452" s="101"/>
      <c r="G1452" s="101"/>
      <c r="H1452" s="473"/>
      <c r="I1452" s="474"/>
      <c r="J1452" s="475"/>
      <c r="K1452" s="275" t="str">
        <f>IFNA(VLOOKUP(D1452,'EAN Codes'!A:C,2,False),"")</f>
        <v/>
      </c>
      <c r="L1452" s="82"/>
      <c r="M1452" s="476" t="b">
        <v>0</v>
      </c>
      <c r="N1452" s="477" t="b">
        <v>0</v>
      </c>
      <c r="O1452" s="477" t="b">
        <v>0</v>
      </c>
      <c r="P1452" s="477" t="b">
        <v>0</v>
      </c>
      <c r="Q1452" s="477" t="b">
        <v>0</v>
      </c>
      <c r="R1452" s="539"/>
      <c r="S1452" s="540"/>
      <c r="T1452" s="543"/>
      <c r="U1452" s="514" t="b">
        <v>0</v>
      </c>
      <c r="Z1452" s="6" t="b">
        <v>1</v>
      </c>
      <c r="AA1452" s="6" t="b">
        <v>0</v>
      </c>
      <c r="AC1452" s="82"/>
      <c r="AD1452" t="str">
        <f>IFNA(IFS(U1452=False,D1452),"")</f>
        <v/>
      </c>
      <c r="AE1452" t="str">
        <f>IFNA(IFS(U1452=false,H1452),"")</f>
        <v/>
      </c>
    </row>
    <row r="1453" hidden="1">
      <c r="A1453" s="6">
        <v>1.0</v>
      </c>
      <c r="B1453" s="6" t="s">
        <v>8989</v>
      </c>
      <c r="C1453" s="6" t="s">
        <v>408</v>
      </c>
      <c r="D1453" s="127" t="s">
        <v>8990</v>
      </c>
      <c r="H1453" s="474"/>
      <c r="I1453" s="473"/>
      <c r="J1453" s="644" t="s">
        <v>9039</v>
      </c>
      <c r="K1453" s="275" t="str">
        <f>IFNA(VLOOKUP(D1453,'EAN Codes'!A:C,2,False),"")</f>
        <v/>
      </c>
      <c r="L1453" s="82"/>
      <c r="M1453" s="476" t="b">
        <v>0</v>
      </c>
      <c r="N1453" s="477" t="b">
        <v>0</v>
      </c>
      <c r="O1453" s="477" t="b">
        <v>0</v>
      </c>
      <c r="P1453" s="477" t="b">
        <v>0</v>
      </c>
      <c r="Q1453" s="477" t="b">
        <v>0</v>
      </c>
      <c r="R1453" s="539"/>
      <c r="S1453" s="540"/>
      <c r="T1453" s="480">
        <v>308252.0</v>
      </c>
      <c r="U1453" s="481" t="b">
        <v>1</v>
      </c>
      <c r="Z1453" t="b">
        <v>0</v>
      </c>
      <c r="AA1453" t="b">
        <v>0</v>
      </c>
    </row>
    <row r="1454">
      <c r="B1454" s="99"/>
      <c r="C1454" s="99"/>
      <c r="D1454" s="100"/>
      <c r="E1454" s="99"/>
      <c r="F1454" s="99"/>
      <c r="G1454" s="99"/>
      <c r="H1454" s="473"/>
      <c r="I1454" s="474"/>
      <c r="J1454" s="475"/>
      <c r="K1454" s="275" t="str">
        <f>IFNA(VLOOKUP(D1454,'EAN Codes'!A:C,2,False),"")</f>
        <v/>
      </c>
      <c r="L1454" s="82"/>
      <c r="M1454" s="476" t="b">
        <v>0</v>
      </c>
      <c r="N1454" s="477" t="b">
        <v>0</v>
      </c>
      <c r="O1454" s="477" t="b">
        <v>0</v>
      </c>
      <c r="P1454" s="477" t="b">
        <v>0</v>
      </c>
      <c r="Q1454" s="477" t="b">
        <v>0</v>
      </c>
      <c r="R1454" s="539"/>
      <c r="S1454" s="540"/>
      <c r="T1454" s="543"/>
      <c r="U1454" s="514" t="b">
        <v>0</v>
      </c>
      <c r="Z1454" s="6" t="b">
        <v>1</v>
      </c>
      <c r="AA1454" s="6" t="b">
        <v>0</v>
      </c>
      <c r="AC1454" s="35">
        <v>876.32</v>
      </c>
      <c r="AD1454" t="str">
        <f>IFNA(IFS(U1454=False,D1454),"")</f>
        <v/>
      </c>
      <c r="AE1454" t="str">
        <f>IFNA(IFS(U1454=false,H1454),"")</f>
        <v/>
      </c>
    </row>
    <row r="1455" hidden="1">
      <c r="A1455" s="6">
        <v>1.0</v>
      </c>
      <c r="B1455" s="6" t="s">
        <v>8287</v>
      </c>
      <c r="C1455" s="6" t="s">
        <v>7548</v>
      </c>
      <c r="D1455" s="127" t="s">
        <v>8380</v>
      </c>
      <c r="H1455" s="473" t="s">
        <v>135</v>
      </c>
      <c r="I1455" s="474"/>
      <c r="J1455" s="475"/>
      <c r="K1455" s="275" t="str">
        <f>IFNA(VLOOKUP(D1455,'EAN Codes'!A:C,2,False),"")</f>
        <v/>
      </c>
      <c r="L1455" s="82"/>
      <c r="M1455" s="476" t="b">
        <v>0</v>
      </c>
      <c r="N1455" s="477" t="b">
        <v>0</v>
      </c>
      <c r="O1455" s="477" t="b">
        <v>0</v>
      </c>
      <c r="P1455" s="477" t="b">
        <v>0</v>
      </c>
      <c r="Q1455" s="477" t="b">
        <v>0</v>
      </c>
      <c r="R1455" s="539"/>
      <c r="S1455" s="540"/>
      <c r="T1455" s="480">
        <v>369564.0</v>
      </c>
      <c r="U1455" s="481" t="b">
        <v>1</v>
      </c>
      <c r="Z1455" t="b">
        <v>0</v>
      </c>
      <c r="AA1455" t="b">
        <v>0</v>
      </c>
    </row>
    <row r="1456" hidden="1">
      <c r="A1456" s="6">
        <v>1.0</v>
      </c>
      <c r="B1456" s="6" t="s">
        <v>8287</v>
      </c>
      <c r="C1456" s="6" t="s">
        <v>408</v>
      </c>
      <c r="D1456" s="127" t="s">
        <v>9040</v>
      </c>
      <c r="H1456" s="473" t="s">
        <v>135</v>
      </c>
      <c r="I1456" s="473">
        <v>307872.0</v>
      </c>
      <c r="J1456" s="475"/>
      <c r="K1456" s="275" t="str">
        <f>IFNA(VLOOKUP(D1456,'EAN Codes'!A:C,2,False),"")</f>
        <v/>
      </c>
      <c r="L1456" s="82"/>
      <c r="M1456" s="476" t="b">
        <v>0</v>
      </c>
      <c r="N1456" s="477" t="b">
        <v>0</v>
      </c>
      <c r="O1456" s="477" t="b">
        <v>0</v>
      </c>
      <c r="P1456" s="477" t="b">
        <v>0</v>
      </c>
      <c r="Q1456" s="477" t="b">
        <v>0</v>
      </c>
      <c r="R1456" s="539"/>
      <c r="S1456" s="540"/>
      <c r="T1456" s="480">
        <v>369415.0</v>
      </c>
      <c r="U1456" s="481" t="b">
        <v>1</v>
      </c>
      <c r="Z1456" t="b">
        <v>0</v>
      </c>
      <c r="AA1456" t="b">
        <v>0</v>
      </c>
    </row>
    <row r="1457" hidden="1">
      <c r="B1457" s="6" t="s">
        <v>8287</v>
      </c>
      <c r="C1457" s="6" t="s">
        <v>7548</v>
      </c>
      <c r="D1457" s="127" t="s">
        <v>8374</v>
      </c>
      <c r="H1457" s="473" t="s">
        <v>135</v>
      </c>
      <c r="I1457" s="474"/>
      <c r="J1457" s="536"/>
      <c r="K1457" s="275" t="str">
        <f>IFNA(VLOOKUP(D1457,'EAN Codes'!A:C,2,False),"")</f>
        <v/>
      </c>
      <c r="L1457" s="82"/>
      <c r="M1457" s="476" t="b">
        <v>0</v>
      </c>
      <c r="N1457" s="477" t="b">
        <v>0</v>
      </c>
      <c r="O1457" s="477" t="b">
        <v>0</v>
      </c>
      <c r="P1457" s="477" t="b">
        <v>0</v>
      </c>
      <c r="Q1457" s="477" t="b">
        <v>0</v>
      </c>
      <c r="R1457" s="539"/>
      <c r="S1457" s="540"/>
      <c r="T1457" s="480">
        <v>308047.0</v>
      </c>
      <c r="U1457" s="481" t="b">
        <v>1</v>
      </c>
      <c r="Z1457" t="b">
        <v>0</v>
      </c>
      <c r="AA1457" t="b">
        <v>0</v>
      </c>
    </row>
    <row r="1458" hidden="1">
      <c r="A1458" s="6">
        <v>1.0</v>
      </c>
      <c r="B1458" s="6" t="s">
        <v>8287</v>
      </c>
      <c r="C1458" s="6" t="s">
        <v>7548</v>
      </c>
      <c r="D1458" s="127" t="s">
        <v>8373</v>
      </c>
      <c r="H1458" s="473" t="s">
        <v>135</v>
      </c>
      <c r="I1458" s="474"/>
      <c r="J1458" s="475"/>
      <c r="K1458" s="275" t="str">
        <f>IFNA(VLOOKUP(D1458,'EAN Codes'!A:C,2,False),"")</f>
        <v/>
      </c>
      <c r="L1458" s="82"/>
      <c r="M1458" s="476" t="b">
        <v>0</v>
      </c>
      <c r="N1458" s="477" t="b">
        <v>0</v>
      </c>
      <c r="O1458" s="477" t="b">
        <v>0</v>
      </c>
      <c r="P1458" s="477" t="b">
        <v>0</v>
      </c>
      <c r="Q1458" s="477" t="b">
        <v>0</v>
      </c>
      <c r="R1458" s="539"/>
      <c r="S1458" s="540"/>
      <c r="T1458" s="480">
        <v>369436.0</v>
      </c>
      <c r="U1458" s="481" t="b">
        <v>1</v>
      </c>
      <c r="Z1458" t="b">
        <v>0</v>
      </c>
      <c r="AA1458" t="b">
        <v>0</v>
      </c>
    </row>
    <row r="1459" hidden="1">
      <c r="A1459" s="6">
        <v>1.0</v>
      </c>
      <c r="B1459" s="6" t="s">
        <v>8287</v>
      </c>
      <c r="C1459" s="6" t="s">
        <v>7548</v>
      </c>
      <c r="D1459" s="127" t="s">
        <v>8373</v>
      </c>
      <c r="H1459" s="473" t="s">
        <v>135</v>
      </c>
      <c r="I1459" s="474"/>
      <c r="J1459" s="475"/>
      <c r="K1459" s="275" t="str">
        <f>IFNA(VLOOKUP(D1459,'EAN Codes'!A:C,2,False),"")</f>
        <v/>
      </c>
      <c r="L1459" s="82"/>
      <c r="M1459" s="476" t="b">
        <v>0</v>
      </c>
      <c r="N1459" s="477" t="b">
        <v>0</v>
      </c>
      <c r="O1459" s="477" t="b">
        <v>0</v>
      </c>
      <c r="P1459" s="477" t="b">
        <v>0</v>
      </c>
      <c r="Q1459" s="477" t="b">
        <v>0</v>
      </c>
      <c r="R1459" s="539"/>
      <c r="S1459" s="540"/>
      <c r="T1459" s="480">
        <v>371600.0</v>
      </c>
      <c r="U1459" s="481" t="b">
        <v>1</v>
      </c>
      <c r="Z1459" t="b">
        <v>0</v>
      </c>
      <c r="AA1459" t="b">
        <v>0</v>
      </c>
    </row>
    <row r="1460" hidden="1">
      <c r="A1460" s="6">
        <v>1.0</v>
      </c>
      <c r="B1460" s="6" t="s">
        <v>8287</v>
      </c>
      <c r="C1460" s="6" t="s">
        <v>7548</v>
      </c>
      <c r="D1460" s="127" t="s">
        <v>8372</v>
      </c>
      <c r="H1460" s="473" t="s">
        <v>135</v>
      </c>
      <c r="I1460" s="474"/>
      <c r="J1460" s="536"/>
      <c r="K1460" s="275" t="str">
        <f>IFNA(VLOOKUP(D1460,'EAN Codes'!A:C,2,False),"")</f>
        <v/>
      </c>
      <c r="L1460" s="82"/>
      <c r="M1460" s="476" t="b">
        <v>0</v>
      </c>
      <c r="N1460" s="477" t="b">
        <v>0</v>
      </c>
      <c r="O1460" s="477" t="b">
        <v>0</v>
      </c>
      <c r="P1460" s="477" t="b">
        <v>0</v>
      </c>
      <c r="Q1460" s="477" t="b">
        <v>0</v>
      </c>
      <c r="R1460" s="539"/>
      <c r="S1460" s="540"/>
      <c r="T1460" s="480">
        <v>308217.0</v>
      </c>
      <c r="U1460" s="481" t="b">
        <v>1</v>
      </c>
      <c r="Z1460" t="b">
        <v>0</v>
      </c>
      <c r="AA1460" t="b">
        <v>0</v>
      </c>
    </row>
    <row r="1461" hidden="1">
      <c r="A1461" s="6">
        <v>1.0</v>
      </c>
      <c r="B1461" s="99" t="s">
        <v>8287</v>
      </c>
      <c r="C1461" s="99" t="s">
        <v>7548</v>
      </c>
      <c r="D1461" s="100" t="s">
        <v>8372</v>
      </c>
      <c r="H1461" s="473" t="s">
        <v>135</v>
      </c>
      <c r="I1461" s="474"/>
      <c r="J1461" s="475"/>
      <c r="K1461" s="275" t="str">
        <f>IFNA(VLOOKUP(D1461,'EAN Codes'!A:C,2,False),"")</f>
        <v/>
      </c>
      <c r="L1461" s="82"/>
      <c r="M1461" s="476" t="b">
        <v>0</v>
      </c>
      <c r="N1461" s="477" t="b">
        <v>0</v>
      </c>
      <c r="O1461" s="477" t="b">
        <v>0</v>
      </c>
      <c r="P1461" s="477" t="b">
        <v>0</v>
      </c>
      <c r="Q1461" s="477" t="b">
        <v>0</v>
      </c>
      <c r="R1461" s="539"/>
      <c r="S1461" s="540"/>
      <c r="T1461" s="480" t="s">
        <v>788</v>
      </c>
      <c r="U1461" s="481" t="b">
        <v>1</v>
      </c>
      <c r="Z1461" t="b">
        <v>0</v>
      </c>
      <c r="AA1461" t="b">
        <v>0</v>
      </c>
    </row>
    <row r="1462" hidden="1">
      <c r="A1462" s="99">
        <v>1.0</v>
      </c>
      <c r="B1462" s="99" t="s">
        <v>8287</v>
      </c>
      <c r="C1462" s="99" t="s">
        <v>7548</v>
      </c>
      <c r="D1462" s="100" t="s">
        <v>8372</v>
      </c>
      <c r="E1462" s="101"/>
      <c r="F1462" s="101"/>
      <c r="G1462" s="101"/>
      <c r="H1462" s="487" t="s">
        <v>135</v>
      </c>
      <c r="I1462" s="474"/>
      <c r="J1462" s="475"/>
      <c r="K1462" s="275" t="str">
        <f>IFNA(VLOOKUP(D1462,'EAN Codes'!A:C,2,False),"")</f>
        <v/>
      </c>
      <c r="L1462" s="82"/>
      <c r="M1462" s="476" t="b">
        <v>0</v>
      </c>
      <c r="N1462" s="477" t="b">
        <v>0</v>
      </c>
      <c r="O1462" s="477" t="b">
        <v>0</v>
      </c>
      <c r="P1462" s="477" t="b">
        <v>0</v>
      </c>
      <c r="Q1462" s="477" t="b">
        <v>0</v>
      </c>
      <c r="R1462" s="539"/>
      <c r="S1462" s="540"/>
      <c r="T1462" s="480">
        <v>371937.0</v>
      </c>
      <c r="U1462" s="481" t="b">
        <v>1</v>
      </c>
      <c r="Z1462" s="6" t="b">
        <v>1</v>
      </c>
      <c r="AA1462" t="b">
        <v>0</v>
      </c>
    </row>
    <row r="1463" hidden="1">
      <c r="A1463" s="6">
        <v>1.0</v>
      </c>
      <c r="B1463" s="6" t="s">
        <v>8287</v>
      </c>
      <c r="C1463" s="6" t="s">
        <v>7548</v>
      </c>
      <c r="D1463" s="127" t="s">
        <v>8372</v>
      </c>
      <c r="H1463" s="473" t="s">
        <v>135</v>
      </c>
      <c r="I1463" s="474"/>
      <c r="J1463" s="475"/>
      <c r="K1463" s="275" t="str">
        <f>IFNA(VLOOKUP(D1463,'EAN Codes'!A:C,2,False),"")</f>
        <v/>
      </c>
      <c r="L1463" s="82"/>
      <c r="M1463" s="476" t="b">
        <v>0</v>
      </c>
      <c r="N1463" s="477" t="b">
        <v>0</v>
      </c>
      <c r="O1463" s="477" t="b">
        <v>0</v>
      </c>
      <c r="P1463" s="477" t="b">
        <v>0</v>
      </c>
      <c r="Q1463" s="477" t="b">
        <v>0</v>
      </c>
      <c r="R1463" s="539"/>
      <c r="S1463" s="540"/>
      <c r="T1463" s="543"/>
      <c r="U1463" s="481" t="b">
        <v>1</v>
      </c>
      <c r="Z1463" s="6" t="b">
        <v>1</v>
      </c>
      <c r="AA1463" t="b">
        <v>0</v>
      </c>
      <c r="AC1463" s="82"/>
      <c r="AD1463" t="str">
        <f>IFNA(IFS(U1463=False,D1463),"")</f>
        <v/>
      </c>
      <c r="AE1463" t="str">
        <f>IFNA(IFS(U1463=false,H1463),"")</f>
        <v/>
      </c>
    </row>
    <row r="1464" hidden="1">
      <c r="A1464" s="6">
        <v>1.0</v>
      </c>
      <c r="B1464" s="6" t="s">
        <v>8287</v>
      </c>
      <c r="C1464" s="6" t="s">
        <v>7548</v>
      </c>
      <c r="D1464" s="127" t="s">
        <v>8367</v>
      </c>
      <c r="H1464" s="473" t="s">
        <v>135</v>
      </c>
      <c r="I1464" s="474"/>
      <c r="J1464" s="536"/>
      <c r="K1464" s="275" t="str">
        <f>IFNA(VLOOKUP(D1464,'EAN Codes'!A:C,2,False),"")</f>
        <v/>
      </c>
      <c r="L1464" s="82"/>
      <c r="M1464" s="476" t="b">
        <v>0</v>
      </c>
      <c r="N1464" s="477" t="b">
        <v>0</v>
      </c>
      <c r="O1464" s="477" t="b">
        <v>0</v>
      </c>
      <c r="P1464" s="477" t="b">
        <v>0</v>
      </c>
      <c r="Q1464" s="477" t="b">
        <v>0</v>
      </c>
      <c r="R1464" s="539"/>
      <c r="S1464" s="540"/>
      <c r="T1464" s="480">
        <v>308178.0</v>
      </c>
      <c r="U1464" s="481" t="b">
        <v>1</v>
      </c>
      <c r="Z1464" t="b">
        <v>0</v>
      </c>
      <c r="AA1464" t="b">
        <v>0</v>
      </c>
    </row>
    <row r="1465" hidden="1">
      <c r="A1465" s="6">
        <v>1.0</v>
      </c>
      <c r="B1465" s="99" t="s">
        <v>8287</v>
      </c>
      <c r="C1465" s="99" t="s">
        <v>7548</v>
      </c>
      <c r="D1465" s="100" t="s">
        <v>8367</v>
      </c>
      <c r="H1465" s="473" t="s">
        <v>135</v>
      </c>
      <c r="I1465" s="474"/>
      <c r="J1465" s="475"/>
      <c r="K1465" s="275" t="str">
        <f>IFNA(VLOOKUP(D1465,'EAN Codes'!A:C,2,False),"")</f>
        <v/>
      </c>
      <c r="L1465" s="82"/>
      <c r="M1465" s="476" t="b">
        <v>0</v>
      </c>
      <c r="N1465" s="477" t="b">
        <v>0</v>
      </c>
      <c r="O1465" s="477" t="b">
        <v>0</v>
      </c>
      <c r="P1465" s="477" t="b">
        <v>0</v>
      </c>
      <c r="Q1465" s="477" t="b">
        <v>0</v>
      </c>
      <c r="R1465" s="539"/>
      <c r="S1465" s="540"/>
      <c r="T1465" s="480" t="s">
        <v>9041</v>
      </c>
      <c r="U1465" s="481" t="b">
        <v>1</v>
      </c>
      <c r="Z1465" t="b">
        <v>0</v>
      </c>
      <c r="AA1465" t="b">
        <v>0</v>
      </c>
    </row>
    <row r="1466" hidden="1">
      <c r="A1466" s="6">
        <v>1.0</v>
      </c>
      <c r="B1466" s="6" t="s">
        <v>8287</v>
      </c>
      <c r="C1466" s="6" t="s">
        <v>7548</v>
      </c>
      <c r="D1466" s="127" t="s">
        <v>8380</v>
      </c>
      <c r="H1466" s="473" t="s">
        <v>135</v>
      </c>
      <c r="I1466" s="474"/>
      <c r="J1466" s="475"/>
      <c r="K1466" s="275" t="str">
        <f>IFNA(VLOOKUP(D1466,'EAN Codes'!A:C,2,False),"")</f>
        <v/>
      </c>
      <c r="L1466" s="82"/>
      <c r="M1466" s="476" t="b">
        <v>0</v>
      </c>
      <c r="N1466" s="477" t="b">
        <v>0</v>
      </c>
      <c r="O1466" s="477" t="b">
        <v>0</v>
      </c>
      <c r="P1466" s="477" t="b">
        <v>0</v>
      </c>
      <c r="Q1466" s="477" t="b">
        <v>0</v>
      </c>
      <c r="R1466" s="539"/>
      <c r="S1466" s="540"/>
      <c r="T1466" s="480">
        <v>369564.0</v>
      </c>
      <c r="U1466" s="481" t="b">
        <v>1</v>
      </c>
      <c r="Z1466" t="b">
        <v>0</v>
      </c>
      <c r="AA1466" t="b">
        <v>0</v>
      </c>
    </row>
    <row r="1467" hidden="1">
      <c r="A1467" s="6">
        <v>1.0</v>
      </c>
      <c r="B1467" s="99" t="s">
        <v>8287</v>
      </c>
      <c r="C1467" s="99" t="s">
        <v>7548</v>
      </c>
      <c r="D1467" s="100" t="s">
        <v>8375</v>
      </c>
      <c r="H1467" s="473" t="s">
        <v>135</v>
      </c>
      <c r="I1467" s="474"/>
      <c r="J1467" s="475"/>
      <c r="K1467" s="275" t="str">
        <f>IFNA(VLOOKUP(D1467,'EAN Codes'!A:C,2,False),"")</f>
        <v/>
      </c>
      <c r="L1467" s="82"/>
      <c r="M1467" s="476" t="b">
        <v>0</v>
      </c>
      <c r="N1467" s="477" t="b">
        <v>0</v>
      </c>
      <c r="O1467" s="477" t="b">
        <v>0</v>
      </c>
      <c r="P1467" s="477" t="b">
        <v>0</v>
      </c>
      <c r="Q1467" s="477" t="b">
        <v>0</v>
      </c>
      <c r="R1467" s="539"/>
      <c r="S1467" s="540"/>
      <c r="T1467" s="480">
        <v>308230.0</v>
      </c>
      <c r="U1467" s="481" t="b">
        <v>1</v>
      </c>
      <c r="Z1467" t="b">
        <v>0</v>
      </c>
      <c r="AA1467" t="b">
        <v>0</v>
      </c>
    </row>
    <row r="1468" hidden="1">
      <c r="A1468" s="6">
        <v>1.0</v>
      </c>
      <c r="B1468" s="6" t="s">
        <v>8287</v>
      </c>
      <c r="C1468" s="6" t="s">
        <v>7548</v>
      </c>
      <c r="D1468" s="127" t="s">
        <v>8375</v>
      </c>
      <c r="H1468" s="473" t="s">
        <v>135</v>
      </c>
      <c r="I1468" s="474"/>
      <c r="J1468" s="536"/>
      <c r="K1468" s="275" t="str">
        <f>IFNA(VLOOKUP(D1468,'EAN Codes'!A:C,2,False),"")</f>
        <v/>
      </c>
      <c r="L1468" s="82"/>
      <c r="M1468" s="476" t="b">
        <v>0</v>
      </c>
      <c r="N1468" s="477" t="b">
        <v>0</v>
      </c>
      <c r="O1468" s="477" t="b">
        <v>0</v>
      </c>
      <c r="P1468" s="477" t="b">
        <v>0</v>
      </c>
      <c r="Q1468" s="477" t="b">
        <v>0</v>
      </c>
      <c r="R1468" s="539"/>
      <c r="S1468" s="540"/>
      <c r="T1468" s="480">
        <v>308230.0</v>
      </c>
      <c r="U1468" s="481" t="b">
        <v>1</v>
      </c>
      <c r="Z1468" t="b">
        <v>0</v>
      </c>
      <c r="AA1468" t="b">
        <v>0</v>
      </c>
    </row>
    <row r="1469" hidden="1">
      <c r="A1469" s="35">
        <v>1.0</v>
      </c>
      <c r="B1469" s="99" t="s">
        <v>8287</v>
      </c>
      <c r="C1469" s="99" t="s">
        <v>7548</v>
      </c>
      <c r="D1469" s="100" t="s">
        <v>8377</v>
      </c>
      <c r="E1469" s="82"/>
      <c r="F1469" s="82"/>
      <c r="G1469" s="82"/>
      <c r="H1469" s="473" t="s">
        <v>135</v>
      </c>
      <c r="I1469" s="474"/>
      <c r="J1469" s="645"/>
      <c r="K1469" s="367" t="str">
        <f>IFNA(VLOOKUP(D1469,'EAN Codes'!A:C,2,False),"")</f>
        <v/>
      </c>
      <c r="L1469" s="82"/>
      <c r="M1469" s="476" t="b">
        <v>0</v>
      </c>
      <c r="N1469" s="477" t="b">
        <v>0</v>
      </c>
      <c r="O1469" s="477" t="b">
        <v>0</v>
      </c>
      <c r="P1469" s="477" t="b">
        <v>0</v>
      </c>
      <c r="Q1469" s="477" t="b">
        <v>0</v>
      </c>
      <c r="R1469" s="646"/>
      <c r="S1469" s="647"/>
      <c r="T1469" s="632">
        <v>369417.0</v>
      </c>
      <c r="U1469" s="481" t="b">
        <v>1</v>
      </c>
      <c r="V1469" s="82"/>
      <c r="W1469" s="82"/>
      <c r="X1469" s="82"/>
      <c r="Y1469" s="82"/>
      <c r="Z1469" s="82" t="b">
        <v>0</v>
      </c>
      <c r="AA1469" t="b">
        <v>0</v>
      </c>
      <c r="AB1469" s="82"/>
      <c r="AC1469" s="82"/>
      <c r="AD1469" s="82"/>
      <c r="AE1469" s="82"/>
    </row>
    <row r="1470" hidden="1">
      <c r="A1470" s="6">
        <v>1.0</v>
      </c>
      <c r="B1470" s="99" t="s">
        <v>8287</v>
      </c>
      <c r="C1470" s="99" t="s">
        <v>7548</v>
      </c>
      <c r="D1470" s="100" t="s">
        <v>8377</v>
      </c>
      <c r="H1470" s="473" t="s">
        <v>135</v>
      </c>
      <c r="I1470" s="474"/>
      <c r="J1470" s="475"/>
      <c r="K1470" s="275" t="str">
        <f>IFNA(VLOOKUP(D1470,'EAN Codes'!A:C,2,False),"")</f>
        <v/>
      </c>
      <c r="L1470" s="82"/>
      <c r="M1470" s="476" t="b">
        <v>0</v>
      </c>
      <c r="N1470" s="477" t="b">
        <v>0</v>
      </c>
      <c r="O1470" s="477" t="b">
        <v>0</v>
      </c>
      <c r="P1470" s="477" t="b">
        <v>0</v>
      </c>
      <c r="Q1470" s="477" t="b">
        <v>0</v>
      </c>
      <c r="R1470" s="539"/>
      <c r="S1470" s="540"/>
      <c r="T1470" s="480">
        <v>308095.0</v>
      </c>
      <c r="U1470" s="481" t="b">
        <v>1</v>
      </c>
      <c r="Z1470" t="b">
        <v>0</v>
      </c>
      <c r="AA1470" t="b">
        <v>0</v>
      </c>
    </row>
    <row r="1471" hidden="1">
      <c r="A1471" s="6">
        <v>1.0</v>
      </c>
      <c r="B1471" s="99" t="s">
        <v>8287</v>
      </c>
      <c r="C1471" s="99" t="s">
        <v>7548</v>
      </c>
      <c r="D1471" s="100" t="s">
        <v>8371</v>
      </c>
      <c r="H1471" s="473" t="s">
        <v>135</v>
      </c>
      <c r="I1471" s="474"/>
      <c r="J1471" s="475"/>
      <c r="K1471" s="275" t="str">
        <f>IFNA(VLOOKUP(D1471,'EAN Codes'!A:C,2,False),"")</f>
        <v/>
      </c>
      <c r="L1471" s="82"/>
      <c r="M1471" s="476" t="b">
        <v>0</v>
      </c>
      <c r="N1471" s="477" t="b">
        <v>0</v>
      </c>
      <c r="O1471" s="477" t="b">
        <v>0</v>
      </c>
      <c r="P1471" s="477" t="b">
        <v>0</v>
      </c>
      <c r="Q1471" s="477" t="b">
        <v>0</v>
      </c>
      <c r="R1471" s="539"/>
      <c r="S1471" s="540"/>
      <c r="T1471" s="480" t="s">
        <v>9042</v>
      </c>
      <c r="U1471" s="481" t="b">
        <v>1</v>
      </c>
      <c r="Z1471" t="b">
        <v>0</v>
      </c>
      <c r="AA1471" t="b">
        <v>0</v>
      </c>
    </row>
    <row r="1472" hidden="1">
      <c r="A1472" s="6">
        <v>1.0</v>
      </c>
      <c r="B1472" s="6" t="s">
        <v>8287</v>
      </c>
      <c r="C1472" s="6" t="s">
        <v>7548</v>
      </c>
      <c r="D1472" s="127" t="s">
        <v>8371</v>
      </c>
      <c r="H1472" s="473" t="s">
        <v>135</v>
      </c>
      <c r="I1472" s="474"/>
      <c r="J1472" s="475"/>
      <c r="K1472" s="275" t="str">
        <f>IFNA(VLOOKUP(D1472,'EAN Codes'!A:C,2,False),"")</f>
        <v/>
      </c>
      <c r="L1472" s="82"/>
      <c r="M1472" s="476" t="b">
        <v>0</v>
      </c>
      <c r="N1472" s="477" t="b">
        <v>0</v>
      </c>
      <c r="O1472" s="477" t="b">
        <v>0</v>
      </c>
      <c r="P1472" s="477" t="b">
        <v>0</v>
      </c>
      <c r="Q1472" s="477" t="b">
        <v>0</v>
      </c>
      <c r="R1472" s="539"/>
      <c r="S1472" s="540"/>
      <c r="T1472" s="480">
        <v>308275.0</v>
      </c>
      <c r="U1472" s="481" t="b">
        <v>1</v>
      </c>
      <c r="Z1472" t="b">
        <v>0</v>
      </c>
      <c r="AA1472" t="b">
        <v>0</v>
      </c>
    </row>
    <row r="1473" hidden="1">
      <c r="A1473" s="6">
        <v>1.0</v>
      </c>
      <c r="B1473" s="6" t="s">
        <v>8287</v>
      </c>
      <c r="C1473" s="6" t="s">
        <v>7548</v>
      </c>
      <c r="D1473" s="127" t="s">
        <v>8370</v>
      </c>
      <c r="H1473" s="473" t="s">
        <v>135</v>
      </c>
      <c r="I1473" s="474"/>
      <c r="J1473" s="475"/>
      <c r="K1473" s="275" t="str">
        <f>IFNA(VLOOKUP(D1473,'EAN Codes'!A:C,2,False),"")</f>
        <v/>
      </c>
      <c r="L1473" s="82"/>
      <c r="M1473" s="476" t="b">
        <v>0</v>
      </c>
      <c r="N1473" s="477" t="b">
        <v>0</v>
      </c>
      <c r="O1473" s="477" t="b">
        <v>0</v>
      </c>
      <c r="P1473" s="477" t="b">
        <v>0</v>
      </c>
      <c r="Q1473" s="477" t="b">
        <v>0</v>
      </c>
      <c r="R1473" s="539"/>
      <c r="S1473" s="540"/>
      <c r="T1473" s="480">
        <v>369569.0</v>
      </c>
      <c r="U1473" s="481" t="b">
        <v>1</v>
      </c>
      <c r="Z1473" t="b">
        <v>0</v>
      </c>
      <c r="AA1473" t="b">
        <v>0</v>
      </c>
    </row>
    <row r="1474" hidden="1">
      <c r="A1474" s="106">
        <v>1.0</v>
      </c>
      <c r="B1474" s="106" t="s">
        <v>241</v>
      </c>
      <c r="C1474" s="106" t="s">
        <v>342</v>
      </c>
      <c r="D1474" s="273" t="s">
        <v>9043</v>
      </c>
      <c r="E1474" s="115"/>
      <c r="F1474" s="115"/>
      <c r="G1474" s="115"/>
      <c r="H1474" s="160" t="s">
        <v>132</v>
      </c>
      <c r="I1474" s="473" t="s">
        <v>9044</v>
      </c>
      <c r="J1474" s="508" t="s">
        <v>9045</v>
      </c>
      <c r="K1474" s="275" t="str">
        <f>IFNA(VLOOKUP(D1474,'EAN Codes'!A:C,2,False),"")</f>
        <v>5907615818899</v>
      </c>
      <c r="L1474" s="82"/>
      <c r="M1474" s="496" t="b">
        <v>0</v>
      </c>
      <c r="N1474" s="497" t="b">
        <v>1</v>
      </c>
      <c r="O1474" s="477" t="b">
        <v>0</v>
      </c>
      <c r="P1474" s="477" t="b">
        <v>0</v>
      </c>
      <c r="Q1474" s="477" t="b">
        <v>0</v>
      </c>
      <c r="R1474" s="539"/>
      <c r="S1474" s="479" t="s">
        <v>9046</v>
      </c>
      <c r="T1474" s="480"/>
      <c r="U1474" s="481" t="b">
        <v>1</v>
      </c>
      <c r="Z1474" s="6" t="b">
        <v>1</v>
      </c>
      <c r="AA1474" t="b">
        <v>0</v>
      </c>
    </row>
    <row r="1475" hidden="1">
      <c r="A1475" s="6">
        <v>1.0</v>
      </c>
      <c r="B1475" s="6" t="s">
        <v>8287</v>
      </c>
      <c r="C1475" s="6" t="s">
        <v>7548</v>
      </c>
      <c r="D1475" s="127" t="s">
        <v>8374</v>
      </c>
      <c r="H1475" s="473" t="s">
        <v>135</v>
      </c>
      <c r="I1475" s="474"/>
      <c r="J1475" s="475"/>
      <c r="K1475" s="275" t="str">
        <f>IFNA(VLOOKUP(D1475,'EAN Codes'!A:C,2,False),"")</f>
        <v/>
      </c>
      <c r="L1475" s="82"/>
      <c r="M1475" s="476" t="b">
        <v>0</v>
      </c>
      <c r="N1475" s="477" t="b">
        <v>0</v>
      </c>
      <c r="O1475" s="477" t="b">
        <v>0</v>
      </c>
      <c r="P1475" s="477" t="b">
        <v>0</v>
      </c>
      <c r="Q1475" s="477" t="b">
        <v>0</v>
      </c>
      <c r="R1475" s="539"/>
      <c r="S1475" s="540"/>
      <c r="T1475" s="480">
        <v>2393406.0</v>
      </c>
      <c r="U1475" s="481" t="b">
        <v>1</v>
      </c>
      <c r="Z1475" t="b">
        <v>0</v>
      </c>
      <c r="AA1475" t="b">
        <v>0</v>
      </c>
    </row>
    <row r="1476" hidden="1">
      <c r="A1476" s="6">
        <v>1.0</v>
      </c>
      <c r="B1476" s="106" t="s">
        <v>8287</v>
      </c>
      <c r="C1476" s="106" t="s">
        <v>408</v>
      </c>
      <c r="D1476" s="273" t="s">
        <v>9047</v>
      </c>
      <c r="H1476" s="473" t="s">
        <v>135</v>
      </c>
      <c r="I1476" s="474"/>
      <c r="J1476" s="475"/>
      <c r="K1476" s="275" t="str">
        <f>IFNA(VLOOKUP(D1476,'EAN Codes'!A:C,2,False),"")</f>
        <v/>
      </c>
      <c r="L1476" s="82"/>
      <c r="M1476" s="476" t="b">
        <v>0</v>
      </c>
      <c r="N1476" s="477" t="b">
        <v>0</v>
      </c>
      <c r="O1476" s="477" t="b">
        <v>0</v>
      </c>
      <c r="P1476" s="477" t="b">
        <v>0</v>
      </c>
      <c r="Q1476" s="477" t="b">
        <v>0</v>
      </c>
      <c r="R1476" s="539"/>
      <c r="S1476" s="540"/>
      <c r="T1476" s="480">
        <v>369985.0</v>
      </c>
      <c r="U1476" s="481" t="b">
        <v>1</v>
      </c>
      <c r="Z1476" t="b">
        <v>0</v>
      </c>
      <c r="AA1476" t="b">
        <v>0</v>
      </c>
    </row>
    <row r="1477" hidden="1">
      <c r="A1477" s="6">
        <v>1.0</v>
      </c>
      <c r="B1477" s="86" t="s">
        <v>8287</v>
      </c>
      <c r="C1477" s="86" t="s">
        <v>408</v>
      </c>
      <c r="D1477" s="87" t="s">
        <v>9048</v>
      </c>
      <c r="H1477" s="473" t="s">
        <v>135</v>
      </c>
      <c r="I1477" s="474"/>
      <c r="J1477" s="475"/>
      <c r="K1477" s="275" t="str">
        <f>IFNA(VLOOKUP(D1477,'EAN Codes'!A:C,2,False),"")</f>
        <v/>
      </c>
      <c r="L1477" s="82"/>
      <c r="M1477" s="476" t="b">
        <v>0</v>
      </c>
      <c r="N1477" s="477" t="b">
        <v>0</v>
      </c>
      <c r="O1477" s="477" t="b">
        <v>0</v>
      </c>
      <c r="P1477" s="477" t="b">
        <v>0</v>
      </c>
      <c r="Q1477" s="477" t="b">
        <v>0</v>
      </c>
      <c r="R1477" s="539"/>
      <c r="S1477" s="540"/>
      <c r="T1477" s="480">
        <v>3.10000369292E11</v>
      </c>
      <c r="U1477" s="481" t="b">
        <v>1</v>
      </c>
      <c r="Z1477" t="b">
        <v>0</v>
      </c>
      <c r="AA1477" t="b">
        <v>0</v>
      </c>
    </row>
    <row r="1478" hidden="1">
      <c r="A1478" s="6">
        <v>1.0</v>
      </c>
      <c r="B1478" s="86" t="s">
        <v>8989</v>
      </c>
      <c r="C1478" s="86" t="s">
        <v>408</v>
      </c>
      <c r="D1478" s="87" t="s">
        <v>9049</v>
      </c>
      <c r="H1478" s="473" t="s">
        <v>135</v>
      </c>
      <c r="I1478" s="474"/>
      <c r="J1478" s="475"/>
      <c r="K1478" s="275" t="str">
        <f>IFNA(VLOOKUP(D1478,'EAN Codes'!A:C,2,False),"")</f>
        <v/>
      </c>
      <c r="L1478" s="82"/>
      <c r="M1478" s="476" t="b">
        <v>0</v>
      </c>
      <c r="N1478" s="477" t="b">
        <v>0</v>
      </c>
      <c r="O1478" s="477" t="b">
        <v>0</v>
      </c>
      <c r="P1478" s="477" t="b">
        <v>0</v>
      </c>
      <c r="Q1478" s="477" t="b">
        <v>0</v>
      </c>
      <c r="R1478" s="539"/>
      <c r="S1478" s="540"/>
      <c r="T1478" s="480">
        <v>308384.0</v>
      </c>
      <c r="U1478" s="481" t="b">
        <v>1</v>
      </c>
      <c r="Z1478" t="b">
        <v>0</v>
      </c>
      <c r="AA1478" t="b">
        <v>0</v>
      </c>
    </row>
    <row r="1479" hidden="1">
      <c r="A1479" s="6">
        <v>1.0</v>
      </c>
      <c r="B1479" s="35" t="s">
        <v>8287</v>
      </c>
      <c r="C1479" s="35" t="s">
        <v>7548</v>
      </c>
      <c r="D1479" s="365" t="s">
        <v>8380</v>
      </c>
      <c r="H1479" s="473" t="s">
        <v>135</v>
      </c>
      <c r="I1479" s="474"/>
      <c r="J1479" s="475"/>
      <c r="K1479" s="275" t="str">
        <f>IFNA(VLOOKUP(D1479,'EAN Codes'!A:C,2,False),"")</f>
        <v/>
      </c>
      <c r="L1479" s="82"/>
      <c r="M1479" s="476" t="b">
        <v>0</v>
      </c>
      <c r="N1479" s="477" t="b">
        <v>0</v>
      </c>
      <c r="O1479" s="477" t="b">
        <v>0</v>
      </c>
      <c r="P1479" s="477" t="b">
        <v>0</v>
      </c>
      <c r="Q1479" s="477" t="b">
        <v>0</v>
      </c>
      <c r="R1479" s="539"/>
      <c r="S1479" s="540"/>
      <c r="T1479" s="480">
        <v>369717.0</v>
      </c>
      <c r="U1479" s="481" t="b">
        <v>1</v>
      </c>
      <c r="Z1479" t="b">
        <v>0</v>
      </c>
      <c r="AA1479" t="b">
        <v>0</v>
      </c>
    </row>
    <row r="1480">
      <c r="B1480" s="99"/>
      <c r="C1480" s="99"/>
      <c r="D1480" s="100"/>
      <c r="E1480" s="99"/>
      <c r="F1480" s="99"/>
      <c r="H1480" s="473"/>
      <c r="I1480" s="474"/>
      <c r="J1480" s="475"/>
      <c r="K1480" s="275" t="str">
        <f>IFNA(VLOOKUP(D1480,'EAN Codes'!A:C,2,False),"")</f>
        <v/>
      </c>
      <c r="L1480" s="82"/>
      <c r="M1480" s="496" t="b">
        <v>0</v>
      </c>
      <c r="N1480" s="477" t="b">
        <v>0</v>
      </c>
      <c r="O1480" s="477" t="b">
        <v>0</v>
      </c>
      <c r="P1480" s="477" t="b">
        <v>0</v>
      </c>
      <c r="Q1480" s="477" t="b">
        <v>0</v>
      </c>
      <c r="R1480" s="539"/>
      <c r="S1480" s="540"/>
      <c r="T1480" s="543"/>
      <c r="U1480" s="514" t="b">
        <v>0</v>
      </c>
      <c r="Z1480" s="6" t="b">
        <v>1</v>
      </c>
      <c r="AA1480" s="6" t="b">
        <v>0</v>
      </c>
      <c r="AC1480" s="82" t="str">
        <f>IFERROR(__xludf.DUMMYFUNCTION("IFS(C1480=""ECS"",Vlookup(D1480,IMPORTRANGE(""https://docs.google.com/spreadsheets/d/1CONXwApUCNE4s-NquayczLLZJS3lBxtkAQwk9d9t2gA/edit"",""'Prislista 2024'!I:M""),5,false)*$AC$1)*A1480"),"#N/A")</f>
        <v>#N/A</v>
      </c>
      <c r="AD1480" t="str">
        <f>IFNA(IFS(U1480=False,D1480),"")</f>
        <v/>
      </c>
      <c r="AE1480" t="str">
        <f>IFNA(IFS(U1480=false,H1480),"")</f>
        <v/>
      </c>
    </row>
    <row r="1481" hidden="1">
      <c r="A1481" s="6">
        <v>1.0</v>
      </c>
      <c r="B1481" s="6" t="s">
        <v>2651</v>
      </c>
      <c r="C1481" s="6" t="s">
        <v>3751</v>
      </c>
      <c r="D1481" s="127" t="s">
        <v>9050</v>
      </c>
      <c r="H1481" s="473" t="s">
        <v>135</v>
      </c>
      <c r="I1481" s="473" t="s">
        <v>9051</v>
      </c>
      <c r="J1481" s="521" t="s">
        <v>9052</v>
      </c>
      <c r="K1481" s="275" t="str">
        <f>IFNA(VLOOKUP(D1481,'EAN Codes'!A:C,2,False),"")</f>
        <v/>
      </c>
      <c r="L1481" s="82"/>
      <c r="M1481" s="476" t="b">
        <v>0</v>
      </c>
      <c r="N1481" s="477" t="b">
        <v>0</v>
      </c>
      <c r="O1481" s="477" t="b">
        <v>0</v>
      </c>
      <c r="P1481" s="477" t="b">
        <v>0</v>
      </c>
      <c r="Q1481" s="477" t="b">
        <v>0</v>
      </c>
      <c r="R1481" s="539"/>
      <c r="S1481" s="540"/>
      <c r="T1481" s="480">
        <v>308149.0</v>
      </c>
      <c r="U1481" s="481" t="b">
        <v>1</v>
      </c>
      <c r="Z1481" t="b">
        <v>0</v>
      </c>
      <c r="AA1481" t="b">
        <v>0</v>
      </c>
    </row>
    <row r="1482" hidden="1">
      <c r="A1482" s="6">
        <v>1.0</v>
      </c>
      <c r="B1482" s="6" t="s">
        <v>181</v>
      </c>
      <c r="C1482" s="6" t="s">
        <v>950</v>
      </c>
      <c r="D1482" s="127" t="s">
        <v>9053</v>
      </c>
      <c r="G1482" s="6">
        <v>308039.0</v>
      </c>
      <c r="H1482" s="473" t="s">
        <v>135</v>
      </c>
      <c r="I1482" s="473">
        <v>308039.0</v>
      </c>
      <c r="J1482" s="508" t="s">
        <v>9054</v>
      </c>
      <c r="K1482" s="275" t="str">
        <f>IFNA(VLOOKUP(D1482,'EAN Codes'!A:C,2,False),"")</f>
        <v/>
      </c>
      <c r="L1482" s="82"/>
      <c r="M1482" s="476" t="b">
        <v>0</v>
      </c>
      <c r="N1482" s="477" t="b">
        <v>0</v>
      </c>
      <c r="O1482" s="497" t="b">
        <v>0</v>
      </c>
      <c r="P1482" s="497" t="b">
        <v>0</v>
      </c>
      <c r="Q1482" s="477" t="b">
        <v>0</v>
      </c>
      <c r="R1482" s="539"/>
      <c r="S1482" s="540"/>
      <c r="T1482" s="480" t="s">
        <v>9055</v>
      </c>
      <c r="U1482" s="481" t="b">
        <v>1</v>
      </c>
      <c r="V1482" s="6" t="s">
        <v>9056</v>
      </c>
      <c r="Z1482" t="b">
        <v>0</v>
      </c>
      <c r="AA1482" t="b">
        <v>0</v>
      </c>
    </row>
    <row r="1483" hidden="1">
      <c r="A1483" s="6">
        <v>1.0</v>
      </c>
      <c r="B1483" s="99" t="s">
        <v>181</v>
      </c>
      <c r="C1483" s="99" t="s">
        <v>1116</v>
      </c>
      <c r="D1483" s="100" t="s">
        <v>8446</v>
      </c>
      <c r="H1483" s="473" t="s">
        <v>135</v>
      </c>
      <c r="I1483" s="474"/>
      <c r="J1483" s="475"/>
      <c r="K1483" s="275" t="str">
        <f>IFNA(VLOOKUP(D1483,'EAN Codes'!A:C,2,False),"")</f>
        <v/>
      </c>
      <c r="L1483" s="82"/>
      <c r="M1483" s="476" t="b">
        <v>0</v>
      </c>
      <c r="N1483" s="477" t="b">
        <v>0</v>
      </c>
      <c r="O1483" s="477" t="b">
        <v>0</v>
      </c>
      <c r="P1483" s="477" t="b">
        <v>0</v>
      </c>
      <c r="Q1483" s="477" t="b">
        <v>0</v>
      </c>
      <c r="R1483" s="539"/>
      <c r="S1483" s="540"/>
      <c r="T1483" s="480" t="s">
        <v>9057</v>
      </c>
      <c r="U1483" s="481" t="b">
        <v>1</v>
      </c>
      <c r="Z1483" t="b">
        <v>0</v>
      </c>
      <c r="AA1483" t="b">
        <v>0</v>
      </c>
    </row>
    <row r="1484" hidden="1">
      <c r="A1484" s="6">
        <v>1.0</v>
      </c>
      <c r="B1484" s="99" t="s">
        <v>181</v>
      </c>
      <c r="C1484" s="99" t="s">
        <v>1116</v>
      </c>
      <c r="D1484" s="100" t="s">
        <v>8446</v>
      </c>
      <c r="H1484" s="473" t="s">
        <v>135</v>
      </c>
      <c r="I1484" s="474"/>
      <c r="J1484" s="475"/>
      <c r="K1484" s="275" t="str">
        <f>IFNA(VLOOKUP(D1484,'EAN Codes'!A:C,2,False),"")</f>
        <v/>
      </c>
      <c r="L1484" s="82"/>
      <c r="M1484" s="476" t="b">
        <v>0</v>
      </c>
      <c r="N1484" s="477" t="b">
        <v>0</v>
      </c>
      <c r="O1484" s="477" t="b">
        <v>0</v>
      </c>
      <c r="P1484" s="477" t="b">
        <v>0</v>
      </c>
      <c r="Q1484" s="477" t="b">
        <v>0</v>
      </c>
      <c r="R1484" s="539"/>
      <c r="S1484" s="540"/>
      <c r="T1484" s="480">
        <v>308326.0</v>
      </c>
      <c r="U1484" s="481" t="b">
        <v>1</v>
      </c>
      <c r="Z1484" t="b">
        <v>0</v>
      </c>
      <c r="AA1484" t="b">
        <v>0</v>
      </c>
    </row>
    <row r="1485" hidden="1">
      <c r="A1485" s="6">
        <v>1.0</v>
      </c>
      <c r="B1485" s="106" t="s">
        <v>8287</v>
      </c>
      <c r="C1485" s="106" t="s">
        <v>408</v>
      </c>
      <c r="D1485" s="648" t="s">
        <v>9058</v>
      </c>
      <c r="H1485" s="473" t="s">
        <v>135</v>
      </c>
      <c r="I1485" s="474"/>
      <c r="J1485" s="475"/>
      <c r="K1485" s="275" t="str">
        <f>IFNA(VLOOKUP(D1485,'EAN Codes'!A:C,2,False),"")</f>
        <v/>
      </c>
      <c r="L1485" s="82"/>
      <c r="M1485" s="476" t="b">
        <v>0</v>
      </c>
      <c r="N1485" s="477" t="b">
        <v>0</v>
      </c>
      <c r="O1485" s="477" t="b">
        <v>0</v>
      </c>
      <c r="P1485" s="477" t="b">
        <v>0</v>
      </c>
      <c r="Q1485" s="477" t="b">
        <v>0</v>
      </c>
      <c r="R1485" s="539"/>
      <c r="S1485" s="540"/>
      <c r="T1485" s="480" t="s">
        <v>9059</v>
      </c>
      <c r="U1485" s="481" t="b">
        <v>1</v>
      </c>
      <c r="Z1485" t="b">
        <v>0</v>
      </c>
      <c r="AA1485" t="b">
        <v>0</v>
      </c>
    </row>
    <row r="1486" hidden="1">
      <c r="A1486" s="6">
        <v>1.0</v>
      </c>
      <c r="B1486" s="106" t="s">
        <v>8287</v>
      </c>
      <c r="C1486" s="106" t="s">
        <v>408</v>
      </c>
      <c r="D1486" s="648" t="s">
        <v>9060</v>
      </c>
      <c r="H1486" s="473" t="s">
        <v>135</v>
      </c>
      <c r="I1486" s="474"/>
      <c r="J1486" s="475"/>
      <c r="K1486" s="275" t="str">
        <f>IFNA(VLOOKUP(D1486,'EAN Codes'!A:C,2,False),"")</f>
        <v/>
      </c>
      <c r="L1486" s="82"/>
      <c r="M1486" s="476" t="b">
        <v>0</v>
      </c>
      <c r="N1486" s="477" t="b">
        <v>0</v>
      </c>
      <c r="O1486" s="477" t="b">
        <v>0</v>
      </c>
      <c r="P1486" s="477" t="b">
        <v>0</v>
      </c>
      <c r="Q1486" s="477" t="b">
        <v>0</v>
      </c>
      <c r="R1486" s="539"/>
      <c r="S1486" s="540"/>
      <c r="T1486" s="480">
        <v>308292.0</v>
      </c>
      <c r="U1486" s="481" t="b">
        <v>1</v>
      </c>
      <c r="Z1486" t="b">
        <v>0</v>
      </c>
      <c r="AA1486" t="b">
        <v>0</v>
      </c>
    </row>
    <row r="1487" hidden="1">
      <c r="A1487" s="6">
        <v>1.0</v>
      </c>
      <c r="B1487" s="106" t="s">
        <v>8287</v>
      </c>
      <c r="C1487" s="106" t="s">
        <v>408</v>
      </c>
      <c r="D1487" s="648" t="s">
        <v>9061</v>
      </c>
      <c r="H1487" s="473" t="s">
        <v>135</v>
      </c>
      <c r="I1487" s="474"/>
      <c r="J1487" s="536"/>
      <c r="K1487" s="275" t="str">
        <f>IFNA(VLOOKUP(D1487,'EAN Codes'!A:C,2,False),"")</f>
        <v/>
      </c>
      <c r="L1487" s="82"/>
      <c r="M1487" s="476" t="b">
        <v>0</v>
      </c>
      <c r="N1487" s="477" t="b">
        <v>0</v>
      </c>
      <c r="O1487" s="477" t="b">
        <v>0</v>
      </c>
      <c r="P1487" s="477" t="b">
        <v>0</v>
      </c>
      <c r="Q1487" s="477" t="b">
        <v>0</v>
      </c>
      <c r="R1487" s="539"/>
      <c r="S1487" s="540"/>
      <c r="T1487" s="480">
        <v>308241.0</v>
      </c>
      <c r="U1487" s="481" t="b">
        <v>1</v>
      </c>
      <c r="Z1487" t="b">
        <v>0</v>
      </c>
      <c r="AA1487" t="b">
        <v>0</v>
      </c>
    </row>
    <row r="1488">
      <c r="B1488" s="86"/>
      <c r="C1488" s="86"/>
      <c r="D1488" s="649"/>
      <c r="E1488" s="101"/>
      <c r="F1488" s="101"/>
      <c r="H1488" s="473"/>
      <c r="I1488" s="474"/>
      <c r="J1488" s="475"/>
      <c r="K1488" s="275" t="str">
        <f>IFNA(VLOOKUP(D1488,'EAN Codes'!A:C,2,False),"")</f>
        <v/>
      </c>
      <c r="L1488" s="82"/>
      <c r="M1488" s="476" t="b">
        <v>0</v>
      </c>
      <c r="N1488" s="477" t="b">
        <v>0</v>
      </c>
      <c r="O1488" s="477" t="b">
        <v>0</v>
      </c>
      <c r="P1488" s="477" t="b">
        <v>0</v>
      </c>
      <c r="Q1488" s="477" t="b">
        <v>0</v>
      </c>
      <c r="R1488" s="539"/>
      <c r="S1488" s="540"/>
      <c r="T1488" s="543"/>
      <c r="U1488" s="514" t="b">
        <v>0</v>
      </c>
      <c r="Z1488" s="6" t="b">
        <v>1</v>
      </c>
      <c r="AA1488" s="6" t="b">
        <v>0</v>
      </c>
      <c r="AC1488" s="82"/>
      <c r="AD1488" t="str">
        <f>IFNA(IFS(U1488=False,D1488),"")</f>
        <v/>
      </c>
      <c r="AE1488" t="str">
        <f>IFNA(IFS(U1488=false,H1488),"")</f>
        <v/>
      </c>
    </row>
    <row r="1489" hidden="1">
      <c r="A1489" s="6">
        <v>1.0</v>
      </c>
      <c r="B1489" s="106" t="s">
        <v>8287</v>
      </c>
      <c r="C1489" s="106" t="s">
        <v>408</v>
      </c>
      <c r="D1489" s="648" t="s">
        <v>9062</v>
      </c>
      <c r="H1489" s="473" t="s">
        <v>135</v>
      </c>
      <c r="I1489" s="474"/>
      <c r="J1489" s="475"/>
      <c r="K1489" s="275" t="str">
        <f>IFNA(VLOOKUP(D1489,'EAN Codes'!A:C,2,False),"")</f>
        <v/>
      </c>
      <c r="L1489" s="82"/>
      <c r="M1489" s="476" t="b">
        <v>0</v>
      </c>
      <c r="N1489" s="477" t="b">
        <v>0</v>
      </c>
      <c r="O1489" s="477" t="b">
        <v>0</v>
      </c>
      <c r="P1489" s="477" t="b">
        <v>0</v>
      </c>
      <c r="Q1489" s="477" t="b">
        <v>0</v>
      </c>
      <c r="R1489" s="539"/>
      <c r="S1489" s="540"/>
      <c r="T1489" s="480">
        <v>369845.0</v>
      </c>
      <c r="U1489" s="481" t="b">
        <v>1</v>
      </c>
      <c r="Z1489" t="b">
        <v>0</v>
      </c>
      <c r="AA1489" t="b">
        <v>0</v>
      </c>
    </row>
    <row r="1490" hidden="1">
      <c r="A1490" s="6">
        <v>1.0</v>
      </c>
      <c r="B1490" s="106" t="s">
        <v>8287</v>
      </c>
      <c r="C1490" s="106" t="s">
        <v>408</v>
      </c>
      <c r="D1490" s="648" t="s">
        <v>9063</v>
      </c>
      <c r="H1490" s="473" t="s">
        <v>135</v>
      </c>
      <c r="I1490" s="474"/>
      <c r="J1490" s="536"/>
      <c r="K1490" s="275" t="str">
        <f>IFNA(VLOOKUP(D1490,'EAN Codes'!A:C,2,False),"")</f>
        <v/>
      </c>
      <c r="L1490" s="82"/>
      <c r="M1490" s="476" t="b">
        <v>0</v>
      </c>
      <c r="N1490" s="477" t="b">
        <v>0</v>
      </c>
      <c r="O1490" s="477" t="b">
        <v>0</v>
      </c>
      <c r="P1490" s="477" t="b">
        <v>0</v>
      </c>
      <c r="Q1490" s="477" t="b">
        <v>0</v>
      </c>
      <c r="R1490" s="539"/>
      <c r="S1490" s="540"/>
      <c r="T1490" s="480">
        <v>308175.0</v>
      </c>
      <c r="U1490" s="481" t="b">
        <v>1</v>
      </c>
      <c r="Z1490" t="b">
        <v>0</v>
      </c>
      <c r="AA1490" t="b">
        <v>0</v>
      </c>
    </row>
    <row r="1491" hidden="1">
      <c r="A1491" s="6">
        <v>1.0</v>
      </c>
      <c r="B1491" s="106" t="s">
        <v>8287</v>
      </c>
      <c r="C1491" s="106" t="s">
        <v>408</v>
      </c>
      <c r="D1491" s="621" t="s">
        <v>9064</v>
      </c>
      <c r="H1491" s="473" t="s">
        <v>135</v>
      </c>
      <c r="I1491" s="474"/>
      <c r="J1491" s="475"/>
      <c r="K1491" s="275" t="str">
        <f>IFNA(VLOOKUP(D1491,'EAN Codes'!A:C,2,False),"")</f>
        <v/>
      </c>
      <c r="L1491" s="82"/>
      <c r="M1491" s="476" t="b">
        <v>0</v>
      </c>
      <c r="N1491" s="477" t="b">
        <v>0</v>
      </c>
      <c r="O1491" s="477" t="b">
        <v>0</v>
      </c>
      <c r="P1491" s="477" t="b">
        <v>0</v>
      </c>
      <c r="Q1491" s="477" t="b">
        <v>0</v>
      </c>
      <c r="R1491" s="539"/>
      <c r="S1491" s="540"/>
      <c r="T1491" s="480" t="s">
        <v>9065</v>
      </c>
      <c r="U1491" s="481" t="b">
        <v>1</v>
      </c>
      <c r="Z1491" t="b">
        <v>0</v>
      </c>
      <c r="AA1491" t="b">
        <v>0</v>
      </c>
    </row>
    <row r="1492">
      <c r="B1492" s="86"/>
      <c r="C1492" s="86"/>
      <c r="D1492" s="650"/>
      <c r="E1492" s="101"/>
      <c r="F1492" s="101"/>
      <c r="H1492" s="473"/>
      <c r="I1492" s="474"/>
      <c r="J1492" s="475"/>
      <c r="K1492" s="275" t="str">
        <f>IFNA(VLOOKUP(D1492,'EAN Codes'!A:C,2,False),"")</f>
        <v/>
      </c>
      <c r="L1492" s="82"/>
      <c r="M1492" s="476" t="b">
        <v>0</v>
      </c>
      <c r="N1492" s="477" t="b">
        <v>0</v>
      </c>
      <c r="O1492" s="477" t="b">
        <v>0</v>
      </c>
      <c r="P1492" s="477" t="b">
        <v>0</v>
      </c>
      <c r="Q1492" s="477" t="b">
        <v>0</v>
      </c>
      <c r="R1492" s="539"/>
      <c r="S1492" s="540"/>
      <c r="T1492" s="543"/>
      <c r="U1492" s="514" t="b">
        <v>0</v>
      </c>
      <c r="Z1492" s="6" t="b">
        <v>1</v>
      </c>
      <c r="AA1492" s="6" t="b">
        <v>0</v>
      </c>
      <c r="AC1492" s="82"/>
      <c r="AD1492" t="str">
        <f>IFNA(IFS(U1492=False,D1492),"")</f>
        <v/>
      </c>
      <c r="AE1492" t="str">
        <f>IFNA(IFS(U1492=false,H1492),"")</f>
        <v/>
      </c>
    </row>
    <row r="1493" hidden="1">
      <c r="A1493" s="6">
        <v>1.0</v>
      </c>
      <c r="B1493" s="106" t="s">
        <v>8287</v>
      </c>
      <c r="C1493" s="106" t="s">
        <v>408</v>
      </c>
      <c r="D1493" s="651" t="s">
        <v>9066</v>
      </c>
      <c r="H1493" s="473" t="s">
        <v>135</v>
      </c>
      <c r="I1493" s="474"/>
      <c r="J1493" s="475"/>
      <c r="K1493" s="275" t="str">
        <f>IFNA(VLOOKUP(D1493,'EAN Codes'!A:C,2,False),"")</f>
        <v/>
      </c>
      <c r="L1493" s="82"/>
      <c r="M1493" s="476" t="b">
        <v>0</v>
      </c>
      <c r="N1493" s="477" t="b">
        <v>0</v>
      </c>
      <c r="O1493" s="477" t="b">
        <v>0</v>
      </c>
      <c r="P1493" s="477" t="b">
        <v>0</v>
      </c>
      <c r="Q1493" s="477" t="b">
        <v>0</v>
      </c>
      <c r="R1493" s="539"/>
      <c r="S1493" s="540"/>
      <c r="T1493" s="480">
        <v>373119.0</v>
      </c>
      <c r="U1493" s="481" t="b">
        <v>1</v>
      </c>
      <c r="Z1493" s="6" t="b">
        <v>1</v>
      </c>
      <c r="AA1493" t="b">
        <v>0</v>
      </c>
    </row>
    <row r="1494" hidden="1">
      <c r="A1494" s="6">
        <v>1.0</v>
      </c>
      <c r="B1494" s="6" t="s">
        <v>2651</v>
      </c>
      <c r="C1494" s="6" t="s">
        <v>3751</v>
      </c>
      <c r="D1494" s="127" t="s">
        <v>9067</v>
      </c>
      <c r="H1494" s="473" t="s">
        <v>135</v>
      </c>
      <c r="I1494" s="473" t="s">
        <v>9068</v>
      </c>
      <c r="J1494" s="521" t="s">
        <v>9069</v>
      </c>
      <c r="K1494" s="275" t="str">
        <f>IFNA(VLOOKUP(D1494,'EAN Codes'!A:C,2,False),"")</f>
        <v/>
      </c>
      <c r="L1494" s="82"/>
      <c r="M1494" s="476" t="b">
        <v>0</v>
      </c>
      <c r="N1494" s="477" t="b">
        <v>0</v>
      </c>
      <c r="O1494" s="477" t="b">
        <v>0</v>
      </c>
      <c r="P1494" s="477" t="b">
        <v>0</v>
      </c>
      <c r="Q1494" s="477" t="b">
        <v>0</v>
      </c>
      <c r="R1494" s="539"/>
      <c r="S1494" s="540"/>
      <c r="T1494" s="480">
        <v>308224.0</v>
      </c>
      <c r="U1494" s="481" t="b">
        <v>1</v>
      </c>
      <c r="Z1494" t="b">
        <v>0</v>
      </c>
      <c r="AA1494" t="b">
        <v>0</v>
      </c>
    </row>
    <row r="1495">
      <c r="B1495" s="99"/>
      <c r="C1495" s="99"/>
      <c r="D1495" s="100"/>
      <c r="E1495" s="101"/>
      <c r="F1495" s="101"/>
      <c r="H1495" s="473"/>
      <c r="I1495" s="473"/>
      <c r="J1495" s="508"/>
      <c r="K1495" s="275" t="str">
        <f>IFNA(VLOOKUP(D1495,'EAN Codes'!A:C,2,False),"")</f>
        <v/>
      </c>
      <c r="L1495" s="82"/>
      <c r="M1495" s="476" t="b">
        <v>0</v>
      </c>
      <c r="N1495" s="477" t="b">
        <v>0</v>
      </c>
      <c r="O1495" s="477" t="b">
        <v>0</v>
      </c>
      <c r="P1495" s="477" t="b">
        <v>0</v>
      </c>
      <c r="Q1495" s="477" t="b">
        <v>0</v>
      </c>
      <c r="R1495" s="539"/>
      <c r="S1495" s="540"/>
      <c r="T1495" s="543"/>
      <c r="U1495" s="514" t="b">
        <v>0</v>
      </c>
      <c r="Z1495" s="6" t="b">
        <v>1</v>
      </c>
      <c r="AA1495" s="6" t="b">
        <v>0</v>
      </c>
      <c r="AC1495" s="35">
        <v>412.16</v>
      </c>
      <c r="AD1495" t="str">
        <f>IFNA(IFS(U1495=False,D1495),"")</f>
        <v/>
      </c>
      <c r="AE1495" t="str">
        <f>IFNA(IFS(U1495=false,H1495),"")</f>
        <v/>
      </c>
    </row>
    <row r="1496" hidden="1">
      <c r="A1496" s="6">
        <v>1.0</v>
      </c>
      <c r="B1496" s="6" t="s">
        <v>241</v>
      </c>
      <c r="C1496" s="6" t="s">
        <v>342</v>
      </c>
      <c r="D1496" s="127" t="s">
        <v>9070</v>
      </c>
      <c r="H1496" s="473" t="s">
        <v>763</v>
      </c>
      <c r="I1496" s="473" t="s">
        <v>8515</v>
      </c>
      <c r="J1496" s="508" t="s">
        <v>8932</v>
      </c>
      <c r="K1496" s="275" t="str">
        <f>IFNA(VLOOKUP(D1496,'EAN Codes'!A:C,2,False),"")</f>
        <v/>
      </c>
      <c r="L1496" s="82"/>
      <c r="M1496" s="476" t="b">
        <v>0</v>
      </c>
      <c r="N1496" s="477" t="b">
        <v>0</v>
      </c>
      <c r="O1496" s="477" t="b">
        <v>0</v>
      </c>
      <c r="P1496" s="497" t="b">
        <v>1</v>
      </c>
      <c r="Q1496" s="477" t="b">
        <v>0</v>
      </c>
      <c r="R1496" s="478" t="s">
        <v>9071</v>
      </c>
      <c r="S1496" s="479" t="s">
        <v>8078</v>
      </c>
      <c r="T1496" s="543"/>
      <c r="U1496" s="481" t="b">
        <v>1</v>
      </c>
      <c r="Z1496" t="b">
        <v>0</v>
      </c>
      <c r="AA1496" t="b">
        <v>0</v>
      </c>
    </row>
    <row r="1497" hidden="1">
      <c r="A1497" s="99">
        <v>1.0</v>
      </c>
      <c r="B1497" s="99" t="s">
        <v>241</v>
      </c>
      <c r="C1497" s="99" t="s">
        <v>408</v>
      </c>
      <c r="D1497" s="100" t="s">
        <v>8957</v>
      </c>
      <c r="E1497" s="99" t="s">
        <v>346</v>
      </c>
      <c r="F1497" s="99" t="s">
        <v>5785</v>
      </c>
      <c r="G1497" s="99" t="s">
        <v>9072</v>
      </c>
      <c r="H1497" s="473" t="s">
        <v>9073</v>
      </c>
      <c r="I1497" s="473" t="s">
        <v>8963</v>
      </c>
      <c r="J1497" s="508" t="s">
        <v>9074</v>
      </c>
      <c r="K1497" s="275" t="str">
        <f>IFNA(VLOOKUP(D1497,'EAN Codes'!A:C,2,False),"")</f>
        <v>4250141156845</v>
      </c>
      <c r="L1497" s="82"/>
      <c r="M1497" s="476" t="b">
        <v>0</v>
      </c>
      <c r="N1497" s="477" t="b">
        <v>0</v>
      </c>
      <c r="O1497" s="497" t="b">
        <v>1</v>
      </c>
      <c r="P1497" s="477" t="b">
        <v>0</v>
      </c>
      <c r="Q1497" s="477" t="b">
        <v>0</v>
      </c>
      <c r="R1497" s="539"/>
      <c r="S1497" s="540"/>
      <c r="T1497" s="543"/>
      <c r="U1497" s="481" t="b">
        <v>1</v>
      </c>
      <c r="V1497" s="35" t="s">
        <v>9075</v>
      </c>
      <c r="Z1497" t="b">
        <v>0</v>
      </c>
      <c r="AA1497" t="b">
        <v>0</v>
      </c>
    </row>
    <row r="1498" hidden="1">
      <c r="A1498" s="6">
        <v>1.0</v>
      </c>
      <c r="B1498" s="6" t="s">
        <v>241</v>
      </c>
      <c r="C1498" s="6" t="s">
        <v>342</v>
      </c>
      <c r="D1498" s="127" t="s">
        <v>9076</v>
      </c>
      <c r="H1498" s="473" t="s">
        <v>135</v>
      </c>
      <c r="I1498" s="473" t="s">
        <v>9077</v>
      </c>
      <c r="J1498" s="508" t="s">
        <v>9078</v>
      </c>
      <c r="K1498" s="275" t="str">
        <f>IFNA(VLOOKUP(D1498,'EAN Codes'!A:C,2,False),"")</f>
        <v/>
      </c>
      <c r="L1498" s="82"/>
      <c r="M1498" s="476" t="b">
        <v>0</v>
      </c>
      <c r="N1498" s="497" t="b">
        <v>0</v>
      </c>
      <c r="O1498" s="477" t="b">
        <v>0</v>
      </c>
      <c r="P1498" s="497" t="b">
        <v>1</v>
      </c>
      <c r="Q1498" s="477" t="b">
        <v>0</v>
      </c>
      <c r="R1498" s="539"/>
      <c r="S1498" s="479" t="s">
        <v>8078</v>
      </c>
      <c r="T1498" s="543"/>
      <c r="U1498" s="481" t="b">
        <v>1</v>
      </c>
      <c r="Z1498" t="b">
        <v>0</v>
      </c>
      <c r="AA1498" t="b">
        <v>0</v>
      </c>
    </row>
    <row r="1499" hidden="1">
      <c r="A1499" s="6">
        <v>1.0</v>
      </c>
      <c r="B1499" s="86" t="s">
        <v>8287</v>
      </c>
      <c r="C1499" s="86" t="s">
        <v>408</v>
      </c>
      <c r="D1499" s="87" t="s">
        <v>8354</v>
      </c>
      <c r="H1499" s="473" t="s">
        <v>135</v>
      </c>
      <c r="I1499" s="474"/>
      <c r="J1499" s="475"/>
      <c r="K1499" s="275" t="str">
        <f>IFNA(VLOOKUP(D1499,'EAN Codes'!A:C,2,False),"")</f>
        <v/>
      </c>
      <c r="L1499" s="82"/>
      <c r="M1499" s="476" t="b">
        <v>0</v>
      </c>
      <c r="N1499" s="477" t="b">
        <v>0</v>
      </c>
      <c r="O1499" s="477" t="b">
        <v>0</v>
      </c>
      <c r="P1499" s="477" t="b">
        <v>0</v>
      </c>
      <c r="Q1499" s="477" t="b">
        <v>0</v>
      </c>
      <c r="R1499" s="539"/>
      <c r="S1499" s="540"/>
      <c r="T1499" s="480">
        <v>308248.0</v>
      </c>
      <c r="U1499" s="481" t="b">
        <v>1</v>
      </c>
      <c r="Z1499" t="b">
        <v>0</v>
      </c>
      <c r="AA1499" t="b">
        <v>0</v>
      </c>
    </row>
    <row r="1500">
      <c r="B1500" s="86"/>
      <c r="C1500" s="86"/>
      <c r="D1500" s="87"/>
      <c r="E1500" s="101"/>
      <c r="F1500" s="101"/>
      <c r="H1500" s="473"/>
      <c r="I1500" s="474"/>
      <c r="J1500" s="475"/>
      <c r="K1500" s="275" t="str">
        <f>IFNA(VLOOKUP(D1500,'EAN Codes'!A:C,2,False),"")</f>
        <v/>
      </c>
      <c r="L1500" s="82"/>
      <c r="M1500" s="476" t="b">
        <v>0</v>
      </c>
      <c r="N1500" s="477" t="b">
        <v>0</v>
      </c>
      <c r="O1500" s="477" t="b">
        <v>0</v>
      </c>
      <c r="P1500" s="477" t="b">
        <v>0</v>
      </c>
      <c r="Q1500" s="477" t="b">
        <v>0</v>
      </c>
      <c r="R1500" s="539"/>
      <c r="S1500" s="540"/>
      <c r="T1500" s="543"/>
      <c r="U1500" s="514" t="b">
        <v>0</v>
      </c>
      <c r="Z1500" s="6" t="b">
        <v>1</v>
      </c>
      <c r="AA1500" s="6" t="b">
        <v>0</v>
      </c>
      <c r="AC1500" s="82"/>
      <c r="AD1500" t="str">
        <f>IFNA(IFS(U1500=False,D1500),"")</f>
        <v/>
      </c>
      <c r="AE1500" t="str">
        <f>IFNA(IFS(U1500=false,H1500),"")</f>
        <v/>
      </c>
    </row>
    <row r="1501" hidden="1">
      <c r="A1501" s="6">
        <v>1.0</v>
      </c>
      <c r="B1501" s="99" t="s">
        <v>8287</v>
      </c>
      <c r="C1501" s="99" t="s">
        <v>7548</v>
      </c>
      <c r="D1501" s="100" t="s">
        <v>8375</v>
      </c>
      <c r="H1501" s="473" t="s">
        <v>135</v>
      </c>
      <c r="I1501" s="474"/>
      <c r="J1501" s="475"/>
      <c r="K1501" s="275" t="str">
        <f>IFNA(VLOOKUP(D1501,'EAN Codes'!A:C,2,False),"")</f>
        <v/>
      </c>
      <c r="L1501" s="82"/>
      <c r="M1501" s="476" t="b">
        <v>0</v>
      </c>
      <c r="N1501" s="477" t="b">
        <v>0</v>
      </c>
      <c r="O1501" s="477" t="b">
        <v>0</v>
      </c>
      <c r="P1501" s="477" t="b">
        <v>0</v>
      </c>
      <c r="Q1501" s="477" t="b">
        <v>0</v>
      </c>
      <c r="R1501" s="539"/>
      <c r="S1501" s="540"/>
      <c r="T1501" s="480">
        <v>308346.0</v>
      </c>
      <c r="U1501" s="481" t="b">
        <v>1</v>
      </c>
      <c r="Z1501" t="b">
        <v>0</v>
      </c>
      <c r="AA1501" t="b">
        <v>0</v>
      </c>
    </row>
    <row r="1502">
      <c r="D1502" s="127"/>
      <c r="H1502" s="473"/>
      <c r="I1502" s="473"/>
      <c r="J1502" s="508"/>
      <c r="K1502" s="275" t="str">
        <f>IFNA(VLOOKUP(D1502,'EAN Codes'!A:C,2,False),"")</f>
        <v/>
      </c>
      <c r="L1502" s="82"/>
      <c r="M1502" s="476" t="b">
        <v>0</v>
      </c>
      <c r="N1502" s="477" t="b">
        <v>0</v>
      </c>
      <c r="O1502" s="477" t="b">
        <v>0</v>
      </c>
      <c r="P1502" s="477" t="b">
        <v>0</v>
      </c>
      <c r="Q1502" s="477" t="b">
        <v>0</v>
      </c>
      <c r="R1502" s="539"/>
      <c r="S1502" s="540"/>
      <c r="T1502" s="543"/>
      <c r="U1502" s="514" t="b">
        <v>0</v>
      </c>
      <c r="Z1502" s="6" t="b">
        <v>1</v>
      </c>
      <c r="AA1502" s="106" t="b">
        <v>0</v>
      </c>
      <c r="AC1502" s="82"/>
      <c r="AD1502" t="str">
        <f>IFNA(IFS(U1502=False,D1502),"")</f>
        <v/>
      </c>
      <c r="AE1502" t="str">
        <f>IFNA(IFS(U1502=false,H1502),"")</f>
        <v/>
      </c>
    </row>
    <row r="1503" hidden="1">
      <c r="A1503" s="6">
        <v>1.0</v>
      </c>
      <c r="B1503" s="86" t="s">
        <v>8287</v>
      </c>
      <c r="C1503" s="86" t="s">
        <v>408</v>
      </c>
      <c r="D1503" s="87" t="s">
        <v>8354</v>
      </c>
      <c r="H1503" s="473" t="s">
        <v>135</v>
      </c>
      <c r="I1503" s="474"/>
      <c r="J1503" s="475"/>
      <c r="K1503" s="275" t="str">
        <f>IFNA(VLOOKUP(D1503,'EAN Codes'!A:C,2,False),"")</f>
        <v/>
      </c>
      <c r="L1503" s="82"/>
      <c r="M1503" s="476" t="b">
        <v>0</v>
      </c>
      <c r="N1503" s="477" t="b">
        <v>0</v>
      </c>
      <c r="O1503" s="477" t="b">
        <v>0</v>
      </c>
      <c r="P1503" s="477" t="b">
        <v>0</v>
      </c>
      <c r="Q1503" s="477" t="b">
        <v>0</v>
      </c>
      <c r="R1503" s="539"/>
      <c r="S1503" s="540"/>
      <c r="T1503" s="480">
        <v>308257.0</v>
      </c>
      <c r="U1503" s="481" t="b">
        <v>1</v>
      </c>
      <c r="Z1503" t="b">
        <v>0</v>
      </c>
      <c r="AA1503" t="b">
        <v>0</v>
      </c>
    </row>
    <row r="1504" hidden="1">
      <c r="A1504" s="6">
        <v>1.0</v>
      </c>
      <c r="B1504" s="106" t="s">
        <v>8287</v>
      </c>
      <c r="C1504" s="106" t="s">
        <v>408</v>
      </c>
      <c r="D1504" s="273" t="s">
        <v>9061</v>
      </c>
      <c r="H1504" s="473" t="s">
        <v>135</v>
      </c>
      <c r="I1504" s="474"/>
      <c r="J1504" s="475"/>
      <c r="K1504" s="275" t="str">
        <f>IFNA(VLOOKUP(D1504,'EAN Codes'!A:C,2,False),"")</f>
        <v/>
      </c>
      <c r="L1504" s="82"/>
      <c r="M1504" s="476" t="b">
        <v>0</v>
      </c>
      <c r="N1504" s="477" t="b">
        <v>0</v>
      </c>
      <c r="O1504" s="477" t="b">
        <v>0</v>
      </c>
      <c r="P1504" s="477" t="b">
        <v>0</v>
      </c>
      <c r="Q1504" s="477" t="b">
        <v>0</v>
      </c>
      <c r="R1504" s="539"/>
      <c r="S1504" s="540"/>
      <c r="T1504" s="480">
        <v>370117.0</v>
      </c>
      <c r="U1504" s="481" t="b">
        <v>1</v>
      </c>
      <c r="Z1504" t="b">
        <v>0</v>
      </c>
      <c r="AA1504" t="b">
        <v>0</v>
      </c>
    </row>
    <row r="1505" hidden="1">
      <c r="A1505" s="6">
        <v>1.0</v>
      </c>
      <c r="B1505" s="106" t="s">
        <v>8287</v>
      </c>
      <c r="C1505" s="106" t="s">
        <v>408</v>
      </c>
      <c r="D1505" s="273" t="s">
        <v>9063</v>
      </c>
      <c r="H1505" s="473" t="s">
        <v>135</v>
      </c>
      <c r="I1505" s="474"/>
      <c r="J1505" s="475"/>
      <c r="K1505" s="275" t="str">
        <f>IFNA(VLOOKUP(D1505,'EAN Codes'!A:C,2,False),"")</f>
        <v/>
      </c>
      <c r="L1505" s="82"/>
      <c r="M1505" s="476" t="b">
        <v>0</v>
      </c>
      <c r="N1505" s="477" t="b">
        <v>0</v>
      </c>
      <c r="O1505" s="477" t="b">
        <v>0</v>
      </c>
      <c r="P1505" s="477" t="b">
        <v>0</v>
      </c>
      <c r="Q1505" s="477" t="b">
        <v>0</v>
      </c>
      <c r="R1505" s="539"/>
      <c r="S1505" s="540"/>
      <c r="T1505" s="480">
        <v>308298.0</v>
      </c>
      <c r="U1505" s="481" t="b">
        <v>1</v>
      </c>
      <c r="Z1505" t="b">
        <v>0</v>
      </c>
      <c r="AA1505" t="b">
        <v>0</v>
      </c>
    </row>
    <row r="1506" hidden="1">
      <c r="A1506" s="6">
        <v>1.0</v>
      </c>
      <c r="B1506" s="6" t="s">
        <v>4408</v>
      </c>
      <c r="C1506" s="6" t="s">
        <v>408</v>
      </c>
      <c r="D1506" s="127" t="s">
        <v>9079</v>
      </c>
      <c r="H1506" s="473" t="s">
        <v>135</v>
      </c>
      <c r="I1506" s="473" t="s">
        <v>9080</v>
      </c>
      <c r="J1506" s="475"/>
      <c r="K1506" s="275" t="str">
        <f>IFNA(VLOOKUP(D1506,'EAN Codes'!A:C,2,False),"")</f>
        <v/>
      </c>
      <c r="L1506" s="82"/>
      <c r="M1506" s="476" t="b">
        <v>0</v>
      </c>
      <c r="N1506" s="477" t="b">
        <v>0</v>
      </c>
      <c r="O1506" s="477" t="b">
        <v>0</v>
      </c>
      <c r="P1506" s="477" t="b">
        <v>0</v>
      </c>
      <c r="Q1506" s="477" t="b">
        <v>0</v>
      </c>
      <c r="R1506" s="539"/>
      <c r="S1506" s="540"/>
      <c r="T1506" s="480">
        <v>370043.0</v>
      </c>
      <c r="U1506" s="481" t="b">
        <v>1</v>
      </c>
      <c r="Z1506" t="b">
        <v>0</v>
      </c>
      <c r="AA1506" t="b">
        <v>0</v>
      </c>
    </row>
    <row r="1507" hidden="1">
      <c r="A1507" s="6">
        <v>1.0</v>
      </c>
      <c r="B1507" s="6" t="s">
        <v>241</v>
      </c>
      <c r="C1507" s="6" t="s">
        <v>1813</v>
      </c>
      <c r="D1507" s="127" t="s">
        <v>2832</v>
      </c>
      <c r="E1507" s="6" t="s">
        <v>346</v>
      </c>
      <c r="F1507" s="6" t="s">
        <v>2808</v>
      </c>
      <c r="H1507" s="473" t="s">
        <v>472</v>
      </c>
      <c r="I1507" s="473" t="s">
        <v>9081</v>
      </c>
      <c r="J1507" s="475"/>
      <c r="K1507" s="275" t="str">
        <f>IFNA(VLOOKUP(D1507,'EAN Codes'!A:C,2,False),"")</f>
        <v/>
      </c>
      <c r="L1507" s="82"/>
      <c r="M1507" s="476" t="b">
        <v>0</v>
      </c>
      <c r="N1507" s="477" t="b">
        <v>0</v>
      </c>
      <c r="O1507" s="477" t="b">
        <v>0</v>
      </c>
      <c r="P1507" s="477" t="b">
        <v>0</v>
      </c>
      <c r="Q1507" s="477" t="b">
        <v>0</v>
      </c>
      <c r="R1507" s="478" t="s">
        <v>8078</v>
      </c>
      <c r="S1507" s="540"/>
      <c r="T1507" s="480" t="s">
        <v>9082</v>
      </c>
      <c r="U1507" s="481" t="b">
        <v>1</v>
      </c>
      <c r="Z1507" t="b">
        <v>0</v>
      </c>
      <c r="AA1507" t="b">
        <v>0</v>
      </c>
    </row>
    <row r="1508" hidden="1">
      <c r="A1508" s="6">
        <v>1.0</v>
      </c>
      <c r="B1508" s="86" t="s">
        <v>241</v>
      </c>
      <c r="C1508" s="86" t="s">
        <v>342</v>
      </c>
      <c r="D1508" s="87" t="s">
        <v>2006</v>
      </c>
      <c r="E1508" s="86" t="s">
        <v>346</v>
      </c>
      <c r="F1508" s="86" t="s">
        <v>9083</v>
      </c>
      <c r="G1508" s="91"/>
      <c r="H1508" s="86" t="s">
        <v>9084</v>
      </c>
      <c r="I1508" s="473" t="s">
        <v>9085</v>
      </c>
      <c r="J1508" s="475"/>
      <c r="K1508" s="275" t="str">
        <f>IFNA(VLOOKUP(D1508,'EAN Codes'!A:C,2,False),"")</f>
        <v>5907615801198</v>
      </c>
      <c r="L1508" s="82"/>
      <c r="M1508" s="496" t="b">
        <v>1</v>
      </c>
      <c r="N1508" s="477" t="b">
        <v>0</v>
      </c>
      <c r="O1508" s="477" t="b">
        <v>0</v>
      </c>
      <c r="P1508" s="477" t="b">
        <v>0</v>
      </c>
      <c r="Q1508" s="477" t="b">
        <v>0</v>
      </c>
      <c r="R1508" s="539"/>
      <c r="S1508" s="540"/>
      <c r="T1508" s="480">
        <v>308336.0</v>
      </c>
      <c r="U1508" s="481" t="b">
        <v>1</v>
      </c>
      <c r="Z1508" t="b">
        <v>0</v>
      </c>
      <c r="AA1508" t="b">
        <v>0</v>
      </c>
    </row>
    <row r="1509" hidden="1">
      <c r="A1509" s="6">
        <v>1.0</v>
      </c>
      <c r="B1509" s="86" t="s">
        <v>8287</v>
      </c>
      <c r="C1509" s="86" t="s">
        <v>408</v>
      </c>
      <c r="D1509" s="87" t="s">
        <v>8358</v>
      </c>
      <c r="H1509" s="473" t="s">
        <v>135</v>
      </c>
      <c r="I1509" s="474"/>
      <c r="J1509" s="475"/>
      <c r="K1509" s="275" t="str">
        <f>IFNA(VLOOKUP(D1509,'EAN Codes'!A:C,2,False),"")</f>
        <v/>
      </c>
      <c r="L1509" s="82"/>
      <c r="M1509" s="476" t="b">
        <v>0</v>
      </c>
      <c r="N1509" s="477" t="b">
        <v>0</v>
      </c>
      <c r="O1509" s="477" t="b">
        <v>0</v>
      </c>
      <c r="P1509" s="477" t="b">
        <v>0</v>
      </c>
      <c r="Q1509" s="477" t="b">
        <v>0</v>
      </c>
      <c r="R1509" s="539"/>
      <c r="S1509" s="540"/>
      <c r="T1509" s="480">
        <v>308287.0</v>
      </c>
      <c r="U1509" s="481" t="b">
        <v>1</v>
      </c>
      <c r="Z1509" t="b">
        <v>0</v>
      </c>
      <c r="AA1509" t="b">
        <v>0</v>
      </c>
    </row>
    <row r="1510" hidden="1">
      <c r="A1510" s="6">
        <v>1.0</v>
      </c>
      <c r="B1510" s="86" t="s">
        <v>8287</v>
      </c>
      <c r="C1510" s="86" t="s">
        <v>408</v>
      </c>
      <c r="D1510" s="87" t="s">
        <v>8354</v>
      </c>
      <c r="H1510" s="473" t="s">
        <v>135</v>
      </c>
      <c r="I1510" s="474"/>
      <c r="J1510" s="475"/>
      <c r="K1510" s="275" t="str">
        <f>IFNA(VLOOKUP(D1510,'EAN Codes'!A:C,2,False),"")</f>
        <v/>
      </c>
      <c r="L1510" s="82"/>
      <c r="M1510" s="476" t="b">
        <v>0</v>
      </c>
      <c r="N1510" s="477" t="b">
        <v>0</v>
      </c>
      <c r="O1510" s="477" t="b">
        <v>0</v>
      </c>
      <c r="P1510" s="477" t="b">
        <v>0</v>
      </c>
      <c r="Q1510" s="477" t="b">
        <v>0</v>
      </c>
      <c r="R1510" s="539"/>
      <c r="S1510" s="540"/>
      <c r="T1510" s="480">
        <v>308248.0</v>
      </c>
      <c r="U1510" s="481" t="b">
        <v>1</v>
      </c>
      <c r="V1510" s="6" t="s">
        <v>9086</v>
      </c>
      <c r="Z1510" t="b">
        <v>0</v>
      </c>
      <c r="AA1510" t="b">
        <v>0</v>
      </c>
    </row>
    <row r="1511">
      <c r="B1511" s="86"/>
      <c r="C1511" s="86"/>
      <c r="D1511" s="87"/>
      <c r="E1511" s="101"/>
      <c r="F1511" s="101"/>
      <c r="H1511" s="473"/>
      <c r="I1511" s="474"/>
      <c r="J1511" s="475"/>
      <c r="K1511" s="275" t="str">
        <f>IFNA(VLOOKUP(D1511,'EAN Codes'!A:C,2,False),"")</f>
        <v/>
      </c>
      <c r="L1511" s="82"/>
      <c r="M1511" s="476" t="b">
        <v>0</v>
      </c>
      <c r="N1511" s="477" t="b">
        <v>0</v>
      </c>
      <c r="O1511" s="477" t="b">
        <v>0</v>
      </c>
      <c r="P1511" s="477" t="b">
        <v>0</v>
      </c>
      <c r="Q1511" s="477" t="b">
        <v>0</v>
      </c>
      <c r="R1511" s="539"/>
      <c r="S1511" s="540"/>
      <c r="T1511" s="543"/>
      <c r="U1511" s="514" t="b">
        <v>0</v>
      </c>
      <c r="Z1511" s="6" t="b">
        <v>1</v>
      </c>
      <c r="AA1511" s="6" t="b">
        <v>0</v>
      </c>
      <c r="AC1511" s="82"/>
      <c r="AD1511" t="str">
        <f>IFNA(IFS(U1511=False,D1511),"")</f>
        <v/>
      </c>
      <c r="AE1511" t="str">
        <f>IFNA(IFS(U1511=false,H1511),"")</f>
        <v/>
      </c>
    </row>
    <row r="1512" hidden="1">
      <c r="A1512" s="6">
        <v>1.0</v>
      </c>
      <c r="B1512" s="106" t="s">
        <v>8287</v>
      </c>
      <c r="C1512" s="106" t="s">
        <v>408</v>
      </c>
      <c r="D1512" s="273" t="s">
        <v>9060</v>
      </c>
      <c r="H1512" s="473" t="s">
        <v>135</v>
      </c>
      <c r="I1512" s="474"/>
      <c r="J1512" s="475"/>
      <c r="K1512" s="275" t="str">
        <f>IFNA(VLOOKUP(D1512,'EAN Codes'!A:C,2,False),"")</f>
        <v/>
      </c>
      <c r="L1512" s="82"/>
      <c r="M1512" s="476" t="b">
        <v>0</v>
      </c>
      <c r="N1512" s="477" t="b">
        <v>0</v>
      </c>
      <c r="O1512" s="477" t="b">
        <v>0</v>
      </c>
      <c r="P1512" s="477" t="b">
        <v>0</v>
      </c>
      <c r="Q1512" s="477" t="b">
        <v>0</v>
      </c>
      <c r="R1512" s="539"/>
      <c r="S1512" s="540"/>
      <c r="T1512" s="480">
        <v>369832.0</v>
      </c>
      <c r="U1512" s="481" t="b">
        <v>1</v>
      </c>
      <c r="Z1512" t="b">
        <v>0</v>
      </c>
      <c r="AA1512" t="b">
        <v>0</v>
      </c>
    </row>
    <row r="1513" hidden="1">
      <c r="A1513" s="6">
        <v>1.0</v>
      </c>
      <c r="B1513" s="106" t="s">
        <v>8287</v>
      </c>
      <c r="C1513" s="106" t="s">
        <v>408</v>
      </c>
      <c r="D1513" s="273" t="s">
        <v>9058</v>
      </c>
      <c r="H1513" s="473" t="s">
        <v>135</v>
      </c>
      <c r="I1513" s="474"/>
      <c r="J1513" s="475"/>
      <c r="K1513" s="275" t="str">
        <f>IFNA(VLOOKUP(D1513,'EAN Codes'!A:C,2,False),"")</f>
        <v/>
      </c>
      <c r="L1513" s="82"/>
      <c r="M1513" s="476" t="b">
        <v>0</v>
      </c>
      <c r="N1513" s="477" t="b">
        <v>0</v>
      </c>
      <c r="O1513" s="477" t="b">
        <v>0</v>
      </c>
      <c r="P1513" s="477" t="b">
        <v>0</v>
      </c>
      <c r="Q1513" s="477" t="b">
        <v>0</v>
      </c>
      <c r="R1513" s="539"/>
      <c r="S1513" s="540"/>
      <c r="T1513" s="543"/>
      <c r="U1513" s="481" t="b">
        <v>1</v>
      </c>
      <c r="Z1513" s="6" t="b">
        <v>1</v>
      </c>
      <c r="AA1513" t="b">
        <v>0</v>
      </c>
      <c r="AC1513" s="82"/>
      <c r="AD1513" t="str">
        <f>IFNA(IFS(U1513=False,D1513),"")</f>
        <v/>
      </c>
      <c r="AE1513" t="str">
        <f>IFNA(IFS(U1513=false,H1513),"")</f>
        <v/>
      </c>
    </row>
    <row r="1514" hidden="1">
      <c r="A1514" s="6">
        <v>1.0</v>
      </c>
      <c r="B1514" s="106" t="s">
        <v>8287</v>
      </c>
      <c r="C1514" s="106" t="s">
        <v>408</v>
      </c>
      <c r="D1514" s="273" t="s">
        <v>9064</v>
      </c>
      <c r="H1514" s="473" t="s">
        <v>135</v>
      </c>
      <c r="I1514" s="474"/>
      <c r="J1514" s="475"/>
      <c r="K1514" s="275" t="str">
        <f>IFNA(VLOOKUP(D1514,'EAN Codes'!A:C,2,False),"")</f>
        <v/>
      </c>
      <c r="L1514" s="82"/>
      <c r="M1514" s="476" t="b">
        <v>0</v>
      </c>
      <c r="N1514" s="477" t="b">
        <v>0</v>
      </c>
      <c r="O1514" s="477" t="b">
        <v>0</v>
      </c>
      <c r="P1514" s="477" t="b">
        <v>0</v>
      </c>
      <c r="Q1514" s="477" t="b">
        <v>0</v>
      </c>
      <c r="R1514" s="539"/>
      <c r="S1514" s="540"/>
      <c r="T1514" s="543"/>
      <c r="U1514" s="481" t="b">
        <v>1</v>
      </c>
      <c r="Z1514" t="b">
        <v>0</v>
      </c>
      <c r="AA1514" t="b">
        <v>0</v>
      </c>
    </row>
    <row r="1515" hidden="1">
      <c r="A1515" s="6">
        <v>1.0</v>
      </c>
      <c r="B1515" s="106" t="s">
        <v>8287</v>
      </c>
      <c r="C1515" s="106" t="s">
        <v>408</v>
      </c>
      <c r="D1515" s="273" t="s">
        <v>8348</v>
      </c>
      <c r="H1515" s="473" t="s">
        <v>135</v>
      </c>
      <c r="I1515" s="474"/>
      <c r="J1515" s="475"/>
      <c r="K1515" s="275" t="str">
        <f>IFNA(VLOOKUP(D1515,'EAN Codes'!A:C,2,False),"")</f>
        <v/>
      </c>
      <c r="L1515" s="82"/>
      <c r="M1515" s="476" t="b">
        <v>0</v>
      </c>
      <c r="N1515" s="477" t="b">
        <v>0</v>
      </c>
      <c r="O1515" s="477" t="b">
        <v>0</v>
      </c>
      <c r="P1515" s="477" t="b">
        <v>0</v>
      </c>
      <c r="Q1515" s="477" t="b">
        <v>0</v>
      </c>
      <c r="R1515" s="539"/>
      <c r="S1515" s="540"/>
      <c r="T1515" s="480">
        <v>308374.0</v>
      </c>
      <c r="U1515" s="481" t="b">
        <v>1</v>
      </c>
      <c r="Z1515" t="b">
        <v>0</v>
      </c>
      <c r="AA1515" t="b">
        <v>0</v>
      </c>
    </row>
    <row r="1516">
      <c r="B1516" s="86"/>
      <c r="C1516" s="86"/>
      <c r="D1516" s="87"/>
      <c r="E1516" s="101"/>
      <c r="F1516" s="101"/>
      <c r="H1516" s="473"/>
      <c r="I1516" s="474"/>
      <c r="J1516" s="475"/>
      <c r="K1516" s="275" t="str">
        <f>IFNA(VLOOKUP(D1516,'EAN Codes'!A:C,2,False),"")</f>
        <v/>
      </c>
      <c r="L1516" s="82"/>
      <c r="M1516" s="476" t="b">
        <v>0</v>
      </c>
      <c r="N1516" s="477" t="b">
        <v>0</v>
      </c>
      <c r="O1516" s="477" t="b">
        <v>0</v>
      </c>
      <c r="P1516" s="477" t="b">
        <v>0</v>
      </c>
      <c r="Q1516" s="477" t="b">
        <v>0</v>
      </c>
      <c r="R1516" s="539"/>
      <c r="S1516" s="540"/>
      <c r="T1516" s="480"/>
      <c r="U1516" s="514" t="b">
        <v>0</v>
      </c>
      <c r="Z1516" s="6" t="b">
        <v>1</v>
      </c>
      <c r="AA1516" s="6" t="b">
        <v>0</v>
      </c>
      <c r="AC1516" s="82"/>
      <c r="AD1516" t="str">
        <f>IFNA(IFS(U1516=False,D1516),"")</f>
        <v/>
      </c>
      <c r="AE1516" t="str">
        <f>IFNA(IFS(U1516=false,H1516),"")</f>
        <v/>
      </c>
    </row>
    <row r="1517" hidden="1">
      <c r="A1517" s="6">
        <v>1.0</v>
      </c>
      <c r="B1517" s="6" t="s">
        <v>181</v>
      </c>
      <c r="C1517" s="6" t="s">
        <v>1116</v>
      </c>
      <c r="D1517" s="127" t="s">
        <v>9087</v>
      </c>
      <c r="F1517" s="6" t="s">
        <v>6974</v>
      </c>
      <c r="H1517" s="473" t="s">
        <v>135</v>
      </c>
      <c r="I1517" s="473" t="s">
        <v>9087</v>
      </c>
      <c r="J1517" s="475"/>
      <c r="K1517" s="275" t="str">
        <f>IFNA(VLOOKUP(D1517,'EAN Codes'!A:C,2,False),"")</f>
        <v>8717323048719</v>
      </c>
      <c r="L1517" s="82"/>
      <c r="M1517" s="476" t="b">
        <v>0</v>
      </c>
      <c r="N1517" s="477" t="b">
        <v>0</v>
      </c>
      <c r="O1517" s="477" t="b">
        <v>0</v>
      </c>
      <c r="P1517" s="477" t="b">
        <v>0</v>
      </c>
      <c r="Q1517" s="497" t="b">
        <v>1</v>
      </c>
      <c r="R1517" s="539"/>
      <c r="S1517" s="540"/>
      <c r="T1517" s="480"/>
      <c r="U1517" s="481" t="b">
        <v>1</v>
      </c>
      <c r="Z1517" t="b">
        <v>0</v>
      </c>
      <c r="AA1517" t="b">
        <v>0</v>
      </c>
    </row>
    <row r="1518" hidden="1">
      <c r="A1518" s="6">
        <v>1.0</v>
      </c>
      <c r="B1518" s="99" t="s">
        <v>241</v>
      </c>
      <c r="C1518" s="99" t="s">
        <v>342</v>
      </c>
      <c r="D1518" s="100" t="s">
        <v>4564</v>
      </c>
      <c r="H1518" s="473" t="s">
        <v>8270</v>
      </c>
      <c r="I1518" s="473" t="s">
        <v>9088</v>
      </c>
      <c r="J1518" s="475"/>
      <c r="K1518" s="275" t="str">
        <f>IFNA(VLOOKUP(D1518,'EAN Codes'!A:C,2,False),"")</f>
        <v>5907615827013</v>
      </c>
      <c r="L1518" s="82"/>
      <c r="M1518" s="476" t="b">
        <v>0</v>
      </c>
      <c r="N1518" s="477" t="b">
        <v>0</v>
      </c>
      <c r="O1518" s="477" t="b">
        <v>0</v>
      </c>
      <c r="P1518" s="477" t="b">
        <v>0</v>
      </c>
      <c r="Q1518" s="477" t="b">
        <v>0</v>
      </c>
      <c r="R1518" s="539"/>
      <c r="S1518" s="540"/>
      <c r="T1518" s="480" t="s">
        <v>9089</v>
      </c>
      <c r="U1518" s="481" t="b">
        <v>1</v>
      </c>
      <c r="Z1518" t="b">
        <v>0</v>
      </c>
      <c r="AA1518" t="b">
        <v>0</v>
      </c>
    </row>
    <row r="1519" hidden="1">
      <c r="A1519" s="6">
        <v>1.0</v>
      </c>
      <c r="B1519" s="86" t="s">
        <v>8287</v>
      </c>
      <c r="C1519" s="86" t="s">
        <v>408</v>
      </c>
      <c r="D1519" s="87" t="s">
        <v>8358</v>
      </c>
      <c r="H1519" s="473"/>
      <c r="I1519" s="474"/>
      <c r="J1519" s="475"/>
      <c r="K1519" s="275" t="str">
        <f>IFNA(VLOOKUP(D1519,'EAN Codes'!A:C,2,False),"")</f>
        <v/>
      </c>
      <c r="L1519" s="82"/>
      <c r="M1519" s="476" t="b">
        <v>0</v>
      </c>
      <c r="N1519" s="477" t="b">
        <v>0</v>
      </c>
      <c r="O1519" s="477" t="b">
        <v>0</v>
      </c>
      <c r="P1519" s="477" t="b">
        <v>0</v>
      </c>
      <c r="Q1519" s="477" t="b">
        <v>0</v>
      </c>
      <c r="R1519" s="539"/>
      <c r="S1519" s="540"/>
      <c r="T1519" s="480">
        <v>369574.0</v>
      </c>
      <c r="U1519" s="481" t="b">
        <v>1</v>
      </c>
      <c r="Z1519" t="b">
        <v>0</v>
      </c>
      <c r="AA1519" t="b">
        <v>0</v>
      </c>
    </row>
    <row r="1520" hidden="1">
      <c r="A1520" s="623">
        <v>1.0</v>
      </c>
      <c r="B1520" s="623" t="s">
        <v>241</v>
      </c>
      <c r="C1520" s="622"/>
      <c r="D1520" s="652"/>
      <c r="E1520" s="622"/>
      <c r="F1520" s="622"/>
      <c r="G1520" s="622"/>
      <c r="H1520" s="624" t="s">
        <v>149</v>
      </c>
      <c r="I1520" s="624" t="s">
        <v>9090</v>
      </c>
      <c r="J1520" s="508" t="s">
        <v>9091</v>
      </c>
      <c r="K1520" s="275" t="str">
        <f>IFNA(VLOOKUP(D1520,'EAN Codes'!A:C,2,False),"")</f>
        <v/>
      </c>
      <c r="L1520" s="82"/>
      <c r="M1520" s="476" t="b">
        <v>0</v>
      </c>
      <c r="N1520" s="477" t="b">
        <v>0</v>
      </c>
      <c r="O1520" s="477" t="b">
        <v>0</v>
      </c>
      <c r="P1520" s="477" t="b">
        <v>0</v>
      </c>
      <c r="Q1520" s="477" t="b">
        <v>0</v>
      </c>
      <c r="R1520" s="478" t="s">
        <v>9092</v>
      </c>
      <c r="S1520" s="540"/>
      <c r="T1520" s="543"/>
      <c r="U1520" s="481" t="b">
        <v>1</v>
      </c>
      <c r="Z1520" t="b">
        <v>0</v>
      </c>
      <c r="AA1520" t="b">
        <v>0</v>
      </c>
    </row>
    <row r="1521" hidden="1">
      <c r="A1521" s="6">
        <v>1.0</v>
      </c>
      <c r="B1521" s="6" t="s">
        <v>181</v>
      </c>
      <c r="C1521" s="6" t="s">
        <v>1116</v>
      </c>
      <c r="D1521" s="127" t="s">
        <v>9093</v>
      </c>
      <c r="H1521" s="473"/>
      <c r="I1521" s="473" t="s">
        <v>9094</v>
      </c>
      <c r="J1521" s="473" t="s">
        <v>9095</v>
      </c>
      <c r="K1521" s="275" t="str">
        <f>IFNA(VLOOKUP(D1521,'EAN Codes'!A:C,2,False),"")</f>
        <v/>
      </c>
      <c r="L1521" s="82"/>
      <c r="M1521" s="476" t="b">
        <v>0</v>
      </c>
      <c r="N1521" s="477" t="b">
        <v>0</v>
      </c>
      <c r="O1521" s="477" t="b">
        <v>0</v>
      </c>
      <c r="P1521" s="477" t="b">
        <v>0</v>
      </c>
      <c r="Q1521" s="477" t="b">
        <v>0</v>
      </c>
      <c r="R1521" s="539"/>
      <c r="S1521" s="540"/>
      <c r="T1521" s="543"/>
      <c r="U1521" s="481" t="b">
        <v>1</v>
      </c>
      <c r="Z1521" t="b">
        <v>0</v>
      </c>
      <c r="AA1521" t="b">
        <v>0</v>
      </c>
    </row>
    <row r="1522" hidden="1">
      <c r="A1522" s="99">
        <v>1.0</v>
      </c>
      <c r="B1522" s="99" t="s">
        <v>241</v>
      </c>
      <c r="C1522" s="101"/>
      <c r="D1522" s="100" t="s">
        <v>9096</v>
      </c>
      <c r="E1522" s="101"/>
      <c r="F1522" s="101"/>
      <c r="G1522" s="101"/>
      <c r="H1522" s="487" t="s">
        <v>307</v>
      </c>
      <c r="I1522" s="487" t="s">
        <v>9097</v>
      </c>
      <c r="J1522" s="542"/>
      <c r="K1522" s="90" t="str">
        <f>IFNA(VLOOKUP(D1522,'EAN Codes'!A:C,2,False),"")</f>
        <v/>
      </c>
      <c r="L1522" s="101"/>
      <c r="M1522" s="575" t="b">
        <v>0</v>
      </c>
      <c r="N1522" s="577" t="b">
        <v>1</v>
      </c>
      <c r="O1522" s="576" t="b">
        <v>0</v>
      </c>
      <c r="P1522" s="576" t="b">
        <v>0</v>
      </c>
      <c r="Q1522" s="576" t="b">
        <v>0</v>
      </c>
      <c r="R1522" s="503" t="s">
        <v>9098</v>
      </c>
      <c r="S1522" s="545"/>
      <c r="T1522" s="578"/>
      <c r="U1522" s="579" t="b">
        <v>1</v>
      </c>
      <c r="V1522" s="101"/>
      <c r="W1522" s="101"/>
      <c r="X1522" s="101"/>
      <c r="Y1522" s="101"/>
      <c r="Z1522" s="101" t="b">
        <v>0</v>
      </c>
      <c r="AA1522" t="b">
        <v>0</v>
      </c>
      <c r="AB1522" s="101"/>
      <c r="AC1522" s="101"/>
      <c r="AD1522" s="101"/>
      <c r="AE1522" s="101"/>
    </row>
    <row r="1523" hidden="1">
      <c r="A1523" s="6">
        <v>1.0</v>
      </c>
      <c r="B1523" s="86" t="s">
        <v>8287</v>
      </c>
      <c r="C1523" s="86" t="s">
        <v>408</v>
      </c>
      <c r="D1523" s="87" t="s">
        <v>8354</v>
      </c>
      <c r="H1523" s="473" t="s">
        <v>135</v>
      </c>
      <c r="I1523" s="474"/>
      <c r="J1523" s="475"/>
      <c r="K1523" s="275" t="str">
        <f>IFNA(VLOOKUP(D1523,'EAN Codes'!A:C,2,False),"")</f>
        <v/>
      </c>
      <c r="L1523" s="82"/>
      <c r="M1523" s="476" t="b">
        <v>0</v>
      </c>
      <c r="N1523" s="477" t="b">
        <v>0</v>
      </c>
      <c r="O1523" s="477" t="b">
        <v>0</v>
      </c>
      <c r="P1523" s="477" t="b">
        <v>0</v>
      </c>
      <c r="Q1523" s="477" t="b">
        <v>0</v>
      </c>
      <c r="R1523" s="539"/>
      <c r="S1523" s="540"/>
      <c r="T1523" s="480">
        <v>369989.0</v>
      </c>
      <c r="U1523" s="481" t="b">
        <v>1</v>
      </c>
      <c r="Z1523" t="b">
        <v>0</v>
      </c>
      <c r="AA1523" t="b">
        <v>0</v>
      </c>
    </row>
    <row r="1524" hidden="1">
      <c r="A1524" s="6">
        <v>1.0</v>
      </c>
      <c r="B1524" s="86" t="s">
        <v>8287</v>
      </c>
      <c r="C1524" s="86" t="s">
        <v>408</v>
      </c>
      <c r="D1524" s="87" t="s">
        <v>9048</v>
      </c>
      <c r="E1524" s="101"/>
      <c r="F1524" s="101"/>
      <c r="G1524" s="101"/>
      <c r="H1524" s="487" t="s">
        <v>135</v>
      </c>
      <c r="I1524" s="474"/>
      <c r="J1524" s="475"/>
      <c r="K1524" s="275" t="str">
        <f>IFNA(VLOOKUP(D1524,'EAN Codes'!A:C,2,False),"")</f>
        <v/>
      </c>
      <c r="L1524" s="82"/>
      <c r="M1524" s="476" t="b">
        <v>0</v>
      </c>
      <c r="N1524" s="477" t="b">
        <v>0</v>
      </c>
      <c r="O1524" s="477" t="b">
        <v>0</v>
      </c>
      <c r="P1524" s="477" t="b">
        <v>0</v>
      </c>
      <c r="Q1524" s="477" t="b">
        <v>0</v>
      </c>
      <c r="R1524" s="539"/>
      <c r="S1524" s="540"/>
      <c r="T1524" s="480" t="s">
        <v>9099</v>
      </c>
      <c r="U1524" s="481" t="b">
        <v>1</v>
      </c>
      <c r="Z1524" t="b">
        <v>0</v>
      </c>
      <c r="AA1524" t="b">
        <v>0</v>
      </c>
    </row>
    <row r="1525" hidden="1">
      <c r="A1525" s="6">
        <v>1.0</v>
      </c>
      <c r="B1525" s="99" t="s">
        <v>181</v>
      </c>
      <c r="C1525" s="99" t="s">
        <v>1116</v>
      </c>
      <c r="D1525" s="100" t="s">
        <v>8446</v>
      </c>
      <c r="H1525" s="473" t="s">
        <v>135</v>
      </c>
      <c r="I1525" s="474"/>
      <c r="J1525" s="475"/>
      <c r="K1525" s="275" t="str">
        <f>IFNA(VLOOKUP(D1525,'EAN Codes'!A:C,2,False),"")</f>
        <v/>
      </c>
      <c r="L1525" s="82"/>
      <c r="M1525" s="476" t="b">
        <v>0</v>
      </c>
      <c r="N1525" s="477" t="b">
        <v>0</v>
      </c>
      <c r="O1525" s="497" t="b">
        <v>1</v>
      </c>
      <c r="P1525" s="477" t="b">
        <v>0</v>
      </c>
      <c r="Q1525" s="477" t="b">
        <v>0</v>
      </c>
      <c r="R1525" s="539"/>
      <c r="S1525" s="540"/>
      <c r="T1525" s="480" t="s">
        <v>9100</v>
      </c>
      <c r="U1525" s="481" t="b">
        <v>1</v>
      </c>
      <c r="Z1525" t="b">
        <v>0</v>
      </c>
      <c r="AA1525" t="b">
        <v>0</v>
      </c>
    </row>
    <row r="1526" hidden="1">
      <c r="A1526" s="6">
        <v>1.0</v>
      </c>
      <c r="B1526" s="99" t="s">
        <v>181</v>
      </c>
      <c r="C1526" s="99" t="s">
        <v>1116</v>
      </c>
      <c r="D1526" s="100" t="s">
        <v>8446</v>
      </c>
      <c r="H1526" s="473" t="s">
        <v>135</v>
      </c>
      <c r="I1526" s="474"/>
      <c r="J1526" s="475"/>
      <c r="K1526" s="275" t="str">
        <f>IFNA(VLOOKUP(D1526,'EAN Codes'!A:C,2,False),"")</f>
        <v/>
      </c>
      <c r="L1526" s="82"/>
      <c r="M1526" s="476" t="b">
        <v>0</v>
      </c>
      <c r="N1526" s="477" t="b">
        <v>0</v>
      </c>
      <c r="O1526" s="497" t="b">
        <v>1</v>
      </c>
      <c r="P1526" s="477" t="b">
        <v>0</v>
      </c>
      <c r="Q1526" s="497" t="b">
        <v>1</v>
      </c>
      <c r="R1526" s="539"/>
      <c r="S1526" s="540"/>
      <c r="T1526" s="480" t="s">
        <v>9101</v>
      </c>
      <c r="U1526" s="481" t="b">
        <v>1</v>
      </c>
      <c r="Z1526" t="b">
        <v>0</v>
      </c>
      <c r="AA1526" t="b">
        <v>0</v>
      </c>
    </row>
    <row r="1527" hidden="1">
      <c r="A1527" s="6">
        <v>1.0</v>
      </c>
      <c r="B1527" s="99" t="s">
        <v>241</v>
      </c>
      <c r="C1527" s="99" t="s">
        <v>4382</v>
      </c>
      <c r="D1527" s="100" t="s">
        <v>9102</v>
      </c>
      <c r="H1527" s="473" t="s">
        <v>132</v>
      </c>
      <c r="I1527" s="473" t="s">
        <v>9103</v>
      </c>
      <c r="J1527" s="508" t="s">
        <v>9104</v>
      </c>
      <c r="K1527" s="275" t="str">
        <f>IFNA(VLOOKUP(D1527,'EAN Codes'!A:C,2,False),"")</f>
        <v/>
      </c>
      <c r="L1527" s="82"/>
      <c r="M1527" s="476" t="b">
        <v>0</v>
      </c>
      <c r="N1527" s="497" t="b">
        <v>1</v>
      </c>
      <c r="O1527" s="477" t="b">
        <v>0</v>
      </c>
      <c r="P1527" s="477" t="b">
        <v>0</v>
      </c>
      <c r="Q1527" s="477" t="b">
        <v>0</v>
      </c>
      <c r="R1527" s="539"/>
      <c r="S1527" s="479" t="s">
        <v>9105</v>
      </c>
      <c r="T1527" s="543"/>
      <c r="U1527" s="481" t="b">
        <v>1</v>
      </c>
      <c r="Z1527" t="b">
        <v>0</v>
      </c>
      <c r="AA1527" t="b">
        <v>0</v>
      </c>
    </row>
    <row r="1528" hidden="1">
      <c r="A1528" s="99">
        <v>1.0</v>
      </c>
      <c r="B1528" s="99" t="s">
        <v>241</v>
      </c>
      <c r="C1528" s="99" t="s">
        <v>1217</v>
      </c>
      <c r="D1528" s="100" t="s">
        <v>9106</v>
      </c>
      <c r="E1528" s="101"/>
      <c r="F1528" s="99" t="s">
        <v>7579</v>
      </c>
      <c r="G1528" s="101"/>
      <c r="H1528" s="487" t="s">
        <v>380</v>
      </c>
      <c r="I1528" s="488"/>
      <c r="J1528" s="542"/>
      <c r="K1528" s="90" t="str">
        <f>IFNA(VLOOKUP(D1528,'EAN Codes'!A:C,2,False),"")</f>
        <v>66427</v>
      </c>
      <c r="L1528" s="101"/>
      <c r="M1528" s="575" t="b">
        <v>0</v>
      </c>
      <c r="N1528" s="576" t="b">
        <v>0</v>
      </c>
      <c r="O1528" s="576" t="b">
        <v>0</v>
      </c>
      <c r="P1528" s="577" t="b">
        <v>0</v>
      </c>
      <c r="Q1528" s="576" t="b">
        <v>0</v>
      </c>
      <c r="R1528" s="544"/>
      <c r="S1528" s="545"/>
      <c r="T1528" s="578"/>
      <c r="U1528" s="579" t="b">
        <v>1</v>
      </c>
      <c r="V1528" s="99" t="s">
        <v>9107</v>
      </c>
      <c r="W1528" s="101"/>
      <c r="X1528" s="101"/>
      <c r="Y1528" s="101"/>
      <c r="Z1528" s="101" t="b">
        <v>0</v>
      </c>
      <c r="AA1528" t="b">
        <v>0</v>
      </c>
      <c r="AB1528" s="101"/>
      <c r="AC1528" s="101"/>
      <c r="AD1528" s="101"/>
      <c r="AE1528" s="101"/>
    </row>
    <row r="1529" hidden="1">
      <c r="A1529" s="6">
        <v>1.0</v>
      </c>
      <c r="B1529" s="99" t="s">
        <v>241</v>
      </c>
      <c r="C1529" s="99" t="s">
        <v>342</v>
      </c>
      <c r="D1529" s="100" t="s">
        <v>2382</v>
      </c>
      <c r="H1529" s="410" t="s">
        <v>380</v>
      </c>
      <c r="I1529" s="473" t="s">
        <v>9108</v>
      </c>
      <c r="J1529" s="508" t="s">
        <v>9109</v>
      </c>
      <c r="K1529" s="275" t="str">
        <f>IFNA(VLOOKUP(D1529,'EAN Codes'!A:C,2,False),"")</f>
        <v>5907615801358</v>
      </c>
      <c r="L1529" s="82"/>
      <c r="M1529" s="476" t="b">
        <v>0</v>
      </c>
      <c r="N1529" s="477" t="b">
        <v>0</v>
      </c>
      <c r="O1529" s="477" t="b">
        <v>0</v>
      </c>
      <c r="P1529" s="477" t="b">
        <v>0</v>
      </c>
      <c r="Q1529" s="477" t="b">
        <v>0</v>
      </c>
      <c r="R1529" s="539"/>
      <c r="S1529" s="540"/>
      <c r="T1529" s="480" t="s">
        <v>9108</v>
      </c>
      <c r="U1529" s="481" t="b">
        <v>1</v>
      </c>
      <c r="V1529" s="6" t="s">
        <v>9110</v>
      </c>
      <c r="Z1529" t="b">
        <v>0</v>
      </c>
      <c r="AA1529" t="b">
        <v>0</v>
      </c>
    </row>
    <row r="1530" hidden="1">
      <c r="A1530" s="6">
        <v>1.0</v>
      </c>
      <c r="B1530" s="653" t="s">
        <v>8287</v>
      </c>
      <c r="C1530" s="653" t="s">
        <v>7548</v>
      </c>
      <c r="D1530" s="127" t="s">
        <v>8375</v>
      </c>
      <c r="H1530" s="473" t="s">
        <v>135</v>
      </c>
      <c r="I1530" s="474"/>
      <c r="J1530" s="475"/>
      <c r="K1530" s="275" t="str">
        <f>IFNA(VLOOKUP(D1530,'EAN Codes'!A:C,2,False),"")</f>
        <v/>
      </c>
      <c r="L1530" s="82"/>
      <c r="M1530" s="476" t="b">
        <v>0</v>
      </c>
      <c r="N1530" s="477" t="b">
        <v>0</v>
      </c>
      <c r="O1530" s="477" t="b">
        <v>0</v>
      </c>
      <c r="P1530" s="477" t="b">
        <v>0</v>
      </c>
      <c r="Q1530" s="477" t="b">
        <v>0</v>
      </c>
      <c r="R1530" s="539"/>
      <c r="S1530" s="540"/>
      <c r="T1530" s="480">
        <v>369612.0</v>
      </c>
      <c r="U1530" s="481" t="b">
        <v>1</v>
      </c>
      <c r="Z1530" t="b">
        <v>0</v>
      </c>
      <c r="AA1530" t="b">
        <v>0</v>
      </c>
    </row>
    <row r="1531" hidden="1">
      <c r="A1531" s="6">
        <v>1.0</v>
      </c>
      <c r="B1531" s="6" t="s">
        <v>241</v>
      </c>
      <c r="C1531" s="6" t="s">
        <v>7548</v>
      </c>
      <c r="D1531" s="127" t="s">
        <v>9111</v>
      </c>
      <c r="E1531" s="6" t="s">
        <v>9112</v>
      </c>
      <c r="H1531" s="473" t="s">
        <v>135</v>
      </c>
      <c r="I1531" s="473">
        <v>308283.0</v>
      </c>
      <c r="J1531" s="508" t="s">
        <v>9113</v>
      </c>
      <c r="K1531" s="275" t="str">
        <f>IFNA(VLOOKUP(D1531,'EAN Codes'!A:C,2,False),"")</f>
        <v/>
      </c>
      <c r="L1531" s="82"/>
      <c r="M1531" s="476" t="b">
        <v>0</v>
      </c>
      <c r="N1531" s="477" t="b">
        <v>0</v>
      </c>
      <c r="O1531" s="477" t="b">
        <v>0</v>
      </c>
      <c r="P1531" s="477" t="b">
        <v>0</v>
      </c>
      <c r="Q1531" s="477" t="b">
        <v>0</v>
      </c>
      <c r="R1531" s="539"/>
      <c r="S1531" s="540"/>
      <c r="T1531" s="543"/>
      <c r="U1531" s="481" t="b">
        <v>1</v>
      </c>
      <c r="Z1531" s="6" t="b">
        <v>1</v>
      </c>
      <c r="AA1531" t="b">
        <v>0</v>
      </c>
      <c r="AC1531" s="82"/>
      <c r="AD1531" t="str">
        <f>IFNA(IFS(U1531=False,D1531),"")</f>
        <v/>
      </c>
      <c r="AE1531" t="str">
        <f>IFNA(IFS(U1531=false,H1531),"")</f>
        <v/>
      </c>
    </row>
    <row r="1532" hidden="1">
      <c r="A1532" s="6">
        <v>1.0</v>
      </c>
      <c r="B1532" s="654" t="s">
        <v>8287</v>
      </c>
      <c r="C1532" s="106" t="s">
        <v>408</v>
      </c>
      <c r="D1532" s="273" t="s">
        <v>9040</v>
      </c>
      <c r="H1532" s="473" t="s">
        <v>135</v>
      </c>
      <c r="I1532" s="474"/>
      <c r="J1532" s="475"/>
      <c r="K1532" s="275" t="str">
        <f>IFNA(VLOOKUP(D1532,'EAN Codes'!A:C,2,False),"")</f>
        <v/>
      </c>
      <c r="L1532" s="82"/>
      <c r="M1532" s="476" t="b">
        <v>0</v>
      </c>
      <c r="N1532" s="477" t="b">
        <v>0</v>
      </c>
      <c r="O1532" s="477" t="b">
        <v>0</v>
      </c>
      <c r="P1532" s="477" t="b">
        <v>0</v>
      </c>
      <c r="Q1532" s="477" t="b">
        <v>0</v>
      </c>
      <c r="R1532" s="539"/>
      <c r="S1532" s="540"/>
      <c r="T1532" s="480">
        <v>369451.0</v>
      </c>
      <c r="U1532" s="481" t="b">
        <v>1</v>
      </c>
      <c r="Z1532" t="b">
        <v>0</v>
      </c>
      <c r="AA1532" t="b">
        <v>0</v>
      </c>
    </row>
    <row r="1533" hidden="1">
      <c r="A1533" s="6">
        <v>1.0</v>
      </c>
      <c r="B1533" s="655" t="s">
        <v>8287</v>
      </c>
      <c r="C1533" s="86" t="s">
        <v>408</v>
      </c>
      <c r="D1533" s="87" t="s">
        <v>9114</v>
      </c>
      <c r="H1533" s="473" t="s">
        <v>135</v>
      </c>
      <c r="I1533" s="474"/>
      <c r="J1533" s="475"/>
      <c r="K1533" s="275" t="str">
        <f>IFNA(VLOOKUP(D1533,'EAN Codes'!A:C,2,False),"")</f>
        <v/>
      </c>
      <c r="L1533" s="82"/>
      <c r="M1533" s="476" t="b">
        <v>0</v>
      </c>
      <c r="N1533" s="477" t="b">
        <v>0</v>
      </c>
      <c r="O1533" s="477" t="b">
        <v>0</v>
      </c>
      <c r="P1533" s="477" t="b">
        <v>0</v>
      </c>
      <c r="Q1533" s="477" t="b">
        <v>0</v>
      </c>
      <c r="R1533" s="539"/>
      <c r="S1533" s="540"/>
      <c r="T1533" s="480">
        <v>370020.0</v>
      </c>
      <c r="U1533" s="481" t="b">
        <v>1</v>
      </c>
      <c r="Z1533" t="b">
        <v>0</v>
      </c>
      <c r="AA1533" t="b">
        <v>0</v>
      </c>
    </row>
    <row r="1534">
      <c r="B1534" s="655"/>
      <c r="C1534" s="86"/>
      <c r="D1534" s="87"/>
      <c r="E1534" s="101"/>
      <c r="F1534" s="101"/>
      <c r="H1534" s="473"/>
      <c r="I1534" s="474"/>
      <c r="J1534" s="475"/>
      <c r="K1534" s="275" t="str">
        <f>IFNA(VLOOKUP(D1534,'EAN Codes'!A:C,2,False),"")</f>
        <v/>
      </c>
      <c r="L1534" s="82"/>
      <c r="M1534" s="476" t="b">
        <v>0</v>
      </c>
      <c r="N1534" s="477" t="b">
        <v>0</v>
      </c>
      <c r="O1534" s="477" t="b">
        <v>0</v>
      </c>
      <c r="P1534" s="477" t="b">
        <v>0</v>
      </c>
      <c r="Q1534" s="477" t="b">
        <v>0</v>
      </c>
      <c r="R1534" s="539"/>
      <c r="S1534" s="540"/>
      <c r="T1534" s="543"/>
      <c r="U1534" s="514" t="b">
        <v>0</v>
      </c>
      <c r="Z1534" s="6" t="b">
        <v>1</v>
      </c>
      <c r="AA1534" s="6" t="b">
        <v>0</v>
      </c>
      <c r="AC1534" s="82"/>
      <c r="AD1534" t="str">
        <f t="shared" ref="AD1534:AD1535" si="29">IFNA(IFS(U1534=False,D1534),"")</f>
        <v/>
      </c>
      <c r="AE1534" t="str">
        <f t="shared" ref="AE1534:AE1535" si="30">IFNA(IFS(U1534=false,H1534),"")</f>
        <v/>
      </c>
    </row>
    <row r="1535">
      <c r="B1535" s="655"/>
      <c r="C1535" s="86"/>
      <c r="D1535" s="100"/>
      <c r="E1535" s="101"/>
      <c r="F1535" s="101"/>
      <c r="H1535" s="473"/>
      <c r="I1535" s="473"/>
      <c r="J1535" s="475"/>
      <c r="K1535" s="275" t="str">
        <f>IFNA(VLOOKUP(D1535,'EAN Codes'!A:C,2,False),"")</f>
        <v/>
      </c>
      <c r="L1535" s="82"/>
      <c r="M1535" s="476" t="b">
        <v>0</v>
      </c>
      <c r="N1535" s="477" t="b">
        <v>0</v>
      </c>
      <c r="O1535" s="477" t="b">
        <v>0</v>
      </c>
      <c r="P1535" s="477" t="b">
        <v>0</v>
      </c>
      <c r="Q1535" s="477" t="b">
        <v>0</v>
      </c>
      <c r="R1535" s="539"/>
      <c r="S1535" s="540"/>
      <c r="T1535" s="543"/>
      <c r="U1535" s="514" t="b">
        <v>0</v>
      </c>
      <c r="Z1535" s="6" t="b">
        <v>1</v>
      </c>
      <c r="AC1535" s="82"/>
      <c r="AD1535" t="str">
        <f t="shared" si="29"/>
        <v/>
      </c>
      <c r="AE1535" t="str">
        <f t="shared" si="30"/>
        <v/>
      </c>
    </row>
    <row r="1536" hidden="1">
      <c r="A1536" s="6">
        <v>1.0</v>
      </c>
      <c r="B1536" s="6" t="s">
        <v>8989</v>
      </c>
      <c r="C1536" s="106" t="s">
        <v>408</v>
      </c>
      <c r="D1536" s="127" t="s">
        <v>9115</v>
      </c>
      <c r="H1536" s="473" t="s">
        <v>135</v>
      </c>
      <c r="I1536" s="473" t="s">
        <v>9116</v>
      </c>
      <c r="J1536" s="475"/>
      <c r="K1536" s="275" t="str">
        <f>IFNA(VLOOKUP(D1536,'EAN Codes'!A:C,2,False),"")</f>
        <v/>
      </c>
      <c r="L1536" s="82"/>
      <c r="M1536" s="476" t="b">
        <v>0</v>
      </c>
      <c r="N1536" s="477" t="b">
        <v>0</v>
      </c>
      <c r="O1536" s="477" t="b">
        <v>0</v>
      </c>
      <c r="P1536" s="477" t="b">
        <v>0</v>
      </c>
      <c r="Q1536" s="477" t="b">
        <v>0</v>
      </c>
      <c r="R1536" s="539"/>
      <c r="S1536" s="540"/>
      <c r="T1536" s="480">
        <v>370106.0</v>
      </c>
      <c r="U1536" s="481" t="b">
        <v>1</v>
      </c>
      <c r="Z1536" t="b">
        <v>0</v>
      </c>
      <c r="AA1536" t="b">
        <v>0</v>
      </c>
    </row>
    <row r="1537" hidden="1">
      <c r="A1537" s="99">
        <v>1.0</v>
      </c>
      <c r="B1537" s="99" t="s">
        <v>241</v>
      </c>
      <c r="C1537" s="99" t="s">
        <v>342</v>
      </c>
      <c r="D1537" s="100" t="s">
        <v>8296</v>
      </c>
      <c r="E1537" s="101"/>
      <c r="F1537" s="101"/>
      <c r="G1537" s="101"/>
      <c r="H1537" s="487" t="s">
        <v>132</v>
      </c>
      <c r="I1537" s="487" t="s">
        <v>9117</v>
      </c>
      <c r="J1537" s="542"/>
      <c r="K1537" s="90" t="str">
        <f>IFNA(VLOOKUP(D1537,'EAN Codes'!A:C,2,False),"")</f>
        <v>5907615819926</v>
      </c>
      <c r="L1537" s="101"/>
      <c r="M1537" s="575" t="b">
        <v>0</v>
      </c>
      <c r="N1537" s="577" t="b">
        <v>1</v>
      </c>
      <c r="O1537" s="576" t="b">
        <v>0</v>
      </c>
      <c r="P1537" s="576" t="b">
        <v>0</v>
      </c>
      <c r="Q1537" s="576" t="b">
        <v>0</v>
      </c>
      <c r="R1537" s="544"/>
      <c r="S1537" s="545"/>
      <c r="T1537" s="578"/>
      <c r="U1537" s="579" t="b">
        <v>1</v>
      </c>
      <c r="V1537" s="101"/>
      <c r="W1537" s="101"/>
      <c r="X1537" s="101"/>
      <c r="Y1537" s="101"/>
      <c r="Z1537" s="101" t="b">
        <v>0</v>
      </c>
      <c r="AA1537" t="b">
        <v>0</v>
      </c>
      <c r="AB1537" s="101"/>
      <c r="AC1537" s="101"/>
      <c r="AD1537" s="101"/>
      <c r="AE1537" s="101"/>
    </row>
    <row r="1538" hidden="1">
      <c r="A1538" s="6">
        <v>1.0</v>
      </c>
      <c r="B1538" s="99" t="s">
        <v>241</v>
      </c>
      <c r="C1538" s="99" t="s">
        <v>1813</v>
      </c>
      <c r="D1538" s="100" t="s">
        <v>9118</v>
      </c>
      <c r="E1538" s="99" t="s">
        <v>346</v>
      </c>
      <c r="F1538" s="99" t="s">
        <v>2902</v>
      </c>
      <c r="H1538" s="487" t="s">
        <v>9119</v>
      </c>
      <c r="I1538" s="473" t="s">
        <v>9120</v>
      </c>
      <c r="J1538" s="475"/>
      <c r="K1538" s="275" t="str">
        <f>IFNA(VLOOKUP(D1538,'EAN Codes'!A:C,2,False),"")</f>
        <v/>
      </c>
      <c r="L1538" s="82"/>
      <c r="M1538" s="476" t="b">
        <v>0</v>
      </c>
      <c r="N1538" s="497" t="b">
        <v>1</v>
      </c>
      <c r="O1538" s="477" t="b">
        <v>0</v>
      </c>
      <c r="P1538" s="477" t="b">
        <v>0</v>
      </c>
      <c r="Q1538" s="477" t="b">
        <v>0</v>
      </c>
      <c r="R1538" s="539"/>
      <c r="S1538" s="540"/>
      <c r="T1538" s="480" t="s">
        <v>9121</v>
      </c>
      <c r="U1538" s="481" t="b">
        <v>1</v>
      </c>
      <c r="Z1538" t="b">
        <v>0</v>
      </c>
      <c r="AA1538" t="b">
        <v>0</v>
      </c>
    </row>
    <row r="1539" hidden="1">
      <c r="A1539" s="6">
        <v>1.0</v>
      </c>
      <c r="B1539" s="6" t="s">
        <v>241</v>
      </c>
      <c r="C1539" s="6" t="s">
        <v>342</v>
      </c>
      <c r="D1539" s="127" t="s">
        <v>3280</v>
      </c>
      <c r="F1539" s="6" t="s">
        <v>6189</v>
      </c>
      <c r="G1539" s="6" t="s">
        <v>9122</v>
      </c>
      <c r="H1539" s="473" t="s">
        <v>135</v>
      </c>
      <c r="I1539" s="473" t="s">
        <v>9123</v>
      </c>
      <c r="J1539" s="508" t="s">
        <v>9124</v>
      </c>
      <c r="K1539" s="275" t="str">
        <f>IFNA(VLOOKUP(D1539,'EAN Codes'!A:C,2,False),"")</f>
        <v>5907615805196</v>
      </c>
      <c r="L1539" s="82"/>
      <c r="M1539" s="496" t="b">
        <v>1</v>
      </c>
      <c r="N1539" s="497" t="b">
        <v>0</v>
      </c>
      <c r="O1539" s="497" t="b">
        <v>1</v>
      </c>
      <c r="P1539" s="477" t="b">
        <v>0</v>
      </c>
      <c r="Q1539" s="477" t="b">
        <v>0</v>
      </c>
      <c r="R1539" s="539"/>
      <c r="S1539" s="540"/>
      <c r="T1539" s="480" t="s">
        <v>9125</v>
      </c>
      <c r="U1539" s="481" t="b">
        <v>1</v>
      </c>
      <c r="Z1539" t="b">
        <v>0</v>
      </c>
      <c r="AA1539" t="b">
        <v>0</v>
      </c>
    </row>
    <row r="1540" hidden="1">
      <c r="A1540" s="106">
        <v>1.0</v>
      </c>
      <c r="B1540" s="106" t="s">
        <v>241</v>
      </c>
      <c r="C1540" s="106" t="s">
        <v>3701</v>
      </c>
      <c r="D1540" s="273" t="s">
        <v>8941</v>
      </c>
      <c r="E1540" s="106" t="s">
        <v>346</v>
      </c>
      <c r="F1540" s="106" t="s">
        <v>8943</v>
      </c>
      <c r="G1540" s="115"/>
      <c r="H1540" s="473" t="s">
        <v>9126</v>
      </c>
      <c r="I1540" s="473" t="s">
        <v>9127</v>
      </c>
      <c r="J1540" s="582" t="s">
        <v>8521</v>
      </c>
      <c r="K1540" s="275" t="str">
        <f>IFNA(VLOOKUP(D1540,'EAN Codes'!A:C,2,False),"")</f>
        <v/>
      </c>
      <c r="L1540" s="82"/>
      <c r="M1540" s="476" t="b">
        <v>0</v>
      </c>
      <c r="N1540" s="497" t="b">
        <v>1</v>
      </c>
      <c r="O1540" s="477" t="b">
        <v>0</v>
      </c>
      <c r="P1540" s="477" t="b">
        <v>0</v>
      </c>
      <c r="Q1540" s="477" t="b">
        <v>0</v>
      </c>
      <c r="R1540" s="478" t="s">
        <v>8522</v>
      </c>
      <c r="S1540" s="582" t="s">
        <v>8521</v>
      </c>
      <c r="T1540" s="543"/>
      <c r="U1540" s="481" t="b">
        <v>1</v>
      </c>
      <c r="Z1540" s="6" t="b">
        <v>1</v>
      </c>
      <c r="AA1540" t="b">
        <v>0</v>
      </c>
    </row>
    <row r="1541" hidden="1">
      <c r="A1541" s="106">
        <v>1.0</v>
      </c>
      <c r="B1541" s="106" t="s">
        <v>241</v>
      </c>
      <c r="C1541" s="106" t="s">
        <v>1250</v>
      </c>
      <c r="D1541" s="273" t="s">
        <v>9128</v>
      </c>
      <c r="E1541" s="115"/>
      <c r="F1541" s="106" t="s">
        <v>9129</v>
      </c>
      <c r="G1541" s="115"/>
      <c r="H1541" s="473" t="s">
        <v>135</v>
      </c>
      <c r="I1541" s="473" t="s">
        <v>9130</v>
      </c>
      <c r="J1541" s="508" t="s">
        <v>9131</v>
      </c>
      <c r="K1541" s="275" t="str">
        <f>IFNA(VLOOKUP(D1541,'EAN Codes'!A:C,2,False),"")</f>
        <v>8054521993138</v>
      </c>
      <c r="L1541" s="82"/>
      <c r="M1541" s="476" t="b">
        <v>0</v>
      </c>
      <c r="N1541" s="477" t="b">
        <v>0</v>
      </c>
      <c r="O1541" s="477" t="b">
        <v>0</v>
      </c>
      <c r="P1541" s="477" t="b">
        <v>0</v>
      </c>
      <c r="Q1541" s="477" t="b">
        <v>0</v>
      </c>
      <c r="R1541" s="478" t="s">
        <v>9132</v>
      </c>
      <c r="S1541" s="540"/>
      <c r="T1541" s="543"/>
      <c r="U1541" s="481" t="b">
        <v>1</v>
      </c>
      <c r="Z1541" s="6" t="b">
        <v>1</v>
      </c>
      <c r="AA1541" t="b">
        <v>0</v>
      </c>
    </row>
    <row r="1542" hidden="1">
      <c r="A1542" s="6">
        <v>1.0</v>
      </c>
      <c r="B1542" s="6" t="s">
        <v>241</v>
      </c>
      <c r="C1542" s="6" t="s">
        <v>4382</v>
      </c>
      <c r="D1542" s="127" t="s">
        <v>9133</v>
      </c>
      <c r="E1542" s="6" t="s">
        <v>1390</v>
      </c>
      <c r="F1542" s="6" t="s">
        <v>9134</v>
      </c>
      <c r="H1542" s="473" t="s">
        <v>135</v>
      </c>
      <c r="I1542" s="473" t="s">
        <v>9135</v>
      </c>
      <c r="J1542" s="508"/>
      <c r="K1542" s="275" t="str">
        <f>IFNA(VLOOKUP(D1542,'EAN Codes'!A:C,2,False),"")</f>
        <v/>
      </c>
      <c r="L1542" s="82"/>
      <c r="M1542" s="476" t="b">
        <v>0</v>
      </c>
      <c r="N1542" s="497" t="b">
        <v>1</v>
      </c>
      <c r="O1542" s="477" t="b">
        <v>0</v>
      </c>
      <c r="P1542" s="477" t="b">
        <v>0</v>
      </c>
      <c r="Q1542" s="477" t="b">
        <v>0</v>
      </c>
      <c r="R1542" s="539"/>
      <c r="S1542" s="479" t="s">
        <v>9136</v>
      </c>
      <c r="T1542" s="543"/>
      <c r="U1542" s="481" t="b">
        <v>1</v>
      </c>
      <c r="Z1542" s="6" t="b">
        <v>1</v>
      </c>
      <c r="AA1542" t="b">
        <v>0</v>
      </c>
    </row>
    <row r="1543" hidden="1">
      <c r="A1543" s="6">
        <v>1.0</v>
      </c>
      <c r="B1543" s="6" t="s">
        <v>241</v>
      </c>
      <c r="C1543" s="6" t="s">
        <v>342</v>
      </c>
      <c r="D1543" s="127" t="s">
        <v>9137</v>
      </c>
      <c r="H1543" s="473" t="s">
        <v>135</v>
      </c>
      <c r="I1543" s="474"/>
      <c r="J1543" s="475"/>
      <c r="K1543" s="275" t="str">
        <f>IFNA(VLOOKUP(D1543,'EAN Codes'!A:C,2,False),"")</f>
        <v>5907615824203</v>
      </c>
      <c r="L1543" s="82"/>
      <c r="M1543" s="476" t="b">
        <v>0</v>
      </c>
      <c r="N1543" s="497" t="b">
        <v>1</v>
      </c>
      <c r="O1543" s="477" t="b">
        <v>0</v>
      </c>
      <c r="P1543" s="477" t="b">
        <v>0</v>
      </c>
      <c r="Q1543" s="477" t="b">
        <v>0</v>
      </c>
      <c r="R1543" s="539"/>
      <c r="S1543" s="479" t="s">
        <v>8078</v>
      </c>
      <c r="T1543" s="543"/>
      <c r="U1543" s="481" t="b">
        <v>1</v>
      </c>
      <c r="Z1543" t="b">
        <v>0</v>
      </c>
      <c r="AA1543" t="b">
        <v>0</v>
      </c>
    </row>
    <row r="1544" hidden="1">
      <c r="A1544" s="6">
        <v>1.0</v>
      </c>
      <c r="B1544" s="6" t="s">
        <v>181</v>
      </c>
      <c r="C1544" s="6" t="s">
        <v>4382</v>
      </c>
      <c r="D1544" s="127" t="s">
        <v>9138</v>
      </c>
      <c r="E1544" s="6" t="s">
        <v>1110</v>
      </c>
      <c r="F1544" s="6" t="s">
        <v>9139</v>
      </c>
      <c r="H1544" s="473" t="s">
        <v>135</v>
      </c>
      <c r="I1544" s="474"/>
      <c r="J1544" s="475"/>
      <c r="K1544" s="275" t="str">
        <f>IFNA(VLOOKUP(D1544,'EAN Codes'!A:C,2,False),"")</f>
        <v/>
      </c>
      <c r="L1544" s="82"/>
      <c r="M1544" s="476" t="b">
        <v>0</v>
      </c>
      <c r="N1544" s="477" t="b">
        <v>0</v>
      </c>
      <c r="O1544" s="477" t="b">
        <v>0</v>
      </c>
      <c r="P1544" s="477" t="b">
        <v>0</v>
      </c>
      <c r="Q1544" s="477" t="b">
        <v>0</v>
      </c>
      <c r="R1544" s="539"/>
      <c r="S1544" s="540"/>
      <c r="T1544" s="480" t="s">
        <v>9140</v>
      </c>
      <c r="U1544" s="481" t="b">
        <v>1</v>
      </c>
      <c r="Z1544" t="b">
        <v>0</v>
      </c>
      <c r="AA1544" t="b">
        <v>0</v>
      </c>
    </row>
    <row r="1545" hidden="1">
      <c r="A1545" s="86">
        <v>1.0</v>
      </c>
      <c r="B1545" s="86" t="s">
        <v>241</v>
      </c>
      <c r="C1545" s="86" t="s">
        <v>1217</v>
      </c>
      <c r="D1545" s="87" t="s">
        <v>9141</v>
      </c>
      <c r="E1545" s="86" t="s">
        <v>409</v>
      </c>
      <c r="F1545" s="86" t="s">
        <v>9142</v>
      </c>
      <c r="G1545" s="91"/>
      <c r="H1545" s="86" t="s">
        <v>135</v>
      </c>
      <c r="I1545" s="473" t="s">
        <v>9143</v>
      </c>
      <c r="J1545" s="475"/>
      <c r="K1545" s="275" t="str">
        <f>IFNA(VLOOKUP(D1545,'EAN Codes'!A:C,2,False),"")</f>
        <v/>
      </c>
      <c r="L1545" s="82"/>
      <c r="M1545" s="476" t="b">
        <v>0</v>
      </c>
      <c r="N1545" s="477" t="b">
        <v>0</v>
      </c>
      <c r="O1545" s="477" t="b">
        <v>0</v>
      </c>
      <c r="P1545" s="497" t="b">
        <v>1</v>
      </c>
      <c r="Q1545" s="477" t="b">
        <v>0</v>
      </c>
      <c r="R1545" s="539"/>
      <c r="S1545" s="479" t="s">
        <v>9105</v>
      </c>
      <c r="T1545" s="543"/>
      <c r="U1545" s="481" t="b">
        <v>1</v>
      </c>
      <c r="V1545" s="6" t="s">
        <v>9144</v>
      </c>
      <c r="Z1545" t="b">
        <v>0</v>
      </c>
      <c r="AA1545" t="b">
        <v>0</v>
      </c>
    </row>
    <row r="1546" hidden="1">
      <c r="A1546" s="6">
        <v>1.0</v>
      </c>
      <c r="B1546" s="99" t="s">
        <v>8989</v>
      </c>
      <c r="C1546" s="99" t="s">
        <v>408</v>
      </c>
      <c r="D1546" s="100" t="s">
        <v>9145</v>
      </c>
      <c r="H1546" s="473" t="s">
        <v>135</v>
      </c>
      <c r="I1546" s="473">
        <v>369721.0</v>
      </c>
      <c r="J1546" s="508" t="s">
        <v>9146</v>
      </c>
      <c r="K1546" s="275" t="str">
        <f>IFNA(VLOOKUP(D1546,'EAN Codes'!A:C,2,False),"")</f>
        <v/>
      </c>
      <c r="L1546" s="82"/>
      <c r="M1546" s="476" t="b">
        <v>0</v>
      </c>
      <c r="N1546" s="477" t="b">
        <v>0</v>
      </c>
      <c r="O1546" s="477" t="b">
        <v>0</v>
      </c>
      <c r="P1546" s="477" t="b">
        <v>0</v>
      </c>
      <c r="Q1546" s="477" t="b">
        <v>0</v>
      </c>
      <c r="R1546" s="539"/>
      <c r="S1546" s="540"/>
      <c r="T1546" s="480">
        <v>369815.0</v>
      </c>
      <c r="U1546" s="481" t="b">
        <v>1</v>
      </c>
      <c r="Z1546" t="b">
        <v>0</v>
      </c>
      <c r="AA1546" t="b">
        <v>0</v>
      </c>
    </row>
    <row r="1547" hidden="1">
      <c r="A1547" s="6">
        <v>1.0</v>
      </c>
      <c r="B1547" s="86" t="s">
        <v>241</v>
      </c>
      <c r="C1547" s="86" t="s">
        <v>4382</v>
      </c>
      <c r="D1547" s="87" t="s">
        <v>8417</v>
      </c>
      <c r="E1547" s="91"/>
      <c r="F1547" s="86" t="s">
        <v>9147</v>
      </c>
      <c r="G1547" s="91"/>
      <c r="H1547" s="160" t="s">
        <v>542</v>
      </c>
      <c r="I1547" s="473" t="s">
        <v>9148</v>
      </c>
      <c r="J1547" s="508" t="s">
        <v>9149</v>
      </c>
      <c r="K1547" s="275" t="str">
        <f>IFNA(VLOOKUP(D1547,'EAN Codes'!A:C,2,False),"")</f>
        <v/>
      </c>
      <c r="L1547" s="82"/>
      <c r="M1547" s="476" t="b">
        <v>0</v>
      </c>
      <c r="N1547" s="477" t="b">
        <v>0</v>
      </c>
      <c r="O1547" s="477" t="b">
        <v>0</v>
      </c>
      <c r="P1547" s="477" t="b">
        <v>0</v>
      </c>
      <c r="Q1547" s="497" t="b">
        <v>1</v>
      </c>
      <c r="R1547" s="539"/>
      <c r="S1547" s="540"/>
      <c r="T1547" s="6" t="s">
        <v>9150</v>
      </c>
      <c r="U1547" s="481" t="b">
        <v>1</v>
      </c>
      <c r="Z1547" t="b">
        <v>0</v>
      </c>
      <c r="AA1547" t="b">
        <v>0</v>
      </c>
    </row>
    <row r="1548" hidden="1">
      <c r="A1548" s="6">
        <v>1.0</v>
      </c>
      <c r="B1548" s="654" t="s">
        <v>8287</v>
      </c>
      <c r="C1548" s="106" t="s">
        <v>7548</v>
      </c>
      <c r="D1548" s="273" t="s">
        <v>8367</v>
      </c>
      <c r="H1548" s="473" t="s">
        <v>135</v>
      </c>
      <c r="I1548" s="474"/>
      <c r="J1548" s="475"/>
      <c r="K1548" s="275" t="str">
        <f>IFNA(VLOOKUP(D1548,'EAN Codes'!A:C,2,False),"")</f>
        <v/>
      </c>
      <c r="L1548" s="82"/>
      <c r="M1548" s="476" t="b">
        <v>0</v>
      </c>
      <c r="N1548" s="477" t="b">
        <v>0</v>
      </c>
      <c r="O1548" s="477" t="b">
        <v>0</v>
      </c>
      <c r="P1548" s="477" t="b">
        <v>0</v>
      </c>
      <c r="Q1548" s="477" t="b">
        <v>0</v>
      </c>
      <c r="R1548" s="539"/>
      <c r="S1548" s="540"/>
      <c r="T1548" s="480">
        <v>369831.0</v>
      </c>
      <c r="U1548" s="481" t="b">
        <v>1</v>
      </c>
      <c r="Z1548" t="b">
        <v>0</v>
      </c>
      <c r="AA1548" t="b">
        <v>0</v>
      </c>
    </row>
    <row r="1549" hidden="1">
      <c r="A1549" s="6">
        <v>1.0</v>
      </c>
      <c r="B1549" s="654" t="s">
        <v>8287</v>
      </c>
      <c r="C1549" s="106" t="s">
        <v>7548</v>
      </c>
      <c r="D1549" s="273" t="s">
        <v>8367</v>
      </c>
      <c r="H1549" s="473" t="s">
        <v>135</v>
      </c>
      <c r="I1549" s="474"/>
      <c r="J1549" s="475"/>
      <c r="K1549" s="275" t="str">
        <f>IFNA(VLOOKUP(D1549,'EAN Codes'!A:C,2,False),"")</f>
        <v/>
      </c>
      <c r="L1549" s="82"/>
      <c r="M1549" s="476" t="b">
        <v>0</v>
      </c>
      <c r="N1549" s="477" t="b">
        <v>0</v>
      </c>
      <c r="O1549" s="477" t="b">
        <v>0</v>
      </c>
      <c r="P1549" s="477" t="b">
        <v>0</v>
      </c>
      <c r="Q1549" s="477" t="b">
        <v>0</v>
      </c>
      <c r="R1549" s="539"/>
      <c r="S1549" s="540"/>
      <c r="T1549" s="480">
        <v>370030.0</v>
      </c>
      <c r="U1549" s="481" t="b">
        <v>1</v>
      </c>
      <c r="Z1549" t="b">
        <v>0</v>
      </c>
      <c r="AA1549" t="b">
        <v>0</v>
      </c>
    </row>
    <row r="1550" hidden="1">
      <c r="A1550" s="6">
        <v>1.0</v>
      </c>
      <c r="B1550" s="655" t="s">
        <v>8287</v>
      </c>
      <c r="C1550" s="86" t="s">
        <v>7548</v>
      </c>
      <c r="D1550" s="87" t="s">
        <v>8369</v>
      </c>
      <c r="E1550" s="101"/>
      <c r="F1550" s="101"/>
      <c r="G1550" s="101"/>
      <c r="H1550" s="487" t="s">
        <v>135</v>
      </c>
      <c r="I1550" s="488"/>
      <c r="J1550" s="542"/>
      <c r="K1550" s="90" t="str">
        <f>IFNA(VLOOKUP(D1550,'EAN Codes'!A:C,2,False),"")</f>
        <v/>
      </c>
      <c r="L1550" s="101"/>
      <c r="M1550" s="575" t="b">
        <v>0</v>
      </c>
      <c r="N1550" s="576" t="b">
        <v>0</v>
      </c>
      <c r="O1550" s="576" t="b">
        <v>0</v>
      </c>
      <c r="P1550" s="576" t="b">
        <v>0</v>
      </c>
      <c r="Q1550" s="576" t="b">
        <v>0</v>
      </c>
      <c r="R1550" s="544"/>
      <c r="S1550" s="545"/>
      <c r="T1550" s="505">
        <v>373184.0</v>
      </c>
      <c r="U1550" s="481" t="b">
        <v>1</v>
      </c>
      <c r="Z1550" s="6" t="b">
        <v>1</v>
      </c>
      <c r="AA1550" t="b">
        <v>0</v>
      </c>
    </row>
    <row r="1551">
      <c r="B1551" s="655"/>
      <c r="C1551" s="86"/>
      <c r="D1551" s="87"/>
      <c r="E1551" s="101"/>
      <c r="F1551" s="101"/>
      <c r="G1551" s="82"/>
      <c r="H1551" s="473"/>
      <c r="I1551" s="474"/>
      <c r="J1551" s="475"/>
      <c r="K1551" s="275" t="str">
        <f>IFNA(VLOOKUP(D1551,'EAN Codes'!A:C,2,False),"")</f>
        <v/>
      </c>
      <c r="L1551" s="82"/>
      <c r="M1551" s="476" t="b">
        <v>0</v>
      </c>
      <c r="N1551" s="477" t="b">
        <v>0</v>
      </c>
      <c r="O1551" s="477" t="b">
        <v>0</v>
      </c>
      <c r="P1551" s="477" t="b">
        <v>0</v>
      </c>
      <c r="Q1551" s="477" t="b">
        <v>0</v>
      </c>
      <c r="R1551" s="539"/>
      <c r="S1551" s="540"/>
      <c r="T1551" s="480"/>
      <c r="U1551" s="481" t="b">
        <v>0</v>
      </c>
      <c r="Z1551" s="6" t="b">
        <v>1</v>
      </c>
      <c r="AA1551" s="6" t="b">
        <v>0</v>
      </c>
      <c r="AC1551" s="82"/>
      <c r="AD1551" t="str">
        <f>IFNA(IFS(U1551=False,D1551),"")</f>
        <v/>
      </c>
      <c r="AE1551" t="str">
        <f>IFNA(IFS(U1551=false,H1551),"")</f>
        <v/>
      </c>
    </row>
    <row r="1552" hidden="1">
      <c r="A1552" s="6">
        <v>1.0</v>
      </c>
      <c r="B1552" s="655" t="s">
        <v>8287</v>
      </c>
      <c r="C1552" s="86" t="s">
        <v>7548</v>
      </c>
      <c r="D1552" s="87" t="s">
        <v>8370</v>
      </c>
      <c r="H1552" s="473" t="s">
        <v>135</v>
      </c>
      <c r="I1552" s="474"/>
      <c r="J1552" s="475"/>
      <c r="K1552" s="275" t="str">
        <f>IFNA(VLOOKUP(D1552,'EAN Codes'!A:C,2,False),"")</f>
        <v/>
      </c>
      <c r="L1552" s="82"/>
      <c r="M1552" s="476" t="b">
        <v>0</v>
      </c>
      <c r="N1552" s="477" t="b">
        <v>0</v>
      </c>
      <c r="O1552" s="477" t="b">
        <v>0</v>
      </c>
      <c r="P1552" s="477" t="b">
        <v>0</v>
      </c>
      <c r="Q1552" s="477" t="b">
        <v>0</v>
      </c>
      <c r="R1552" s="539"/>
      <c r="S1552" s="540"/>
      <c r="T1552" s="480">
        <v>370002.0</v>
      </c>
      <c r="U1552" s="481" t="b">
        <v>1</v>
      </c>
      <c r="Z1552" t="b">
        <v>0</v>
      </c>
      <c r="AA1552" t="b">
        <v>0</v>
      </c>
    </row>
    <row r="1553" hidden="1">
      <c r="A1553" s="6">
        <v>1.0</v>
      </c>
      <c r="B1553" s="654" t="s">
        <v>8287</v>
      </c>
      <c r="C1553" s="106" t="s">
        <v>7548</v>
      </c>
      <c r="D1553" s="273" t="s">
        <v>8370</v>
      </c>
      <c r="H1553" s="473" t="s">
        <v>135</v>
      </c>
      <c r="I1553" s="474"/>
      <c r="J1553" s="475"/>
      <c r="K1553" s="275" t="str">
        <f>IFNA(VLOOKUP(D1553,'EAN Codes'!A:C,2,False),"")</f>
        <v/>
      </c>
      <c r="L1553" s="82"/>
      <c r="M1553" s="476" t="b">
        <v>0</v>
      </c>
      <c r="N1553" s="477" t="b">
        <v>0</v>
      </c>
      <c r="O1553" s="477" t="b">
        <v>0</v>
      </c>
      <c r="P1553" s="477" t="b">
        <v>0</v>
      </c>
      <c r="Q1553" s="477" t="b">
        <v>0</v>
      </c>
      <c r="R1553" s="539"/>
      <c r="S1553" s="540"/>
      <c r="T1553" s="480">
        <v>370065.0</v>
      </c>
      <c r="U1553" s="481" t="b">
        <v>1</v>
      </c>
      <c r="Z1553" t="b">
        <v>0</v>
      </c>
      <c r="AA1553" t="b">
        <v>0</v>
      </c>
    </row>
    <row r="1554" hidden="1">
      <c r="A1554" s="6">
        <v>1.0</v>
      </c>
      <c r="B1554" s="654" t="s">
        <v>8287</v>
      </c>
      <c r="C1554" s="106" t="s">
        <v>7548</v>
      </c>
      <c r="D1554" s="273" t="s">
        <v>8371</v>
      </c>
      <c r="H1554" s="473" t="s">
        <v>135</v>
      </c>
      <c r="I1554" s="474"/>
      <c r="J1554" s="475"/>
      <c r="K1554" s="275" t="str">
        <f>IFNA(VLOOKUP(D1554,'EAN Codes'!A:C,2,False),"")</f>
        <v/>
      </c>
      <c r="L1554" s="82"/>
      <c r="M1554" s="476" t="b">
        <v>0</v>
      </c>
      <c r="N1554" s="477" t="b">
        <v>0</v>
      </c>
      <c r="O1554" s="477" t="b">
        <v>0</v>
      </c>
      <c r="P1554" s="477" t="b">
        <v>0</v>
      </c>
      <c r="Q1554" s="477" t="b">
        <v>0</v>
      </c>
      <c r="R1554" s="539"/>
      <c r="S1554" s="540"/>
      <c r="T1554" s="480">
        <v>369982.0</v>
      </c>
      <c r="U1554" s="481" t="b">
        <v>1</v>
      </c>
      <c r="Z1554" t="b">
        <v>0</v>
      </c>
      <c r="AA1554" t="b">
        <v>0</v>
      </c>
    </row>
    <row r="1555" hidden="1">
      <c r="A1555" s="6">
        <v>1.0</v>
      </c>
      <c r="B1555" s="654" t="s">
        <v>8287</v>
      </c>
      <c r="C1555" s="106" t="s">
        <v>7548</v>
      </c>
      <c r="D1555" s="273" t="s">
        <v>8371</v>
      </c>
      <c r="H1555" s="473" t="s">
        <v>135</v>
      </c>
      <c r="I1555" s="474"/>
      <c r="J1555" s="475"/>
      <c r="K1555" s="275" t="str">
        <f>IFNA(VLOOKUP(D1555,'EAN Codes'!A:C,2,False),"")</f>
        <v/>
      </c>
      <c r="L1555" s="82"/>
      <c r="M1555" s="476" t="b">
        <v>0</v>
      </c>
      <c r="N1555" s="477" t="b">
        <v>0</v>
      </c>
      <c r="O1555" s="477" t="b">
        <v>0</v>
      </c>
      <c r="P1555" s="477" t="b">
        <v>0</v>
      </c>
      <c r="Q1555" s="477" t="b">
        <v>0</v>
      </c>
      <c r="R1555" s="539"/>
      <c r="S1555" s="540"/>
      <c r="T1555" s="480">
        <v>370040.0</v>
      </c>
      <c r="U1555" s="481" t="b">
        <v>1</v>
      </c>
      <c r="Z1555" t="b">
        <v>0</v>
      </c>
      <c r="AA1555" t="b">
        <v>0</v>
      </c>
    </row>
    <row r="1556" hidden="1">
      <c r="A1556" s="6">
        <v>1.0</v>
      </c>
      <c r="B1556" s="655" t="s">
        <v>8287</v>
      </c>
      <c r="C1556" s="86" t="s">
        <v>7548</v>
      </c>
      <c r="D1556" s="87" t="s">
        <v>8373</v>
      </c>
      <c r="E1556" s="101"/>
      <c r="F1556" s="101"/>
      <c r="G1556" s="101"/>
      <c r="H1556" s="487" t="s">
        <v>135</v>
      </c>
      <c r="I1556" s="474"/>
      <c r="J1556" s="475"/>
      <c r="K1556" s="275" t="str">
        <f>IFNA(VLOOKUP(D1556,'EAN Codes'!A:C,2,False),"")</f>
        <v/>
      </c>
      <c r="L1556" s="82"/>
      <c r="M1556" s="476" t="b">
        <v>0</v>
      </c>
      <c r="N1556" s="477" t="b">
        <v>0</v>
      </c>
      <c r="O1556" s="477" t="b">
        <v>0</v>
      </c>
      <c r="P1556" s="477" t="b">
        <v>0</v>
      </c>
      <c r="Q1556" s="477" t="b">
        <v>0</v>
      </c>
      <c r="R1556" s="539"/>
      <c r="S1556" s="540"/>
      <c r="T1556" s="480">
        <v>369863.0</v>
      </c>
      <c r="U1556" s="481" t="b">
        <v>1</v>
      </c>
      <c r="Z1556" t="b">
        <v>0</v>
      </c>
      <c r="AA1556" t="b">
        <v>0</v>
      </c>
    </row>
    <row r="1557" hidden="1">
      <c r="A1557" s="6">
        <v>1.0</v>
      </c>
      <c r="B1557" s="655" t="s">
        <v>8287</v>
      </c>
      <c r="C1557" s="86" t="s">
        <v>7548</v>
      </c>
      <c r="D1557" s="87" t="s">
        <v>8373</v>
      </c>
      <c r="E1557" s="101"/>
      <c r="F1557" s="101"/>
      <c r="G1557" s="101"/>
      <c r="H1557" s="487" t="s">
        <v>135</v>
      </c>
      <c r="I1557" s="474"/>
      <c r="J1557" s="475"/>
      <c r="K1557" s="275" t="str">
        <f>IFNA(VLOOKUP(D1557,'EAN Codes'!A:C,2,False),"")</f>
        <v/>
      </c>
      <c r="L1557" s="82"/>
      <c r="M1557" s="476" t="b">
        <v>0</v>
      </c>
      <c r="N1557" s="477" t="b">
        <v>0</v>
      </c>
      <c r="O1557" s="477" t="b">
        <v>0</v>
      </c>
      <c r="P1557" s="477" t="b">
        <v>0</v>
      </c>
      <c r="Q1557" s="477" t="b">
        <v>0</v>
      </c>
      <c r="R1557" s="539"/>
      <c r="S1557" s="540"/>
      <c r="T1557" s="480">
        <v>372615.0</v>
      </c>
      <c r="U1557" s="481" t="b">
        <v>1</v>
      </c>
      <c r="Z1557" s="6" t="b">
        <v>1</v>
      </c>
      <c r="AA1557" t="b">
        <v>0</v>
      </c>
    </row>
    <row r="1558" hidden="1">
      <c r="A1558" s="6">
        <v>1.0</v>
      </c>
      <c r="B1558" s="655" t="s">
        <v>8287</v>
      </c>
      <c r="C1558" s="86" t="s">
        <v>7548</v>
      </c>
      <c r="D1558" s="87" t="s">
        <v>8380</v>
      </c>
      <c r="H1558" s="473" t="s">
        <v>135</v>
      </c>
      <c r="I1558" s="474"/>
      <c r="J1558" s="475"/>
      <c r="K1558" s="275" t="str">
        <f>IFNA(VLOOKUP(D1558,'EAN Codes'!A:C,2,False),"")</f>
        <v/>
      </c>
      <c r="L1558" s="82"/>
      <c r="M1558" s="476" t="b">
        <v>0</v>
      </c>
      <c r="N1558" s="477" t="b">
        <v>0</v>
      </c>
      <c r="O1558" s="477" t="b">
        <v>0</v>
      </c>
      <c r="P1558" s="477" t="b">
        <v>0</v>
      </c>
      <c r="Q1558" s="477" t="b">
        <v>0</v>
      </c>
      <c r="R1558" s="539"/>
      <c r="S1558" s="540"/>
      <c r="T1558" s="480">
        <v>369961.0</v>
      </c>
      <c r="U1558" s="481" t="b">
        <v>1</v>
      </c>
      <c r="Z1558" t="b">
        <v>0</v>
      </c>
      <c r="AA1558" t="b">
        <v>0</v>
      </c>
    </row>
    <row r="1559" hidden="1">
      <c r="A1559" s="6">
        <v>1.0</v>
      </c>
      <c r="B1559" s="655" t="s">
        <v>8287</v>
      </c>
      <c r="C1559" s="86" t="s">
        <v>7548</v>
      </c>
      <c r="D1559" s="87" t="s">
        <v>8380</v>
      </c>
      <c r="H1559" s="473" t="s">
        <v>135</v>
      </c>
      <c r="I1559" s="474"/>
      <c r="J1559" s="475"/>
      <c r="K1559" s="275" t="str">
        <f>IFNA(VLOOKUP(D1559,'EAN Codes'!A:C,2,False),"")</f>
        <v/>
      </c>
      <c r="L1559" s="82"/>
      <c r="M1559" s="476" t="b">
        <v>0</v>
      </c>
      <c r="N1559" s="477" t="b">
        <v>0</v>
      </c>
      <c r="O1559" s="477" t="b">
        <v>0</v>
      </c>
      <c r="P1559" s="477" t="b">
        <v>0</v>
      </c>
      <c r="Q1559" s="477" t="b">
        <v>0</v>
      </c>
      <c r="R1559" s="539"/>
      <c r="S1559" s="540"/>
      <c r="T1559" s="480">
        <v>369968.0</v>
      </c>
      <c r="U1559" s="481" t="b">
        <v>1</v>
      </c>
      <c r="Z1559" t="b">
        <v>0</v>
      </c>
      <c r="AA1559" t="b">
        <v>0</v>
      </c>
    </row>
    <row r="1560" hidden="1">
      <c r="A1560" s="6">
        <v>1.0</v>
      </c>
      <c r="B1560" s="655" t="s">
        <v>8287</v>
      </c>
      <c r="C1560" s="86" t="s">
        <v>7548</v>
      </c>
      <c r="D1560" s="87" t="s">
        <v>8374</v>
      </c>
      <c r="H1560" s="473" t="s">
        <v>135</v>
      </c>
      <c r="I1560" s="474"/>
      <c r="J1560" s="475"/>
      <c r="K1560" s="275" t="str">
        <f>IFNA(VLOOKUP(D1560,'EAN Codes'!A:C,2,False),"")</f>
        <v/>
      </c>
      <c r="L1560" s="82"/>
      <c r="M1560" s="476" t="b">
        <v>0</v>
      </c>
      <c r="N1560" s="477" t="b">
        <v>0</v>
      </c>
      <c r="O1560" s="477" t="b">
        <v>0</v>
      </c>
      <c r="P1560" s="477" t="b">
        <v>0</v>
      </c>
      <c r="Q1560" s="477" t="b">
        <v>0</v>
      </c>
      <c r="R1560" s="539"/>
      <c r="S1560" s="540"/>
      <c r="T1560" s="480" t="s">
        <v>9151</v>
      </c>
      <c r="U1560" s="481" t="b">
        <v>1</v>
      </c>
      <c r="Z1560" t="b">
        <v>0</v>
      </c>
      <c r="AA1560" t="b">
        <v>0</v>
      </c>
    </row>
    <row r="1561" hidden="1">
      <c r="A1561" s="6">
        <v>1.0</v>
      </c>
      <c r="B1561" s="655" t="s">
        <v>8287</v>
      </c>
      <c r="C1561" s="86" t="s">
        <v>7548</v>
      </c>
      <c r="D1561" s="87" t="s">
        <v>8374</v>
      </c>
      <c r="H1561" s="473" t="s">
        <v>135</v>
      </c>
      <c r="I1561" s="474"/>
      <c r="J1561" s="475"/>
      <c r="K1561" s="275" t="str">
        <f>IFNA(VLOOKUP(D1561,'EAN Codes'!A:C,2,False),"")</f>
        <v/>
      </c>
      <c r="L1561" s="82"/>
      <c r="M1561" s="476" t="b">
        <v>0</v>
      </c>
      <c r="N1561" s="477" t="b">
        <v>0</v>
      </c>
      <c r="O1561" s="477" t="b">
        <v>0</v>
      </c>
      <c r="P1561" s="477" t="b">
        <v>0</v>
      </c>
      <c r="Q1561" s="477" t="b">
        <v>0</v>
      </c>
      <c r="R1561" s="539"/>
      <c r="S1561" s="540"/>
      <c r="T1561" s="480">
        <v>370011.0</v>
      </c>
      <c r="U1561" s="481" t="b">
        <v>1</v>
      </c>
      <c r="Z1561" t="b">
        <v>0</v>
      </c>
      <c r="AA1561" t="b">
        <v>0</v>
      </c>
    </row>
    <row r="1562" hidden="1">
      <c r="A1562" s="6">
        <v>1.0</v>
      </c>
      <c r="B1562" s="655" t="s">
        <v>8287</v>
      </c>
      <c r="C1562" s="86" t="s">
        <v>7548</v>
      </c>
      <c r="D1562" s="87" t="s">
        <v>8375</v>
      </c>
      <c r="H1562" s="473" t="s">
        <v>135</v>
      </c>
      <c r="I1562" s="474"/>
      <c r="J1562" s="475"/>
      <c r="K1562" s="275" t="str">
        <f>IFNA(VLOOKUP(D1562,'EAN Codes'!A:C,2,False),"")</f>
        <v/>
      </c>
      <c r="L1562" s="82"/>
      <c r="M1562" s="476" t="b">
        <v>0</v>
      </c>
      <c r="N1562" s="477" t="b">
        <v>0</v>
      </c>
      <c r="O1562" s="477" t="b">
        <v>0</v>
      </c>
      <c r="P1562" s="477" t="b">
        <v>0</v>
      </c>
      <c r="Q1562" s="477" t="b">
        <v>0</v>
      </c>
      <c r="R1562" s="539"/>
      <c r="S1562" s="540"/>
      <c r="T1562" s="480">
        <v>369888.0</v>
      </c>
      <c r="U1562" s="481" t="b">
        <v>1</v>
      </c>
      <c r="Z1562" t="b">
        <v>0</v>
      </c>
      <c r="AA1562" t="b">
        <v>0</v>
      </c>
    </row>
    <row r="1563" hidden="1">
      <c r="A1563" s="6">
        <v>1.0</v>
      </c>
      <c r="B1563" s="654" t="s">
        <v>8287</v>
      </c>
      <c r="C1563" s="106" t="s">
        <v>7548</v>
      </c>
      <c r="D1563" s="273" t="s">
        <v>8375</v>
      </c>
      <c r="H1563" s="473" t="s">
        <v>135</v>
      </c>
      <c r="I1563" s="474"/>
      <c r="J1563" s="475"/>
      <c r="K1563" s="275" t="str">
        <f>IFNA(VLOOKUP(D1563,'EAN Codes'!A:C,2,False),"")</f>
        <v/>
      </c>
      <c r="L1563" s="82"/>
      <c r="M1563" s="476" t="b">
        <v>0</v>
      </c>
      <c r="N1563" s="477" t="b">
        <v>0</v>
      </c>
      <c r="O1563" s="477" t="b">
        <v>0</v>
      </c>
      <c r="P1563" s="477" t="b">
        <v>0</v>
      </c>
      <c r="Q1563" s="477" t="b">
        <v>0</v>
      </c>
      <c r="R1563" s="539"/>
      <c r="S1563" s="540"/>
      <c r="T1563" s="543"/>
      <c r="U1563" s="481" t="b">
        <v>1</v>
      </c>
      <c r="Z1563" t="b">
        <v>0</v>
      </c>
      <c r="AA1563" t="b">
        <v>0</v>
      </c>
    </row>
    <row r="1564" hidden="1">
      <c r="A1564" s="6">
        <v>1.0</v>
      </c>
      <c r="B1564" s="86" t="s">
        <v>241</v>
      </c>
      <c r="C1564" s="86" t="s">
        <v>342</v>
      </c>
      <c r="D1564" s="87" t="s">
        <v>8092</v>
      </c>
      <c r="E1564" s="91"/>
      <c r="F1564" s="86" t="s">
        <v>9152</v>
      </c>
      <c r="G1564" s="86" t="s">
        <v>9153</v>
      </c>
      <c r="H1564" s="160" t="s">
        <v>9154</v>
      </c>
      <c r="I1564" s="473" t="s">
        <v>9155</v>
      </c>
      <c r="J1564" s="508" t="s">
        <v>8436</v>
      </c>
      <c r="K1564" s="275" t="str">
        <f>IFNA(VLOOKUP(D1564,'EAN Codes'!A:C,2,False),"")</f>
        <v>5907615827372</v>
      </c>
      <c r="L1564" s="82"/>
      <c r="M1564" s="476" t="b">
        <v>0</v>
      </c>
      <c r="N1564" s="477" t="b">
        <v>0</v>
      </c>
      <c r="O1564" s="477" t="b">
        <v>0</v>
      </c>
      <c r="P1564" s="477" t="b">
        <v>0</v>
      </c>
      <c r="Q1564" s="477" t="b">
        <v>0</v>
      </c>
      <c r="R1564" s="539"/>
      <c r="S1564" s="540"/>
      <c r="T1564" s="480" t="s">
        <v>9156</v>
      </c>
      <c r="U1564" s="481" t="b">
        <v>1</v>
      </c>
      <c r="Z1564" t="b">
        <v>0</v>
      </c>
      <c r="AA1564" t="b">
        <v>0</v>
      </c>
    </row>
    <row r="1565" hidden="1">
      <c r="A1565" s="99">
        <v>1.0</v>
      </c>
      <c r="B1565" s="86" t="s">
        <v>241</v>
      </c>
      <c r="C1565" s="86" t="s">
        <v>1250</v>
      </c>
      <c r="D1565" s="656" t="s">
        <v>4776</v>
      </c>
      <c r="E1565" s="91"/>
      <c r="F1565" s="86" t="s">
        <v>7603</v>
      </c>
      <c r="G1565" s="261"/>
      <c r="H1565" s="160" t="s">
        <v>717</v>
      </c>
      <c r="I1565" s="473"/>
      <c r="J1565" s="508" t="s">
        <v>9157</v>
      </c>
      <c r="K1565" s="275" t="str">
        <f>IFNA(VLOOKUP(D1565,'EAN Codes'!A:C,2,False),"")</f>
        <v>8058772225369</v>
      </c>
      <c r="L1565" s="82"/>
      <c r="M1565" s="476" t="b">
        <v>0</v>
      </c>
      <c r="N1565" s="497" t="b">
        <v>1</v>
      </c>
      <c r="O1565" s="477" t="b">
        <v>0</v>
      </c>
      <c r="P1565" s="477" t="b">
        <v>0</v>
      </c>
      <c r="Q1565" s="477" t="b">
        <v>0</v>
      </c>
      <c r="R1565" s="539"/>
      <c r="S1565" s="479" t="s">
        <v>9158</v>
      </c>
      <c r="T1565" s="543"/>
      <c r="U1565" s="481" t="b">
        <v>1</v>
      </c>
      <c r="Z1565" s="6" t="b">
        <v>0</v>
      </c>
      <c r="AA1565" t="b">
        <v>0</v>
      </c>
    </row>
    <row r="1566" hidden="1">
      <c r="A1566" s="6">
        <v>1.0</v>
      </c>
      <c r="B1566" s="106" t="s">
        <v>731</v>
      </c>
      <c r="C1566" s="106" t="s">
        <v>8034</v>
      </c>
      <c r="D1566" s="273" t="s">
        <v>9159</v>
      </c>
      <c r="E1566" s="106" t="s">
        <v>733</v>
      </c>
      <c r="F1566" s="106" t="s">
        <v>7222</v>
      </c>
      <c r="G1566" s="115"/>
      <c r="H1566" s="160" t="s">
        <v>9160</v>
      </c>
      <c r="I1566" s="473" t="s">
        <v>9161</v>
      </c>
      <c r="J1566" s="508" t="s">
        <v>9162</v>
      </c>
      <c r="K1566" s="275" t="str">
        <f>IFNA(VLOOKUP(D1566,'EAN Codes'!A:C,2,False),"")</f>
        <v/>
      </c>
      <c r="L1566" s="82"/>
      <c r="M1566" s="476" t="b">
        <v>0</v>
      </c>
      <c r="N1566" s="477" t="b">
        <v>0</v>
      </c>
      <c r="O1566" s="497" t="b">
        <v>1</v>
      </c>
      <c r="P1566" s="477" t="b">
        <v>0</v>
      </c>
      <c r="Q1566" s="477" t="b">
        <v>0</v>
      </c>
      <c r="R1566" s="478" t="s">
        <v>8078</v>
      </c>
      <c r="S1566" s="540"/>
      <c r="T1566" s="543"/>
      <c r="U1566" s="481" t="b">
        <v>1</v>
      </c>
      <c r="Z1566" t="b">
        <v>0</v>
      </c>
      <c r="AA1566" t="b">
        <v>0</v>
      </c>
    </row>
    <row r="1567" hidden="1">
      <c r="A1567" s="6">
        <v>1.0</v>
      </c>
      <c r="B1567" s="106" t="s">
        <v>241</v>
      </c>
      <c r="C1567" s="106" t="s">
        <v>4382</v>
      </c>
      <c r="D1567" s="273" t="s">
        <v>9163</v>
      </c>
      <c r="E1567" s="115"/>
      <c r="F1567" s="106" t="s">
        <v>9164</v>
      </c>
      <c r="G1567" s="115"/>
      <c r="H1567" s="160" t="s">
        <v>9165</v>
      </c>
      <c r="I1567" s="473" t="s">
        <v>9166</v>
      </c>
      <c r="J1567" s="508" t="s">
        <v>9167</v>
      </c>
      <c r="K1567" s="275" t="str">
        <f>IFNA(VLOOKUP(D1567,'EAN Codes'!A:C,2,False),"")</f>
        <v/>
      </c>
      <c r="L1567" s="82"/>
      <c r="M1567" s="476" t="b">
        <v>0</v>
      </c>
      <c r="N1567" s="477" t="b">
        <v>0</v>
      </c>
      <c r="O1567" s="477" t="b">
        <v>0</v>
      </c>
      <c r="P1567" s="497" t="b">
        <v>1</v>
      </c>
      <c r="Q1567" s="477" t="b">
        <v>0</v>
      </c>
      <c r="R1567" s="478" t="s">
        <v>8078</v>
      </c>
      <c r="S1567" s="540"/>
      <c r="T1567" s="543"/>
      <c r="U1567" s="481" t="b">
        <v>1</v>
      </c>
      <c r="V1567" s="6" t="s">
        <v>9168</v>
      </c>
      <c r="Z1567" t="b">
        <v>0</v>
      </c>
      <c r="AA1567" t="b">
        <v>0</v>
      </c>
    </row>
    <row r="1568" hidden="1">
      <c r="A1568" s="6">
        <v>1.0</v>
      </c>
      <c r="B1568" s="623" t="s">
        <v>241</v>
      </c>
      <c r="C1568" s="623" t="s">
        <v>1813</v>
      </c>
      <c r="D1568" s="626" t="s">
        <v>9169</v>
      </c>
      <c r="E1568" s="623" t="s">
        <v>9170</v>
      </c>
      <c r="F1568" s="623" t="s">
        <v>7014</v>
      </c>
      <c r="G1568" s="622"/>
      <c r="H1568" s="624" t="s">
        <v>688</v>
      </c>
      <c r="I1568" s="473" t="s">
        <v>9171</v>
      </c>
      <c r="J1568" s="508" t="s">
        <v>9172</v>
      </c>
      <c r="K1568" s="275" t="str">
        <f>IFNA(VLOOKUP(D1568,'EAN Codes'!A:C,2,False),"")</f>
        <v/>
      </c>
      <c r="L1568" s="82"/>
      <c r="M1568" s="476" t="b">
        <v>0</v>
      </c>
      <c r="N1568" s="497" t="b">
        <v>1</v>
      </c>
      <c r="O1568" s="477" t="b">
        <v>0</v>
      </c>
      <c r="P1568" s="477" t="b">
        <v>0</v>
      </c>
      <c r="Q1568" s="477" t="b">
        <v>0</v>
      </c>
      <c r="R1568" s="478" t="s">
        <v>8078</v>
      </c>
      <c r="S1568" s="540"/>
      <c r="T1568" s="543"/>
      <c r="U1568" s="481" t="b">
        <v>1</v>
      </c>
      <c r="Z1568" t="b">
        <v>0</v>
      </c>
      <c r="AA1568" t="b">
        <v>0</v>
      </c>
    </row>
    <row r="1569" hidden="1">
      <c r="A1569" s="6">
        <v>1.0</v>
      </c>
      <c r="B1569" s="6" t="s">
        <v>731</v>
      </c>
      <c r="C1569" s="6" t="s">
        <v>1116</v>
      </c>
      <c r="D1569" s="127" t="s">
        <v>9173</v>
      </c>
      <c r="F1569" s="6" t="s">
        <v>9174</v>
      </c>
      <c r="H1569" s="473" t="s">
        <v>135</v>
      </c>
      <c r="I1569" s="473" t="s">
        <v>9175</v>
      </c>
      <c r="J1569" s="508" t="s">
        <v>9176</v>
      </c>
      <c r="K1569" s="275" t="str">
        <f>IFNA(VLOOKUP(D1569,'EAN Codes'!A:C,2,False),"")</f>
        <v>8717323050651</v>
      </c>
      <c r="L1569" s="82"/>
      <c r="M1569" s="496" t="b">
        <v>0</v>
      </c>
      <c r="N1569" s="477" t="b">
        <v>0</v>
      </c>
      <c r="O1569" s="497" t="b">
        <v>1</v>
      </c>
      <c r="P1569" s="477" t="b">
        <v>0</v>
      </c>
      <c r="Q1569" s="477" t="b">
        <v>0</v>
      </c>
      <c r="R1569" s="539"/>
      <c r="S1569" s="540"/>
      <c r="T1569" s="480" t="s">
        <v>9177</v>
      </c>
      <c r="U1569" s="481" t="b">
        <v>1</v>
      </c>
      <c r="Z1569" t="b">
        <v>0</v>
      </c>
      <c r="AA1569" t="b">
        <v>0</v>
      </c>
    </row>
    <row r="1570" hidden="1">
      <c r="A1570" s="6">
        <v>1.0</v>
      </c>
      <c r="B1570" s="6" t="s">
        <v>181</v>
      </c>
      <c r="C1570" s="6" t="s">
        <v>408</v>
      </c>
      <c r="D1570" s="127" t="s">
        <v>9178</v>
      </c>
      <c r="F1570" s="6" t="s">
        <v>9179</v>
      </c>
      <c r="G1570" s="6" t="s">
        <v>9180</v>
      </c>
      <c r="H1570" s="473" t="s">
        <v>135</v>
      </c>
      <c r="I1570" s="473" t="s">
        <v>9181</v>
      </c>
      <c r="J1570" s="508" t="s">
        <v>9182</v>
      </c>
      <c r="K1570" s="275" t="str">
        <f>IFNA(VLOOKUP(D1570,'EAN Codes'!A:C,2,False),"")</f>
        <v/>
      </c>
      <c r="L1570" s="82"/>
      <c r="M1570" s="496" t="b">
        <v>0</v>
      </c>
      <c r="N1570" s="477" t="b">
        <v>0</v>
      </c>
      <c r="O1570" s="497" t="b">
        <v>0</v>
      </c>
      <c r="P1570" s="477" t="b">
        <v>0</v>
      </c>
      <c r="Q1570" s="477" t="b">
        <v>0</v>
      </c>
      <c r="R1570" s="539"/>
      <c r="S1570" s="540"/>
      <c r="T1570" s="543"/>
      <c r="U1570" s="481" t="b">
        <v>1</v>
      </c>
      <c r="Z1570" s="6" t="b">
        <v>1</v>
      </c>
      <c r="AA1570" t="b">
        <v>0</v>
      </c>
      <c r="AC1570" s="35">
        <v>947.0</v>
      </c>
      <c r="AD1570" t="str">
        <f t="shared" ref="AD1570:AD1571" si="31">IFNA(IFS(U1570=False,D1570),"")</f>
        <v/>
      </c>
      <c r="AE1570" t="str">
        <f t="shared" ref="AE1570:AE1571" si="32">IFNA(IFS(U1570=false,H1570),"")</f>
        <v/>
      </c>
    </row>
    <row r="1571">
      <c r="B1571" s="99"/>
      <c r="C1571" s="99"/>
      <c r="D1571" s="100"/>
      <c r="E1571" s="101"/>
      <c r="F1571" s="99"/>
      <c r="H1571" s="473"/>
      <c r="I1571" s="474"/>
      <c r="J1571" s="475"/>
      <c r="K1571" s="275" t="str">
        <f>IFNA(VLOOKUP(D1571,'EAN Codes'!A:C,2,False),"")</f>
        <v/>
      </c>
      <c r="L1571" s="82"/>
      <c r="M1571" s="496" t="b">
        <v>0</v>
      </c>
      <c r="N1571" s="477" t="b">
        <v>0</v>
      </c>
      <c r="O1571" s="497" t="b">
        <v>0</v>
      </c>
      <c r="P1571" s="477" t="b">
        <v>0</v>
      </c>
      <c r="Q1571" s="477" t="b">
        <v>0</v>
      </c>
      <c r="R1571" s="539"/>
      <c r="S1571" s="540"/>
      <c r="T1571" s="543"/>
      <c r="U1571" s="514" t="b">
        <v>0</v>
      </c>
      <c r="Z1571" s="6" t="b">
        <v>1</v>
      </c>
      <c r="AA1571" s="6" t="b">
        <v>0</v>
      </c>
      <c r="AC1571" s="35">
        <v>1252.2</v>
      </c>
      <c r="AD1571" t="str">
        <f t="shared" si="31"/>
        <v/>
      </c>
      <c r="AE1571" t="str">
        <f t="shared" si="32"/>
        <v/>
      </c>
    </row>
    <row r="1572" hidden="1">
      <c r="A1572" s="99">
        <v>1.0</v>
      </c>
      <c r="B1572" s="99" t="s">
        <v>391</v>
      </c>
      <c r="C1572" s="99" t="s">
        <v>4532</v>
      </c>
      <c r="D1572" s="100" t="s">
        <v>4242</v>
      </c>
      <c r="E1572" s="101"/>
      <c r="F1572" s="99" t="s">
        <v>9183</v>
      </c>
      <c r="G1572" s="101"/>
      <c r="H1572" s="474"/>
      <c r="I1572" s="473"/>
      <c r="J1572" s="645"/>
      <c r="K1572" s="367" t="str">
        <f>IFNA(VLOOKUP(D1572,'EAN Codes'!A:C,2,False),"")</f>
        <v/>
      </c>
      <c r="L1572" s="101"/>
      <c r="M1572" s="496" t="b">
        <v>0</v>
      </c>
      <c r="N1572" s="477" t="b">
        <v>0</v>
      </c>
      <c r="O1572" s="497" t="b">
        <v>0</v>
      </c>
      <c r="P1572" s="477" t="b">
        <v>0</v>
      </c>
      <c r="Q1572" s="497" t="b">
        <v>1</v>
      </c>
      <c r="R1572" s="544"/>
      <c r="S1572" s="545"/>
      <c r="T1572" s="505" t="s">
        <v>9184</v>
      </c>
      <c r="U1572" s="579" t="b">
        <v>1</v>
      </c>
      <c r="V1572" s="101"/>
      <c r="W1572" s="101"/>
      <c r="X1572" s="101"/>
      <c r="Y1572" s="101"/>
      <c r="Z1572" s="101" t="b">
        <v>0</v>
      </c>
      <c r="AA1572" t="b">
        <v>0</v>
      </c>
      <c r="AB1572" s="101"/>
      <c r="AC1572" s="101"/>
      <c r="AD1572" s="101"/>
      <c r="AE1572" s="101"/>
    </row>
    <row r="1573">
      <c r="B1573" s="99"/>
      <c r="C1573" s="99"/>
      <c r="D1573" s="100"/>
      <c r="E1573" s="101"/>
      <c r="F1573" s="99"/>
      <c r="H1573" s="473"/>
      <c r="I1573" s="474"/>
      <c r="J1573" s="475"/>
      <c r="K1573" s="275" t="str">
        <f>IFNA(VLOOKUP(D1573,'EAN Codes'!A:C,2,False),"")</f>
        <v/>
      </c>
      <c r="L1573" s="82"/>
      <c r="M1573" s="496" t="b">
        <v>0</v>
      </c>
      <c r="N1573" s="477" t="b">
        <v>0</v>
      </c>
      <c r="O1573" s="497" t="b">
        <v>0</v>
      </c>
      <c r="P1573" s="477" t="b">
        <v>0</v>
      </c>
      <c r="Q1573" s="477" t="b">
        <v>0</v>
      </c>
      <c r="R1573" s="539"/>
      <c r="S1573" s="540"/>
      <c r="T1573" s="543"/>
      <c r="U1573" s="514" t="b">
        <v>0</v>
      </c>
      <c r="Z1573" s="6" t="b">
        <v>1</v>
      </c>
      <c r="AA1573" s="6" t="b">
        <v>0</v>
      </c>
      <c r="AC1573" s="35">
        <v>765.6</v>
      </c>
      <c r="AD1573" t="str">
        <f t="shared" ref="AD1573:AD1577" si="33">IFNA(IFS(U1573=False,D1573),"")</f>
        <v/>
      </c>
      <c r="AE1573" t="str">
        <f t="shared" ref="AE1573:AE1577" si="34">IFNA(IFS(U1573=false,H1573),"")</f>
        <v/>
      </c>
    </row>
    <row r="1574">
      <c r="B1574" s="99"/>
      <c r="C1574" s="99"/>
      <c r="D1574" s="100"/>
      <c r="E1574" s="101"/>
      <c r="F1574" s="99"/>
      <c r="H1574" s="473"/>
      <c r="I1574" s="474"/>
      <c r="J1574" s="508"/>
      <c r="K1574" s="275" t="str">
        <f>IFNA(VLOOKUP(D1574,'EAN Codes'!A:C,2,False),"")</f>
        <v/>
      </c>
      <c r="L1574" s="82"/>
      <c r="M1574" s="496" t="b">
        <v>0</v>
      </c>
      <c r="N1574" s="477" t="b">
        <v>0</v>
      </c>
      <c r="O1574" s="497" t="b">
        <v>0</v>
      </c>
      <c r="P1574" s="477" t="b">
        <v>0</v>
      </c>
      <c r="Q1574" s="497" t="b">
        <v>0</v>
      </c>
      <c r="R1574" s="539"/>
      <c r="S1574" s="540"/>
      <c r="T1574" s="543"/>
      <c r="U1574" s="514" t="b">
        <v>0</v>
      </c>
      <c r="Z1574" s="6" t="b">
        <v>1</v>
      </c>
      <c r="AA1574" s="6" t="b">
        <v>0</v>
      </c>
      <c r="AC1574" s="35">
        <v>748.8</v>
      </c>
      <c r="AD1574" t="str">
        <f t="shared" si="33"/>
        <v/>
      </c>
      <c r="AE1574" t="str">
        <f t="shared" si="34"/>
        <v/>
      </c>
    </row>
    <row r="1575">
      <c r="B1575" s="99"/>
      <c r="C1575" s="99"/>
      <c r="D1575" s="100"/>
      <c r="E1575" s="101"/>
      <c r="F1575" s="99"/>
      <c r="H1575" s="473"/>
      <c r="I1575" s="474"/>
      <c r="J1575" s="475"/>
      <c r="K1575" s="275" t="str">
        <f>IFNA(VLOOKUP(D1575,'EAN Codes'!A:C,2,False),"")</f>
        <v/>
      </c>
      <c r="L1575" s="82"/>
      <c r="M1575" s="496" t="b">
        <v>0</v>
      </c>
      <c r="N1575" s="477" t="b">
        <v>0</v>
      </c>
      <c r="O1575" s="497" t="b">
        <v>0</v>
      </c>
      <c r="P1575" s="477" t="b">
        <v>0</v>
      </c>
      <c r="Q1575" s="477" t="b">
        <v>0</v>
      </c>
      <c r="R1575" s="539"/>
      <c r="S1575" s="540"/>
      <c r="T1575" s="543"/>
      <c r="U1575" s="514" t="b">
        <v>0</v>
      </c>
      <c r="Z1575" s="6" t="b">
        <v>1</v>
      </c>
      <c r="AA1575" s="6" t="b">
        <v>0</v>
      </c>
      <c r="AC1575" s="35">
        <v>970.8</v>
      </c>
      <c r="AD1575" t="str">
        <f t="shared" si="33"/>
        <v/>
      </c>
      <c r="AE1575" t="str">
        <f t="shared" si="34"/>
        <v/>
      </c>
    </row>
    <row r="1576">
      <c r="B1576" s="99"/>
      <c r="C1576" s="99"/>
      <c r="D1576" s="100"/>
      <c r="E1576" s="101"/>
      <c r="F1576" s="99"/>
      <c r="H1576" s="473"/>
      <c r="I1576" s="474"/>
      <c r="J1576" s="475"/>
      <c r="K1576" s="275" t="str">
        <f>IFNA(VLOOKUP(D1576,'EAN Codes'!A:C,2,False),"")</f>
        <v/>
      </c>
      <c r="L1576" s="82"/>
      <c r="M1576" s="496" t="b">
        <v>0</v>
      </c>
      <c r="N1576" s="477" t="b">
        <v>0</v>
      </c>
      <c r="O1576" s="497" t="b">
        <v>0</v>
      </c>
      <c r="P1576" s="477" t="b">
        <v>0</v>
      </c>
      <c r="Q1576" s="477" t="b">
        <v>0</v>
      </c>
      <c r="R1576" s="539"/>
      <c r="S1576" s="540"/>
      <c r="T1576" s="543"/>
      <c r="U1576" s="514" t="b">
        <v>0</v>
      </c>
      <c r="Z1576" s="6" t="b">
        <v>1</v>
      </c>
      <c r="AA1576" s="6" t="b">
        <v>0</v>
      </c>
      <c r="AC1576" s="35">
        <v>3484.8</v>
      </c>
      <c r="AD1576" t="str">
        <f t="shared" si="33"/>
        <v/>
      </c>
      <c r="AE1576" t="str">
        <f t="shared" si="34"/>
        <v/>
      </c>
    </row>
    <row r="1577">
      <c r="B1577" s="99"/>
      <c r="C1577" s="99"/>
      <c r="D1577" s="100"/>
      <c r="E1577" s="101"/>
      <c r="F1577" s="99"/>
      <c r="H1577" s="473"/>
      <c r="I1577" s="474"/>
      <c r="J1577" s="475"/>
      <c r="K1577" s="275" t="str">
        <f>IFNA(VLOOKUP(D1577,'EAN Codes'!A:C,2,False),"")</f>
        <v/>
      </c>
      <c r="L1577" s="82"/>
      <c r="M1577" s="496" t="b">
        <v>0</v>
      </c>
      <c r="N1577" s="477" t="b">
        <v>0</v>
      </c>
      <c r="O1577" s="497" t="b">
        <v>0</v>
      </c>
      <c r="P1577" s="477" t="b">
        <v>0</v>
      </c>
      <c r="Q1577" s="477" t="b">
        <v>0</v>
      </c>
      <c r="R1577" s="539"/>
      <c r="S1577" s="540"/>
      <c r="T1577" s="543"/>
      <c r="U1577" s="514" t="b">
        <v>0</v>
      </c>
      <c r="Z1577" s="6" t="b">
        <v>1</v>
      </c>
      <c r="AA1577" s="6" t="b">
        <v>0</v>
      </c>
      <c r="AC1577" s="35">
        <v>3503.4</v>
      </c>
      <c r="AD1577" t="str">
        <f t="shared" si="33"/>
        <v/>
      </c>
      <c r="AE1577" t="str">
        <f t="shared" si="34"/>
        <v/>
      </c>
    </row>
    <row r="1578" hidden="1">
      <c r="A1578" s="6">
        <v>1.0</v>
      </c>
      <c r="B1578" s="6" t="s">
        <v>391</v>
      </c>
      <c r="C1578" s="6" t="s">
        <v>4532</v>
      </c>
      <c r="D1578" s="127" t="s">
        <v>9185</v>
      </c>
      <c r="F1578" s="6" t="s">
        <v>4725</v>
      </c>
      <c r="H1578" s="473" t="s">
        <v>135</v>
      </c>
      <c r="I1578" s="474"/>
      <c r="J1578" s="475"/>
      <c r="K1578" s="275" t="str">
        <f>IFNA(VLOOKUP(D1578,'EAN Codes'!A:C,2,False),"")</f>
        <v/>
      </c>
      <c r="L1578" s="82"/>
      <c r="M1578" s="496" t="b">
        <v>0</v>
      </c>
      <c r="N1578" s="477" t="b">
        <v>0</v>
      </c>
      <c r="O1578" s="497" t="b">
        <v>0</v>
      </c>
      <c r="P1578" s="477" t="b">
        <v>0</v>
      </c>
      <c r="Q1578" s="477" t="b">
        <v>0</v>
      </c>
      <c r="R1578" s="539"/>
      <c r="S1578" s="540"/>
      <c r="T1578" s="480">
        <v>369950.0</v>
      </c>
      <c r="U1578" s="481" t="b">
        <v>1</v>
      </c>
      <c r="Z1578" t="b">
        <v>0</v>
      </c>
      <c r="AA1578" t="b">
        <v>0</v>
      </c>
    </row>
    <row r="1579" hidden="1">
      <c r="A1579" s="6">
        <v>1.0</v>
      </c>
      <c r="B1579" s="6" t="s">
        <v>9186</v>
      </c>
      <c r="C1579" s="6" t="s">
        <v>4532</v>
      </c>
      <c r="D1579" s="127" t="s">
        <v>9187</v>
      </c>
      <c r="F1579" s="6" t="s">
        <v>9188</v>
      </c>
      <c r="H1579" s="473" t="s">
        <v>135</v>
      </c>
      <c r="I1579" s="474"/>
      <c r="J1579" s="475"/>
      <c r="K1579" s="275" t="str">
        <f>IFNA(VLOOKUP(D1579,'EAN Codes'!A:C,2,False),"")</f>
        <v/>
      </c>
      <c r="L1579" s="82"/>
      <c r="M1579" s="496" t="b">
        <v>0</v>
      </c>
      <c r="N1579" s="477" t="b">
        <v>0</v>
      </c>
      <c r="O1579" s="497" t="b">
        <v>0</v>
      </c>
      <c r="P1579" s="477" t="b">
        <v>0</v>
      </c>
      <c r="Q1579" s="477" t="b">
        <v>0</v>
      </c>
      <c r="R1579" s="539"/>
      <c r="S1579" s="540"/>
      <c r="T1579" s="543"/>
      <c r="U1579" s="481" t="b">
        <v>1</v>
      </c>
      <c r="Z1579" s="6" t="b">
        <v>1</v>
      </c>
      <c r="AA1579" t="b">
        <v>0</v>
      </c>
    </row>
    <row r="1580" hidden="1">
      <c r="A1580" s="6">
        <v>1.0</v>
      </c>
      <c r="B1580" s="99" t="s">
        <v>9189</v>
      </c>
      <c r="C1580" s="99" t="s">
        <v>408</v>
      </c>
      <c r="D1580" s="519"/>
      <c r="H1580" s="473"/>
      <c r="I1580" s="473"/>
      <c r="J1580" s="508"/>
      <c r="K1580" s="275" t="str">
        <f>IFNA(VLOOKUP(D1580,'EAN Codes'!A:C,2,False),"")</f>
        <v/>
      </c>
      <c r="L1580" s="82"/>
      <c r="M1580" s="496" t="b">
        <v>0</v>
      </c>
      <c r="N1580" s="477" t="b">
        <v>0</v>
      </c>
      <c r="O1580" s="497" t="b">
        <v>0</v>
      </c>
      <c r="P1580" s="477" t="b">
        <v>0</v>
      </c>
      <c r="Q1580" s="497" t="b">
        <v>0</v>
      </c>
      <c r="R1580" s="539"/>
      <c r="S1580" s="540"/>
      <c r="T1580" s="543"/>
      <c r="U1580" s="481" t="b">
        <v>1</v>
      </c>
      <c r="Z1580" t="b">
        <v>0</v>
      </c>
      <c r="AA1580" t="b">
        <v>0</v>
      </c>
    </row>
    <row r="1581" hidden="1">
      <c r="A1581" s="6">
        <v>1.0</v>
      </c>
      <c r="B1581" s="86" t="s">
        <v>241</v>
      </c>
      <c r="C1581" s="86" t="s">
        <v>4382</v>
      </c>
      <c r="D1581" s="87" t="s">
        <v>9190</v>
      </c>
      <c r="E1581" s="86" t="s">
        <v>346</v>
      </c>
      <c r="F1581" s="86" t="s">
        <v>9191</v>
      </c>
      <c r="G1581" s="86" t="s">
        <v>9192</v>
      </c>
      <c r="H1581" s="160" t="s">
        <v>9165</v>
      </c>
      <c r="I1581" s="473" t="s">
        <v>9192</v>
      </c>
      <c r="J1581" s="508" t="s">
        <v>9193</v>
      </c>
      <c r="K1581" s="275" t="str">
        <f>IFNA(VLOOKUP(D1581,'EAN Codes'!A:C,2,False),"")</f>
        <v/>
      </c>
      <c r="L1581" s="82"/>
      <c r="M1581" s="496" t="b">
        <v>0</v>
      </c>
      <c r="N1581" s="497" t="b">
        <v>0</v>
      </c>
      <c r="O1581" s="497" t="b">
        <v>0</v>
      </c>
      <c r="P1581" s="477" t="b">
        <v>0</v>
      </c>
      <c r="Q1581" s="477" t="b">
        <v>0</v>
      </c>
      <c r="R1581" s="539"/>
      <c r="S1581" s="540"/>
      <c r="T1581" s="480" t="s">
        <v>9194</v>
      </c>
      <c r="U1581" s="481" t="b">
        <v>1</v>
      </c>
      <c r="Z1581" t="b">
        <v>0</v>
      </c>
      <c r="AA1581" t="b">
        <v>0</v>
      </c>
    </row>
    <row r="1582" hidden="1">
      <c r="A1582" s="6">
        <v>1.0</v>
      </c>
      <c r="B1582" s="106" t="s">
        <v>391</v>
      </c>
      <c r="C1582" s="106" t="s">
        <v>8536</v>
      </c>
      <c r="D1582" s="273" t="s">
        <v>9195</v>
      </c>
      <c r="E1582" s="115"/>
      <c r="F1582" s="115"/>
      <c r="G1582" s="115"/>
      <c r="H1582" s="473" t="s">
        <v>135</v>
      </c>
      <c r="I1582" s="473" t="s">
        <v>9196</v>
      </c>
      <c r="J1582" s="475"/>
      <c r="K1582" s="275" t="str">
        <f>IFNA(VLOOKUP(D1582,'EAN Codes'!A:C,2,False),"")</f>
        <v/>
      </c>
      <c r="L1582" s="82"/>
      <c r="M1582" s="496" t="b">
        <v>0</v>
      </c>
      <c r="N1582" s="477" t="b">
        <v>0</v>
      </c>
      <c r="O1582" s="497" t="b">
        <v>0</v>
      </c>
      <c r="P1582" s="497" t="b">
        <v>1</v>
      </c>
      <c r="Q1582" s="477" t="b">
        <v>0</v>
      </c>
      <c r="R1582" s="478" t="s">
        <v>9197</v>
      </c>
      <c r="S1582" s="540"/>
      <c r="T1582" s="480" t="s">
        <v>9198</v>
      </c>
      <c r="U1582" s="481" t="b">
        <v>1</v>
      </c>
      <c r="Z1582" s="6" t="b">
        <v>1</v>
      </c>
      <c r="AA1582" t="b">
        <v>0</v>
      </c>
    </row>
    <row r="1583" hidden="1">
      <c r="A1583" s="6">
        <v>1.0</v>
      </c>
      <c r="B1583" s="106" t="s">
        <v>391</v>
      </c>
      <c r="C1583" s="106" t="s">
        <v>8536</v>
      </c>
      <c r="D1583" s="273" t="s">
        <v>8978</v>
      </c>
      <c r="E1583" s="115"/>
      <c r="F1583" s="115"/>
      <c r="G1583" s="115"/>
      <c r="H1583" s="473" t="s">
        <v>135</v>
      </c>
      <c r="I1583" s="473" t="s">
        <v>9196</v>
      </c>
      <c r="J1583" s="475"/>
      <c r="K1583" s="275" t="str">
        <f>IFNA(VLOOKUP(D1583,'EAN Codes'!A:C,2,False),"")</f>
        <v/>
      </c>
      <c r="L1583" s="82"/>
      <c r="M1583" s="496" t="b">
        <v>0</v>
      </c>
      <c r="N1583" s="477" t="b">
        <v>0</v>
      </c>
      <c r="O1583" s="497" t="b">
        <v>0</v>
      </c>
      <c r="P1583" s="497" t="b">
        <v>1</v>
      </c>
      <c r="Q1583" s="477" t="b">
        <v>0</v>
      </c>
      <c r="R1583" s="478" t="s">
        <v>9092</v>
      </c>
      <c r="S1583" s="540"/>
      <c r="T1583" s="543"/>
      <c r="U1583" s="481" t="b">
        <v>1</v>
      </c>
      <c r="Z1583" s="6" t="b">
        <v>1</v>
      </c>
      <c r="AA1583" t="b">
        <v>0</v>
      </c>
    </row>
    <row r="1584" hidden="1">
      <c r="A1584" s="6">
        <v>1.0</v>
      </c>
      <c r="B1584" s="6" t="s">
        <v>9199</v>
      </c>
      <c r="C1584" s="6" t="s">
        <v>8536</v>
      </c>
      <c r="D1584" s="127" t="s">
        <v>9200</v>
      </c>
      <c r="F1584" s="6" t="s">
        <v>9201</v>
      </c>
      <c r="H1584" s="473" t="s">
        <v>135</v>
      </c>
      <c r="I1584" s="473"/>
      <c r="J1584" s="475"/>
      <c r="K1584" s="275"/>
      <c r="L1584" s="82"/>
      <c r="M1584" s="496" t="b">
        <v>1</v>
      </c>
      <c r="N1584" s="477" t="b">
        <v>0</v>
      </c>
      <c r="O1584" s="497" t="b">
        <v>1</v>
      </c>
      <c r="P1584" s="497" t="b">
        <v>0</v>
      </c>
      <c r="Q1584" s="477" t="b">
        <v>0</v>
      </c>
      <c r="R1584" s="478"/>
      <c r="S1584" s="540"/>
      <c r="T1584" s="543"/>
      <c r="U1584" s="481" t="b">
        <v>1</v>
      </c>
      <c r="V1584" s="6" t="s">
        <v>9202</v>
      </c>
      <c r="Z1584" s="6" t="b">
        <v>1</v>
      </c>
      <c r="AA1584" t="b">
        <v>0</v>
      </c>
      <c r="AC1584" s="35">
        <v>276.08</v>
      </c>
      <c r="AD1584" t="str">
        <f>IFNA(IFS(U1584=False,D1584),"")</f>
        <v/>
      </c>
      <c r="AE1584" t="str">
        <f>IFNA(IFS(U1584=false,H1584),"")</f>
        <v/>
      </c>
    </row>
    <row r="1585" hidden="1">
      <c r="A1585" s="6">
        <v>1.0</v>
      </c>
      <c r="B1585" s="6" t="s">
        <v>9199</v>
      </c>
      <c r="C1585" s="6" t="s">
        <v>8536</v>
      </c>
      <c r="D1585" s="127" t="s">
        <v>9203</v>
      </c>
      <c r="F1585" s="6" t="s">
        <v>1347</v>
      </c>
      <c r="H1585" s="473" t="s">
        <v>135</v>
      </c>
      <c r="I1585" s="473"/>
      <c r="J1585" s="475"/>
      <c r="K1585" s="275"/>
      <c r="L1585" s="82"/>
      <c r="M1585" s="496" t="b">
        <v>1</v>
      </c>
      <c r="N1585" s="477" t="b">
        <v>0</v>
      </c>
      <c r="O1585" s="497" t="b">
        <v>1</v>
      </c>
      <c r="P1585" s="497" t="b">
        <v>0</v>
      </c>
      <c r="Q1585" s="477" t="b">
        <v>0</v>
      </c>
      <c r="R1585" s="478"/>
      <c r="S1585" s="540"/>
      <c r="T1585" s="543"/>
      <c r="U1585" s="481" t="b">
        <v>1</v>
      </c>
      <c r="Z1585" t="b">
        <v>0</v>
      </c>
      <c r="AA1585" t="b">
        <v>0</v>
      </c>
    </row>
    <row r="1586">
      <c r="B1586" s="99"/>
      <c r="C1586" s="99"/>
      <c r="D1586" s="100"/>
      <c r="E1586" s="101"/>
      <c r="F1586" s="99"/>
      <c r="H1586" s="473"/>
      <c r="I1586" s="473"/>
      <c r="J1586" s="475"/>
      <c r="K1586" s="275"/>
      <c r="L1586" s="82"/>
      <c r="M1586" s="496" t="b">
        <v>0</v>
      </c>
      <c r="N1586" s="477" t="b">
        <v>0</v>
      </c>
      <c r="O1586" s="497" t="b">
        <v>0</v>
      </c>
      <c r="P1586" s="497" t="b">
        <v>0</v>
      </c>
      <c r="Q1586" s="477" t="b">
        <v>0</v>
      </c>
      <c r="R1586" s="478"/>
      <c r="S1586" s="540"/>
      <c r="T1586" s="543"/>
      <c r="U1586" s="514" t="b">
        <v>0</v>
      </c>
      <c r="V1586" s="6" t="s">
        <v>9204</v>
      </c>
      <c r="Z1586" s="6" t="b">
        <v>1</v>
      </c>
      <c r="AA1586" s="6" t="b">
        <v>0</v>
      </c>
      <c r="AC1586" s="35">
        <v>489.52</v>
      </c>
      <c r="AD1586" t="str">
        <f t="shared" ref="AD1586:AD1588" si="35">IFNA(IFS(U1586=False,D1586),"")</f>
        <v/>
      </c>
      <c r="AE1586" t="str">
        <f t="shared" ref="AE1586:AE1588" si="36">IFNA(IFS(U1586=false,H1586),"")</f>
        <v/>
      </c>
    </row>
    <row r="1587">
      <c r="B1587" s="99"/>
      <c r="C1587" s="99"/>
      <c r="D1587" s="100"/>
      <c r="E1587" s="101"/>
      <c r="F1587" s="101"/>
      <c r="H1587" s="473"/>
      <c r="I1587" s="474"/>
      <c r="J1587" s="508"/>
      <c r="K1587" s="275" t="str">
        <f>IFNA(VLOOKUP(D1587,'EAN Codes'!A:C,2,False),"")</f>
        <v/>
      </c>
      <c r="L1587" s="82"/>
      <c r="M1587" s="496" t="b">
        <v>0</v>
      </c>
      <c r="N1587" s="477" t="b">
        <v>0</v>
      </c>
      <c r="O1587" s="497" t="b">
        <v>0</v>
      </c>
      <c r="P1587" s="477" t="b">
        <v>0</v>
      </c>
      <c r="Q1587" s="477" t="b">
        <v>0</v>
      </c>
      <c r="R1587" s="539"/>
      <c r="S1587" s="540"/>
      <c r="T1587" s="543"/>
      <c r="U1587" s="514" t="b">
        <v>0</v>
      </c>
      <c r="Z1587" s="6" t="b">
        <v>1</v>
      </c>
      <c r="AA1587" s="6" t="b">
        <v>0</v>
      </c>
      <c r="AC1587" s="82"/>
      <c r="AD1587" t="str">
        <f t="shared" si="35"/>
        <v/>
      </c>
      <c r="AE1587" t="str">
        <f t="shared" si="36"/>
        <v/>
      </c>
    </row>
    <row r="1588">
      <c r="B1588" s="99"/>
      <c r="C1588" s="99"/>
      <c r="D1588" s="100"/>
      <c r="E1588" s="101"/>
      <c r="F1588" s="101"/>
      <c r="H1588" s="473"/>
      <c r="I1588" s="474"/>
      <c r="J1588" s="508"/>
      <c r="K1588" s="275" t="str">
        <f>IFNA(VLOOKUP(D1588,'EAN Codes'!A:C,2,False),"")</f>
        <v/>
      </c>
      <c r="L1588" s="82"/>
      <c r="M1588" s="496" t="b">
        <v>0</v>
      </c>
      <c r="N1588" s="477" t="b">
        <v>0</v>
      </c>
      <c r="O1588" s="497" t="b">
        <v>0</v>
      </c>
      <c r="P1588" s="477" t="b">
        <v>0</v>
      </c>
      <c r="Q1588" s="477" t="b">
        <v>0</v>
      </c>
      <c r="R1588" s="539"/>
      <c r="S1588" s="540"/>
      <c r="T1588" s="543"/>
      <c r="U1588" s="514" t="b">
        <v>0</v>
      </c>
      <c r="Z1588" s="6" t="b">
        <v>1</v>
      </c>
      <c r="AA1588" s="6" t="b">
        <v>0</v>
      </c>
      <c r="AC1588" s="82"/>
      <c r="AD1588" t="str">
        <f t="shared" si="35"/>
        <v/>
      </c>
      <c r="AE1588" t="str">
        <f t="shared" si="36"/>
        <v/>
      </c>
    </row>
    <row r="1589" hidden="1">
      <c r="A1589" s="6">
        <v>1.0</v>
      </c>
      <c r="B1589" s="99" t="s">
        <v>8287</v>
      </c>
      <c r="C1589" s="99" t="s">
        <v>408</v>
      </c>
      <c r="D1589" s="100" t="s">
        <v>8350</v>
      </c>
      <c r="H1589" s="473" t="s">
        <v>135</v>
      </c>
      <c r="I1589" s="474"/>
      <c r="J1589" s="475"/>
      <c r="K1589" s="275" t="str">
        <f>IFNA(VLOOKUP(D1589,'EAN Codes'!A:C,2,False),"")</f>
        <v/>
      </c>
      <c r="L1589" s="82"/>
      <c r="M1589" s="496" t="b">
        <v>0</v>
      </c>
      <c r="N1589" s="477" t="b">
        <v>0</v>
      </c>
      <c r="O1589" s="497" t="b">
        <v>0</v>
      </c>
      <c r="P1589" s="477" t="b">
        <v>0</v>
      </c>
      <c r="Q1589" s="477" t="b">
        <v>0</v>
      </c>
      <c r="R1589" s="539"/>
      <c r="S1589" s="540"/>
      <c r="T1589" s="480">
        <v>371609.0</v>
      </c>
      <c r="U1589" s="481" t="b">
        <v>1</v>
      </c>
      <c r="Z1589" t="b">
        <v>0</v>
      </c>
      <c r="AA1589" t="b">
        <v>0</v>
      </c>
    </row>
    <row r="1590" hidden="1">
      <c r="A1590" s="6">
        <v>1.0</v>
      </c>
      <c r="B1590" s="6" t="s">
        <v>8287</v>
      </c>
      <c r="C1590" s="6" t="s">
        <v>342</v>
      </c>
      <c r="D1590" s="127" t="s">
        <v>8380</v>
      </c>
      <c r="H1590" s="473" t="s">
        <v>135</v>
      </c>
      <c r="I1590" s="474"/>
      <c r="J1590" s="475"/>
      <c r="K1590" s="275" t="str">
        <f>IFNA(VLOOKUP(D1590,'EAN Codes'!A:C,2,False),"")</f>
        <v/>
      </c>
      <c r="L1590" s="82"/>
      <c r="M1590" s="496" t="b">
        <v>0</v>
      </c>
      <c r="N1590" s="477" t="b">
        <v>0</v>
      </c>
      <c r="O1590" s="497" t="b">
        <v>0</v>
      </c>
      <c r="P1590" s="477" t="b">
        <v>0</v>
      </c>
      <c r="Q1590" s="477" t="b">
        <v>0</v>
      </c>
      <c r="R1590" s="539"/>
      <c r="S1590" s="540"/>
      <c r="T1590" s="480">
        <v>371607.0</v>
      </c>
      <c r="U1590" s="481" t="b">
        <v>1</v>
      </c>
      <c r="Z1590" t="b">
        <v>0</v>
      </c>
      <c r="AA1590" t="b">
        <v>0</v>
      </c>
    </row>
    <row r="1591" hidden="1">
      <c r="A1591" s="99">
        <v>1.0</v>
      </c>
      <c r="B1591" s="99" t="s">
        <v>8287</v>
      </c>
      <c r="C1591" s="99" t="s">
        <v>408</v>
      </c>
      <c r="D1591" s="100" t="s">
        <v>9205</v>
      </c>
      <c r="E1591" s="101"/>
      <c r="F1591" s="101"/>
      <c r="H1591" s="473" t="s">
        <v>135</v>
      </c>
      <c r="I1591" s="474"/>
      <c r="J1591" s="475"/>
      <c r="K1591" s="275" t="str">
        <f>IFNA(VLOOKUP(D1591,'EAN Codes'!A:C,2,False),"")</f>
        <v/>
      </c>
      <c r="L1591" s="82"/>
      <c r="M1591" s="496" t="b">
        <v>0</v>
      </c>
      <c r="N1591" s="477" t="b">
        <v>0</v>
      </c>
      <c r="O1591" s="497" t="b">
        <v>0</v>
      </c>
      <c r="P1591" s="477" t="b">
        <v>0</v>
      </c>
      <c r="Q1591" s="477" t="b">
        <v>0</v>
      </c>
      <c r="R1591" s="539"/>
      <c r="S1591" s="540"/>
      <c r="T1591" s="480">
        <v>371948.0</v>
      </c>
      <c r="U1591" s="481" t="b">
        <v>1</v>
      </c>
      <c r="Z1591" s="6" t="b">
        <v>1</v>
      </c>
      <c r="AA1591" t="b">
        <v>0</v>
      </c>
    </row>
    <row r="1592" hidden="1">
      <c r="A1592" s="6">
        <v>1.0</v>
      </c>
      <c r="B1592" s="99" t="s">
        <v>8287</v>
      </c>
      <c r="C1592" s="99" t="s">
        <v>408</v>
      </c>
      <c r="D1592" s="100" t="s">
        <v>9062</v>
      </c>
      <c r="H1592" s="473" t="s">
        <v>135</v>
      </c>
      <c r="I1592" s="474"/>
      <c r="J1592" s="475"/>
      <c r="K1592" s="275" t="str">
        <f>IFNA(VLOOKUP(D1592,'EAN Codes'!A:C,2,False),"")</f>
        <v/>
      </c>
      <c r="L1592" s="82"/>
      <c r="M1592" s="496" t="b">
        <v>0</v>
      </c>
      <c r="N1592" s="477" t="b">
        <v>0</v>
      </c>
      <c r="O1592" s="497" t="b">
        <v>0</v>
      </c>
      <c r="P1592" s="477" t="b">
        <v>0</v>
      </c>
      <c r="Q1592" s="477" t="b">
        <v>0</v>
      </c>
      <c r="R1592" s="539"/>
      <c r="S1592" s="540"/>
      <c r="T1592" s="322">
        <v>372666.0</v>
      </c>
      <c r="U1592" s="481" t="b">
        <v>1</v>
      </c>
      <c r="Z1592" s="6" t="b">
        <v>1</v>
      </c>
      <c r="AA1592" t="b">
        <v>0</v>
      </c>
    </row>
    <row r="1593" hidden="1">
      <c r="A1593" s="6">
        <v>1.0</v>
      </c>
      <c r="B1593" s="106" t="s">
        <v>241</v>
      </c>
      <c r="C1593" s="106" t="s">
        <v>1813</v>
      </c>
      <c r="D1593" s="273" t="s">
        <v>9206</v>
      </c>
      <c r="E1593" s="106" t="s">
        <v>346</v>
      </c>
      <c r="F1593" s="115"/>
      <c r="G1593" s="115"/>
      <c r="H1593" s="624" t="s">
        <v>9207</v>
      </c>
      <c r="I1593" s="474"/>
      <c r="J1593" s="508" t="s">
        <v>9208</v>
      </c>
      <c r="K1593" s="275" t="str">
        <f>IFNA(VLOOKUP(D1593,'EAN Codes'!A:C,2,False),"")</f>
        <v/>
      </c>
      <c r="L1593" s="82"/>
      <c r="M1593" s="496" t="b">
        <v>0</v>
      </c>
      <c r="N1593" s="497" t="b">
        <v>1</v>
      </c>
      <c r="O1593" s="497" t="b">
        <v>0</v>
      </c>
      <c r="P1593" s="477" t="b">
        <v>0</v>
      </c>
      <c r="Q1593" s="477" t="b">
        <v>0</v>
      </c>
      <c r="R1593" s="478" t="s">
        <v>269</v>
      </c>
      <c r="S1593" s="540"/>
      <c r="T1593" s="543"/>
      <c r="U1593" s="481" t="b">
        <v>1</v>
      </c>
      <c r="Z1593" t="b">
        <v>0</v>
      </c>
      <c r="AA1593" t="b">
        <v>0</v>
      </c>
    </row>
    <row r="1594" hidden="1">
      <c r="A1594" s="6">
        <v>1.0</v>
      </c>
      <c r="B1594" s="86" t="s">
        <v>241</v>
      </c>
      <c r="C1594" s="86" t="s">
        <v>4382</v>
      </c>
      <c r="D1594" s="87" t="s">
        <v>9209</v>
      </c>
      <c r="E1594" s="86" t="s">
        <v>373</v>
      </c>
      <c r="F1594" s="86" t="s">
        <v>4925</v>
      </c>
      <c r="G1594" s="86" t="s">
        <v>8148</v>
      </c>
      <c r="H1594" s="160" t="s">
        <v>9210</v>
      </c>
      <c r="I1594" s="473" t="s">
        <v>9211</v>
      </c>
      <c r="J1594" s="508" t="s">
        <v>9212</v>
      </c>
      <c r="K1594" s="275" t="str">
        <f>IFNA(VLOOKUP(D1594,'EAN Codes'!A:C,2,False),"")</f>
        <v/>
      </c>
      <c r="L1594" s="82"/>
      <c r="M1594" s="496" t="b">
        <v>0</v>
      </c>
      <c r="N1594" s="477" t="b">
        <v>0</v>
      </c>
      <c r="O1594" s="497" t="b">
        <v>0</v>
      </c>
      <c r="P1594" s="477" t="b">
        <v>0</v>
      </c>
      <c r="Q1594" s="477" t="b">
        <v>0</v>
      </c>
      <c r="R1594" s="539"/>
      <c r="S1594" s="540"/>
      <c r="T1594" s="480" t="s">
        <v>9213</v>
      </c>
      <c r="U1594" s="481" t="b">
        <v>1</v>
      </c>
      <c r="V1594" s="6" t="s">
        <v>9214</v>
      </c>
      <c r="Z1594" t="b">
        <v>0</v>
      </c>
      <c r="AA1594" t="b">
        <v>0</v>
      </c>
    </row>
    <row r="1595" hidden="1">
      <c r="A1595" s="6">
        <v>1.0</v>
      </c>
      <c r="B1595" s="86" t="s">
        <v>181</v>
      </c>
      <c r="C1595" s="86" t="s">
        <v>1116</v>
      </c>
      <c r="D1595" s="87" t="s">
        <v>8446</v>
      </c>
      <c r="E1595" s="86" t="s">
        <v>1110</v>
      </c>
      <c r="F1595" s="99" t="s">
        <v>9215</v>
      </c>
      <c r="H1595" s="473" t="s">
        <v>135</v>
      </c>
      <c r="I1595" s="474"/>
      <c r="J1595" s="475"/>
      <c r="K1595" s="275" t="str">
        <f>IFNA(VLOOKUP(D1595,'EAN Codes'!A:C,2,False),"")</f>
        <v/>
      </c>
      <c r="L1595" s="82"/>
      <c r="M1595" s="496" t="b">
        <v>0</v>
      </c>
      <c r="N1595" s="477" t="b">
        <v>0</v>
      </c>
      <c r="O1595" s="497" t="b">
        <v>0</v>
      </c>
      <c r="P1595" s="477" t="b">
        <v>0</v>
      </c>
      <c r="Q1595" s="477" t="b">
        <v>0</v>
      </c>
      <c r="R1595" s="539"/>
      <c r="S1595" s="540"/>
      <c r="T1595" s="480" t="s">
        <v>9216</v>
      </c>
      <c r="U1595" s="481" t="b">
        <v>1</v>
      </c>
      <c r="Z1595" t="b">
        <v>0</v>
      </c>
      <c r="AA1595" t="b">
        <v>0</v>
      </c>
    </row>
    <row r="1596" hidden="1">
      <c r="A1596" s="6">
        <v>1.0</v>
      </c>
      <c r="B1596" s="106" t="s">
        <v>181</v>
      </c>
      <c r="C1596" s="106" t="s">
        <v>1116</v>
      </c>
      <c r="D1596" s="273" t="s">
        <v>8446</v>
      </c>
      <c r="E1596" s="106" t="s">
        <v>1110</v>
      </c>
      <c r="F1596" s="6" t="s">
        <v>9215</v>
      </c>
      <c r="H1596" s="473" t="s">
        <v>9217</v>
      </c>
      <c r="I1596" s="474"/>
      <c r="J1596" s="475"/>
      <c r="K1596" s="275" t="str">
        <f>IFNA(VLOOKUP(D1596,'EAN Codes'!A:C,2,False),"")</f>
        <v/>
      </c>
      <c r="L1596" s="82"/>
      <c r="M1596" s="496" t="b">
        <v>0</v>
      </c>
      <c r="N1596" s="477" t="b">
        <v>0</v>
      </c>
      <c r="O1596" s="497" t="b">
        <v>0</v>
      </c>
      <c r="P1596" s="477" t="b">
        <v>0</v>
      </c>
      <c r="Q1596" s="477" t="b">
        <v>0</v>
      </c>
      <c r="R1596" s="539"/>
      <c r="S1596" s="540"/>
      <c r="T1596" s="543"/>
      <c r="U1596" s="481" t="b">
        <v>1</v>
      </c>
      <c r="Z1596" s="6" t="b">
        <v>1</v>
      </c>
      <c r="AA1596" t="b">
        <v>0</v>
      </c>
    </row>
    <row r="1597" hidden="1">
      <c r="A1597" s="6">
        <v>1.0</v>
      </c>
      <c r="B1597" s="99" t="s">
        <v>8287</v>
      </c>
      <c r="C1597" s="99" t="s">
        <v>342</v>
      </c>
      <c r="D1597" s="100" t="s">
        <v>8367</v>
      </c>
      <c r="H1597" s="473" t="s">
        <v>135</v>
      </c>
      <c r="I1597" s="474"/>
      <c r="J1597" s="475"/>
      <c r="K1597" s="275" t="str">
        <f>IFNA(VLOOKUP(D1597,'EAN Codes'!A:C,2,False),"")</f>
        <v/>
      </c>
      <c r="L1597" s="82"/>
      <c r="M1597" s="496" t="b">
        <v>0</v>
      </c>
      <c r="N1597" s="477" t="b">
        <v>0</v>
      </c>
      <c r="O1597" s="497" t="b">
        <v>0</v>
      </c>
      <c r="P1597" s="477" t="b">
        <v>0</v>
      </c>
      <c r="Q1597" s="477" t="b">
        <v>0</v>
      </c>
      <c r="R1597" s="539"/>
      <c r="S1597" s="540"/>
      <c r="T1597" s="480">
        <v>370076.0</v>
      </c>
      <c r="U1597" s="481" t="b">
        <v>1</v>
      </c>
      <c r="Z1597" t="b">
        <v>0</v>
      </c>
      <c r="AA1597" t="b">
        <v>0</v>
      </c>
    </row>
    <row r="1598" hidden="1">
      <c r="A1598" s="6">
        <v>1.0</v>
      </c>
      <c r="B1598" s="6" t="s">
        <v>4408</v>
      </c>
      <c r="C1598" s="6" t="s">
        <v>408</v>
      </c>
      <c r="D1598" s="127" t="s">
        <v>9218</v>
      </c>
      <c r="H1598" s="473" t="s">
        <v>135</v>
      </c>
      <c r="I1598" s="473" t="s">
        <v>9219</v>
      </c>
      <c r="J1598" s="508" t="s">
        <v>9220</v>
      </c>
      <c r="K1598" s="275" t="str">
        <f>IFNA(VLOOKUP(D1598,'EAN Codes'!A:C,2,False),"")</f>
        <v/>
      </c>
      <c r="L1598" s="82"/>
      <c r="M1598" s="496" t="b">
        <v>0</v>
      </c>
      <c r="N1598" s="477" t="b">
        <v>0</v>
      </c>
      <c r="O1598" s="497" t="b">
        <v>0</v>
      </c>
      <c r="P1598" s="477" t="b">
        <v>0</v>
      </c>
      <c r="Q1598" s="477" t="b">
        <v>0</v>
      </c>
      <c r="R1598" s="539"/>
      <c r="S1598" s="540"/>
      <c r="T1598" s="480">
        <v>372095.0</v>
      </c>
      <c r="U1598" s="481" t="b">
        <v>1</v>
      </c>
      <c r="Z1598" s="6" t="b">
        <v>1</v>
      </c>
      <c r="AA1598" t="b">
        <v>0</v>
      </c>
    </row>
    <row r="1599">
      <c r="B1599" s="86"/>
      <c r="C1599" s="99"/>
      <c r="D1599" s="100"/>
      <c r="E1599" s="86"/>
      <c r="F1599" s="99"/>
      <c r="H1599" s="473"/>
      <c r="I1599" s="473"/>
      <c r="J1599" s="475"/>
      <c r="K1599" s="275" t="str">
        <f>IFNA(VLOOKUP(D1599,'EAN Codes'!A:C,2,False),"")</f>
        <v/>
      </c>
      <c r="L1599" s="82"/>
      <c r="M1599" s="496" t="b">
        <v>0</v>
      </c>
      <c r="N1599" s="477" t="b">
        <v>0</v>
      </c>
      <c r="O1599" s="497" t="b">
        <v>0</v>
      </c>
      <c r="P1599" s="477" t="b">
        <v>0</v>
      </c>
      <c r="Q1599" s="477" t="b">
        <v>0</v>
      </c>
      <c r="R1599" s="539"/>
      <c r="S1599" s="540"/>
      <c r="T1599" s="543"/>
      <c r="U1599" s="514" t="b">
        <v>0</v>
      </c>
      <c r="Z1599" s="6" t="b">
        <v>1</v>
      </c>
      <c r="AA1599" s="6" t="b">
        <v>0</v>
      </c>
      <c r="AC1599" s="82"/>
      <c r="AD1599" t="str">
        <f>IFNA(IFS(U1599=False,D1599),"")</f>
        <v/>
      </c>
      <c r="AE1599" t="str">
        <f>IFNA(IFS(U1599=false,H1599),"")</f>
        <v/>
      </c>
    </row>
    <row r="1600" hidden="1">
      <c r="A1600" s="6">
        <v>1.0</v>
      </c>
      <c r="B1600" s="99" t="s">
        <v>241</v>
      </c>
      <c r="C1600" s="99" t="s">
        <v>342</v>
      </c>
      <c r="D1600" s="100" t="s">
        <v>4804</v>
      </c>
      <c r="E1600" s="101"/>
      <c r="F1600" s="99" t="s">
        <v>8365</v>
      </c>
      <c r="H1600" s="473" t="s">
        <v>717</v>
      </c>
      <c r="I1600" s="473" t="s">
        <v>8361</v>
      </c>
      <c r="J1600" s="475"/>
      <c r="K1600" s="275" t="str">
        <f>IFNA(VLOOKUP(D1600,'EAN Codes'!A:C,2,False),"")</f>
        <v>5907615824265</v>
      </c>
      <c r="L1600" s="82"/>
      <c r="M1600" s="496" t="b">
        <v>0</v>
      </c>
      <c r="N1600" s="477" t="b">
        <v>0</v>
      </c>
      <c r="O1600" s="497" t="b">
        <v>0</v>
      </c>
      <c r="P1600" s="477" t="b">
        <v>0</v>
      </c>
      <c r="Q1600" s="497" t="b">
        <v>1</v>
      </c>
      <c r="R1600" s="478" t="s">
        <v>9221</v>
      </c>
      <c r="S1600" s="540"/>
      <c r="T1600" s="480" t="s">
        <v>9222</v>
      </c>
      <c r="U1600" s="481" t="b">
        <v>1</v>
      </c>
      <c r="Z1600" t="b">
        <v>0</v>
      </c>
      <c r="AA1600" t="b">
        <v>0</v>
      </c>
    </row>
    <row r="1601" hidden="1">
      <c r="A1601" s="6">
        <v>1.0</v>
      </c>
      <c r="B1601" s="6" t="s">
        <v>391</v>
      </c>
      <c r="C1601" s="6" t="s">
        <v>8536</v>
      </c>
      <c r="D1601" s="127" t="s">
        <v>8978</v>
      </c>
      <c r="F1601" s="6" t="s">
        <v>9223</v>
      </c>
      <c r="H1601" s="473" t="s">
        <v>135</v>
      </c>
      <c r="I1601" s="473" t="s">
        <v>9224</v>
      </c>
      <c r="J1601" s="508" t="s">
        <v>9225</v>
      </c>
      <c r="K1601" s="275" t="str">
        <f>IFNA(VLOOKUP(D1601,'EAN Codes'!A:C,2,False),"")</f>
        <v/>
      </c>
      <c r="L1601" s="82"/>
      <c r="M1601" s="496" t="b">
        <v>0</v>
      </c>
      <c r="N1601" s="477" t="b">
        <v>0</v>
      </c>
      <c r="O1601" s="497" t="b">
        <v>0</v>
      </c>
      <c r="P1601" s="477" t="b">
        <v>0</v>
      </c>
      <c r="Q1601" s="477" t="b">
        <v>0</v>
      </c>
      <c r="R1601" s="539"/>
      <c r="S1601" s="540"/>
      <c r="T1601" s="543"/>
      <c r="U1601" s="481" t="b">
        <v>1</v>
      </c>
      <c r="Z1601" t="b">
        <v>0</v>
      </c>
      <c r="AA1601" t="b">
        <v>0</v>
      </c>
    </row>
    <row r="1602" hidden="1">
      <c r="A1602" s="6">
        <v>1.0</v>
      </c>
      <c r="B1602" s="191" t="s">
        <v>241</v>
      </c>
      <c r="C1602" s="191" t="s">
        <v>342</v>
      </c>
      <c r="D1602" s="507" t="s">
        <v>9226</v>
      </c>
      <c r="E1602" s="191"/>
      <c r="F1602" s="191" t="s">
        <v>9227</v>
      </c>
      <c r="G1602" s="124"/>
      <c r="H1602" s="473" t="s">
        <v>9228</v>
      </c>
      <c r="I1602" s="473" t="s">
        <v>9229</v>
      </c>
      <c r="J1602" s="508" t="s">
        <v>9212</v>
      </c>
      <c r="K1602" s="275" t="str">
        <f>IFNA(VLOOKUP(D1602,'EAN Codes'!A:C,2,False),"")</f>
        <v/>
      </c>
      <c r="L1602" s="82"/>
      <c r="M1602" s="496" t="b">
        <v>0</v>
      </c>
      <c r="N1602" s="497" t="b">
        <v>1</v>
      </c>
      <c r="O1602" s="497" t="b">
        <v>0</v>
      </c>
      <c r="P1602" s="477" t="b">
        <v>0</v>
      </c>
      <c r="Q1602" s="477" t="b">
        <v>0</v>
      </c>
      <c r="R1602" s="539"/>
      <c r="S1602" s="479" t="s">
        <v>269</v>
      </c>
      <c r="T1602" s="543"/>
      <c r="U1602" s="481" t="b">
        <v>1</v>
      </c>
      <c r="Z1602" t="b">
        <v>0</v>
      </c>
      <c r="AA1602" t="b">
        <v>0</v>
      </c>
    </row>
    <row r="1603" hidden="1">
      <c r="A1603" s="6">
        <v>1.0</v>
      </c>
      <c r="B1603" s="623" t="s">
        <v>241</v>
      </c>
      <c r="C1603" s="623" t="s">
        <v>1217</v>
      </c>
      <c r="D1603" s="626" t="s">
        <v>9230</v>
      </c>
      <c r="E1603" s="623" t="s">
        <v>409</v>
      </c>
      <c r="F1603" s="623" t="s">
        <v>5392</v>
      </c>
      <c r="G1603" s="623" t="s">
        <v>5393</v>
      </c>
      <c r="H1603" s="624" t="s">
        <v>360</v>
      </c>
      <c r="I1603" s="473" t="s">
        <v>9231</v>
      </c>
      <c r="J1603" s="508" t="s">
        <v>9232</v>
      </c>
      <c r="K1603" s="275" t="str">
        <f>IFNA(VLOOKUP(D1603,'EAN Codes'!A:C,2,False),"")</f>
        <v>68162</v>
      </c>
      <c r="L1603" s="82"/>
      <c r="M1603" s="496" t="b">
        <v>1</v>
      </c>
      <c r="N1603" s="497" t="b">
        <v>1</v>
      </c>
      <c r="O1603" s="497" t="b">
        <v>0</v>
      </c>
      <c r="P1603" s="477" t="b">
        <v>0</v>
      </c>
      <c r="Q1603" s="477" t="b">
        <v>0</v>
      </c>
      <c r="R1603" s="478" t="s">
        <v>9233</v>
      </c>
      <c r="S1603" s="479" t="s">
        <v>8078</v>
      </c>
      <c r="T1603" s="543"/>
      <c r="U1603" s="481" t="b">
        <v>1</v>
      </c>
      <c r="Z1603" t="b">
        <v>0</v>
      </c>
      <c r="AA1603" t="b">
        <v>0</v>
      </c>
    </row>
    <row r="1604" hidden="1">
      <c r="A1604" s="6">
        <v>1.0</v>
      </c>
      <c r="B1604" s="106" t="s">
        <v>241</v>
      </c>
      <c r="C1604" s="6" t="s">
        <v>1813</v>
      </c>
      <c r="D1604" s="127" t="s">
        <v>3082</v>
      </c>
      <c r="E1604" s="6" t="s">
        <v>346</v>
      </c>
      <c r="H1604" s="473" t="s">
        <v>9207</v>
      </c>
      <c r="I1604" s="474"/>
      <c r="J1604" s="508" t="s">
        <v>9234</v>
      </c>
      <c r="K1604" s="275" t="str">
        <f>IFNA(VLOOKUP(D1604,'EAN Codes'!A:C,2,False),"")</f>
        <v/>
      </c>
      <c r="L1604" s="82"/>
      <c r="M1604" s="496" t="b">
        <v>0</v>
      </c>
      <c r="N1604" s="477" t="b">
        <v>0</v>
      </c>
      <c r="O1604" s="497" t="b">
        <v>0</v>
      </c>
      <c r="P1604" s="477" t="b">
        <v>0</v>
      </c>
      <c r="Q1604" s="477" t="b">
        <v>0</v>
      </c>
      <c r="R1604" s="539"/>
      <c r="S1604" s="540"/>
      <c r="T1604" s="543"/>
      <c r="U1604" s="481" t="b">
        <v>1</v>
      </c>
      <c r="Z1604" s="6" t="b">
        <v>1</v>
      </c>
      <c r="AA1604" t="b">
        <v>0</v>
      </c>
    </row>
    <row r="1605" hidden="1">
      <c r="A1605" s="6">
        <v>1.0</v>
      </c>
      <c r="B1605" s="86" t="s">
        <v>241</v>
      </c>
      <c r="C1605" s="86" t="s">
        <v>342</v>
      </c>
      <c r="D1605" s="87" t="s">
        <v>4932</v>
      </c>
      <c r="E1605" s="86" t="s">
        <v>346</v>
      </c>
      <c r="F1605" s="86" t="s">
        <v>4937</v>
      </c>
      <c r="G1605" s="86" t="s">
        <v>9235</v>
      </c>
      <c r="H1605" s="160" t="s">
        <v>1029</v>
      </c>
      <c r="I1605" s="473" t="s">
        <v>9236</v>
      </c>
      <c r="J1605" s="508" t="s">
        <v>9237</v>
      </c>
      <c r="K1605" s="275" t="str">
        <f>IFNA(VLOOKUP(D1605,'EAN Codes'!A:C,2,False),"")</f>
        <v>5907615827037</v>
      </c>
      <c r="L1605" s="82"/>
      <c r="M1605" s="496" t="b">
        <v>0</v>
      </c>
      <c r="N1605" s="497" t="b">
        <v>1</v>
      </c>
      <c r="O1605" s="497" t="b">
        <v>0</v>
      </c>
      <c r="P1605" s="477" t="b">
        <v>0</v>
      </c>
      <c r="Q1605" s="477" t="b">
        <v>0</v>
      </c>
      <c r="R1605" s="539"/>
      <c r="S1605" s="540"/>
      <c r="T1605" s="480" t="s">
        <v>9238</v>
      </c>
      <c r="U1605" s="481" t="b">
        <v>1</v>
      </c>
      <c r="Z1605" t="b">
        <v>0</v>
      </c>
      <c r="AA1605" t="b">
        <v>0</v>
      </c>
    </row>
    <row r="1606">
      <c r="B1606" s="86"/>
      <c r="C1606" s="86"/>
      <c r="D1606" s="87"/>
      <c r="E1606" s="101"/>
      <c r="F1606" s="101"/>
      <c r="H1606" s="473"/>
      <c r="I1606" s="474"/>
      <c r="J1606" s="475"/>
      <c r="K1606" s="275" t="str">
        <f>IFNA(VLOOKUP(D1606,'EAN Codes'!A:C,2,False),"")</f>
        <v/>
      </c>
      <c r="L1606" s="82"/>
      <c r="M1606" s="496" t="b">
        <v>0</v>
      </c>
      <c r="N1606" s="477" t="b">
        <v>0</v>
      </c>
      <c r="O1606" s="497" t="b">
        <v>0</v>
      </c>
      <c r="P1606" s="477" t="b">
        <v>0</v>
      </c>
      <c r="Q1606" s="477" t="b">
        <v>0</v>
      </c>
      <c r="R1606" s="539"/>
      <c r="S1606" s="540"/>
      <c r="T1606" s="543"/>
      <c r="U1606" s="514" t="b">
        <v>0</v>
      </c>
      <c r="Z1606" s="6" t="b">
        <v>1</v>
      </c>
      <c r="AA1606" s="6" t="b">
        <v>0</v>
      </c>
      <c r="AC1606" s="82"/>
      <c r="AD1606" t="str">
        <f>IFNA(IFS(U1606=False,D1606),"")</f>
        <v/>
      </c>
      <c r="AE1606" t="str">
        <f>IFNA(IFS(U1606=false,H1606),"")</f>
        <v/>
      </c>
    </row>
    <row r="1607" hidden="1">
      <c r="A1607" s="99">
        <v>1.0</v>
      </c>
      <c r="B1607" s="86" t="s">
        <v>8287</v>
      </c>
      <c r="C1607" s="86" t="s">
        <v>408</v>
      </c>
      <c r="D1607" s="87" t="s">
        <v>8354</v>
      </c>
      <c r="E1607" s="101"/>
      <c r="F1607" s="101"/>
      <c r="G1607" s="101"/>
      <c r="H1607" s="487" t="s">
        <v>135</v>
      </c>
      <c r="I1607" s="488"/>
      <c r="J1607" s="542"/>
      <c r="K1607" s="90" t="str">
        <f>IFNA(VLOOKUP(D1607,'EAN Codes'!A:C,2,False),"")</f>
        <v/>
      </c>
      <c r="L1607" s="101"/>
      <c r="M1607" s="657" t="b">
        <v>0</v>
      </c>
      <c r="N1607" s="576" t="b">
        <v>0</v>
      </c>
      <c r="O1607" s="577" t="b">
        <v>0</v>
      </c>
      <c r="P1607" s="576" t="b">
        <v>0</v>
      </c>
      <c r="Q1607" s="576" t="b">
        <v>0</v>
      </c>
      <c r="R1607" s="544"/>
      <c r="S1607" s="545"/>
      <c r="T1607" s="505">
        <v>371736.0</v>
      </c>
      <c r="U1607" s="579" t="b">
        <v>1</v>
      </c>
      <c r="V1607" s="101"/>
      <c r="W1607" s="101"/>
      <c r="X1607" s="101"/>
      <c r="Y1607" s="101"/>
      <c r="Z1607" s="99" t="b">
        <v>1</v>
      </c>
      <c r="AA1607" t="b">
        <v>0</v>
      </c>
      <c r="AB1607" s="101"/>
      <c r="AC1607" s="101"/>
      <c r="AD1607" s="101"/>
      <c r="AE1607" s="101"/>
    </row>
    <row r="1608" hidden="1">
      <c r="A1608" s="99">
        <v>1.0</v>
      </c>
      <c r="B1608" s="86" t="s">
        <v>8287</v>
      </c>
      <c r="C1608" s="86" t="s">
        <v>408</v>
      </c>
      <c r="D1608" s="87" t="s">
        <v>9047</v>
      </c>
      <c r="E1608" s="101"/>
      <c r="F1608" s="101"/>
      <c r="G1608" s="101"/>
      <c r="H1608" s="487" t="s">
        <v>135</v>
      </c>
      <c r="I1608" s="474"/>
      <c r="J1608" s="475"/>
      <c r="K1608" s="275" t="str">
        <f>IFNA(VLOOKUP(D1608,'EAN Codes'!A:C,2,False),"")</f>
        <v/>
      </c>
      <c r="L1608" s="82"/>
      <c r="M1608" s="496" t="b">
        <v>0</v>
      </c>
      <c r="N1608" s="477" t="b">
        <v>0</v>
      </c>
      <c r="O1608" s="497" t="b">
        <v>0</v>
      </c>
      <c r="P1608" s="477" t="b">
        <v>0</v>
      </c>
      <c r="Q1608" s="477" t="b">
        <v>0</v>
      </c>
      <c r="R1608" s="539"/>
      <c r="S1608" s="540"/>
      <c r="T1608" s="480">
        <v>371819.0</v>
      </c>
      <c r="U1608" s="481" t="b">
        <v>1</v>
      </c>
      <c r="Z1608" s="6" t="b">
        <v>1</v>
      </c>
      <c r="AA1608" t="b">
        <v>0</v>
      </c>
    </row>
    <row r="1609" hidden="1">
      <c r="A1609" s="6">
        <v>1.0</v>
      </c>
      <c r="B1609" s="6" t="s">
        <v>181</v>
      </c>
      <c r="C1609" s="6" t="s">
        <v>1116</v>
      </c>
      <c r="D1609" s="127" t="s">
        <v>9239</v>
      </c>
      <c r="H1609" s="473" t="s">
        <v>517</v>
      </c>
      <c r="I1609" s="473" t="s">
        <v>9240</v>
      </c>
      <c r="J1609" s="508" t="s">
        <v>9241</v>
      </c>
      <c r="K1609" s="275" t="str">
        <f>IFNA(VLOOKUP(D1609,'EAN Codes'!A:C,2,False),"")</f>
        <v/>
      </c>
      <c r="L1609" s="82"/>
      <c r="M1609" s="496" t="b">
        <v>0</v>
      </c>
      <c r="N1609" s="477" t="b">
        <v>0</v>
      </c>
      <c r="O1609" s="497" t="b">
        <v>0</v>
      </c>
      <c r="P1609" s="477" t="b">
        <v>0</v>
      </c>
      <c r="Q1609" s="477" t="b">
        <v>0</v>
      </c>
      <c r="R1609" s="539"/>
      <c r="S1609" s="540"/>
      <c r="T1609" s="543"/>
      <c r="U1609" s="481" t="b">
        <v>1</v>
      </c>
      <c r="Z1609" s="6" t="b">
        <v>1</v>
      </c>
      <c r="AA1609" t="b">
        <v>0</v>
      </c>
    </row>
    <row r="1610" hidden="1">
      <c r="A1610" s="6">
        <v>1.0</v>
      </c>
      <c r="B1610" s="99" t="s">
        <v>8287</v>
      </c>
      <c r="C1610" s="99" t="s">
        <v>408</v>
      </c>
      <c r="D1610" s="100" t="s">
        <v>9242</v>
      </c>
      <c r="H1610" s="473" t="s">
        <v>135</v>
      </c>
      <c r="I1610" s="473">
        <v>371418.0</v>
      </c>
      <c r="J1610" s="508" t="s">
        <v>9243</v>
      </c>
      <c r="K1610" s="275" t="str">
        <f>IFNA(VLOOKUP(D1610,'EAN Codes'!A:C,2,False),"")</f>
        <v/>
      </c>
      <c r="L1610" s="82"/>
      <c r="M1610" s="496" t="b">
        <v>0</v>
      </c>
      <c r="N1610" s="477" t="b">
        <v>0</v>
      </c>
      <c r="O1610" s="497" t="b">
        <v>0</v>
      </c>
      <c r="P1610" s="477" t="b">
        <v>0</v>
      </c>
      <c r="Q1610" s="477" t="b">
        <v>0</v>
      </c>
      <c r="R1610" s="539"/>
      <c r="S1610" s="540"/>
      <c r="T1610" s="480">
        <v>371539.0</v>
      </c>
      <c r="U1610" s="481" t="b">
        <v>1</v>
      </c>
      <c r="Z1610" t="b">
        <v>0</v>
      </c>
      <c r="AA1610" t="b">
        <v>0</v>
      </c>
    </row>
    <row r="1611" hidden="1">
      <c r="A1611" s="6">
        <v>1.0</v>
      </c>
      <c r="B1611" s="86" t="s">
        <v>8287</v>
      </c>
      <c r="C1611" s="86" t="s">
        <v>408</v>
      </c>
      <c r="D1611" s="100" t="s">
        <v>9064</v>
      </c>
      <c r="E1611" s="101"/>
      <c r="F1611" s="99" t="s">
        <v>9244</v>
      </c>
      <c r="H1611" s="473" t="s">
        <v>135</v>
      </c>
      <c r="I1611" s="474"/>
      <c r="J1611" s="475"/>
      <c r="K1611" s="275" t="str">
        <f>IFNA(VLOOKUP(D1611,'EAN Codes'!A:C,2,False),"")</f>
        <v/>
      </c>
      <c r="L1611" s="82"/>
      <c r="M1611" s="496" t="b">
        <v>0</v>
      </c>
      <c r="N1611" s="477" t="b">
        <v>0</v>
      </c>
      <c r="O1611" s="497" t="b">
        <v>0</v>
      </c>
      <c r="P1611" s="477" t="b">
        <v>0</v>
      </c>
      <c r="Q1611" s="477" t="b">
        <v>0</v>
      </c>
      <c r="R1611" s="539"/>
      <c r="S1611" s="540"/>
      <c r="T1611" s="480">
        <v>373040.0</v>
      </c>
      <c r="U1611" s="481" t="b">
        <v>1</v>
      </c>
      <c r="Z1611" s="6" t="b">
        <v>1</v>
      </c>
      <c r="AA1611" t="b">
        <v>0</v>
      </c>
    </row>
    <row r="1612" hidden="1">
      <c r="A1612" s="6">
        <v>1.0</v>
      </c>
      <c r="B1612" s="6" t="s">
        <v>391</v>
      </c>
      <c r="C1612" s="6" t="s">
        <v>4532</v>
      </c>
      <c r="D1612" s="127" t="s">
        <v>9245</v>
      </c>
      <c r="H1612" s="473" t="s">
        <v>135</v>
      </c>
      <c r="I1612" s="473" t="s">
        <v>9246</v>
      </c>
      <c r="J1612" s="508" t="s">
        <v>9247</v>
      </c>
      <c r="K1612" s="275" t="str">
        <f>IFNA(VLOOKUP(D1612,'EAN Codes'!A:C,2,False),"")</f>
        <v/>
      </c>
      <c r="L1612" s="82"/>
      <c r="M1612" s="496" t="b">
        <v>1</v>
      </c>
      <c r="N1612" s="477" t="b">
        <v>0</v>
      </c>
      <c r="O1612" s="497" t="b">
        <v>0</v>
      </c>
      <c r="P1612" s="477" t="b">
        <v>0</v>
      </c>
      <c r="Q1612" s="477" t="b">
        <v>0</v>
      </c>
      <c r="R1612" s="539"/>
      <c r="S1612" s="540"/>
      <c r="T1612" s="543"/>
      <c r="U1612" s="481" t="b">
        <v>1</v>
      </c>
      <c r="Z1612" s="6" t="b">
        <v>1</v>
      </c>
      <c r="AA1612" t="b">
        <v>0</v>
      </c>
      <c r="AC1612" s="35">
        <v>1581.6</v>
      </c>
      <c r="AD1612" t="str">
        <f>IFNA(IFS(U1612=False,D1612),"")</f>
        <v/>
      </c>
      <c r="AE1612" t="str">
        <f>IFNA(IFS(U1612=false,H1612),"")</f>
        <v/>
      </c>
    </row>
    <row r="1613" hidden="1">
      <c r="A1613" s="6">
        <v>1.0</v>
      </c>
      <c r="B1613" s="106"/>
      <c r="C1613" s="106"/>
      <c r="D1613" s="273"/>
      <c r="E1613" s="106"/>
      <c r="F1613" s="106"/>
      <c r="G1613" s="115"/>
      <c r="H1613" s="160"/>
      <c r="I1613" s="473"/>
      <c r="J1613" s="508"/>
      <c r="K1613" s="275" t="str">
        <f>IFNA(VLOOKUP(D1613,'EAN Codes'!A:C,2,False),"")</f>
        <v/>
      </c>
      <c r="L1613" s="82"/>
      <c r="M1613" s="496" t="b">
        <v>0</v>
      </c>
      <c r="N1613" s="477" t="b">
        <v>0</v>
      </c>
      <c r="O1613" s="497" t="b">
        <v>0</v>
      </c>
      <c r="P1613" s="477" t="b">
        <v>0</v>
      </c>
      <c r="Q1613" s="477" t="b">
        <v>0</v>
      </c>
      <c r="R1613" s="539"/>
      <c r="S1613" s="540"/>
      <c r="T1613" s="543"/>
      <c r="U1613" s="481" t="b">
        <v>1</v>
      </c>
      <c r="Z1613" t="b">
        <v>0</v>
      </c>
      <c r="AA1613" t="b">
        <v>0</v>
      </c>
    </row>
    <row r="1614">
      <c r="B1614" s="658"/>
      <c r="C1614" s="658"/>
      <c r="D1614" s="659"/>
      <c r="E1614" s="658"/>
      <c r="F1614" s="658"/>
      <c r="G1614" s="658"/>
      <c r="H1614" s="473"/>
      <c r="I1614" s="473"/>
      <c r="J1614" s="508"/>
      <c r="K1614" s="275" t="str">
        <f>IFNA(VLOOKUP(D1614,'EAN Codes'!A:C,2,False),"")</f>
        <v/>
      </c>
      <c r="L1614" s="82"/>
      <c r="M1614" s="496" t="b">
        <v>0</v>
      </c>
      <c r="N1614" s="497" t="b">
        <v>0</v>
      </c>
      <c r="O1614" s="497" t="b">
        <v>0</v>
      </c>
      <c r="P1614" s="477" t="b">
        <v>0</v>
      </c>
      <c r="Q1614" s="477" t="b">
        <v>0</v>
      </c>
      <c r="R1614" s="539"/>
      <c r="S1614" s="540"/>
      <c r="T1614" s="543"/>
      <c r="U1614" s="514" t="b">
        <v>0</v>
      </c>
      <c r="Z1614" s="6" t="b">
        <v>1</v>
      </c>
      <c r="AA1614" s="6" t="b">
        <v>0</v>
      </c>
      <c r="AC1614" s="82"/>
      <c r="AD1614" t="str">
        <f t="shared" ref="AD1614:AD1615" si="37">IFNA(IFS(U1614=False,D1614),"")</f>
        <v/>
      </c>
      <c r="AE1614" t="str">
        <f t="shared" ref="AE1614:AE1615" si="38">IFNA(IFS(U1614=false,H1614),"")</f>
        <v/>
      </c>
    </row>
    <row r="1615">
      <c r="B1615" s="86"/>
      <c r="C1615" s="86"/>
      <c r="D1615" s="87"/>
      <c r="E1615" s="91"/>
      <c r="F1615" s="86"/>
      <c r="G1615" s="115"/>
      <c r="H1615" s="473"/>
      <c r="I1615" s="473"/>
      <c r="J1615" s="508"/>
      <c r="K1615" s="275" t="str">
        <f>IFNA(VLOOKUP(D1615,'EAN Codes'!A:C,2,False),"")</f>
        <v/>
      </c>
      <c r="L1615" s="82"/>
      <c r="M1615" s="496" t="b">
        <v>0</v>
      </c>
      <c r="N1615" s="497" t="b">
        <v>0</v>
      </c>
      <c r="O1615" s="497" t="b">
        <v>0</v>
      </c>
      <c r="P1615" s="477" t="b">
        <v>0</v>
      </c>
      <c r="Q1615" s="477" t="b">
        <v>0</v>
      </c>
      <c r="R1615" s="539"/>
      <c r="S1615" s="540"/>
      <c r="T1615" s="543"/>
      <c r="U1615" s="481" t="b">
        <v>0</v>
      </c>
      <c r="Z1615" s="6" t="b">
        <v>1</v>
      </c>
      <c r="AA1615" s="6" t="b">
        <v>0</v>
      </c>
      <c r="AC1615" s="82"/>
      <c r="AD1615" t="str">
        <f t="shared" si="37"/>
        <v/>
      </c>
      <c r="AE1615" t="str">
        <f t="shared" si="38"/>
        <v/>
      </c>
    </row>
    <row r="1616" hidden="1">
      <c r="A1616" s="6">
        <v>1.0</v>
      </c>
      <c r="B1616" s="6" t="s">
        <v>241</v>
      </c>
      <c r="C1616" s="6" t="s">
        <v>4382</v>
      </c>
      <c r="D1616" s="127" t="s">
        <v>9248</v>
      </c>
      <c r="H1616" s="473" t="s">
        <v>9217</v>
      </c>
      <c r="I1616" s="473" t="s">
        <v>9249</v>
      </c>
      <c r="J1616" s="475"/>
      <c r="K1616" s="275" t="str">
        <f>IFNA(VLOOKUP(D1616,'EAN Codes'!A:C,2,False),"")</f>
        <v/>
      </c>
      <c r="L1616" s="82"/>
      <c r="M1616" s="496" t="b">
        <v>0</v>
      </c>
      <c r="N1616" s="477" t="b">
        <v>0</v>
      </c>
      <c r="O1616" s="497" t="b">
        <v>0</v>
      </c>
      <c r="P1616" s="477" t="b">
        <v>0</v>
      </c>
      <c r="Q1616" s="477" t="b">
        <v>0</v>
      </c>
      <c r="R1616" s="539"/>
      <c r="S1616" s="540"/>
      <c r="T1616" s="543"/>
      <c r="U1616" s="481" t="b">
        <v>1</v>
      </c>
      <c r="Z1616" s="6" t="b">
        <v>1</v>
      </c>
      <c r="AA1616" t="b">
        <v>0</v>
      </c>
    </row>
    <row r="1617" hidden="1">
      <c r="A1617" s="6">
        <v>1.0</v>
      </c>
      <c r="B1617" s="6" t="s">
        <v>241</v>
      </c>
      <c r="C1617" s="6" t="s">
        <v>342</v>
      </c>
      <c r="D1617" s="127" t="s">
        <v>9250</v>
      </c>
      <c r="H1617" s="473" t="s">
        <v>9217</v>
      </c>
      <c r="I1617" s="473" t="s">
        <v>9251</v>
      </c>
      <c r="J1617" s="475"/>
      <c r="K1617" s="275" t="str">
        <f>IFNA(VLOOKUP(D1617,'EAN Codes'!A:C,2,False),"")</f>
        <v>5907615800757</v>
      </c>
      <c r="L1617" s="82"/>
      <c r="M1617" s="496" t="b">
        <v>0</v>
      </c>
      <c r="N1617" s="477" t="b">
        <v>0</v>
      </c>
      <c r="O1617" s="497" t="b">
        <v>0</v>
      </c>
      <c r="P1617" s="477" t="b">
        <v>0</v>
      </c>
      <c r="Q1617" s="477" t="b">
        <v>0</v>
      </c>
      <c r="R1617" s="539"/>
      <c r="S1617" s="540"/>
      <c r="T1617" s="543"/>
      <c r="U1617" s="481" t="b">
        <v>1</v>
      </c>
      <c r="Z1617" s="6" t="b">
        <v>1</v>
      </c>
      <c r="AA1617" t="b">
        <v>0</v>
      </c>
    </row>
    <row r="1618" hidden="1">
      <c r="A1618" s="6">
        <v>1.0</v>
      </c>
      <c r="B1618" s="6" t="s">
        <v>241</v>
      </c>
      <c r="C1618" s="6" t="s">
        <v>966</v>
      </c>
      <c r="D1618" s="127" t="s">
        <v>9252</v>
      </c>
      <c r="H1618" s="473" t="s">
        <v>9217</v>
      </c>
      <c r="I1618" s="473" t="s">
        <v>9253</v>
      </c>
      <c r="J1618" s="475"/>
      <c r="K1618" s="275" t="str">
        <f>IFNA(VLOOKUP(D1618,'EAN Codes'!A:C,2,False),"")</f>
        <v/>
      </c>
      <c r="L1618" s="82"/>
      <c r="M1618" s="496" t="b">
        <v>0</v>
      </c>
      <c r="N1618" s="477" t="b">
        <v>0</v>
      </c>
      <c r="O1618" s="497" t="b">
        <v>0</v>
      </c>
      <c r="P1618" s="477" t="b">
        <v>0</v>
      </c>
      <c r="Q1618" s="477" t="b">
        <v>0</v>
      </c>
      <c r="R1618" s="539"/>
      <c r="S1618" s="540"/>
      <c r="T1618" s="543"/>
      <c r="U1618" s="481" t="b">
        <v>1</v>
      </c>
      <c r="Z1618" s="6" t="b">
        <v>1</v>
      </c>
      <c r="AA1618" t="b">
        <v>0</v>
      </c>
    </row>
    <row r="1619" hidden="1">
      <c r="A1619" s="6">
        <v>1.0</v>
      </c>
      <c r="B1619" s="6" t="s">
        <v>241</v>
      </c>
      <c r="C1619" s="6" t="s">
        <v>4382</v>
      </c>
      <c r="D1619" s="127" t="s">
        <v>9254</v>
      </c>
      <c r="H1619" s="473" t="s">
        <v>9217</v>
      </c>
      <c r="I1619" s="473" t="s">
        <v>9216</v>
      </c>
      <c r="J1619" s="475"/>
      <c r="K1619" s="275" t="str">
        <f>IFNA(VLOOKUP(D1619,'EAN Codes'!A:C,2,False),"")</f>
        <v/>
      </c>
      <c r="L1619" s="82"/>
      <c r="M1619" s="496" t="b">
        <v>0</v>
      </c>
      <c r="N1619" s="477" t="b">
        <v>0</v>
      </c>
      <c r="O1619" s="497" t="b">
        <v>0</v>
      </c>
      <c r="P1619" s="477" t="b">
        <v>0</v>
      </c>
      <c r="Q1619" s="477" t="b">
        <v>0</v>
      </c>
      <c r="R1619" s="539"/>
      <c r="S1619" s="540"/>
      <c r="T1619" s="543"/>
      <c r="U1619" s="481" t="b">
        <v>1</v>
      </c>
      <c r="Z1619" s="6" t="b">
        <v>1</v>
      </c>
      <c r="AA1619" t="b">
        <v>0</v>
      </c>
    </row>
    <row r="1620" hidden="1">
      <c r="A1620" s="6">
        <v>1.0</v>
      </c>
      <c r="B1620" s="6" t="s">
        <v>241</v>
      </c>
      <c r="C1620" s="6" t="s">
        <v>342</v>
      </c>
      <c r="D1620" s="127" t="s">
        <v>4168</v>
      </c>
      <c r="H1620" s="473" t="s">
        <v>9217</v>
      </c>
      <c r="I1620" s="473" t="s">
        <v>9255</v>
      </c>
      <c r="J1620" s="475"/>
      <c r="K1620" s="275" t="str">
        <f>IFNA(VLOOKUP(D1620,'EAN Codes'!A:C,2,False),"")</f>
        <v>5907615811654</v>
      </c>
      <c r="L1620" s="82"/>
      <c r="M1620" s="496" t="b">
        <v>0</v>
      </c>
      <c r="N1620" s="477" t="b">
        <v>0</v>
      </c>
      <c r="O1620" s="497" t="b">
        <v>0</v>
      </c>
      <c r="P1620" s="477" t="b">
        <v>0</v>
      </c>
      <c r="Q1620" s="477" t="b">
        <v>0</v>
      </c>
      <c r="R1620" s="539"/>
      <c r="S1620" s="540"/>
      <c r="T1620" s="543"/>
      <c r="U1620" s="481" t="b">
        <v>1</v>
      </c>
      <c r="Z1620" s="6" t="b">
        <v>1</v>
      </c>
      <c r="AA1620" t="b">
        <v>0</v>
      </c>
    </row>
    <row r="1621" hidden="1">
      <c r="A1621" s="6">
        <v>1.0</v>
      </c>
      <c r="B1621" s="6" t="s">
        <v>241</v>
      </c>
      <c r="C1621" s="6" t="s">
        <v>342</v>
      </c>
      <c r="D1621" s="127" t="s">
        <v>9256</v>
      </c>
      <c r="H1621" s="473" t="s">
        <v>9217</v>
      </c>
      <c r="I1621" s="473" t="s">
        <v>9257</v>
      </c>
      <c r="J1621" s="475"/>
      <c r="K1621" s="275" t="str">
        <f>IFNA(VLOOKUP(D1621,'EAN Codes'!A:C,2,False),"")</f>
        <v/>
      </c>
      <c r="L1621" s="82"/>
      <c r="M1621" s="496" t="b">
        <v>0</v>
      </c>
      <c r="N1621" s="477" t="b">
        <v>0</v>
      </c>
      <c r="O1621" s="497" t="b">
        <v>0</v>
      </c>
      <c r="P1621" s="477" t="b">
        <v>0</v>
      </c>
      <c r="Q1621" s="477" t="b">
        <v>0</v>
      </c>
      <c r="R1621" s="539"/>
      <c r="S1621" s="540"/>
      <c r="T1621" s="543"/>
      <c r="U1621" s="481" t="b">
        <v>1</v>
      </c>
      <c r="Z1621" s="6" t="b">
        <v>1</v>
      </c>
      <c r="AA1621" t="b">
        <v>0</v>
      </c>
    </row>
    <row r="1622" hidden="1">
      <c r="A1622" s="6">
        <v>1.0</v>
      </c>
      <c r="B1622" s="6" t="s">
        <v>241</v>
      </c>
      <c r="C1622" s="6" t="s">
        <v>342</v>
      </c>
      <c r="D1622" s="127" t="s">
        <v>9258</v>
      </c>
      <c r="H1622" s="473" t="s">
        <v>9217</v>
      </c>
      <c r="I1622" s="473" t="s">
        <v>9259</v>
      </c>
      <c r="J1622" s="475"/>
      <c r="K1622" s="275" t="str">
        <f>IFNA(VLOOKUP(D1622,'EAN Codes'!A:C,2,False),"")</f>
        <v/>
      </c>
      <c r="L1622" s="82"/>
      <c r="M1622" s="496" t="b">
        <v>0</v>
      </c>
      <c r="N1622" s="477" t="b">
        <v>0</v>
      </c>
      <c r="O1622" s="497" t="b">
        <v>0</v>
      </c>
      <c r="P1622" s="477" t="b">
        <v>0</v>
      </c>
      <c r="Q1622" s="477" t="b">
        <v>0</v>
      </c>
      <c r="R1622" s="539"/>
      <c r="S1622" s="540"/>
      <c r="T1622" s="543"/>
      <c r="U1622" s="481" t="b">
        <v>1</v>
      </c>
      <c r="Z1622" s="6" t="b">
        <v>1</v>
      </c>
      <c r="AA1622" t="b">
        <v>0</v>
      </c>
    </row>
    <row r="1623" hidden="1">
      <c r="A1623" s="6">
        <v>1.0</v>
      </c>
      <c r="B1623" s="6" t="s">
        <v>241</v>
      </c>
      <c r="C1623" s="6" t="s">
        <v>1217</v>
      </c>
      <c r="D1623" s="127" t="s">
        <v>9230</v>
      </c>
      <c r="H1623" s="473" t="s">
        <v>9217</v>
      </c>
      <c r="I1623" s="473" t="s">
        <v>9260</v>
      </c>
      <c r="J1623" s="475"/>
      <c r="K1623" s="275" t="str">
        <f>IFNA(VLOOKUP(D1623,'EAN Codes'!A:C,2,False),"")</f>
        <v>68162</v>
      </c>
      <c r="L1623" s="82"/>
      <c r="M1623" s="496" t="b">
        <v>0</v>
      </c>
      <c r="N1623" s="477" t="b">
        <v>0</v>
      </c>
      <c r="O1623" s="497" t="b">
        <v>0</v>
      </c>
      <c r="P1623" s="477" t="b">
        <v>0</v>
      </c>
      <c r="Q1623" s="477" t="b">
        <v>0</v>
      </c>
      <c r="R1623" s="539"/>
      <c r="S1623" s="540"/>
      <c r="T1623" s="543"/>
      <c r="U1623" s="481" t="b">
        <v>1</v>
      </c>
      <c r="Z1623" s="6" t="b">
        <v>1</v>
      </c>
      <c r="AA1623" t="b">
        <v>0</v>
      </c>
    </row>
    <row r="1624" hidden="1">
      <c r="A1624" s="6">
        <v>1.0</v>
      </c>
      <c r="B1624" s="6" t="s">
        <v>241</v>
      </c>
      <c r="C1624" s="6" t="s">
        <v>1250</v>
      </c>
      <c r="D1624" s="127" t="s">
        <v>9261</v>
      </c>
      <c r="H1624" s="473" t="s">
        <v>9217</v>
      </c>
      <c r="I1624" s="473" t="s">
        <v>9262</v>
      </c>
      <c r="J1624" s="475"/>
      <c r="K1624" s="275" t="str">
        <f>IFNA(VLOOKUP(D1624,'EAN Codes'!A:C,2,False),"")</f>
        <v/>
      </c>
      <c r="L1624" s="82"/>
      <c r="M1624" s="496" t="b">
        <v>0</v>
      </c>
      <c r="N1624" s="477" t="b">
        <v>0</v>
      </c>
      <c r="O1624" s="497" t="b">
        <v>0</v>
      </c>
      <c r="P1624" s="477" t="b">
        <v>0</v>
      </c>
      <c r="Q1624" s="477" t="b">
        <v>0</v>
      </c>
      <c r="R1624" s="539"/>
      <c r="S1624" s="540"/>
      <c r="T1624" s="543"/>
      <c r="U1624" s="481" t="b">
        <v>1</v>
      </c>
      <c r="Z1624" s="6" t="b">
        <v>1</v>
      </c>
      <c r="AA1624" t="b">
        <v>0</v>
      </c>
    </row>
    <row r="1625" hidden="1">
      <c r="A1625" s="6">
        <v>1.0</v>
      </c>
      <c r="B1625" s="6" t="s">
        <v>181</v>
      </c>
      <c r="C1625" s="6" t="s">
        <v>1116</v>
      </c>
      <c r="D1625" s="127" t="s">
        <v>9263</v>
      </c>
      <c r="H1625" s="473" t="s">
        <v>9217</v>
      </c>
      <c r="I1625" s="473" t="s">
        <v>9264</v>
      </c>
      <c r="J1625" s="475"/>
      <c r="K1625" s="275" t="str">
        <f>IFNA(VLOOKUP(D1625,'EAN Codes'!A:C,2,False),"")</f>
        <v/>
      </c>
      <c r="L1625" s="82"/>
      <c r="M1625" s="496" t="b">
        <v>0</v>
      </c>
      <c r="N1625" s="477" t="b">
        <v>0</v>
      </c>
      <c r="O1625" s="497" t="b">
        <v>0</v>
      </c>
      <c r="P1625" s="477" t="b">
        <v>0</v>
      </c>
      <c r="Q1625" s="477" t="b">
        <v>0</v>
      </c>
      <c r="R1625" s="539"/>
      <c r="S1625" s="540"/>
      <c r="T1625" s="543"/>
      <c r="U1625" s="481" t="b">
        <v>1</v>
      </c>
      <c r="Z1625" s="6" t="b">
        <v>1</v>
      </c>
      <c r="AA1625" t="b">
        <v>0</v>
      </c>
    </row>
    <row r="1626" hidden="1">
      <c r="A1626" s="106">
        <v>1.0</v>
      </c>
      <c r="B1626" s="106" t="s">
        <v>241</v>
      </c>
      <c r="C1626" s="106" t="s">
        <v>1217</v>
      </c>
      <c r="D1626" s="273" t="s">
        <v>9265</v>
      </c>
      <c r="E1626" s="115"/>
      <c r="F1626" s="115"/>
      <c r="G1626" s="115"/>
      <c r="H1626" s="624" t="s">
        <v>132</v>
      </c>
      <c r="I1626" s="473" t="s">
        <v>9266</v>
      </c>
      <c r="J1626" s="508" t="s">
        <v>9267</v>
      </c>
      <c r="K1626" s="275" t="str">
        <f>IFNA(VLOOKUP(D1626,'EAN Codes'!A:C,2,False),"")</f>
        <v>46382</v>
      </c>
      <c r="L1626" s="82"/>
      <c r="M1626" s="496" t="b">
        <v>0</v>
      </c>
      <c r="N1626" s="497" t="b">
        <v>1</v>
      </c>
      <c r="O1626" s="497" t="b">
        <v>0</v>
      </c>
      <c r="P1626" s="477" t="b">
        <v>0</v>
      </c>
      <c r="Q1626" s="477" t="b">
        <v>0</v>
      </c>
      <c r="R1626" s="478" t="s">
        <v>9268</v>
      </c>
      <c r="S1626" s="540"/>
      <c r="T1626" s="543"/>
      <c r="U1626" s="481" t="b">
        <v>1</v>
      </c>
      <c r="Z1626" s="6" t="b">
        <v>1</v>
      </c>
      <c r="AA1626" t="b">
        <v>0</v>
      </c>
    </row>
    <row r="1627" hidden="1">
      <c r="A1627" s="6">
        <v>1.0</v>
      </c>
      <c r="B1627" s="6" t="s">
        <v>241</v>
      </c>
      <c r="C1627" s="6" t="s">
        <v>1813</v>
      </c>
      <c r="D1627" s="127" t="s">
        <v>9269</v>
      </c>
      <c r="H1627" s="473" t="s">
        <v>9217</v>
      </c>
      <c r="I1627" s="473" t="s">
        <v>9270</v>
      </c>
      <c r="J1627" s="475"/>
      <c r="K1627" s="275" t="str">
        <f>IFNA(VLOOKUP(D1627,'EAN Codes'!A:C,2,False),"")</f>
        <v/>
      </c>
      <c r="L1627" s="82"/>
      <c r="M1627" s="496" t="b">
        <v>0</v>
      </c>
      <c r="N1627" s="477" t="b">
        <v>0</v>
      </c>
      <c r="O1627" s="497" t="b">
        <v>0</v>
      </c>
      <c r="P1627" s="477" t="b">
        <v>0</v>
      </c>
      <c r="Q1627" s="477" t="b">
        <v>0</v>
      </c>
      <c r="R1627" s="539"/>
      <c r="S1627" s="540"/>
      <c r="T1627" s="543"/>
      <c r="U1627" s="481" t="b">
        <v>1</v>
      </c>
      <c r="Z1627" s="6" t="b">
        <v>1</v>
      </c>
      <c r="AA1627" t="b">
        <v>0</v>
      </c>
    </row>
    <row r="1628" hidden="1">
      <c r="A1628" s="6">
        <v>1.0</v>
      </c>
      <c r="B1628" s="99" t="s">
        <v>241</v>
      </c>
      <c r="C1628" s="99" t="s">
        <v>342</v>
      </c>
      <c r="D1628" s="100" t="s">
        <v>3905</v>
      </c>
      <c r="E1628" s="101"/>
      <c r="F1628" s="99" t="s">
        <v>3909</v>
      </c>
      <c r="G1628" s="101"/>
      <c r="H1628" s="487" t="s">
        <v>135</v>
      </c>
      <c r="I1628" s="488"/>
      <c r="J1628" s="542"/>
      <c r="K1628" s="90" t="str">
        <f>IFNA(VLOOKUP(D1628,'EAN Codes'!A:C,2,False),"")</f>
        <v>5907615808371</v>
      </c>
      <c r="L1628" s="82"/>
      <c r="M1628" s="496" t="b">
        <v>0</v>
      </c>
      <c r="N1628" s="497" t="b">
        <v>1</v>
      </c>
      <c r="O1628" s="497" t="b">
        <v>0</v>
      </c>
      <c r="P1628" s="477" t="b">
        <v>0</v>
      </c>
      <c r="Q1628" s="477" t="b">
        <v>0</v>
      </c>
      <c r="R1628" s="539"/>
      <c r="S1628" s="479" t="s">
        <v>9271</v>
      </c>
      <c r="T1628" s="480" t="s">
        <v>9272</v>
      </c>
      <c r="U1628" s="481" t="b">
        <v>1</v>
      </c>
      <c r="Z1628" s="6" t="b">
        <v>1</v>
      </c>
      <c r="AA1628" t="b">
        <v>0</v>
      </c>
    </row>
    <row r="1629" hidden="1">
      <c r="A1629" s="6">
        <v>1.0</v>
      </c>
      <c r="B1629" s="6" t="s">
        <v>241</v>
      </c>
      <c r="C1629" s="6" t="s">
        <v>408</v>
      </c>
      <c r="D1629" s="127" t="s">
        <v>9273</v>
      </c>
      <c r="H1629" s="473" t="s">
        <v>135</v>
      </c>
      <c r="I1629" s="474"/>
      <c r="J1629" s="475"/>
      <c r="K1629" s="275" t="str">
        <f>IFNA(VLOOKUP(D1629,'EAN Codes'!A:C,2,False),"")</f>
        <v>7340091401755</v>
      </c>
      <c r="L1629" s="82"/>
      <c r="M1629" s="496" t="b">
        <v>0</v>
      </c>
      <c r="N1629" s="497" t="b">
        <v>1</v>
      </c>
      <c r="O1629" s="497" t="b">
        <v>0</v>
      </c>
      <c r="P1629" s="477" t="b">
        <v>0</v>
      </c>
      <c r="Q1629" s="477" t="b">
        <v>0</v>
      </c>
      <c r="R1629" s="539"/>
      <c r="S1629" s="540"/>
      <c r="T1629" s="543"/>
      <c r="U1629" s="481" t="b">
        <v>1</v>
      </c>
      <c r="Z1629" s="6" t="b">
        <v>1</v>
      </c>
      <c r="AA1629" t="b">
        <v>0</v>
      </c>
    </row>
    <row r="1630" hidden="1">
      <c r="A1630" s="6">
        <v>1.0</v>
      </c>
      <c r="B1630" s="99" t="s">
        <v>241</v>
      </c>
      <c r="C1630" s="99" t="s">
        <v>4382</v>
      </c>
      <c r="D1630" s="100" t="s">
        <v>9274</v>
      </c>
      <c r="E1630" s="101"/>
      <c r="F1630" s="101"/>
      <c r="G1630" s="101"/>
      <c r="H1630" s="487" t="s">
        <v>135</v>
      </c>
      <c r="I1630" s="474"/>
      <c r="J1630" s="475"/>
      <c r="K1630" s="275" t="str">
        <f>IFNA(VLOOKUP(D1630,'EAN Codes'!A:C,2,False),"")</f>
        <v/>
      </c>
      <c r="L1630" s="82"/>
      <c r="M1630" s="496" t="b">
        <v>0</v>
      </c>
      <c r="N1630" s="477" t="b">
        <v>0</v>
      </c>
      <c r="O1630" s="497" t="b">
        <v>0</v>
      </c>
      <c r="P1630" s="477" t="b">
        <v>0</v>
      </c>
      <c r="Q1630" s="477" t="b">
        <v>0</v>
      </c>
      <c r="R1630" s="539"/>
      <c r="S1630" s="540"/>
      <c r="T1630" s="480" t="s">
        <v>9275</v>
      </c>
      <c r="U1630" s="481" t="b">
        <v>1</v>
      </c>
      <c r="Z1630" s="6" t="b">
        <v>1</v>
      </c>
      <c r="AA1630" t="b">
        <v>0</v>
      </c>
    </row>
    <row r="1631" hidden="1">
      <c r="A1631" s="6">
        <v>1.0</v>
      </c>
      <c r="B1631" s="6" t="s">
        <v>241</v>
      </c>
      <c r="C1631" s="6" t="s">
        <v>1250</v>
      </c>
      <c r="D1631" s="127" t="s">
        <v>2807</v>
      </c>
      <c r="H1631" s="473" t="s">
        <v>135</v>
      </c>
      <c r="I1631" s="473"/>
      <c r="J1631" s="475" t="s">
        <v>9276</v>
      </c>
      <c r="K1631" s="275" t="str">
        <f>IFNA(VLOOKUP(D1631,'EAN Codes'!A:C,2,False),"")</f>
        <v/>
      </c>
      <c r="L1631" s="82"/>
      <c r="M1631" s="496" t="b">
        <v>0</v>
      </c>
      <c r="N1631" s="497" t="b">
        <v>1</v>
      </c>
      <c r="O1631" s="497" t="b">
        <v>0</v>
      </c>
      <c r="P1631" s="477" t="b">
        <v>0</v>
      </c>
      <c r="Q1631" s="477" t="b">
        <v>0</v>
      </c>
      <c r="R1631" s="539"/>
      <c r="S1631" s="540"/>
      <c r="T1631" s="543"/>
      <c r="U1631" s="481" t="b">
        <v>1</v>
      </c>
      <c r="Z1631" s="6" t="b">
        <v>1</v>
      </c>
      <c r="AA1631" t="b">
        <v>0</v>
      </c>
    </row>
    <row r="1632" hidden="1">
      <c r="A1632" s="99">
        <v>1.0</v>
      </c>
      <c r="B1632" s="99" t="s">
        <v>8287</v>
      </c>
      <c r="C1632" s="99" t="s">
        <v>8278</v>
      </c>
      <c r="D1632" s="100" t="s">
        <v>9277</v>
      </c>
      <c r="E1632" s="101"/>
      <c r="F1632" s="101"/>
      <c r="G1632" s="101"/>
      <c r="H1632" s="487" t="s">
        <v>135</v>
      </c>
      <c r="I1632" s="474"/>
      <c r="J1632" s="475"/>
      <c r="K1632" s="275" t="str">
        <f>IFNA(VLOOKUP(D1632,'EAN Codes'!A:C,2,False),"")</f>
        <v/>
      </c>
      <c r="L1632" s="82"/>
      <c r="M1632" s="496" t="b">
        <v>0</v>
      </c>
      <c r="N1632" s="477" t="b">
        <v>0</v>
      </c>
      <c r="O1632" s="497" t="b">
        <v>0</v>
      </c>
      <c r="P1632" s="477" t="b">
        <v>0</v>
      </c>
      <c r="Q1632" s="477" t="b">
        <v>0</v>
      </c>
      <c r="R1632" s="539"/>
      <c r="S1632" s="540"/>
      <c r="T1632" s="480">
        <v>371735.0</v>
      </c>
      <c r="U1632" s="481" t="b">
        <v>1</v>
      </c>
      <c r="Z1632" s="6" t="b">
        <v>1</v>
      </c>
      <c r="AA1632" t="b">
        <v>0</v>
      </c>
    </row>
    <row r="1633">
      <c r="B1633" s="99"/>
      <c r="C1633" s="99"/>
      <c r="D1633" s="100"/>
      <c r="E1633" s="99"/>
      <c r="F1633" s="99"/>
      <c r="H1633" s="473"/>
      <c r="I1633" s="474"/>
      <c r="J1633" s="475"/>
      <c r="K1633" s="275" t="str">
        <f>IFNA(VLOOKUP(D1633,'EAN Codes'!A:C,2,False),"")</f>
        <v/>
      </c>
      <c r="L1633" s="82"/>
      <c r="M1633" s="496" t="b">
        <v>0</v>
      </c>
      <c r="N1633" s="477" t="b">
        <v>0</v>
      </c>
      <c r="O1633" s="497" t="b">
        <v>0</v>
      </c>
      <c r="P1633" s="477" t="b">
        <v>0</v>
      </c>
      <c r="Q1633" s="477" t="b">
        <v>0</v>
      </c>
      <c r="R1633" s="539"/>
      <c r="S1633" s="540"/>
      <c r="T1633" s="543"/>
      <c r="U1633" s="514" t="b">
        <v>0</v>
      </c>
      <c r="Z1633" s="6" t="b">
        <v>1</v>
      </c>
      <c r="AA1633" s="6" t="b">
        <v>0</v>
      </c>
      <c r="AC1633" s="82" t="str">
        <f>IFERROR(__xludf.DUMMYFUNCTION("IFS(C1633=""ECS"",Vlookup(D1633,IMPORTRANGE(""https://docs.google.com/spreadsheets/d/1CONXwApUCNE4s-NquayczLLZJS3lBxtkAQwk9d9t2gA/edit"",""'Prislista 2024'!I:M""),5,false)*$AC$1)*A1633"),"#N/A")</f>
        <v>#N/A</v>
      </c>
      <c r="AD1633" t="str">
        <f t="shared" ref="AD1633:AD1652" si="39">IFNA(IFS(U1633=False,D1633),"")</f>
        <v/>
      </c>
      <c r="AE1633" t="str">
        <f t="shared" ref="AE1633:AE1652" si="40">IFNA(IFS(U1633=false,H1633),"")</f>
        <v/>
      </c>
    </row>
    <row r="1634">
      <c r="B1634" s="99"/>
      <c r="C1634" s="99"/>
      <c r="D1634" s="100"/>
      <c r="E1634" s="99"/>
      <c r="F1634" s="99"/>
      <c r="H1634" s="473"/>
      <c r="I1634" s="474"/>
      <c r="J1634" s="475"/>
      <c r="K1634" s="275" t="str">
        <f>IFNA(VLOOKUP(D1634,'EAN Codes'!A:C,2,False),"")</f>
        <v/>
      </c>
      <c r="L1634" s="82"/>
      <c r="M1634" s="496" t="b">
        <v>0</v>
      </c>
      <c r="N1634" s="477" t="b">
        <v>0</v>
      </c>
      <c r="O1634" s="497" t="b">
        <v>0</v>
      </c>
      <c r="P1634" s="477" t="b">
        <v>0</v>
      </c>
      <c r="Q1634" s="477" t="b">
        <v>0</v>
      </c>
      <c r="R1634" s="539"/>
      <c r="S1634" s="540"/>
      <c r="T1634" s="543"/>
      <c r="U1634" s="514" t="b">
        <v>0</v>
      </c>
      <c r="Z1634" s="6" t="b">
        <v>1</v>
      </c>
      <c r="AA1634" s="6" t="b">
        <v>0</v>
      </c>
      <c r="AC1634" s="82" t="str">
        <f>IFERROR(__xludf.DUMMYFUNCTION("IFS(C1634=""ECS"",Vlookup(D1634,IMPORTRANGE(""https://docs.google.com/spreadsheets/d/1CONXwApUCNE4s-NquayczLLZJS3lBxtkAQwk9d9t2gA/edit"",""'Prislista 2024'!I:M""),5,false)*$AC$1)*A1634"),"#N/A")</f>
        <v>#N/A</v>
      </c>
      <c r="AD1634" t="str">
        <f t="shared" si="39"/>
        <v/>
      </c>
      <c r="AE1634" t="str">
        <f t="shared" si="40"/>
        <v/>
      </c>
    </row>
    <row r="1635">
      <c r="B1635" s="99"/>
      <c r="C1635" s="99"/>
      <c r="D1635" s="100"/>
      <c r="E1635" s="101"/>
      <c r="F1635" s="99"/>
      <c r="H1635" s="473"/>
      <c r="I1635" s="474"/>
      <c r="J1635" s="475"/>
      <c r="K1635" s="275" t="str">
        <f>IFNA(VLOOKUP(D1635,'EAN Codes'!A:C,2,False),"")</f>
        <v/>
      </c>
      <c r="L1635" s="82"/>
      <c r="M1635" s="496" t="b">
        <v>0</v>
      </c>
      <c r="N1635" s="477" t="b">
        <v>0</v>
      </c>
      <c r="O1635" s="497" t="b">
        <v>0</v>
      </c>
      <c r="P1635" s="477" t="b">
        <v>0</v>
      </c>
      <c r="Q1635" s="477" t="b">
        <v>0</v>
      </c>
      <c r="R1635" s="539"/>
      <c r="S1635" s="540"/>
      <c r="T1635" s="543"/>
      <c r="U1635" s="514" t="b">
        <v>0</v>
      </c>
      <c r="Z1635" s="6" t="b">
        <v>1</v>
      </c>
      <c r="AA1635" s="6" t="b">
        <v>0</v>
      </c>
      <c r="AC1635" s="82" t="str">
        <f>IFERROR(__xludf.DUMMYFUNCTION("IFS(C1635=""ECS"",Vlookup(D1635,IMPORTRANGE(""https://docs.google.com/spreadsheets/d/1CONXwApUCNE4s-NquayczLLZJS3lBxtkAQwk9d9t2gA/edit"",""'Prislista 2024'!I:M""),5,false)*$AC$1)*A1635"),"#N/A")</f>
        <v>#N/A</v>
      </c>
      <c r="AD1635" t="str">
        <f t="shared" si="39"/>
        <v/>
      </c>
      <c r="AE1635" t="str">
        <f t="shared" si="40"/>
        <v/>
      </c>
    </row>
    <row r="1636">
      <c r="B1636" s="99"/>
      <c r="C1636" s="99"/>
      <c r="D1636" s="100"/>
      <c r="E1636" s="101"/>
      <c r="F1636" s="99"/>
      <c r="H1636" s="473"/>
      <c r="I1636" s="474"/>
      <c r="J1636" s="475"/>
      <c r="K1636" s="275" t="str">
        <f>IFNA(VLOOKUP(D1636,'EAN Codes'!A:C,2,False),"")</f>
        <v/>
      </c>
      <c r="L1636" s="82"/>
      <c r="M1636" s="496" t="b">
        <v>0</v>
      </c>
      <c r="N1636" s="477" t="b">
        <v>0</v>
      </c>
      <c r="O1636" s="497" t="b">
        <v>0</v>
      </c>
      <c r="P1636" s="477" t="b">
        <v>0</v>
      </c>
      <c r="Q1636" s="477" t="b">
        <v>0</v>
      </c>
      <c r="R1636" s="539"/>
      <c r="S1636" s="540"/>
      <c r="T1636" s="543"/>
      <c r="U1636" s="514" t="b">
        <v>0</v>
      </c>
      <c r="Z1636" s="6" t="b">
        <v>1</v>
      </c>
      <c r="AA1636" s="6" t="b">
        <v>0</v>
      </c>
      <c r="AC1636" s="82" t="str">
        <f>IFERROR(__xludf.DUMMYFUNCTION("IFS(C1636=""ECS"",Vlookup(D1636,IMPORTRANGE(""https://docs.google.com/spreadsheets/d/1CONXwApUCNE4s-NquayczLLZJS3lBxtkAQwk9d9t2gA/edit"",""'Prislista 2024'!I:M""),5,false)*$AC$1)*A1636"),"#N/A")</f>
        <v>#N/A</v>
      </c>
      <c r="AD1636" t="str">
        <f t="shared" si="39"/>
        <v/>
      </c>
      <c r="AE1636" t="str">
        <f t="shared" si="40"/>
        <v/>
      </c>
    </row>
    <row r="1637">
      <c r="B1637" s="99"/>
      <c r="C1637" s="99"/>
      <c r="D1637" s="100"/>
      <c r="E1637" s="101"/>
      <c r="F1637" s="99"/>
      <c r="H1637" s="473"/>
      <c r="I1637" s="474"/>
      <c r="J1637" s="475"/>
      <c r="K1637" s="275" t="str">
        <f>IFNA(VLOOKUP(D1637,'EAN Codes'!A:C,2,False),"")</f>
        <v/>
      </c>
      <c r="L1637" s="82"/>
      <c r="M1637" s="496" t="b">
        <v>0</v>
      </c>
      <c r="N1637" s="477" t="b">
        <v>0</v>
      </c>
      <c r="O1637" s="497" t="b">
        <v>0</v>
      </c>
      <c r="P1637" s="477" t="b">
        <v>0</v>
      </c>
      <c r="Q1637" s="477" t="b">
        <v>0</v>
      </c>
      <c r="R1637" s="539"/>
      <c r="S1637" s="540"/>
      <c r="T1637" s="543"/>
      <c r="U1637" s="514" t="b">
        <v>0</v>
      </c>
      <c r="Z1637" s="6" t="b">
        <v>1</v>
      </c>
      <c r="AA1637" s="6" t="b">
        <v>0</v>
      </c>
      <c r="AC1637" s="82" t="str">
        <f>IFERROR(__xludf.DUMMYFUNCTION("IFS(C1637=""ECS"",Vlookup(D1637,IMPORTRANGE(""https://docs.google.com/spreadsheets/d/1CONXwApUCNE4s-NquayczLLZJS3lBxtkAQwk9d9t2gA/edit"",""'Prislista 2024'!I:M""),5,false)*$AC$1)*A1637"),"#N/A")</f>
        <v>#N/A</v>
      </c>
      <c r="AD1637" t="str">
        <f t="shared" si="39"/>
        <v/>
      </c>
      <c r="AE1637" t="str">
        <f t="shared" si="40"/>
        <v/>
      </c>
    </row>
    <row r="1638">
      <c r="B1638" s="99"/>
      <c r="C1638" s="99"/>
      <c r="D1638" s="100"/>
      <c r="E1638" s="101"/>
      <c r="F1638" s="99"/>
      <c r="H1638" s="473"/>
      <c r="I1638" s="474"/>
      <c r="J1638" s="475"/>
      <c r="K1638" s="275" t="str">
        <f>IFNA(VLOOKUP(D1638,'EAN Codes'!A:C,2,False),"")</f>
        <v/>
      </c>
      <c r="L1638" s="82"/>
      <c r="M1638" s="496" t="b">
        <v>0</v>
      </c>
      <c r="N1638" s="477" t="b">
        <v>0</v>
      </c>
      <c r="O1638" s="497" t="b">
        <v>0</v>
      </c>
      <c r="P1638" s="477" t="b">
        <v>0</v>
      </c>
      <c r="Q1638" s="477" t="b">
        <v>0</v>
      </c>
      <c r="R1638" s="539"/>
      <c r="S1638" s="540"/>
      <c r="T1638" s="543"/>
      <c r="U1638" s="514" t="b">
        <v>0</v>
      </c>
      <c r="Z1638" s="6" t="b">
        <v>1</v>
      </c>
      <c r="AA1638" s="6" t="b">
        <v>0</v>
      </c>
      <c r="AC1638" s="35">
        <v>40.0</v>
      </c>
      <c r="AD1638" t="str">
        <f t="shared" si="39"/>
        <v/>
      </c>
      <c r="AE1638" t="str">
        <f t="shared" si="40"/>
        <v/>
      </c>
    </row>
    <row r="1639">
      <c r="B1639" s="99"/>
      <c r="C1639" s="99"/>
      <c r="D1639" s="100"/>
      <c r="E1639" s="101"/>
      <c r="F1639" s="99"/>
      <c r="H1639" s="473"/>
      <c r="I1639" s="474"/>
      <c r="J1639" s="475"/>
      <c r="K1639" s="275" t="str">
        <f>IFNA(VLOOKUP(D1639,'EAN Codes'!A:C,2,False),"")</f>
        <v/>
      </c>
      <c r="L1639" s="82"/>
      <c r="M1639" s="496" t="b">
        <v>0</v>
      </c>
      <c r="N1639" s="477" t="b">
        <v>0</v>
      </c>
      <c r="O1639" s="497" t="b">
        <v>0</v>
      </c>
      <c r="P1639" s="477" t="b">
        <v>0</v>
      </c>
      <c r="Q1639" s="477" t="b">
        <v>0</v>
      </c>
      <c r="R1639" s="539"/>
      <c r="S1639" s="540"/>
      <c r="T1639" s="543"/>
      <c r="U1639" s="514" t="b">
        <v>0</v>
      </c>
      <c r="Z1639" s="6" t="b">
        <v>1</v>
      </c>
      <c r="AA1639" s="6" t="b">
        <v>0</v>
      </c>
      <c r="AC1639" s="35">
        <v>40.0</v>
      </c>
      <c r="AD1639" t="str">
        <f t="shared" si="39"/>
        <v/>
      </c>
      <c r="AE1639" t="str">
        <f t="shared" si="40"/>
        <v/>
      </c>
    </row>
    <row r="1640">
      <c r="B1640" s="99"/>
      <c r="C1640" s="99"/>
      <c r="D1640" s="100"/>
      <c r="E1640" s="101"/>
      <c r="F1640" s="99"/>
      <c r="H1640" s="473"/>
      <c r="I1640" s="474"/>
      <c r="J1640" s="475"/>
      <c r="K1640" s="275" t="str">
        <f>IFNA(VLOOKUP(D1640,'EAN Codes'!A:C,2,False),"")</f>
        <v/>
      </c>
      <c r="L1640" s="82"/>
      <c r="M1640" s="496" t="b">
        <v>0</v>
      </c>
      <c r="N1640" s="477" t="b">
        <v>0</v>
      </c>
      <c r="O1640" s="497" t="b">
        <v>0</v>
      </c>
      <c r="P1640" s="477" t="b">
        <v>0</v>
      </c>
      <c r="Q1640" s="477" t="b">
        <v>0</v>
      </c>
      <c r="R1640" s="539"/>
      <c r="S1640" s="540"/>
      <c r="T1640" s="543"/>
      <c r="U1640" s="514" t="b">
        <v>0</v>
      </c>
      <c r="Z1640" s="6" t="b">
        <v>1</v>
      </c>
      <c r="AA1640" s="6" t="b">
        <v>0</v>
      </c>
      <c r="AC1640" s="35">
        <v>40.0</v>
      </c>
      <c r="AD1640" t="str">
        <f t="shared" si="39"/>
        <v/>
      </c>
      <c r="AE1640" t="str">
        <f t="shared" si="40"/>
        <v/>
      </c>
    </row>
    <row r="1641">
      <c r="B1641" s="99"/>
      <c r="C1641" s="99"/>
      <c r="D1641" s="100"/>
      <c r="E1641" s="101"/>
      <c r="F1641" s="99"/>
      <c r="H1641" s="473"/>
      <c r="I1641" s="474"/>
      <c r="J1641" s="475"/>
      <c r="K1641" s="275" t="str">
        <f>IFNA(VLOOKUP(D1641,'EAN Codes'!A:C,2,False),"")</f>
        <v/>
      </c>
      <c r="L1641" s="82"/>
      <c r="M1641" s="496" t="b">
        <v>0</v>
      </c>
      <c r="N1641" s="477" t="b">
        <v>0</v>
      </c>
      <c r="O1641" s="497" t="b">
        <v>0</v>
      </c>
      <c r="P1641" s="477" t="b">
        <v>0</v>
      </c>
      <c r="Q1641" s="477" t="b">
        <v>0</v>
      </c>
      <c r="R1641" s="539"/>
      <c r="S1641" s="540"/>
      <c r="T1641" s="543"/>
      <c r="U1641" s="514" t="b">
        <v>0</v>
      </c>
      <c r="Z1641" s="6" t="b">
        <v>1</v>
      </c>
      <c r="AA1641" s="6" t="b">
        <v>0</v>
      </c>
      <c r="AC1641" s="35">
        <v>35.0</v>
      </c>
      <c r="AD1641" t="str">
        <f t="shared" si="39"/>
        <v/>
      </c>
      <c r="AE1641" t="str">
        <f t="shared" si="40"/>
        <v/>
      </c>
    </row>
    <row r="1642">
      <c r="B1642" s="99"/>
      <c r="C1642" s="99"/>
      <c r="D1642" s="100"/>
      <c r="E1642" s="101"/>
      <c r="F1642" s="99"/>
      <c r="H1642" s="473"/>
      <c r="I1642" s="474"/>
      <c r="J1642" s="475"/>
      <c r="K1642" s="275" t="str">
        <f>IFNA(VLOOKUP(D1642,'EAN Codes'!A:C,2,False),"")</f>
        <v/>
      </c>
      <c r="L1642" s="82"/>
      <c r="M1642" s="496" t="b">
        <v>0</v>
      </c>
      <c r="N1642" s="477" t="b">
        <v>0</v>
      </c>
      <c r="O1642" s="497" t="b">
        <v>0</v>
      </c>
      <c r="P1642" s="477" t="b">
        <v>0</v>
      </c>
      <c r="Q1642" s="477" t="b">
        <v>0</v>
      </c>
      <c r="R1642" s="539"/>
      <c r="S1642" s="540"/>
      <c r="T1642" s="543"/>
      <c r="U1642" s="514" t="b">
        <v>0</v>
      </c>
      <c r="Z1642" s="6" t="b">
        <v>1</v>
      </c>
      <c r="AA1642" s="6" t="b">
        <v>0</v>
      </c>
      <c r="AC1642" s="35">
        <v>35.0</v>
      </c>
      <c r="AD1642" t="str">
        <f t="shared" si="39"/>
        <v/>
      </c>
      <c r="AE1642" t="str">
        <f t="shared" si="40"/>
        <v/>
      </c>
    </row>
    <row r="1643">
      <c r="B1643" s="99"/>
      <c r="C1643" s="99"/>
      <c r="D1643" s="100"/>
      <c r="E1643" s="101"/>
      <c r="F1643" s="99"/>
      <c r="H1643" s="473"/>
      <c r="I1643" s="474"/>
      <c r="J1643" s="475"/>
      <c r="K1643" s="275" t="str">
        <f>IFNA(VLOOKUP(D1643,'EAN Codes'!A:C,2,False),"")</f>
        <v/>
      </c>
      <c r="L1643" s="82"/>
      <c r="M1643" s="496" t="b">
        <v>0</v>
      </c>
      <c r="N1643" s="477" t="b">
        <v>0</v>
      </c>
      <c r="O1643" s="497" t="b">
        <v>0</v>
      </c>
      <c r="P1643" s="477" t="b">
        <v>0</v>
      </c>
      <c r="Q1643" s="477" t="b">
        <v>0</v>
      </c>
      <c r="R1643" s="539"/>
      <c r="S1643" s="540"/>
      <c r="T1643" s="543"/>
      <c r="U1643" s="514" t="b">
        <v>0</v>
      </c>
      <c r="Z1643" s="6" t="b">
        <v>1</v>
      </c>
      <c r="AA1643" s="6" t="b">
        <v>0</v>
      </c>
      <c r="AC1643" s="35">
        <v>35.0</v>
      </c>
      <c r="AD1643" t="str">
        <f t="shared" si="39"/>
        <v/>
      </c>
      <c r="AE1643" t="str">
        <f t="shared" si="40"/>
        <v/>
      </c>
    </row>
    <row r="1644">
      <c r="B1644" s="99"/>
      <c r="C1644" s="99"/>
      <c r="D1644" s="100"/>
      <c r="E1644" s="101"/>
      <c r="F1644" s="99"/>
      <c r="H1644" s="473"/>
      <c r="I1644" s="474"/>
      <c r="J1644" s="475"/>
      <c r="K1644" s="275" t="str">
        <f>IFNA(VLOOKUP(D1644,'EAN Codes'!A:C,2,False),"")</f>
        <v/>
      </c>
      <c r="L1644" s="82"/>
      <c r="M1644" s="496" t="b">
        <v>0</v>
      </c>
      <c r="N1644" s="477" t="b">
        <v>0</v>
      </c>
      <c r="O1644" s="497" t="b">
        <v>0</v>
      </c>
      <c r="P1644" s="477" t="b">
        <v>0</v>
      </c>
      <c r="Q1644" s="477" t="b">
        <v>0</v>
      </c>
      <c r="R1644" s="539"/>
      <c r="S1644" s="540"/>
      <c r="T1644" s="543"/>
      <c r="U1644" s="514" t="b">
        <v>0</v>
      </c>
      <c r="Z1644" s="6" t="b">
        <v>1</v>
      </c>
      <c r="AA1644" s="6" t="b">
        <v>0</v>
      </c>
      <c r="AC1644" s="35">
        <v>67.0</v>
      </c>
      <c r="AD1644" t="str">
        <f t="shared" si="39"/>
        <v/>
      </c>
      <c r="AE1644" t="str">
        <f t="shared" si="40"/>
        <v/>
      </c>
    </row>
    <row r="1645">
      <c r="B1645" s="99"/>
      <c r="C1645" s="99"/>
      <c r="D1645" s="100"/>
      <c r="E1645" s="101"/>
      <c r="F1645" s="101"/>
      <c r="H1645" s="473"/>
      <c r="I1645" s="474"/>
      <c r="J1645" s="475"/>
      <c r="K1645" s="275" t="str">
        <f>IFNA(VLOOKUP(D1645,'EAN Codes'!A:C,2,False),"")</f>
        <v/>
      </c>
      <c r="L1645" s="82"/>
      <c r="M1645" s="496" t="b">
        <v>0</v>
      </c>
      <c r="N1645" s="477" t="b">
        <v>0</v>
      </c>
      <c r="O1645" s="497" t="b">
        <v>0</v>
      </c>
      <c r="P1645" s="477" t="b">
        <v>0</v>
      </c>
      <c r="Q1645" s="477" t="b">
        <v>0</v>
      </c>
      <c r="R1645" s="539"/>
      <c r="S1645" s="540"/>
      <c r="T1645" s="543"/>
      <c r="U1645" s="514" t="b">
        <v>0</v>
      </c>
      <c r="Z1645" s="6" t="b">
        <v>1</v>
      </c>
      <c r="AA1645" s="6" t="b">
        <v>0</v>
      </c>
      <c r="AC1645" s="35">
        <v>443.45</v>
      </c>
      <c r="AD1645" t="str">
        <f t="shared" si="39"/>
        <v/>
      </c>
      <c r="AE1645" t="str">
        <f t="shared" si="40"/>
        <v/>
      </c>
    </row>
    <row r="1646">
      <c r="B1646" s="99"/>
      <c r="C1646" s="99"/>
      <c r="D1646" s="100"/>
      <c r="E1646" s="101"/>
      <c r="F1646" s="101"/>
      <c r="H1646" s="473"/>
      <c r="I1646" s="474"/>
      <c r="J1646" s="475"/>
      <c r="K1646" s="275" t="str">
        <f>IFNA(VLOOKUP(D1646,'EAN Codes'!A:C,2,False),"")</f>
        <v/>
      </c>
      <c r="L1646" s="82"/>
      <c r="M1646" s="496" t="b">
        <v>0</v>
      </c>
      <c r="N1646" s="477" t="b">
        <v>0</v>
      </c>
      <c r="O1646" s="497" t="b">
        <v>0</v>
      </c>
      <c r="P1646" s="477" t="b">
        <v>0</v>
      </c>
      <c r="Q1646" s="477" t="b">
        <v>0</v>
      </c>
      <c r="R1646" s="539"/>
      <c r="S1646" s="540"/>
      <c r="T1646" s="543"/>
      <c r="U1646" s="514" t="b">
        <v>0</v>
      </c>
      <c r="Z1646" s="6" t="b">
        <v>1</v>
      </c>
      <c r="AA1646" s="6" t="b">
        <v>0</v>
      </c>
      <c r="AC1646" s="35">
        <v>412.16</v>
      </c>
      <c r="AD1646" t="str">
        <f t="shared" si="39"/>
        <v/>
      </c>
      <c r="AE1646" t="str">
        <f t="shared" si="40"/>
        <v/>
      </c>
    </row>
    <row r="1647">
      <c r="B1647" s="99"/>
      <c r="C1647" s="99"/>
      <c r="D1647" s="100"/>
      <c r="E1647" s="101"/>
      <c r="F1647" s="101"/>
      <c r="H1647" s="473"/>
      <c r="I1647" s="474"/>
      <c r="J1647" s="475"/>
      <c r="K1647" s="275" t="str">
        <f>IFNA(VLOOKUP(D1647,'EAN Codes'!A:C,2,False),"")</f>
        <v/>
      </c>
      <c r="L1647" s="82"/>
      <c r="M1647" s="496" t="b">
        <v>0</v>
      </c>
      <c r="N1647" s="477" t="b">
        <v>0</v>
      </c>
      <c r="O1647" s="497" t="b">
        <v>0</v>
      </c>
      <c r="P1647" s="477" t="b">
        <v>0</v>
      </c>
      <c r="Q1647" s="477" t="b">
        <v>0</v>
      </c>
      <c r="R1647" s="539"/>
      <c r="S1647" s="540"/>
      <c r="T1647" s="543"/>
      <c r="U1647" s="514" t="b">
        <v>0</v>
      </c>
      <c r="Z1647" s="6" t="b">
        <v>1</v>
      </c>
      <c r="AA1647" s="6" t="b">
        <v>0</v>
      </c>
      <c r="AC1647" s="82"/>
      <c r="AD1647" t="str">
        <f t="shared" si="39"/>
        <v/>
      </c>
      <c r="AE1647" t="str">
        <f t="shared" si="40"/>
        <v/>
      </c>
    </row>
    <row r="1648">
      <c r="B1648" s="99"/>
      <c r="C1648" s="99"/>
      <c r="D1648" s="100"/>
      <c r="E1648" s="101"/>
      <c r="F1648" s="100"/>
      <c r="H1648" s="473"/>
      <c r="I1648" s="473"/>
      <c r="J1648" s="475"/>
      <c r="K1648" s="275" t="str">
        <f>IFNA(VLOOKUP(D1648,'EAN Codes'!A:C,2,False),"")</f>
        <v/>
      </c>
      <c r="L1648" s="82"/>
      <c r="M1648" s="496" t="b">
        <v>0</v>
      </c>
      <c r="N1648" s="477" t="b">
        <v>0</v>
      </c>
      <c r="O1648" s="497" t="b">
        <v>0</v>
      </c>
      <c r="P1648" s="477" t="b">
        <v>0</v>
      </c>
      <c r="Q1648" s="477" t="b">
        <v>0</v>
      </c>
      <c r="R1648" s="539"/>
      <c r="S1648" s="540"/>
      <c r="T1648" s="543"/>
      <c r="U1648" s="514" t="b">
        <v>0</v>
      </c>
      <c r="Z1648" s="6" t="b">
        <v>1</v>
      </c>
      <c r="AA1648" t="b">
        <v>0</v>
      </c>
      <c r="AC1648" s="82"/>
      <c r="AD1648" t="str">
        <f t="shared" si="39"/>
        <v/>
      </c>
      <c r="AE1648" t="str">
        <f t="shared" si="40"/>
        <v/>
      </c>
    </row>
    <row r="1649">
      <c r="B1649" s="99"/>
      <c r="C1649" s="99"/>
      <c r="D1649" s="100"/>
      <c r="E1649" s="101"/>
      <c r="F1649" s="99"/>
      <c r="H1649" s="473"/>
      <c r="I1649" s="473"/>
      <c r="J1649" s="475"/>
      <c r="K1649" s="275" t="str">
        <f>IFNA(VLOOKUP(D1649,'EAN Codes'!A:C,2,False),"")</f>
        <v/>
      </c>
      <c r="L1649" s="82"/>
      <c r="M1649" s="496" t="b">
        <v>0</v>
      </c>
      <c r="N1649" s="477" t="b">
        <v>0</v>
      </c>
      <c r="O1649" s="497" t="b">
        <v>0</v>
      </c>
      <c r="P1649" s="477" t="b">
        <v>0</v>
      </c>
      <c r="Q1649" s="477" t="b">
        <v>0</v>
      </c>
      <c r="R1649" s="539"/>
      <c r="S1649" s="540"/>
      <c r="T1649" s="543"/>
      <c r="U1649" s="514" t="b">
        <v>0</v>
      </c>
      <c r="Z1649" s="6" t="b">
        <v>1</v>
      </c>
      <c r="AA1649" t="b">
        <v>0</v>
      </c>
      <c r="AC1649" s="82"/>
      <c r="AD1649" t="str">
        <f t="shared" si="39"/>
        <v/>
      </c>
      <c r="AE1649" t="str">
        <f t="shared" si="40"/>
        <v/>
      </c>
    </row>
    <row r="1650">
      <c r="B1650" s="99"/>
      <c r="C1650" s="99"/>
      <c r="D1650" s="100"/>
      <c r="E1650" s="101"/>
      <c r="F1650" s="101"/>
      <c r="H1650" s="473"/>
      <c r="I1650" s="474"/>
      <c r="J1650" s="475"/>
      <c r="K1650" s="275" t="str">
        <f>IFNA(VLOOKUP(D1650,'EAN Codes'!A:C,2,False),"")</f>
        <v/>
      </c>
      <c r="L1650" s="82"/>
      <c r="M1650" s="496" t="b">
        <v>0</v>
      </c>
      <c r="N1650" s="477" t="b">
        <v>0</v>
      </c>
      <c r="O1650" s="497" t="b">
        <v>0</v>
      </c>
      <c r="P1650" s="477" t="b">
        <v>0</v>
      </c>
      <c r="Q1650" s="477" t="b">
        <v>0</v>
      </c>
      <c r="R1650" s="539"/>
      <c r="S1650" s="540"/>
      <c r="T1650" s="543"/>
      <c r="U1650" s="514" t="b">
        <v>0</v>
      </c>
      <c r="Z1650" s="6" t="b">
        <v>1</v>
      </c>
      <c r="AA1650" t="b">
        <v>0</v>
      </c>
      <c r="AC1650" s="82"/>
      <c r="AD1650" t="str">
        <f t="shared" si="39"/>
        <v/>
      </c>
      <c r="AE1650" t="str">
        <f t="shared" si="40"/>
        <v/>
      </c>
    </row>
    <row r="1651">
      <c r="B1651" s="99"/>
      <c r="C1651" s="99"/>
      <c r="D1651" s="100"/>
      <c r="E1651" s="101"/>
      <c r="F1651" s="99"/>
      <c r="H1651" s="473"/>
      <c r="I1651" s="474"/>
      <c r="J1651" s="475"/>
      <c r="K1651" s="275" t="str">
        <f>IFNA(VLOOKUP(D1651,'EAN Codes'!A:C,2,False),"")</f>
        <v/>
      </c>
      <c r="L1651" s="82"/>
      <c r="M1651" s="496" t="b">
        <v>0</v>
      </c>
      <c r="N1651" s="477" t="b">
        <v>0</v>
      </c>
      <c r="O1651" s="497" t="b">
        <v>0</v>
      </c>
      <c r="P1651" s="477" t="b">
        <v>0</v>
      </c>
      <c r="Q1651" s="477" t="b">
        <v>0</v>
      </c>
      <c r="R1651" s="539"/>
      <c r="S1651" s="540"/>
      <c r="T1651" s="543"/>
      <c r="U1651" s="514" t="b">
        <v>0</v>
      </c>
      <c r="Z1651" s="6" t="b">
        <v>1</v>
      </c>
      <c r="AA1651" s="6" t="b">
        <v>0</v>
      </c>
      <c r="AC1651" s="82"/>
      <c r="AD1651" t="str">
        <f t="shared" si="39"/>
        <v/>
      </c>
      <c r="AE1651" t="str">
        <f t="shared" si="40"/>
        <v/>
      </c>
    </row>
    <row r="1652">
      <c r="B1652" s="99"/>
      <c r="C1652" s="99"/>
      <c r="D1652" s="100"/>
      <c r="E1652" s="101"/>
      <c r="F1652" s="101"/>
      <c r="H1652" s="473"/>
      <c r="I1652" s="474"/>
      <c r="J1652" s="475"/>
      <c r="K1652" s="275" t="str">
        <f>IFNA(VLOOKUP(D1652,'EAN Codes'!A:C,2,False),"")</f>
        <v/>
      </c>
      <c r="L1652" s="82"/>
      <c r="M1652" s="496" t="b">
        <v>0</v>
      </c>
      <c r="N1652" s="477" t="b">
        <v>0</v>
      </c>
      <c r="O1652" s="497" t="b">
        <v>0</v>
      </c>
      <c r="P1652" s="477" t="b">
        <v>0</v>
      </c>
      <c r="Q1652" s="477" t="b">
        <v>0</v>
      </c>
      <c r="R1652" s="539"/>
      <c r="S1652" s="540"/>
      <c r="T1652" s="543"/>
      <c r="U1652" s="514" t="b">
        <v>0</v>
      </c>
      <c r="Z1652" s="6" t="b">
        <v>1</v>
      </c>
      <c r="AA1652" s="6" t="b">
        <v>0</v>
      </c>
      <c r="AC1652" s="82"/>
      <c r="AD1652" t="str">
        <f t="shared" si="39"/>
        <v/>
      </c>
      <c r="AE1652" t="str">
        <f t="shared" si="40"/>
        <v/>
      </c>
    </row>
    <row r="1653" hidden="1">
      <c r="A1653" s="6">
        <v>1.0</v>
      </c>
      <c r="B1653" s="6" t="s">
        <v>241</v>
      </c>
      <c r="C1653" s="6" t="s">
        <v>408</v>
      </c>
      <c r="D1653" s="127" t="s">
        <v>9278</v>
      </c>
      <c r="F1653" s="3" t="s">
        <v>9279</v>
      </c>
      <c r="H1653" s="473" t="s">
        <v>135</v>
      </c>
      <c r="I1653" s="473" t="s">
        <v>9280</v>
      </c>
      <c r="J1653" s="475"/>
      <c r="K1653" s="275" t="str">
        <f>IFNA(VLOOKUP(D1653,'EAN Codes'!A:C,2,False),"")</f>
        <v/>
      </c>
      <c r="L1653" s="82"/>
      <c r="M1653" s="496" t="b">
        <v>0</v>
      </c>
      <c r="N1653" s="477" t="b">
        <v>0</v>
      </c>
      <c r="O1653" s="497" t="b">
        <v>0</v>
      </c>
      <c r="P1653" s="477" t="b">
        <v>0</v>
      </c>
      <c r="Q1653" s="477" t="b">
        <v>0</v>
      </c>
      <c r="R1653" s="539"/>
      <c r="S1653" s="540"/>
      <c r="T1653" s="480">
        <v>373431.0</v>
      </c>
      <c r="U1653" s="481" t="b">
        <v>1</v>
      </c>
      <c r="Z1653" s="6" t="b">
        <v>1</v>
      </c>
      <c r="AA1653" t="b">
        <v>0</v>
      </c>
    </row>
    <row r="1654" hidden="1">
      <c r="A1654" s="6">
        <v>1.0</v>
      </c>
      <c r="B1654" s="99" t="s">
        <v>241</v>
      </c>
      <c r="C1654" s="99" t="s">
        <v>342</v>
      </c>
      <c r="D1654" s="100" t="s">
        <v>8370</v>
      </c>
      <c r="E1654" s="101"/>
      <c r="F1654" s="101"/>
      <c r="H1654" s="473" t="s">
        <v>135</v>
      </c>
      <c r="I1654" s="474"/>
      <c r="J1654" s="475"/>
      <c r="K1654" s="275" t="str">
        <f>IFNA(VLOOKUP(D1654,'EAN Codes'!A:C,2,False),"")</f>
        <v/>
      </c>
      <c r="L1654" s="82"/>
      <c r="M1654" s="496" t="b">
        <v>0</v>
      </c>
      <c r="N1654" s="477" t="b">
        <v>0</v>
      </c>
      <c r="O1654" s="497" t="b">
        <v>0</v>
      </c>
      <c r="P1654" s="477" t="b">
        <v>0</v>
      </c>
      <c r="Q1654" s="477" t="b">
        <v>0</v>
      </c>
      <c r="R1654" s="539"/>
      <c r="S1654" s="540"/>
      <c r="T1654" s="480">
        <v>372572.0</v>
      </c>
      <c r="U1654" s="481" t="b">
        <v>1</v>
      </c>
      <c r="Z1654" s="6" t="b">
        <v>1</v>
      </c>
      <c r="AA1654" t="b">
        <v>0</v>
      </c>
    </row>
    <row r="1655" hidden="1">
      <c r="A1655" s="6">
        <v>1.0</v>
      </c>
      <c r="B1655" s="6" t="s">
        <v>8287</v>
      </c>
      <c r="C1655" s="6" t="s">
        <v>8278</v>
      </c>
      <c r="D1655" s="127" t="s">
        <v>8290</v>
      </c>
      <c r="H1655" s="473" t="s">
        <v>135</v>
      </c>
      <c r="I1655" s="474"/>
      <c r="J1655" s="475"/>
      <c r="K1655" s="275" t="str">
        <f>IFNA(VLOOKUP(D1655,'EAN Codes'!A:C,2,False),"")</f>
        <v/>
      </c>
      <c r="L1655" s="82"/>
      <c r="M1655" s="496" t="b">
        <v>0</v>
      </c>
      <c r="N1655" s="477" t="b">
        <v>0</v>
      </c>
      <c r="O1655" s="497" t="b">
        <v>0</v>
      </c>
      <c r="P1655" s="477" t="b">
        <v>0</v>
      </c>
      <c r="Q1655" s="477" t="b">
        <v>0</v>
      </c>
      <c r="R1655" s="539"/>
      <c r="S1655" s="540"/>
      <c r="T1655" s="543"/>
      <c r="U1655" s="481" t="b">
        <v>1</v>
      </c>
      <c r="Z1655" t="b">
        <v>0</v>
      </c>
      <c r="AA1655" t="b">
        <v>0</v>
      </c>
    </row>
    <row r="1656" hidden="1">
      <c r="A1656" s="6">
        <v>1.0</v>
      </c>
      <c r="B1656" s="6" t="s">
        <v>241</v>
      </c>
      <c r="C1656" s="6" t="s">
        <v>4382</v>
      </c>
      <c r="D1656" s="127" t="s">
        <v>9281</v>
      </c>
      <c r="H1656" s="473" t="s">
        <v>9217</v>
      </c>
      <c r="I1656" s="473" t="s">
        <v>9282</v>
      </c>
      <c r="J1656" s="475"/>
      <c r="K1656" s="275" t="str">
        <f>IFNA(VLOOKUP(D1656,'EAN Codes'!A:C,2,False),"")</f>
        <v/>
      </c>
      <c r="L1656" s="82"/>
      <c r="M1656" s="496" t="b">
        <v>0</v>
      </c>
      <c r="N1656" s="477" t="b">
        <v>0</v>
      </c>
      <c r="O1656" s="497" t="b">
        <v>0</v>
      </c>
      <c r="P1656" s="477" t="b">
        <v>0</v>
      </c>
      <c r="Q1656" s="477" t="b">
        <v>0</v>
      </c>
      <c r="R1656" s="539"/>
      <c r="S1656" s="540"/>
      <c r="T1656" s="543"/>
      <c r="U1656" s="481" t="b">
        <v>1</v>
      </c>
      <c r="Z1656" s="6" t="b">
        <v>1</v>
      </c>
      <c r="AA1656" t="b">
        <v>0</v>
      </c>
    </row>
    <row r="1657" hidden="1">
      <c r="A1657" s="6">
        <v>1.0</v>
      </c>
      <c r="B1657" s="6" t="s">
        <v>8287</v>
      </c>
      <c r="C1657" s="6" t="s">
        <v>408</v>
      </c>
      <c r="D1657" s="127" t="s">
        <v>8381</v>
      </c>
      <c r="H1657" s="473" t="s">
        <v>135</v>
      </c>
      <c r="I1657" s="474"/>
      <c r="J1657" s="475"/>
      <c r="K1657" s="275" t="str">
        <f>IFNA(VLOOKUP(D1657,'EAN Codes'!A:C,2,False),"")</f>
        <v/>
      </c>
      <c r="L1657" s="82"/>
      <c r="M1657" s="496" t="b">
        <v>0</v>
      </c>
      <c r="N1657" s="477" t="b">
        <v>0</v>
      </c>
      <c r="O1657" s="497" t="b">
        <v>0</v>
      </c>
      <c r="P1657" s="477" t="b">
        <v>0</v>
      </c>
      <c r="Q1657" s="477" t="b">
        <v>0</v>
      </c>
      <c r="R1657" s="539"/>
      <c r="S1657" s="540"/>
      <c r="T1657" s="543"/>
      <c r="U1657" s="481" t="b">
        <v>1</v>
      </c>
      <c r="Z1657" t="b">
        <v>0</v>
      </c>
      <c r="AA1657" t="b">
        <v>0</v>
      </c>
      <c r="AC1657" s="82"/>
      <c r="AD1657" t="str">
        <f>IFNA(IFS(U1657=False,D1657),"")</f>
        <v/>
      </c>
      <c r="AE1657" t="str">
        <f>IFNA(IFS(U1657=false,H1657),"")</f>
        <v/>
      </c>
    </row>
    <row r="1658" hidden="1">
      <c r="A1658" s="6">
        <v>1.0</v>
      </c>
      <c r="B1658" s="6" t="s">
        <v>241</v>
      </c>
      <c r="C1658" s="6" t="s">
        <v>342</v>
      </c>
      <c r="D1658" s="127" t="s">
        <v>3124</v>
      </c>
      <c r="F1658" s="6" t="s">
        <v>9283</v>
      </c>
      <c r="H1658" s="473" t="s">
        <v>637</v>
      </c>
      <c r="I1658" s="473" t="s">
        <v>9284</v>
      </c>
      <c r="J1658" s="508" t="s">
        <v>9285</v>
      </c>
      <c r="K1658" s="275" t="str">
        <f>IFNA(VLOOKUP(D1658,'EAN Codes'!A:C,2,False),"")</f>
        <v>5907615804120</v>
      </c>
      <c r="L1658" s="82"/>
      <c r="M1658" s="496" t="b">
        <v>0</v>
      </c>
      <c r="N1658" s="477" t="b">
        <v>0</v>
      </c>
      <c r="O1658" s="497" t="b">
        <v>0</v>
      </c>
      <c r="P1658" s="477" t="b">
        <v>0</v>
      </c>
      <c r="Q1658" s="477" t="b">
        <v>0</v>
      </c>
      <c r="R1658" s="539"/>
      <c r="S1658" s="479" t="s">
        <v>9286</v>
      </c>
      <c r="T1658" s="543"/>
      <c r="U1658" s="481" t="b">
        <v>1</v>
      </c>
      <c r="Z1658" t="b">
        <v>0</v>
      </c>
      <c r="AA1658" t="b">
        <v>0</v>
      </c>
    </row>
    <row r="1659" hidden="1">
      <c r="A1659" s="6">
        <v>1.0</v>
      </c>
      <c r="B1659" s="6" t="s">
        <v>181</v>
      </c>
      <c r="C1659" s="6" t="s">
        <v>1116</v>
      </c>
      <c r="D1659" s="127" t="s">
        <v>9093</v>
      </c>
      <c r="H1659" s="473" t="s">
        <v>676</v>
      </c>
      <c r="I1659" s="473" t="s">
        <v>9266</v>
      </c>
      <c r="J1659" s="508" t="s">
        <v>9267</v>
      </c>
      <c r="K1659" s="275" t="str">
        <f>IFNA(VLOOKUP(D1659,'EAN Codes'!A:C,2,False),"")</f>
        <v/>
      </c>
      <c r="L1659" s="82"/>
      <c r="M1659" s="496" t="b">
        <v>0</v>
      </c>
      <c r="N1659" s="477" t="b">
        <v>0</v>
      </c>
      <c r="O1659" s="497" t="b">
        <v>0</v>
      </c>
      <c r="P1659" s="477" t="b">
        <v>0</v>
      </c>
      <c r="Q1659" s="477" t="b">
        <v>0</v>
      </c>
      <c r="R1659" s="539"/>
      <c r="S1659" s="540"/>
      <c r="T1659" s="543"/>
      <c r="U1659" s="481" t="b">
        <v>1</v>
      </c>
      <c r="Z1659" t="b">
        <v>0</v>
      </c>
      <c r="AA1659" t="b">
        <v>0</v>
      </c>
    </row>
    <row r="1660" hidden="1">
      <c r="A1660" s="6">
        <v>1.0</v>
      </c>
      <c r="B1660" s="6" t="s">
        <v>391</v>
      </c>
      <c r="C1660" s="6" t="s">
        <v>8536</v>
      </c>
      <c r="D1660" s="127" t="s">
        <v>8978</v>
      </c>
      <c r="H1660" s="473" t="s">
        <v>135</v>
      </c>
      <c r="I1660" s="473" t="s">
        <v>9287</v>
      </c>
      <c r="J1660" s="508" t="s">
        <v>9288</v>
      </c>
      <c r="K1660" s="275" t="str">
        <f>IFNA(VLOOKUP(D1660,'EAN Codes'!A:C,2,False),"")</f>
        <v/>
      </c>
      <c r="L1660" s="82"/>
      <c r="M1660" s="496" t="b">
        <v>0</v>
      </c>
      <c r="N1660" s="477" t="b">
        <v>0</v>
      </c>
      <c r="O1660" s="497" t="b">
        <v>0</v>
      </c>
      <c r="P1660" s="477" t="b">
        <v>0</v>
      </c>
      <c r="Q1660" s="477" t="b">
        <v>0</v>
      </c>
      <c r="R1660" s="539"/>
      <c r="S1660" s="540"/>
      <c r="T1660" s="543"/>
      <c r="U1660" s="481" t="b">
        <v>1</v>
      </c>
      <c r="Z1660" t="b">
        <v>0</v>
      </c>
      <c r="AA1660" t="b">
        <v>0</v>
      </c>
    </row>
    <row r="1661" hidden="1">
      <c r="A1661" s="99">
        <v>1.0</v>
      </c>
      <c r="B1661" s="99" t="s">
        <v>241</v>
      </c>
      <c r="C1661" s="99" t="s">
        <v>9289</v>
      </c>
      <c r="D1661" s="100" t="s">
        <v>9269</v>
      </c>
      <c r="E1661" s="99" t="s">
        <v>346</v>
      </c>
      <c r="F1661" s="99" t="s">
        <v>3992</v>
      </c>
      <c r="G1661" s="99" t="s">
        <v>9290</v>
      </c>
      <c r="H1661" s="487" t="s">
        <v>135</v>
      </c>
      <c r="I1661" s="487" t="s">
        <v>9270</v>
      </c>
      <c r="J1661" s="581" t="s">
        <v>9291</v>
      </c>
      <c r="K1661" s="90" t="str">
        <f>IFNA(VLOOKUP(D1661,'EAN Codes'!A:C,2,False),"")</f>
        <v/>
      </c>
      <c r="L1661" s="101"/>
      <c r="M1661" s="657" t="b">
        <v>0</v>
      </c>
      <c r="N1661" s="576" t="b">
        <v>0</v>
      </c>
      <c r="O1661" s="577" t="b">
        <v>0</v>
      </c>
      <c r="P1661" s="576" t="b">
        <v>0</v>
      </c>
      <c r="Q1661" s="576" t="b">
        <v>0</v>
      </c>
      <c r="R1661" s="544"/>
      <c r="S1661" s="545"/>
      <c r="T1661" s="578"/>
      <c r="U1661" s="579" t="b">
        <v>1</v>
      </c>
      <c r="V1661" s="101"/>
      <c r="W1661" s="101"/>
      <c r="X1661" s="101"/>
      <c r="Y1661" s="101"/>
      <c r="Z1661" s="101" t="b">
        <v>0</v>
      </c>
      <c r="AA1661" t="b">
        <v>0</v>
      </c>
      <c r="AB1661" s="101"/>
      <c r="AC1661" s="101"/>
      <c r="AD1661" s="101"/>
      <c r="AE1661" s="101"/>
    </row>
    <row r="1662">
      <c r="B1662" s="99"/>
      <c r="C1662" s="99"/>
      <c r="D1662" s="100"/>
      <c r="E1662" s="101"/>
      <c r="F1662" s="101"/>
      <c r="H1662" s="473"/>
      <c r="I1662" s="474"/>
      <c r="J1662" s="475"/>
      <c r="K1662" s="275" t="str">
        <f>IFNA(VLOOKUP(D1662,'EAN Codes'!A:C,2,False),"")</f>
        <v/>
      </c>
      <c r="L1662" s="82"/>
      <c r="M1662" s="496" t="b">
        <v>0</v>
      </c>
      <c r="N1662" s="477" t="b">
        <v>0</v>
      </c>
      <c r="O1662" s="497" t="b">
        <v>0</v>
      </c>
      <c r="P1662" s="477" t="b">
        <v>0</v>
      </c>
      <c r="Q1662" s="477" t="b">
        <v>0</v>
      </c>
      <c r="R1662" s="539"/>
      <c r="S1662" s="540"/>
      <c r="T1662" s="543"/>
      <c r="U1662" s="514" t="b">
        <v>0</v>
      </c>
      <c r="Z1662" t="b">
        <v>0</v>
      </c>
      <c r="AA1662" t="b">
        <v>0</v>
      </c>
      <c r="AC1662" s="82">
        <f>5*11.6</f>
        <v>58</v>
      </c>
      <c r="AD1662" t="str">
        <f>IFNA(IFS(U1662=False,D1662),"")</f>
        <v/>
      </c>
      <c r="AE1662" t="str">
        <f>IFNA(IFS(U1662=false,H1662),"")</f>
        <v/>
      </c>
    </row>
    <row r="1663" hidden="1">
      <c r="A1663" s="99">
        <v>1.0</v>
      </c>
      <c r="B1663" s="99" t="s">
        <v>241</v>
      </c>
      <c r="C1663" s="99" t="s">
        <v>9289</v>
      </c>
      <c r="D1663" s="100" t="s">
        <v>5298</v>
      </c>
      <c r="E1663" s="99" t="s">
        <v>3450</v>
      </c>
      <c r="F1663" s="99" t="s">
        <v>5299</v>
      </c>
      <c r="H1663" s="473"/>
      <c r="I1663" s="473" t="s">
        <v>9292</v>
      </c>
      <c r="J1663" s="475"/>
      <c r="K1663" s="275" t="str">
        <f>IFNA(VLOOKUP(D1663,'EAN Codes'!A:C,2,False),"")</f>
        <v/>
      </c>
      <c r="L1663" s="82"/>
      <c r="M1663" s="496" t="b">
        <v>0</v>
      </c>
      <c r="N1663" s="477" t="b">
        <v>0</v>
      </c>
      <c r="O1663" s="497" t="b">
        <v>0</v>
      </c>
      <c r="P1663" s="477" t="b">
        <v>0</v>
      </c>
      <c r="Q1663" s="477" t="b">
        <v>0</v>
      </c>
      <c r="R1663" s="539"/>
      <c r="S1663" s="479" t="s">
        <v>9293</v>
      </c>
      <c r="T1663" s="480" t="s">
        <v>9294</v>
      </c>
      <c r="U1663" s="481" t="b">
        <v>1</v>
      </c>
      <c r="Z1663" t="b">
        <v>0</v>
      </c>
      <c r="AA1663" t="b">
        <v>0</v>
      </c>
    </row>
    <row r="1664">
      <c r="B1664" s="86"/>
      <c r="C1664" s="86"/>
      <c r="D1664" s="87"/>
      <c r="E1664" s="101"/>
      <c r="F1664" s="99"/>
      <c r="H1664" s="473"/>
      <c r="I1664" s="474"/>
      <c r="J1664" s="475"/>
      <c r="K1664" s="275" t="str">
        <f>IFNA(VLOOKUP(D1664,'EAN Codes'!A:C,2,False),"")</f>
        <v/>
      </c>
      <c r="L1664" s="82"/>
      <c r="M1664" s="496" t="b">
        <v>0</v>
      </c>
      <c r="N1664" s="477" t="b">
        <v>0</v>
      </c>
      <c r="O1664" s="497" t="b">
        <v>0</v>
      </c>
      <c r="P1664" s="477" t="b">
        <v>0</v>
      </c>
      <c r="Q1664" s="477" t="b">
        <v>0</v>
      </c>
      <c r="R1664" s="539"/>
      <c r="S1664" s="540"/>
      <c r="T1664" s="543"/>
      <c r="U1664" s="514" t="b">
        <v>0</v>
      </c>
      <c r="Z1664" t="b">
        <v>0</v>
      </c>
      <c r="AA1664" s="6" t="b">
        <v>0</v>
      </c>
      <c r="AC1664" s="35">
        <v>719.2</v>
      </c>
      <c r="AD1664" t="str">
        <f t="shared" ref="AD1664:AD1666" si="41">IFNA(IFS(U1664=False,D1664),"")</f>
        <v/>
      </c>
      <c r="AE1664" t="str">
        <f t="shared" ref="AE1664:AE1666" si="42">IFNA(IFS(U1664=false,H1664),"")</f>
        <v/>
      </c>
    </row>
    <row r="1665">
      <c r="B1665" s="86"/>
      <c r="C1665" s="86"/>
      <c r="D1665" s="87"/>
      <c r="E1665" s="101"/>
      <c r="F1665" s="99"/>
      <c r="H1665" s="473"/>
      <c r="I1665" s="474"/>
      <c r="J1665" s="475"/>
      <c r="K1665" s="275" t="str">
        <f>IFNA(VLOOKUP(D1665,'EAN Codes'!A:C,2,False),"")</f>
        <v/>
      </c>
      <c r="L1665" s="82"/>
      <c r="M1665" s="496" t="b">
        <v>0</v>
      </c>
      <c r="N1665" s="477" t="b">
        <v>0</v>
      </c>
      <c r="O1665" s="497" t="b">
        <v>0</v>
      </c>
      <c r="P1665" s="477" t="b">
        <v>0</v>
      </c>
      <c r="Q1665" s="477" t="b">
        <v>0</v>
      </c>
      <c r="R1665" s="539"/>
      <c r="S1665" s="540"/>
      <c r="T1665" s="543"/>
      <c r="U1665" s="514" t="b">
        <v>0</v>
      </c>
      <c r="Z1665" t="b">
        <v>0</v>
      </c>
      <c r="AA1665" s="6" t="b">
        <v>0</v>
      </c>
      <c r="AC1665" s="35">
        <v>719.2</v>
      </c>
      <c r="AD1665" t="str">
        <f t="shared" si="41"/>
        <v/>
      </c>
      <c r="AE1665" t="str">
        <f t="shared" si="42"/>
        <v/>
      </c>
    </row>
    <row r="1666" hidden="1">
      <c r="A1666" s="6">
        <v>1.0</v>
      </c>
      <c r="B1666" s="106" t="s">
        <v>181</v>
      </c>
      <c r="C1666" s="106" t="s">
        <v>4382</v>
      </c>
      <c r="D1666" s="273" t="s">
        <v>9295</v>
      </c>
      <c r="F1666" s="6" t="s">
        <v>9296</v>
      </c>
      <c r="H1666" s="473" t="s">
        <v>135</v>
      </c>
      <c r="I1666" s="474"/>
      <c r="J1666" s="475"/>
      <c r="K1666" s="275" t="str">
        <f>IFNA(VLOOKUP(D1666,'EAN Codes'!A:C,2,False),"")</f>
        <v/>
      </c>
      <c r="L1666" s="82"/>
      <c r="M1666" s="496" t="b">
        <v>0</v>
      </c>
      <c r="N1666" s="477" t="b">
        <v>0</v>
      </c>
      <c r="O1666" s="497" t="b">
        <v>0</v>
      </c>
      <c r="P1666" s="477" t="b">
        <v>0</v>
      </c>
      <c r="Q1666" s="477" t="b">
        <v>0</v>
      </c>
      <c r="R1666" s="539"/>
      <c r="S1666" s="540"/>
      <c r="T1666" s="543"/>
      <c r="U1666" s="481" t="b">
        <v>1</v>
      </c>
      <c r="Z1666" t="b">
        <v>0</v>
      </c>
      <c r="AA1666" t="b">
        <v>0</v>
      </c>
      <c r="AC1666" s="35">
        <v>719.2</v>
      </c>
      <c r="AD1666" t="str">
        <f t="shared" si="41"/>
        <v/>
      </c>
      <c r="AE1666" t="str">
        <f t="shared" si="42"/>
        <v/>
      </c>
    </row>
    <row r="1667" hidden="1">
      <c r="A1667" s="6">
        <v>1.0</v>
      </c>
      <c r="B1667" s="6" t="s">
        <v>391</v>
      </c>
      <c r="C1667" s="6" t="s">
        <v>4532</v>
      </c>
      <c r="D1667" s="127" t="s">
        <v>9245</v>
      </c>
      <c r="H1667" s="473" t="s">
        <v>135</v>
      </c>
      <c r="I1667" s="473">
        <v>371697.0</v>
      </c>
      <c r="J1667" s="508" t="s">
        <v>9297</v>
      </c>
      <c r="K1667" s="275" t="str">
        <f>IFNA(VLOOKUP(D1667,'EAN Codes'!A:C,2,False),"")</f>
        <v/>
      </c>
      <c r="L1667" s="82"/>
      <c r="M1667" s="496" t="b">
        <v>0</v>
      </c>
      <c r="N1667" s="477" t="b">
        <v>0</v>
      </c>
      <c r="O1667" s="497" t="b">
        <v>0</v>
      </c>
      <c r="P1667" s="477" t="b">
        <v>0</v>
      </c>
      <c r="Q1667" s="477" t="b">
        <v>0</v>
      </c>
      <c r="R1667" s="539"/>
      <c r="S1667" s="540"/>
      <c r="T1667" s="480">
        <v>371709.0</v>
      </c>
      <c r="U1667" s="481" t="b">
        <v>1</v>
      </c>
      <c r="Z1667" t="b">
        <v>0</v>
      </c>
      <c r="AA1667" t="b">
        <v>0</v>
      </c>
    </row>
    <row r="1668" hidden="1">
      <c r="A1668" s="6">
        <v>1.0</v>
      </c>
      <c r="B1668" s="99" t="s">
        <v>241</v>
      </c>
      <c r="C1668" s="99" t="s">
        <v>342</v>
      </c>
      <c r="D1668" s="100" t="s">
        <v>9298</v>
      </c>
      <c r="H1668" s="473" t="s">
        <v>307</v>
      </c>
      <c r="I1668" s="473" t="s">
        <v>9299</v>
      </c>
      <c r="J1668" s="508" t="s">
        <v>9300</v>
      </c>
      <c r="K1668" s="275" t="str">
        <f>IFNA(VLOOKUP(D1668,'EAN Codes'!A:C,2,False),"")</f>
        <v/>
      </c>
      <c r="L1668" s="82"/>
      <c r="M1668" s="496" t="b">
        <v>0</v>
      </c>
      <c r="N1668" s="477" t="b">
        <v>0</v>
      </c>
      <c r="O1668" s="497" t="b">
        <v>0</v>
      </c>
      <c r="P1668" s="477" t="b">
        <v>0</v>
      </c>
      <c r="Q1668" s="477" t="b">
        <v>0</v>
      </c>
      <c r="R1668" s="539"/>
      <c r="S1668" s="540"/>
      <c r="T1668" s="480" t="s">
        <v>9301</v>
      </c>
      <c r="U1668" s="481" t="b">
        <v>1</v>
      </c>
      <c r="Z1668" t="b">
        <v>0</v>
      </c>
      <c r="AA1668" t="b">
        <v>0</v>
      </c>
    </row>
    <row r="1669" hidden="1">
      <c r="A1669" s="6">
        <v>1.0</v>
      </c>
      <c r="B1669" s="106" t="s">
        <v>241</v>
      </c>
      <c r="C1669" s="106" t="s">
        <v>1813</v>
      </c>
      <c r="D1669" s="273" t="s">
        <v>9302</v>
      </c>
      <c r="E1669" s="106" t="s">
        <v>346</v>
      </c>
      <c r="F1669" s="106" t="s">
        <v>9303</v>
      </c>
      <c r="G1669" s="115"/>
      <c r="H1669" s="160" t="s">
        <v>132</v>
      </c>
      <c r="I1669" s="473" t="s">
        <v>9304</v>
      </c>
      <c r="J1669" s="508" t="s">
        <v>9305</v>
      </c>
      <c r="K1669" s="275" t="str">
        <f>IFNA(VLOOKUP(D1669,'EAN Codes'!A:C,2,False),"")</f>
        <v/>
      </c>
      <c r="L1669" s="82"/>
      <c r="M1669" s="496" t="b">
        <v>0</v>
      </c>
      <c r="N1669" s="497" t="b">
        <v>1</v>
      </c>
      <c r="O1669" s="497" t="b">
        <v>0</v>
      </c>
      <c r="P1669" s="477" t="b">
        <v>0</v>
      </c>
      <c r="Q1669" s="477" t="b">
        <v>0</v>
      </c>
      <c r="R1669" s="478" t="s">
        <v>9306</v>
      </c>
      <c r="S1669" s="479" t="s">
        <v>9105</v>
      </c>
      <c r="T1669" s="543"/>
      <c r="U1669" s="481" t="b">
        <v>1</v>
      </c>
      <c r="Z1669" t="b">
        <v>0</v>
      </c>
      <c r="AA1669" t="b">
        <v>0</v>
      </c>
    </row>
    <row r="1670" hidden="1">
      <c r="A1670" s="99">
        <v>1.0</v>
      </c>
      <c r="B1670" s="99" t="s">
        <v>241</v>
      </c>
      <c r="C1670" s="99" t="s">
        <v>1813</v>
      </c>
      <c r="D1670" s="100" t="s">
        <v>9307</v>
      </c>
      <c r="E1670" s="99" t="s">
        <v>346</v>
      </c>
      <c r="F1670" s="99" t="s">
        <v>7370</v>
      </c>
      <c r="G1670" s="101"/>
      <c r="H1670" s="487" t="s">
        <v>255</v>
      </c>
      <c r="I1670" s="487" t="s">
        <v>9308</v>
      </c>
      <c r="J1670" s="581" t="s">
        <v>9305</v>
      </c>
      <c r="K1670" s="90" t="str">
        <f>IFNA(VLOOKUP(D1670,'EAN Codes'!A:C,2,False),"")</f>
        <v/>
      </c>
      <c r="L1670" s="101"/>
      <c r="M1670" s="657" t="b">
        <v>1</v>
      </c>
      <c r="N1670" s="576" t="b">
        <v>0</v>
      </c>
      <c r="O1670" s="577" t="b">
        <v>0</v>
      </c>
      <c r="P1670" s="576" t="b">
        <v>0</v>
      </c>
      <c r="Q1670" s="576" t="b">
        <v>0</v>
      </c>
      <c r="R1670" s="544"/>
      <c r="S1670" s="545"/>
      <c r="T1670" s="505" t="s">
        <v>9309</v>
      </c>
      <c r="U1670" s="579" t="b">
        <v>1</v>
      </c>
      <c r="V1670" s="101"/>
      <c r="W1670" s="101"/>
      <c r="X1670" s="101"/>
      <c r="Y1670" s="101"/>
      <c r="Z1670" s="101" t="b">
        <v>0</v>
      </c>
      <c r="AA1670" t="b">
        <v>0</v>
      </c>
      <c r="AB1670" s="101"/>
      <c r="AC1670" s="101"/>
      <c r="AD1670" s="101"/>
      <c r="AE1670" s="101"/>
    </row>
    <row r="1671">
      <c r="B1671" s="99"/>
      <c r="C1671" s="99"/>
      <c r="D1671" s="100"/>
      <c r="E1671" s="101"/>
      <c r="F1671" s="101"/>
      <c r="H1671" s="473"/>
      <c r="I1671" s="474"/>
      <c r="J1671" s="475"/>
      <c r="K1671" s="275" t="str">
        <f>IFNA(VLOOKUP(D1671,'EAN Codes'!A:C,2,False),"")</f>
        <v/>
      </c>
      <c r="L1671" s="82"/>
      <c r="M1671" s="496" t="b">
        <v>0</v>
      </c>
      <c r="N1671" s="477" t="b">
        <v>0</v>
      </c>
      <c r="O1671" s="497" t="b">
        <v>0</v>
      </c>
      <c r="P1671" s="477" t="b">
        <v>0</v>
      </c>
      <c r="Q1671" s="477" t="b">
        <v>0</v>
      </c>
      <c r="R1671" s="539"/>
      <c r="S1671" s="540"/>
      <c r="T1671" s="543"/>
      <c r="U1671" s="514" t="b">
        <v>0</v>
      </c>
      <c r="Z1671" t="b">
        <v>0</v>
      </c>
      <c r="AA1671" s="6" t="b">
        <v>0</v>
      </c>
      <c r="AC1671" s="82"/>
      <c r="AD1671" t="str">
        <f>IFNA(IFS(U1671=False,D1671),"")</f>
        <v/>
      </c>
      <c r="AE1671" t="str">
        <f>IFNA(IFS(U1671=false,H1671),"")</f>
        <v/>
      </c>
    </row>
    <row r="1672" hidden="1">
      <c r="A1672" s="6">
        <v>1.0</v>
      </c>
      <c r="B1672" s="6" t="s">
        <v>241</v>
      </c>
      <c r="C1672" s="106" t="s">
        <v>4382</v>
      </c>
      <c r="D1672" s="273" t="s">
        <v>8318</v>
      </c>
      <c r="E1672" s="106" t="s">
        <v>373</v>
      </c>
      <c r="F1672" s="106" t="s">
        <v>9310</v>
      </c>
      <c r="G1672" s="115"/>
      <c r="H1672" s="624" t="s">
        <v>132</v>
      </c>
      <c r="I1672" s="473" t="s">
        <v>9311</v>
      </c>
      <c r="J1672" s="475"/>
      <c r="K1672" s="275" t="str">
        <f>IFNA(VLOOKUP(D1672,'EAN Codes'!A:C,2,False),"")</f>
        <v/>
      </c>
      <c r="L1672" s="82"/>
      <c r="M1672" s="496" t="b">
        <v>0</v>
      </c>
      <c r="N1672" s="497" t="b">
        <v>1</v>
      </c>
      <c r="O1672" s="497" t="b">
        <v>0</v>
      </c>
      <c r="P1672" s="477" t="b">
        <v>0</v>
      </c>
      <c r="Q1672" s="477" t="b">
        <v>0</v>
      </c>
      <c r="R1672" s="539"/>
      <c r="S1672" s="479" t="s">
        <v>9046</v>
      </c>
      <c r="T1672" s="543"/>
      <c r="U1672" s="481" t="b">
        <v>1</v>
      </c>
      <c r="Z1672" t="b">
        <v>0</v>
      </c>
      <c r="AA1672" t="b">
        <v>0</v>
      </c>
    </row>
    <row r="1673" hidden="1">
      <c r="A1673" s="86">
        <v>1.0</v>
      </c>
      <c r="B1673" s="86" t="s">
        <v>181</v>
      </c>
      <c r="C1673" s="86" t="s">
        <v>950</v>
      </c>
      <c r="D1673" s="87" t="s">
        <v>9312</v>
      </c>
      <c r="E1673" s="91"/>
      <c r="F1673" s="86" t="s">
        <v>9313</v>
      </c>
      <c r="H1673" s="473" t="s">
        <v>135</v>
      </c>
      <c r="I1673" s="474"/>
      <c r="J1673" s="475"/>
      <c r="K1673" s="275" t="str">
        <f>IFNA(VLOOKUP(D1673,'EAN Codes'!A:C,2,False),"")</f>
        <v/>
      </c>
      <c r="L1673" s="82"/>
      <c r="M1673" s="496" t="b">
        <v>0</v>
      </c>
      <c r="N1673" s="477" t="b">
        <v>0</v>
      </c>
      <c r="O1673" s="497" t="b">
        <v>1</v>
      </c>
      <c r="P1673" s="477" t="b">
        <v>0</v>
      </c>
      <c r="Q1673" s="497" t="b">
        <v>1</v>
      </c>
      <c r="R1673" s="539"/>
      <c r="S1673" s="540"/>
      <c r="T1673" s="480" t="s">
        <v>9314</v>
      </c>
      <c r="U1673" s="481" t="b">
        <v>1</v>
      </c>
      <c r="Z1673" t="b">
        <v>0</v>
      </c>
      <c r="AA1673" t="b">
        <v>0</v>
      </c>
    </row>
    <row r="1674" hidden="1">
      <c r="A1674" s="6">
        <v>1.0</v>
      </c>
      <c r="B1674" s="99" t="s">
        <v>241</v>
      </c>
      <c r="C1674" s="99" t="s">
        <v>1217</v>
      </c>
      <c r="D1674" s="100" t="s">
        <v>3781</v>
      </c>
      <c r="E1674" s="99" t="s">
        <v>409</v>
      </c>
      <c r="F1674" s="99" t="s">
        <v>9315</v>
      </c>
      <c r="H1674" s="473" t="s">
        <v>698</v>
      </c>
      <c r="I1674" s="473" t="s">
        <v>9316</v>
      </c>
      <c r="J1674" s="508" t="s">
        <v>9305</v>
      </c>
      <c r="K1674" s="275" t="str">
        <f>IFNA(VLOOKUP(D1674,'EAN Codes'!A:C,2,False),"")</f>
        <v>27459</v>
      </c>
      <c r="L1674" s="82"/>
      <c r="M1674" s="496" t="b">
        <v>0</v>
      </c>
      <c r="N1674" s="477" t="b">
        <v>0</v>
      </c>
      <c r="O1674" s="497" t="b">
        <v>0</v>
      </c>
      <c r="P1674" s="477" t="b">
        <v>0</v>
      </c>
      <c r="Q1674" s="497" t="b">
        <v>1</v>
      </c>
      <c r="R1674" s="478" t="s">
        <v>9317</v>
      </c>
      <c r="S1674" s="479" t="s">
        <v>269</v>
      </c>
      <c r="T1674" s="480" t="s">
        <v>9318</v>
      </c>
      <c r="U1674" s="481" t="b">
        <v>1</v>
      </c>
      <c r="Z1674" t="b">
        <v>0</v>
      </c>
      <c r="AA1674" t="b">
        <v>0</v>
      </c>
    </row>
    <row r="1675" hidden="1">
      <c r="A1675" s="99">
        <v>1.0</v>
      </c>
      <c r="B1675" s="86" t="s">
        <v>181</v>
      </c>
      <c r="C1675" s="86" t="s">
        <v>1116</v>
      </c>
      <c r="D1675" s="87" t="s">
        <v>9319</v>
      </c>
      <c r="E1675" s="86" t="s">
        <v>9320</v>
      </c>
      <c r="F1675" s="86" t="s">
        <v>9321</v>
      </c>
      <c r="G1675" s="86" t="s">
        <v>7118</v>
      </c>
      <c r="H1675" s="473" t="s">
        <v>9322</v>
      </c>
      <c r="I1675" s="473" t="s">
        <v>9316</v>
      </c>
      <c r="J1675" s="508" t="s">
        <v>9305</v>
      </c>
      <c r="K1675" s="275" t="str">
        <f>IFNA(VLOOKUP(D1675,'EAN Codes'!A:C,2,False),"")</f>
        <v/>
      </c>
      <c r="L1675" s="82"/>
      <c r="M1675" s="496" t="b">
        <v>0</v>
      </c>
      <c r="N1675" s="477" t="b">
        <v>0</v>
      </c>
      <c r="O1675" s="497" t="b">
        <v>1</v>
      </c>
      <c r="P1675" s="477" t="b">
        <v>0</v>
      </c>
      <c r="Q1675" s="477" t="b">
        <v>0</v>
      </c>
      <c r="R1675" s="478" t="s">
        <v>9317</v>
      </c>
      <c r="S1675" s="540"/>
      <c r="T1675" s="480" t="s">
        <v>9323</v>
      </c>
      <c r="U1675" s="481" t="b">
        <v>1</v>
      </c>
      <c r="Z1675" t="b">
        <v>0</v>
      </c>
      <c r="AA1675" t="b">
        <v>0</v>
      </c>
    </row>
    <row r="1676" hidden="1">
      <c r="A1676" s="623">
        <v>1.0</v>
      </c>
      <c r="B1676" s="106" t="s">
        <v>241</v>
      </c>
      <c r="C1676" s="106" t="s">
        <v>1250</v>
      </c>
      <c r="D1676" s="273" t="s">
        <v>9324</v>
      </c>
      <c r="E1676" s="106" t="s">
        <v>9325</v>
      </c>
      <c r="F1676" s="106" t="s">
        <v>9326</v>
      </c>
      <c r="G1676" s="106">
        <v>2013.0</v>
      </c>
      <c r="H1676" s="624" t="s">
        <v>9327</v>
      </c>
      <c r="I1676" s="473" t="s">
        <v>9328</v>
      </c>
      <c r="J1676" s="508" t="s">
        <v>9329</v>
      </c>
      <c r="K1676" s="275" t="str">
        <f>IFNA(VLOOKUP(D1676,'EAN Codes'!A:C,2,False),"")</f>
        <v>8058772225765</v>
      </c>
      <c r="L1676" s="82"/>
      <c r="M1676" s="496" t="b">
        <v>0</v>
      </c>
      <c r="N1676" s="497" t="b">
        <v>1</v>
      </c>
      <c r="O1676" s="497" t="b">
        <v>0</v>
      </c>
      <c r="P1676" s="477" t="b">
        <v>0</v>
      </c>
      <c r="Q1676" s="477" t="b">
        <v>0</v>
      </c>
      <c r="R1676" s="478" t="s">
        <v>9330</v>
      </c>
      <c r="S1676" s="479" t="s">
        <v>9331</v>
      </c>
      <c r="T1676" s="543"/>
      <c r="U1676" s="481" t="b">
        <v>1</v>
      </c>
      <c r="Z1676" t="b">
        <v>0</v>
      </c>
      <c r="AA1676" t="b">
        <v>0</v>
      </c>
    </row>
    <row r="1677" hidden="1">
      <c r="A1677" s="6">
        <v>1.0</v>
      </c>
      <c r="B1677" s="106" t="s">
        <v>8287</v>
      </c>
      <c r="C1677" s="106" t="s">
        <v>7548</v>
      </c>
      <c r="D1677" s="273" t="s">
        <v>8371</v>
      </c>
      <c r="H1677" s="473" t="s">
        <v>135</v>
      </c>
      <c r="I1677" s="474"/>
      <c r="J1677" s="475"/>
      <c r="K1677" s="275" t="str">
        <f>IFNA(VLOOKUP(D1677,'EAN Codes'!A:C,2,False),"")</f>
        <v/>
      </c>
      <c r="L1677" s="82"/>
      <c r="M1677" s="496" t="b">
        <v>0</v>
      </c>
      <c r="N1677" s="477" t="b">
        <v>0</v>
      </c>
      <c r="O1677" s="497" t="b">
        <v>0</v>
      </c>
      <c r="P1677" s="477" t="b">
        <v>0</v>
      </c>
      <c r="Q1677" s="477" t="b">
        <v>0</v>
      </c>
      <c r="R1677" s="539"/>
      <c r="S1677" s="540"/>
      <c r="T1677" s="480">
        <v>372777.0</v>
      </c>
      <c r="U1677" s="481" t="b">
        <v>1</v>
      </c>
      <c r="Z1677" t="b">
        <v>0</v>
      </c>
      <c r="AA1677" t="b">
        <v>0</v>
      </c>
    </row>
    <row r="1678" hidden="1">
      <c r="A1678" s="99">
        <v>1.0</v>
      </c>
      <c r="B1678" s="86" t="s">
        <v>8287</v>
      </c>
      <c r="C1678" s="86" t="s">
        <v>7548</v>
      </c>
      <c r="D1678" s="87" t="s">
        <v>8367</v>
      </c>
      <c r="E1678" s="101"/>
      <c r="F1678" s="101"/>
      <c r="G1678" s="101"/>
      <c r="H1678" s="487" t="s">
        <v>135</v>
      </c>
      <c r="I1678" s="488"/>
      <c r="J1678" s="542"/>
      <c r="K1678" s="90" t="str">
        <f>IFNA(VLOOKUP(D1678,'EAN Codes'!A:C,2,False),"")</f>
        <v/>
      </c>
      <c r="L1678" s="101"/>
      <c r="M1678" s="657" t="b">
        <v>0</v>
      </c>
      <c r="N1678" s="576" t="b">
        <v>0</v>
      </c>
      <c r="O1678" s="577" t="b">
        <v>0</v>
      </c>
      <c r="P1678" s="576" t="b">
        <v>0</v>
      </c>
      <c r="Q1678" s="576" t="b">
        <v>0</v>
      </c>
      <c r="R1678" s="544"/>
      <c r="S1678" s="545"/>
      <c r="T1678" s="505" t="s">
        <v>9332</v>
      </c>
      <c r="U1678" s="579" t="b">
        <v>1</v>
      </c>
      <c r="V1678" s="101"/>
      <c r="W1678" s="101"/>
      <c r="X1678" s="101"/>
      <c r="Y1678" s="101"/>
      <c r="Z1678" s="101" t="b">
        <v>0</v>
      </c>
      <c r="AA1678" t="b">
        <v>0</v>
      </c>
      <c r="AB1678" s="101"/>
      <c r="AC1678" s="101"/>
      <c r="AD1678" s="101"/>
      <c r="AE1678" s="101"/>
    </row>
    <row r="1679" hidden="1">
      <c r="A1679" s="35">
        <v>1.0</v>
      </c>
      <c r="B1679" s="160" t="s">
        <v>8287</v>
      </c>
      <c r="C1679" s="160" t="s">
        <v>7548</v>
      </c>
      <c r="D1679" s="272" t="s">
        <v>8367</v>
      </c>
      <c r="E1679" s="82"/>
      <c r="F1679" s="82"/>
      <c r="G1679" s="82"/>
      <c r="H1679" s="473" t="s">
        <v>135</v>
      </c>
      <c r="I1679" s="474"/>
      <c r="J1679" s="475"/>
      <c r="K1679" s="275" t="str">
        <f>IFNA(VLOOKUP(D1679,'EAN Codes'!A:C,2,False),"")</f>
        <v/>
      </c>
      <c r="L1679" s="82"/>
      <c r="M1679" s="496" t="b">
        <v>0</v>
      </c>
      <c r="N1679" s="477" t="b">
        <v>0</v>
      </c>
      <c r="O1679" s="497" t="b">
        <v>0</v>
      </c>
      <c r="P1679" s="477" t="b">
        <v>0</v>
      </c>
      <c r="Q1679" s="477" t="b">
        <v>0</v>
      </c>
      <c r="R1679" s="539"/>
      <c r="S1679" s="540"/>
      <c r="T1679" s="480" t="s">
        <v>9333</v>
      </c>
      <c r="U1679" s="481" t="b">
        <v>1</v>
      </c>
      <c r="Z1679" t="b">
        <v>0</v>
      </c>
      <c r="AA1679" t="b">
        <v>0</v>
      </c>
    </row>
    <row r="1680" hidden="1">
      <c r="A1680" s="6">
        <v>1.0</v>
      </c>
      <c r="B1680" s="106" t="s">
        <v>8287</v>
      </c>
      <c r="C1680" s="106" t="s">
        <v>7548</v>
      </c>
      <c r="D1680" s="273" t="s">
        <v>8374</v>
      </c>
      <c r="H1680" s="473" t="s">
        <v>135</v>
      </c>
      <c r="I1680" s="474"/>
      <c r="J1680" s="475"/>
      <c r="K1680" s="275" t="str">
        <f>IFNA(VLOOKUP(D1680,'EAN Codes'!A:C,2,False),"")</f>
        <v/>
      </c>
      <c r="L1680" s="82"/>
      <c r="M1680" s="496" t="b">
        <v>0</v>
      </c>
      <c r="N1680" s="477" t="b">
        <v>0</v>
      </c>
      <c r="O1680" s="497" t="b">
        <v>0</v>
      </c>
      <c r="P1680" s="477" t="b">
        <v>0</v>
      </c>
      <c r="Q1680" s="477" t="b">
        <v>0</v>
      </c>
      <c r="R1680" s="539"/>
      <c r="S1680" s="540"/>
      <c r="T1680" s="480">
        <v>372659.0</v>
      </c>
      <c r="U1680" s="481" t="b">
        <v>1</v>
      </c>
      <c r="Z1680" t="b">
        <v>0</v>
      </c>
      <c r="AA1680" t="b">
        <v>0</v>
      </c>
    </row>
    <row r="1681" hidden="1">
      <c r="A1681" s="6">
        <v>1.0</v>
      </c>
      <c r="B1681" s="106" t="s">
        <v>8287</v>
      </c>
      <c r="C1681" s="106" t="s">
        <v>7548</v>
      </c>
      <c r="D1681" s="273" t="s">
        <v>8374</v>
      </c>
      <c r="H1681" s="473" t="s">
        <v>135</v>
      </c>
      <c r="I1681" s="474"/>
      <c r="J1681" s="475"/>
      <c r="K1681" s="275" t="str">
        <f>IFNA(VLOOKUP(D1681,'EAN Codes'!A:C,2,False),"")</f>
        <v/>
      </c>
      <c r="L1681" s="82"/>
      <c r="M1681" s="496" t="b">
        <v>0</v>
      </c>
      <c r="N1681" s="477" t="b">
        <v>0</v>
      </c>
      <c r="O1681" s="497" t="b">
        <v>0</v>
      </c>
      <c r="P1681" s="477" t="b">
        <v>0</v>
      </c>
      <c r="Q1681" s="477" t="b">
        <v>0</v>
      </c>
      <c r="R1681" s="539"/>
      <c r="S1681" s="540"/>
      <c r="T1681" s="480" t="s">
        <v>9334</v>
      </c>
      <c r="U1681" s="481" t="b">
        <v>1</v>
      </c>
      <c r="Z1681" t="b">
        <v>0</v>
      </c>
      <c r="AA1681" s="6" t="b">
        <v>0</v>
      </c>
      <c r="AC1681" s="82"/>
      <c r="AD1681" t="str">
        <f>IFNA(IFS(U1681=False,D1681),"")</f>
        <v/>
      </c>
      <c r="AE1681" t="str">
        <f>IFNA(IFS(U1681=false,H1681),"")</f>
        <v/>
      </c>
    </row>
    <row r="1682" hidden="1">
      <c r="A1682" s="6">
        <v>1.0</v>
      </c>
      <c r="B1682" s="86" t="s">
        <v>8287</v>
      </c>
      <c r="C1682" s="86" t="s">
        <v>7548</v>
      </c>
      <c r="D1682" s="87" t="s">
        <v>8380</v>
      </c>
      <c r="E1682" s="101"/>
      <c r="F1682" s="101"/>
      <c r="G1682" s="101"/>
      <c r="H1682" s="487" t="s">
        <v>135</v>
      </c>
      <c r="I1682" s="474"/>
      <c r="J1682" s="475"/>
      <c r="K1682" s="275" t="str">
        <f>IFNA(VLOOKUP(D1682,'EAN Codes'!A:C,2,False),"")</f>
        <v/>
      </c>
      <c r="L1682" s="82"/>
      <c r="M1682" s="496" t="b">
        <v>0</v>
      </c>
      <c r="N1682" s="477" t="b">
        <v>0</v>
      </c>
      <c r="O1682" s="497" t="b">
        <v>0</v>
      </c>
      <c r="P1682" s="477" t="b">
        <v>0</v>
      </c>
      <c r="Q1682" s="477" t="b">
        <v>0</v>
      </c>
      <c r="R1682" s="539"/>
      <c r="S1682" s="540"/>
      <c r="T1682" s="480">
        <v>372539.0</v>
      </c>
      <c r="U1682" s="481" t="b">
        <v>1</v>
      </c>
      <c r="Z1682" t="b">
        <v>0</v>
      </c>
      <c r="AA1682" t="b">
        <v>0</v>
      </c>
    </row>
    <row r="1683" hidden="1">
      <c r="A1683" s="6">
        <v>1.0</v>
      </c>
      <c r="B1683" s="86" t="s">
        <v>8287</v>
      </c>
      <c r="C1683" s="86" t="s">
        <v>7548</v>
      </c>
      <c r="D1683" s="87" t="s">
        <v>8380</v>
      </c>
      <c r="H1683" s="473" t="s">
        <v>135</v>
      </c>
      <c r="I1683" s="474"/>
      <c r="J1683" s="475"/>
      <c r="K1683" s="275" t="str">
        <f>IFNA(VLOOKUP(D1683,'EAN Codes'!A:C,2,False),"")</f>
        <v/>
      </c>
      <c r="L1683" s="82"/>
      <c r="M1683" s="496" t="b">
        <v>0</v>
      </c>
      <c r="N1683" s="477" t="b">
        <v>0</v>
      </c>
      <c r="O1683" s="497" t="b">
        <v>0</v>
      </c>
      <c r="P1683" s="477" t="b">
        <v>0</v>
      </c>
      <c r="Q1683" s="497" t="b">
        <v>0</v>
      </c>
      <c r="R1683" s="539"/>
      <c r="S1683" s="540"/>
      <c r="T1683" s="480">
        <v>372596.0</v>
      </c>
      <c r="U1683" s="481" t="b">
        <v>1</v>
      </c>
      <c r="Z1683" t="b">
        <v>0</v>
      </c>
      <c r="AA1683" t="b">
        <v>0</v>
      </c>
    </row>
    <row r="1684" hidden="1">
      <c r="A1684" s="6">
        <v>1.0</v>
      </c>
      <c r="B1684" s="6" t="s">
        <v>391</v>
      </c>
      <c r="C1684" s="6" t="s">
        <v>8536</v>
      </c>
      <c r="D1684" s="127" t="s">
        <v>9335</v>
      </c>
      <c r="F1684" s="6" t="s">
        <v>4725</v>
      </c>
      <c r="H1684" s="473" t="s">
        <v>135</v>
      </c>
      <c r="I1684" s="473">
        <v>371804.0</v>
      </c>
      <c r="J1684" s="508" t="s">
        <v>9336</v>
      </c>
      <c r="K1684" s="275" t="str">
        <f>IFNA(VLOOKUP(D1684,'EAN Codes'!A:C,2,False),"")</f>
        <v/>
      </c>
      <c r="L1684" s="82"/>
      <c r="M1684" s="496" t="b">
        <v>0</v>
      </c>
      <c r="N1684" s="477" t="b">
        <v>0</v>
      </c>
      <c r="O1684" s="497" t="b">
        <v>0</v>
      </c>
      <c r="P1684" s="497" t="b">
        <v>1</v>
      </c>
      <c r="Q1684" s="477" t="b">
        <v>0</v>
      </c>
      <c r="R1684" s="478" t="s">
        <v>9337</v>
      </c>
      <c r="S1684" s="540"/>
      <c r="T1684" s="480" t="s">
        <v>9198</v>
      </c>
      <c r="U1684" s="481" t="b">
        <v>1</v>
      </c>
      <c r="Z1684" t="b">
        <v>0</v>
      </c>
      <c r="AA1684" t="b">
        <v>0</v>
      </c>
    </row>
    <row r="1685" hidden="1">
      <c r="A1685" s="6">
        <v>1.0</v>
      </c>
      <c r="B1685" s="6" t="s">
        <v>9223</v>
      </c>
      <c r="C1685" s="6" t="s">
        <v>8536</v>
      </c>
      <c r="D1685" s="127" t="s">
        <v>8978</v>
      </c>
      <c r="H1685" s="473" t="s">
        <v>135</v>
      </c>
      <c r="I1685" s="473">
        <v>371804.0</v>
      </c>
      <c r="J1685" s="508" t="s">
        <v>9336</v>
      </c>
      <c r="K1685" s="275" t="str">
        <f>IFNA(VLOOKUP(D1685,'EAN Codes'!A:C,2,False),"")</f>
        <v/>
      </c>
      <c r="L1685" s="82"/>
      <c r="M1685" s="496" t="b">
        <v>0</v>
      </c>
      <c r="N1685" s="477" t="b">
        <v>0</v>
      </c>
      <c r="O1685" s="497" t="b">
        <v>0</v>
      </c>
      <c r="P1685" s="497" t="b">
        <v>1</v>
      </c>
      <c r="Q1685" s="477" t="b">
        <v>0</v>
      </c>
      <c r="R1685" s="478" t="s">
        <v>9337</v>
      </c>
      <c r="S1685" s="540"/>
      <c r="T1685" s="480" t="s">
        <v>9198</v>
      </c>
      <c r="U1685" s="481" t="b">
        <v>1</v>
      </c>
      <c r="Z1685" t="b">
        <v>0</v>
      </c>
      <c r="AA1685" t="b">
        <v>0</v>
      </c>
    </row>
    <row r="1686">
      <c r="B1686" s="99"/>
      <c r="C1686" s="99"/>
      <c r="D1686" s="100"/>
      <c r="E1686" s="99"/>
      <c r="F1686" s="99"/>
      <c r="H1686" s="473"/>
      <c r="I1686" s="473"/>
      <c r="J1686" s="475"/>
      <c r="K1686" s="275" t="str">
        <f>IFNA(VLOOKUP(D1686,'EAN Codes'!A:C,2,False),"")</f>
        <v/>
      </c>
      <c r="L1686" s="82"/>
      <c r="M1686" s="496" t="b">
        <v>0</v>
      </c>
      <c r="N1686" s="477" t="b">
        <v>0</v>
      </c>
      <c r="O1686" s="497" t="b">
        <v>0</v>
      </c>
      <c r="P1686" s="477" t="b">
        <v>0</v>
      </c>
      <c r="Q1686" s="477" t="b">
        <v>0</v>
      </c>
      <c r="R1686" s="539"/>
      <c r="S1686" s="540"/>
      <c r="T1686" s="543"/>
      <c r="U1686" s="514" t="b">
        <v>0</v>
      </c>
      <c r="Z1686" t="b">
        <v>0</v>
      </c>
      <c r="AA1686" s="6" t="b">
        <v>0</v>
      </c>
      <c r="AC1686" s="82"/>
      <c r="AD1686" t="str">
        <f>IFNA(IFS(U1686=False,D1686),"")</f>
        <v/>
      </c>
      <c r="AE1686" t="str">
        <f>IFNA(IFS(U1686=false,H1686),"")</f>
        <v/>
      </c>
    </row>
    <row r="1687" hidden="1">
      <c r="A1687" s="6">
        <v>1.0</v>
      </c>
      <c r="B1687" s="6" t="s">
        <v>241</v>
      </c>
      <c r="C1687" s="6" t="s">
        <v>342</v>
      </c>
      <c r="D1687" s="127" t="s">
        <v>9338</v>
      </c>
      <c r="E1687" s="6" t="s">
        <v>346</v>
      </c>
      <c r="F1687" s="6" t="s">
        <v>9339</v>
      </c>
      <c r="H1687" s="473" t="s">
        <v>135</v>
      </c>
      <c r="I1687" s="473" t="s">
        <v>9340</v>
      </c>
      <c r="J1687" s="475"/>
      <c r="K1687" s="275" t="str">
        <f>IFNA(VLOOKUP(D1687,'EAN Codes'!A:C,2,False),"")</f>
        <v/>
      </c>
      <c r="L1687" s="82"/>
      <c r="M1687" s="496" t="b">
        <v>0</v>
      </c>
      <c r="N1687" s="477" t="b">
        <v>0</v>
      </c>
      <c r="O1687" s="497" t="b">
        <v>0</v>
      </c>
      <c r="P1687" s="477" t="b">
        <v>0</v>
      </c>
      <c r="Q1687" s="477" t="b">
        <v>0</v>
      </c>
      <c r="R1687" s="539"/>
      <c r="S1687" s="540"/>
      <c r="T1687" s="480" t="s">
        <v>9341</v>
      </c>
      <c r="U1687" s="481" t="b">
        <v>1</v>
      </c>
      <c r="Z1687" t="b">
        <v>0</v>
      </c>
      <c r="AA1687" t="b">
        <v>0</v>
      </c>
    </row>
    <row r="1688" hidden="1">
      <c r="A1688" s="6">
        <v>1.0</v>
      </c>
      <c r="B1688" s="6" t="s">
        <v>181</v>
      </c>
      <c r="C1688" s="6" t="s">
        <v>950</v>
      </c>
      <c r="D1688" s="127" t="s">
        <v>9312</v>
      </c>
      <c r="H1688" s="473" t="s">
        <v>135</v>
      </c>
      <c r="I1688" s="473" t="s">
        <v>9340</v>
      </c>
      <c r="J1688" s="475"/>
      <c r="K1688" s="275" t="str">
        <f>IFNA(VLOOKUP(D1688,'EAN Codes'!A:C,2,False),"")</f>
        <v/>
      </c>
      <c r="L1688" s="82"/>
      <c r="M1688" s="496" t="b">
        <v>0</v>
      </c>
      <c r="N1688" s="477" t="b">
        <v>0</v>
      </c>
      <c r="O1688" s="497" t="b">
        <v>0</v>
      </c>
      <c r="P1688" s="477" t="b">
        <v>0</v>
      </c>
      <c r="Q1688" s="477" t="b">
        <v>0</v>
      </c>
      <c r="R1688" s="539"/>
      <c r="S1688" s="540"/>
      <c r="T1688" s="480" t="s">
        <v>9342</v>
      </c>
      <c r="U1688" s="481" t="b">
        <v>1</v>
      </c>
      <c r="Z1688" t="b">
        <v>0</v>
      </c>
      <c r="AA1688" s="6" t="b">
        <v>0</v>
      </c>
    </row>
    <row r="1689" hidden="1">
      <c r="A1689" s="6">
        <v>1.0</v>
      </c>
      <c r="B1689" s="106" t="s">
        <v>8287</v>
      </c>
      <c r="C1689" s="106" t="s">
        <v>408</v>
      </c>
      <c r="D1689" s="273" t="s">
        <v>9047</v>
      </c>
      <c r="H1689" s="473" t="s">
        <v>135</v>
      </c>
      <c r="I1689" s="473"/>
      <c r="J1689" s="508"/>
      <c r="K1689" s="275" t="str">
        <f>IFNA(VLOOKUP(D1689,'EAN Codes'!A:C,2,False),"")</f>
        <v/>
      </c>
      <c r="L1689" s="82"/>
      <c r="M1689" s="496" t="b">
        <v>0</v>
      </c>
      <c r="N1689" s="477" t="b">
        <v>0</v>
      </c>
      <c r="O1689" s="497" t="b">
        <v>0</v>
      </c>
      <c r="P1689" s="477" t="b">
        <v>0</v>
      </c>
      <c r="Q1689" s="477" t="b">
        <v>0</v>
      </c>
      <c r="R1689" s="539"/>
      <c r="S1689" s="540"/>
      <c r="T1689" s="480">
        <v>372144.0</v>
      </c>
      <c r="U1689" s="481" t="b">
        <v>1</v>
      </c>
      <c r="Z1689" t="b">
        <v>0</v>
      </c>
      <c r="AA1689" t="b">
        <v>0</v>
      </c>
    </row>
    <row r="1690" hidden="1">
      <c r="A1690" s="6">
        <v>1.0</v>
      </c>
      <c r="B1690" s="6" t="s">
        <v>8287</v>
      </c>
      <c r="C1690" s="6" t="s">
        <v>8278</v>
      </c>
      <c r="D1690" s="127" t="s">
        <v>8289</v>
      </c>
      <c r="H1690" s="473" t="s">
        <v>135</v>
      </c>
      <c r="I1690" s="473">
        <v>371949.0</v>
      </c>
      <c r="J1690" s="508"/>
      <c r="K1690" s="275" t="str">
        <f>IFNA(VLOOKUP(D1690,'EAN Codes'!A:C,2,False),"")</f>
        <v/>
      </c>
      <c r="L1690" s="82"/>
      <c r="M1690" s="496" t="b">
        <v>0</v>
      </c>
      <c r="N1690" s="477" t="b">
        <v>0</v>
      </c>
      <c r="O1690" s="497" t="b">
        <v>0</v>
      </c>
      <c r="P1690" s="477" t="b">
        <v>0</v>
      </c>
      <c r="Q1690" s="477" t="b">
        <v>0</v>
      </c>
      <c r="R1690" s="539"/>
      <c r="S1690" s="540"/>
      <c r="T1690" s="480">
        <v>372836.0</v>
      </c>
      <c r="U1690" s="481" t="b">
        <v>1</v>
      </c>
      <c r="Z1690" t="b">
        <v>0</v>
      </c>
      <c r="AA1690" t="b">
        <v>0</v>
      </c>
    </row>
    <row r="1691" hidden="1">
      <c r="A1691" s="6">
        <v>1.0</v>
      </c>
      <c r="B1691" s="99" t="s">
        <v>181</v>
      </c>
      <c r="C1691" s="99" t="s">
        <v>966</v>
      </c>
      <c r="D1691" s="100" t="s">
        <v>9343</v>
      </c>
      <c r="E1691" s="101"/>
      <c r="F1691" s="99" t="s">
        <v>9344</v>
      </c>
      <c r="H1691" s="473" t="s">
        <v>8457</v>
      </c>
      <c r="I1691" s="474"/>
      <c r="J1691" s="475"/>
      <c r="K1691" s="275" t="str">
        <f>IFNA(VLOOKUP(D1691,'EAN Codes'!A:C,2,False),"")</f>
        <v/>
      </c>
      <c r="L1691" s="82"/>
      <c r="M1691" s="496" t="b">
        <v>0</v>
      </c>
      <c r="N1691" s="477" t="b">
        <v>0</v>
      </c>
      <c r="O1691" s="497" t="b">
        <v>0</v>
      </c>
      <c r="P1691" s="477" t="b">
        <v>0</v>
      </c>
      <c r="Q1691" s="477" t="b">
        <v>0</v>
      </c>
      <c r="R1691" s="539"/>
      <c r="S1691" s="479" t="s">
        <v>9037</v>
      </c>
      <c r="T1691" s="480" t="s">
        <v>9345</v>
      </c>
      <c r="U1691" s="481" t="b">
        <v>1</v>
      </c>
      <c r="Z1691" t="b">
        <v>0</v>
      </c>
      <c r="AA1691" t="b">
        <v>0</v>
      </c>
    </row>
    <row r="1692" hidden="1">
      <c r="A1692" s="6">
        <v>1.0</v>
      </c>
      <c r="B1692" s="86" t="s">
        <v>181</v>
      </c>
      <c r="C1692" s="86" t="s">
        <v>966</v>
      </c>
      <c r="D1692" s="87" t="s">
        <v>9343</v>
      </c>
      <c r="E1692" s="101"/>
      <c r="F1692" s="99" t="s">
        <v>9344</v>
      </c>
      <c r="H1692" s="473" t="s">
        <v>8457</v>
      </c>
      <c r="I1692" s="474"/>
      <c r="J1692" s="475"/>
      <c r="K1692" s="275" t="str">
        <f>IFNA(VLOOKUP(D1692,'EAN Codes'!A:C,2,False),"")</f>
        <v/>
      </c>
      <c r="L1692" s="82"/>
      <c r="M1692" s="496" t="b">
        <v>0</v>
      </c>
      <c r="N1692" s="477" t="b">
        <v>0</v>
      </c>
      <c r="O1692" s="497" t="b">
        <v>0</v>
      </c>
      <c r="P1692" s="477" t="b">
        <v>0</v>
      </c>
      <c r="Q1692" s="477" t="b">
        <v>0</v>
      </c>
      <c r="R1692" s="539"/>
      <c r="S1692" s="540"/>
      <c r="T1692" s="480" t="s">
        <v>9346</v>
      </c>
      <c r="U1692" s="481" t="b">
        <v>1</v>
      </c>
      <c r="Z1692" t="b">
        <v>0</v>
      </c>
      <c r="AA1692" t="b">
        <v>0</v>
      </c>
    </row>
    <row r="1693">
      <c r="B1693" s="99"/>
      <c r="C1693" s="99"/>
      <c r="D1693" s="100"/>
      <c r="E1693" s="99"/>
      <c r="F1693" s="99"/>
      <c r="H1693" s="473"/>
      <c r="I1693" s="473"/>
      <c r="J1693" s="508"/>
      <c r="K1693" s="275" t="str">
        <f>IFNA(VLOOKUP(D1693,'EAN Codes'!A:C,2,False),"")</f>
        <v/>
      </c>
      <c r="L1693" s="82"/>
      <c r="M1693" s="496" t="b">
        <v>0</v>
      </c>
      <c r="N1693" s="477" t="b">
        <v>0</v>
      </c>
      <c r="O1693" s="497" t="b">
        <v>0</v>
      </c>
      <c r="P1693" s="477" t="b">
        <v>0</v>
      </c>
      <c r="Q1693" s="477" t="b">
        <v>0</v>
      </c>
      <c r="R1693" s="539"/>
      <c r="S1693" s="540"/>
      <c r="T1693" s="543"/>
      <c r="U1693" s="514" t="b">
        <v>0</v>
      </c>
      <c r="Z1693" t="b">
        <v>0</v>
      </c>
      <c r="AA1693" s="6" t="b">
        <v>0</v>
      </c>
      <c r="AC1693" s="82" t="str">
        <f>IFERROR(__xludf.DUMMYFUNCTION("IFS(C1693=""ECS"",Vlookup(D1693,IMPORTRANGE(""https://docs.google.com/spreadsheets/d/1CONXwApUCNE4s-NquayczLLZJS3lBxtkAQwk9d9t2gA/edit"",""'Prislista 2024'!I:M""),5,false)*$AC$1)*A1693"),"#N/A")</f>
        <v>#N/A</v>
      </c>
      <c r="AD1693" t="str">
        <f t="shared" ref="AD1693:AD1696" si="43">IFNA(IFS(U1693=False,D1693),"")</f>
        <v/>
      </c>
      <c r="AE1693" t="str">
        <f t="shared" ref="AE1693:AE1696" si="44">IFNA(IFS(U1693=false,H1693),"")</f>
        <v/>
      </c>
    </row>
    <row r="1694">
      <c r="D1694" s="127"/>
      <c r="H1694" s="473"/>
      <c r="I1694" s="473"/>
      <c r="J1694" s="475"/>
      <c r="K1694" s="275" t="str">
        <f>IFNA(VLOOKUP(D1694,'EAN Codes'!A:C,2,False),"")</f>
        <v/>
      </c>
      <c r="L1694" s="82"/>
      <c r="M1694" s="496" t="b">
        <v>0</v>
      </c>
      <c r="N1694" s="497" t="b">
        <v>0</v>
      </c>
      <c r="O1694" s="497" t="b">
        <v>0</v>
      </c>
      <c r="P1694" s="477" t="b">
        <v>0</v>
      </c>
      <c r="Q1694" s="477" t="b">
        <v>0</v>
      </c>
      <c r="R1694" s="539"/>
      <c r="S1694" s="540"/>
      <c r="T1694" s="543"/>
      <c r="U1694" s="514" t="b">
        <v>0</v>
      </c>
      <c r="Z1694" t="b">
        <v>0</v>
      </c>
      <c r="AA1694" s="106" t="b">
        <v>0</v>
      </c>
      <c r="AC1694" s="82"/>
      <c r="AD1694" t="str">
        <f t="shared" si="43"/>
        <v/>
      </c>
      <c r="AE1694" t="str">
        <f t="shared" si="44"/>
        <v/>
      </c>
    </row>
    <row r="1695">
      <c r="B1695" s="99"/>
      <c r="C1695" s="99"/>
      <c r="D1695" s="100"/>
      <c r="E1695" s="101"/>
      <c r="F1695" s="101"/>
      <c r="H1695" s="473"/>
      <c r="I1695" s="473"/>
      <c r="J1695" s="475"/>
      <c r="K1695" s="275" t="str">
        <f>IFNA(VLOOKUP(D1695,'EAN Codes'!A:C,2,False),"")</f>
        <v/>
      </c>
      <c r="L1695" s="82"/>
      <c r="M1695" s="496" t="b">
        <v>0</v>
      </c>
      <c r="N1695" s="497" t="b">
        <v>0</v>
      </c>
      <c r="O1695" s="497" t="b">
        <v>0</v>
      </c>
      <c r="P1695" s="477" t="b">
        <v>0</v>
      </c>
      <c r="Q1695" s="477" t="b">
        <v>0</v>
      </c>
      <c r="R1695" s="539"/>
      <c r="S1695" s="540"/>
      <c r="T1695" s="543"/>
      <c r="U1695" s="514" t="b">
        <v>0</v>
      </c>
      <c r="Z1695" t="b">
        <v>0</v>
      </c>
      <c r="AA1695" s="106" t="b">
        <v>0</v>
      </c>
      <c r="AC1695" s="82" t="str">
        <f>IFERROR(__xludf.DUMMYFUNCTION("IFS(C1695=""ECS"",Vlookup(D1695,IMPORTRANGE(""https://docs.google.com/spreadsheets/d/1CONXwApUCNE4s-NquayczLLZJS3lBxtkAQwk9d9t2gA/edit"",""'Prislista 2024'!I:M""),5,false)*$AC$1)*A1695"),"#N/A")</f>
        <v>#N/A</v>
      </c>
      <c r="AD1695" t="str">
        <f t="shared" si="43"/>
        <v/>
      </c>
      <c r="AE1695" t="str">
        <f t="shared" si="44"/>
        <v/>
      </c>
    </row>
    <row r="1696">
      <c r="B1696" s="99"/>
      <c r="C1696" s="99"/>
      <c r="D1696" s="100"/>
      <c r="E1696" s="101"/>
      <c r="F1696" s="101"/>
      <c r="H1696" s="473"/>
      <c r="I1696" s="473"/>
      <c r="J1696" s="475"/>
      <c r="K1696" s="275" t="str">
        <f>IFNA(VLOOKUP(D1696,'EAN Codes'!A:C,2,False),"")</f>
        <v/>
      </c>
      <c r="L1696" s="82"/>
      <c r="M1696" s="496" t="b">
        <v>0</v>
      </c>
      <c r="N1696" s="477" t="b">
        <v>0</v>
      </c>
      <c r="O1696" s="497" t="b">
        <v>0</v>
      </c>
      <c r="P1696" s="477" t="b">
        <v>0</v>
      </c>
      <c r="Q1696" s="477" t="b">
        <v>0</v>
      </c>
      <c r="R1696" s="539"/>
      <c r="S1696" s="540"/>
      <c r="T1696" s="543"/>
      <c r="U1696" s="514" t="b">
        <v>0</v>
      </c>
      <c r="Z1696" t="b">
        <v>0</v>
      </c>
      <c r="AA1696" s="6" t="b">
        <v>0</v>
      </c>
      <c r="AC1696" s="82" t="str">
        <f>IFERROR(__xludf.DUMMYFUNCTION("IFS(C1696=""ECS"",Vlookup(D1696,IMPORTRANGE(""https://docs.google.com/spreadsheets/d/1CONXwApUCNE4s-NquayczLLZJS3lBxtkAQwk9d9t2gA/edit"",""'Prislista 2024'!I:M""),5,false)*$AC$1)*A1696"),"#N/A")</f>
        <v>#N/A</v>
      </c>
      <c r="AD1696" t="str">
        <f t="shared" si="43"/>
        <v/>
      </c>
      <c r="AE1696" t="str">
        <f t="shared" si="44"/>
        <v/>
      </c>
    </row>
    <row r="1697" hidden="1">
      <c r="A1697" s="6">
        <v>1.0</v>
      </c>
      <c r="B1697" s="99" t="s">
        <v>241</v>
      </c>
      <c r="C1697" s="99" t="s">
        <v>342</v>
      </c>
      <c r="D1697" s="100" t="s">
        <v>6218</v>
      </c>
      <c r="E1697" s="99" t="s">
        <v>2639</v>
      </c>
      <c r="F1697" s="99" t="s">
        <v>6279</v>
      </c>
      <c r="G1697" s="101"/>
      <c r="H1697" s="473" t="s">
        <v>360</v>
      </c>
      <c r="I1697" s="473" t="s">
        <v>9347</v>
      </c>
      <c r="J1697" s="475"/>
      <c r="K1697" s="275" t="str">
        <f>IFNA(VLOOKUP(D1697,'EAN Codes'!A:C,2,False),"")</f>
        <v>5907615827150</v>
      </c>
      <c r="L1697" s="82"/>
      <c r="M1697" s="496" t="b">
        <v>0</v>
      </c>
      <c r="N1697" s="477" t="b">
        <v>0</v>
      </c>
      <c r="O1697" s="497" t="b">
        <v>0</v>
      </c>
      <c r="P1697" s="477" t="b">
        <v>0</v>
      </c>
      <c r="Q1697" s="477" t="b">
        <v>0</v>
      </c>
      <c r="R1697" s="539"/>
      <c r="S1697" s="660"/>
      <c r="T1697" s="661" t="s">
        <v>9348</v>
      </c>
      <c r="U1697" s="481" t="b">
        <v>1</v>
      </c>
      <c r="Z1697" t="b">
        <v>0</v>
      </c>
      <c r="AA1697" t="b">
        <v>0</v>
      </c>
    </row>
    <row r="1698" hidden="1">
      <c r="A1698" s="6">
        <v>1.0</v>
      </c>
      <c r="B1698" s="99" t="s">
        <v>241</v>
      </c>
      <c r="C1698" s="99" t="s">
        <v>1813</v>
      </c>
      <c r="D1698" s="100" t="s">
        <v>9349</v>
      </c>
      <c r="E1698" s="99" t="s">
        <v>2639</v>
      </c>
      <c r="F1698" s="99" t="s">
        <v>9350</v>
      </c>
      <c r="G1698" s="101"/>
      <c r="H1698" s="487" t="s">
        <v>360</v>
      </c>
      <c r="I1698" s="487" t="s">
        <v>9351</v>
      </c>
      <c r="J1698" s="542"/>
      <c r="K1698" s="90" t="str">
        <f>IFNA(VLOOKUP(D1698,'EAN Codes'!A:C,2,False),"")</f>
        <v/>
      </c>
      <c r="L1698" s="101"/>
      <c r="M1698" s="657" t="b">
        <v>0</v>
      </c>
      <c r="N1698" s="576" t="b">
        <v>0</v>
      </c>
      <c r="O1698" s="577" t="b">
        <v>0</v>
      </c>
      <c r="P1698" s="576" t="b">
        <v>0</v>
      </c>
      <c r="Q1698" s="576" t="b">
        <v>0</v>
      </c>
      <c r="R1698" s="544"/>
      <c r="S1698" s="545"/>
      <c r="T1698" s="480" t="s">
        <v>9352</v>
      </c>
      <c r="U1698" s="481" t="b">
        <v>1</v>
      </c>
      <c r="Z1698" t="b">
        <v>0</v>
      </c>
      <c r="AA1698" t="b">
        <v>0</v>
      </c>
    </row>
    <row r="1699">
      <c r="D1699" s="127"/>
      <c r="H1699" s="473"/>
      <c r="I1699" s="473"/>
      <c r="J1699" s="475"/>
      <c r="K1699" s="275" t="str">
        <f>IFNA(VLOOKUP(D1699,'EAN Codes'!A:C,2,False),"")</f>
        <v/>
      </c>
      <c r="L1699" s="82"/>
      <c r="M1699" s="496" t="b">
        <v>0</v>
      </c>
      <c r="N1699" s="477" t="b">
        <v>0</v>
      </c>
      <c r="O1699" s="497" t="b">
        <v>0</v>
      </c>
      <c r="P1699" s="477" t="b">
        <v>0</v>
      </c>
      <c r="Q1699" s="477" t="b">
        <v>0</v>
      </c>
      <c r="R1699" s="539"/>
      <c r="S1699" s="540"/>
      <c r="T1699" s="543"/>
      <c r="U1699" s="514" t="b">
        <v>0</v>
      </c>
      <c r="Z1699" t="b">
        <v>0</v>
      </c>
      <c r="AA1699" s="106" t="b">
        <v>0</v>
      </c>
      <c r="AC1699" s="82"/>
      <c r="AD1699" t="str">
        <f t="shared" ref="AD1699:AD1700" si="45">IFNA(IFS(U1699=False,D1699),"")</f>
        <v/>
      </c>
      <c r="AE1699" t="str">
        <f t="shared" ref="AE1699:AE1700" si="46">IFNA(IFS(U1699=false,H1699),"")</f>
        <v/>
      </c>
    </row>
    <row r="1700">
      <c r="A1700" s="86"/>
      <c r="B1700" s="86"/>
      <c r="C1700" s="86"/>
      <c r="D1700" s="87"/>
      <c r="E1700" s="86"/>
      <c r="F1700" s="86"/>
      <c r="G1700" s="91"/>
      <c r="H1700" s="86"/>
      <c r="I1700" s="86"/>
      <c r="J1700" s="662"/>
      <c r="K1700" s="275" t="str">
        <f>IFNA(VLOOKUP(D1700,'EAN Codes'!A:C,2,False),"")</f>
        <v/>
      </c>
      <c r="L1700" s="261"/>
      <c r="M1700" s="159" t="b">
        <v>0</v>
      </c>
      <c r="N1700" s="160" t="b">
        <v>0</v>
      </c>
      <c r="O1700" s="160" t="b">
        <v>0</v>
      </c>
      <c r="P1700" s="261" t="b">
        <v>0</v>
      </c>
      <c r="Q1700" s="261" t="b">
        <v>0</v>
      </c>
      <c r="R1700" s="275"/>
      <c r="S1700" s="663"/>
      <c r="T1700" s="115"/>
      <c r="U1700" s="664" t="b">
        <v>0</v>
      </c>
      <c r="V1700" s="124"/>
      <c r="W1700" s="124"/>
      <c r="X1700" s="124"/>
      <c r="Y1700" s="124"/>
      <c r="Z1700" s="124" t="b">
        <v>0</v>
      </c>
      <c r="AA1700" s="6" t="b">
        <v>0</v>
      </c>
      <c r="AB1700" s="115"/>
      <c r="AC1700" s="261"/>
      <c r="AD1700" t="str">
        <f t="shared" si="45"/>
        <v/>
      </c>
      <c r="AE1700" t="str">
        <f t="shared" si="46"/>
        <v/>
      </c>
    </row>
    <row r="1701" hidden="1">
      <c r="A1701" s="6">
        <v>1.0</v>
      </c>
      <c r="B1701" s="99" t="s">
        <v>241</v>
      </c>
      <c r="C1701" s="99" t="s">
        <v>342</v>
      </c>
      <c r="D1701" s="100" t="s">
        <v>9353</v>
      </c>
      <c r="E1701" s="101"/>
      <c r="F1701" s="101"/>
      <c r="G1701" s="101"/>
      <c r="H1701" s="473" t="s">
        <v>8457</v>
      </c>
      <c r="I1701" s="473" t="s">
        <v>9354</v>
      </c>
      <c r="J1701" s="508" t="s">
        <v>8416</v>
      </c>
      <c r="K1701" s="275" t="str">
        <f>IFNA(VLOOKUP(D1701,'EAN Codes'!A:C,2,False),"")</f>
        <v/>
      </c>
      <c r="L1701" s="82"/>
      <c r="M1701" s="496" t="b">
        <v>0</v>
      </c>
      <c r="N1701" s="477" t="b">
        <v>0</v>
      </c>
      <c r="O1701" s="497" t="b">
        <v>0</v>
      </c>
      <c r="P1701" s="477" t="b">
        <v>0</v>
      </c>
      <c r="Q1701" s="477" t="b">
        <v>0</v>
      </c>
      <c r="R1701" s="539"/>
      <c r="S1701" s="540"/>
      <c r="T1701" s="480" t="s">
        <v>9355</v>
      </c>
      <c r="U1701" s="481" t="b">
        <v>1</v>
      </c>
      <c r="Z1701" t="b">
        <v>0</v>
      </c>
      <c r="AA1701" t="b">
        <v>0</v>
      </c>
    </row>
    <row r="1702" hidden="1">
      <c r="A1702" s="99">
        <v>1.0</v>
      </c>
      <c r="B1702" s="99" t="s">
        <v>241</v>
      </c>
      <c r="C1702" s="99" t="s">
        <v>342</v>
      </c>
      <c r="D1702" s="100" t="s">
        <v>9338</v>
      </c>
      <c r="E1702" s="99" t="s">
        <v>9356</v>
      </c>
      <c r="F1702" s="99" t="s">
        <v>9357</v>
      </c>
      <c r="G1702" s="101"/>
      <c r="H1702" s="487" t="s">
        <v>360</v>
      </c>
      <c r="I1702" s="487" t="s">
        <v>9358</v>
      </c>
      <c r="J1702" s="581" t="s">
        <v>8416</v>
      </c>
      <c r="K1702" s="90" t="str">
        <f>IFNA(VLOOKUP(D1702,'EAN Codes'!A:C,2,False),"")</f>
        <v/>
      </c>
      <c r="L1702" s="101"/>
      <c r="M1702" s="657" t="b">
        <v>0</v>
      </c>
      <c r="N1702" s="576" t="b">
        <v>0</v>
      </c>
      <c r="O1702" s="577" t="b">
        <v>0</v>
      </c>
      <c r="P1702" s="576" t="b">
        <v>0</v>
      </c>
      <c r="Q1702" s="576" t="b">
        <v>0</v>
      </c>
      <c r="R1702" s="544"/>
      <c r="S1702" s="545"/>
      <c r="T1702" s="505" t="s">
        <v>9358</v>
      </c>
      <c r="U1702" s="579" t="b">
        <v>1</v>
      </c>
      <c r="V1702" s="101"/>
      <c r="W1702" s="101"/>
      <c r="X1702" s="101"/>
      <c r="Y1702" s="101"/>
      <c r="Z1702" s="101" t="b">
        <v>0</v>
      </c>
      <c r="AA1702" t="b">
        <v>0</v>
      </c>
      <c r="AB1702" s="101"/>
      <c r="AC1702" s="101"/>
      <c r="AD1702" s="101"/>
      <c r="AE1702" s="101"/>
    </row>
    <row r="1703" hidden="1">
      <c r="A1703" s="6">
        <v>1.0</v>
      </c>
      <c r="B1703" s="99" t="s">
        <v>181</v>
      </c>
      <c r="C1703" s="99" t="s">
        <v>1116</v>
      </c>
      <c r="D1703" s="100" t="s">
        <v>9011</v>
      </c>
      <c r="E1703" s="101"/>
      <c r="F1703" s="99" t="s">
        <v>9359</v>
      </c>
      <c r="G1703" s="101"/>
      <c r="H1703" s="487" t="s">
        <v>8457</v>
      </c>
      <c r="I1703" s="474"/>
      <c r="J1703" s="475"/>
      <c r="K1703" s="275" t="str">
        <f>IFNA(VLOOKUP(D1703,'EAN Codes'!A:C,2,False),"")</f>
        <v>8717323065013</v>
      </c>
      <c r="L1703" s="82"/>
      <c r="M1703" s="496" t="b">
        <v>0</v>
      </c>
      <c r="N1703" s="477" t="b">
        <v>0</v>
      </c>
      <c r="O1703" s="497" t="b">
        <v>0</v>
      </c>
      <c r="P1703" s="477" t="b">
        <v>0</v>
      </c>
      <c r="Q1703" s="477" t="b">
        <v>0</v>
      </c>
      <c r="R1703" s="539"/>
      <c r="S1703" s="540"/>
      <c r="T1703" s="480" t="s">
        <v>9360</v>
      </c>
      <c r="U1703" s="481" t="b">
        <v>1</v>
      </c>
      <c r="Z1703" t="b">
        <v>0</v>
      </c>
      <c r="AA1703" t="b">
        <v>0</v>
      </c>
    </row>
    <row r="1704" hidden="1">
      <c r="A1704" s="6">
        <v>1.0</v>
      </c>
      <c r="B1704" s="6" t="s">
        <v>181</v>
      </c>
      <c r="C1704" s="6" t="s">
        <v>1116</v>
      </c>
      <c r="D1704" s="127" t="s">
        <v>9011</v>
      </c>
      <c r="F1704" s="6" t="s">
        <v>9359</v>
      </c>
      <c r="H1704" s="473" t="s">
        <v>8457</v>
      </c>
      <c r="I1704" s="474"/>
      <c r="J1704" s="475"/>
      <c r="K1704" s="275" t="str">
        <f>IFNA(VLOOKUP(D1704,'EAN Codes'!A:C,2,False),"")</f>
        <v>8717323065013</v>
      </c>
      <c r="L1704" s="82"/>
      <c r="M1704" s="496" t="b">
        <v>0</v>
      </c>
      <c r="N1704" s="477" t="b">
        <v>0</v>
      </c>
      <c r="O1704" s="497" t="b">
        <v>0</v>
      </c>
      <c r="P1704" s="477" t="b">
        <v>0</v>
      </c>
      <c r="Q1704" s="477" t="b">
        <v>0</v>
      </c>
      <c r="R1704" s="539"/>
      <c r="S1704" s="540"/>
      <c r="T1704" s="480" t="s">
        <v>9361</v>
      </c>
      <c r="U1704" s="481" t="b">
        <v>1</v>
      </c>
      <c r="Z1704" t="b">
        <v>0</v>
      </c>
      <c r="AA1704" t="b">
        <v>0</v>
      </c>
    </row>
    <row r="1705" hidden="1">
      <c r="A1705" s="6">
        <v>1.0</v>
      </c>
      <c r="B1705" s="6" t="s">
        <v>181</v>
      </c>
      <c r="C1705" s="6" t="s">
        <v>1116</v>
      </c>
      <c r="D1705" s="127" t="s">
        <v>9011</v>
      </c>
      <c r="F1705" s="6" t="s">
        <v>9359</v>
      </c>
      <c r="H1705" s="473" t="s">
        <v>8457</v>
      </c>
      <c r="I1705" s="474"/>
      <c r="J1705" s="475"/>
      <c r="K1705" s="275" t="str">
        <f>IFNA(VLOOKUP(D1705,'EAN Codes'!A:C,2,False),"")</f>
        <v>8717323065013</v>
      </c>
      <c r="L1705" s="82"/>
      <c r="M1705" s="496" t="b">
        <v>0</v>
      </c>
      <c r="N1705" s="477" t="b">
        <v>0</v>
      </c>
      <c r="O1705" s="497" t="b">
        <v>0</v>
      </c>
      <c r="P1705" s="477" t="b">
        <v>0</v>
      </c>
      <c r="Q1705" s="477" t="b">
        <v>0</v>
      </c>
      <c r="R1705" s="539"/>
      <c r="S1705" s="540"/>
      <c r="T1705" s="480" t="s">
        <v>9362</v>
      </c>
      <c r="U1705" s="481" t="b">
        <v>1</v>
      </c>
      <c r="Z1705" t="b">
        <v>0</v>
      </c>
      <c r="AA1705" t="b">
        <v>0</v>
      </c>
    </row>
    <row r="1706" hidden="1">
      <c r="A1706" s="6">
        <v>1.0</v>
      </c>
      <c r="B1706" s="6" t="s">
        <v>181</v>
      </c>
      <c r="C1706" s="6" t="s">
        <v>1116</v>
      </c>
      <c r="D1706" s="127" t="s">
        <v>9011</v>
      </c>
      <c r="F1706" s="6" t="s">
        <v>9359</v>
      </c>
      <c r="H1706" s="473" t="s">
        <v>8457</v>
      </c>
      <c r="I1706" s="474"/>
      <c r="J1706" s="475"/>
      <c r="K1706" s="275" t="str">
        <f>IFNA(VLOOKUP(D1706,'EAN Codes'!A:C,2,False),"")</f>
        <v>8717323065013</v>
      </c>
      <c r="L1706" s="82"/>
      <c r="M1706" s="496" t="b">
        <v>0</v>
      </c>
      <c r="N1706" s="477" t="b">
        <v>0</v>
      </c>
      <c r="O1706" s="497" t="b">
        <v>0</v>
      </c>
      <c r="P1706" s="477" t="b">
        <v>0</v>
      </c>
      <c r="Q1706" s="477" t="b">
        <v>0</v>
      </c>
      <c r="R1706" s="539"/>
      <c r="S1706" s="540"/>
      <c r="T1706" s="480">
        <v>372677.0</v>
      </c>
      <c r="U1706" s="481" t="b">
        <v>1</v>
      </c>
      <c r="Z1706" t="b">
        <v>0</v>
      </c>
      <c r="AA1706" t="b">
        <v>0</v>
      </c>
    </row>
    <row r="1707" hidden="1">
      <c r="A1707" s="6">
        <v>1.0</v>
      </c>
      <c r="B1707" s="6" t="s">
        <v>181</v>
      </c>
      <c r="C1707" s="6" t="s">
        <v>1116</v>
      </c>
      <c r="D1707" s="127" t="s">
        <v>9011</v>
      </c>
      <c r="F1707" s="6" t="s">
        <v>9359</v>
      </c>
      <c r="H1707" s="473" t="s">
        <v>8457</v>
      </c>
      <c r="I1707" s="474"/>
      <c r="J1707" s="475"/>
      <c r="K1707" s="275" t="str">
        <f>IFNA(VLOOKUP(D1707,'EAN Codes'!A:C,2,False),"")</f>
        <v>8717323065013</v>
      </c>
      <c r="L1707" s="82"/>
      <c r="M1707" s="496" t="b">
        <v>0</v>
      </c>
      <c r="N1707" s="477" t="b">
        <v>0</v>
      </c>
      <c r="O1707" s="497" t="b">
        <v>0</v>
      </c>
      <c r="P1707" s="477" t="b">
        <v>0</v>
      </c>
      <c r="Q1707" s="477" t="b">
        <v>0</v>
      </c>
      <c r="R1707" s="539"/>
      <c r="S1707" s="540"/>
      <c r="T1707" s="480" t="s">
        <v>9363</v>
      </c>
      <c r="U1707" s="481" t="b">
        <v>1</v>
      </c>
      <c r="Z1707" t="b">
        <v>0</v>
      </c>
      <c r="AA1707" t="b">
        <v>0</v>
      </c>
    </row>
    <row r="1708" hidden="1">
      <c r="A1708" s="6">
        <v>1.0</v>
      </c>
      <c r="B1708" s="99" t="s">
        <v>181</v>
      </c>
      <c r="C1708" s="99" t="s">
        <v>1116</v>
      </c>
      <c r="D1708" s="100" t="s">
        <v>9011</v>
      </c>
      <c r="E1708" s="101"/>
      <c r="F1708" s="99" t="s">
        <v>9359</v>
      </c>
      <c r="G1708" s="101"/>
      <c r="H1708" s="487" t="s">
        <v>8457</v>
      </c>
      <c r="I1708" s="474"/>
      <c r="J1708" s="475"/>
      <c r="K1708" s="275" t="str">
        <f>IFNA(VLOOKUP(D1708,'EAN Codes'!A:C,2,False),"")</f>
        <v>8717323065013</v>
      </c>
      <c r="L1708" s="82"/>
      <c r="M1708" s="496" t="b">
        <v>0</v>
      </c>
      <c r="N1708" s="477" t="b">
        <v>0</v>
      </c>
      <c r="O1708" s="497" t="b">
        <v>0</v>
      </c>
      <c r="P1708" s="477" t="b">
        <v>0</v>
      </c>
      <c r="Q1708" s="477" t="b">
        <v>0</v>
      </c>
      <c r="R1708" s="539"/>
      <c r="S1708" s="540"/>
      <c r="T1708" s="480" t="s">
        <v>9364</v>
      </c>
      <c r="U1708" s="481" t="b">
        <v>1</v>
      </c>
      <c r="Z1708" t="b">
        <v>0</v>
      </c>
      <c r="AA1708" t="b">
        <v>0</v>
      </c>
    </row>
    <row r="1709" hidden="1">
      <c r="A1709" s="6">
        <v>1.0</v>
      </c>
      <c r="B1709" s="35" t="s">
        <v>181</v>
      </c>
      <c r="C1709" s="35" t="s">
        <v>1116</v>
      </c>
      <c r="D1709" s="365" t="s">
        <v>9011</v>
      </c>
      <c r="F1709" s="6" t="s">
        <v>9359</v>
      </c>
      <c r="H1709" s="473" t="s">
        <v>8457</v>
      </c>
      <c r="I1709" s="474"/>
      <c r="J1709" s="475"/>
      <c r="K1709" s="275" t="str">
        <f>IFNA(VLOOKUP(D1709,'EAN Codes'!A:C,2,False),"")</f>
        <v>8717323065013</v>
      </c>
      <c r="L1709" s="82"/>
      <c r="M1709" s="496" t="b">
        <v>0</v>
      </c>
      <c r="N1709" s="477" t="b">
        <v>0</v>
      </c>
      <c r="O1709" s="497" t="b">
        <v>0</v>
      </c>
      <c r="P1709" s="477" t="b">
        <v>0</v>
      </c>
      <c r="Q1709" s="477" t="b">
        <v>0</v>
      </c>
      <c r="R1709" s="539"/>
      <c r="S1709" s="540"/>
      <c r="T1709" s="6" t="s">
        <v>9365</v>
      </c>
      <c r="U1709" s="481" t="b">
        <v>1</v>
      </c>
      <c r="Z1709" t="b">
        <v>0</v>
      </c>
      <c r="AA1709" t="b">
        <v>0</v>
      </c>
    </row>
    <row r="1710" hidden="1">
      <c r="A1710" s="6">
        <v>1.0</v>
      </c>
      <c r="B1710" s="6" t="s">
        <v>181</v>
      </c>
      <c r="C1710" s="6" t="s">
        <v>1116</v>
      </c>
      <c r="D1710" s="127" t="s">
        <v>9011</v>
      </c>
      <c r="F1710" s="6" t="s">
        <v>9359</v>
      </c>
      <c r="H1710" s="473" t="s">
        <v>8457</v>
      </c>
      <c r="I1710" s="474"/>
      <c r="J1710" s="475"/>
      <c r="K1710" s="275" t="str">
        <f>IFNA(VLOOKUP(D1710,'EAN Codes'!A:C,2,False),"")</f>
        <v>8717323065013</v>
      </c>
      <c r="L1710" s="82"/>
      <c r="M1710" s="496" t="b">
        <v>0</v>
      </c>
      <c r="N1710" s="477" t="b">
        <v>0</v>
      </c>
      <c r="O1710" s="497" t="b">
        <v>0</v>
      </c>
      <c r="P1710" s="477" t="b">
        <v>0</v>
      </c>
      <c r="Q1710" s="477" t="b">
        <v>0</v>
      </c>
      <c r="R1710" s="539"/>
      <c r="S1710" s="540"/>
      <c r="T1710" s="480" t="s">
        <v>9366</v>
      </c>
      <c r="U1710" s="481" t="b">
        <v>1</v>
      </c>
      <c r="Z1710" t="b">
        <v>0</v>
      </c>
      <c r="AA1710" t="b">
        <v>0</v>
      </c>
    </row>
    <row r="1711" hidden="1">
      <c r="A1711" s="6">
        <v>1.0</v>
      </c>
      <c r="B1711" s="6" t="s">
        <v>181</v>
      </c>
      <c r="C1711" s="6" t="s">
        <v>1116</v>
      </c>
      <c r="D1711" s="127" t="s">
        <v>9011</v>
      </c>
      <c r="F1711" s="6" t="s">
        <v>9359</v>
      </c>
      <c r="H1711" s="473" t="s">
        <v>8457</v>
      </c>
      <c r="I1711" s="474"/>
      <c r="J1711" s="475"/>
      <c r="K1711" s="275" t="str">
        <f>IFNA(VLOOKUP(D1711,'EAN Codes'!A:C,2,False),"")</f>
        <v>8717323065013</v>
      </c>
      <c r="L1711" s="82"/>
      <c r="M1711" s="496" t="b">
        <v>0</v>
      </c>
      <c r="N1711" s="477" t="b">
        <v>0</v>
      </c>
      <c r="O1711" s="497" t="b">
        <v>0</v>
      </c>
      <c r="P1711" s="477" t="b">
        <v>0</v>
      </c>
      <c r="Q1711" s="477" t="b">
        <v>0</v>
      </c>
      <c r="R1711" s="539"/>
      <c r="S1711" s="540"/>
      <c r="T1711" s="480" t="s">
        <v>9367</v>
      </c>
      <c r="U1711" s="481" t="b">
        <v>1</v>
      </c>
      <c r="Z1711" t="b">
        <v>0</v>
      </c>
      <c r="AA1711" t="b">
        <v>0</v>
      </c>
    </row>
    <row r="1712" hidden="1">
      <c r="A1712" s="6">
        <v>1.0</v>
      </c>
      <c r="B1712" s="6" t="s">
        <v>181</v>
      </c>
      <c r="C1712" s="6" t="s">
        <v>1116</v>
      </c>
      <c r="D1712" s="127" t="s">
        <v>9011</v>
      </c>
      <c r="F1712" s="6" t="s">
        <v>9359</v>
      </c>
      <c r="H1712" s="473" t="s">
        <v>8457</v>
      </c>
      <c r="I1712" s="474"/>
      <c r="J1712" s="475"/>
      <c r="K1712" s="275" t="str">
        <f>IFNA(VLOOKUP(D1712,'EAN Codes'!A:C,2,False),"")</f>
        <v>8717323065013</v>
      </c>
      <c r="L1712" s="82"/>
      <c r="M1712" s="496" t="b">
        <v>0</v>
      </c>
      <c r="N1712" s="477" t="b">
        <v>0</v>
      </c>
      <c r="O1712" s="497" t="b">
        <v>0</v>
      </c>
      <c r="P1712" s="477" t="b">
        <v>0</v>
      </c>
      <c r="Q1712" s="477" t="b">
        <v>0</v>
      </c>
      <c r="R1712" s="539"/>
      <c r="S1712" s="540"/>
      <c r="T1712" s="480" t="s">
        <v>9368</v>
      </c>
      <c r="U1712" s="481" t="b">
        <v>1</v>
      </c>
      <c r="Z1712" t="b">
        <v>0</v>
      </c>
      <c r="AA1712" t="b">
        <v>0</v>
      </c>
    </row>
    <row r="1713" hidden="1">
      <c r="A1713" s="6">
        <v>1.0</v>
      </c>
      <c r="B1713" s="99" t="s">
        <v>241</v>
      </c>
      <c r="C1713" s="99" t="s">
        <v>4382</v>
      </c>
      <c r="D1713" s="100" t="s">
        <v>9369</v>
      </c>
      <c r="E1713" s="99" t="s">
        <v>346</v>
      </c>
      <c r="F1713" s="99" t="s">
        <v>9370</v>
      </c>
      <c r="H1713" s="473" t="s">
        <v>255</v>
      </c>
      <c r="I1713" s="473" t="s">
        <v>9371</v>
      </c>
      <c r="J1713" s="508" t="s">
        <v>9069</v>
      </c>
      <c r="K1713" s="275" t="str">
        <f>IFNA(VLOOKUP(D1713,'EAN Codes'!A:C,2,False),"")</f>
        <v/>
      </c>
      <c r="L1713" s="82"/>
      <c r="M1713" s="496" t="b">
        <v>0</v>
      </c>
      <c r="N1713" s="477" t="b">
        <v>0</v>
      </c>
      <c r="O1713" s="497" t="b">
        <v>0</v>
      </c>
      <c r="P1713" s="477" t="b">
        <v>0</v>
      </c>
      <c r="Q1713" s="477" t="b">
        <v>0</v>
      </c>
      <c r="R1713" s="539"/>
      <c r="S1713" s="540"/>
      <c r="T1713" s="480">
        <v>372692.0</v>
      </c>
      <c r="U1713" s="481" t="b">
        <v>1</v>
      </c>
      <c r="Z1713" t="b">
        <v>0</v>
      </c>
      <c r="AA1713" t="b">
        <v>0</v>
      </c>
    </row>
    <row r="1714" hidden="1">
      <c r="A1714" s="6">
        <v>1.0</v>
      </c>
      <c r="B1714" s="86" t="s">
        <v>8287</v>
      </c>
      <c r="C1714" s="86" t="s">
        <v>7548</v>
      </c>
      <c r="D1714" s="87" t="s">
        <v>8370</v>
      </c>
      <c r="E1714" s="101"/>
      <c r="F1714" s="101"/>
      <c r="G1714" s="101"/>
      <c r="H1714" s="487" t="s">
        <v>8457</v>
      </c>
      <c r="I1714" s="474"/>
      <c r="J1714" s="475"/>
      <c r="K1714" s="275" t="str">
        <f>IFNA(VLOOKUP(D1714,'EAN Codes'!A:C,2,False),"")</f>
        <v/>
      </c>
      <c r="L1714" s="82"/>
      <c r="M1714" s="496" t="b">
        <v>0</v>
      </c>
      <c r="N1714" s="477" t="b">
        <v>0</v>
      </c>
      <c r="O1714" s="497" t="b">
        <v>0</v>
      </c>
      <c r="P1714" s="477" t="b">
        <v>0</v>
      </c>
      <c r="Q1714" s="477" t="b">
        <v>0</v>
      </c>
      <c r="R1714" s="539"/>
      <c r="S1714" s="540"/>
      <c r="T1714" s="480" t="s">
        <v>9372</v>
      </c>
      <c r="U1714" s="481" t="b">
        <v>1</v>
      </c>
      <c r="Z1714" t="b">
        <v>0</v>
      </c>
      <c r="AA1714" t="b">
        <v>0</v>
      </c>
    </row>
    <row r="1715" hidden="1">
      <c r="A1715" s="6">
        <v>1.0</v>
      </c>
      <c r="B1715" s="86" t="s">
        <v>8287</v>
      </c>
      <c r="C1715" s="86" t="s">
        <v>7548</v>
      </c>
      <c r="D1715" s="87" t="s">
        <v>8373</v>
      </c>
      <c r="H1715" s="473" t="s">
        <v>8457</v>
      </c>
      <c r="I1715" s="474"/>
      <c r="J1715" s="475"/>
      <c r="K1715" s="275" t="str">
        <f>IFNA(VLOOKUP(D1715,'EAN Codes'!A:C,2,False),"")</f>
        <v/>
      </c>
      <c r="L1715" s="82"/>
      <c r="M1715" s="496" t="b">
        <v>0</v>
      </c>
      <c r="N1715" s="477" t="b">
        <v>0</v>
      </c>
      <c r="O1715" s="497" t="b">
        <v>0</v>
      </c>
      <c r="P1715" s="477" t="b">
        <v>0</v>
      </c>
      <c r="Q1715" s="477" t="b">
        <v>0</v>
      </c>
      <c r="R1715" s="539"/>
      <c r="S1715" s="540"/>
      <c r="T1715" s="480">
        <v>372632.0</v>
      </c>
      <c r="U1715" s="481" t="b">
        <v>1</v>
      </c>
      <c r="Z1715" t="b">
        <v>0</v>
      </c>
      <c r="AA1715" t="b">
        <v>0</v>
      </c>
    </row>
    <row r="1716" hidden="1">
      <c r="A1716" s="6">
        <v>1.0</v>
      </c>
      <c r="B1716" s="106" t="s">
        <v>8287</v>
      </c>
      <c r="C1716" s="106" t="s">
        <v>7548</v>
      </c>
      <c r="D1716" s="273" t="s">
        <v>8373</v>
      </c>
      <c r="H1716" s="473" t="s">
        <v>8457</v>
      </c>
      <c r="I1716" s="474"/>
      <c r="J1716" s="475"/>
      <c r="K1716" s="275" t="str">
        <f>IFNA(VLOOKUP(D1716,'EAN Codes'!A:C,2,False),"")</f>
        <v/>
      </c>
      <c r="L1716" s="82"/>
      <c r="M1716" s="496" t="b">
        <v>0</v>
      </c>
      <c r="N1716" s="477" t="b">
        <v>0</v>
      </c>
      <c r="O1716" s="497" t="b">
        <v>0</v>
      </c>
      <c r="P1716" s="477" t="b">
        <v>0</v>
      </c>
      <c r="Q1716" s="477" t="b">
        <v>0</v>
      </c>
      <c r="R1716" s="539"/>
      <c r="S1716" s="540"/>
      <c r="T1716" s="480">
        <v>606.0</v>
      </c>
      <c r="U1716" s="481" t="b">
        <v>1</v>
      </c>
      <c r="Z1716" t="b">
        <v>0</v>
      </c>
      <c r="AA1716" t="b">
        <v>0</v>
      </c>
      <c r="AC1716" s="82"/>
      <c r="AD1716" t="str">
        <f>IFNA(IFS(U1716=False,D1716),"")</f>
        <v/>
      </c>
      <c r="AE1716" t="str">
        <f>IFNA(IFS(U1716=false,H1716),"")</f>
        <v/>
      </c>
    </row>
    <row r="1717" hidden="1">
      <c r="A1717" s="6">
        <v>1.0</v>
      </c>
      <c r="B1717" s="86" t="s">
        <v>8287</v>
      </c>
      <c r="C1717" s="86" t="s">
        <v>7548</v>
      </c>
      <c r="D1717" s="87" t="s">
        <v>8380</v>
      </c>
      <c r="E1717" s="101"/>
      <c r="F1717" s="101"/>
      <c r="G1717" s="101"/>
      <c r="H1717" s="487" t="s">
        <v>8457</v>
      </c>
      <c r="I1717" s="474"/>
      <c r="J1717" s="475"/>
      <c r="K1717" s="275" t="str">
        <f>IFNA(VLOOKUP(D1717,'EAN Codes'!A:C,2,False),"")</f>
        <v/>
      </c>
      <c r="L1717" s="82"/>
      <c r="M1717" s="496" t="b">
        <v>0</v>
      </c>
      <c r="N1717" s="477" t="b">
        <v>0</v>
      </c>
      <c r="O1717" s="497" t="b">
        <v>0</v>
      </c>
      <c r="P1717" s="477" t="b">
        <v>0</v>
      </c>
      <c r="Q1717" s="477" t="b">
        <v>0</v>
      </c>
      <c r="R1717" s="539"/>
      <c r="S1717" s="540"/>
      <c r="T1717" s="322">
        <v>373026.0</v>
      </c>
      <c r="U1717" s="481" t="b">
        <v>1</v>
      </c>
      <c r="Z1717" t="b">
        <v>0</v>
      </c>
      <c r="AA1717" t="b">
        <v>0</v>
      </c>
    </row>
    <row r="1718" hidden="1">
      <c r="A1718" s="6">
        <v>1.0</v>
      </c>
      <c r="B1718" s="86" t="s">
        <v>8287</v>
      </c>
      <c r="C1718" s="86" t="s">
        <v>7548</v>
      </c>
      <c r="D1718" s="87" t="s">
        <v>8375</v>
      </c>
      <c r="E1718" s="101"/>
      <c r="F1718" s="101"/>
      <c r="G1718" s="101"/>
      <c r="H1718" s="487" t="s">
        <v>8457</v>
      </c>
      <c r="I1718" s="474"/>
      <c r="J1718" s="475"/>
      <c r="K1718" s="275" t="str">
        <f>IFNA(VLOOKUP(D1718,'EAN Codes'!A:C,2,False),"")</f>
        <v/>
      </c>
      <c r="L1718" s="82"/>
      <c r="M1718" s="496" t="b">
        <v>0</v>
      </c>
      <c r="N1718" s="477" t="b">
        <v>0</v>
      </c>
      <c r="O1718" s="497" t="b">
        <v>0</v>
      </c>
      <c r="P1718" s="477" t="b">
        <v>0</v>
      </c>
      <c r="Q1718" s="477" t="b">
        <v>0</v>
      </c>
      <c r="R1718" s="539"/>
      <c r="S1718" s="540"/>
      <c r="T1718" s="480">
        <v>372745.0</v>
      </c>
      <c r="U1718" s="481" t="b">
        <v>1</v>
      </c>
      <c r="Z1718" t="b">
        <v>0</v>
      </c>
      <c r="AA1718" t="b">
        <v>0</v>
      </c>
    </row>
    <row r="1719" hidden="1">
      <c r="A1719" s="6">
        <v>1.0</v>
      </c>
      <c r="B1719" s="106" t="s">
        <v>8287</v>
      </c>
      <c r="C1719" s="106" t="s">
        <v>7548</v>
      </c>
      <c r="D1719" s="273" t="s">
        <v>8377</v>
      </c>
      <c r="H1719" s="473" t="s">
        <v>8457</v>
      </c>
      <c r="I1719" s="474"/>
      <c r="J1719" s="475"/>
      <c r="K1719" s="275" t="str">
        <f>IFNA(VLOOKUP(D1719,'EAN Codes'!A:C,2,False),"")</f>
        <v/>
      </c>
      <c r="L1719" s="82"/>
      <c r="M1719" s="496" t="b">
        <v>0</v>
      </c>
      <c r="N1719" s="477" t="b">
        <v>0</v>
      </c>
      <c r="O1719" s="497" t="b">
        <v>0</v>
      </c>
      <c r="P1719" s="477" t="b">
        <v>0</v>
      </c>
      <c r="Q1719" s="477" t="b">
        <v>0</v>
      </c>
      <c r="R1719" s="539"/>
      <c r="S1719" s="540"/>
      <c r="T1719" s="480">
        <v>373514.0</v>
      </c>
      <c r="U1719" s="481" t="b">
        <v>1</v>
      </c>
      <c r="Z1719" t="b">
        <v>0</v>
      </c>
      <c r="AA1719" t="b">
        <v>0</v>
      </c>
      <c r="AC1719" s="82"/>
      <c r="AD1719" t="str">
        <f>IFNA(IFS(U1719=False,D1719),"")</f>
        <v/>
      </c>
      <c r="AE1719" t="str">
        <f>IFNA(IFS(U1719=false,H1719),"")</f>
        <v/>
      </c>
    </row>
    <row r="1720" hidden="1">
      <c r="A1720" s="191">
        <v>1.0</v>
      </c>
      <c r="B1720" s="86" t="s">
        <v>241</v>
      </c>
      <c r="C1720" s="86" t="s">
        <v>342</v>
      </c>
      <c r="D1720" s="87" t="s">
        <v>4918</v>
      </c>
      <c r="E1720" s="86" t="s">
        <v>346</v>
      </c>
      <c r="F1720" s="86" t="s">
        <v>4925</v>
      </c>
      <c r="G1720" s="115"/>
      <c r="H1720" s="160" t="s">
        <v>360</v>
      </c>
      <c r="I1720" s="474" t="s">
        <v>9373</v>
      </c>
      <c r="J1720" s="474" t="s">
        <v>8317</v>
      </c>
      <c r="K1720" s="275" t="str">
        <f>IFNA(VLOOKUP(D1720,'EAN Codes'!A:C,2,False),"")</f>
        <v>5907615827099</v>
      </c>
      <c r="L1720" s="261"/>
      <c r="M1720" s="477" t="b">
        <v>1</v>
      </c>
      <c r="N1720" s="477" t="b">
        <v>0</v>
      </c>
      <c r="O1720" s="477" t="b">
        <v>0</v>
      </c>
      <c r="P1720" s="477" t="b">
        <v>0</v>
      </c>
      <c r="Q1720" s="477" t="b">
        <v>0</v>
      </c>
      <c r="R1720" s="539"/>
      <c r="S1720" s="539"/>
      <c r="T1720" s="543" t="s">
        <v>9374</v>
      </c>
      <c r="U1720" s="514" t="b">
        <v>1</v>
      </c>
      <c r="V1720" s="124"/>
      <c r="W1720" s="124"/>
      <c r="X1720" s="124"/>
      <c r="Y1720" s="124"/>
      <c r="Z1720" s="124" t="b">
        <v>0</v>
      </c>
      <c r="AA1720" t="b">
        <v>0</v>
      </c>
      <c r="AB1720" s="124"/>
      <c r="AC1720" s="124"/>
      <c r="AD1720" s="124"/>
      <c r="AE1720" s="124"/>
    </row>
    <row r="1721" hidden="1">
      <c r="A1721" s="106">
        <v>1.0</v>
      </c>
      <c r="B1721" s="106" t="s">
        <v>241</v>
      </c>
      <c r="C1721" s="106" t="s">
        <v>4382</v>
      </c>
      <c r="D1721" s="273" t="s">
        <v>9375</v>
      </c>
      <c r="E1721" s="106" t="s">
        <v>346</v>
      </c>
      <c r="F1721" s="106" t="s">
        <v>9376</v>
      </c>
      <c r="G1721" s="115"/>
      <c r="H1721" s="160" t="s">
        <v>360</v>
      </c>
      <c r="I1721" s="474" t="s">
        <v>9377</v>
      </c>
      <c r="J1721" s="474" t="s">
        <v>9378</v>
      </c>
      <c r="K1721" s="275" t="str">
        <f>IFNA(VLOOKUP(D1721,'EAN Codes'!A:C,2,False),"")</f>
        <v/>
      </c>
      <c r="L1721" s="261"/>
      <c r="M1721" s="477" t="b">
        <v>0</v>
      </c>
      <c r="N1721" s="477" t="b">
        <v>0</v>
      </c>
      <c r="O1721" s="477" t="b">
        <v>0</v>
      </c>
      <c r="P1721" s="477" t="b">
        <v>0</v>
      </c>
      <c r="Q1721" s="477" t="b">
        <v>0</v>
      </c>
      <c r="R1721" s="539"/>
      <c r="S1721" s="539"/>
      <c r="T1721" s="543" t="s">
        <v>9379</v>
      </c>
      <c r="U1721" s="514" t="b">
        <v>1</v>
      </c>
      <c r="V1721" s="115"/>
      <c r="W1721" s="115"/>
      <c r="X1721" s="115"/>
      <c r="Y1721" s="115"/>
      <c r="Z1721" s="115" t="b">
        <v>0</v>
      </c>
      <c r="AA1721" t="b">
        <v>0</v>
      </c>
      <c r="AB1721" s="115"/>
      <c r="AC1721" s="115"/>
      <c r="AD1721" s="115"/>
      <c r="AE1721" s="115"/>
    </row>
    <row r="1722">
      <c r="B1722" s="99"/>
      <c r="C1722" s="99"/>
      <c r="D1722" s="99"/>
      <c r="E1722" s="99"/>
      <c r="F1722" s="99"/>
      <c r="G1722" s="99"/>
      <c r="H1722" s="506"/>
      <c r="I1722" s="488"/>
      <c r="J1722" s="474"/>
      <c r="K1722" s="275" t="str">
        <f>IFNA(VLOOKUP(D1722,'EAN Codes'!A:C,2,False),"")</f>
        <v/>
      </c>
      <c r="L1722" s="469"/>
      <c r="M1722" s="477" t="b">
        <v>0</v>
      </c>
      <c r="N1722" s="477" t="b">
        <v>0</v>
      </c>
      <c r="O1722" s="477" t="b">
        <v>0</v>
      </c>
      <c r="P1722" s="477" t="b">
        <v>0</v>
      </c>
      <c r="Q1722" s="477" t="b">
        <v>0</v>
      </c>
      <c r="R1722" s="539"/>
      <c r="S1722" s="540"/>
      <c r="T1722" s="543"/>
      <c r="U1722" s="514" t="b">
        <v>0</v>
      </c>
      <c r="Z1722" t="b">
        <v>0</v>
      </c>
      <c r="AA1722" s="6" t="b">
        <v>0</v>
      </c>
      <c r="AC1722" s="82"/>
      <c r="AD1722" t="str">
        <f t="shared" ref="AD1722:AD1723" si="47">IFNA(IFS(U1722=False,D1722),"")</f>
        <v/>
      </c>
      <c r="AE1722" t="str">
        <f t="shared" ref="AE1722:AE1723" si="48">IFNA(IFS(U1722=false,H1722),"")</f>
        <v/>
      </c>
    </row>
    <row r="1723">
      <c r="A1723" s="106"/>
      <c r="H1723" s="473"/>
      <c r="I1723" s="474"/>
      <c r="J1723" s="474"/>
      <c r="K1723" s="275" t="str">
        <f>IFNA(VLOOKUP(D1723,'EAN Codes'!A:C,2,False),"")</f>
        <v/>
      </c>
      <c r="L1723" s="469"/>
      <c r="M1723" s="477" t="b">
        <v>0</v>
      </c>
      <c r="N1723" s="497" t="b">
        <v>0</v>
      </c>
      <c r="O1723" s="477" t="b">
        <v>0</v>
      </c>
      <c r="P1723" s="477" t="b">
        <v>0</v>
      </c>
      <c r="Q1723" s="477" t="b">
        <v>0</v>
      </c>
      <c r="R1723" s="539"/>
      <c r="S1723" s="540"/>
      <c r="T1723" s="543"/>
      <c r="U1723" s="514" t="b">
        <v>0</v>
      </c>
      <c r="V1723" s="124"/>
      <c r="W1723" s="124"/>
      <c r="X1723" s="124"/>
      <c r="Y1723" s="124"/>
      <c r="Z1723" s="124" t="b">
        <v>0</v>
      </c>
      <c r="AA1723" s="106" t="b">
        <v>0</v>
      </c>
      <c r="AB1723" s="115"/>
      <c r="AC1723" s="261"/>
      <c r="AD1723" t="str">
        <f t="shared" si="47"/>
        <v/>
      </c>
      <c r="AE1723" t="str">
        <f t="shared" si="48"/>
        <v/>
      </c>
    </row>
    <row r="1724" hidden="1">
      <c r="A1724" s="6">
        <v>1.0</v>
      </c>
      <c r="B1724" s="99" t="s">
        <v>241</v>
      </c>
      <c r="C1724" s="99" t="s">
        <v>408</v>
      </c>
      <c r="D1724" s="100" t="s">
        <v>9380</v>
      </c>
      <c r="E1724" s="101"/>
      <c r="F1724" s="99" t="s">
        <v>9381</v>
      </c>
      <c r="G1724" s="101"/>
      <c r="H1724" s="487" t="s">
        <v>360</v>
      </c>
      <c r="I1724" s="487" t="s">
        <v>9382</v>
      </c>
      <c r="J1724" s="581" t="s">
        <v>8408</v>
      </c>
      <c r="K1724" s="275" t="str">
        <f>IFNA(VLOOKUP(D1724,'EAN Codes'!A:C,2,False),"")</f>
        <v>4250557546575</v>
      </c>
      <c r="L1724" s="82"/>
      <c r="M1724" s="496" t="b">
        <v>0</v>
      </c>
      <c r="N1724" s="497" t="b">
        <v>1</v>
      </c>
      <c r="O1724" s="497" t="b">
        <v>0</v>
      </c>
      <c r="P1724" s="497" t="b">
        <v>1</v>
      </c>
      <c r="Q1724" s="477" t="b">
        <v>0</v>
      </c>
      <c r="R1724" s="478" t="s">
        <v>9383</v>
      </c>
      <c r="S1724" s="540"/>
      <c r="T1724" s="543"/>
      <c r="U1724" s="481" t="b">
        <v>1</v>
      </c>
      <c r="Z1724" t="b">
        <v>0</v>
      </c>
      <c r="AA1724" t="b">
        <v>0</v>
      </c>
    </row>
    <row r="1725">
      <c r="B1725" s="99"/>
      <c r="C1725" s="99"/>
      <c r="D1725" s="100"/>
      <c r="H1725" s="473"/>
      <c r="I1725" s="473"/>
      <c r="J1725" s="508"/>
      <c r="K1725" s="275" t="str">
        <f>IFNA(VLOOKUP(D1725,'EAN Codes'!A:C,2,False),"")</f>
        <v/>
      </c>
      <c r="L1725" s="82"/>
      <c r="M1725" s="496" t="b">
        <v>0</v>
      </c>
      <c r="N1725" s="477" t="b">
        <v>0</v>
      </c>
      <c r="O1725" s="497" t="b">
        <v>0</v>
      </c>
      <c r="P1725" s="477" t="b">
        <v>0</v>
      </c>
      <c r="Q1725" s="477" t="b">
        <v>0</v>
      </c>
      <c r="R1725" s="539"/>
      <c r="S1725" s="540"/>
      <c r="T1725" s="543"/>
      <c r="U1725" s="514" t="b">
        <v>0</v>
      </c>
      <c r="Z1725" t="b">
        <v>0</v>
      </c>
      <c r="AA1725" s="106" t="b">
        <v>0</v>
      </c>
      <c r="AC1725" s="82" t="str">
        <f>IFERROR(__xludf.DUMMYFUNCTION("IFS(C1725=""ECS"",Vlookup(D1725,IMPORTRANGE(""https://docs.google.com/spreadsheets/d/1CONXwApUCNE4s-NquayczLLZJS3lBxtkAQwk9d9t2gA/edit"",""'Prislista 2024'!I:M""),5,false)*$AC$1)*A1725"),"#N/A")</f>
        <v>#N/A</v>
      </c>
      <c r="AD1725" t="str">
        <f t="shared" ref="AD1725:AD1726" si="49">IFNA(IFS(U1725=False,D1725),"")</f>
        <v/>
      </c>
      <c r="AE1725" t="str">
        <f t="shared" ref="AE1725:AE1726" si="50">IFNA(IFS(U1725=false,H1725),"")</f>
        <v/>
      </c>
    </row>
    <row r="1726">
      <c r="D1726" s="127"/>
      <c r="H1726" s="473"/>
      <c r="I1726" s="473"/>
      <c r="J1726" s="508"/>
      <c r="K1726" s="275" t="str">
        <f>IFNA(VLOOKUP(D1726,'EAN Codes'!A:C,2,False),"")</f>
        <v/>
      </c>
      <c r="L1726" s="82"/>
      <c r="M1726" s="496" t="b">
        <v>0</v>
      </c>
      <c r="N1726" s="477" t="b">
        <v>0</v>
      </c>
      <c r="O1726" s="497" t="b">
        <v>0</v>
      </c>
      <c r="P1726" s="477" t="b">
        <v>0</v>
      </c>
      <c r="Q1726" s="477" t="b">
        <v>0</v>
      </c>
      <c r="R1726" s="539"/>
      <c r="S1726" s="540"/>
      <c r="T1726" s="543"/>
      <c r="U1726" s="514" t="b">
        <v>0</v>
      </c>
      <c r="Z1726" t="b">
        <v>0</v>
      </c>
      <c r="AA1726" s="106" t="b">
        <v>0</v>
      </c>
      <c r="AC1726" s="82"/>
      <c r="AD1726" t="str">
        <f t="shared" si="49"/>
        <v/>
      </c>
      <c r="AE1726" t="str">
        <f t="shared" si="50"/>
        <v/>
      </c>
    </row>
    <row r="1727" hidden="1">
      <c r="A1727" s="6">
        <v>1.0</v>
      </c>
      <c r="B1727" s="6" t="s">
        <v>181</v>
      </c>
      <c r="C1727" s="6" t="s">
        <v>1116</v>
      </c>
      <c r="D1727" s="127" t="s">
        <v>8446</v>
      </c>
      <c r="H1727" s="473" t="s">
        <v>9384</v>
      </c>
      <c r="I1727" s="474"/>
      <c r="J1727" s="508" t="s">
        <v>9385</v>
      </c>
      <c r="K1727" s="275" t="str">
        <f>IFNA(VLOOKUP(D1727,'EAN Codes'!A:C,2,False),"")</f>
        <v/>
      </c>
      <c r="L1727" s="82"/>
      <c r="M1727" s="496" t="b">
        <v>0</v>
      </c>
      <c r="N1727" s="477" t="b">
        <v>0</v>
      </c>
      <c r="O1727" s="497" t="b">
        <v>0</v>
      </c>
      <c r="P1727" s="477" t="b">
        <v>0</v>
      </c>
      <c r="Q1727" s="477" t="b">
        <v>0</v>
      </c>
      <c r="R1727" s="539"/>
      <c r="S1727" s="540"/>
      <c r="T1727" s="480" t="s">
        <v>9386</v>
      </c>
      <c r="U1727" s="481" t="b">
        <v>1</v>
      </c>
      <c r="Z1727" t="b">
        <v>0</v>
      </c>
      <c r="AA1727" t="b">
        <v>0</v>
      </c>
    </row>
    <row r="1728">
      <c r="B1728" s="99"/>
      <c r="C1728" s="99"/>
      <c r="D1728" s="100"/>
      <c r="E1728" s="101"/>
      <c r="H1728" s="473"/>
      <c r="I1728" s="473"/>
      <c r="J1728" s="508"/>
      <c r="K1728" s="275" t="str">
        <f>IFNA(VLOOKUP(D1728,'EAN Codes'!A:C,2,False),"")</f>
        <v/>
      </c>
      <c r="L1728" s="82"/>
      <c r="M1728" s="496" t="b">
        <v>0</v>
      </c>
      <c r="N1728" s="477" t="b">
        <v>0</v>
      </c>
      <c r="O1728" s="497" t="b">
        <v>0</v>
      </c>
      <c r="P1728" s="477" t="b">
        <v>0</v>
      </c>
      <c r="Q1728" s="477" t="b">
        <v>0</v>
      </c>
      <c r="R1728" s="539"/>
      <c r="S1728" s="540"/>
      <c r="T1728" s="543"/>
      <c r="U1728" s="514" t="b">
        <v>0</v>
      </c>
      <c r="Z1728" t="b">
        <v>0</v>
      </c>
      <c r="AA1728" s="6" t="b">
        <v>0</v>
      </c>
      <c r="AC1728" s="82" t="str">
        <f>IFERROR(__xludf.DUMMYFUNCTION("IFS(C1728=""ECS"",Vlookup(D1728,IMPORTRANGE(""https://docs.google.com/spreadsheets/d/1CONXwApUCNE4s-NquayczLLZJS3lBxtkAQwk9d9t2gA/edit"",""'Prislista 2024'!I:M""),5,false)*$AC$1)*A1728"),"#N/A")</f>
        <v>#N/A</v>
      </c>
      <c r="AD1728" t="str">
        <f t="shared" ref="AD1728:AD1729" si="51">IFNA(IFS(U1728=False,D1728),"")</f>
        <v/>
      </c>
      <c r="AE1728" t="str">
        <f t="shared" ref="AE1728:AE1729" si="52">IFNA(IFS(U1728=false,H1728),"")</f>
        <v/>
      </c>
    </row>
    <row r="1729">
      <c r="D1729" s="127"/>
      <c r="H1729" s="473"/>
      <c r="I1729" s="474"/>
      <c r="J1729" s="508"/>
      <c r="K1729" s="275" t="str">
        <f>IFNA(VLOOKUP(D1729,'EAN Codes'!A:C,2,False),"")</f>
        <v/>
      </c>
      <c r="L1729" s="82"/>
      <c r="M1729" s="496" t="b">
        <v>0</v>
      </c>
      <c r="N1729" s="477" t="b">
        <v>0</v>
      </c>
      <c r="O1729" s="497" t="b">
        <v>0</v>
      </c>
      <c r="P1729" s="477" t="b">
        <v>0</v>
      </c>
      <c r="Q1729" s="477" t="b">
        <v>0</v>
      </c>
      <c r="R1729" s="539"/>
      <c r="S1729" s="540"/>
      <c r="T1729" s="543"/>
      <c r="U1729" s="514" t="b">
        <v>0</v>
      </c>
      <c r="Z1729" t="b">
        <v>0</v>
      </c>
      <c r="AA1729" s="6" t="b">
        <v>0</v>
      </c>
      <c r="AC1729" s="35">
        <f>2.9*AC1</f>
        <v>33.64</v>
      </c>
      <c r="AD1729" t="str">
        <f t="shared" si="51"/>
        <v/>
      </c>
      <c r="AE1729" t="str">
        <f t="shared" si="52"/>
        <v/>
      </c>
    </row>
    <row r="1730" hidden="1">
      <c r="A1730" s="6">
        <v>1.0</v>
      </c>
      <c r="B1730" s="99" t="s">
        <v>241</v>
      </c>
      <c r="C1730" s="99" t="s">
        <v>4382</v>
      </c>
      <c r="D1730" s="100" t="s">
        <v>9387</v>
      </c>
      <c r="E1730" s="101"/>
      <c r="F1730" s="99" t="s">
        <v>9388</v>
      </c>
      <c r="G1730" s="101"/>
      <c r="H1730" s="487" t="s">
        <v>255</v>
      </c>
      <c r="I1730" s="487" t="s">
        <v>9389</v>
      </c>
      <c r="J1730" s="581" t="s">
        <v>9390</v>
      </c>
      <c r="K1730" s="275" t="str">
        <f>IFNA(VLOOKUP(D1730,'EAN Codes'!A:C,2,False),"")</f>
        <v/>
      </c>
      <c r="L1730" s="82"/>
      <c r="M1730" s="496" t="b">
        <v>0</v>
      </c>
      <c r="N1730" s="477" t="b">
        <v>0</v>
      </c>
      <c r="O1730" s="497" t="b">
        <v>0</v>
      </c>
      <c r="P1730" s="477" t="b">
        <v>0</v>
      </c>
      <c r="Q1730" s="497" t="b">
        <v>1</v>
      </c>
      <c r="R1730" s="539"/>
      <c r="S1730" s="540"/>
      <c r="T1730" s="480" t="s">
        <v>9391</v>
      </c>
      <c r="U1730" s="481" t="b">
        <v>1</v>
      </c>
      <c r="Z1730" t="b">
        <v>0</v>
      </c>
      <c r="AA1730" t="b">
        <v>0</v>
      </c>
    </row>
    <row r="1731">
      <c r="B1731" s="99"/>
      <c r="C1731" s="99"/>
      <c r="D1731" s="100"/>
      <c r="E1731" s="101"/>
      <c r="F1731" s="101"/>
      <c r="G1731" s="101"/>
      <c r="H1731" s="487"/>
      <c r="I1731" s="473"/>
      <c r="J1731" s="508"/>
      <c r="K1731" s="275" t="str">
        <f>IFNA(VLOOKUP(D1731,'EAN Codes'!A:C,2,False),"")</f>
        <v/>
      </c>
      <c r="L1731" s="82"/>
      <c r="M1731" s="496" t="b">
        <v>0</v>
      </c>
      <c r="N1731" s="477" t="b">
        <v>0</v>
      </c>
      <c r="O1731" s="497" t="b">
        <v>0</v>
      </c>
      <c r="P1731" s="477" t="b">
        <v>0</v>
      </c>
      <c r="Q1731" s="477" t="b">
        <v>0</v>
      </c>
      <c r="R1731" s="539"/>
      <c r="S1731" s="540"/>
      <c r="T1731" s="543"/>
      <c r="U1731" s="514" t="b">
        <v>0</v>
      </c>
      <c r="Z1731" t="b">
        <v>0</v>
      </c>
      <c r="AA1731" s="106" t="b">
        <v>0</v>
      </c>
      <c r="AC1731" s="82" t="str">
        <f>IFERROR(__xludf.DUMMYFUNCTION("IFS(C1731=""ECS"",Vlookup(D1731,IMPORTRANGE(""https://docs.google.com/spreadsheets/d/1CONXwApUCNE4s-NquayczLLZJS3lBxtkAQwk9d9t2gA/edit"",""'Prislista 2024'!I:M""),5,false)*$AC$1)*A1731"),"#N/A")</f>
        <v>#N/A</v>
      </c>
      <c r="AD1731" t="str">
        <f>IFNA(IFS(U1731=False,D1731),"")</f>
        <v/>
      </c>
      <c r="AE1731" t="str">
        <f>IFNA(IFS(U1731=false,H1731),"")</f>
        <v/>
      </c>
    </row>
    <row r="1732" hidden="1">
      <c r="A1732" s="99">
        <v>1.0</v>
      </c>
      <c r="B1732" s="99" t="s">
        <v>181</v>
      </c>
      <c r="C1732" s="99" t="s">
        <v>1116</v>
      </c>
      <c r="D1732" s="100" t="s">
        <v>9011</v>
      </c>
      <c r="E1732" s="101"/>
      <c r="F1732" s="101"/>
      <c r="G1732" s="101"/>
      <c r="H1732" s="487" t="s">
        <v>135</v>
      </c>
      <c r="I1732" s="488"/>
      <c r="J1732" s="542"/>
      <c r="K1732" s="90" t="str">
        <f>IFNA(VLOOKUP(D1732,'EAN Codes'!A:C,2,False),"")</f>
        <v>8717323065013</v>
      </c>
      <c r="L1732" s="101"/>
      <c r="M1732" s="657" t="b">
        <v>0</v>
      </c>
      <c r="N1732" s="576" t="b">
        <v>0</v>
      </c>
      <c r="O1732" s="577" t="b">
        <v>0</v>
      </c>
      <c r="P1732" s="576" t="b">
        <v>0</v>
      </c>
      <c r="Q1732" s="576" t="b">
        <v>0</v>
      </c>
      <c r="R1732" s="544"/>
      <c r="S1732" s="545"/>
      <c r="T1732" s="480" t="s">
        <v>9391</v>
      </c>
      <c r="U1732" s="579" t="b">
        <v>1</v>
      </c>
      <c r="V1732" s="101"/>
      <c r="W1732" s="101"/>
      <c r="X1732" s="101"/>
      <c r="Y1732" s="101"/>
      <c r="Z1732" s="101" t="b">
        <v>0</v>
      </c>
      <c r="AA1732" t="b">
        <v>0</v>
      </c>
      <c r="AB1732" s="101"/>
      <c r="AC1732" s="101"/>
      <c r="AD1732" s="101"/>
      <c r="AE1732" s="101"/>
    </row>
    <row r="1733" hidden="1">
      <c r="A1733" s="6">
        <v>1.0</v>
      </c>
      <c r="B1733" s="6" t="s">
        <v>181</v>
      </c>
      <c r="C1733" s="6" t="s">
        <v>1116</v>
      </c>
      <c r="D1733" s="127" t="s">
        <v>9011</v>
      </c>
      <c r="H1733" s="473" t="s">
        <v>135</v>
      </c>
      <c r="I1733" s="474"/>
      <c r="J1733" s="475"/>
      <c r="K1733" s="275" t="str">
        <f>IFNA(VLOOKUP(D1733,'EAN Codes'!A:C,2,False),"")</f>
        <v>8717323065013</v>
      </c>
      <c r="L1733" s="82"/>
      <c r="M1733" s="496" t="b">
        <v>0</v>
      </c>
      <c r="N1733" s="477" t="b">
        <v>0</v>
      </c>
      <c r="O1733" s="497" t="b">
        <v>0</v>
      </c>
      <c r="P1733" s="477" t="b">
        <v>0</v>
      </c>
      <c r="Q1733" s="477" t="b">
        <v>0</v>
      </c>
      <c r="R1733" s="539"/>
      <c r="S1733" s="540"/>
      <c r="T1733" s="480" t="s">
        <v>9392</v>
      </c>
      <c r="U1733" s="481" t="b">
        <v>1</v>
      </c>
      <c r="Z1733" t="b">
        <v>0</v>
      </c>
      <c r="AA1733" t="b">
        <v>0</v>
      </c>
    </row>
    <row r="1734" hidden="1">
      <c r="A1734" s="6">
        <v>1.0</v>
      </c>
      <c r="B1734" s="6" t="s">
        <v>181</v>
      </c>
      <c r="C1734" s="6" t="s">
        <v>1116</v>
      </c>
      <c r="D1734" s="127" t="s">
        <v>9011</v>
      </c>
      <c r="H1734" s="473" t="s">
        <v>135</v>
      </c>
      <c r="I1734" s="474"/>
      <c r="J1734" s="475"/>
      <c r="K1734" s="275" t="str">
        <f>IFNA(VLOOKUP(D1734,'EAN Codes'!A:C,2,False),"")</f>
        <v>8717323065013</v>
      </c>
      <c r="L1734" s="82"/>
      <c r="M1734" s="496" t="b">
        <v>0</v>
      </c>
      <c r="N1734" s="477" t="b">
        <v>0</v>
      </c>
      <c r="O1734" s="497" t="b">
        <v>0</v>
      </c>
      <c r="P1734" s="477" t="b">
        <v>0</v>
      </c>
      <c r="Q1734" s="477" t="b">
        <v>0</v>
      </c>
      <c r="R1734" s="539"/>
      <c r="S1734" s="540"/>
      <c r="T1734" s="480" t="s">
        <v>9393</v>
      </c>
      <c r="U1734" s="481" t="b">
        <v>1</v>
      </c>
      <c r="Z1734" t="b">
        <v>0</v>
      </c>
      <c r="AA1734" t="b">
        <v>0</v>
      </c>
    </row>
    <row r="1735" hidden="1">
      <c r="A1735" s="6">
        <v>1.0</v>
      </c>
      <c r="B1735" s="6" t="s">
        <v>181</v>
      </c>
      <c r="C1735" s="6" t="s">
        <v>1116</v>
      </c>
      <c r="D1735" s="127" t="s">
        <v>9011</v>
      </c>
      <c r="H1735" s="473" t="s">
        <v>135</v>
      </c>
      <c r="I1735" s="474"/>
      <c r="J1735" s="475"/>
      <c r="K1735" s="275" t="str">
        <f>IFNA(VLOOKUP(D1735,'EAN Codes'!A:C,2,False),"")</f>
        <v>8717323065013</v>
      </c>
      <c r="L1735" s="82"/>
      <c r="M1735" s="496" t="b">
        <v>0</v>
      </c>
      <c r="N1735" s="477" t="b">
        <v>0</v>
      </c>
      <c r="O1735" s="497" t="b">
        <v>0</v>
      </c>
      <c r="P1735" s="477" t="b">
        <v>0</v>
      </c>
      <c r="Q1735" s="477" t="b">
        <v>0</v>
      </c>
      <c r="R1735" s="539"/>
      <c r="S1735" s="540"/>
      <c r="T1735" s="480" t="s">
        <v>9394</v>
      </c>
      <c r="U1735" s="481" t="b">
        <v>1</v>
      </c>
      <c r="Z1735" t="b">
        <v>0</v>
      </c>
      <c r="AA1735" t="b">
        <v>0</v>
      </c>
    </row>
    <row r="1736" hidden="1">
      <c r="A1736" s="6">
        <v>1.0</v>
      </c>
      <c r="B1736" s="6" t="s">
        <v>181</v>
      </c>
      <c r="C1736" s="6" t="s">
        <v>1116</v>
      </c>
      <c r="D1736" s="127" t="s">
        <v>9011</v>
      </c>
      <c r="H1736" s="473" t="s">
        <v>135</v>
      </c>
      <c r="I1736" s="474"/>
      <c r="J1736" s="475"/>
      <c r="K1736" s="275" t="str">
        <f>IFNA(VLOOKUP(D1736,'EAN Codes'!A:C,2,False),"")</f>
        <v>8717323065013</v>
      </c>
      <c r="L1736" s="82"/>
      <c r="M1736" s="496" t="b">
        <v>0</v>
      </c>
      <c r="N1736" s="477" t="b">
        <v>0</v>
      </c>
      <c r="O1736" s="497" t="b">
        <v>0</v>
      </c>
      <c r="P1736" s="477" t="b">
        <v>0</v>
      </c>
      <c r="Q1736" s="477" t="b">
        <v>0</v>
      </c>
      <c r="R1736" s="539"/>
      <c r="S1736" s="540"/>
      <c r="T1736" s="480" t="s">
        <v>9395</v>
      </c>
      <c r="U1736" s="481" t="b">
        <v>1</v>
      </c>
      <c r="Z1736" t="b">
        <v>0</v>
      </c>
      <c r="AA1736" t="b">
        <v>0</v>
      </c>
    </row>
    <row r="1737" hidden="1">
      <c r="A1737" s="6">
        <v>1.0</v>
      </c>
      <c r="B1737" s="6" t="s">
        <v>181</v>
      </c>
      <c r="C1737" s="6" t="s">
        <v>1116</v>
      </c>
      <c r="D1737" s="127" t="s">
        <v>9011</v>
      </c>
      <c r="H1737" s="473" t="s">
        <v>135</v>
      </c>
      <c r="I1737" s="474"/>
      <c r="J1737" s="475"/>
      <c r="K1737" s="275" t="str">
        <f>IFNA(VLOOKUP(D1737,'EAN Codes'!A:C,2,False),"")</f>
        <v>8717323065013</v>
      </c>
      <c r="L1737" s="82"/>
      <c r="M1737" s="496" t="b">
        <v>0</v>
      </c>
      <c r="N1737" s="477" t="b">
        <v>0</v>
      </c>
      <c r="O1737" s="497" t="b">
        <v>0</v>
      </c>
      <c r="P1737" s="477" t="b">
        <v>0</v>
      </c>
      <c r="Q1737" s="477" t="b">
        <v>0</v>
      </c>
      <c r="R1737" s="539"/>
      <c r="S1737" s="540"/>
      <c r="T1737" s="480" t="s">
        <v>9396</v>
      </c>
      <c r="U1737" s="481" t="b">
        <v>1</v>
      </c>
      <c r="Z1737" t="b">
        <v>0</v>
      </c>
      <c r="AA1737" t="b">
        <v>0</v>
      </c>
      <c r="AC1737" s="82">
        <f>IFERROR(__xludf.DUMMYFUNCTION("IFS(C1737=""ECS"",Vlookup(D1737,IMPORTRANGE(""https://docs.google.com/spreadsheets/d/1CONXwApUCNE4s-NquayczLLZJS3lBxtkAQwk9d9t2gA/edit"",""'Prislista 2024'!I:M""),5,false)*$AC$1)*A1737"),909.44)</f>
        <v>909.44</v>
      </c>
      <c r="AD1737" t="str">
        <f t="shared" ref="AD1737:AD1742" si="53">IFNA(IFS(U1737=False,D1737),"")</f>
        <v/>
      </c>
      <c r="AE1737" t="str">
        <f t="shared" ref="AE1737:AE1742" si="54">IFNA(IFS(U1737=false,H1737),"")</f>
        <v/>
      </c>
    </row>
    <row r="1738" hidden="1">
      <c r="A1738" s="6">
        <v>1.0</v>
      </c>
      <c r="B1738" s="6" t="s">
        <v>181</v>
      </c>
      <c r="C1738" s="6" t="s">
        <v>1116</v>
      </c>
      <c r="D1738" s="127" t="s">
        <v>9011</v>
      </c>
      <c r="H1738" s="473" t="s">
        <v>135</v>
      </c>
      <c r="I1738" s="474"/>
      <c r="J1738" s="475"/>
      <c r="K1738" s="275" t="str">
        <f>IFNA(VLOOKUP(D1738,'EAN Codes'!A:C,2,False),"")</f>
        <v>8717323065013</v>
      </c>
      <c r="L1738" s="82"/>
      <c r="M1738" s="496" t="b">
        <v>0</v>
      </c>
      <c r="N1738" s="477" t="b">
        <v>0</v>
      </c>
      <c r="O1738" s="497" t="b">
        <v>0</v>
      </c>
      <c r="P1738" s="477" t="b">
        <v>0</v>
      </c>
      <c r="Q1738" s="477" t="b">
        <v>0</v>
      </c>
      <c r="R1738" s="539"/>
      <c r="S1738" s="540"/>
      <c r="T1738" s="480" t="s">
        <v>9397</v>
      </c>
      <c r="U1738" s="481" t="b">
        <v>1</v>
      </c>
      <c r="Z1738" t="b">
        <v>0</v>
      </c>
      <c r="AA1738" s="6" t="b">
        <v>0</v>
      </c>
      <c r="AC1738" s="82">
        <f>IFERROR(__xludf.DUMMYFUNCTION("IFS(C1738=""ECS"",Vlookup(D1738,IMPORTRANGE(""https://docs.google.com/spreadsheets/d/1CONXwApUCNE4s-NquayczLLZJS3lBxtkAQwk9d9t2gA/edit"",""'Prislista 2024'!I:M""),5,false)*$AC$1)*A1738"),909.44)</f>
        <v>909.44</v>
      </c>
      <c r="AD1738" t="str">
        <f t="shared" si="53"/>
        <v/>
      </c>
      <c r="AE1738" t="str">
        <f t="shared" si="54"/>
        <v/>
      </c>
    </row>
    <row r="1739" hidden="1">
      <c r="A1739" s="6">
        <v>1.0</v>
      </c>
      <c r="B1739" s="6" t="s">
        <v>181</v>
      </c>
      <c r="C1739" s="6" t="s">
        <v>1116</v>
      </c>
      <c r="D1739" s="127" t="s">
        <v>9011</v>
      </c>
      <c r="H1739" s="473" t="s">
        <v>135</v>
      </c>
      <c r="I1739" s="474"/>
      <c r="J1739" s="475"/>
      <c r="K1739" s="275" t="str">
        <f>IFNA(VLOOKUP(D1739,'EAN Codes'!A:C,2,False),"")</f>
        <v>8717323065013</v>
      </c>
      <c r="L1739" s="82"/>
      <c r="M1739" s="496" t="b">
        <v>0</v>
      </c>
      <c r="N1739" s="477" t="b">
        <v>0</v>
      </c>
      <c r="O1739" s="497" t="b">
        <v>0</v>
      </c>
      <c r="P1739" s="477" t="b">
        <v>0</v>
      </c>
      <c r="Q1739" s="477" t="b">
        <v>0</v>
      </c>
      <c r="R1739" s="539"/>
      <c r="S1739" s="540"/>
      <c r="T1739" s="480">
        <v>373527.0</v>
      </c>
      <c r="U1739" s="481" t="b">
        <v>1</v>
      </c>
      <c r="Z1739" t="b">
        <v>0</v>
      </c>
      <c r="AA1739" s="6" t="b">
        <v>0</v>
      </c>
      <c r="AC1739" s="82">
        <f>IFERROR(__xludf.DUMMYFUNCTION("IFS(C1739=""ECS"",Vlookup(D1739,IMPORTRANGE(""https://docs.google.com/spreadsheets/d/1CONXwApUCNE4s-NquayczLLZJS3lBxtkAQwk9d9t2gA/edit"",""'Prislista 2024'!I:M""),5,false)*$AC$1)*A1739"),909.44)</f>
        <v>909.44</v>
      </c>
      <c r="AD1739" t="str">
        <f t="shared" si="53"/>
        <v/>
      </c>
      <c r="AE1739" t="str">
        <f t="shared" si="54"/>
        <v/>
      </c>
    </row>
    <row r="1740" hidden="1">
      <c r="A1740" s="6">
        <v>1.0</v>
      </c>
      <c r="B1740" s="6" t="s">
        <v>181</v>
      </c>
      <c r="C1740" s="6" t="s">
        <v>1116</v>
      </c>
      <c r="D1740" s="127" t="s">
        <v>9011</v>
      </c>
      <c r="H1740" s="473" t="s">
        <v>135</v>
      </c>
      <c r="I1740" s="474"/>
      <c r="J1740" s="475"/>
      <c r="K1740" s="275" t="str">
        <f>IFNA(VLOOKUP(D1740,'EAN Codes'!A:C,2,False),"")</f>
        <v>8717323065013</v>
      </c>
      <c r="L1740" s="82"/>
      <c r="M1740" s="496" t="b">
        <v>0</v>
      </c>
      <c r="N1740" s="477" t="b">
        <v>0</v>
      </c>
      <c r="O1740" s="497" t="b">
        <v>0</v>
      </c>
      <c r="P1740" s="477" t="b">
        <v>0</v>
      </c>
      <c r="Q1740" s="477" t="b">
        <v>0</v>
      </c>
      <c r="R1740" s="539"/>
      <c r="S1740" s="540"/>
      <c r="T1740" s="480" t="s">
        <v>9398</v>
      </c>
      <c r="U1740" s="481" t="b">
        <v>1</v>
      </c>
      <c r="Z1740" t="b">
        <v>0</v>
      </c>
      <c r="AA1740" s="6" t="b">
        <v>0</v>
      </c>
      <c r="AC1740" s="82">
        <f>IFERROR(__xludf.DUMMYFUNCTION("IFS(C1740=""ECS"",Vlookup(D1740,IMPORTRANGE(""https://docs.google.com/spreadsheets/d/1CONXwApUCNE4s-NquayczLLZJS3lBxtkAQwk9d9t2gA/edit"",""'Prislista 2024'!I:M""),5,false)*$AC$1)*A1740"),909.44)</f>
        <v>909.44</v>
      </c>
      <c r="AD1740" t="str">
        <f t="shared" si="53"/>
        <v/>
      </c>
      <c r="AE1740" t="str">
        <f t="shared" si="54"/>
        <v/>
      </c>
    </row>
    <row r="1741" hidden="1">
      <c r="A1741" s="6">
        <v>1.0</v>
      </c>
      <c r="B1741" s="6" t="s">
        <v>181</v>
      </c>
      <c r="C1741" s="6" t="s">
        <v>1116</v>
      </c>
      <c r="D1741" s="127" t="s">
        <v>9011</v>
      </c>
      <c r="H1741" s="473" t="s">
        <v>135</v>
      </c>
      <c r="I1741" s="474"/>
      <c r="J1741" s="475"/>
      <c r="K1741" s="275" t="str">
        <f>IFNA(VLOOKUP(D1741,'EAN Codes'!A:C,2,False),"")</f>
        <v>8717323065013</v>
      </c>
      <c r="L1741" s="82"/>
      <c r="M1741" s="496" t="b">
        <v>0</v>
      </c>
      <c r="N1741" s="477" t="b">
        <v>0</v>
      </c>
      <c r="O1741" s="497" t="b">
        <v>0</v>
      </c>
      <c r="P1741" s="477" t="b">
        <v>0</v>
      </c>
      <c r="Q1741" s="477" t="b">
        <v>0</v>
      </c>
      <c r="R1741" s="539"/>
      <c r="S1741" s="540"/>
      <c r="T1741" s="480" t="s">
        <v>9399</v>
      </c>
      <c r="U1741" s="481" t="b">
        <v>1</v>
      </c>
      <c r="Z1741" t="b">
        <v>0</v>
      </c>
      <c r="AA1741" s="6" t="b">
        <v>0</v>
      </c>
      <c r="AC1741" s="82">
        <f>IFERROR(__xludf.DUMMYFUNCTION("IFS(C1741=""ECS"",Vlookup(D1741,IMPORTRANGE(""https://docs.google.com/spreadsheets/d/1CONXwApUCNE4s-NquayczLLZJS3lBxtkAQwk9d9t2gA/edit"",""'Prislista 2024'!I:M""),5,false)*$AC$1)*A1741"),909.44)</f>
        <v>909.44</v>
      </c>
      <c r="AD1741" t="str">
        <f t="shared" si="53"/>
        <v/>
      </c>
      <c r="AE1741" t="str">
        <f t="shared" si="54"/>
        <v/>
      </c>
    </row>
    <row r="1742">
      <c r="B1742" s="99"/>
      <c r="C1742" s="99"/>
      <c r="D1742" s="100"/>
      <c r="E1742" s="101"/>
      <c r="F1742" s="101"/>
      <c r="H1742" s="473"/>
      <c r="I1742" s="473"/>
      <c r="J1742" s="508"/>
      <c r="K1742" s="275" t="str">
        <f>IFNA(VLOOKUP(D1742,'EAN Codes'!A:C,2,False),"")</f>
        <v/>
      </c>
      <c r="L1742" s="82"/>
      <c r="M1742" s="496" t="b">
        <v>0</v>
      </c>
      <c r="N1742" s="477" t="b">
        <v>0</v>
      </c>
      <c r="O1742" s="497" t="b">
        <v>0</v>
      </c>
      <c r="P1742" s="477" t="b">
        <v>0</v>
      </c>
      <c r="Q1742" s="477" t="b">
        <v>0</v>
      </c>
      <c r="R1742" s="539"/>
      <c r="S1742" s="540"/>
      <c r="T1742" s="480"/>
      <c r="U1742" s="481" t="b">
        <v>0</v>
      </c>
      <c r="Z1742" t="b">
        <v>0</v>
      </c>
      <c r="AA1742" s="6" t="b">
        <v>0</v>
      </c>
      <c r="AC1742" s="82"/>
      <c r="AD1742" t="str">
        <f t="shared" si="53"/>
        <v/>
      </c>
      <c r="AE1742" t="str">
        <f t="shared" si="54"/>
        <v/>
      </c>
    </row>
    <row r="1743" hidden="1">
      <c r="A1743" s="99">
        <v>1.0</v>
      </c>
      <c r="B1743" s="99" t="s">
        <v>241</v>
      </c>
      <c r="C1743" s="99" t="s">
        <v>4382</v>
      </c>
      <c r="D1743" s="100" t="s">
        <v>9400</v>
      </c>
      <c r="E1743" s="101"/>
      <c r="F1743" s="99" t="s">
        <v>9401</v>
      </c>
      <c r="G1743" s="99" t="s">
        <v>9402</v>
      </c>
      <c r="H1743" s="487" t="s">
        <v>9384</v>
      </c>
      <c r="I1743" s="487" t="s">
        <v>9403</v>
      </c>
      <c r="J1743" s="581" t="s">
        <v>9404</v>
      </c>
      <c r="K1743" s="90" t="str">
        <f>IFNA(VLOOKUP(D1743,'EAN Codes'!A:C,2,False),"")</f>
        <v/>
      </c>
      <c r="L1743" s="101"/>
      <c r="M1743" s="657" t="b">
        <v>0</v>
      </c>
      <c r="N1743" s="576" t="b">
        <v>0</v>
      </c>
      <c r="O1743" s="577" t="b">
        <v>0</v>
      </c>
      <c r="P1743" s="577" t="b">
        <v>1</v>
      </c>
      <c r="Q1743" s="576" t="b">
        <v>0</v>
      </c>
      <c r="R1743" s="503" t="s">
        <v>9405</v>
      </c>
      <c r="S1743" s="545"/>
      <c r="T1743" s="578"/>
      <c r="U1743" s="579" t="b">
        <v>1</v>
      </c>
      <c r="V1743" s="101"/>
      <c r="W1743" s="101"/>
      <c r="X1743" s="101"/>
      <c r="Y1743" s="101"/>
      <c r="Z1743" s="101" t="b">
        <v>0</v>
      </c>
      <c r="AA1743" t="b">
        <v>0</v>
      </c>
      <c r="AB1743" s="101"/>
      <c r="AC1743" s="101"/>
      <c r="AD1743" s="101"/>
      <c r="AE1743" s="101"/>
    </row>
    <row r="1744">
      <c r="D1744" s="127"/>
      <c r="H1744" s="473"/>
      <c r="I1744" s="473"/>
      <c r="J1744" s="508"/>
      <c r="K1744" s="275"/>
      <c r="L1744" s="82"/>
      <c r="M1744" s="496" t="b">
        <v>0</v>
      </c>
      <c r="N1744" s="477" t="b">
        <v>0</v>
      </c>
      <c r="O1744" s="497" t="b">
        <v>0</v>
      </c>
      <c r="P1744" s="477" t="b">
        <v>0</v>
      </c>
      <c r="Q1744" s="477" t="b">
        <v>0</v>
      </c>
      <c r="R1744" s="539"/>
      <c r="S1744" s="540"/>
      <c r="T1744" s="543"/>
      <c r="U1744" s="514" t="b">
        <v>0</v>
      </c>
      <c r="Z1744" t="b">
        <v>0</v>
      </c>
      <c r="AA1744" s="6" t="b">
        <v>0</v>
      </c>
      <c r="AC1744" s="82"/>
      <c r="AD1744" t="str">
        <f>IFNA(IFS(U1744=False,D1744),"")</f>
        <v/>
      </c>
      <c r="AE1744" t="str">
        <f>IFNA(IFS(U1744=false,H1744),"")</f>
        <v/>
      </c>
    </row>
    <row r="1745" hidden="1">
      <c r="A1745" s="6">
        <v>1.0</v>
      </c>
      <c r="B1745" s="99" t="s">
        <v>241</v>
      </c>
      <c r="C1745" s="99" t="s">
        <v>342</v>
      </c>
      <c r="D1745" s="100" t="s">
        <v>3241</v>
      </c>
      <c r="E1745" s="101"/>
      <c r="F1745" s="99" t="s">
        <v>6961</v>
      </c>
      <c r="G1745" s="101"/>
      <c r="H1745" s="473" t="s">
        <v>132</v>
      </c>
      <c r="I1745" s="473" t="s">
        <v>9406</v>
      </c>
      <c r="J1745" s="475"/>
      <c r="K1745" s="275" t="str">
        <f>IFNA(VLOOKUP(D1745,'EAN Codes'!A:C,2,False),"")</f>
        <v>5907615805288</v>
      </c>
      <c r="L1745" s="82"/>
      <c r="M1745" s="496" t="b">
        <v>0</v>
      </c>
      <c r="N1745" s="497" t="b">
        <v>1</v>
      </c>
      <c r="O1745" s="497" t="b">
        <v>0</v>
      </c>
      <c r="P1745" s="477" t="b">
        <v>0</v>
      </c>
      <c r="Q1745" s="477" t="b">
        <v>0</v>
      </c>
      <c r="R1745" s="478">
        <v>8.921178045E9</v>
      </c>
      <c r="S1745" s="479" t="s">
        <v>9407</v>
      </c>
      <c r="T1745" s="543"/>
      <c r="U1745" s="481" t="b">
        <v>1</v>
      </c>
      <c r="Z1745" t="b">
        <v>0</v>
      </c>
      <c r="AA1745" t="b">
        <v>0</v>
      </c>
    </row>
    <row r="1746" hidden="1">
      <c r="A1746" s="6">
        <v>1.0</v>
      </c>
      <c r="B1746" s="6" t="s">
        <v>241</v>
      </c>
      <c r="C1746" s="6" t="s">
        <v>1813</v>
      </c>
      <c r="D1746" s="127" t="s">
        <v>9408</v>
      </c>
      <c r="F1746" s="6" t="s">
        <v>9409</v>
      </c>
      <c r="G1746" s="6" t="s">
        <v>3452</v>
      </c>
      <c r="H1746" s="473" t="s">
        <v>135</v>
      </c>
      <c r="I1746" s="473" t="s">
        <v>9410</v>
      </c>
      <c r="J1746" s="508" t="s">
        <v>9411</v>
      </c>
      <c r="K1746" s="275" t="str">
        <f>IFNA(VLOOKUP(D1746,'EAN Codes'!A:C,2,False),"")</f>
        <v/>
      </c>
      <c r="L1746" s="82"/>
      <c r="M1746" s="496" t="b">
        <v>0</v>
      </c>
      <c r="N1746" s="477" t="b">
        <v>0</v>
      </c>
      <c r="O1746" s="497" t="b">
        <v>0</v>
      </c>
      <c r="P1746" s="477" t="b">
        <v>0</v>
      </c>
      <c r="Q1746" s="477" t="b">
        <v>0</v>
      </c>
      <c r="R1746" s="539"/>
      <c r="S1746" s="540"/>
      <c r="T1746" s="480" t="s">
        <v>9412</v>
      </c>
      <c r="U1746" s="481" t="b">
        <v>1</v>
      </c>
      <c r="Z1746" t="b">
        <v>0</v>
      </c>
      <c r="AA1746" t="b">
        <v>0</v>
      </c>
    </row>
    <row r="1747">
      <c r="D1747" s="127"/>
      <c r="H1747" s="160"/>
      <c r="I1747" s="473"/>
      <c r="J1747" s="508"/>
      <c r="K1747" s="275"/>
      <c r="L1747" s="82"/>
      <c r="M1747" s="496" t="b">
        <v>0</v>
      </c>
      <c r="N1747" s="477" t="b">
        <v>0</v>
      </c>
      <c r="O1747" s="497" t="b">
        <v>0</v>
      </c>
      <c r="P1747" s="477" t="b">
        <v>0</v>
      </c>
      <c r="Q1747" s="477" t="b">
        <v>0</v>
      </c>
      <c r="R1747" s="539"/>
      <c r="S1747" s="540"/>
      <c r="T1747" s="543"/>
      <c r="U1747" s="514" t="b">
        <v>0</v>
      </c>
      <c r="Z1747" t="b">
        <v>0</v>
      </c>
      <c r="AA1747" s="106" t="b">
        <v>0</v>
      </c>
      <c r="AC1747" s="82"/>
      <c r="AD1747" t="str">
        <f t="shared" ref="AD1747:AD1749" si="55">IFNA(IFS(U1747=False,D1747),"")</f>
        <v/>
      </c>
      <c r="AE1747" t="str">
        <f t="shared" ref="AE1747:AE1749" si="56">IFNA(IFS(U1747=false,H1747),"")</f>
        <v/>
      </c>
    </row>
    <row r="1748">
      <c r="B1748" s="99"/>
      <c r="C1748" s="99"/>
      <c r="D1748" s="100"/>
      <c r="E1748" s="101"/>
      <c r="F1748" s="101"/>
      <c r="G1748" s="101"/>
      <c r="H1748" s="86"/>
      <c r="I1748" s="473"/>
      <c r="J1748" s="508"/>
      <c r="K1748" s="275" t="str">
        <f>IFNA(VLOOKUP(D1748,'EAN Codes'!A:C,2,False),"")</f>
        <v/>
      </c>
      <c r="L1748" s="82"/>
      <c r="M1748" s="496" t="b">
        <v>0</v>
      </c>
      <c r="N1748" s="477" t="b">
        <v>0</v>
      </c>
      <c r="O1748" s="497" t="b">
        <v>0</v>
      </c>
      <c r="P1748" s="477" t="b">
        <v>0</v>
      </c>
      <c r="Q1748" s="477" t="b">
        <v>0</v>
      </c>
      <c r="R1748" s="539"/>
      <c r="S1748" s="540"/>
      <c r="T1748" s="543"/>
      <c r="U1748" s="514" t="b">
        <v>0</v>
      </c>
      <c r="Z1748" t="b">
        <v>0</v>
      </c>
      <c r="AA1748" s="106" t="b">
        <v>0</v>
      </c>
      <c r="AC1748" s="82" t="str">
        <f>IFERROR(__xludf.DUMMYFUNCTION("IFS(C1748=""ECS"",Vlookup(D1748,IMPORTRANGE(""https://docs.google.com/spreadsheets/d/1CONXwApUCNE4s-NquayczLLZJS3lBxtkAQwk9d9t2gA/edit"",""'Prislista 2024'!I:M""),5,false)*$AC$1)*A1748"),"#N/A")</f>
        <v>#N/A</v>
      </c>
      <c r="AD1748" t="str">
        <f t="shared" si="55"/>
        <v/>
      </c>
      <c r="AE1748" t="str">
        <f t="shared" si="56"/>
        <v/>
      </c>
    </row>
    <row r="1749">
      <c r="B1749" s="99"/>
      <c r="C1749" s="99"/>
      <c r="D1749" s="100"/>
      <c r="E1749" s="101"/>
      <c r="F1749" s="101"/>
      <c r="G1749" s="101"/>
      <c r="H1749" s="86"/>
      <c r="I1749" s="473"/>
      <c r="J1749" s="475"/>
      <c r="K1749" s="275" t="str">
        <f>IFNA(VLOOKUP(D1749,'EAN Codes'!A:C,2,False),"")</f>
        <v/>
      </c>
      <c r="L1749" s="82"/>
      <c r="M1749" s="496" t="b">
        <v>0</v>
      </c>
      <c r="N1749" s="477" t="b">
        <v>0</v>
      </c>
      <c r="O1749" s="497" t="b">
        <v>0</v>
      </c>
      <c r="P1749" s="477" t="b">
        <v>0</v>
      </c>
      <c r="Q1749" s="477" t="b">
        <v>0</v>
      </c>
      <c r="R1749" s="539"/>
      <c r="S1749" s="540"/>
      <c r="T1749" s="543"/>
      <c r="U1749" s="514" t="b">
        <v>0</v>
      </c>
      <c r="Z1749" t="b">
        <v>0</v>
      </c>
      <c r="AA1749" s="6" t="b">
        <v>0</v>
      </c>
      <c r="AC1749" s="35">
        <f>25.7*AC1</f>
        <v>298.12</v>
      </c>
      <c r="AD1749" t="str">
        <f t="shared" si="55"/>
        <v/>
      </c>
      <c r="AE1749" t="str">
        <f t="shared" si="56"/>
        <v/>
      </c>
    </row>
    <row r="1750" hidden="1">
      <c r="A1750" s="6">
        <v>1.0</v>
      </c>
      <c r="B1750" s="6" t="s">
        <v>241</v>
      </c>
      <c r="C1750" s="6" t="s">
        <v>342</v>
      </c>
      <c r="D1750" s="127" t="s">
        <v>2978</v>
      </c>
      <c r="F1750" s="6" t="s">
        <v>9413</v>
      </c>
      <c r="H1750" s="473" t="s">
        <v>255</v>
      </c>
      <c r="I1750" s="473">
        <v>372971.0</v>
      </c>
      <c r="J1750" s="508" t="s">
        <v>8425</v>
      </c>
      <c r="K1750" s="275" t="str">
        <f>IFNA(VLOOKUP(D1750,'EAN Codes'!A:C,2,False),"")</f>
        <v>5907615802676</v>
      </c>
      <c r="L1750" s="82"/>
      <c r="M1750" s="496" t="b">
        <v>0</v>
      </c>
      <c r="N1750" s="477" t="b">
        <v>0</v>
      </c>
      <c r="O1750" s="497" t="b">
        <v>0</v>
      </c>
      <c r="P1750" s="477" t="b">
        <v>0</v>
      </c>
      <c r="Q1750" s="497" t="b">
        <v>1</v>
      </c>
      <c r="R1750" s="478">
        <v>8.925123005E9</v>
      </c>
      <c r="S1750" s="479" t="s">
        <v>8078</v>
      </c>
      <c r="T1750" s="480">
        <v>373375.0</v>
      </c>
      <c r="U1750" s="481" t="b">
        <v>1</v>
      </c>
      <c r="Z1750" t="b">
        <v>0</v>
      </c>
      <c r="AA1750" t="b">
        <v>0</v>
      </c>
    </row>
    <row r="1751">
      <c r="B1751" s="99"/>
      <c r="C1751" s="99"/>
      <c r="D1751" s="100"/>
      <c r="E1751" s="101"/>
      <c r="F1751" s="101"/>
      <c r="G1751" s="101"/>
      <c r="H1751" s="86"/>
      <c r="I1751" s="473"/>
      <c r="J1751" s="508"/>
      <c r="K1751" s="275" t="str">
        <f>IFNA(VLOOKUP(D1751,'EAN Codes'!A:C,2,False),"")</f>
        <v/>
      </c>
      <c r="L1751" s="82"/>
      <c r="M1751" s="496" t="b">
        <v>0</v>
      </c>
      <c r="N1751" s="477" t="b">
        <v>0</v>
      </c>
      <c r="O1751" s="497" t="b">
        <v>0</v>
      </c>
      <c r="P1751" s="477" t="b">
        <v>0</v>
      </c>
      <c r="Q1751" s="477" t="b">
        <v>0</v>
      </c>
      <c r="R1751" s="539"/>
      <c r="S1751" s="540"/>
      <c r="T1751" s="543"/>
      <c r="U1751" s="514" t="b">
        <v>0</v>
      </c>
      <c r="Z1751" t="b">
        <v>0</v>
      </c>
      <c r="AA1751" s="6" t="b">
        <v>0</v>
      </c>
      <c r="AC1751" s="82">
        <f>25.7*AC1</f>
        <v>298.12</v>
      </c>
      <c r="AD1751" t="str">
        <f t="shared" ref="AD1751:AD1754" si="57">IFNA(IFS(U1751=False,D1751),"")</f>
        <v/>
      </c>
      <c r="AE1751" t="str">
        <f t="shared" ref="AE1751:AE1754" si="58">IFNA(IFS(U1751=false,H1751),"")</f>
        <v/>
      </c>
    </row>
    <row r="1752">
      <c r="D1752" s="127"/>
      <c r="H1752" s="160"/>
      <c r="I1752" s="473"/>
      <c r="J1752" s="508"/>
      <c r="K1752" s="275" t="str">
        <f>IFNA(VLOOKUP(D1752,'EAN Codes'!A:C,2,False),"")</f>
        <v/>
      </c>
      <c r="L1752" s="82"/>
      <c r="M1752" s="496" t="b">
        <v>0</v>
      </c>
      <c r="N1752" s="477" t="b">
        <v>0</v>
      </c>
      <c r="O1752" s="497" t="b">
        <v>0</v>
      </c>
      <c r="P1752" s="477" t="b">
        <v>0</v>
      </c>
      <c r="Q1752" s="477" t="b">
        <v>0</v>
      </c>
      <c r="R1752" s="539"/>
      <c r="S1752" s="540"/>
      <c r="T1752" s="543"/>
      <c r="U1752" s="514" t="b">
        <v>0</v>
      </c>
      <c r="Z1752" t="b">
        <v>0</v>
      </c>
      <c r="AA1752" s="6" t="b">
        <v>0</v>
      </c>
      <c r="AC1752" s="82"/>
      <c r="AD1752" t="str">
        <f t="shared" si="57"/>
        <v/>
      </c>
      <c r="AE1752" t="str">
        <f t="shared" si="58"/>
        <v/>
      </c>
    </row>
    <row r="1753">
      <c r="B1753" s="99"/>
      <c r="C1753" s="99"/>
      <c r="D1753" s="100"/>
      <c r="E1753" s="101"/>
      <c r="F1753" s="101"/>
      <c r="G1753" s="101"/>
      <c r="H1753" s="86"/>
      <c r="I1753" s="473"/>
      <c r="J1753" s="508"/>
      <c r="K1753" s="275" t="str">
        <f>IFNA(VLOOKUP(D1753,'EAN Codes'!A:C,2,False),"")</f>
        <v/>
      </c>
      <c r="L1753" s="82"/>
      <c r="M1753" s="496" t="b">
        <v>0</v>
      </c>
      <c r="N1753" s="477" t="b">
        <v>0</v>
      </c>
      <c r="O1753" s="497" t="b">
        <v>0</v>
      </c>
      <c r="P1753" s="477" t="b">
        <v>0</v>
      </c>
      <c r="Q1753" s="477" t="b">
        <v>0</v>
      </c>
      <c r="R1753" s="539"/>
      <c r="S1753" s="540"/>
      <c r="T1753" s="543"/>
      <c r="U1753" s="514" t="b">
        <v>0</v>
      </c>
      <c r="Z1753" t="b">
        <v>0</v>
      </c>
      <c r="AA1753" s="106" t="b">
        <v>0</v>
      </c>
      <c r="AC1753" s="82" t="str">
        <f>IFERROR(__xludf.DUMMYFUNCTION("IFS(C1753=""ECS"",Vlookup(D1753,IMPORTRANGE(""https://docs.google.com/spreadsheets/d/1CONXwApUCNE4s-NquayczLLZJS3lBxtkAQwk9d9t2gA/edit"",""'Prislista 2024'!I:M""),5,false)*$AC$1)*A1753"),"#N/A")</f>
        <v>#N/A</v>
      </c>
      <c r="AD1753" t="str">
        <f t="shared" si="57"/>
        <v/>
      </c>
      <c r="AE1753" t="str">
        <f t="shared" si="58"/>
        <v/>
      </c>
    </row>
    <row r="1754">
      <c r="B1754" s="99"/>
      <c r="C1754" s="99"/>
      <c r="D1754" s="100"/>
      <c r="E1754" s="101"/>
      <c r="F1754" s="99"/>
      <c r="G1754" s="101"/>
      <c r="H1754" s="86"/>
      <c r="I1754" s="473"/>
      <c r="J1754" s="508"/>
      <c r="K1754" s="275" t="str">
        <f>IFNA(VLOOKUP(D1754,'EAN Codes'!A:C,2,False),"")</f>
        <v/>
      </c>
      <c r="L1754" s="82"/>
      <c r="M1754" s="496" t="b">
        <v>0</v>
      </c>
      <c r="N1754" s="477" t="b">
        <v>0</v>
      </c>
      <c r="O1754" s="497" t="b">
        <v>0</v>
      </c>
      <c r="P1754" s="477" t="b">
        <v>0</v>
      </c>
      <c r="Q1754" s="477" t="b">
        <v>0</v>
      </c>
      <c r="R1754" s="478"/>
      <c r="S1754" s="540"/>
      <c r="T1754" s="543"/>
      <c r="U1754" s="514" t="b">
        <v>0</v>
      </c>
      <c r="Z1754" t="b">
        <v>0</v>
      </c>
      <c r="AA1754" s="6" t="b">
        <v>0</v>
      </c>
      <c r="AC1754" s="82" t="str">
        <f>IFERROR(__xludf.DUMMYFUNCTION("IFS(C1754=""ECS"",Vlookup(D1754,IMPORTRANGE(""https://docs.google.com/spreadsheets/d/1CONXwApUCNE4s-NquayczLLZJS3lBxtkAQwk9d9t2gA/edit"",""'Prislista 2024'!I:M""),5,false)*$AC$1)*A1754"),"#N/A")</f>
        <v>#N/A</v>
      </c>
      <c r="AD1754" t="str">
        <f t="shared" si="57"/>
        <v/>
      </c>
      <c r="AE1754" t="str">
        <f t="shared" si="58"/>
        <v/>
      </c>
    </row>
    <row r="1755" hidden="1">
      <c r="A1755" s="6">
        <v>1.0</v>
      </c>
      <c r="B1755" s="99" t="s">
        <v>241</v>
      </c>
      <c r="C1755" s="99" t="s">
        <v>1813</v>
      </c>
      <c r="D1755" s="100" t="s">
        <v>9414</v>
      </c>
      <c r="E1755" s="101"/>
      <c r="F1755" s="99" t="s">
        <v>7134</v>
      </c>
      <c r="G1755" s="101"/>
      <c r="H1755" s="487" t="s">
        <v>9415</v>
      </c>
      <c r="I1755" s="487" t="s">
        <v>9416</v>
      </c>
      <c r="J1755" s="542"/>
      <c r="K1755" s="275" t="str">
        <f>IFNA(VLOOKUP(D1755,'EAN Codes'!A:C,2,False),"")</f>
        <v/>
      </c>
      <c r="L1755" s="82"/>
      <c r="M1755" s="496" t="b">
        <v>0</v>
      </c>
      <c r="N1755" s="497" t="b">
        <v>1</v>
      </c>
      <c r="O1755" s="497" t="b">
        <v>0</v>
      </c>
      <c r="P1755" s="477" t="b">
        <v>0</v>
      </c>
      <c r="Q1755" s="477" t="b">
        <v>0</v>
      </c>
      <c r="R1755" s="539"/>
      <c r="S1755" s="479" t="s">
        <v>269</v>
      </c>
      <c r="T1755" s="543"/>
      <c r="U1755" s="481" t="b">
        <v>1</v>
      </c>
      <c r="Z1755" t="b">
        <v>0</v>
      </c>
      <c r="AA1755" t="b">
        <v>0</v>
      </c>
    </row>
    <row r="1756">
      <c r="D1756" s="127"/>
      <c r="H1756" s="160"/>
      <c r="I1756" s="473"/>
      <c r="J1756" s="508"/>
      <c r="K1756" s="275" t="str">
        <f>IFNA(VLOOKUP(D1756,'EAN Codes'!A:C,2,False),"")</f>
        <v/>
      </c>
      <c r="L1756" s="82"/>
      <c r="M1756" s="496" t="b">
        <v>0</v>
      </c>
      <c r="N1756" s="477" t="b">
        <v>0</v>
      </c>
      <c r="O1756" s="497" t="b">
        <v>0</v>
      </c>
      <c r="P1756" s="477" t="b">
        <v>0</v>
      </c>
      <c r="Q1756" s="477" t="b">
        <v>0</v>
      </c>
      <c r="R1756" s="539"/>
      <c r="S1756" s="540"/>
      <c r="T1756" s="543"/>
      <c r="U1756" s="514" t="b">
        <v>0</v>
      </c>
      <c r="Z1756" t="b">
        <v>0</v>
      </c>
      <c r="AA1756" s="106" t="b">
        <v>0</v>
      </c>
      <c r="AC1756" s="82"/>
      <c r="AD1756" t="str">
        <f t="shared" ref="AD1756:AD1758" si="59">IFNA(IFS(U1756=False,D1756),"")</f>
        <v/>
      </c>
      <c r="AE1756" t="str">
        <f t="shared" ref="AE1756:AE1758" si="60">IFNA(IFS(U1756=false,H1756),"")</f>
        <v/>
      </c>
    </row>
    <row r="1757">
      <c r="B1757" s="86"/>
      <c r="C1757" s="86"/>
      <c r="D1757" s="87"/>
      <c r="E1757" s="91"/>
      <c r="F1757" s="91"/>
      <c r="G1757" s="91"/>
      <c r="H1757" s="86"/>
      <c r="I1757" s="665"/>
      <c r="J1757" s="666"/>
      <c r="K1757" s="275" t="str">
        <f>IFNA(VLOOKUP(D1757,'EAN Codes'!A:C,2,False),"")</f>
        <v/>
      </c>
      <c r="L1757" s="82"/>
      <c r="M1757" s="496" t="b">
        <v>0</v>
      </c>
      <c r="N1757" s="477" t="b">
        <v>0</v>
      </c>
      <c r="O1757" s="497" t="b">
        <v>0</v>
      </c>
      <c r="P1757" s="477" t="b">
        <v>0</v>
      </c>
      <c r="Q1757" s="477" t="b">
        <v>0</v>
      </c>
      <c r="R1757" s="539"/>
      <c r="S1757" s="540"/>
      <c r="T1757" s="543"/>
      <c r="U1757" s="514" t="b">
        <v>0</v>
      </c>
      <c r="Z1757" t="b">
        <v>0</v>
      </c>
      <c r="AA1757" s="6" t="b">
        <v>0</v>
      </c>
      <c r="AC1757" s="82"/>
      <c r="AD1757" t="str">
        <f t="shared" si="59"/>
        <v/>
      </c>
      <c r="AE1757" t="str">
        <f t="shared" si="60"/>
        <v/>
      </c>
    </row>
    <row r="1758">
      <c r="B1758" s="86"/>
      <c r="C1758" s="86"/>
      <c r="D1758" s="87"/>
      <c r="E1758" s="91"/>
      <c r="F1758" s="91"/>
      <c r="G1758" s="91"/>
      <c r="H1758" s="86"/>
      <c r="I1758" s="665"/>
      <c r="J1758" s="666"/>
      <c r="K1758" s="275" t="str">
        <f>IFNA(VLOOKUP(D1758,'EAN Codes'!A:C,2,False),"")</f>
        <v/>
      </c>
      <c r="L1758" s="82"/>
      <c r="M1758" s="496" t="b">
        <v>0</v>
      </c>
      <c r="N1758" s="477" t="b">
        <v>0</v>
      </c>
      <c r="O1758" s="497" t="b">
        <v>0</v>
      </c>
      <c r="P1758" s="477" t="b">
        <v>0</v>
      </c>
      <c r="Q1758" s="477" t="b">
        <v>0</v>
      </c>
      <c r="R1758" s="539"/>
      <c r="S1758" s="540"/>
      <c r="T1758" s="543"/>
      <c r="U1758" s="514" t="b">
        <v>0</v>
      </c>
      <c r="Z1758" t="b">
        <v>0</v>
      </c>
      <c r="AA1758" s="6" t="b">
        <v>0</v>
      </c>
      <c r="AC1758" s="82"/>
      <c r="AD1758" t="str">
        <f t="shared" si="59"/>
        <v/>
      </c>
      <c r="AE1758" t="str">
        <f t="shared" si="60"/>
        <v/>
      </c>
    </row>
    <row r="1759">
      <c r="D1759" s="127"/>
      <c r="H1759" s="473"/>
      <c r="I1759" s="473"/>
      <c r="J1759" s="508"/>
      <c r="K1759" s="275"/>
      <c r="L1759" s="82"/>
      <c r="M1759" s="496"/>
      <c r="N1759" s="497"/>
      <c r="O1759" s="497"/>
      <c r="P1759" s="477"/>
      <c r="Q1759" s="477"/>
      <c r="R1759" s="539"/>
      <c r="S1759" s="540"/>
      <c r="T1759" s="543"/>
      <c r="U1759" s="514"/>
      <c r="AC1759" s="82"/>
    </row>
    <row r="1760">
      <c r="D1760" s="127"/>
      <c r="H1760" s="473"/>
      <c r="I1760" s="473"/>
      <c r="J1760" s="508"/>
      <c r="K1760" s="275"/>
      <c r="L1760" s="82"/>
      <c r="M1760" s="496"/>
      <c r="N1760" s="497"/>
      <c r="O1760" s="497"/>
      <c r="P1760" s="477"/>
      <c r="Q1760" s="477"/>
      <c r="R1760" s="539"/>
      <c r="S1760" s="540"/>
      <c r="T1760" s="543"/>
      <c r="U1760" s="514"/>
      <c r="AC1760" s="82"/>
    </row>
    <row r="1761" hidden="1">
      <c r="A1761" s="6">
        <v>1.0</v>
      </c>
      <c r="B1761" s="6" t="s">
        <v>181</v>
      </c>
      <c r="C1761" s="6" t="s">
        <v>1116</v>
      </c>
      <c r="D1761" s="127" t="s">
        <v>8243</v>
      </c>
      <c r="H1761" s="473" t="s">
        <v>135</v>
      </c>
      <c r="I1761" s="473" t="s">
        <v>9417</v>
      </c>
      <c r="J1761" s="508" t="s">
        <v>9418</v>
      </c>
      <c r="K1761" s="275" t="str">
        <f>IFNA(VLOOKUP(D1761,'EAN Codes'!A:C,2,False),"")</f>
        <v>8717323068373</v>
      </c>
      <c r="L1761" s="82"/>
      <c r="M1761" s="496" t="b">
        <v>0</v>
      </c>
      <c r="N1761" s="477" t="b">
        <v>0</v>
      </c>
      <c r="O1761" s="497" t="b">
        <v>0</v>
      </c>
      <c r="P1761" s="477" t="b">
        <v>0</v>
      </c>
      <c r="Q1761" s="477" t="b">
        <v>0</v>
      </c>
      <c r="R1761" s="539"/>
      <c r="S1761" s="540"/>
      <c r="T1761" s="480" t="s">
        <v>9419</v>
      </c>
      <c r="U1761" s="481" t="b">
        <v>1</v>
      </c>
      <c r="Z1761" t="b">
        <v>0</v>
      </c>
      <c r="AA1761" t="b">
        <v>0</v>
      </c>
    </row>
    <row r="1762">
      <c r="B1762" s="99"/>
      <c r="C1762" s="99"/>
      <c r="D1762" s="100"/>
      <c r="H1762" s="473"/>
      <c r="I1762" s="473"/>
      <c r="J1762" s="508"/>
      <c r="K1762" s="275"/>
      <c r="L1762" s="82"/>
      <c r="M1762" s="496" t="b">
        <v>0</v>
      </c>
      <c r="N1762" s="477" t="b">
        <v>0</v>
      </c>
      <c r="O1762" s="497" t="b">
        <v>0</v>
      </c>
      <c r="P1762" s="477" t="b">
        <v>0</v>
      </c>
      <c r="Q1762" s="477" t="b">
        <v>0</v>
      </c>
      <c r="R1762" s="539"/>
      <c r="S1762" s="540"/>
      <c r="T1762" s="543"/>
      <c r="U1762" s="514" t="b">
        <v>0</v>
      </c>
      <c r="Z1762" t="b">
        <v>0</v>
      </c>
      <c r="AA1762" t="b">
        <v>0</v>
      </c>
      <c r="AC1762" s="35">
        <v>401.36</v>
      </c>
      <c r="AD1762" t="str">
        <f t="shared" ref="AD1762:AD1764" si="61">IFNA(IFS(U1762=False,D1762),"")</f>
        <v/>
      </c>
      <c r="AE1762" t="str">
        <f t="shared" ref="AE1762:AE1764" si="62">IFNA(IFS(U1762=false,H1762),"")</f>
        <v/>
      </c>
    </row>
    <row r="1763">
      <c r="B1763" s="99"/>
      <c r="C1763" s="99"/>
      <c r="D1763" s="100"/>
      <c r="H1763" s="473"/>
      <c r="I1763" s="473"/>
      <c r="J1763" s="508"/>
      <c r="K1763" s="275"/>
      <c r="L1763" s="82"/>
      <c r="M1763" s="496" t="b">
        <v>0</v>
      </c>
      <c r="N1763" s="477" t="b">
        <v>0</v>
      </c>
      <c r="O1763" s="497" t="b">
        <v>0</v>
      </c>
      <c r="P1763" s="477" t="b">
        <v>0</v>
      </c>
      <c r="Q1763" s="477" t="b">
        <v>0</v>
      </c>
      <c r="R1763" s="539"/>
      <c r="S1763" s="540"/>
      <c r="T1763" s="543"/>
      <c r="U1763" s="514" t="b">
        <v>0</v>
      </c>
      <c r="Z1763" t="b">
        <v>0</v>
      </c>
      <c r="AA1763" t="b">
        <v>0</v>
      </c>
      <c r="AC1763" s="35">
        <v>531.28</v>
      </c>
      <c r="AD1763" t="str">
        <f t="shared" si="61"/>
        <v/>
      </c>
      <c r="AE1763" t="str">
        <f t="shared" si="62"/>
        <v/>
      </c>
    </row>
    <row r="1764">
      <c r="B1764" s="99"/>
      <c r="C1764" s="99"/>
      <c r="D1764" s="100"/>
      <c r="H1764" s="473"/>
      <c r="I1764" s="473"/>
      <c r="J1764" s="508"/>
      <c r="K1764" s="275"/>
      <c r="L1764" s="82"/>
      <c r="M1764" s="496" t="b">
        <v>0</v>
      </c>
      <c r="N1764" s="477" t="b">
        <v>0</v>
      </c>
      <c r="O1764" s="497" t="b">
        <v>0</v>
      </c>
      <c r="P1764" s="477" t="b">
        <v>0</v>
      </c>
      <c r="Q1764" s="477" t="b">
        <v>0</v>
      </c>
      <c r="R1764" s="539"/>
      <c r="S1764" s="540"/>
      <c r="T1764" s="543"/>
      <c r="U1764" s="514" t="b">
        <v>0</v>
      </c>
      <c r="Z1764" t="b">
        <v>0</v>
      </c>
      <c r="AA1764" s="6" t="b">
        <v>0</v>
      </c>
      <c r="AC1764" s="35">
        <v>26.0</v>
      </c>
      <c r="AD1764" t="str">
        <f t="shared" si="61"/>
        <v/>
      </c>
      <c r="AE1764" t="str">
        <f t="shared" si="62"/>
        <v/>
      </c>
    </row>
    <row r="1765" hidden="1">
      <c r="A1765" s="284" t="s">
        <v>9420</v>
      </c>
      <c r="B1765" s="99" t="s">
        <v>391</v>
      </c>
      <c r="C1765" s="99" t="s">
        <v>4532</v>
      </c>
      <c r="D1765" s="100" t="s">
        <v>9421</v>
      </c>
      <c r="E1765" s="101"/>
      <c r="F1765" s="101"/>
      <c r="G1765" s="101"/>
      <c r="H1765" s="487" t="s">
        <v>135</v>
      </c>
      <c r="I1765" s="488"/>
      <c r="J1765" s="581" t="s">
        <v>9422</v>
      </c>
      <c r="K1765" s="275" t="str">
        <f>IFNA(VLOOKUP(D1765,'EAN Codes'!A:C,2,False),"")</f>
        <v/>
      </c>
      <c r="L1765" s="82"/>
      <c r="M1765" s="496" t="b">
        <v>0</v>
      </c>
      <c r="N1765" s="477" t="b">
        <v>0</v>
      </c>
      <c r="O1765" s="497" t="b">
        <v>0</v>
      </c>
      <c r="P1765" s="477" t="b">
        <v>0</v>
      </c>
      <c r="Q1765" s="477" t="b">
        <v>0</v>
      </c>
      <c r="R1765" s="539"/>
      <c r="S1765" s="540"/>
      <c r="T1765" s="543"/>
      <c r="U1765" s="481" t="b">
        <v>1</v>
      </c>
      <c r="Z1765" t="b">
        <v>0</v>
      </c>
      <c r="AA1765" t="b">
        <v>0</v>
      </c>
    </row>
    <row r="1766" hidden="1">
      <c r="A1766" s="6">
        <v>1.0</v>
      </c>
      <c r="B1766" s="6" t="s">
        <v>181</v>
      </c>
      <c r="C1766" s="6" t="s">
        <v>1116</v>
      </c>
      <c r="D1766" s="127" t="s">
        <v>9093</v>
      </c>
      <c r="H1766" s="473" t="s">
        <v>542</v>
      </c>
      <c r="I1766" s="474"/>
      <c r="J1766" s="508" t="s">
        <v>9423</v>
      </c>
      <c r="K1766" s="275" t="str">
        <f>IFNA(VLOOKUP(D1766,'EAN Codes'!A:C,2,False),"")</f>
        <v/>
      </c>
      <c r="L1766" s="82"/>
      <c r="M1766" s="496" t="b">
        <v>0</v>
      </c>
      <c r="N1766" s="477" t="b">
        <v>0</v>
      </c>
      <c r="O1766" s="497" t="b">
        <v>0</v>
      </c>
      <c r="P1766" s="477" t="b">
        <v>0</v>
      </c>
      <c r="Q1766" s="477" t="b">
        <v>0</v>
      </c>
      <c r="R1766" s="539"/>
      <c r="S1766" s="540"/>
      <c r="T1766" s="480" t="s">
        <v>9424</v>
      </c>
      <c r="U1766" s="481" t="b">
        <v>1</v>
      </c>
      <c r="Z1766" t="b">
        <v>0</v>
      </c>
      <c r="AA1766" t="b">
        <v>0</v>
      </c>
    </row>
    <row r="1767" hidden="1">
      <c r="A1767" s="6">
        <v>1.0</v>
      </c>
      <c r="B1767" s="6" t="s">
        <v>181</v>
      </c>
      <c r="C1767" s="6" t="s">
        <v>1116</v>
      </c>
      <c r="D1767" s="127" t="s">
        <v>9093</v>
      </c>
      <c r="H1767" s="473" t="s">
        <v>542</v>
      </c>
      <c r="I1767" s="474"/>
      <c r="J1767" s="508" t="s">
        <v>9423</v>
      </c>
      <c r="K1767" s="275" t="str">
        <f>IFNA(VLOOKUP(D1767,'EAN Codes'!A:C,2,False),"")</f>
        <v/>
      </c>
      <c r="L1767" s="82"/>
      <c r="M1767" s="496" t="b">
        <v>0</v>
      </c>
      <c r="N1767" s="477" t="b">
        <v>0</v>
      </c>
      <c r="O1767" s="497" t="b">
        <v>0</v>
      </c>
      <c r="P1767" s="477" t="b">
        <v>0</v>
      </c>
      <c r="Q1767" s="477" t="b">
        <v>0</v>
      </c>
      <c r="R1767" s="539"/>
      <c r="S1767" s="540"/>
      <c r="T1767" s="480" t="s">
        <v>9425</v>
      </c>
      <c r="U1767" s="481" t="b">
        <v>1</v>
      </c>
      <c r="Z1767" t="b">
        <v>0</v>
      </c>
      <c r="AA1767" t="b">
        <v>0</v>
      </c>
    </row>
    <row r="1768" hidden="1">
      <c r="A1768" s="6">
        <v>1.0</v>
      </c>
      <c r="B1768" s="99" t="s">
        <v>241</v>
      </c>
      <c r="C1768" s="99" t="s">
        <v>342</v>
      </c>
      <c r="D1768" s="100" t="s">
        <v>6063</v>
      </c>
      <c r="E1768" s="99" t="s">
        <v>346</v>
      </c>
      <c r="F1768" s="99" t="s">
        <v>9426</v>
      </c>
      <c r="G1768" s="99" t="s">
        <v>870</v>
      </c>
      <c r="H1768" s="487" t="s">
        <v>1102</v>
      </c>
      <c r="I1768" s="487" t="s">
        <v>9427</v>
      </c>
      <c r="J1768" s="581" t="s">
        <v>8416</v>
      </c>
      <c r="K1768" s="275" t="str">
        <f>IFNA(VLOOKUP(D1768,'EAN Codes'!A:C,2,False),"")</f>
        <v/>
      </c>
      <c r="L1768" s="82"/>
      <c r="M1768" s="496" t="b">
        <v>0</v>
      </c>
      <c r="N1768" s="477" t="b">
        <v>0</v>
      </c>
      <c r="O1768" s="497" t="b">
        <v>0</v>
      </c>
      <c r="P1768" s="477" t="b">
        <v>0</v>
      </c>
      <c r="Q1768" s="477" t="b">
        <v>0</v>
      </c>
      <c r="R1768" s="539"/>
      <c r="S1768" s="540"/>
      <c r="T1768" s="480" t="s">
        <v>9428</v>
      </c>
      <c r="U1768" s="481" t="b">
        <v>1</v>
      </c>
      <c r="Z1768" t="b">
        <v>0</v>
      </c>
      <c r="AA1768" t="b">
        <v>0</v>
      </c>
    </row>
    <row r="1769" hidden="1">
      <c r="A1769" s="6">
        <v>1.0</v>
      </c>
      <c r="B1769" s="99" t="s">
        <v>181</v>
      </c>
      <c r="C1769" s="99" t="s">
        <v>342</v>
      </c>
      <c r="D1769" s="100" t="s">
        <v>9429</v>
      </c>
      <c r="E1769" s="101"/>
      <c r="F1769" s="101"/>
      <c r="G1769" s="101"/>
      <c r="H1769" s="487" t="s">
        <v>1102</v>
      </c>
      <c r="I1769" s="487" t="s">
        <v>9427</v>
      </c>
      <c r="J1769" s="581" t="s">
        <v>8416</v>
      </c>
      <c r="K1769" s="275" t="str">
        <f>IFNA(VLOOKUP(D1769,'EAN Codes'!A:C,2,False),"")</f>
        <v/>
      </c>
      <c r="L1769" s="82"/>
      <c r="M1769" s="496" t="b">
        <v>0</v>
      </c>
      <c r="N1769" s="477" t="b">
        <v>0</v>
      </c>
      <c r="O1769" s="497" t="b">
        <v>0</v>
      </c>
      <c r="P1769" s="477" t="b">
        <v>0</v>
      </c>
      <c r="Q1769" s="477" t="b">
        <v>0</v>
      </c>
      <c r="R1769" s="539"/>
      <c r="S1769" s="540"/>
      <c r="T1769" s="480" t="s">
        <v>9428</v>
      </c>
      <c r="U1769" s="481" t="b">
        <v>1</v>
      </c>
      <c r="Z1769" t="b">
        <v>0</v>
      </c>
      <c r="AA1769" t="b">
        <v>0</v>
      </c>
    </row>
    <row r="1770">
      <c r="B1770" s="99"/>
      <c r="C1770" s="99"/>
      <c r="D1770" s="100"/>
      <c r="H1770" s="487"/>
      <c r="I1770" s="474"/>
      <c r="J1770" s="508"/>
      <c r="K1770" s="275"/>
      <c r="L1770" s="82"/>
      <c r="M1770" s="496" t="b">
        <v>0</v>
      </c>
      <c r="N1770" s="477" t="b">
        <v>0</v>
      </c>
      <c r="O1770" s="497" t="b">
        <v>0</v>
      </c>
      <c r="P1770" s="477" t="b">
        <v>0</v>
      </c>
      <c r="Q1770" s="477" t="b">
        <v>0</v>
      </c>
      <c r="R1770" s="539"/>
      <c r="S1770" s="540"/>
      <c r="T1770" s="543"/>
      <c r="U1770" s="514" t="b">
        <v>0</v>
      </c>
      <c r="Z1770" t="b">
        <v>0</v>
      </c>
      <c r="AA1770" s="6" t="b">
        <v>0</v>
      </c>
      <c r="AC1770" s="35">
        <v>27.8</v>
      </c>
      <c r="AD1770" t="str">
        <f t="shared" ref="AD1770:AD1774" si="63">IFNA(IFS(U1770=False,D1770),"")</f>
        <v/>
      </c>
      <c r="AE1770" t="str">
        <f t="shared" ref="AE1770:AE1774" si="64">IFNA(IFS(U1770=false,H1770),"")</f>
        <v/>
      </c>
    </row>
    <row r="1771">
      <c r="B1771" s="99"/>
      <c r="C1771" s="99"/>
      <c r="D1771" s="100"/>
      <c r="E1771" s="101"/>
      <c r="F1771" s="99"/>
      <c r="H1771" s="487"/>
      <c r="I1771" s="474"/>
      <c r="J1771" s="508"/>
      <c r="K1771" s="275"/>
      <c r="L1771" s="82"/>
      <c r="M1771" s="496" t="b">
        <v>0</v>
      </c>
      <c r="N1771" s="477" t="b">
        <v>0</v>
      </c>
      <c r="O1771" s="497" t="b">
        <v>0</v>
      </c>
      <c r="P1771" s="477" t="b">
        <v>0</v>
      </c>
      <c r="Q1771" s="477" t="b">
        <v>0</v>
      </c>
      <c r="R1771" s="539"/>
      <c r="S1771" s="540"/>
      <c r="T1771" s="543"/>
      <c r="U1771" s="514" t="b">
        <v>0</v>
      </c>
      <c r="Z1771" t="b">
        <v>0</v>
      </c>
      <c r="AA1771" s="6" t="b">
        <v>0</v>
      </c>
      <c r="AC1771" s="82"/>
      <c r="AD1771" t="str">
        <f t="shared" si="63"/>
        <v/>
      </c>
      <c r="AE1771" t="str">
        <f t="shared" si="64"/>
        <v/>
      </c>
    </row>
    <row r="1772">
      <c r="B1772" s="99"/>
      <c r="C1772" s="99"/>
      <c r="D1772" s="100"/>
      <c r="E1772" s="101"/>
      <c r="F1772" s="100"/>
      <c r="H1772" s="487"/>
      <c r="I1772" s="474"/>
      <c r="J1772" s="508"/>
      <c r="K1772" s="275"/>
      <c r="L1772" s="82"/>
      <c r="M1772" s="496" t="b">
        <v>0</v>
      </c>
      <c r="N1772" s="477" t="b">
        <v>0</v>
      </c>
      <c r="O1772" s="497" t="b">
        <v>0</v>
      </c>
      <c r="P1772" s="477" t="b">
        <v>0</v>
      </c>
      <c r="Q1772" s="477" t="b">
        <v>0</v>
      </c>
      <c r="R1772" s="539"/>
      <c r="S1772" s="540"/>
      <c r="T1772" s="543"/>
      <c r="U1772" s="514" t="b">
        <v>0</v>
      </c>
      <c r="Z1772" t="b">
        <v>0</v>
      </c>
      <c r="AA1772" s="6" t="b">
        <v>0</v>
      </c>
      <c r="AC1772" s="82"/>
      <c r="AD1772" t="str">
        <f t="shared" si="63"/>
        <v/>
      </c>
      <c r="AE1772" t="str">
        <f t="shared" si="64"/>
        <v/>
      </c>
    </row>
    <row r="1773">
      <c r="B1773" s="99"/>
      <c r="C1773" s="99"/>
      <c r="D1773" s="100"/>
      <c r="E1773" s="101"/>
      <c r="F1773" s="100"/>
      <c r="H1773" s="487"/>
      <c r="I1773" s="474"/>
      <c r="J1773" s="508"/>
      <c r="K1773" s="275"/>
      <c r="L1773" s="82"/>
      <c r="M1773" s="496" t="b">
        <v>0</v>
      </c>
      <c r="N1773" s="477" t="b">
        <v>0</v>
      </c>
      <c r="O1773" s="497" t="b">
        <v>0</v>
      </c>
      <c r="P1773" s="477" t="b">
        <v>0</v>
      </c>
      <c r="Q1773" s="477" t="b">
        <v>0</v>
      </c>
      <c r="R1773" s="539"/>
      <c r="S1773" s="540"/>
      <c r="T1773" s="543"/>
      <c r="U1773" s="514" t="b">
        <v>0</v>
      </c>
      <c r="Z1773" t="b">
        <v>0</v>
      </c>
      <c r="AA1773" s="6" t="b">
        <v>0</v>
      </c>
      <c r="AC1773" s="82"/>
      <c r="AD1773" t="str">
        <f t="shared" si="63"/>
        <v/>
      </c>
      <c r="AE1773" t="str">
        <f t="shared" si="64"/>
        <v/>
      </c>
    </row>
    <row r="1774">
      <c r="B1774" s="99"/>
      <c r="C1774" s="99"/>
      <c r="D1774" s="100"/>
      <c r="E1774" s="101"/>
      <c r="F1774" s="100"/>
      <c r="H1774" s="487"/>
      <c r="I1774" s="474"/>
      <c r="J1774" s="508"/>
      <c r="K1774" s="275"/>
      <c r="L1774" s="82"/>
      <c r="M1774" s="496" t="b">
        <v>0</v>
      </c>
      <c r="N1774" s="477" t="b">
        <v>0</v>
      </c>
      <c r="O1774" s="497" t="b">
        <v>0</v>
      </c>
      <c r="P1774" s="477" t="b">
        <v>0</v>
      </c>
      <c r="Q1774" s="477" t="b">
        <v>0</v>
      </c>
      <c r="R1774" s="539"/>
      <c r="S1774" s="540"/>
      <c r="T1774" s="543"/>
      <c r="U1774" s="514" t="b">
        <v>0</v>
      </c>
      <c r="Z1774" t="b">
        <v>0</v>
      </c>
      <c r="AA1774" s="6" t="b">
        <v>0</v>
      </c>
      <c r="AC1774" s="82"/>
      <c r="AD1774" t="str">
        <f t="shared" si="63"/>
        <v/>
      </c>
      <c r="AE1774" t="str">
        <f t="shared" si="64"/>
        <v/>
      </c>
    </row>
    <row r="1775" hidden="1">
      <c r="A1775" s="6">
        <v>1.0</v>
      </c>
      <c r="B1775" s="106" t="s">
        <v>181</v>
      </c>
      <c r="C1775" s="106" t="s">
        <v>8363</v>
      </c>
      <c r="D1775" s="273" t="s">
        <v>9430</v>
      </c>
      <c r="E1775" s="106" t="s">
        <v>7966</v>
      </c>
      <c r="F1775" s="106" t="s">
        <v>9431</v>
      </c>
      <c r="G1775" s="115"/>
      <c r="H1775" s="473" t="s">
        <v>135</v>
      </c>
      <c r="I1775" s="473" t="s">
        <v>9432</v>
      </c>
      <c r="J1775" s="508" t="s">
        <v>9433</v>
      </c>
      <c r="K1775" s="275" t="str">
        <f>IFNA(VLOOKUP(D1775,'EAN Codes'!A:C,2,False),"")</f>
        <v/>
      </c>
      <c r="L1775" s="82"/>
      <c r="M1775" s="496" t="b">
        <v>0</v>
      </c>
      <c r="N1775" s="477" t="b">
        <v>0</v>
      </c>
      <c r="O1775" s="497" t="b">
        <v>0</v>
      </c>
      <c r="P1775" s="477" t="b">
        <v>0</v>
      </c>
      <c r="Q1775" s="477" t="b">
        <v>0</v>
      </c>
      <c r="R1775" s="539"/>
      <c r="S1775" s="540"/>
      <c r="T1775" s="480">
        <v>373325.0</v>
      </c>
      <c r="U1775" s="481" t="b">
        <v>1</v>
      </c>
      <c r="Z1775" t="b">
        <v>0</v>
      </c>
      <c r="AA1775" t="b">
        <v>0</v>
      </c>
    </row>
    <row r="1776">
      <c r="B1776" s="86"/>
      <c r="C1776" s="86"/>
      <c r="D1776" s="87"/>
      <c r="E1776" s="91"/>
      <c r="F1776" s="91"/>
      <c r="G1776" s="115"/>
      <c r="H1776" s="473"/>
      <c r="I1776" s="474"/>
      <c r="J1776" s="508"/>
      <c r="K1776" s="275"/>
      <c r="L1776" s="82"/>
      <c r="M1776" s="496" t="b">
        <v>0</v>
      </c>
      <c r="N1776" s="477" t="b">
        <v>0</v>
      </c>
      <c r="O1776" s="497" t="b">
        <v>0</v>
      </c>
      <c r="P1776" s="477" t="b">
        <v>0</v>
      </c>
      <c r="Q1776" s="477" t="b">
        <v>0</v>
      </c>
      <c r="R1776" s="539"/>
      <c r="S1776" s="540"/>
      <c r="T1776" s="543"/>
      <c r="U1776" s="514" t="b">
        <v>0</v>
      </c>
      <c r="Z1776" t="b">
        <v>0</v>
      </c>
      <c r="AA1776" s="6" t="b">
        <v>0</v>
      </c>
      <c r="AC1776" s="82"/>
      <c r="AD1776" t="str">
        <f>IFNA(IFS(U1776=False,D1776),"")</f>
        <v/>
      </c>
      <c r="AE1776" t="str">
        <f>IFNA(IFS(U1776=false,H1776),"")</f>
        <v/>
      </c>
    </row>
    <row r="1777" hidden="1">
      <c r="A1777" s="6">
        <v>1.0</v>
      </c>
      <c r="B1777" s="106" t="s">
        <v>8287</v>
      </c>
      <c r="C1777" s="106" t="s">
        <v>408</v>
      </c>
      <c r="D1777" s="273" t="s">
        <v>9047</v>
      </c>
      <c r="E1777" s="115"/>
      <c r="F1777" s="115"/>
      <c r="G1777" s="115"/>
      <c r="H1777" s="473" t="s">
        <v>135</v>
      </c>
      <c r="I1777" s="474"/>
      <c r="J1777" s="508" t="s">
        <v>189</v>
      </c>
      <c r="K1777" s="275" t="str">
        <f>IFNA(VLOOKUP(D1777,'EAN Codes'!A:C,2,False),"")</f>
        <v/>
      </c>
      <c r="L1777" s="82"/>
      <c r="M1777" s="496" t="b">
        <v>0</v>
      </c>
      <c r="N1777" s="477" t="b">
        <v>0</v>
      </c>
      <c r="O1777" s="497" t="b">
        <v>0</v>
      </c>
      <c r="P1777" s="477" t="b">
        <v>0</v>
      </c>
      <c r="Q1777" s="477" t="b">
        <v>0</v>
      </c>
      <c r="R1777" s="539"/>
      <c r="S1777" s="540"/>
      <c r="T1777" s="480">
        <v>373364.0</v>
      </c>
      <c r="U1777" s="481" t="b">
        <v>1</v>
      </c>
      <c r="Z1777" t="b">
        <v>0</v>
      </c>
      <c r="AA1777" t="b">
        <v>0</v>
      </c>
    </row>
    <row r="1778" hidden="1">
      <c r="A1778" s="6">
        <v>1.0</v>
      </c>
      <c r="B1778" s="106" t="s">
        <v>8287</v>
      </c>
      <c r="C1778" s="106" t="s">
        <v>408</v>
      </c>
      <c r="D1778" s="273" t="s">
        <v>8349</v>
      </c>
      <c r="E1778" s="115"/>
      <c r="F1778" s="115"/>
      <c r="G1778" s="115"/>
      <c r="H1778" s="473" t="s">
        <v>135</v>
      </c>
      <c r="I1778" s="474"/>
      <c r="J1778" s="508" t="s">
        <v>189</v>
      </c>
      <c r="K1778" s="275" t="str">
        <f>IFNA(VLOOKUP(D1778,'EAN Codes'!A:C,2,False),"")</f>
        <v/>
      </c>
      <c r="L1778" s="82"/>
      <c r="M1778" s="496" t="b">
        <v>0</v>
      </c>
      <c r="N1778" s="477" t="b">
        <v>0</v>
      </c>
      <c r="O1778" s="497" t="b">
        <v>0</v>
      </c>
      <c r="P1778" s="477" t="b">
        <v>0</v>
      </c>
      <c r="Q1778" s="477" t="b">
        <v>0</v>
      </c>
      <c r="R1778" s="478"/>
      <c r="S1778" s="540"/>
      <c r="T1778" s="284" t="s">
        <v>9434</v>
      </c>
      <c r="U1778" s="481" t="b">
        <v>1</v>
      </c>
      <c r="Z1778" t="b">
        <v>0</v>
      </c>
      <c r="AA1778" s="6" t="b">
        <v>0</v>
      </c>
      <c r="AC1778" s="82"/>
      <c r="AD1778" t="str">
        <f t="shared" ref="AD1778:AD1779" si="65">IFNA(IFS(U1778=False,D1778),"")</f>
        <v/>
      </c>
      <c r="AE1778" t="str">
        <f t="shared" ref="AE1778:AE1779" si="66">IFNA(IFS(U1778=false,H1778),"")</f>
        <v/>
      </c>
    </row>
    <row r="1779">
      <c r="B1779" s="106"/>
      <c r="C1779" s="106"/>
      <c r="D1779" s="273"/>
      <c r="E1779" s="115"/>
      <c r="F1779" s="106"/>
      <c r="G1779" s="115"/>
      <c r="H1779" s="473"/>
      <c r="I1779" s="474"/>
      <c r="J1779" s="475"/>
      <c r="K1779" s="275" t="str">
        <f>IFNA(VLOOKUP(D1779,'EAN Codes'!A:C,2,False),"")</f>
        <v/>
      </c>
      <c r="L1779" s="82"/>
      <c r="M1779" s="496" t="b">
        <v>0</v>
      </c>
      <c r="N1779" s="477" t="b">
        <v>0</v>
      </c>
      <c r="O1779" s="497" t="b">
        <v>0</v>
      </c>
      <c r="P1779" s="477" t="b">
        <v>0</v>
      </c>
      <c r="Q1779" s="477" t="b">
        <v>0</v>
      </c>
      <c r="R1779" s="539"/>
      <c r="S1779" s="540"/>
      <c r="T1779" s="543"/>
      <c r="U1779" s="514" t="b">
        <v>0</v>
      </c>
      <c r="Z1779" t="b">
        <v>0</v>
      </c>
      <c r="AA1779" s="6" t="b">
        <v>0</v>
      </c>
      <c r="AC1779" s="82">
        <f>3.35*AC1</f>
        <v>38.86</v>
      </c>
      <c r="AD1779" t="str">
        <f t="shared" si="65"/>
        <v/>
      </c>
      <c r="AE1779" t="str">
        <f t="shared" si="66"/>
        <v/>
      </c>
    </row>
    <row r="1780" hidden="1">
      <c r="A1780" s="191">
        <v>1.0</v>
      </c>
      <c r="B1780" s="191" t="s">
        <v>241</v>
      </c>
      <c r="C1780" s="191" t="s">
        <v>342</v>
      </c>
      <c r="D1780" s="507" t="s">
        <v>9435</v>
      </c>
      <c r="E1780" s="191" t="s">
        <v>409</v>
      </c>
      <c r="F1780" s="191" t="s">
        <v>9436</v>
      </c>
      <c r="G1780" s="124"/>
      <c r="H1780" s="500" t="s">
        <v>9437</v>
      </c>
      <c r="I1780" s="500" t="s">
        <v>9438</v>
      </c>
      <c r="J1780" s="667"/>
      <c r="K1780" s="468" t="str">
        <f>IFNA(VLOOKUP(D1780,'EAN Codes'!A:C,2,False),"")</f>
        <v/>
      </c>
      <c r="L1780" s="469"/>
      <c r="M1780" s="668" t="b">
        <v>0</v>
      </c>
      <c r="N1780" s="469" t="b">
        <v>0</v>
      </c>
      <c r="O1780" s="500" t="b">
        <v>0</v>
      </c>
      <c r="P1780" s="500" t="b">
        <v>1</v>
      </c>
      <c r="Q1780" s="469" t="b">
        <v>0</v>
      </c>
      <c r="R1780" s="669" t="s">
        <v>8078</v>
      </c>
      <c r="S1780" s="670" t="s">
        <v>9439</v>
      </c>
      <c r="T1780" s="124"/>
      <c r="U1780" s="470" t="b">
        <v>1</v>
      </c>
      <c r="V1780" s="124"/>
      <c r="W1780" s="124"/>
      <c r="X1780" s="124"/>
      <c r="Y1780" s="124"/>
      <c r="Z1780" s="124" t="b">
        <v>0</v>
      </c>
      <c r="AA1780" t="b">
        <v>0</v>
      </c>
      <c r="AB1780" s="124"/>
      <c r="AC1780" s="124"/>
      <c r="AD1780" s="124"/>
      <c r="AE1780" s="124"/>
    </row>
    <row r="1781" hidden="1">
      <c r="A1781" s="6">
        <v>1.0</v>
      </c>
      <c r="B1781" s="106" t="s">
        <v>241</v>
      </c>
      <c r="C1781" s="106" t="s">
        <v>3457</v>
      </c>
      <c r="D1781" s="273" t="s">
        <v>9440</v>
      </c>
      <c r="E1781" s="106" t="s">
        <v>346</v>
      </c>
      <c r="F1781" s="106" t="s">
        <v>9441</v>
      </c>
      <c r="G1781" s="115"/>
      <c r="H1781" s="160" t="s">
        <v>307</v>
      </c>
      <c r="I1781" s="160" t="s">
        <v>9442</v>
      </c>
      <c r="J1781" s="475"/>
      <c r="K1781" s="275" t="str">
        <f>IFNA(VLOOKUP(D1781,'EAN Codes'!A:C,2,False),"")</f>
        <v/>
      </c>
      <c r="L1781" s="82"/>
      <c r="M1781" s="496" t="b">
        <v>0</v>
      </c>
      <c r="N1781" s="497" t="b">
        <v>1</v>
      </c>
      <c r="O1781" s="497" t="b">
        <v>0</v>
      </c>
      <c r="P1781" s="477" t="b">
        <v>0</v>
      </c>
      <c r="Q1781" s="477" t="b">
        <v>0</v>
      </c>
      <c r="R1781" s="478" t="s">
        <v>9443</v>
      </c>
      <c r="S1781" s="479">
        <v>8.9224992E9</v>
      </c>
      <c r="T1781" s="543"/>
      <c r="U1781" s="481" t="b">
        <v>1</v>
      </c>
      <c r="Z1781" t="b">
        <v>0</v>
      </c>
      <c r="AA1781" t="b">
        <v>0</v>
      </c>
    </row>
    <row r="1782" hidden="1">
      <c r="A1782" s="6">
        <v>1.0</v>
      </c>
      <c r="B1782" s="106" t="s">
        <v>181</v>
      </c>
      <c r="C1782" s="106" t="s">
        <v>3457</v>
      </c>
      <c r="D1782" s="273" t="s">
        <v>9444</v>
      </c>
      <c r="E1782" s="106" t="s">
        <v>346</v>
      </c>
      <c r="F1782" s="106" t="s">
        <v>9441</v>
      </c>
      <c r="G1782" s="115"/>
      <c r="H1782" s="261"/>
      <c r="I1782" s="160" t="s">
        <v>9442</v>
      </c>
      <c r="J1782" s="475"/>
      <c r="K1782" s="275" t="str">
        <f>IFNA(VLOOKUP(D1782,'EAN Codes'!A:C,2,False),"")</f>
        <v/>
      </c>
      <c r="L1782" s="82"/>
      <c r="M1782" s="496" t="b">
        <v>0</v>
      </c>
      <c r="N1782" s="497" t="b">
        <v>1</v>
      </c>
      <c r="O1782" s="497" t="b">
        <v>0</v>
      </c>
      <c r="P1782" s="477" t="b">
        <v>0</v>
      </c>
      <c r="Q1782" s="477" t="b">
        <v>0</v>
      </c>
      <c r="R1782" s="478" t="s">
        <v>9443</v>
      </c>
      <c r="S1782" s="479">
        <v>8.9224992E9</v>
      </c>
      <c r="T1782" s="543"/>
      <c r="U1782" s="481" t="b">
        <v>1</v>
      </c>
      <c r="Z1782" t="b">
        <v>0</v>
      </c>
      <c r="AA1782" t="b">
        <v>0</v>
      </c>
    </row>
    <row r="1783" hidden="1">
      <c r="A1783" s="6">
        <v>1.0</v>
      </c>
      <c r="B1783" s="106" t="s">
        <v>241</v>
      </c>
      <c r="C1783" s="106" t="s">
        <v>3457</v>
      </c>
      <c r="D1783" s="273" t="s">
        <v>3082</v>
      </c>
      <c r="E1783" s="106" t="s">
        <v>346</v>
      </c>
      <c r="F1783" s="115"/>
      <c r="G1783" s="115"/>
      <c r="H1783" s="160" t="s">
        <v>637</v>
      </c>
      <c r="I1783" s="160" t="s">
        <v>9445</v>
      </c>
      <c r="J1783" s="475"/>
      <c r="K1783" s="275" t="str">
        <f>IFNA(VLOOKUP(D1783,'EAN Codes'!A:C,2,False),"")</f>
        <v/>
      </c>
      <c r="L1783" s="82"/>
      <c r="M1783" s="496" t="b">
        <v>0</v>
      </c>
      <c r="N1783" s="497" t="b">
        <v>1</v>
      </c>
      <c r="O1783" s="497" t="b">
        <v>0</v>
      </c>
      <c r="P1783" s="477" t="b">
        <v>0</v>
      </c>
      <c r="Q1783" s="477" t="b">
        <v>0</v>
      </c>
      <c r="R1783" s="478" t="s">
        <v>269</v>
      </c>
      <c r="S1783" s="479">
        <v>8.922018273E9</v>
      </c>
      <c r="T1783" s="543"/>
      <c r="U1783" s="481" t="b">
        <v>1</v>
      </c>
      <c r="Z1783" t="b">
        <v>0</v>
      </c>
      <c r="AA1783" t="b">
        <v>0</v>
      </c>
    </row>
    <row r="1784" hidden="1">
      <c r="A1784" s="6">
        <v>1.0</v>
      </c>
      <c r="B1784" s="106" t="s">
        <v>241</v>
      </c>
      <c r="C1784" s="106" t="s">
        <v>4382</v>
      </c>
      <c r="D1784" s="273" t="s">
        <v>9446</v>
      </c>
      <c r="E1784" s="106" t="s">
        <v>409</v>
      </c>
      <c r="F1784" s="115"/>
      <c r="G1784" s="115"/>
      <c r="H1784" s="160" t="s">
        <v>132</v>
      </c>
      <c r="I1784" s="160" t="s">
        <v>9447</v>
      </c>
      <c r="J1784" s="508" t="s">
        <v>9448</v>
      </c>
      <c r="K1784" s="275" t="str">
        <f>IFNA(VLOOKUP(D1784,'EAN Codes'!A:C,2,False),"")</f>
        <v/>
      </c>
      <c r="L1784" s="82"/>
      <c r="M1784" s="496" t="b">
        <v>0</v>
      </c>
      <c r="N1784" s="497" t="b">
        <v>1</v>
      </c>
      <c r="O1784" s="497" t="b">
        <v>0</v>
      </c>
      <c r="P1784" s="477" t="b">
        <v>0</v>
      </c>
      <c r="Q1784" s="477" t="b">
        <v>0</v>
      </c>
      <c r="R1784" s="539"/>
      <c r="S1784" s="479">
        <v>8.921670173E9</v>
      </c>
      <c r="T1784" s="543"/>
      <c r="U1784" s="481" t="b">
        <v>1</v>
      </c>
      <c r="Z1784" t="b">
        <v>0</v>
      </c>
      <c r="AA1784" t="b">
        <v>0</v>
      </c>
    </row>
    <row r="1785">
      <c r="B1785" s="99"/>
      <c r="C1785" s="99"/>
      <c r="D1785" s="100"/>
      <c r="E1785" s="99"/>
      <c r="F1785" s="100"/>
      <c r="H1785" s="473"/>
      <c r="I1785" s="473"/>
      <c r="J1785" s="508"/>
      <c r="K1785" s="275"/>
      <c r="L1785" s="82"/>
      <c r="M1785" s="496" t="b">
        <v>0</v>
      </c>
      <c r="N1785" s="477" t="b">
        <v>0</v>
      </c>
      <c r="O1785" s="497" t="b">
        <v>0</v>
      </c>
      <c r="P1785" s="477" t="b">
        <v>0</v>
      </c>
      <c r="Q1785" s="477" t="b">
        <v>0</v>
      </c>
      <c r="R1785" s="539"/>
      <c r="S1785" s="540"/>
      <c r="T1785" s="543"/>
      <c r="U1785" s="514" t="b">
        <v>0</v>
      </c>
      <c r="Z1785" t="b">
        <v>0</v>
      </c>
      <c r="AA1785" s="6" t="b">
        <v>0</v>
      </c>
      <c r="AC1785" s="82"/>
      <c r="AD1785" t="str">
        <f t="shared" ref="AD1785:AD1857" si="67">IFNA(IFS(U1785=False,D1785),"")</f>
        <v/>
      </c>
      <c r="AE1785" t="str">
        <f t="shared" ref="AE1785:AE1857" si="68">IFNA(IFS(U1785=false,H1785),"")</f>
        <v/>
      </c>
    </row>
    <row r="1786" hidden="1">
      <c r="A1786" s="99">
        <v>1.0</v>
      </c>
      <c r="B1786" s="99" t="s">
        <v>241</v>
      </c>
      <c r="C1786" s="99" t="s">
        <v>4382</v>
      </c>
      <c r="D1786" s="100" t="s">
        <v>9449</v>
      </c>
      <c r="E1786" s="99" t="s">
        <v>9450</v>
      </c>
      <c r="F1786" s="99" t="s">
        <v>9451</v>
      </c>
      <c r="G1786" s="99" t="s">
        <v>9452</v>
      </c>
      <c r="H1786" s="473" t="s">
        <v>135</v>
      </c>
      <c r="I1786" s="473" t="s">
        <v>9453</v>
      </c>
      <c r="J1786" s="22" t="s">
        <v>9454</v>
      </c>
      <c r="K1786" s="275" t="str">
        <f>IFNA(VLOOKUP(D1786,'EAN Codes'!A:C,2,False),"")</f>
        <v/>
      </c>
      <c r="L1786" s="82"/>
      <c r="M1786" s="496" t="b">
        <v>0</v>
      </c>
      <c r="N1786" s="477" t="b">
        <v>0</v>
      </c>
      <c r="O1786" s="497" t="b">
        <v>0</v>
      </c>
      <c r="P1786" s="477" t="b">
        <v>0</v>
      </c>
      <c r="Q1786" s="477" t="b">
        <v>0</v>
      </c>
      <c r="R1786" s="539"/>
      <c r="S1786" s="540"/>
      <c r="T1786" s="480" t="s">
        <v>9449</v>
      </c>
      <c r="U1786" s="481" t="b">
        <v>1</v>
      </c>
      <c r="Z1786" t="b">
        <v>0</v>
      </c>
      <c r="AA1786" t="b">
        <v>0</v>
      </c>
      <c r="AC1786" s="82"/>
      <c r="AD1786" t="str">
        <f t="shared" si="67"/>
        <v/>
      </c>
      <c r="AE1786" t="str">
        <f t="shared" si="68"/>
        <v/>
      </c>
    </row>
    <row r="1787" hidden="1">
      <c r="A1787" s="6">
        <v>1.0</v>
      </c>
      <c r="B1787" s="6" t="s">
        <v>181</v>
      </c>
      <c r="C1787" s="6" t="s">
        <v>1116</v>
      </c>
      <c r="D1787" s="127" t="s">
        <v>9455</v>
      </c>
      <c r="E1787" s="6" t="s">
        <v>733</v>
      </c>
      <c r="F1787" s="6" t="s">
        <v>9215</v>
      </c>
      <c r="H1787" s="473" t="s">
        <v>135</v>
      </c>
      <c r="I1787" s="473">
        <v>372999.0</v>
      </c>
      <c r="J1787" s="508"/>
      <c r="K1787" s="275" t="str">
        <f>IFNA(VLOOKUP(D1787,'EAN Codes'!A:C,2,False),"")</f>
        <v/>
      </c>
      <c r="L1787" s="82"/>
      <c r="M1787" s="496" t="b">
        <v>0</v>
      </c>
      <c r="N1787" s="477" t="b">
        <v>0</v>
      </c>
      <c r="O1787" s="497" t="b">
        <v>0</v>
      </c>
      <c r="P1787" s="477" t="b">
        <v>0</v>
      </c>
      <c r="Q1787" s="477" t="b">
        <v>0</v>
      </c>
      <c r="R1787" s="478"/>
      <c r="S1787" s="540"/>
      <c r="T1787" s="543"/>
      <c r="U1787" s="481" t="b">
        <v>1</v>
      </c>
      <c r="Z1787" t="b">
        <v>0</v>
      </c>
      <c r="AA1787" t="b">
        <v>0</v>
      </c>
      <c r="AC1787" s="82">
        <f>IFERROR(__xludf.DUMMYFUNCTION("IFS(C1787=""ECS"",Vlookup(D1787,IMPORTRANGE(""https://docs.google.com/spreadsheets/d/1CONXwApUCNE4s-NquayczLLZJS3lBxtkAQwk9d9t2gA/edit"",""'Prislista 2024'!I:M""),5,false)*$AC$1)*A1787"),900.1600000000001)</f>
        <v>900.16</v>
      </c>
      <c r="AD1787" t="str">
        <f t="shared" si="67"/>
        <v/>
      </c>
      <c r="AE1787" t="str">
        <f t="shared" si="68"/>
        <v/>
      </c>
    </row>
    <row r="1788" hidden="1">
      <c r="A1788" s="6">
        <v>1.0</v>
      </c>
      <c r="B1788" s="6" t="s">
        <v>241</v>
      </c>
      <c r="C1788" s="6" t="s">
        <v>342</v>
      </c>
      <c r="D1788" s="127" t="s">
        <v>4932</v>
      </c>
      <c r="E1788" s="6" t="s">
        <v>346</v>
      </c>
      <c r="F1788" s="6" t="s">
        <v>4937</v>
      </c>
      <c r="H1788" s="473" t="s">
        <v>380</v>
      </c>
      <c r="I1788" s="473" t="s">
        <v>9456</v>
      </c>
      <c r="J1788" s="475"/>
      <c r="K1788" s="275" t="str">
        <f>IFNA(VLOOKUP(D1788,'EAN Codes'!A:C,2,False),"")</f>
        <v>5907615827037</v>
      </c>
      <c r="L1788" s="82"/>
      <c r="M1788" s="496" t="b">
        <v>0</v>
      </c>
      <c r="N1788" s="477" t="b">
        <v>0</v>
      </c>
      <c r="O1788" s="497" t="b">
        <v>0</v>
      </c>
      <c r="P1788" s="477" t="b">
        <v>0</v>
      </c>
      <c r="Q1788" s="477" t="b">
        <v>0</v>
      </c>
      <c r="R1788" s="478" t="s">
        <v>9457</v>
      </c>
      <c r="S1788" s="540"/>
      <c r="T1788" s="480" t="s">
        <v>9458</v>
      </c>
      <c r="U1788" s="481" t="b">
        <v>1</v>
      </c>
      <c r="Z1788" t="b">
        <v>0</v>
      </c>
      <c r="AA1788" s="371" t="b">
        <v>0</v>
      </c>
      <c r="AC1788" s="82"/>
      <c r="AD1788" t="str">
        <f t="shared" si="67"/>
        <v/>
      </c>
      <c r="AE1788" t="str">
        <f t="shared" si="68"/>
        <v/>
      </c>
    </row>
    <row r="1789">
      <c r="B1789" s="99"/>
      <c r="C1789" s="99"/>
      <c r="D1789" s="100"/>
      <c r="E1789" s="99"/>
      <c r="F1789" s="101"/>
      <c r="H1789" s="473"/>
      <c r="I1789" s="473"/>
      <c r="J1789" s="475"/>
      <c r="K1789" s="275"/>
      <c r="L1789" s="82"/>
      <c r="M1789" s="496" t="b">
        <v>0</v>
      </c>
      <c r="N1789" s="477" t="b">
        <v>0</v>
      </c>
      <c r="O1789" s="497" t="b">
        <v>0</v>
      </c>
      <c r="P1789" s="477" t="b">
        <v>0</v>
      </c>
      <c r="Q1789" s="477" t="b">
        <v>0</v>
      </c>
      <c r="R1789" s="478"/>
      <c r="S1789" s="540"/>
      <c r="T1789" s="543"/>
      <c r="U1789" s="514" t="b">
        <v>0</v>
      </c>
      <c r="Z1789" t="b">
        <v>0</v>
      </c>
      <c r="AA1789" s="106" t="b">
        <v>0</v>
      </c>
      <c r="AC1789" s="82"/>
      <c r="AD1789" t="str">
        <f t="shared" si="67"/>
        <v/>
      </c>
      <c r="AE1789" t="str">
        <f t="shared" si="68"/>
        <v/>
      </c>
    </row>
    <row r="1790">
      <c r="B1790" s="86"/>
      <c r="C1790" s="86"/>
      <c r="D1790" s="87"/>
      <c r="E1790" s="91"/>
      <c r="F1790" s="101"/>
      <c r="H1790" s="473"/>
      <c r="I1790" s="474"/>
      <c r="J1790" s="475"/>
      <c r="K1790" s="275"/>
      <c r="L1790" s="82"/>
      <c r="M1790" s="496" t="b">
        <v>0</v>
      </c>
      <c r="N1790" s="477" t="b">
        <v>0</v>
      </c>
      <c r="O1790" s="497" t="b">
        <v>0</v>
      </c>
      <c r="P1790" s="477" t="b">
        <v>0</v>
      </c>
      <c r="Q1790" s="477" t="b">
        <v>0</v>
      </c>
      <c r="R1790" s="539"/>
      <c r="S1790" s="540"/>
      <c r="T1790" s="543"/>
      <c r="U1790" s="514" t="b">
        <v>0</v>
      </c>
      <c r="Z1790" t="b">
        <v>0</v>
      </c>
      <c r="AA1790" s="6" t="b">
        <v>0</v>
      </c>
      <c r="AC1790" s="82"/>
      <c r="AD1790" t="str">
        <f t="shared" si="67"/>
        <v/>
      </c>
      <c r="AE1790" t="str">
        <f t="shared" si="68"/>
        <v/>
      </c>
    </row>
    <row r="1791" hidden="1">
      <c r="A1791" s="6">
        <v>1.0</v>
      </c>
      <c r="B1791" s="106" t="s">
        <v>8287</v>
      </c>
      <c r="C1791" s="106" t="s">
        <v>408</v>
      </c>
      <c r="D1791" s="273" t="s">
        <v>8348</v>
      </c>
      <c r="E1791" s="115"/>
      <c r="H1791" s="473" t="s">
        <v>135</v>
      </c>
      <c r="I1791" s="474"/>
      <c r="J1791" s="475"/>
      <c r="K1791" s="275" t="str">
        <f>IFNA(VLOOKUP(D1791,'EAN Codes'!A:C,2,False),"")</f>
        <v/>
      </c>
      <c r="L1791" s="82"/>
      <c r="M1791" s="496" t="b">
        <v>0</v>
      </c>
      <c r="N1791" s="477" t="b">
        <v>0</v>
      </c>
      <c r="O1791" s="497" t="b">
        <v>0</v>
      </c>
      <c r="P1791" s="477" t="b">
        <v>0</v>
      </c>
      <c r="Q1791" s="477" t="b">
        <v>0</v>
      </c>
      <c r="R1791" s="539"/>
      <c r="S1791" s="540"/>
      <c r="T1791" s="480">
        <v>373637.0</v>
      </c>
      <c r="U1791" s="481" t="b">
        <v>1</v>
      </c>
      <c r="Z1791" t="b">
        <v>0</v>
      </c>
      <c r="AA1791" s="6" t="b">
        <v>0</v>
      </c>
      <c r="AC1791" s="82"/>
      <c r="AD1791" t="str">
        <f t="shared" si="67"/>
        <v/>
      </c>
      <c r="AE1791" t="str">
        <f t="shared" si="68"/>
        <v/>
      </c>
    </row>
    <row r="1792">
      <c r="B1792" s="86"/>
      <c r="C1792" s="86"/>
      <c r="D1792" s="87"/>
      <c r="E1792" s="91"/>
      <c r="F1792" s="101"/>
      <c r="H1792" s="473"/>
      <c r="I1792" s="474"/>
      <c r="J1792" s="475"/>
      <c r="K1792" s="275"/>
      <c r="L1792" s="82"/>
      <c r="M1792" s="496" t="b">
        <v>0</v>
      </c>
      <c r="N1792" s="477" t="b">
        <v>0</v>
      </c>
      <c r="O1792" s="497" t="b">
        <v>0</v>
      </c>
      <c r="P1792" s="477" t="b">
        <v>0</v>
      </c>
      <c r="Q1792" s="477" t="b">
        <v>0</v>
      </c>
      <c r="R1792" s="539"/>
      <c r="S1792" s="540"/>
      <c r="T1792" s="543"/>
      <c r="U1792" s="514" t="b">
        <v>0</v>
      </c>
      <c r="Z1792" t="b">
        <v>0</v>
      </c>
      <c r="AA1792" s="6" t="b">
        <v>0</v>
      </c>
      <c r="AC1792" s="82"/>
      <c r="AD1792" t="str">
        <f t="shared" si="67"/>
        <v/>
      </c>
      <c r="AE1792" t="str">
        <f t="shared" si="68"/>
        <v/>
      </c>
    </row>
    <row r="1793" hidden="1">
      <c r="A1793" s="6">
        <v>1.0</v>
      </c>
      <c r="B1793" s="6" t="s">
        <v>241</v>
      </c>
      <c r="C1793" s="6" t="s">
        <v>1217</v>
      </c>
      <c r="D1793" s="127" t="s">
        <v>9459</v>
      </c>
      <c r="H1793" s="473" t="s">
        <v>135</v>
      </c>
      <c r="I1793" s="473" t="s">
        <v>9460</v>
      </c>
      <c r="J1793" s="508" t="s">
        <v>9461</v>
      </c>
      <c r="K1793" s="275" t="str">
        <f>IFNA(VLOOKUP(D1793,'EAN Codes'!A:C,2,False),"")</f>
        <v>67127</v>
      </c>
      <c r="L1793" s="82"/>
      <c r="M1793" s="496" t="b">
        <v>0</v>
      </c>
      <c r="N1793" s="477" t="b">
        <v>0</v>
      </c>
      <c r="O1793" s="497" t="b">
        <v>1</v>
      </c>
      <c r="P1793" s="497" t="b">
        <v>1</v>
      </c>
      <c r="Q1793" s="477" t="b">
        <v>0</v>
      </c>
      <c r="R1793" s="539"/>
      <c r="S1793" s="540"/>
      <c r="T1793" s="480">
        <v>373498.0</v>
      </c>
      <c r="U1793" s="481" t="b">
        <v>1</v>
      </c>
      <c r="Z1793" t="b">
        <v>0</v>
      </c>
      <c r="AA1793" t="b">
        <v>0</v>
      </c>
      <c r="AC1793" s="82"/>
      <c r="AD1793" t="str">
        <f t="shared" si="67"/>
        <v/>
      </c>
      <c r="AE1793" t="str">
        <f t="shared" si="68"/>
        <v/>
      </c>
    </row>
    <row r="1794">
      <c r="B1794" s="99"/>
      <c r="C1794" s="99"/>
      <c r="D1794" s="100"/>
      <c r="E1794" s="101"/>
      <c r="F1794" s="100"/>
      <c r="H1794" s="473"/>
      <c r="I1794" s="474"/>
      <c r="J1794" s="475"/>
      <c r="K1794" s="275"/>
      <c r="L1794" s="82"/>
      <c r="M1794" s="496" t="b">
        <v>0</v>
      </c>
      <c r="N1794" s="477" t="b">
        <v>0</v>
      </c>
      <c r="O1794" s="497" t="b">
        <v>0</v>
      </c>
      <c r="P1794" s="477" t="b">
        <v>0</v>
      </c>
      <c r="Q1794" s="477" t="b">
        <v>0</v>
      </c>
      <c r="R1794" s="539"/>
      <c r="S1794" s="540"/>
      <c r="T1794" s="543"/>
      <c r="U1794" s="514" t="b">
        <v>0</v>
      </c>
      <c r="Z1794" t="b">
        <v>0</v>
      </c>
      <c r="AA1794" s="6" t="b">
        <v>0</v>
      </c>
      <c r="AC1794" s="82"/>
      <c r="AD1794" t="str">
        <f t="shared" si="67"/>
        <v/>
      </c>
      <c r="AE1794" t="str">
        <f t="shared" si="68"/>
        <v/>
      </c>
    </row>
    <row r="1795">
      <c r="B1795" s="99"/>
      <c r="C1795" s="99"/>
      <c r="D1795" s="100"/>
      <c r="E1795" s="99"/>
      <c r="F1795" s="99"/>
      <c r="H1795" s="487"/>
      <c r="I1795" s="473"/>
      <c r="J1795" s="475"/>
      <c r="K1795" s="275"/>
      <c r="L1795" s="82"/>
      <c r="M1795" s="496" t="b">
        <v>0</v>
      </c>
      <c r="N1795" s="477" t="b">
        <v>0</v>
      </c>
      <c r="O1795" s="497" t="b">
        <v>0</v>
      </c>
      <c r="P1795" s="477" t="b">
        <v>0</v>
      </c>
      <c r="Q1795" s="477" t="b">
        <v>0</v>
      </c>
      <c r="R1795" s="539"/>
      <c r="S1795" s="540"/>
      <c r="U1795" s="481" t="b">
        <v>0</v>
      </c>
      <c r="Z1795" t="b">
        <v>0</v>
      </c>
      <c r="AA1795" s="106" t="b">
        <v>0</v>
      </c>
      <c r="AC1795" s="82"/>
      <c r="AD1795" t="str">
        <f t="shared" si="67"/>
        <v/>
      </c>
      <c r="AE1795" t="str">
        <f t="shared" si="68"/>
        <v/>
      </c>
    </row>
    <row r="1796">
      <c r="B1796" s="99"/>
      <c r="C1796" s="99"/>
      <c r="D1796" s="100"/>
      <c r="E1796" s="99"/>
      <c r="F1796" s="101"/>
      <c r="H1796" s="473"/>
      <c r="I1796" s="473"/>
      <c r="J1796" s="475"/>
      <c r="K1796" s="275"/>
      <c r="L1796" s="82"/>
      <c r="M1796" s="496" t="b">
        <v>0</v>
      </c>
      <c r="N1796" s="477" t="b">
        <v>0</v>
      </c>
      <c r="O1796" s="497" t="b">
        <v>0</v>
      </c>
      <c r="P1796" s="477" t="b">
        <v>0</v>
      </c>
      <c r="Q1796" s="477" t="b">
        <v>0</v>
      </c>
      <c r="R1796" s="539"/>
      <c r="S1796" s="540"/>
      <c r="T1796" s="543"/>
      <c r="U1796" s="514" t="b">
        <v>0</v>
      </c>
      <c r="Z1796" t="b">
        <v>0</v>
      </c>
      <c r="AA1796" s="6" t="b">
        <v>0</v>
      </c>
      <c r="AC1796" s="82"/>
      <c r="AD1796" t="str">
        <f t="shared" si="67"/>
        <v/>
      </c>
      <c r="AE1796" t="str">
        <f t="shared" si="68"/>
        <v/>
      </c>
    </row>
    <row r="1797">
      <c r="A1797" s="6"/>
      <c r="B1797" s="99"/>
      <c r="C1797" s="99"/>
      <c r="D1797" s="100"/>
      <c r="E1797" s="101"/>
      <c r="F1797" s="101"/>
      <c r="H1797" s="35"/>
      <c r="I1797" s="82"/>
      <c r="J1797" s="327"/>
      <c r="K1797" s="66"/>
      <c r="L1797" s="82"/>
      <c r="M1797" s="145" t="b">
        <v>0</v>
      </c>
      <c r="N1797" s="82" t="b">
        <v>0</v>
      </c>
      <c r="O1797" s="35" t="b">
        <v>0</v>
      </c>
      <c r="P1797" s="82" t="b">
        <v>0</v>
      </c>
      <c r="Q1797" s="82" t="b">
        <v>0</v>
      </c>
      <c r="R1797" s="66"/>
      <c r="S1797" s="327"/>
      <c r="U1797" s="146" t="b">
        <v>0</v>
      </c>
      <c r="Z1797" t="b">
        <v>0</v>
      </c>
      <c r="AA1797" s="6" t="b">
        <v>0</v>
      </c>
      <c r="AC1797" s="82">
        <f>85.09*AC1</f>
        <v>987.044</v>
      </c>
      <c r="AD1797" t="str">
        <f t="shared" si="67"/>
        <v/>
      </c>
      <c r="AE1797" t="str">
        <f t="shared" si="68"/>
        <v/>
      </c>
    </row>
    <row r="1798">
      <c r="B1798" s="99"/>
      <c r="C1798" s="99"/>
      <c r="D1798" s="100"/>
      <c r="E1798" s="101"/>
      <c r="F1798" s="101"/>
      <c r="H1798" s="473"/>
      <c r="I1798" s="474"/>
      <c r="J1798" s="475"/>
      <c r="K1798" s="275"/>
      <c r="L1798" s="82"/>
      <c r="M1798" s="496" t="b">
        <v>0</v>
      </c>
      <c r="N1798" s="477" t="b">
        <v>0</v>
      </c>
      <c r="O1798" s="497" t="b">
        <v>0</v>
      </c>
      <c r="P1798" s="477" t="b">
        <v>0</v>
      </c>
      <c r="Q1798" s="477" t="b">
        <v>0</v>
      </c>
      <c r="R1798" s="539"/>
      <c r="S1798" s="540"/>
      <c r="T1798" s="543"/>
      <c r="U1798" s="514" t="b">
        <v>0</v>
      </c>
      <c r="Z1798" t="b">
        <v>0</v>
      </c>
      <c r="AA1798" s="6" t="b">
        <v>0</v>
      </c>
      <c r="AC1798" s="35">
        <v>50.0</v>
      </c>
      <c r="AD1798" t="str">
        <f t="shared" si="67"/>
        <v/>
      </c>
      <c r="AE1798" t="str">
        <f t="shared" si="68"/>
        <v/>
      </c>
    </row>
    <row r="1799">
      <c r="B1799" s="99"/>
      <c r="C1799" s="99"/>
      <c r="D1799" s="100"/>
      <c r="E1799" s="101"/>
      <c r="F1799" s="101"/>
      <c r="H1799" s="473"/>
      <c r="I1799" s="474"/>
      <c r="J1799" s="475"/>
      <c r="K1799" s="275" t="str">
        <f>IFNA(VLOOKUP(D1799,'EAN Codes'!A:C,2,False),"")</f>
        <v/>
      </c>
      <c r="L1799" s="82"/>
      <c r="M1799" s="496" t="b">
        <v>0</v>
      </c>
      <c r="N1799" s="477" t="b">
        <v>0</v>
      </c>
      <c r="O1799" s="497" t="b">
        <v>0</v>
      </c>
      <c r="P1799" s="477" t="b">
        <v>0</v>
      </c>
      <c r="Q1799" s="477" t="b">
        <v>0</v>
      </c>
      <c r="R1799" s="539"/>
      <c r="S1799" s="540"/>
      <c r="T1799" s="543"/>
      <c r="U1799" s="514" t="b">
        <v>0</v>
      </c>
      <c r="Z1799" t="b">
        <v>0</v>
      </c>
      <c r="AC1799" s="35">
        <v>100.0</v>
      </c>
      <c r="AD1799" t="str">
        <f t="shared" si="67"/>
        <v/>
      </c>
      <c r="AE1799" t="str">
        <f t="shared" si="68"/>
        <v/>
      </c>
    </row>
    <row r="1800">
      <c r="B1800" s="99"/>
      <c r="C1800" s="99"/>
      <c r="D1800" s="100"/>
      <c r="E1800" s="101"/>
      <c r="F1800" s="99"/>
      <c r="H1800" s="473"/>
      <c r="I1800" s="474"/>
      <c r="J1800" s="475"/>
      <c r="K1800" s="275" t="str">
        <f>IFNA(VLOOKUP(D1800,'EAN Codes'!A:C,2,False),"")</f>
        <v/>
      </c>
      <c r="L1800" s="82"/>
      <c r="M1800" s="496" t="b">
        <v>0</v>
      </c>
      <c r="N1800" s="477" t="b">
        <v>0</v>
      </c>
      <c r="O1800" s="497" t="b">
        <v>0</v>
      </c>
      <c r="P1800" s="477" t="b">
        <v>0</v>
      </c>
      <c r="Q1800" s="477" t="b">
        <v>0</v>
      </c>
      <c r="R1800" s="539"/>
      <c r="S1800" s="540"/>
      <c r="T1800" s="543"/>
      <c r="U1800" s="514" t="b">
        <v>0</v>
      </c>
      <c r="Z1800" t="b">
        <v>0</v>
      </c>
      <c r="AA1800" s="6" t="b">
        <v>0</v>
      </c>
      <c r="AC1800" s="35">
        <f>6*AC1</f>
        <v>69.6</v>
      </c>
      <c r="AD1800" t="str">
        <f t="shared" si="67"/>
        <v/>
      </c>
      <c r="AE1800" t="str">
        <f t="shared" si="68"/>
        <v/>
      </c>
    </row>
    <row r="1801">
      <c r="B1801" s="99"/>
      <c r="C1801" s="99"/>
      <c r="D1801" s="100"/>
      <c r="E1801" s="101"/>
      <c r="F1801" s="99"/>
      <c r="H1801" s="473"/>
      <c r="I1801" s="474"/>
      <c r="J1801" s="475"/>
      <c r="K1801" s="275" t="str">
        <f>IFNA(VLOOKUP(D1801,'EAN Codes'!A:C,2,False),"")</f>
        <v/>
      </c>
      <c r="L1801" s="82"/>
      <c r="M1801" s="496" t="b">
        <v>0</v>
      </c>
      <c r="N1801" s="477" t="b">
        <v>0</v>
      </c>
      <c r="O1801" s="497" t="b">
        <v>0</v>
      </c>
      <c r="P1801" s="477" t="b">
        <v>0</v>
      </c>
      <c r="Q1801" s="477" t="b">
        <v>0</v>
      </c>
      <c r="R1801" s="539"/>
      <c r="S1801" s="540"/>
      <c r="T1801" s="543"/>
      <c r="U1801" s="514" t="b">
        <v>0</v>
      </c>
      <c r="Z1801" t="b">
        <v>0</v>
      </c>
      <c r="AA1801" s="6" t="b">
        <v>0</v>
      </c>
      <c r="AC1801" s="35">
        <v>400.0</v>
      </c>
      <c r="AD1801" t="str">
        <f t="shared" si="67"/>
        <v/>
      </c>
      <c r="AE1801" t="str">
        <f t="shared" si="68"/>
        <v/>
      </c>
    </row>
    <row r="1802">
      <c r="B1802" s="99"/>
      <c r="C1802" s="99"/>
      <c r="D1802" s="100"/>
      <c r="E1802" s="101"/>
      <c r="F1802" s="99"/>
      <c r="H1802" s="473"/>
      <c r="I1802" s="474"/>
      <c r="J1802" s="475"/>
      <c r="K1802" s="275" t="str">
        <f>IFNA(VLOOKUP(D1802,'EAN Codes'!A:C,2,False),"")</f>
        <v/>
      </c>
      <c r="L1802" s="82"/>
      <c r="M1802" s="496" t="b">
        <v>0</v>
      </c>
      <c r="N1802" s="477" t="b">
        <v>0</v>
      </c>
      <c r="O1802" s="497" t="b">
        <v>0</v>
      </c>
      <c r="P1802" s="477" t="b">
        <v>0</v>
      </c>
      <c r="Q1802" s="477" t="b">
        <v>0</v>
      </c>
      <c r="R1802" s="539"/>
      <c r="S1802" s="540"/>
      <c r="T1802" s="543"/>
      <c r="U1802" s="514" t="b">
        <v>0</v>
      </c>
      <c r="Z1802" t="b">
        <v>0</v>
      </c>
      <c r="AA1802" s="6" t="b">
        <v>0</v>
      </c>
      <c r="AC1802" s="35">
        <v>900.0</v>
      </c>
      <c r="AD1802" t="str">
        <f t="shared" si="67"/>
        <v/>
      </c>
      <c r="AE1802" t="str">
        <f t="shared" si="68"/>
        <v/>
      </c>
    </row>
    <row r="1803">
      <c r="B1803" s="99"/>
      <c r="C1803" s="99"/>
      <c r="D1803" s="100"/>
      <c r="E1803" s="101"/>
      <c r="F1803" s="99"/>
      <c r="H1803" s="473"/>
      <c r="I1803" s="474"/>
      <c r="J1803" s="475"/>
      <c r="K1803" s="275" t="str">
        <f>IFNA(VLOOKUP(D1803,'EAN Codes'!A:C,2,False),"")</f>
        <v/>
      </c>
      <c r="L1803" s="82"/>
      <c r="M1803" s="496" t="b">
        <v>0</v>
      </c>
      <c r="N1803" s="477" t="b">
        <v>0</v>
      </c>
      <c r="O1803" s="497" t="b">
        <v>0</v>
      </c>
      <c r="P1803" s="477" t="b">
        <v>0</v>
      </c>
      <c r="Q1803" s="477" t="b">
        <v>0</v>
      </c>
      <c r="R1803" s="539"/>
      <c r="S1803" s="540"/>
      <c r="T1803" s="543"/>
      <c r="U1803" s="514" t="b">
        <v>0</v>
      </c>
      <c r="Z1803" t="b">
        <v>0</v>
      </c>
      <c r="AA1803" s="6" t="b">
        <v>0</v>
      </c>
      <c r="AC1803" s="35">
        <v>400.0</v>
      </c>
      <c r="AD1803" t="str">
        <f t="shared" si="67"/>
        <v/>
      </c>
      <c r="AE1803" t="str">
        <f t="shared" si="68"/>
        <v/>
      </c>
    </row>
    <row r="1804">
      <c r="B1804" s="99"/>
      <c r="C1804" s="99"/>
      <c r="D1804" s="100"/>
      <c r="E1804" s="101"/>
      <c r="F1804" s="99"/>
      <c r="H1804" s="473"/>
      <c r="I1804" s="474"/>
      <c r="J1804" s="475"/>
      <c r="K1804" s="275" t="str">
        <f>IFNA(VLOOKUP(D1804,'EAN Codes'!A:C,2,False),"")</f>
        <v/>
      </c>
      <c r="L1804" s="82"/>
      <c r="M1804" s="496" t="b">
        <v>0</v>
      </c>
      <c r="N1804" s="477" t="b">
        <v>0</v>
      </c>
      <c r="O1804" s="497" t="b">
        <v>0</v>
      </c>
      <c r="P1804" s="477" t="b">
        <v>0</v>
      </c>
      <c r="Q1804" s="477" t="b">
        <v>0</v>
      </c>
      <c r="R1804" s="539"/>
      <c r="S1804" s="540"/>
      <c r="T1804" s="543"/>
      <c r="U1804" s="514" t="b">
        <v>0</v>
      </c>
      <c r="Z1804" t="b">
        <v>0</v>
      </c>
      <c r="AC1804" s="35">
        <v>400.0</v>
      </c>
      <c r="AD1804" t="str">
        <f t="shared" si="67"/>
        <v/>
      </c>
      <c r="AE1804" t="str">
        <f t="shared" si="68"/>
        <v/>
      </c>
    </row>
    <row r="1805">
      <c r="B1805" s="99"/>
      <c r="C1805" s="99"/>
      <c r="D1805" s="100"/>
      <c r="E1805" s="101"/>
      <c r="F1805" s="99"/>
      <c r="H1805" s="473"/>
      <c r="I1805" s="474"/>
      <c r="J1805" s="475"/>
      <c r="K1805" s="275" t="str">
        <f>IFNA(VLOOKUP(D1805,'EAN Codes'!A:C,2,False),"")</f>
        <v/>
      </c>
      <c r="L1805" s="82"/>
      <c r="M1805" s="496" t="b">
        <v>0</v>
      </c>
      <c r="N1805" s="477" t="b">
        <v>0</v>
      </c>
      <c r="O1805" s="497" t="b">
        <v>0</v>
      </c>
      <c r="P1805" s="477" t="b">
        <v>0</v>
      </c>
      <c r="Q1805" s="477" t="b">
        <v>0</v>
      </c>
      <c r="R1805" s="539"/>
      <c r="S1805" s="540"/>
      <c r="T1805" s="543"/>
      <c r="U1805" s="514" t="b">
        <v>0</v>
      </c>
      <c r="Z1805" t="b">
        <v>0</v>
      </c>
      <c r="AA1805" s="6" t="b">
        <v>0</v>
      </c>
      <c r="AC1805" s="35">
        <v>900.0</v>
      </c>
      <c r="AD1805" t="str">
        <f t="shared" si="67"/>
        <v/>
      </c>
      <c r="AE1805" t="str">
        <f t="shared" si="68"/>
        <v/>
      </c>
    </row>
    <row r="1806">
      <c r="B1806" s="99"/>
      <c r="C1806" s="99"/>
      <c r="D1806" s="100"/>
      <c r="E1806" s="101"/>
      <c r="F1806" s="99"/>
      <c r="H1806" s="473"/>
      <c r="I1806" s="474"/>
      <c r="J1806" s="475"/>
      <c r="K1806" s="275" t="str">
        <f>IFNA(VLOOKUP(D1806,'EAN Codes'!A:C,2,False),"")</f>
        <v/>
      </c>
      <c r="L1806" s="82"/>
      <c r="M1806" s="496" t="b">
        <v>0</v>
      </c>
      <c r="N1806" s="477" t="b">
        <v>0</v>
      </c>
      <c r="O1806" s="497" t="b">
        <v>0</v>
      </c>
      <c r="P1806" s="477" t="b">
        <v>0</v>
      </c>
      <c r="Q1806" s="477" t="b">
        <v>0</v>
      </c>
      <c r="R1806" s="539"/>
      <c r="S1806" s="540"/>
      <c r="T1806" s="543"/>
      <c r="U1806" s="514" t="b">
        <v>0</v>
      </c>
      <c r="Z1806" t="b">
        <v>0</v>
      </c>
      <c r="AA1806" s="6" t="b">
        <v>0</v>
      </c>
      <c r="AC1806" s="35">
        <v>900.0</v>
      </c>
      <c r="AD1806" t="str">
        <f t="shared" si="67"/>
        <v/>
      </c>
      <c r="AE1806" t="str">
        <f t="shared" si="68"/>
        <v/>
      </c>
    </row>
    <row r="1807">
      <c r="B1807" s="99"/>
      <c r="C1807" s="99"/>
      <c r="D1807" s="100"/>
      <c r="E1807" s="101"/>
      <c r="F1807" s="99"/>
      <c r="H1807" s="473"/>
      <c r="I1807" s="474"/>
      <c r="J1807" s="475"/>
      <c r="K1807" s="275" t="str">
        <f>IFNA(VLOOKUP(D1807,'EAN Codes'!A:C,2,False),"")</f>
        <v/>
      </c>
      <c r="L1807" s="82"/>
      <c r="M1807" s="496" t="b">
        <v>0</v>
      </c>
      <c r="N1807" s="477" t="b">
        <v>0</v>
      </c>
      <c r="O1807" s="497" t="b">
        <v>0</v>
      </c>
      <c r="P1807" s="477" t="b">
        <v>0</v>
      </c>
      <c r="Q1807" s="477" t="b">
        <v>0</v>
      </c>
      <c r="R1807" s="539"/>
      <c r="S1807" s="540"/>
      <c r="T1807" s="543"/>
      <c r="U1807" s="514" t="b">
        <v>0</v>
      </c>
      <c r="Z1807" t="b">
        <v>0</v>
      </c>
      <c r="AA1807" s="6" t="b">
        <v>0</v>
      </c>
      <c r="AC1807" s="35">
        <v>123.5</v>
      </c>
      <c r="AD1807" t="str">
        <f t="shared" si="67"/>
        <v/>
      </c>
      <c r="AE1807" t="str">
        <f t="shared" si="68"/>
        <v/>
      </c>
    </row>
    <row r="1808">
      <c r="B1808" s="99"/>
      <c r="C1808" s="99"/>
      <c r="D1808" s="100"/>
      <c r="E1808" s="101"/>
      <c r="F1808" s="101"/>
      <c r="H1808" s="473"/>
      <c r="I1808" s="474"/>
      <c r="J1808" s="475"/>
      <c r="K1808" s="275" t="str">
        <f>IFNA(VLOOKUP(D1808,'EAN Codes'!A:C,2,False),"")</f>
        <v/>
      </c>
      <c r="L1808" s="82"/>
      <c r="M1808" s="496" t="b">
        <v>0</v>
      </c>
      <c r="N1808" s="477" t="b">
        <v>0</v>
      </c>
      <c r="O1808" s="497" t="b">
        <v>0</v>
      </c>
      <c r="P1808" s="477" t="b">
        <v>0</v>
      </c>
      <c r="Q1808" s="477" t="b">
        <v>0</v>
      </c>
      <c r="R1808" s="539"/>
      <c r="S1808" s="540"/>
      <c r="T1808" s="543"/>
      <c r="U1808" s="514" t="b">
        <v>0</v>
      </c>
      <c r="Z1808" t="b">
        <v>0</v>
      </c>
      <c r="AA1808" s="6" t="b">
        <v>0</v>
      </c>
      <c r="AC1808" s="35">
        <v>458.98</v>
      </c>
      <c r="AD1808" t="str">
        <f t="shared" si="67"/>
        <v/>
      </c>
      <c r="AE1808" t="str">
        <f t="shared" si="68"/>
        <v/>
      </c>
    </row>
    <row r="1809">
      <c r="B1809" s="99"/>
      <c r="C1809" s="99"/>
      <c r="D1809" s="100"/>
      <c r="E1809" s="101"/>
      <c r="F1809" s="99"/>
      <c r="H1809" s="473"/>
      <c r="I1809" s="473"/>
      <c r="J1809" s="508"/>
      <c r="K1809" s="275" t="str">
        <f>IFNA(VLOOKUP(D1809,'EAN Codes'!A:C,2,False),"")</f>
        <v/>
      </c>
      <c r="L1809" s="82"/>
      <c r="M1809" s="496" t="b">
        <v>0</v>
      </c>
      <c r="N1809" s="477" t="b">
        <v>0</v>
      </c>
      <c r="O1809" s="497" t="b">
        <v>0</v>
      </c>
      <c r="P1809" s="477" t="b">
        <v>0</v>
      </c>
      <c r="Q1809" s="477" t="b">
        <v>0</v>
      </c>
      <c r="R1809" s="539"/>
      <c r="S1809" s="540"/>
      <c r="T1809" s="543"/>
      <c r="U1809" s="514" t="b">
        <v>0</v>
      </c>
      <c r="Z1809" t="b">
        <v>0</v>
      </c>
      <c r="AA1809" s="6" t="b">
        <v>0</v>
      </c>
      <c r="AC1809" s="82">
        <f>47.31*AC1</f>
        <v>548.796</v>
      </c>
      <c r="AD1809" t="str">
        <f t="shared" si="67"/>
        <v/>
      </c>
      <c r="AE1809" t="str">
        <f t="shared" si="68"/>
        <v/>
      </c>
    </row>
    <row r="1810">
      <c r="B1810" s="99"/>
      <c r="C1810" s="101"/>
      <c r="D1810" s="100"/>
      <c r="E1810" s="101"/>
      <c r="F1810" s="101"/>
      <c r="H1810" s="473"/>
      <c r="I1810" s="473"/>
      <c r="J1810" s="475"/>
      <c r="K1810" s="275" t="str">
        <f>IFNA(VLOOKUP(D1810,'EAN Codes'!A:C,2,False),"")</f>
        <v/>
      </c>
      <c r="L1810" s="82"/>
      <c r="M1810" s="496" t="b">
        <v>0</v>
      </c>
      <c r="N1810" s="477" t="b">
        <v>0</v>
      </c>
      <c r="O1810" s="497" t="b">
        <v>0</v>
      </c>
      <c r="P1810" s="477" t="b">
        <v>0</v>
      </c>
      <c r="Q1810" s="477" t="b">
        <v>0</v>
      </c>
      <c r="R1810" s="539"/>
      <c r="S1810" s="540"/>
      <c r="T1810" s="543"/>
      <c r="U1810" s="514" t="b">
        <v>0</v>
      </c>
      <c r="Z1810" t="b">
        <v>0</v>
      </c>
      <c r="AA1810" s="6" t="b">
        <v>0</v>
      </c>
      <c r="AC1810" s="35">
        <v>233.735</v>
      </c>
      <c r="AD1810" t="str">
        <f t="shared" si="67"/>
        <v/>
      </c>
      <c r="AE1810" t="str">
        <f t="shared" si="68"/>
        <v/>
      </c>
    </row>
    <row r="1811">
      <c r="B1811" s="99"/>
      <c r="C1811" s="99"/>
      <c r="D1811" s="100"/>
      <c r="E1811" s="101"/>
      <c r="F1811" s="101"/>
      <c r="H1811" s="473"/>
      <c r="I1811" s="474"/>
      <c r="J1811" s="475"/>
      <c r="K1811" s="275" t="str">
        <f>IFNA(VLOOKUP(D1811,'EAN Codes'!A:C,2,False),"")</f>
        <v/>
      </c>
      <c r="L1811" s="82"/>
      <c r="M1811" s="496" t="b">
        <v>0</v>
      </c>
      <c r="N1811" s="477" t="b">
        <v>0</v>
      </c>
      <c r="O1811" s="497" t="b">
        <v>0</v>
      </c>
      <c r="P1811" s="477" t="b">
        <v>0</v>
      </c>
      <c r="Q1811" s="477" t="b">
        <v>0</v>
      </c>
      <c r="R1811" s="539"/>
      <c r="S1811" s="540"/>
      <c r="T1811" s="543"/>
      <c r="U1811" s="514" t="b">
        <v>0</v>
      </c>
      <c r="Z1811" t="b">
        <v>0</v>
      </c>
      <c r="AC1811" s="82"/>
      <c r="AD1811" t="str">
        <f t="shared" si="67"/>
        <v/>
      </c>
      <c r="AE1811" t="str">
        <f t="shared" si="68"/>
        <v/>
      </c>
    </row>
    <row r="1812">
      <c r="B1812" s="99"/>
      <c r="C1812" s="99"/>
      <c r="D1812" s="100"/>
      <c r="E1812" s="101"/>
      <c r="F1812" s="101"/>
      <c r="H1812" s="473"/>
      <c r="I1812" s="474"/>
      <c r="J1812" s="475"/>
      <c r="K1812" s="275" t="str">
        <f>IFNA(VLOOKUP(D1812,'EAN Codes'!A:C,2,False),"")</f>
        <v/>
      </c>
      <c r="L1812" s="82"/>
      <c r="M1812" s="496" t="b">
        <v>0</v>
      </c>
      <c r="N1812" s="477" t="b">
        <v>0</v>
      </c>
      <c r="O1812" s="497" t="b">
        <v>0</v>
      </c>
      <c r="P1812" s="477" t="b">
        <v>0</v>
      </c>
      <c r="Q1812" s="477" t="b">
        <v>0</v>
      </c>
      <c r="R1812" s="539"/>
      <c r="S1812" s="540"/>
      <c r="T1812" s="543"/>
      <c r="U1812" s="514" t="b">
        <v>0</v>
      </c>
      <c r="Z1812" t="b">
        <v>0</v>
      </c>
      <c r="AA1812" s="6" t="b">
        <v>0</v>
      </c>
      <c r="AC1812" s="82"/>
      <c r="AD1812" t="str">
        <f t="shared" si="67"/>
        <v/>
      </c>
      <c r="AE1812" t="str">
        <f t="shared" si="68"/>
        <v/>
      </c>
    </row>
    <row r="1813">
      <c r="A1813" s="99"/>
      <c r="B1813" s="99"/>
      <c r="C1813" s="99"/>
      <c r="D1813" s="100"/>
      <c r="E1813" s="101"/>
      <c r="F1813" s="101"/>
      <c r="G1813" s="101"/>
      <c r="H1813" s="487"/>
      <c r="I1813" s="474"/>
      <c r="J1813" s="475"/>
      <c r="K1813" s="275" t="str">
        <f>IFNA(VLOOKUP(D1813,'EAN Codes'!A:C,2,False),"")</f>
        <v/>
      </c>
      <c r="L1813" s="82"/>
      <c r="M1813" s="496" t="b">
        <v>0</v>
      </c>
      <c r="N1813" s="477" t="b">
        <v>0</v>
      </c>
      <c r="O1813" s="497" t="b">
        <v>0</v>
      </c>
      <c r="P1813" s="477" t="b">
        <v>0</v>
      </c>
      <c r="Q1813" s="477" t="b">
        <v>0</v>
      </c>
      <c r="R1813" s="539"/>
      <c r="S1813" s="540"/>
      <c r="T1813" s="543"/>
      <c r="U1813" s="514" t="b">
        <v>0</v>
      </c>
      <c r="Z1813" t="b">
        <v>0</v>
      </c>
      <c r="AA1813" s="6" t="b">
        <v>0</v>
      </c>
      <c r="AC1813" s="82"/>
      <c r="AD1813" t="str">
        <f t="shared" si="67"/>
        <v/>
      </c>
      <c r="AE1813" t="str">
        <f t="shared" si="68"/>
        <v/>
      </c>
    </row>
    <row r="1814" hidden="1">
      <c r="A1814" s="6">
        <v>1.0</v>
      </c>
      <c r="B1814" s="6" t="s">
        <v>241</v>
      </c>
      <c r="C1814" s="6" t="s">
        <v>342</v>
      </c>
      <c r="D1814" s="127" t="s">
        <v>567</v>
      </c>
      <c r="H1814" s="473" t="s">
        <v>1618</v>
      </c>
      <c r="I1814" s="473" t="s">
        <v>9462</v>
      </c>
      <c r="J1814" s="508" t="s">
        <v>9463</v>
      </c>
      <c r="K1814" s="275" t="str">
        <f>IFNA(VLOOKUP(D1814,'EAN Codes'!A:C,2,False),"")</f>
        <v>5907615826146</v>
      </c>
      <c r="L1814" s="82"/>
      <c r="M1814" s="496" t="b">
        <v>0</v>
      </c>
      <c r="N1814" s="497" t="b">
        <v>1</v>
      </c>
      <c r="O1814" s="497" t="b">
        <v>0</v>
      </c>
      <c r="P1814" s="477" t="b">
        <v>0</v>
      </c>
      <c r="Q1814" s="477" t="b">
        <v>0</v>
      </c>
      <c r="R1814" s="478" t="s">
        <v>9464</v>
      </c>
      <c r="S1814" s="540"/>
      <c r="T1814" s="543"/>
      <c r="U1814" s="481" t="b">
        <v>1</v>
      </c>
      <c r="Z1814" t="b">
        <v>0</v>
      </c>
      <c r="AA1814" s="6" t="b">
        <v>0</v>
      </c>
      <c r="AC1814" s="82"/>
      <c r="AD1814" t="str">
        <f t="shared" si="67"/>
        <v/>
      </c>
      <c r="AE1814" t="str">
        <f t="shared" si="68"/>
        <v/>
      </c>
    </row>
    <row r="1815">
      <c r="B1815" s="99"/>
      <c r="C1815" s="99"/>
      <c r="D1815" s="100"/>
      <c r="E1815" s="101"/>
      <c r="F1815" s="101"/>
      <c r="G1815" s="101"/>
      <c r="H1815" s="487"/>
      <c r="I1815" s="487"/>
      <c r="J1815" s="581"/>
      <c r="K1815" s="90"/>
      <c r="L1815" s="82"/>
      <c r="M1815" s="496" t="b">
        <v>0</v>
      </c>
      <c r="N1815" s="477" t="b">
        <v>0</v>
      </c>
      <c r="O1815" s="497" t="b">
        <v>0</v>
      </c>
      <c r="P1815" s="477" t="b">
        <v>0</v>
      </c>
      <c r="Q1815" s="477" t="b">
        <v>0</v>
      </c>
      <c r="R1815" s="539"/>
      <c r="S1815" s="540"/>
      <c r="T1815" s="543"/>
      <c r="U1815" s="514" t="b">
        <v>0</v>
      </c>
      <c r="Z1815" t="b">
        <v>0</v>
      </c>
      <c r="AA1815" s="106" t="b">
        <v>0</v>
      </c>
      <c r="AC1815" s="82"/>
      <c r="AD1815" t="str">
        <f t="shared" si="67"/>
        <v/>
      </c>
      <c r="AE1815" t="str">
        <f t="shared" si="68"/>
        <v/>
      </c>
    </row>
    <row r="1816" hidden="1">
      <c r="A1816" s="6">
        <v>1.0</v>
      </c>
      <c r="B1816" s="6" t="s">
        <v>391</v>
      </c>
      <c r="C1816" s="6" t="s">
        <v>8536</v>
      </c>
      <c r="D1816" s="127" t="s">
        <v>9465</v>
      </c>
      <c r="H1816" s="473" t="s">
        <v>135</v>
      </c>
      <c r="I1816" s="473">
        <v>373490.0</v>
      </c>
      <c r="J1816" s="508" t="s">
        <v>9466</v>
      </c>
      <c r="K1816" s="275" t="str">
        <f>IFNA(VLOOKUP(D1816,'EAN Codes'!A:C,2,False),"")</f>
        <v/>
      </c>
      <c r="L1816" s="82"/>
      <c r="M1816" s="496" t="b">
        <v>1</v>
      </c>
      <c r="N1816" s="477" t="b">
        <v>0</v>
      </c>
      <c r="O1816" s="497" t="b">
        <v>0</v>
      </c>
      <c r="P1816" s="477" t="b">
        <v>0</v>
      </c>
      <c r="Q1816" s="477" t="b">
        <v>0</v>
      </c>
      <c r="R1816" s="539"/>
      <c r="S1816" s="540"/>
      <c r="T1816" s="480">
        <v>373617.0</v>
      </c>
      <c r="U1816" s="481" t="b">
        <v>1</v>
      </c>
      <c r="Z1816" t="b">
        <v>0</v>
      </c>
      <c r="AA1816" s="6" t="b">
        <v>0</v>
      </c>
      <c r="AC1816" s="35">
        <v>517.36</v>
      </c>
      <c r="AD1816" t="str">
        <f t="shared" si="67"/>
        <v/>
      </c>
      <c r="AE1816" t="str">
        <f t="shared" si="68"/>
        <v/>
      </c>
    </row>
    <row r="1817" hidden="1">
      <c r="A1817" s="6">
        <v>1.0</v>
      </c>
      <c r="B1817" s="6" t="s">
        <v>391</v>
      </c>
      <c r="C1817" s="6" t="s">
        <v>8536</v>
      </c>
      <c r="D1817" s="127" t="s">
        <v>8978</v>
      </c>
      <c r="H1817" s="473" t="s">
        <v>135</v>
      </c>
      <c r="I1817" s="473">
        <v>373490.0</v>
      </c>
      <c r="J1817" s="508" t="s">
        <v>9466</v>
      </c>
      <c r="K1817" s="275" t="str">
        <f>IFNA(VLOOKUP(D1817,'EAN Codes'!A:C,2,False),"")</f>
        <v/>
      </c>
      <c r="L1817" s="82"/>
      <c r="M1817" s="496" t="b">
        <v>1</v>
      </c>
      <c r="N1817" s="477" t="b">
        <v>0</v>
      </c>
      <c r="O1817" s="497" t="b">
        <v>0</v>
      </c>
      <c r="P1817" s="477" t="b">
        <v>0</v>
      </c>
      <c r="Q1817" s="477" t="b">
        <v>0</v>
      </c>
      <c r="R1817" s="539"/>
      <c r="S1817" s="540"/>
      <c r="T1817" s="480" t="s">
        <v>9467</v>
      </c>
      <c r="U1817" s="481" t="b">
        <v>1</v>
      </c>
      <c r="Z1817" t="b">
        <v>0</v>
      </c>
      <c r="AA1817" s="6" t="b">
        <v>0</v>
      </c>
      <c r="AC1817" s="35">
        <v>1454.64</v>
      </c>
      <c r="AD1817" t="str">
        <f t="shared" si="67"/>
        <v/>
      </c>
      <c r="AE1817" t="str">
        <f t="shared" si="68"/>
        <v/>
      </c>
    </row>
    <row r="1818">
      <c r="D1818" s="127"/>
      <c r="H1818" s="473"/>
      <c r="I1818" s="474"/>
      <c r="J1818" s="508"/>
      <c r="K1818" s="275"/>
      <c r="L1818" s="82"/>
      <c r="M1818" s="496" t="b">
        <v>0</v>
      </c>
      <c r="N1818" s="477" t="b">
        <v>0</v>
      </c>
      <c r="O1818" s="497" t="b">
        <v>0</v>
      </c>
      <c r="P1818" s="477" t="b">
        <v>0</v>
      </c>
      <c r="Q1818" s="477" t="b">
        <v>0</v>
      </c>
      <c r="R1818" s="539"/>
      <c r="S1818" s="540"/>
      <c r="T1818" s="543"/>
      <c r="U1818" s="514" t="b">
        <v>0</v>
      </c>
      <c r="Z1818" t="b">
        <v>0</v>
      </c>
      <c r="AA1818" s="106" t="b">
        <v>0</v>
      </c>
      <c r="AC1818" s="82"/>
      <c r="AD1818" t="str">
        <f t="shared" si="67"/>
        <v/>
      </c>
      <c r="AE1818" t="str">
        <f t="shared" si="68"/>
        <v/>
      </c>
    </row>
    <row r="1819">
      <c r="B1819" s="99"/>
      <c r="C1819" s="99"/>
      <c r="D1819" s="100"/>
      <c r="H1819" s="473"/>
      <c r="I1819" s="473"/>
      <c r="J1819" s="508"/>
      <c r="K1819" s="275" t="str">
        <f>IFNA(VLOOKUP(D1819,'EAN Codes'!A:C,2,False),"")</f>
        <v/>
      </c>
      <c r="L1819" s="82"/>
      <c r="M1819" s="496" t="b">
        <v>0</v>
      </c>
      <c r="N1819" s="477" t="b">
        <v>0</v>
      </c>
      <c r="O1819" s="497" t="b">
        <v>0</v>
      </c>
      <c r="P1819" s="477" t="b">
        <v>0</v>
      </c>
      <c r="Q1819" s="477" t="b">
        <v>0</v>
      </c>
      <c r="R1819" s="539"/>
      <c r="S1819" s="540"/>
      <c r="T1819" s="543"/>
      <c r="U1819" s="514" t="b">
        <v>0</v>
      </c>
      <c r="Z1819" t="b">
        <v>0</v>
      </c>
      <c r="AA1819" s="6" t="b">
        <v>0</v>
      </c>
      <c r="AC1819" s="35">
        <v>651.92</v>
      </c>
      <c r="AD1819" t="str">
        <f t="shared" si="67"/>
        <v/>
      </c>
      <c r="AE1819" t="str">
        <f t="shared" si="68"/>
        <v/>
      </c>
    </row>
    <row r="1820">
      <c r="B1820" s="99"/>
      <c r="C1820" s="99"/>
      <c r="D1820" s="100"/>
      <c r="H1820" s="473"/>
      <c r="I1820" s="474"/>
      <c r="J1820" s="508"/>
      <c r="K1820" s="275" t="str">
        <f>IFNA(VLOOKUP(D1820,'EAN Codes'!A:C,2,False),"")</f>
        <v/>
      </c>
      <c r="L1820" s="82"/>
      <c r="M1820" s="496" t="b">
        <v>0</v>
      </c>
      <c r="N1820" s="497" t="b">
        <v>0</v>
      </c>
      <c r="O1820" s="497" t="b">
        <v>0</v>
      </c>
      <c r="P1820" s="477" t="b">
        <v>0</v>
      </c>
      <c r="Q1820" s="477" t="b">
        <v>0</v>
      </c>
      <c r="R1820" s="539"/>
      <c r="S1820" s="540"/>
      <c r="T1820" s="543"/>
      <c r="U1820" s="514" t="b">
        <v>0</v>
      </c>
      <c r="Z1820" t="b">
        <v>0</v>
      </c>
      <c r="AA1820" s="106" t="b">
        <v>0</v>
      </c>
      <c r="AC1820" s="82"/>
      <c r="AD1820" t="str">
        <f t="shared" si="67"/>
        <v/>
      </c>
      <c r="AE1820" t="str">
        <f t="shared" si="68"/>
        <v/>
      </c>
    </row>
    <row r="1821">
      <c r="B1821" s="99"/>
      <c r="C1821" s="99"/>
      <c r="D1821" s="100"/>
      <c r="H1821" s="473"/>
      <c r="I1821" s="474"/>
      <c r="J1821" s="508"/>
      <c r="K1821" s="275" t="str">
        <f>IFNA(VLOOKUP(D1821,'EAN Codes'!A:C,2,False),"")</f>
        <v/>
      </c>
      <c r="L1821" s="82"/>
      <c r="M1821" s="496" t="b">
        <v>0</v>
      </c>
      <c r="N1821" s="497" t="b">
        <v>0</v>
      </c>
      <c r="O1821" s="497" t="b">
        <v>0</v>
      </c>
      <c r="P1821" s="477" t="b">
        <v>0</v>
      </c>
      <c r="Q1821" s="477" t="b">
        <v>0</v>
      </c>
      <c r="R1821" s="539"/>
      <c r="S1821" s="540"/>
      <c r="T1821" s="543"/>
      <c r="U1821" s="514" t="b">
        <v>0</v>
      </c>
      <c r="Z1821" t="b">
        <v>0</v>
      </c>
      <c r="AA1821" s="106" t="b">
        <v>0</v>
      </c>
      <c r="AC1821" s="82"/>
      <c r="AD1821" t="str">
        <f t="shared" si="67"/>
        <v/>
      </c>
      <c r="AE1821" t="str">
        <f t="shared" si="68"/>
        <v/>
      </c>
    </row>
    <row r="1822">
      <c r="B1822" s="99"/>
      <c r="C1822" s="99"/>
      <c r="D1822" s="100"/>
      <c r="H1822" s="473"/>
      <c r="I1822" s="474"/>
      <c r="J1822" s="508"/>
      <c r="K1822" s="275" t="str">
        <f>IFNA(VLOOKUP(D1822,'EAN Codes'!A:C,2,False),"")</f>
        <v/>
      </c>
      <c r="L1822" s="82"/>
      <c r="M1822" s="496" t="b">
        <v>0</v>
      </c>
      <c r="N1822" s="497" t="b">
        <v>0</v>
      </c>
      <c r="O1822" s="497" t="b">
        <v>0</v>
      </c>
      <c r="P1822" s="477" t="b">
        <v>0</v>
      </c>
      <c r="Q1822" s="477" t="b">
        <v>0</v>
      </c>
      <c r="R1822" s="539"/>
      <c r="S1822" s="540"/>
      <c r="T1822" s="543"/>
      <c r="U1822" s="514" t="b">
        <v>0</v>
      </c>
      <c r="Z1822" t="b">
        <v>0</v>
      </c>
      <c r="AA1822" s="106" t="b">
        <v>0</v>
      </c>
      <c r="AC1822" s="82"/>
      <c r="AD1822" t="str">
        <f t="shared" si="67"/>
        <v/>
      </c>
      <c r="AE1822" t="str">
        <f t="shared" si="68"/>
        <v/>
      </c>
    </row>
    <row r="1823">
      <c r="B1823" s="99"/>
      <c r="C1823" s="99"/>
      <c r="D1823" s="100"/>
      <c r="H1823" s="473"/>
      <c r="I1823" s="474"/>
      <c r="J1823" s="508"/>
      <c r="K1823" s="275" t="str">
        <f>IFNA(VLOOKUP(D1823,'EAN Codes'!A:C,2,False),"")</f>
        <v/>
      </c>
      <c r="L1823" s="82"/>
      <c r="M1823" s="496" t="b">
        <v>0</v>
      </c>
      <c r="N1823" s="497" t="b">
        <v>0</v>
      </c>
      <c r="O1823" s="497" t="b">
        <v>0</v>
      </c>
      <c r="P1823" s="477" t="b">
        <v>0</v>
      </c>
      <c r="Q1823" s="477" t="b">
        <v>0</v>
      </c>
      <c r="R1823" s="539"/>
      <c r="S1823" s="540"/>
      <c r="T1823" s="543"/>
      <c r="U1823" s="514" t="b">
        <v>0</v>
      </c>
      <c r="Z1823" t="b">
        <v>0</v>
      </c>
      <c r="AA1823" s="106" t="b">
        <v>0</v>
      </c>
      <c r="AC1823" s="82"/>
      <c r="AD1823" t="str">
        <f t="shared" si="67"/>
        <v/>
      </c>
      <c r="AE1823" t="str">
        <f t="shared" si="68"/>
        <v/>
      </c>
    </row>
    <row r="1824">
      <c r="B1824" s="99"/>
      <c r="C1824" s="99"/>
      <c r="D1824" s="100"/>
      <c r="H1824" s="473"/>
      <c r="I1824" s="474"/>
      <c r="J1824" s="508"/>
      <c r="K1824" s="275" t="str">
        <f>IFNA(VLOOKUP(D1824,'EAN Codes'!A:C,2,False),"")</f>
        <v/>
      </c>
      <c r="L1824" s="82"/>
      <c r="M1824" s="496" t="b">
        <v>0</v>
      </c>
      <c r="N1824" s="497" t="b">
        <v>0</v>
      </c>
      <c r="O1824" s="497" t="b">
        <v>0</v>
      </c>
      <c r="P1824" s="477" t="b">
        <v>0</v>
      </c>
      <c r="Q1824" s="477" t="b">
        <v>0</v>
      </c>
      <c r="R1824" s="539"/>
      <c r="S1824" s="540"/>
      <c r="T1824" s="543"/>
      <c r="U1824" s="514" t="b">
        <v>0</v>
      </c>
      <c r="Z1824" t="b">
        <v>0</v>
      </c>
      <c r="AA1824" s="106" t="b">
        <v>0</v>
      </c>
      <c r="AC1824" s="82"/>
      <c r="AD1824" t="str">
        <f t="shared" si="67"/>
        <v/>
      </c>
      <c r="AE1824" t="str">
        <f t="shared" si="68"/>
        <v/>
      </c>
    </row>
    <row r="1825">
      <c r="B1825" s="99"/>
      <c r="C1825" s="99"/>
      <c r="D1825" s="100"/>
      <c r="H1825" s="473"/>
      <c r="I1825" s="474"/>
      <c r="J1825" s="508"/>
      <c r="K1825" s="275" t="str">
        <f>IFNA(VLOOKUP(D1825,'EAN Codes'!A:C,2,False),"")</f>
        <v/>
      </c>
      <c r="L1825" s="82"/>
      <c r="M1825" s="496" t="b">
        <v>0</v>
      </c>
      <c r="N1825" s="497" t="b">
        <v>0</v>
      </c>
      <c r="O1825" s="497" t="b">
        <v>0</v>
      </c>
      <c r="P1825" s="477" t="b">
        <v>0</v>
      </c>
      <c r="Q1825" s="477" t="b">
        <v>0</v>
      </c>
      <c r="R1825" s="539"/>
      <c r="S1825" s="540"/>
      <c r="T1825" s="543"/>
      <c r="U1825" s="514" t="b">
        <v>0</v>
      </c>
      <c r="Z1825" t="b">
        <v>0</v>
      </c>
      <c r="AA1825" s="106" t="b">
        <v>0</v>
      </c>
      <c r="AC1825" s="82"/>
      <c r="AD1825" t="str">
        <f t="shared" si="67"/>
        <v/>
      </c>
      <c r="AE1825" t="str">
        <f t="shared" si="68"/>
        <v/>
      </c>
    </row>
    <row r="1826">
      <c r="B1826" s="99"/>
      <c r="C1826" s="99"/>
      <c r="D1826" s="100"/>
      <c r="H1826" s="473"/>
      <c r="I1826" s="474"/>
      <c r="J1826" s="508"/>
      <c r="K1826" s="275" t="str">
        <f>IFNA(VLOOKUP(D1826,'EAN Codes'!A:C,2,False),"")</f>
        <v/>
      </c>
      <c r="L1826" s="82"/>
      <c r="M1826" s="496" t="b">
        <v>0</v>
      </c>
      <c r="N1826" s="497" t="b">
        <v>0</v>
      </c>
      <c r="O1826" s="497" t="b">
        <v>0</v>
      </c>
      <c r="P1826" s="477" t="b">
        <v>0</v>
      </c>
      <c r="Q1826" s="477" t="b">
        <v>0</v>
      </c>
      <c r="R1826" s="539"/>
      <c r="S1826" s="540"/>
      <c r="T1826" s="543"/>
      <c r="U1826" s="514" t="b">
        <v>0</v>
      </c>
      <c r="Z1826" t="b">
        <v>0</v>
      </c>
      <c r="AA1826" s="106" t="b">
        <v>0</v>
      </c>
      <c r="AC1826" s="82"/>
      <c r="AD1826" t="str">
        <f t="shared" si="67"/>
        <v/>
      </c>
      <c r="AE1826" t="str">
        <f t="shared" si="68"/>
        <v/>
      </c>
    </row>
    <row r="1827">
      <c r="B1827" s="99"/>
      <c r="C1827" s="99"/>
      <c r="D1827" s="100"/>
      <c r="H1827" s="473"/>
      <c r="I1827" s="474"/>
      <c r="J1827" s="508"/>
      <c r="K1827" s="275" t="str">
        <f>IFNA(VLOOKUP(D1827,'EAN Codes'!A:C,2,False),"")</f>
        <v/>
      </c>
      <c r="L1827" s="82"/>
      <c r="M1827" s="496" t="b">
        <v>0</v>
      </c>
      <c r="N1827" s="477" t="b">
        <v>0</v>
      </c>
      <c r="O1827" s="497" t="b">
        <v>0</v>
      </c>
      <c r="P1827" s="477" t="b">
        <v>0</v>
      </c>
      <c r="Q1827" s="477" t="b">
        <v>0</v>
      </c>
      <c r="R1827" s="539"/>
      <c r="S1827" s="540"/>
      <c r="T1827" s="543"/>
      <c r="U1827" s="514" t="b">
        <v>0</v>
      </c>
      <c r="Z1827" t="b">
        <v>0</v>
      </c>
      <c r="AA1827" s="106" t="b">
        <v>0</v>
      </c>
      <c r="AC1827" s="35">
        <v>2157.6</v>
      </c>
      <c r="AD1827" t="str">
        <f t="shared" si="67"/>
        <v/>
      </c>
      <c r="AE1827" t="str">
        <f t="shared" si="68"/>
        <v/>
      </c>
    </row>
    <row r="1828">
      <c r="B1828" s="99"/>
      <c r="C1828" s="99"/>
      <c r="D1828" s="100"/>
      <c r="E1828" s="99"/>
      <c r="F1828" s="99"/>
      <c r="H1828" s="473"/>
      <c r="I1828" s="473"/>
      <c r="J1828" s="508"/>
      <c r="K1828" s="275" t="str">
        <f>IFNA(VLOOKUP(D1828,'EAN Codes'!A:C,2,False),"")</f>
        <v/>
      </c>
      <c r="L1828" s="82"/>
      <c r="M1828" s="496" t="b">
        <v>0</v>
      </c>
      <c r="N1828" s="497" t="b">
        <v>0</v>
      </c>
      <c r="O1828" s="497" t="b">
        <v>0</v>
      </c>
      <c r="P1828" s="477" t="b">
        <v>0</v>
      </c>
      <c r="Q1828" s="477" t="b">
        <v>0</v>
      </c>
      <c r="R1828" s="539"/>
      <c r="S1828" s="479"/>
      <c r="T1828" s="480"/>
      <c r="U1828" s="481" t="b">
        <v>0</v>
      </c>
      <c r="Z1828" t="b">
        <v>0</v>
      </c>
      <c r="AA1828" s="6" t="b">
        <v>0</v>
      </c>
      <c r="AC1828" s="82"/>
      <c r="AD1828" t="str">
        <f t="shared" si="67"/>
        <v/>
      </c>
      <c r="AE1828" t="str">
        <f t="shared" si="68"/>
        <v/>
      </c>
    </row>
    <row r="1829">
      <c r="B1829" s="99"/>
      <c r="C1829" s="99"/>
      <c r="D1829" s="100"/>
      <c r="H1829" s="473"/>
      <c r="I1829" s="473"/>
      <c r="J1829" s="475"/>
      <c r="K1829" s="275" t="str">
        <f>IFNA(VLOOKUP(D1829,'EAN Codes'!A:C,2,False),"")</f>
        <v/>
      </c>
      <c r="L1829" s="82"/>
      <c r="M1829" s="496" t="b">
        <v>0</v>
      </c>
      <c r="N1829" s="477" t="b">
        <v>0</v>
      </c>
      <c r="O1829" s="497" t="b">
        <v>0</v>
      </c>
      <c r="P1829" s="477" t="b">
        <v>0</v>
      </c>
      <c r="Q1829" s="477" t="b">
        <v>0</v>
      </c>
      <c r="R1829" s="539"/>
      <c r="S1829" s="540"/>
      <c r="T1829" s="543"/>
      <c r="U1829" s="481" t="b">
        <v>0</v>
      </c>
      <c r="Z1829" t="b">
        <v>0</v>
      </c>
      <c r="AA1829" s="6" t="b">
        <v>0</v>
      </c>
      <c r="AC1829" s="82"/>
      <c r="AD1829" t="str">
        <f t="shared" si="67"/>
        <v/>
      </c>
      <c r="AE1829" t="str">
        <f t="shared" si="68"/>
        <v/>
      </c>
    </row>
    <row r="1830">
      <c r="B1830" s="99"/>
      <c r="C1830" s="99"/>
      <c r="D1830" s="100"/>
      <c r="H1830" s="473"/>
      <c r="I1830" s="473"/>
      <c r="J1830" s="475"/>
      <c r="K1830" s="275" t="str">
        <f>IFNA(VLOOKUP(D1830,'EAN Codes'!A:C,2,False),"")</f>
        <v/>
      </c>
      <c r="L1830" s="82"/>
      <c r="M1830" s="496" t="b">
        <v>0</v>
      </c>
      <c r="N1830" s="477" t="b">
        <v>0</v>
      </c>
      <c r="O1830" s="497" t="b">
        <v>0</v>
      </c>
      <c r="P1830" s="477" t="b">
        <v>0</v>
      </c>
      <c r="Q1830" s="477" t="b">
        <v>0</v>
      </c>
      <c r="R1830" s="539"/>
      <c r="S1830" s="540"/>
      <c r="T1830" s="543"/>
      <c r="U1830" s="481" t="b">
        <v>0</v>
      </c>
      <c r="Z1830" t="b">
        <v>0</v>
      </c>
      <c r="AA1830" s="6" t="b">
        <v>0</v>
      </c>
      <c r="AC1830" s="82"/>
      <c r="AD1830" t="str">
        <f t="shared" si="67"/>
        <v/>
      </c>
      <c r="AE1830" t="str">
        <f t="shared" si="68"/>
        <v/>
      </c>
    </row>
    <row r="1831">
      <c r="B1831" s="99"/>
      <c r="C1831" s="99"/>
      <c r="D1831" s="100"/>
      <c r="E1831" s="101"/>
      <c r="F1831" s="101"/>
      <c r="G1831" s="101"/>
      <c r="H1831" s="487"/>
      <c r="I1831" s="487"/>
      <c r="J1831" s="475"/>
      <c r="K1831" s="275" t="str">
        <f>IFNA(VLOOKUP(D1831,'EAN Codes'!A:C,2,False),"")</f>
        <v/>
      </c>
      <c r="L1831" s="82"/>
      <c r="M1831" s="496" t="b">
        <v>0</v>
      </c>
      <c r="N1831" s="477" t="b">
        <v>0</v>
      </c>
      <c r="O1831" s="497" t="b">
        <v>0</v>
      </c>
      <c r="P1831" s="477" t="b">
        <v>0</v>
      </c>
      <c r="Q1831" s="477" t="b">
        <v>0</v>
      </c>
      <c r="R1831" s="539"/>
      <c r="S1831" s="540"/>
      <c r="T1831" s="543"/>
      <c r="U1831" s="481" t="b">
        <v>0</v>
      </c>
      <c r="Z1831" t="b">
        <v>0</v>
      </c>
      <c r="AA1831" s="6" t="b">
        <v>0</v>
      </c>
      <c r="AC1831" s="82"/>
      <c r="AD1831" t="str">
        <f t="shared" si="67"/>
        <v/>
      </c>
      <c r="AE1831" t="str">
        <f t="shared" si="68"/>
        <v/>
      </c>
    </row>
    <row r="1832">
      <c r="B1832" s="99"/>
      <c r="C1832" s="99"/>
      <c r="D1832" s="100"/>
      <c r="H1832" s="473"/>
      <c r="I1832" s="473"/>
      <c r="J1832" s="475"/>
      <c r="K1832" s="275" t="str">
        <f>IFNA(VLOOKUP(D1832,'EAN Codes'!A:C,2,False),"")</f>
        <v/>
      </c>
      <c r="L1832" s="82"/>
      <c r="M1832" s="496" t="b">
        <v>0</v>
      </c>
      <c r="N1832" s="477" t="b">
        <v>0</v>
      </c>
      <c r="O1832" s="497" t="b">
        <v>0</v>
      </c>
      <c r="P1832" s="477" t="b">
        <v>0</v>
      </c>
      <c r="Q1832" s="477" t="b">
        <v>0</v>
      </c>
      <c r="R1832" s="539"/>
      <c r="S1832" s="540"/>
      <c r="T1832" s="543"/>
      <c r="U1832" s="481" t="b">
        <v>0</v>
      </c>
      <c r="Z1832" t="b">
        <v>0</v>
      </c>
      <c r="AA1832" s="6" t="b">
        <v>0</v>
      </c>
      <c r="AC1832" s="82"/>
      <c r="AD1832" t="str">
        <f t="shared" si="67"/>
        <v/>
      </c>
      <c r="AE1832" t="str">
        <f t="shared" si="68"/>
        <v/>
      </c>
    </row>
    <row r="1833">
      <c r="B1833" s="99"/>
      <c r="C1833" s="99"/>
      <c r="D1833" s="100"/>
      <c r="H1833" s="473"/>
      <c r="I1833" s="473"/>
      <c r="J1833" s="475"/>
      <c r="K1833" s="275" t="str">
        <f>IFNA(VLOOKUP(D1833,'EAN Codes'!A:C,2,False),"")</f>
        <v/>
      </c>
      <c r="L1833" s="82"/>
      <c r="M1833" s="496" t="b">
        <v>0</v>
      </c>
      <c r="N1833" s="477" t="b">
        <v>0</v>
      </c>
      <c r="O1833" s="497" t="b">
        <v>0</v>
      </c>
      <c r="P1833" s="477" t="b">
        <v>0</v>
      </c>
      <c r="Q1833" s="477" t="b">
        <v>0</v>
      </c>
      <c r="R1833" s="539"/>
      <c r="S1833" s="540"/>
      <c r="T1833" s="543"/>
      <c r="U1833" s="481" t="b">
        <v>0</v>
      </c>
      <c r="Z1833" t="b">
        <v>0</v>
      </c>
      <c r="AA1833" s="6" t="b">
        <v>0</v>
      </c>
      <c r="AC1833" s="35">
        <v>651.92</v>
      </c>
      <c r="AD1833" t="str">
        <f t="shared" si="67"/>
        <v/>
      </c>
      <c r="AE1833" t="str">
        <f t="shared" si="68"/>
        <v/>
      </c>
    </row>
    <row r="1834">
      <c r="B1834" s="99"/>
      <c r="C1834" s="99"/>
      <c r="D1834" s="100"/>
      <c r="H1834" s="473"/>
      <c r="I1834" s="473"/>
      <c r="J1834" s="475"/>
      <c r="K1834" s="275" t="str">
        <f>IFNA(VLOOKUP(D1834,'EAN Codes'!A:C,2,False),"")</f>
        <v/>
      </c>
      <c r="L1834" s="82"/>
      <c r="M1834" s="496" t="b">
        <v>0</v>
      </c>
      <c r="N1834" s="477" t="b">
        <v>0</v>
      </c>
      <c r="O1834" s="497" t="b">
        <v>0</v>
      </c>
      <c r="P1834" s="477" t="b">
        <v>0</v>
      </c>
      <c r="Q1834" s="477" t="b">
        <v>0</v>
      </c>
      <c r="R1834" s="539"/>
      <c r="S1834" s="540"/>
      <c r="T1834" s="543"/>
      <c r="U1834" s="481" t="b">
        <v>0</v>
      </c>
      <c r="Z1834" t="b">
        <v>0</v>
      </c>
      <c r="AA1834" s="6" t="b">
        <v>0</v>
      </c>
      <c r="AC1834" s="82"/>
      <c r="AD1834" t="str">
        <f t="shared" si="67"/>
        <v/>
      </c>
      <c r="AE1834" t="str">
        <f t="shared" si="68"/>
        <v/>
      </c>
    </row>
    <row r="1835">
      <c r="B1835" s="99"/>
      <c r="C1835" s="99"/>
      <c r="D1835" s="100"/>
      <c r="H1835" s="473"/>
      <c r="I1835" s="473"/>
      <c r="J1835" s="475"/>
      <c r="K1835" s="275" t="str">
        <f>IFNA(VLOOKUP(D1835,'EAN Codes'!A:C,2,False),"")</f>
        <v/>
      </c>
      <c r="L1835" s="82"/>
      <c r="M1835" s="496" t="b">
        <v>0</v>
      </c>
      <c r="N1835" s="477" t="b">
        <v>0</v>
      </c>
      <c r="O1835" s="497" t="b">
        <v>0</v>
      </c>
      <c r="P1835" s="477" t="b">
        <v>0</v>
      </c>
      <c r="Q1835" s="477" t="b">
        <v>0</v>
      </c>
      <c r="R1835" s="539"/>
      <c r="S1835" s="540"/>
      <c r="T1835" s="543"/>
      <c r="U1835" s="481" t="b">
        <v>0</v>
      </c>
      <c r="Z1835" t="b">
        <v>0</v>
      </c>
      <c r="AA1835" s="6" t="b">
        <v>0</v>
      </c>
      <c r="AC1835" s="82"/>
      <c r="AD1835" t="str">
        <f t="shared" si="67"/>
        <v/>
      </c>
      <c r="AE1835" t="str">
        <f t="shared" si="68"/>
        <v/>
      </c>
    </row>
    <row r="1836">
      <c r="B1836" s="99"/>
      <c r="C1836" s="99"/>
      <c r="D1836" s="100"/>
      <c r="H1836" s="473"/>
      <c r="I1836" s="473"/>
      <c r="J1836" s="475"/>
      <c r="K1836" s="275" t="str">
        <f>IFNA(VLOOKUP(D1836,'EAN Codes'!A:C,2,False),"")</f>
        <v/>
      </c>
      <c r="L1836" s="82"/>
      <c r="M1836" s="496" t="b">
        <v>0</v>
      </c>
      <c r="N1836" s="477" t="b">
        <v>0</v>
      </c>
      <c r="O1836" s="497" t="b">
        <v>0</v>
      </c>
      <c r="P1836" s="477" t="b">
        <v>0</v>
      </c>
      <c r="Q1836" s="477" t="b">
        <v>0</v>
      </c>
      <c r="R1836" s="539"/>
      <c r="S1836" s="540"/>
      <c r="T1836" s="543"/>
      <c r="U1836" s="481" t="b">
        <v>0</v>
      </c>
      <c r="Z1836" t="b">
        <v>0</v>
      </c>
      <c r="AA1836" s="6" t="b">
        <v>0</v>
      </c>
      <c r="AC1836" s="82"/>
      <c r="AD1836" t="str">
        <f t="shared" si="67"/>
        <v/>
      </c>
      <c r="AE1836" t="str">
        <f t="shared" si="68"/>
        <v/>
      </c>
    </row>
    <row r="1837">
      <c r="B1837" s="99"/>
      <c r="C1837" s="99"/>
      <c r="D1837" s="100"/>
      <c r="H1837" s="473"/>
      <c r="I1837" s="473"/>
      <c r="J1837" s="475"/>
      <c r="K1837" s="275" t="str">
        <f>IFNA(VLOOKUP(D1837,'EAN Codes'!A:C,2,False),"")</f>
        <v/>
      </c>
      <c r="L1837" s="82"/>
      <c r="M1837" s="496" t="b">
        <v>0</v>
      </c>
      <c r="N1837" s="477" t="b">
        <v>0</v>
      </c>
      <c r="O1837" s="497" t="b">
        <v>0</v>
      </c>
      <c r="P1837" s="477" t="b">
        <v>0</v>
      </c>
      <c r="Q1837" s="477" t="b">
        <v>0</v>
      </c>
      <c r="R1837" s="539"/>
      <c r="S1837" s="540"/>
      <c r="T1837" s="543"/>
      <c r="U1837" s="481" t="b">
        <v>0</v>
      </c>
      <c r="Z1837" t="b">
        <v>0</v>
      </c>
      <c r="AA1837" s="6" t="b">
        <v>0</v>
      </c>
      <c r="AC1837" s="82"/>
      <c r="AD1837" t="str">
        <f t="shared" si="67"/>
        <v/>
      </c>
      <c r="AE1837" t="str">
        <f t="shared" si="68"/>
        <v/>
      </c>
    </row>
    <row r="1838">
      <c r="B1838" s="99"/>
      <c r="C1838" s="99"/>
      <c r="D1838" s="100"/>
      <c r="H1838" s="473"/>
      <c r="I1838" s="473"/>
      <c r="J1838" s="475"/>
      <c r="K1838" s="275" t="str">
        <f>IFNA(VLOOKUP(D1838,'EAN Codes'!A:C,2,False),"")</f>
        <v/>
      </c>
      <c r="L1838" s="82"/>
      <c r="M1838" s="496" t="b">
        <v>0</v>
      </c>
      <c r="N1838" s="477" t="b">
        <v>0</v>
      </c>
      <c r="O1838" s="497" t="b">
        <v>0</v>
      </c>
      <c r="P1838" s="477" t="b">
        <v>0</v>
      </c>
      <c r="Q1838" s="477" t="b">
        <v>0</v>
      </c>
      <c r="R1838" s="539"/>
      <c r="S1838" s="540"/>
      <c r="T1838" s="543"/>
      <c r="U1838" s="481" t="b">
        <v>0</v>
      </c>
      <c r="Z1838" t="b">
        <v>0</v>
      </c>
      <c r="AA1838" s="6" t="b">
        <v>0</v>
      </c>
      <c r="AC1838" s="82"/>
      <c r="AD1838" t="str">
        <f t="shared" si="67"/>
        <v/>
      </c>
      <c r="AE1838" t="str">
        <f t="shared" si="68"/>
        <v/>
      </c>
    </row>
    <row r="1839">
      <c r="B1839" s="99"/>
      <c r="C1839" s="99"/>
      <c r="D1839" s="100"/>
      <c r="H1839" s="473"/>
      <c r="I1839" s="473"/>
      <c r="J1839" s="475"/>
      <c r="K1839" s="275" t="str">
        <f>IFNA(VLOOKUP(D1839,'EAN Codes'!A:C,2,False),"")</f>
        <v/>
      </c>
      <c r="L1839" s="82"/>
      <c r="M1839" s="496" t="b">
        <v>0</v>
      </c>
      <c r="N1839" s="477" t="b">
        <v>0</v>
      </c>
      <c r="O1839" s="497" t="b">
        <v>0</v>
      </c>
      <c r="P1839" s="477" t="b">
        <v>0</v>
      </c>
      <c r="Q1839" s="477" t="b">
        <v>0</v>
      </c>
      <c r="R1839" s="539"/>
      <c r="S1839" s="540"/>
      <c r="T1839" s="543"/>
      <c r="U1839" s="481" t="b">
        <v>0</v>
      </c>
      <c r="Z1839" t="b">
        <v>0</v>
      </c>
      <c r="AA1839" s="6" t="b">
        <v>0</v>
      </c>
      <c r="AC1839" s="82"/>
      <c r="AD1839" t="str">
        <f t="shared" si="67"/>
        <v/>
      </c>
      <c r="AE1839" t="str">
        <f t="shared" si="68"/>
        <v/>
      </c>
    </row>
    <row r="1840">
      <c r="B1840" s="99"/>
      <c r="C1840" s="99"/>
      <c r="D1840" s="100"/>
      <c r="H1840" s="473"/>
      <c r="I1840" s="473"/>
      <c r="J1840" s="475"/>
      <c r="K1840" s="275" t="str">
        <f>IFNA(VLOOKUP(D1840,'EAN Codes'!A:C,2,False),"")</f>
        <v/>
      </c>
      <c r="L1840" s="82"/>
      <c r="M1840" s="496" t="b">
        <v>0</v>
      </c>
      <c r="N1840" s="477" t="b">
        <v>0</v>
      </c>
      <c r="O1840" s="497" t="b">
        <v>0</v>
      </c>
      <c r="P1840" s="477" t="b">
        <v>0</v>
      </c>
      <c r="Q1840" s="477" t="b">
        <v>0</v>
      </c>
      <c r="R1840" s="539"/>
      <c r="S1840" s="540"/>
      <c r="T1840" s="543"/>
      <c r="U1840" s="481" t="b">
        <v>0</v>
      </c>
      <c r="Z1840" t="b">
        <v>0</v>
      </c>
      <c r="AA1840" s="6" t="b">
        <v>0</v>
      </c>
      <c r="AC1840" s="82"/>
      <c r="AD1840" t="str">
        <f t="shared" si="67"/>
        <v/>
      </c>
      <c r="AE1840" t="str">
        <f t="shared" si="68"/>
        <v/>
      </c>
    </row>
    <row r="1841">
      <c r="B1841" s="99"/>
      <c r="C1841" s="99"/>
      <c r="D1841" s="100"/>
      <c r="H1841" s="473"/>
      <c r="I1841" s="473"/>
      <c r="J1841" s="475"/>
      <c r="K1841" s="275" t="str">
        <f>IFNA(VLOOKUP(D1841,'EAN Codes'!A:C,2,False),"")</f>
        <v/>
      </c>
      <c r="L1841" s="82"/>
      <c r="M1841" s="496" t="b">
        <v>0</v>
      </c>
      <c r="N1841" s="477" t="b">
        <v>0</v>
      </c>
      <c r="O1841" s="497" t="b">
        <v>0</v>
      </c>
      <c r="P1841" s="477" t="b">
        <v>0</v>
      </c>
      <c r="Q1841" s="477" t="b">
        <v>0</v>
      </c>
      <c r="R1841" s="539"/>
      <c r="S1841" s="540"/>
      <c r="T1841" s="543"/>
      <c r="U1841" s="481" t="b">
        <v>0</v>
      </c>
      <c r="Z1841" t="b">
        <v>0</v>
      </c>
      <c r="AA1841" s="6" t="b">
        <v>0</v>
      </c>
      <c r="AC1841" s="82"/>
      <c r="AD1841" t="str">
        <f t="shared" si="67"/>
        <v/>
      </c>
      <c r="AE1841" t="str">
        <f t="shared" si="68"/>
        <v/>
      </c>
    </row>
    <row r="1842">
      <c r="B1842" s="99"/>
      <c r="C1842" s="99"/>
      <c r="D1842" s="100"/>
      <c r="H1842" s="473"/>
      <c r="I1842" s="473"/>
      <c r="J1842" s="508"/>
      <c r="K1842" s="275" t="str">
        <f>IFNA(VLOOKUP(D1842,'EAN Codes'!A:C,2,False),"")</f>
        <v/>
      </c>
      <c r="L1842" s="82"/>
      <c r="M1842" s="496" t="b">
        <v>0</v>
      </c>
      <c r="N1842" s="477" t="b">
        <v>0</v>
      </c>
      <c r="O1842" s="497" t="b">
        <v>0</v>
      </c>
      <c r="P1842" s="477" t="b">
        <v>0</v>
      </c>
      <c r="Q1842" s="477" t="b">
        <v>0</v>
      </c>
      <c r="R1842" s="539"/>
      <c r="S1842" s="540"/>
      <c r="T1842" s="543"/>
      <c r="U1842" s="514" t="b">
        <v>0</v>
      </c>
      <c r="Z1842" t="b">
        <v>0</v>
      </c>
      <c r="AA1842" s="6" t="b">
        <v>0</v>
      </c>
      <c r="AC1842" s="35">
        <v>517.36</v>
      </c>
      <c r="AD1842" t="str">
        <f t="shared" si="67"/>
        <v/>
      </c>
      <c r="AE1842" t="str">
        <f t="shared" si="68"/>
        <v/>
      </c>
    </row>
    <row r="1843">
      <c r="B1843" s="99"/>
      <c r="C1843" s="99"/>
      <c r="D1843" s="100"/>
      <c r="H1843" s="473"/>
      <c r="I1843" s="473"/>
      <c r="J1843" s="508"/>
      <c r="K1843" s="275" t="str">
        <f>IFNA(VLOOKUP(D1843,'EAN Codes'!A:C,2,False),"")</f>
        <v/>
      </c>
      <c r="L1843" s="82"/>
      <c r="M1843" s="496" t="b">
        <v>0</v>
      </c>
      <c r="N1843" s="477" t="b">
        <v>0</v>
      </c>
      <c r="O1843" s="497" t="b">
        <v>0</v>
      </c>
      <c r="P1843" s="477" t="b">
        <v>0</v>
      </c>
      <c r="Q1843" s="477" t="b">
        <v>0</v>
      </c>
      <c r="R1843" s="539"/>
      <c r="S1843" s="540"/>
      <c r="T1843" s="543"/>
      <c r="U1843" s="514" t="b">
        <v>0</v>
      </c>
      <c r="Z1843" t="b">
        <v>0</v>
      </c>
      <c r="AA1843" s="6" t="b">
        <v>0</v>
      </c>
      <c r="AC1843" s="35">
        <v>287.68</v>
      </c>
      <c r="AD1843" t="str">
        <f t="shared" si="67"/>
        <v/>
      </c>
      <c r="AE1843" t="str">
        <f t="shared" si="68"/>
        <v/>
      </c>
    </row>
    <row r="1844">
      <c r="A1844" s="106"/>
      <c r="B1844" s="86"/>
      <c r="C1844" s="86"/>
      <c r="D1844" s="87"/>
      <c r="E1844" s="101"/>
      <c r="F1844" s="101"/>
      <c r="G1844" s="101"/>
      <c r="H1844" s="487"/>
      <c r="I1844" s="474"/>
      <c r="J1844" s="475"/>
      <c r="K1844" s="275" t="str">
        <f>IFNA(VLOOKUP(D1844,'EAN Codes'!A:C,2,False),"")</f>
        <v/>
      </c>
      <c r="L1844" s="82"/>
      <c r="M1844" s="496" t="b">
        <v>0</v>
      </c>
      <c r="N1844" s="477" t="b">
        <v>0</v>
      </c>
      <c r="O1844" s="497" t="b">
        <v>0</v>
      </c>
      <c r="P1844" s="477" t="b">
        <v>0</v>
      </c>
      <c r="Q1844" s="477" t="b">
        <v>0</v>
      </c>
      <c r="R1844" s="539"/>
      <c r="S1844" s="540"/>
      <c r="T1844" s="480"/>
      <c r="U1844" s="514" t="b">
        <v>0</v>
      </c>
      <c r="Z1844" t="b">
        <v>0</v>
      </c>
      <c r="AA1844" t="b">
        <v>0</v>
      </c>
      <c r="AC1844" s="82"/>
      <c r="AD1844" t="str">
        <f t="shared" si="67"/>
        <v/>
      </c>
      <c r="AE1844" t="str">
        <f t="shared" si="68"/>
        <v/>
      </c>
    </row>
    <row r="1845">
      <c r="B1845" s="86"/>
      <c r="C1845" s="86"/>
      <c r="D1845" s="87"/>
      <c r="H1845" s="473"/>
      <c r="I1845" s="473"/>
      <c r="J1845" s="508"/>
      <c r="K1845" s="275" t="str">
        <f>IFNA(VLOOKUP(D1845,'EAN Codes'!A:C,2,False),"")</f>
        <v/>
      </c>
      <c r="L1845" s="82"/>
      <c r="M1845" s="496" t="b">
        <v>0</v>
      </c>
      <c r="N1845" s="497" t="b">
        <v>0</v>
      </c>
      <c r="O1845" s="497" t="b">
        <v>0</v>
      </c>
      <c r="P1845" s="477" t="b">
        <v>0</v>
      </c>
      <c r="Q1845" s="477" t="b">
        <v>0</v>
      </c>
      <c r="R1845" s="539"/>
      <c r="S1845" s="540"/>
      <c r="T1845" s="543"/>
      <c r="U1845" s="514" t="b">
        <v>0</v>
      </c>
      <c r="Z1845" t="b">
        <v>0</v>
      </c>
      <c r="AA1845" t="b">
        <v>0</v>
      </c>
      <c r="AC1845" s="82"/>
      <c r="AD1845" t="str">
        <f t="shared" si="67"/>
        <v/>
      </c>
      <c r="AE1845" t="str">
        <f t="shared" si="68"/>
        <v/>
      </c>
    </row>
    <row r="1846">
      <c r="B1846" s="86"/>
      <c r="C1846" s="86"/>
      <c r="D1846" s="87"/>
      <c r="H1846" s="473"/>
      <c r="I1846" s="473"/>
      <c r="J1846" s="508"/>
      <c r="K1846" s="275" t="str">
        <f>IFNA(VLOOKUP(D1846,'EAN Codes'!A:C,2,False),"")</f>
        <v/>
      </c>
      <c r="L1846" s="82"/>
      <c r="M1846" s="496" t="b">
        <v>0</v>
      </c>
      <c r="N1846" s="477" t="b">
        <v>0</v>
      </c>
      <c r="O1846" s="497" t="b">
        <v>0</v>
      </c>
      <c r="P1846" s="477" t="b">
        <v>0</v>
      </c>
      <c r="Q1846" s="477" t="b">
        <v>0</v>
      </c>
      <c r="R1846" s="539"/>
      <c r="S1846" s="540"/>
      <c r="T1846" s="480"/>
      <c r="U1846" s="481" t="b">
        <v>0</v>
      </c>
      <c r="Z1846" t="b">
        <v>0</v>
      </c>
      <c r="AA1846" t="b">
        <v>0</v>
      </c>
      <c r="AC1846" s="82"/>
      <c r="AD1846" t="str">
        <f t="shared" si="67"/>
        <v/>
      </c>
      <c r="AE1846" t="str">
        <f t="shared" si="68"/>
        <v/>
      </c>
    </row>
    <row r="1847">
      <c r="B1847" s="99"/>
      <c r="C1847" s="99"/>
      <c r="D1847" s="100"/>
      <c r="H1847" s="473"/>
      <c r="I1847" s="473"/>
      <c r="J1847" s="475"/>
      <c r="K1847" s="275" t="str">
        <f>IFNA(VLOOKUP(D1847,'EAN Codes'!A:C,2,False),"")</f>
        <v/>
      </c>
      <c r="L1847" s="82"/>
      <c r="M1847" s="496" t="b">
        <v>0</v>
      </c>
      <c r="N1847" s="477" t="b">
        <v>0</v>
      </c>
      <c r="O1847" s="497" t="b">
        <v>0</v>
      </c>
      <c r="P1847" s="477" t="b">
        <v>0</v>
      </c>
      <c r="Q1847" s="477" t="b">
        <v>0</v>
      </c>
      <c r="R1847" s="539"/>
      <c r="S1847" s="540"/>
      <c r="T1847" s="543"/>
      <c r="U1847" s="514" t="b">
        <v>0</v>
      </c>
      <c r="Z1847" t="b">
        <v>0</v>
      </c>
      <c r="AA1847" t="b">
        <v>0</v>
      </c>
      <c r="AC1847" s="82"/>
      <c r="AD1847" t="str">
        <f t="shared" si="67"/>
        <v/>
      </c>
      <c r="AE1847" t="str">
        <f t="shared" si="68"/>
        <v/>
      </c>
    </row>
    <row r="1848">
      <c r="B1848" s="86"/>
      <c r="C1848" s="86"/>
      <c r="D1848" s="87"/>
      <c r="H1848" s="473"/>
      <c r="I1848" s="473"/>
      <c r="J1848" s="508"/>
      <c r="K1848" s="275" t="str">
        <f>IFNA(VLOOKUP(D1848,'EAN Codes'!A:C,2,False),"")</f>
        <v/>
      </c>
      <c r="L1848" s="82"/>
      <c r="M1848" s="496" t="b">
        <v>0</v>
      </c>
      <c r="N1848" s="477" t="b">
        <v>0</v>
      </c>
      <c r="O1848" s="497" t="b">
        <v>0</v>
      </c>
      <c r="P1848" s="477" t="b">
        <v>0</v>
      </c>
      <c r="Q1848" s="477" t="b">
        <v>0</v>
      </c>
      <c r="R1848" s="539"/>
      <c r="S1848" s="540"/>
      <c r="T1848" s="543"/>
      <c r="U1848" s="514" t="b">
        <v>0</v>
      </c>
      <c r="Z1848" t="b">
        <v>0</v>
      </c>
      <c r="AA1848" t="b">
        <v>0</v>
      </c>
      <c r="AC1848" s="82"/>
      <c r="AD1848" t="str">
        <f t="shared" si="67"/>
        <v/>
      </c>
      <c r="AE1848" t="str">
        <f t="shared" si="68"/>
        <v/>
      </c>
    </row>
    <row r="1849">
      <c r="A1849" s="86"/>
      <c r="B1849" s="86"/>
      <c r="C1849" s="86"/>
      <c r="D1849" s="87"/>
      <c r="E1849" s="91"/>
      <c r="F1849" s="86"/>
      <c r="G1849" s="106"/>
      <c r="H1849" s="160"/>
      <c r="I1849" s="160"/>
      <c r="J1849" s="662"/>
      <c r="K1849" s="275" t="str">
        <f>IFNA(VLOOKUP(D1849,'EAN Codes'!A:C,2,False),"")</f>
        <v/>
      </c>
      <c r="L1849" s="261"/>
      <c r="M1849" s="159" t="b">
        <v>0</v>
      </c>
      <c r="N1849" s="160" t="b">
        <v>0</v>
      </c>
      <c r="O1849" s="160" t="b">
        <v>0</v>
      </c>
      <c r="P1849" s="261" t="b">
        <v>0</v>
      </c>
      <c r="Q1849" s="261" t="b">
        <v>0</v>
      </c>
      <c r="R1849" s="275"/>
      <c r="S1849" s="662"/>
      <c r="T1849" s="115"/>
      <c r="U1849" s="664" t="b">
        <v>0</v>
      </c>
      <c r="V1849" s="115"/>
      <c r="W1849" s="115"/>
      <c r="X1849" s="115"/>
      <c r="Y1849" s="115"/>
      <c r="Z1849" s="115" t="b">
        <v>0</v>
      </c>
      <c r="AA1849" s="115" t="b">
        <v>0</v>
      </c>
      <c r="AB1849" s="115"/>
      <c r="AC1849" s="261"/>
      <c r="AD1849" s="115" t="str">
        <f t="shared" si="67"/>
        <v/>
      </c>
      <c r="AE1849" s="124" t="str">
        <f t="shared" si="68"/>
        <v/>
      </c>
    </row>
    <row r="1850">
      <c r="A1850" s="99"/>
      <c r="B1850" s="99"/>
      <c r="C1850" s="99"/>
      <c r="D1850" s="100"/>
      <c r="E1850" s="101"/>
      <c r="F1850" s="101"/>
      <c r="H1850" s="500"/>
      <c r="I1850" s="473"/>
      <c r="J1850" s="508"/>
      <c r="K1850" s="275" t="str">
        <f>IFNA(VLOOKUP(D1850,'EAN Codes'!A:C,2,False),"")</f>
        <v/>
      </c>
      <c r="L1850" s="82"/>
      <c r="M1850" s="496" t="b">
        <v>0</v>
      </c>
      <c r="N1850" s="477" t="b">
        <v>0</v>
      </c>
      <c r="O1850" s="497" t="b">
        <v>0</v>
      </c>
      <c r="P1850" s="477" t="b">
        <v>0</v>
      </c>
      <c r="Q1850" s="477" t="b">
        <v>0</v>
      </c>
      <c r="R1850" s="539"/>
      <c r="S1850" s="662"/>
      <c r="T1850" s="543"/>
      <c r="U1850" s="514" t="b">
        <v>0</v>
      </c>
      <c r="Z1850" t="b">
        <v>0</v>
      </c>
      <c r="AA1850" t="b">
        <v>0</v>
      </c>
      <c r="AC1850" s="82"/>
      <c r="AD1850" t="str">
        <f t="shared" si="67"/>
        <v/>
      </c>
      <c r="AE1850" t="str">
        <f t="shared" si="68"/>
        <v/>
      </c>
    </row>
    <row r="1851">
      <c r="B1851" s="99"/>
      <c r="C1851" s="99"/>
      <c r="D1851" s="100"/>
      <c r="E1851" s="99"/>
      <c r="H1851" s="473"/>
      <c r="I1851" s="473"/>
      <c r="J1851" s="475"/>
      <c r="K1851" s="275" t="str">
        <f>IFNA(VLOOKUP(D1851,'EAN Codes'!A:C,2,False),"")</f>
        <v/>
      </c>
      <c r="L1851" s="82"/>
      <c r="M1851" s="496" t="b">
        <v>0</v>
      </c>
      <c r="N1851" s="477" t="b">
        <v>0</v>
      </c>
      <c r="O1851" s="497" t="b">
        <v>0</v>
      </c>
      <c r="P1851" s="477" t="b">
        <v>0</v>
      </c>
      <c r="Q1851" s="477" t="b">
        <v>0</v>
      </c>
      <c r="R1851" s="539"/>
      <c r="S1851" s="540"/>
      <c r="T1851" s="543"/>
      <c r="U1851" s="514" t="b">
        <v>0</v>
      </c>
      <c r="Z1851" t="b">
        <v>0</v>
      </c>
      <c r="AA1851" t="b">
        <v>0</v>
      </c>
      <c r="AC1851" s="82"/>
      <c r="AD1851" t="str">
        <f t="shared" si="67"/>
        <v/>
      </c>
      <c r="AE1851" t="str">
        <f t="shared" si="68"/>
        <v/>
      </c>
    </row>
    <row r="1852">
      <c r="B1852" s="99"/>
      <c r="C1852" s="99"/>
      <c r="D1852" s="100"/>
      <c r="E1852" s="101"/>
      <c r="H1852" s="473"/>
      <c r="I1852" s="473"/>
      <c r="J1852" s="508"/>
      <c r="K1852" s="275" t="str">
        <f>IFNA(VLOOKUP(D1852,'EAN Codes'!A:C,2,False),"")</f>
        <v/>
      </c>
      <c r="L1852" s="82"/>
      <c r="M1852" s="496" t="b">
        <v>0</v>
      </c>
      <c r="N1852" s="477" t="b">
        <v>0</v>
      </c>
      <c r="O1852" s="497" t="b">
        <v>0</v>
      </c>
      <c r="P1852" s="477" t="b">
        <v>0</v>
      </c>
      <c r="Q1852" s="477" t="b">
        <v>0</v>
      </c>
      <c r="R1852" s="539"/>
      <c r="S1852" s="540"/>
      <c r="T1852" s="543"/>
      <c r="U1852" s="514" t="b">
        <v>0</v>
      </c>
      <c r="Z1852" t="b">
        <v>0</v>
      </c>
      <c r="AA1852" t="b">
        <v>0</v>
      </c>
      <c r="AC1852" s="82"/>
      <c r="AD1852" t="str">
        <f t="shared" si="67"/>
        <v/>
      </c>
      <c r="AE1852" t="str">
        <f t="shared" si="68"/>
        <v/>
      </c>
    </row>
    <row r="1853">
      <c r="B1853" s="86"/>
      <c r="C1853" s="86"/>
      <c r="D1853" s="87"/>
      <c r="H1853" s="473"/>
      <c r="I1853" s="473"/>
      <c r="J1853" s="508"/>
      <c r="K1853" s="275" t="str">
        <f>IFNA(VLOOKUP(D1853,'EAN Codes'!A:C,2,False),"")</f>
        <v/>
      </c>
      <c r="L1853" s="82"/>
      <c r="M1853" s="496" t="b">
        <v>0</v>
      </c>
      <c r="N1853" s="477" t="b">
        <v>0</v>
      </c>
      <c r="O1853" s="497" t="b">
        <v>0</v>
      </c>
      <c r="P1853" s="477" t="b">
        <v>0</v>
      </c>
      <c r="Q1853" s="477" t="b">
        <v>0</v>
      </c>
      <c r="R1853" s="539"/>
      <c r="S1853" s="540"/>
      <c r="T1853" s="543"/>
      <c r="U1853" s="514" t="b">
        <v>0</v>
      </c>
      <c r="Z1853" t="b">
        <v>0</v>
      </c>
      <c r="AA1853" t="b">
        <v>0</v>
      </c>
      <c r="AC1853" s="82"/>
      <c r="AD1853" t="str">
        <f t="shared" si="67"/>
        <v/>
      </c>
      <c r="AE1853" t="str">
        <f t="shared" si="68"/>
        <v/>
      </c>
    </row>
    <row r="1854">
      <c r="B1854" s="99"/>
      <c r="C1854" s="99"/>
      <c r="D1854" s="100"/>
      <c r="E1854" s="99"/>
      <c r="F1854" s="101"/>
      <c r="G1854" s="101"/>
      <c r="H1854" s="487"/>
      <c r="I1854" s="487"/>
      <c r="J1854" s="542"/>
      <c r="K1854" s="90" t="str">
        <f>IFNA(VLOOKUP(D1854,'EAN Codes'!A:C,2,False),"")</f>
        <v/>
      </c>
      <c r="L1854" s="82"/>
      <c r="M1854" s="496" t="b">
        <v>0</v>
      </c>
      <c r="N1854" s="477" t="b">
        <v>0</v>
      </c>
      <c r="O1854" s="497" t="b">
        <v>0</v>
      </c>
      <c r="P1854" s="477" t="b">
        <v>0</v>
      </c>
      <c r="Q1854" s="477" t="b">
        <v>0</v>
      </c>
      <c r="R1854" s="539"/>
      <c r="S1854" s="540"/>
      <c r="T1854" s="543"/>
      <c r="U1854" s="514" t="b">
        <v>0</v>
      </c>
      <c r="Z1854" t="b">
        <v>0</v>
      </c>
      <c r="AA1854" t="b">
        <v>0</v>
      </c>
      <c r="AC1854" s="82"/>
      <c r="AD1854" t="str">
        <f t="shared" si="67"/>
        <v/>
      </c>
      <c r="AE1854" t="str">
        <f t="shared" si="68"/>
        <v/>
      </c>
    </row>
    <row r="1855">
      <c r="B1855" s="99"/>
      <c r="C1855" s="99"/>
      <c r="D1855" s="100"/>
      <c r="E1855" s="101"/>
      <c r="F1855" s="101"/>
      <c r="G1855" s="101"/>
      <c r="H1855" s="487"/>
      <c r="I1855" s="488"/>
      <c r="J1855" s="542"/>
      <c r="K1855" s="90" t="str">
        <f>IFNA(VLOOKUP(D1855,'EAN Codes'!A:C,2,False),"")</f>
        <v/>
      </c>
      <c r="L1855" s="82"/>
      <c r="M1855" s="496" t="b">
        <v>0</v>
      </c>
      <c r="N1855" s="477" t="b">
        <v>0</v>
      </c>
      <c r="O1855" s="497" t="b">
        <v>0</v>
      </c>
      <c r="P1855" s="477" t="b">
        <v>0</v>
      </c>
      <c r="Q1855" s="477" t="b">
        <v>0</v>
      </c>
      <c r="R1855" s="539"/>
      <c r="S1855" s="540"/>
      <c r="T1855" s="543"/>
      <c r="U1855" s="514" t="b">
        <v>0</v>
      </c>
      <c r="Z1855" t="b">
        <v>0</v>
      </c>
      <c r="AA1855" t="b">
        <v>0</v>
      </c>
      <c r="AC1855" s="82"/>
      <c r="AD1855" t="str">
        <f t="shared" si="67"/>
        <v/>
      </c>
      <c r="AE1855" t="str">
        <f t="shared" si="68"/>
        <v/>
      </c>
    </row>
    <row r="1856">
      <c r="A1856" s="6"/>
      <c r="B1856" s="6"/>
      <c r="C1856" s="6"/>
      <c r="D1856" s="127"/>
      <c r="F1856" s="6"/>
      <c r="G1856" s="6"/>
      <c r="H1856" s="82"/>
      <c r="I1856" s="35"/>
      <c r="J1856" s="324"/>
      <c r="K1856" s="66" t="str">
        <f>IFNA(VLOOKUP(D1856,'EAN Codes'!A:C,2,False),"")</f>
        <v/>
      </c>
      <c r="L1856" s="82"/>
      <c r="M1856" s="145" t="b">
        <v>0</v>
      </c>
      <c r="N1856" s="35" t="b">
        <v>0</v>
      </c>
      <c r="O1856" s="35" t="b">
        <v>0</v>
      </c>
      <c r="P1856" s="82" t="b">
        <v>0</v>
      </c>
      <c r="Q1856" s="82" t="b">
        <v>0</v>
      </c>
      <c r="R1856" s="66"/>
      <c r="S1856" s="327"/>
      <c r="U1856" s="395" t="b">
        <v>0</v>
      </c>
      <c r="Z1856" t="b">
        <v>0</v>
      </c>
      <c r="AA1856" t="b">
        <v>0</v>
      </c>
      <c r="AC1856" s="82"/>
      <c r="AD1856" t="str">
        <f t="shared" si="67"/>
        <v/>
      </c>
      <c r="AE1856" t="str">
        <f t="shared" si="68"/>
        <v/>
      </c>
    </row>
    <row r="1857">
      <c r="A1857" s="6"/>
      <c r="B1857" s="6"/>
      <c r="C1857" s="6"/>
      <c r="D1857" s="127"/>
      <c r="F1857" s="6"/>
      <c r="H1857" s="82"/>
      <c r="I1857" s="35"/>
      <c r="J1857" s="324"/>
      <c r="K1857" s="66" t="str">
        <f>IFNA(VLOOKUP(D1857,'EAN Codes'!A:C,2,False),"")</f>
        <v/>
      </c>
      <c r="L1857" s="82"/>
      <c r="M1857" s="145" t="b">
        <v>0</v>
      </c>
      <c r="N1857" s="35" t="b">
        <v>0</v>
      </c>
      <c r="O1857" s="35" t="b">
        <v>0</v>
      </c>
      <c r="P1857" s="82" t="b">
        <v>0</v>
      </c>
      <c r="Q1857" s="82" t="b">
        <v>0</v>
      </c>
      <c r="R1857" s="66"/>
      <c r="S1857" s="327"/>
      <c r="U1857" s="395" t="b">
        <v>0</v>
      </c>
      <c r="Z1857" t="b">
        <v>0</v>
      </c>
      <c r="AA1857" t="b">
        <v>0</v>
      </c>
      <c r="AC1857" s="82"/>
      <c r="AD1857" t="str">
        <f t="shared" si="67"/>
        <v/>
      </c>
      <c r="AE1857" t="str">
        <f t="shared" si="68"/>
        <v/>
      </c>
    </row>
    <row r="1858">
      <c r="D1858" s="127"/>
      <c r="H1858" s="473"/>
      <c r="I1858" s="473"/>
      <c r="J1858" s="475"/>
      <c r="K1858" s="275"/>
      <c r="L1858" s="82"/>
      <c r="M1858" s="496"/>
      <c r="N1858" s="477"/>
      <c r="O1858" s="497"/>
      <c r="P1858" s="477"/>
      <c r="Q1858" s="477"/>
      <c r="R1858" s="539"/>
      <c r="S1858" s="540"/>
      <c r="T1858" s="543"/>
      <c r="U1858" s="514"/>
      <c r="AC1858" s="82"/>
    </row>
    <row r="1859">
      <c r="A1859" s="6"/>
      <c r="B1859" s="6"/>
      <c r="C1859" s="6"/>
      <c r="D1859" s="127"/>
      <c r="E1859" s="6"/>
      <c r="H1859" s="35"/>
      <c r="I1859" s="35"/>
      <c r="J1859" s="324"/>
      <c r="K1859" s="66"/>
      <c r="L1859" s="82"/>
      <c r="M1859" s="145"/>
      <c r="N1859" s="82"/>
      <c r="O1859" s="35"/>
      <c r="P1859" s="82"/>
      <c r="Q1859" s="82"/>
      <c r="R1859" s="66"/>
      <c r="S1859" s="327"/>
      <c r="U1859" s="395"/>
      <c r="Z1859" t="b">
        <v>0</v>
      </c>
      <c r="AA1859" t="b">
        <v>0</v>
      </c>
      <c r="AC1859" s="82"/>
      <c r="AD1859" t="str">
        <f t="shared" ref="AD1859:AD1861" si="69">IFNA(IFS(U1859=False,D1859),"")</f>
        <v/>
      </c>
      <c r="AE1859" t="str">
        <f t="shared" ref="AE1859:AE1861" si="70">IFNA(IFS(U1859=false,H1859),"")</f>
        <v/>
      </c>
    </row>
    <row r="1860">
      <c r="A1860" s="99"/>
      <c r="B1860" s="99"/>
      <c r="C1860" s="99"/>
      <c r="D1860" s="100"/>
      <c r="E1860" s="101"/>
      <c r="F1860" s="101"/>
      <c r="G1860" s="101"/>
      <c r="H1860" s="487"/>
      <c r="I1860" s="487"/>
      <c r="J1860" s="475"/>
      <c r="K1860" s="275" t="str">
        <f>IFNA(VLOOKUP(D1860,'EAN Codes'!A:C,2,False),"")</f>
        <v/>
      </c>
      <c r="L1860" s="82"/>
      <c r="M1860" s="496" t="b">
        <v>0</v>
      </c>
      <c r="N1860" s="477" t="b">
        <v>0</v>
      </c>
      <c r="O1860" s="497" t="b">
        <v>0</v>
      </c>
      <c r="P1860" s="477" t="b">
        <v>0</v>
      </c>
      <c r="Q1860" s="477" t="b">
        <v>0</v>
      </c>
      <c r="R1860" s="539"/>
      <c r="S1860" s="479"/>
      <c r="T1860" s="480"/>
      <c r="U1860" s="481" t="b">
        <v>0</v>
      </c>
      <c r="Z1860" t="b">
        <v>0</v>
      </c>
      <c r="AA1860" t="b">
        <v>0</v>
      </c>
      <c r="AC1860" s="82"/>
      <c r="AD1860" t="str">
        <f t="shared" si="69"/>
        <v/>
      </c>
      <c r="AE1860" t="str">
        <f t="shared" si="70"/>
        <v/>
      </c>
    </row>
    <row r="1861">
      <c r="A1861" s="99"/>
      <c r="B1861" s="99"/>
      <c r="C1861" s="99"/>
      <c r="D1861" s="100"/>
      <c r="E1861" s="101"/>
      <c r="F1861" s="101"/>
      <c r="G1861" s="101"/>
      <c r="H1861" s="487"/>
      <c r="I1861" s="487"/>
      <c r="J1861" s="475"/>
      <c r="K1861" s="275" t="str">
        <f>IFNA(VLOOKUP(D1861,'EAN Codes'!A:C,2,False),"")</f>
        <v/>
      </c>
      <c r="L1861" s="82"/>
      <c r="M1861" s="496" t="b">
        <v>0</v>
      </c>
      <c r="N1861" s="477" t="b">
        <v>0</v>
      </c>
      <c r="O1861" s="497" t="b">
        <v>0</v>
      </c>
      <c r="P1861" s="477" t="b">
        <v>0</v>
      </c>
      <c r="Q1861" s="477" t="b">
        <v>0</v>
      </c>
      <c r="R1861" s="539"/>
      <c r="S1861" s="479"/>
      <c r="T1861" s="480"/>
      <c r="U1861" s="481" t="b">
        <v>0</v>
      </c>
      <c r="Z1861" t="b">
        <v>0</v>
      </c>
      <c r="AA1861" t="b">
        <v>0</v>
      </c>
      <c r="AC1861" s="82"/>
      <c r="AD1861" t="str">
        <f t="shared" si="69"/>
        <v/>
      </c>
      <c r="AE1861" t="str">
        <f t="shared" si="70"/>
        <v/>
      </c>
    </row>
    <row r="1862">
      <c r="D1862" s="127"/>
      <c r="H1862" s="473"/>
      <c r="I1862" s="473"/>
      <c r="J1862" s="475"/>
      <c r="K1862" s="275"/>
      <c r="L1862" s="82"/>
      <c r="M1862" s="496"/>
      <c r="N1862" s="477"/>
      <c r="O1862" s="497"/>
      <c r="P1862" s="477"/>
      <c r="Q1862" s="477"/>
      <c r="R1862" s="539"/>
      <c r="S1862" s="540"/>
      <c r="T1862" s="543"/>
      <c r="U1862" s="514"/>
      <c r="AC1862" s="82"/>
    </row>
    <row r="1863">
      <c r="A1863" s="99"/>
      <c r="B1863" s="99"/>
      <c r="C1863" s="99"/>
      <c r="D1863" s="100"/>
      <c r="E1863" s="101"/>
      <c r="F1863" s="101"/>
      <c r="G1863" s="101"/>
      <c r="H1863" s="487"/>
      <c r="I1863" s="487"/>
      <c r="J1863" s="542"/>
      <c r="K1863" s="90"/>
      <c r="L1863" s="101"/>
      <c r="M1863" s="496" t="b">
        <v>0</v>
      </c>
      <c r="N1863" s="477" t="b">
        <v>0</v>
      </c>
      <c r="O1863" s="497" t="b">
        <v>0</v>
      </c>
      <c r="P1863" s="477" t="b">
        <v>0</v>
      </c>
      <c r="Q1863" s="477" t="b">
        <v>0</v>
      </c>
      <c r="R1863" s="646"/>
      <c r="S1863" s="647"/>
      <c r="T1863" s="671"/>
      <c r="U1863" s="514" t="b">
        <v>0</v>
      </c>
      <c r="V1863" s="82"/>
      <c r="W1863" s="82"/>
      <c r="X1863" s="82"/>
      <c r="Y1863" s="82"/>
      <c r="Z1863" s="82" t="b">
        <v>0</v>
      </c>
      <c r="AA1863" s="82" t="b">
        <v>0</v>
      </c>
      <c r="AB1863" s="101"/>
      <c r="AC1863" s="101"/>
      <c r="AD1863" s="101" t="str">
        <f t="shared" ref="AD1863:AD5223" si="71">IFNA(IFS(U1863=False,D1863),"")</f>
        <v/>
      </c>
      <c r="AE1863" s="101" t="str">
        <f t="shared" ref="AE1863:AE5223" si="72">IFNA(IFS(U1863=false,H1863),"")</f>
        <v/>
      </c>
    </row>
    <row r="1864">
      <c r="A1864" s="99"/>
      <c r="B1864" s="99"/>
      <c r="C1864" s="99"/>
      <c r="D1864" s="100"/>
      <c r="E1864" s="101"/>
      <c r="F1864" s="101"/>
      <c r="G1864" s="101"/>
      <c r="H1864" s="487"/>
      <c r="I1864" s="487"/>
      <c r="J1864" s="542"/>
      <c r="K1864" s="275"/>
      <c r="L1864" s="82"/>
      <c r="M1864" s="496" t="b">
        <v>0</v>
      </c>
      <c r="N1864" s="477" t="b">
        <v>0</v>
      </c>
      <c r="O1864" s="497" t="b">
        <v>0</v>
      </c>
      <c r="P1864" s="477" t="b">
        <v>0</v>
      </c>
      <c r="Q1864" s="477" t="b">
        <v>0</v>
      </c>
      <c r="R1864" s="539"/>
      <c r="S1864" s="540"/>
      <c r="T1864" s="480"/>
      <c r="U1864" s="481" t="b">
        <v>0</v>
      </c>
      <c r="Z1864" t="b">
        <v>0</v>
      </c>
      <c r="AA1864" t="b">
        <v>0</v>
      </c>
      <c r="AC1864" s="82"/>
      <c r="AD1864" t="str">
        <f t="shared" si="71"/>
        <v/>
      </c>
      <c r="AE1864" t="str">
        <f t="shared" si="72"/>
        <v/>
      </c>
    </row>
    <row r="1865">
      <c r="D1865" s="127"/>
      <c r="H1865" s="473"/>
      <c r="I1865" s="473"/>
      <c r="J1865" s="508"/>
      <c r="K1865" s="275"/>
      <c r="L1865" s="82"/>
      <c r="M1865" s="496" t="b">
        <v>0</v>
      </c>
      <c r="N1865" s="477" t="b">
        <v>0</v>
      </c>
      <c r="O1865" s="497" t="b">
        <v>0</v>
      </c>
      <c r="P1865" s="477" t="b">
        <v>0</v>
      </c>
      <c r="Q1865" s="477" t="b">
        <v>0</v>
      </c>
      <c r="R1865" s="539"/>
      <c r="S1865" s="540"/>
      <c r="T1865" s="543"/>
      <c r="U1865" s="514" t="b">
        <v>0</v>
      </c>
      <c r="Z1865" t="b">
        <v>0</v>
      </c>
      <c r="AA1865" t="b">
        <v>0</v>
      </c>
      <c r="AC1865" s="82"/>
      <c r="AD1865" t="str">
        <f t="shared" si="71"/>
        <v/>
      </c>
      <c r="AE1865" t="str">
        <f t="shared" si="72"/>
        <v/>
      </c>
    </row>
    <row r="1866">
      <c r="D1866" s="127"/>
      <c r="H1866" s="473"/>
      <c r="I1866" s="473"/>
      <c r="J1866" s="508"/>
      <c r="K1866" s="275"/>
      <c r="L1866" s="82"/>
      <c r="M1866" s="496" t="b">
        <v>0</v>
      </c>
      <c r="N1866" s="477" t="b">
        <v>0</v>
      </c>
      <c r="O1866" s="497" t="b">
        <v>0</v>
      </c>
      <c r="P1866" s="477" t="b">
        <v>0</v>
      </c>
      <c r="Q1866" s="477" t="b">
        <v>0</v>
      </c>
      <c r="R1866" s="539"/>
      <c r="S1866" s="540"/>
      <c r="T1866" s="543"/>
      <c r="U1866" s="514" t="b">
        <v>0</v>
      </c>
      <c r="Z1866" t="b">
        <v>0</v>
      </c>
      <c r="AA1866" t="b">
        <v>0</v>
      </c>
      <c r="AC1866" s="82"/>
      <c r="AD1866" t="str">
        <f t="shared" si="71"/>
        <v/>
      </c>
      <c r="AE1866" t="str">
        <f t="shared" si="72"/>
        <v/>
      </c>
    </row>
    <row r="1867">
      <c r="D1867" s="127"/>
      <c r="H1867" s="473"/>
      <c r="I1867" s="473"/>
      <c r="J1867" s="508"/>
      <c r="K1867" s="275"/>
      <c r="L1867" s="82"/>
      <c r="M1867" s="496" t="b">
        <v>0</v>
      </c>
      <c r="N1867" s="477" t="b">
        <v>0</v>
      </c>
      <c r="O1867" s="497" t="b">
        <v>0</v>
      </c>
      <c r="P1867" s="477" t="b">
        <v>0</v>
      </c>
      <c r="Q1867" s="477" t="b">
        <v>0</v>
      </c>
      <c r="R1867" s="539"/>
      <c r="S1867" s="540"/>
      <c r="T1867" s="543"/>
      <c r="U1867" s="514" t="b">
        <v>0</v>
      </c>
      <c r="Z1867" t="b">
        <v>0</v>
      </c>
      <c r="AA1867" t="b">
        <v>0</v>
      </c>
      <c r="AC1867" s="82"/>
      <c r="AD1867" t="str">
        <f t="shared" si="71"/>
        <v/>
      </c>
      <c r="AE1867" t="str">
        <f t="shared" si="72"/>
        <v/>
      </c>
    </row>
    <row r="1868">
      <c r="D1868" s="127"/>
      <c r="H1868" s="473"/>
      <c r="I1868" s="473"/>
      <c r="J1868" s="475"/>
      <c r="K1868" s="275"/>
      <c r="L1868" s="82"/>
      <c r="M1868" s="496" t="b">
        <v>0</v>
      </c>
      <c r="N1868" s="477" t="b">
        <v>0</v>
      </c>
      <c r="O1868" s="497" t="b">
        <v>0</v>
      </c>
      <c r="P1868" s="477" t="b">
        <v>0</v>
      </c>
      <c r="Q1868" s="477" t="b">
        <v>0</v>
      </c>
      <c r="R1868" s="539"/>
      <c r="S1868" s="540"/>
      <c r="T1868" s="543"/>
      <c r="U1868" s="514" t="b">
        <v>0</v>
      </c>
      <c r="Z1868" t="b">
        <v>0</v>
      </c>
      <c r="AA1868" t="b">
        <v>0</v>
      </c>
      <c r="AC1868" s="82"/>
      <c r="AD1868" t="str">
        <f t="shared" si="71"/>
        <v/>
      </c>
      <c r="AE1868" t="str">
        <f t="shared" si="72"/>
        <v/>
      </c>
    </row>
    <row r="1869">
      <c r="D1869" s="127"/>
      <c r="H1869" s="473"/>
      <c r="I1869" s="473"/>
      <c r="J1869" s="475"/>
      <c r="K1869" s="275"/>
      <c r="L1869" s="82"/>
      <c r="M1869" s="496" t="b">
        <v>0</v>
      </c>
      <c r="N1869" s="477" t="b">
        <v>0</v>
      </c>
      <c r="O1869" s="497" t="b">
        <v>0</v>
      </c>
      <c r="P1869" s="477" t="b">
        <v>0</v>
      </c>
      <c r="Q1869" s="477" t="b">
        <v>0</v>
      </c>
      <c r="R1869" s="539"/>
      <c r="S1869" s="540"/>
      <c r="T1869" s="543"/>
      <c r="U1869" s="514" t="b">
        <v>0</v>
      </c>
      <c r="Z1869" t="b">
        <v>0</v>
      </c>
      <c r="AA1869" t="b">
        <v>0</v>
      </c>
      <c r="AC1869" s="82"/>
      <c r="AD1869" t="str">
        <f t="shared" si="71"/>
        <v/>
      </c>
      <c r="AE1869" t="str">
        <f t="shared" si="72"/>
        <v/>
      </c>
    </row>
    <row r="1870">
      <c r="A1870" s="99"/>
      <c r="B1870" s="99"/>
      <c r="C1870" s="99"/>
      <c r="D1870" s="100"/>
      <c r="E1870" s="101"/>
      <c r="F1870" s="101"/>
      <c r="G1870" s="101"/>
      <c r="H1870" s="487"/>
      <c r="I1870" s="487"/>
      <c r="J1870" s="581"/>
      <c r="K1870" s="90"/>
      <c r="L1870" s="82"/>
      <c r="M1870" s="496" t="b">
        <v>0</v>
      </c>
      <c r="N1870" s="477" t="b">
        <v>0</v>
      </c>
      <c r="O1870" s="497" t="b">
        <v>0</v>
      </c>
      <c r="P1870" s="477" t="b">
        <v>0</v>
      </c>
      <c r="Q1870" s="477" t="b">
        <v>0</v>
      </c>
      <c r="R1870" s="539"/>
      <c r="S1870" s="540"/>
      <c r="T1870" s="543"/>
      <c r="U1870" s="481" t="b">
        <v>0</v>
      </c>
      <c r="Z1870" t="b">
        <v>0</v>
      </c>
      <c r="AA1870" t="b">
        <v>0</v>
      </c>
      <c r="AC1870" s="82"/>
      <c r="AD1870" t="str">
        <f t="shared" si="71"/>
        <v/>
      </c>
      <c r="AE1870" t="str">
        <f t="shared" si="72"/>
        <v/>
      </c>
    </row>
    <row r="1871">
      <c r="H1871" s="473"/>
      <c r="I1871" s="473"/>
      <c r="J1871" s="508"/>
      <c r="K1871" s="275"/>
      <c r="L1871" s="82"/>
      <c r="M1871" s="496" t="b">
        <v>0</v>
      </c>
      <c r="N1871" s="477" t="b">
        <v>0</v>
      </c>
      <c r="O1871" s="497" t="b">
        <v>0</v>
      </c>
      <c r="P1871" s="477" t="b">
        <v>0</v>
      </c>
      <c r="Q1871" s="477" t="b">
        <v>0</v>
      </c>
      <c r="R1871" s="539"/>
      <c r="S1871" s="540"/>
      <c r="T1871" s="543"/>
      <c r="U1871" s="514" t="b">
        <v>0</v>
      </c>
      <c r="Z1871" t="b">
        <v>0</v>
      </c>
      <c r="AA1871" t="b">
        <v>0</v>
      </c>
      <c r="AC1871" s="82"/>
      <c r="AD1871" t="str">
        <f t="shared" si="71"/>
        <v/>
      </c>
      <c r="AE1871" t="str">
        <f t="shared" si="72"/>
        <v/>
      </c>
    </row>
    <row r="1872">
      <c r="D1872" s="127"/>
      <c r="H1872" s="473"/>
      <c r="I1872" s="473"/>
      <c r="J1872" s="508"/>
      <c r="K1872" s="275"/>
      <c r="L1872" s="82"/>
      <c r="M1872" s="496" t="b">
        <v>0</v>
      </c>
      <c r="N1872" s="477" t="b">
        <v>0</v>
      </c>
      <c r="O1872" s="497" t="b">
        <v>0</v>
      </c>
      <c r="P1872" s="477" t="b">
        <v>0</v>
      </c>
      <c r="Q1872" s="477" t="b">
        <v>0</v>
      </c>
      <c r="R1872" s="539"/>
      <c r="S1872" s="540"/>
      <c r="T1872" s="543"/>
      <c r="U1872" s="514" t="b">
        <v>0</v>
      </c>
      <c r="Z1872" t="b">
        <v>0</v>
      </c>
      <c r="AA1872" t="b">
        <v>0</v>
      </c>
      <c r="AC1872" s="82"/>
      <c r="AD1872" t="str">
        <f t="shared" si="71"/>
        <v/>
      </c>
      <c r="AE1872" t="str">
        <f t="shared" si="72"/>
        <v/>
      </c>
    </row>
    <row r="1873">
      <c r="D1873" s="127"/>
      <c r="H1873" s="473"/>
      <c r="I1873" s="473"/>
      <c r="J1873" s="508"/>
      <c r="K1873" s="275"/>
      <c r="L1873" s="82"/>
      <c r="M1873" s="496" t="b">
        <v>0</v>
      </c>
      <c r="N1873" s="477" t="b">
        <v>0</v>
      </c>
      <c r="O1873" s="497" t="b">
        <v>0</v>
      </c>
      <c r="P1873" s="477" t="b">
        <v>0</v>
      </c>
      <c r="Q1873" s="477" t="b">
        <v>0</v>
      </c>
      <c r="R1873" s="539"/>
      <c r="S1873" s="540"/>
      <c r="T1873" s="543"/>
      <c r="U1873" s="514" t="b">
        <v>0</v>
      </c>
      <c r="Z1873" t="b">
        <v>0</v>
      </c>
      <c r="AA1873" t="b">
        <v>0</v>
      </c>
      <c r="AC1873" s="82"/>
      <c r="AD1873" t="str">
        <f t="shared" si="71"/>
        <v/>
      </c>
      <c r="AE1873" t="str">
        <f t="shared" si="72"/>
        <v/>
      </c>
    </row>
    <row r="1874">
      <c r="D1874" s="226"/>
      <c r="H1874" s="474"/>
      <c r="I1874" s="474"/>
      <c r="J1874" s="475"/>
      <c r="K1874" s="275"/>
      <c r="L1874" s="82"/>
      <c r="M1874" s="496" t="b">
        <v>0</v>
      </c>
      <c r="N1874" s="477" t="b">
        <v>0</v>
      </c>
      <c r="O1874" s="497" t="b">
        <v>0</v>
      </c>
      <c r="P1874" s="477" t="b">
        <v>0</v>
      </c>
      <c r="Q1874" s="477" t="b">
        <v>0</v>
      </c>
      <c r="R1874" s="539"/>
      <c r="S1874" s="540"/>
      <c r="T1874" s="543"/>
      <c r="U1874" s="514" t="b">
        <v>0</v>
      </c>
      <c r="Z1874" t="b">
        <v>0</v>
      </c>
      <c r="AA1874" t="b">
        <v>0</v>
      </c>
      <c r="AC1874" s="82"/>
      <c r="AD1874" t="str">
        <f t="shared" si="71"/>
        <v/>
      </c>
      <c r="AE1874" t="str">
        <f t="shared" si="72"/>
        <v/>
      </c>
    </row>
    <row r="1875">
      <c r="D1875" s="226"/>
      <c r="H1875" s="474"/>
      <c r="I1875" s="474"/>
      <c r="J1875" s="475"/>
      <c r="K1875" s="275" t="str">
        <f>IFNA(VLOOKUP(D1875,'EAN Codes'!A:C,2,False),"")</f>
        <v/>
      </c>
      <c r="L1875" s="82"/>
      <c r="M1875" s="496" t="b">
        <v>0</v>
      </c>
      <c r="N1875" s="477" t="b">
        <v>0</v>
      </c>
      <c r="O1875" s="497" t="b">
        <v>0</v>
      </c>
      <c r="P1875" s="477" t="b">
        <v>0</v>
      </c>
      <c r="Q1875" s="477" t="b">
        <v>0</v>
      </c>
      <c r="R1875" s="539"/>
      <c r="S1875" s="540"/>
      <c r="T1875" s="543"/>
      <c r="U1875" s="514" t="b">
        <v>0</v>
      </c>
      <c r="Z1875" t="b">
        <v>0</v>
      </c>
      <c r="AA1875" t="b">
        <v>0</v>
      </c>
      <c r="AC1875" s="82"/>
      <c r="AD1875" t="str">
        <f t="shared" si="71"/>
        <v/>
      </c>
      <c r="AE1875" t="str">
        <f t="shared" si="72"/>
        <v/>
      </c>
    </row>
    <row r="1876">
      <c r="D1876" s="226"/>
      <c r="H1876" s="474"/>
      <c r="I1876" s="474"/>
      <c r="J1876" s="475"/>
      <c r="K1876" s="275" t="str">
        <f>IFNA(VLOOKUP(D1876,'EAN Codes'!A:C,2,False),"")</f>
        <v/>
      </c>
      <c r="L1876" s="82"/>
      <c r="M1876" s="496" t="b">
        <v>0</v>
      </c>
      <c r="N1876" s="477" t="b">
        <v>0</v>
      </c>
      <c r="O1876" s="497" t="b">
        <v>0</v>
      </c>
      <c r="P1876" s="477" t="b">
        <v>0</v>
      </c>
      <c r="Q1876" s="477" t="b">
        <v>0</v>
      </c>
      <c r="R1876" s="539"/>
      <c r="S1876" s="540"/>
      <c r="T1876" s="543"/>
      <c r="U1876" s="514" t="b">
        <v>0</v>
      </c>
      <c r="Z1876" t="b">
        <v>0</v>
      </c>
      <c r="AA1876" t="b">
        <v>0</v>
      </c>
      <c r="AC1876" s="82"/>
      <c r="AD1876" t="str">
        <f t="shared" si="71"/>
        <v/>
      </c>
      <c r="AE1876" t="str">
        <f t="shared" si="72"/>
        <v/>
      </c>
    </row>
    <row r="1877">
      <c r="D1877" s="226"/>
      <c r="H1877" s="474"/>
      <c r="I1877" s="474"/>
      <c r="J1877" s="475"/>
      <c r="K1877" s="275" t="str">
        <f>IFNA(VLOOKUP(D1877,'EAN Codes'!A:C,2,False),"")</f>
        <v/>
      </c>
      <c r="L1877" s="82"/>
      <c r="M1877" s="496" t="b">
        <v>0</v>
      </c>
      <c r="N1877" s="477" t="b">
        <v>0</v>
      </c>
      <c r="O1877" s="497" t="b">
        <v>0</v>
      </c>
      <c r="P1877" s="477" t="b">
        <v>0</v>
      </c>
      <c r="Q1877" s="477" t="b">
        <v>0</v>
      </c>
      <c r="R1877" s="539"/>
      <c r="S1877" s="540"/>
      <c r="T1877" s="543"/>
      <c r="U1877" s="514" t="b">
        <v>0</v>
      </c>
      <c r="Z1877" t="b">
        <v>0</v>
      </c>
      <c r="AA1877" t="b">
        <v>0</v>
      </c>
      <c r="AC1877" s="82"/>
      <c r="AD1877" t="str">
        <f t="shared" si="71"/>
        <v/>
      </c>
      <c r="AE1877" t="str">
        <f t="shared" si="72"/>
        <v/>
      </c>
    </row>
    <row r="1878">
      <c r="D1878" s="226"/>
      <c r="H1878" s="474"/>
      <c r="I1878" s="474"/>
      <c r="J1878" s="475"/>
      <c r="K1878" s="275" t="str">
        <f>IFNA(VLOOKUP(D1878,'EAN Codes'!A:C,2,False),"")</f>
        <v/>
      </c>
      <c r="L1878" s="82"/>
      <c r="M1878" s="496" t="b">
        <v>0</v>
      </c>
      <c r="N1878" s="477" t="b">
        <v>0</v>
      </c>
      <c r="O1878" s="497" t="b">
        <v>0</v>
      </c>
      <c r="P1878" s="477" t="b">
        <v>0</v>
      </c>
      <c r="Q1878" s="477" t="b">
        <v>0</v>
      </c>
      <c r="R1878" s="539"/>
      <c r="S1878" s="540"/>
      <c r="T1878" s="543"/>
      <c r="U1878" s="514" t="b">
        <v>0</v>
      </c>
      <c r="Z1878" t="b">
        <v>0</v>
      </c>
      <c r="AA1878" t="b">
        <v>0</v>
      </c>
      <c r="AC1878" s="82"/>
      <c r="AD1878" t="str">
        <f t="shared" si="71"/>
        <v/>
      </c>
      <c r="AE1878" t="str">
        <f t="shared" si="72"/>
        <v/>
      </c>
    </row>
    <row r="1879">
      <c r="D1879" s="226"/>
      <c r="H1879" s="474"/>
      <c r="I1879" s="474"/>
      <c r="J1879" s="475"/>
      <c r="K1879" s="275" t="str">
        <f>IFNA(VLOOKUP(D1879,'EAN Codes'!A:C,2,False),"")</f>
        <v/>
      </c>
      <c r="L1879" s="82"/>
      <c r="M1879" s="496" t="b">
        <v>0</v>
      </c>
      <c r="N1879" s="477" t="b">
        <v>0</v>
      </c>
      <c r="O1879" s="497" t="b">
        <v>0</v>
      </c>
      <c r="P1879" s="477" t="b">
        <v>0</v>
      </c>
      <c r="Q1879" s="477" t="b">
        <v>0</v>
      </c>
      <c r="R1879" s="539"/>
      <c r="S1879" s="540"/>
      <c r="T1879" s="543"/>
      <c r="U1879" s="514" t="b">
        <v>0</v>
      </c>
      <c r="Z1879" t="b">
        <v>0</v>
      </c>
      <c r="AA1879" t="b">
        <v>0</v>
      </c>
      <c r="AC1879" s="82"/>
      <c r="AD1879" t="str">
        <f t="shared" si="71"/>
        <v/>
      </c>
      <c r="AE1879" t="str">
        <f t="shared" si="72"/>
        <v/>
      </c>
    </row>
    <row r="1880">
      <c r="D1880" s="226"/>
      <c r="H1880" s="474"/>
      <c r="I1880" s="474"/>
      <c r="J1880" s="475"/>
      <c r="K1880" s="275" t="str">
        <f>IFNA(VLOOKUP(D1880,'EAN Codes'!A:C,2,False),"")</f>
        <v/>
      </c>
      <c r="L1880" s="82"/>
      <c r="M1880" s="496" t="b">
        <v>0</v>
      </c>
      <c r="N1880" s="477" t="b">
        <v>0</v>
      </c>
      <c r="O1880" s="497" t="b">
        <v>0</v>
      </c>
      <c r="P1880" s="477" t="b">
        <v>0</v>
      </c>
      <c r="Q1880" s="477" t="b">
        <v>0</v>
      </c>
      <c r="R1880" s="539"/>
      <c r="S1880" s="540"/>
      <c r="T1880" s="543"/>
      <c r="U1880" s="514" t="b">
        <v>0</v>
      </c>
      <c r="Z1880" t="b">
        <v>0</v>
      </c>
      <c r="AA1880" t="b">
        <v>0</v>
      </c>
      <c r="AC1880" s="82"/>
      <c r="AD1880" t="str">
        <f t="shared" si="71"/>
        <v/>
      </c>
      <c r="AE1880" t="str">
        <f t="shared" si="72"/>
        <v/>
      </c>
    </row>
    <row r="1881">
      <c r="D1881" s="226"/>
      <c r="H1881" s="474"/>
      <c r="I1881" s="474"/>
      <c r="J1881" s="475"/>
      <c r="K1881" s="275" t="str">
        <f>IFNA(VLOOKUP(D1881,'EAN Codes'!A:C,2,False),"")</f>
        <v/>
      </c>
      <c r="L1881" s="82"/>
      <c r="M1881" s="496" t="b">
        <v>0</v>
      </c>
      <c r="N1881" s="477" t="b">
        <v>0</v>
      </c>
      <c r="O1881" s="497" t="b">
        <v>0</v>
      </c>
      <c r="P1881" s="477" t="b">
        <v>0</v>
      </c>
      <c r="Q1881" s="477" t="b">
        <v>0</v>
      </c>
      <c r="R1881" s="539"/>
      <c r="S1881" s="540"/>
      <c r="T1881" s="543"/>
      <c r="U1881" s="514" t="b">
        <v>0</v>
      </c>
      <c r="Z1881" t="b">
        <v>0</v>
      </c>
      <c r="AA1881" t="b">
        <v>0</v>
      </c>
      <c r="AC1881" s="82"/>
      <c r="AD1881" t="str">
        <f t="shared" si="71"/>
        <v/>
      </c>
      <c r="AE1881" t="str">
        <f t="shared" si="72"/>
        <v/>
      </c>
    </row>
    <row r="1882">
      <c r="D1882" s="226"/>
      <c r="H1882" s="474"/>
      <c r="I1882" s="474"/>
      <c r="J1882" s="475"/>
      <c r="K1882" s="275" t="str">
        <f>IFNA(VLOOKUP(D1882,'EAN Codes'!A:C,2,False),"")</f>
        <v/>
      </c>
      <c r="L1882" s="82"/>
      <c r="M1882" s="496" t="b">
        <v>0</v>
      </c>
      <c r="N1882" s="477" t="b">
        <v>0</v>
      </c>
      <c r="O1882" s="497" t="b">
        <v>0</v>
      </c>
      <c r="P1882" s="477" t="b">
        <v>0</v>
      </c>
      <c r="Q1882" s="477" t="b">
        <v>0</v>
      </c>
      <c r="R1882" s="539"/>
      <c r="S1882" s="540"/>
      <c r="T1882" s="543"/>
      <c r="U1882" s="514" t="b">
        <v>0</v>
      </c>
      <c r="Z1882" t="b">
        <v>0</v>
      </c>
      <c r="AA1882" t="b">
        <v>0</v>
      </c>
      <c r="AC1882" s="82"/>
      <c r="AD1882" t="str">
        <f t="shared" si="71"/>
        <v/>
      </c>
      <c r="AE1882" t="str">
        <f t="shared" si="72"/>
        <v/>
      </c>
    </row>
    <row r="1883">
      <c r="D1883" s="226"/>
      <c r="H1883" s="474"/>
      <c r="I1883" s="474"/>
      <c r="J1883" s="475"/>
      <c r="K1883" s="275" t="str">
        <f>IFNA(VLOOKUP(D1883,'EAN Codes'!A:C,2,False),"")</f>
        <v/>
      </c>
      <c r="L1883" s="82"/>
      <c r="M1883" s="496" t="b">
        <v>0</v>
      </c>
      <c r="N1883" s="477" t="b">
        <v>0</v>
      </c>
      <c r="O1883" s="497" t="b">
        <v>0</v>
      </c>
      <c r="P1883" s="477" t="b">
        <v>0</v>
      </c>
      <c r="Q1883" s="477" t="b">
        <v>0</v>
      </c>
      <c r="R1883" s="539"/>
      <c r="S1883" s="540"/>
      <c r="T1883" s="543"/>
      <c r="U1883" s="514" t="b">
        <v>0</v>
      </c>
      <c r="Z1883" t="b">
        <v>0</v>
      </c>
      <c r="AA1883" t="b">
        <v>0</v>
      </c>
      <c r="AC1883" s="82"/>
      <c r="AD1883" t="str">
        <f t="shared" si="71"/>
        <v/>
      </c>
      <c r="AE1883" t="str">
        <f t="shared" si="72"/>
        <v/>
      </c>
    </row>
    <row r="1884">
      <c r="D1884" s="226"/>
      <c r="H1884" s="474"/>
      <c r="I1884" s="474"/>
      <c r="J1884" s="475"/>
      <c r="K1884" s="275" t="str">
        <f>IFNA(VLOOKUP(D1884,'EAN Codes'!A:C,2,False),"")</f>
        <v/>
      </c>
      <c r="L1884" s="82"/>
      <c r="M1884" s="496" t="b">
        <v>0</v>
      </c>
      <c r="N1884" s="477" t="b">
        <v>0</v>
      </c>
      <c r="O1884" s="497" t="b">
        <v>0</v>
      </c>
      <c r="P1884" s="477" t="b">
        <v>0</v>
      </c>
      <c r="Q1884" s="477" t="b">
        <v>0</v>
      </c>
      <c r="R1884" s="539"/>
      <c r="S1884" s="540"/>
      <c r="T1884" s="543"/>
      <c r="U1884" s="514" t="b">
        <v>0</v>
      </c>
      <c r="Z1884" t="b">
        <v>0</v>
      </c>
      <c r="AA1884" t="b">
        <v>0</v>
      </c>
      <c r="AC1884" s="82"/>
      <c r="AD1884" t="str">
        <f t="shared" si="71"/>
        <v/>
      </c>
      <c r="AE1884" t="str">
        <f t="shared" si="72"/>
        <v/>
      </c>
    </row>
    <row r="1885">
      <c r="D1885" s="226"/>
      <c r="H1885" s="474"/>
      <c r="I1885" s="474"/>
      <c r="J1885" s="475"/>
      <c r="K1885" s="275" t="str">
        <f>IFNA(VLOOKUP(D1885,'EAN Codes'!A:C,2,False),"")</f>
        <v/>
      </c>
      <c r="L1885" s="82"/>
      <c r="M1885" s="496" t="b">
        <v>0</v>
      </c>
      <c r="N1885" s="477" t="b">
        <v>0</v>
      </c>
      <c r="O1885" s="497" t="b">
        <v>0</v>
      </c>
      <c r="P1885" s="477" t="b">
        <v>0</v>
      </c>
      <c r="Q1885" s="477" t="b">
        <v>0</v>
      </c>
      <c r="R1885" s="539"/>
      <c r="S1885" s="540"/>
      <c r="T1885" s="543"/>
      <c r="U1885" s="514" t="b">
        <v>0</v>
      </c>
      <c r="Z1885" t="b">
        <v>0</v>
      </c>
      <c r="AA1885" t="b">
        <v>0</v>
      </c>
      <c r="AC1885" s="82"/>
      <c r="AD1885" t="str">
        <f t="shared" si="71"/>
        <v/>
      </c>
      <c r="AE1885" t="str">
        <f t="shared" si="72"/>
        <v/>
      </c>
    </row>
    <row r="1886">
      <c r="D1886" s="226"/>
      <c r="H1886" s="474"/>
      <c r="I1886" s="474"/>
      <c r="J1886" s="475"/>
      <c r="K1886" s="275" t="str">
        <f>IFNA(VLOOKUP(D1886,'EAN Codes'!A:C,2,False),"")</f>
        <v/>
      </c>
      <c r="L1886" s="82"/>
      <c r="M1886" s="496" t="b">
        <v>0</v>
      </c>
      <c r="N1886" s="477" t="b">
        <v>0</v>
      </c>
      <c r="O1886" s="497" t="b">
        <v>0</v>
      </c>
      <c r="P1886" s="477" t="b">
        <v>0</v>
      </c>
      <c r="Q1886" s="477" t="b">
        <v>0</v>
      </c>
      <c r="R1886" s="539"/>
      <c r="S1886" s="540"/>
      <c r="T1886" s="543"/>
      <c r="U1886" s="514" t="b">
        <v>0</v>
      </c>
      <c r="Z1886" t="b">
        <v>0</v>
      </c>
      <c r="AA1886" t="b">
        <v>0</v>
      </c>
      <c r="AC1886" s="82"/>
      <c r="AD1886" t="str">
        <f t="shared" si="71"/>
        <v/>
      </c>
      <c r="AE1886" t="str">
        <f t="shared" si="72"/>
        <v/>
      </c>
    </row>
    <row r="1887">
      <c r="D1887" s="226"/>
      <c r="H1887" s="474"/>
      <c r="I1887" s="474"/>
      <c r="J1887" s="475"/>
      <c r="K1887" s="275" t="str">
        <f>IFNA(VLOOKUP(D1887,'EAN Codes'!A:C,2,False),"")</f>
        <v/>
      </c>
      <c r="L1887" s="82"/>
      <c r="M1887" s="496" t="b">
        <v>0</v>
      </c>
      <c r="N1887" s="477" t="b">
        <v>0</v>
      </c>
      <c r="O1887" s="497" t="b">
        <v>0</v>
      </c>
      <c r="P1887" s="477" t="b">
        <v>0</v>
      </c>
      <c r="Q1887" s="477" t="b">
        <v>0</v>
      </c>
      <c r="R1887" s="539"/>
      <c r="S1887" s="540"/>
      <c r="T1887" s="543"/>
      <c r="U1887" s="514" t="b">
        <v>0</v>
      </c>
      <c r="Z1887" t="b">
        <v>0</v>
      </c>
      <c r="AA1887" t="b">
        <v>0</v>
      </c>
      <c r="AC1887" s="82"/>
      <c r="AD1887" t="str">
        <f t="shared" si="71"/>
        <v/>
      </c>
      <c r="AE1887" t="str">
        <f t="shared" si="72"/>
        <v/>
      </c>
    </row>
    <row r="1888">
      <c r="D1888" s="226"/>
      <c r="H1888" s="474"/>
      <c r="I1888" s="474"/>
      <c r="J1888" s="475"/>
      <c r="K1888" s="275" t="str">
        <f>IFNA(VLOOKUP(D1888,'EAN Codes'!A:C,2,False),"")</f>
        <v/>
      </c>
      <c r="L1888" s="82"/>
      <c r="M1888" s="496" t="b">
        <v>0</v>
      </c>
      <c r="N1888" s="477" t="b">
        <v>0</v>
      </c>
      <c r="O1888" s="497" t="b">
        <v>0</v>
      </c>
      <c r="P1888" s="477" t="b">
        <v>0</v>
      </c>
      <c r="Q1888" s="477" t="b">
        <v>0</v>
      </c>
      <c r="R1888" s="539"/>
      <c r="S1888" s="540"/>
      <c r="T1888" s="543"/>
      <c r="U1888" s="514" t="b">
        <v>0</v>
      </c>
      <c r="Z1888" t="b">
        <v>0</v>
      </c>
      <c r="AA1888" t="b">
        <v>0</v>
      </c>
      <c r="AC1888" s="82"/>
      <c r="AD1888" t="str">
        <f t="shared" si="71"/>
        <v/>
      </c>
      <c r="AE1888" t="str">
        <f t="shared" si="72"/>
        <v/>
      </c>
    </row>
    <row r="1889">
      <c r="D1889" s="226"/>
      <c r="H1889" s="474"/>
      <c r="I1889" s="474"/>
      <c r="J1889" s="475"/>
      <c r="K1889" s="275" t="str">
        <f>IFNA(VLOOKUP(D1889,'EAN Codes'!A:C,2,False),"")</f>
        <v/>
      </c>
      <c r="L1889" s="82"/>
      <c r="M1889" s="496" t="b">
        <v>0</v>
      </c>
      <c r="N1889" s="477" t="b">
        <v>0</v>
      </c>
      <c r="O1889" s="497" t="b">
        <v>0</v>
      </c>
      <c r="P1889" s="477" t="b">
        <v>0</v>
      </c>
      <c r="Q1889" s="477" t="b">
        <v>0</v>
      </c>
      <c r="R1889" s="539"/>
      <c r="S1889" s="540"/>
      <c r="T1889" s="543"/>
      <c r="U1889" s="514" t="b">
        <v>0</v>
      </c>
      <c r="Z1889" t="b">
        <v>0</v>
      </c>
      <c r="AA1889" t="b">
        <v>0</v>
      </c>
      <c r="AC1889" s="82"/>
      <c r="AD1889" t="str">
        <f t="shared" si="71"/>
        <v/>
      </c>
      <c r="AE1889" t="str">
        <f t="shared" si="72"/>
        <v/>
      </c>
    </row>
    <row r="1890">
      <c r="D1890" s="226"/>
      <c r="H1890" s="474"/>
      <c r="I1890" s="474"/>
      <c r="J1890" s="475"/>
      <c r="K1890" s="275" t="str">
        <f>IFNA(VLOOKUP(D1890,'EAN Codes'!A:C,2,False),"")</f>
        <v/>
      </c>
      <c r="L1890" s="82"/>
      <c r="M1890" s="496" t="b">
        <v>0</v>
      </c>
      <c r="N1890" s="477" t="b">
        <v>0</v>
      </c>
      <c r="O1890" s="497" t="b">
        <v>0</v>
      </c>
      <c r="P1890" s="477" t="b">
        <v>0</v>
      </c>
      <c r="Q1890" s="477" t="b">
        <v>0</v>
      </c>
      <c r="R1890" s="539"/>
      <c r="S1890" s="540"/>
      <c r="T1890" s="543"/>
      <c r="U1890" s="514" t="b">
        <v>0</v>
      </c>
      <c r="Z1890" t="b">
        <v>0</v>
      </c>
      <c r="AA1890" t="b">
        <v>0</v>
      </c>
      <c r="AC1890" s="82"/>
      <c r="AD1890" t="str">
        <f t="shared" si="71"/>
        <v/>
      </c>
      <c r="AE1890" t="str">
        <f t="shared" si="72"/>
        <v/>
      </c>
    </row>
    <row r="1891">
      <c r="D1891" s="226"/>
      <c r="H1891" s="474"/>
      <c r="I1891" s="474"/>
      <c r="J1891" s="475"/>
      <c r="K1891" s="275" t="str">
        <f>IFNA(VLOOKUP(D1891,'EAN Codes'!A:C,2,False),"")</f>
        <v/>
      </c>
      <c r="L1891" s="82"/>
      <c r="M1891" s="496" t="b">
        <v>0</v>
      </c>
      <c r="N1891" s="477" t="b">
        <v>0</v>
      </c>
      <c r="O1891" s="497" t="b">
        <v>0</v>
      </c>
      <c r="P1891" s="477" t="b">
        <v>0</v>
      </c>
      <c r="Q1891" s="477" t="b">
        <v>0</v>
      </c>
      <c r="R1891" s="539"/>
      <c r="S1891" s="540"/>
      <c r="T1891" s="543"/>
      <c r="U1891" s="514" t="b">
        <v>0</v>
      </c>
      <c r="Z1891" t="b">
        <v>0</v>
      </c>
      <c r="AA1891" t="b">
        <v>0</v>
      </c>
      <c r="AC1891" s="82"/>
      <c r="AD1891" t="str">
        <f t="shared" si="71"/>
        <v/>
      </c>
      <c r="AE1891" t="str">
        <f t="shared" si="72"/>
        <v/>
      </c>
    </row>
    <row r="1892">
      <c r="D1892" s="226"/>
      <c r="H1892" s="474"/>
      <c r="I1892" s="474"/>
      <c r="J1892" s="475"/>
      <c r="K1892" s="275" t="str">
        <f>IFNA(VLOOKUP(D1892,'EAN Codes'!A:C,2,False),"")</f>
        <v/>
      </c>
      <c r="L1892" s="82"/>
      <c r="M1892" s="496" t="b">
        <v>0</v>
      </c>
      <c r="N1892" s="477" t="b">
        <v>0</v>
      </c>
      <c r="O1892" s="497" t="b">
        <v>0</v>
      </c>
      <c r="P1892" s="477" t="b">
        <v>0</v>
      </c>
      <c r="Q1892" s="477" t="b">
        <v>0</v>
      </c>
      <c r="R1892" s="539"/>
      <c r="S1892" s="540"/>
      <c r="T1892" s="543"/>
      <c r="U1892" s="514" t="b">
        <v>0</v>
      </c>
      <c r="Z1892" t="b">
        <v>0</v>
      </c>
      <c r="AA1892" t="b">
        <v>0</v>
      </c>
      <c r="AC1892" s="82"/>
      <c r="AD1892" t="str">
        <f t="shared" si="71"/>
        <v/>
      </c>
      <c r="AE1892" t="str">
        <f t="shared" si="72"/>
        <v/>
      </c>
    </row>
    <row r="1893">
      <c r="D1893" s="226"/>
      <c r="H1893" s="474"/>
      <c r="I1893" s="474"/>
      <c r="J1893" s="475"/>
      <c r="K1893" s="275" t="str">
        <f>IFNA(VLOOKUP(D1893,'EAN Codes'!A:C,2,False),"")</f>
        <v/>
      </c>
      <c r="L1893" s="82"/>
      <c r="M1893" s="672"/>
      <c r="N1893" s="242"/>
      <c r="O1893" s="242"/>
      <c r="P1893" s="242"/>
      <c r="Q1893" s="242"/>
      <c r="R1893" s="539"/>
      <c r="S1893" s="540"/>
      <c r="T1893" s="543"/>
      <c r="U1893" s="514" t="b">
        <v>0</v>
      </c>
      <c r="Z1893" t="b">
        <v>0</v>
      </c>
      <c r="AA1893" t="b">
        <v>0</v>
      </c>
      <c r="AC1893" s="82"/>
      <c r="AD1893" t="str">
        <f t="shared" si="71"/>
        <v/>
      </c>
      <c r="AE1893" t="str">
        <f t="shared" si="72"/>
        <v/>
      </c>
    </row>
    <row r="1894">
      <c r="D1894" s="226"/>
      <c r="H1894" s="474"/>
      <c r="I1894" s="474"/>
      <c r="J1894" s="475"/>
      <c r="K1894" s="275" t="str">
        <f>IFNA(VLOOKUP(D1894,'EAN Codes'!A:C,2,False),"")</f>
        <v/>
      </c>
      <c r="L1894" s="82"/>
      <c r="M1894" s="672"/>
      <c r="N1894" s="242"/>
      <c r="O1894" s="242"/>
      <c r="P1894" s="242"/>
      <c r="Q1894" s="242"/>
      <c r="R1894" s="539"/>
      <c r="S1894" s="540"/>
      <c r="T1894" s="543"/>
      <c r="U1894" s="514" t="b">
        <v>0</v>
      </c>
      <c r="Z1894" t="b">
        <v>0</v>
      </c>
      <c r="AA1894" t="b">
        <v>0</v>
      </c>
      <c r="AC1894" s="82"/>
      <c r="AD1894" t="str">
        <f t="shared" si="71"/>
        <v/>
      </c>
      <c r="AE1894" t="str">
        <f t="shared" si="72"/>
        <v/>
      </c>
    </row>
    <row r="1895">
      <c r="D1895" s="226"/>
      <c r="H1895" s="474"/>
      <c r="I1895" s="474"/>
      <c r="J1895" s="475"/>
      <c r="K1895" s="275" t="str">
        <f>IFNA(VLOOKUP(D1895,'EAN Codes'!A:C,2,False),"")</f>
        <v/>
      </c>
      <c r="L1895" s="82"/>
      <c r="M1895" s="672"/>
      <c r="N1895" s="242"/>
      <c r="O1895" s="242"/>
      <c r="P1895" s="242"/>
      <c r="Q1895" s="242"/>
      <c r="R1895" s="539"/>
      <c r="S1895" s="540"/>
      <c r="T1895" s="543"/>
      <c r="U1895" s="514" t="b">
        <v>0</v>
      </c>
      <c r="Z1895" t="b">
        <v>0</v>
      </c>
      <c r="AA1895" t="b">
        <v>0</v>
      </c>
      <c r="AC1895" s="82"/>
      <c r="AD1895" t="str">
        <f t="shared" si="71"/>
        <v/>
      </c>
      <c r="AE1895" t="str">
        <f t="shared" si="72"/>
        <v/>
      </c>
    </row>
    <row r="1896">
      <c r="D1896" s="226"/>
      <c r="H1896" s="474"/>
      <c r="I1896" s="474"/>
      <c r="J1896" s="475"/>
      <c r="K1896" s="275" t="str">
        <f>IFNA(VLOOKUP(D1896,'EAN Codes'!A:C,2,False),"")</f>
        <v/>
      </c>
      <c r="L1896" s="82"/>
      <c r="M1896" s="672"/>
      <c r="N1896" s="242"/>
      <c r="O1896" s="242"/>
      <c r="P1896" s="242"/>
      <c r="Q1896" s="242"/>
      <c r="R1896" s="539"/>
      <c r="S1896" s="540"/>
      <c r="T1896" s="543"/>
      <c r="U1896" s="514" t="b">
        <v>0</v>
      </c>
      <c r="Z1896" t="b">
        <v>0</v>
      </c>
      <c r="AA1896" t="b">
        <v>0</v>
      </c>
      <c r="AC1896" s="82"/>
      <c r="AD1896" t="str">
        <f t="shared" si="71"/>
        <v/>
      </c>
      <c r="AE1896" t="str">
        <f t="shared" si="72"/>
        <v/>
      </c>
    </row>
    <row r="1897">
      <c r="D1897" s="226"/>
      <c r="H1897" s="474"/>
      <c r="I1897" s="474"/>
      <c r="J1897" s="475"/>
      <c r="K1897" s="275" t="str">
        <f>IFNA(VLOOKUP(D1897,'EAN Codes'!A:C,2,False),"")</f>
        <v/>
      </c>
      <c r="L1897" s="82"/>
      <c r="M1897" s="672"/>
      <c r="N1897" s="242"/>
      <c r="O1897" s="242"/>
      <c r="P1897" s="242"/>
      <c r="Q1897" s="242"/>
      <c r="R1897" s="539"/>
      <c r="S1897" s="540"/>
      <c r="T1897" s="543"/>
      <c r="U1897" s="514" t="b">
        <v>0</v>
      </c>
      <c r="Z1897" t="b">
        <v>0</v>
      </c>
      <c r="AA1897" t="b">
        <v>0</v>
      </c>
      <c r="AC1897" s="82"/>
      <c r="AD1897" t="str">
        <f t="shared" si="71"/>
        <v/>
      </c>
      <c r="AE1897" t="str">
        <f t="shared" si="72"/>
        <v/>
      </c>
    </row>
    <row r="1898">
      <c r="D1898" s="226"/>
      <c r="H1898" s="474"/>
      <c r="I1898" s="474"/>
      <c r="J1898" s="475"/>
      <c r="K1898" s="275" t="str">
        <f>IFNA(VLOOKUP(D1898,'EAN Codes'!A:C,2,False),"")</f>
        <v/>
      </c>
      <c r="L1898" s="82"/>
      <c r="M1898" s="672"/>
      <c r="N1898" s="242"/>
      <c r="O1898" s="242"/>
      <c r="P1898" s="242"/>
      <c r="Q1898" s="242"/>
      <c r="R1898" s="539"/>
      <c r="S1898" s="540"/>
      <c r="T1898" s="543"/>
      <c r="U1898" s="514" t="b">
        <v>0</v>
      </c>
      <c r="Z1898" t="b">
        <v>0</v>
      </c>
      <c r="AA1898" t="b">
        <v>0</v>
      </c>
      <c r="AC1898" s="82"/>
      <c r="AD1898" t="str">
        <f t="shared" si="71"/>
        <v/>
      </c>
      <c r="AE1898" t="str">
        <f t="shared" si="72"/>
        <v/>
      </c>
    </row>
    <row r="1899">
      <c r="D1899" s="226"/>
      <c r="H1899" s="474"/>
      <c r="I1899" s="474"/>
      <c r="J1899" s="475"/>
      <c r="K1899" s="275" t="str">
        <f>IFNA(VLOOKUP(D1899,'EAN Codes'!A:C,2,False),"")</f>
        <v/>
      </c>
      <c r="L1899" s="82"/>
      <c r="M1899" s="672"/>
      <c r="N1899" s="242"/>
      <c r="O1899" s="242"/>
      <c r="P1899" s="242"/>
      <c r="Q1899" s="242"/>
      <c r="R1899" s="539"/>
      <c r="S1899" s="540"/>
      <c r="T1899" s="543"/>
      <c r="U1899" s="514" t="b">
        <v>0</v>
      </c>
      <c r="Z1899" t="b">
        <v>0</v>
      </c>
      <c r="AA1899" t="b">
        <v>0</v>
      </c>
      <c r="AC1899" s="82"/>
      <c r="AD1899" t="str">
        <f t="shared" si="71"/>
        <v/>
      </c>
      <c r="AE1899" t="str">
        <f t="shared" si="72"/>
        <v/>
      </c>
    </row>
    <row r="1900">
      <c r="D1900" s="226"/>
      <c r="H1900" s="474"/>
      <c r="I1900" s="474"/>
      <c r="J1900" s="475"/>
      <c r="K1900" s="275" t="str">
        <f>IFNA(VLOOKUP(D1900,'EAN Codes'!A:C,2,False),"")</f>
        <v/>
      </c>
      <c r="L1900" s="82"/>
      <c r="M1900" s="672"/>
      <c r="N1900" s="242"/>
      <c r="O1900" s="242"/>
      <c r="P1900" s="242"/>
      <c r="Q1900" s="242"/>
      <c r="R1900" s="539"/>
      <c r="S1900" s="540"/>
      <c r="T1900" s="543"/>
      <c r="U1900" s="514" t="b">
        <v>0</v>
      </c>
      <c r="Z1900" t="b">
        <v>0</v>
      </c>
      <c r="AA1900" t="b">
        <v>0</v>
      </c>
      <c r="AC1900" s="82"/>
      <c r="AD1900" t="str">
        <f t="shared" si="71"/>
        <v/>
      </c>
      <c r="AE1900" t="str">
        <f t="shared" si="72"/>
        <v/>
      </c>
    </row>
    <row r="1901">
      <c r="D1901" s="226"/>
      <c r="H1901" s="474"/>
      <c r="I1901" s="474"/>
      <c r="J1901" s="475"/>
      <c r="K1901" s="275" t="str">
        <f>IFNA(VLOOKUP(D1901,'EAN Codes'!A:C,2,False),"")</f>
        <v/>
      </c>
      <c r="L1901" s="82"/>
      <c r="M1901" s="672"/>
      <c r="N1901" s="242"/>
      <c r="O1901" s="242"/>
      <c r="P1901" s="242"/>
      <c r="Q1901" s="242"/>
      <c r="R1901" s="539"/>
      <c r="S1901" s="540"/>
      <c r="T1901" s="543"/>
      <c r="U1901" s="514" t="b">
        <v>0</v>
      </c>
      <c r="Z1901" t="b">
        <v>0</v>
      </c>
      <c r="AA1901" t="b">
        <v>0</v>
      </c>
      <c r="AC1901" s="82"/>
      <c r="AD1901" t="str">
        <f t="shared" si="71"/>
        <v/>
      </c>
      <c r="AE1901" t="str">
        <f t="shared" si="72"/>
        <v/>
      </c>
    </row>
    <row r="1902">
      <c r="D1902" s="226"/>
      <c r="H1902" s="474"/>
      <c r="I1902" s="474"/>
      <c r="J1902" s="475"/>
      <c r="K1902" s="275" t="str">
        <f>IFNA(VLOOKUP(D1902,'EAN Codes'!A:C,2,False),"")</f>
        <v/>
      </c>
      <c r="L1902" s="82"/>
      <c r="M1902" s="672"/>
      <c r="N1902" s="242"/>
      <c r="O1902" s="242"/>
      <c r="P1902" s="242"/>
      <c r="Q1902" s="242"/>
      <c r="R1902" s="539"/>
      <c r="S1902" s="540"/>
      <c r="T1902" s="543"/>
      <c r="U1902" s="514" t="b">
        <v>0</v>
      </c>
      <c r="Z1902" t="b">
        <v>0</v>
      </c>
      <c r="AA1902" t="b">
        <v>0</v>
      </c>
      <c r="AC1902" s="82"/>
      <c r="AD1902" t="str">
        <f t="shared" si="71"/>
        <v/>
      </c>
      <c r="AE1902" t="str">
        <f t="shared" si="72"/>
        <v/>
      </c>
    </row>
    <row r="1903">
      <c r="D1903" s="226"/>
      <c r="H1903" s="474"/>
      <c r="I1903" s="474"/>
      <c r="J1903" s="475"/>
      <c r="K1903" s="275" t="str">
        <f>IFNA(VLOOKUP(D1903,'EAN Codes'!A:C,2,False),"")</f>
        <v/>
      </c>
      <c r="L1903" s="82"/>
      <c r="M1903" s="672"/>
      <c r="N1903" s="242"/>
      <c r="O1903" s="242"/>
      <c r="P1903" s="242"/>
      <c r="Q1903" s="242"/>
      <c r="R1903" s="539"/>
      <c r="S1903" s="540"/>
      <c r="T1903" s="543"/>
      <c r="U1903" s="514" t="b">
        <v>0</v>
      </c>
      <c r="Z1903" t="b">
        <v>0</v>
      </c>
      <c r="AA1903" t="b">
        <v>0</v>
      </c>
      <c r="AC1903" s="82"/>
      <c r="AD1903" t="str">
        <f t="shared" si="71"/>
        <v/>
      </c>
      <c r="AE1903" t="str">
        <f t="shared" si="72"/>
        <v/>
      </c>
    </row>
    <row r="1904">
      <c r="D1904" s="226"/>
      <c r="H1904" s="474"/>
      <c r="I1904" s="474"/>
      <c r="J1904" s="475"/>
      <c r="K1904" s="275" t="str">
        <f>IFNA(VLOOKUP(D1904,'EAN Codes'!A:C,2,False),"")</f>
        <v/>
      </c>
      <c r="L1904" s="82"/>
      <c r="M1904" s="672"/>
      <c r="N1904" s="242"/>
      <c r="O1904" s="242"/>
      <c r="P1904" s="242"/>
      <c r="Q1904" s="242"/>
      <c r="R1904" s="539"/>
      <c r="S1904" s="540"/>
      <c r="T1904" s="543"/>
      <c r="U1904" s="514" t="b">
        <v>0</v>
      </c>
      <c r="Z1904" t="b">
        <v>0</v>
      </c>
      <c r="AA1904" t="b">
        <v>0</v>
      </c>
      <c r="AC1904" s="82"/>
      <c r="AD1904" t="str">
        <f t="shared" si="71"/>
        <v/>
      </c>
      <c r="AE1904" t="str">
        <f t="shared" si="72"/>
        <v/>
      </c>
    </row>
    <row r="1905">
      <c r="D1905" s="226"/>
      <c r="H1905" s="474"/>
      <c r="I1905" s="474"/>
      <c r="J1905" s="475"/>
      <c r="K1905" s="275" t="str">
        <f>IFNA(VLOOKUP(D1905,'EAN Codes'!A:C,2,False),"")</f>
        <v/>
      </c>
      <c r="L1905" s="82"/>
      <c r="M1905" s="672"/>
      <c r="N1905" s="242"/>
      <c r="O1905" s="242"/>
      <c r="P1905" s="242"/>
      <c r="Q1905" s="242"/>
      <c r="R1905" s="539"/>
      <c r="S1905" s="540"/>
      <c r="T1905" s="543"/>
      <c r="U1905" s="514" t="b">
        <v>0</v>
      </c>
      <c r="Z1905" t="b">
        <v>0</v>
      </c>
      <c r="AA1905" t="b">
        <v>0</v>
      </c>
      <c r="AC1905" s="82"/>
      <c r="AD1905" t="str">
        <f t="shared" si="71"/>
        <v/>
      </c>
      <c r="AE1905" t="str">
        <f t="shared" si="72"/>
        <v/>
      </c>
    </row>
    <row r="1906">
      <c r="D1906" s="226"/>
      <c r="H1906" s="474"/>
      <c r="I1906" s="474"/>
      <c r="J1906" s="475"/>
      <c r="K1906" s="275" t="str">
        <f>IFNA(VLOOKUP(D1906,'EAN Codes'!A:C,2,False),"")</f>
        <v/>
      </c>
      <c r="L1906" s="82"/>
      <c r="M1906" s="672"/>
      <c r="N1906" s="242"/>
      <c r="O1906" s="242"/>
      <c r="P1906" s="242"/>
      <c r="Q1906" s="242"/>
      <c r="R1906" s="539"/>
      <c r="S1906" s="540"/>
      <c r="T1906" s="543"/>
      <c r="U1906" s="514" t="b">
        <v>0</v>
      </c>
      <c r="Z1906" t="b">
        <v>0</v>
      </c>
      <c r="AA1906" t="b">
        <v>0</v>
      </c>
      <c r="AC1906" s="82"/>
      <c r="AD1906" t="str">
        <f t="shared" si="71"/>
        <v/>
      </c>
      <c r="AE1906" t="str">
        <f t="shared" si="72"/>
        <v/>
      </c>
    </row>
    <row r="1907">
      <c r="D1907" s="226"/>
      <c r="H1907" s="474"/>
      <c r="I1907" s="474"/>
      <c r="J1907" s="475"/>
      <c r="K1907" s="275" t="str">
        <f>IFNA(VLOOKUP(D1907,'EAN Codes'!A:C,2,False),"")</f>
        <v/>
      </c>
      <c r="L1907" s="82"/>
      <c r="M1907" s="672"/>
      <c r="N1907" s="242"/>
      <c r="O1907" s="242"/>
      <c r="P1907" s="242"/>
      <c r="Q1907" s="242"/>
      <c r="R1907" s="539"/>
      <c r="S1907" s="540"/>
      <c r="T1907" s="543"/>
      <c r="U1907" s="514" t="b">
        <v>0</v>
      </c>
      <c r="Z1907" t="b">
        <v>0</v>
      </c>
      <c r="AA1907" t="b">
        <v>0</v>
      </c>
      <c r="AC1907" s="82"/>
      <c r="AD1907" t="str">
        <f t="shared" si="71"/>
        <v/>
      </c>
      <c r="AE1907" t="str">
        <f t="shared" si="72"/>
        <v/>
      </c>
    </row>
    <row r="1908">
      <c r="D1908" s="226"/>
      <c r="H1908" s="474"/>
      <c r="I1908" s="474"/>
      <c r="J1908" s="475"/>
      <c r="K1908" s="275" t="str">
        <f>IFNA(VLOOKUP(D1908,'EAN Codes'!A:C,2,False),"")</f>
        <v/>
      </c>
      <c r="L1908" s="82"/>
      <c r="M1908" s="672"/>
      <c r="N1908" s="242"/>
      <c r="O1908" s="242"/>
      <c r="P1908" s="242"/>
      <c r="Q1908" s="242"/>
      <c r="R1908" s="539"/>
      <c r="S1908" s="540"/>
      <c r="T1908" s="543"/>
      <c r="U1908" s="514" t="b">
        <v>0</v>
      </c>
      <c r="Z1908" t="b">
        <v>0</v>
      </c>
      <c r="AA1908" t="b">
        <v>0</v>
      </c>
      <c r="AC1908" s="82"/>
      <c r="AD1908" t="str">
        <f t="shared" si="71"/>
        <v/>
      </c>
      <c r="AE1908" t="str">
        <f t="shared" si="72"/>
        <v/>
      </c>
    </row>
    <row r="1909">
      <c r="D1909" s="226"/>
      <c r="H1909" s="474"/>
      <c r="I1909" s="474"/>
      <c r="J1909" s="475"/>
      <c r="K1909" s="275" t="str">
        <f>IFNA(VLOOKUP(D1909,'EAN Codes'!A:C,2,False),"")</f>
        <v/>
      </c>
      <c r="L1909" s="82"/>
      <c r="M1909" s="672"/>
      <c r="N1909" s="242"/>
      <c r="O1909" s="242"/>
      <c r="P1909" s="242"/>
      <c r="Q1909" s="242"/>
      <c r="R1909" s="539"/>
      <c r="S1909" s="540"/>
      <c r="T1909" s="543"/>
      <c r="U1909" s="514" t="b">
        <v>0</v>
      </c>
      <c r="Z1909" t="b">
        <v>0</v>
      </c>
      <c r="AA1909" t="b">
        <v>0</v>
      </c>
      <c r="AC1909" s="82"/>
      <c r="AD1909" t="str">
        <f t="shared" si="71"/>
        <v/>
      </c>
      <c r="AE1909" t="str">
        <f t="shared" si="72"/>
        <v/>
      </c>
    </row>
    <row r="1910">
      <c r="D1910" s="226"/>
      <c r="H1910" s="474"/>
      <c r="I1910" s="474"/>
      <c r="J1910" s="475"/>
      <c r="K1910" s="275" t="str">
        <f>IFNA(VLOOKUP(D1910,'EAN Codes'!A:C,2,False),"")</f>
        <v/>
      </c>
      <c r="L1910" s="82"/>
      <c r="M1910" s="672"/>
      <c r="N1910" s="242"/>
      <c r="O1910" s="242"/>
      <c r="P1910" s="242"/>
      <c r="Q1910" s="242"/>
      <c r="R1910" s="539"/>
      <c r="S1910" s="540"/>
      <c r="T1910" s="543"/>
      <c r="U1910" s="514" t="b">
        <v>0</v>
      </c>
      <c r="Z1910" t="b">
        <v>0</v>
      </c>
      <c r="AA1910" t="b">
        <v>0</v>
      </c>
      <c r="AC1910" s="82"/>
      <c r="AD1910" t="str">
        <f t="shared" si="71"/>
        <v/>
      </c>
      <c r="AE1910" t="str">
        <f t="shared" si="72"/>
        <v/>
      </c>
    </row>
    <row r="1911">
      <c r="D1911" s="226"/>
      <c r="H1911" s="474"/>
      <c r="I1911" s="474"/>
      <c r="J1911" s="475"/>
      <c r="K1911" s="275" t="str">
        <f>IFNA(VLOOKUP(D1911,'EAN Codes'!A:C,2,False),"")</f>
        <v/>
      </c>
      <c r="L1911" s="82"/>
      <c r="M1911" s="672"/>
      <c r="N1911" s="242"/>
      <c r="O1911" s="242"/>
      <c r="P1911" s="242"/>
      <c r="Q1911" s="242"/>
      <c r="R1911" s="539"/>
      <c r="S1911" s="540"/>
      <c r="T1911" s="543"/>
      <c r="U1911" s="514" t="b">
        <v>0</v>
      </c>
      <c r="Z1911" t="b">
        <v>0</v>
      </c>
      <c r="AA1911" t="b">
        <v>0</v>
      </c>
      <c r="AC1911" s="82"/>
      <c r="AD1911" t="str">
        <f t="shared" si="71"/>
        <v/>
      </c>
      <c r="AE1911" t="str">
        <f t="shared" si="72"/>
        <v/>
      </c>
    </row>
    <row r="1912">
      <c r="D1912" s="226"/>
      <c r="H1912" s="474"/>
      <c r="I1912" s="474"/>
      <c r="J1912" s="475"/>
      <c r="K1912" s="275" t="str">
        <f>IFNA(VLOOKUP(D1912,'EAN Codes'!A:C,2,False),"")</f>
        <v/>
      </c>
      <c r="L1912" s="82"/>
      <c r="M1912" s="672"/>
      <c r="N1912" s="242"/>
      <c r="O1912" s="242"/>
      <c r="P1912" s="242"/>
      <c r="Q1912" s="242"/>
      <c r="R1912" s="539"/>
      <c r="S1912" s="540"/>
      <c r="T1912" s="543"/>
      <c r="U1912" s="514" t="b">
        <v>0</v>
      </c>
      <c r="Z1912" t="b">
        <v>0</v>
      </c>
      <c r="AA1912" t="b">
        <v>0</v>
      </c>
      <c r="AC1912" s="82"/>
      <c r="AD1912" t="str">
        <f t="shared" si="71"/>
        <v/>
      </c>
      <c r="AE1912" t="str">
        <f t="shared" si="72"/>
        <v/>
      </c>
    </row>
    <row r="1913">
      <c r="D1913" s="226"/>
      <c r="H1913" s="474"/>
      <c r="I1913" s="474"/>
      <c r="J1913" s="475"/>
      <c r="K1913" s="275" t="str">
        <f>IFNA(VLOOKUP(D1913,'EAN Codes'!A:C,2,False),"")</f>
        <v/>
      </c>
      <c r="L1913" s="82"/>
      <c r="M1913" s="672"/>
      <c r="N1913" s="242"/>
      <c r="O1913" s="242"/>
      <c r="P1913" s="242"/>
      <c r="Q1913" s="242"/>
      <c r="R1913" s="539"/>
      <c r="S1913" s="540"/>
      <c r="T1913" s="543"/>
      <c r="U1913" s="514" t="b">
        <v>0</v>
      </c>
      <c r="Z1913" t="b">
        <v>0</v>
      </c>
      <c r="AA1913" t="b">
        <v>0</v>
      </c>
      <c r="AC1913" s="82"/>
      <c r="AD1913" t="str">
        <f t="shared" si="71"/>
        <v/>
      </c>
      <c r="AE1913" t="str">
        <f t="shared" si="72"/>
        <v/>
      </c>
    </row>
    <row r="1914">
      <c r="D1914" s="226"/>
      <c r="H1914" s="474"/>
      <c r="I1914" s="474"/>
      <c r="J1914" s="475"/>
      <c r="K1914" s="275" t="str">
        <f>IFNA(VLOOKUP(D1914,'EAN Codes'!A:C,2,False),"")</f>
        <v/>
      </c>
      <c r="L1914" s="82"/>
      <c r="M1914" s="672"/>
      <c r="N1914" s="242"/>
      <c r="O1914" s="242"/>
      <c r="P1914" s="242"/>
      <c r="Q1914" s="242"/>
      <c r="R1914" s="539"/>
      <c r="S1914" s="540"/>
      <c r="T1914" s="543"/>
      <c r="U1914" s="514" t="b">
        <v>0</v>
      </c>
      <c r="Z1914" t="b">
        <v>0</v>
      </c>
      <c r="AA1914" t="b">
        <v>0</v>
      </c>
      <c r="AC1914" s="82"/>
      <c r="AD1914" t="str">
        <f t="shared" si="71"/>
        <v/>
      </c>
      <c r="AE1914" t="str">
        <f t="shared" si="72"/>
        <v/>
      </c>
    </row>
    <row r="1915">
      <c r="D1915" s="226"/>
      <c r="H1915" s="474"/>
      <c r="I1915" s="474"/>
      <c r="J1915" s="475"/>
      <c r="K1915" s="275" t="str">
        <f>IFNA(VLOOKUP(D1915,'EAN Codes'!A:C,2,False),"")</f>
        <v/>
      </c>
      <c r="L1915" s="82"/>
      <c r="M1915" s="672"/>
      <c r="N1915" s="242"/>
      <c r="O1915" s="242"/>
      <c r="P1915" s="242"/>
      <c r="Q1915" s="242"/>
      <c r="R1915" s="539"/>
      <c r="S1915" s="540"/>
      <c r="T1915" s="543"/>
      <c r="U1915" s="514" t="b">
        <v>0</v>
      </c>
      <c r="Z1915" t="b">
        <v>0</v>
      </c>
      <c r="AA1915" t="b">
        <v>0</v>
      </c>
      <c r="AC1915" s="82"/>
      <c r="AD1915" t="str">
        <f t="shared" si="71"/>
        <v/>
      </c>
      <c r="AE1915" t="str">
        <f t="shared" si="72"/>
        <v/>
      </c>
    </row>
    <row r="1916">
      <c r="D1916" s="226"/>
      <c r="H1916" s="474"/>
      <c r="I1916" s="474"/>
      <c r="J1916" s="475"/>
      <c r="K1916" s="275" t="str">
        <f>IFNA(VLOOKUP(D1916,'EAN Codes'!A:C,2,False),"")</f>
        <v/>
      </c>
      <c r="L1916" s="82"/>
      <c r="M1916" s="672"/>
      <c r="N1916" s="242"/>
      <c r="O1916" s="242"/>
      <c r="P1916" s="242"/>
      <c r="Q1916" s="242"/>
      <c r="R1916" s="539"/>
      <c r="S1916" s="540"/>
      <c r="T1916" s="543"/>
      <c r="U1916" s="514" t="b">
        <v>0</v>
      </c>
      <c r="Z1916" t="b">
        <v>0</v>
      </c>
      <c r="AA1916" t="b">
        <v>0</v>
      </c>
      <c r="AC1916" s="82"/>
      <c r="AD1916" t="str">
        <f t="shared" si="71"/>
        <v/>
      </c>
      <c r="AE1916" t="str">
        <f t="shared" si="72"/>
        <v/>
      </c>
    </row>
    <row r="1917">
      <c r="D1917" s="226"/>
      <c r="H1917" s="474"/>
      <c r="I1917" s="474"/>
      <c r="J1917" s="475"/>
      <c r="K1917" s="275" t="str">
        <f>IFNA(VLOOKUP(D1917,'EAN Codes'!A:C,2,False),"")</f>
        <v/>
      </c>
      <c r="L1917" s="82"/>
      <c r="M1917" s="672"/>
      <c r="N1917" s="242"/>
      <c r="O1917" s="242"/>
      <c r="P1917" s="242"/>
      <c r="Q1917" s="242"/>
      <c r="R1917" s="539"/>
      <c r="S1917" s="540"/>
      <c r="T1917" s="543"/>
      <c r="U1917" s="514" t="b">
        <v>0</v>
      </c>
      <c r="Z1917" t="b">
        <v>0</v>
      </c>
      <c r="AA1917" t="b">
        <v>0</v>
      </c>
      <c r="AC1917" s="82"/>
      <c r="AD1917" t="str">
        <f t="shared" si="71"/>
        <v/>
      </c>
      <c r="AE1917" t="str">
        <f t="shared" si="72"/>
        <v/>
      </c>
    </row>
    <row r="1918">
      <c r="D1918" s="226"/>
      <c r="H1918" s="474"/>
      <c r="I1918" s="474"/>
      <c r="J1918" s="475"/>
      <c r="K1918" s="275" t="str">
        <f>IFNA(VLOOKUP(D1918,'EAN Codes'!A:C,2,False),"")</f>
        <v/>
      </c>
      <c r="L1918" s="82"/>
      <c r="M1918" s="672"/>
      <c r="N1918" s="242"/>
      <c r="O1918" s="242"/>
      <c r="P1918" s="242"/>
      <c r="Q1918" s="242"/>
      <c r="R1918" s="539"/>
      <c r="S1918" s="540"/>
      <c r="T1918" s="543"/>
      <c r="U1918" s="514" t="b">
        <v>0</v>
      </c>
      <c r="Z1918" t="b">
        <v>0</v>
      </c>
      <c r="AA1918" t="b">
        <v>0</v>
      </c>
      <c r="AC1918" s="82"/>
      <c r="AD1918" t="str">
        <f t="shared" si="71"/>
        <v/>
      </c>
      <c r="AE1918" t="str">
        <f t="shared" si="72"/>
        <v/>
      </c>
    </row>
    <row r="1919">
      <c r="D1919" s="226"/>
      <c r="H1919" s="474"/>
      <c r="I1919" s="474"/>
      <c r="J1919" s="475"/>
      <c r="K1919" s="275" t="str">
        <f>IFNA(VLOOKUP(D1919,'EAN Codes'!A:C,2,False),"")</f>
        <v/>
      </c>
      <c r="L1919" s="82"/>
      <c r="M1919" s="672"/>
      <c r="N1919" s="242"/>
      <c r="O1919" s="242"/>
      <c r="P1919" s="242"/>
      <c r="Q1919" s="242"/>
      <c r="R1919" s="539"/>
      <c r="S1919" s="540"/>
      <c r="T1919" s="543"/>
      <c r="U1919" s="514" t="b">
        <v>0</v>
      </c>
      <c r="Z1919" t="b">
        <v>0</v>
      </c>
      <c r="AA1919" t="b">
        <v>0</v>
      </c>
      <c r="AC1919" s="82"/>
      <c r="AD1919" t="str">
        <f t="shared" si="71"/>
        <v/>
      </c>
      <c r="AE1919" t="str">
        <f t="shared" si="72"/>
        <v/>
      </c>
    </row>
    <row r="1920">
      <c r="D1920" s="226"/>
      <c r="H1920" s="474"/>
      <c r="I1920" s="474"/>
      <c r="J1920" s="475"/>
      <c r="K1920" s="275" t="str">
        <f>IFNA(VLOOKUP(D1920,'EAN Codes'!A:C,2,False),"")</f>
        <v/>
      </c>
      <c r="L1920" s="82"/>
      <c r="M1920" s="672"/>
      <c r="N1920" s="242"/>
      <c r="O1920" s="242"/>
      <c r="P1920" s="242"/>
      <c r="Q1920" s="242"/>
      <c r="R1920" s="539"/>
      <c r="S1920" s="540"/>
      <c r="T1920" s="543"/>
      <c r="U1920" s="514" t="b">
        <v>0</v>
      </c>
      <c r="Z1920" t="b">
        <v>0</v>
      </c>
      <c r="AA1920" t="b">
        <v>0</v>
      </c>
      <c r="AC1920" s="82"/>
      <c r="AD1920" t="str">
        <f t="shared" si="71"/>
        <v/>
      </c>
      <c r="AE1920" t="str">
        <f t="shared" si="72"/>
        <v/>
      </c>
    </row>
    <row r="1921">
      <c r="D1921" s="226"/>
      <c r="H1921" s="474"/>
      <c r="I1921" s="474"/>
      <c r="J1921" s="475"/>
      <c r="K1921" s="275" t="str">
        <f>IFNA(VLOOKUP(D1921,'EAN Codes'!A:C,2,False),"")</f>
        <v/>
      </c>
      <c r="L1921" s="82"/>
      <c r="M1921" s="672"/>
      <c r="N1921" s="242"/>
      <c r="O1921" s="242"/>
      <c r="P1921" s="242"/>
      <c r="Q1921" s="242"/>
      <c r="R1921" s="539"/>
      <c r="S1921" s="540"/>
      <c r="T1921" s="543"/>
      <c r="U1921" s="514" t="b">
        <v>0</v>
      </c>
      <c r="Z1921" t="b">
        <v>0</v>
      </c>
      <c r="AA1921" t="b">
        <v>0</v>
      </c>
      <c r="AC1921" s="82"/>
      <c r="AD1921" t="str">
        <f t="shared" si="71"/>
        <v/>
      </c>
      <c r="AE1921" t="str">
        <f t="shared" si="72"/>
        <v/>
      </c>
    </row>
    <row r="1922">
      <c r="D1922" s="226"/>
      <c r="H1922" s="474"/>
      <c r="I1922" s="474"/>
      <c r="J1922" s="475"/>
      <c r="K1922" s="275" t="str">
        <f>IFNA(VLOOKUP(D1922,'EAN Codes'!A:C,2,False),"")</f>
        <v/>
      </c>
      <c r="L1922" s="82"/>
      <c r="M1922" s="672"/>
      <c r="N1922" s="242"/>
      <c r="O1922" s="242"/>
      <c r="P1922" s="242"/>
      <c r="Q1922" s="242"/>
      <c r="R1922" s="539"/>
      <c r="S1922" s="540"/>
      <c r="T1922" s="543"/>
      <c r="U1922" s="514" t="b">
        <v>0</v>
      </c>
      <c r="Z1922" t="b">
        <v>0</v>
      </c>
      <c r="AA1922" t="b">
        <v>0</v>
      </c>
      <c r="AC1922" s="82"/>
      <c r="AD1922" t="str">
        <f t="shared" si="71"/>
        <v/>
      </c>
      <c r="AE1922" t="str">
        <f t="shared" si="72"/>
        <v/>
      </c>
    </row>
    <row r="1923">
      <c r="D1923" s="226"/>
      <c r="H1923" s="474"/>
      <c r="I1923" s="474"/>
      <c r="J1923" s="475"/>
      <c r="K1923" s="275" t="str">
        <f>IFNA(VLOOKUP(D1923,'EAN Codes'!A:C,2,False),"")</f>
        <v/>
      </c>
      <c r="L1923" s="82"/>
      <c r="M1923" s="672"/>
      <c r="N1923" s="242"/>
      <c r="O1923" s="242"/>
      <c r="P1923" s="242"/>
      <c r="Q1923" s="242"/>
      <c r="R1923" s="539"/>
      <c r="S1923" s="540"/>
      <c r="T1923" s="543"/>
      <c r="U1923" s="514" t="b">
        <v>0</v>
      </c>
      <c r="Z1923" t="b">
        <v>0</v>
      </c>
      <c r="AA1923" t="b">
        <v>0</v>
      </c>
      <c r="AC1923" s="82"/>
      <c r="AD1923" t="str">
        <f t="shared" si="71"/>
        <v/>
      </c>
      <c r="AE1923" t="str">
        <f t="shared" si="72"/>
        <v/>
      </c>
    </row>
    <row r="1924">
      <c r="D1924" s="226"/>
      <c r="H1924" s="474"/>
      <c r="I1924" s="474"/>
      <c r="J1924" s="475"/>
      <c r="K1924" s="275" t="str">
        <f>IFNA(VLOOKUP(D1924,'EAN Codes'!A:C,2,False),"")</f>
        <v/>
      </c>
      <c r="L1924" s="82"/>
      <c r="M1924" s="672"/>
      <c r="N1924" s="242"/>
      <c r="O1924" s="242"/>
      <c r="P1924" s="242"/>
      <c r="Q1924" s="242"/>
      <c r="R1924" s="539"/>
      <c r="S1924" s="540"/>
      <c r="T1924" s="543"/>
      <c r="U1924" s="514" t="b">
        <v>0</v>
      </c>
      <c r="Z1924" t="b">
        <v>0</v>
      </c>
      <c r="AA1924" t="b">
        <v>0</v>
      </c>
      <c r="AC1924" s="82"/>
      <c r="AD1924" t="str">
        <f t="shared" si="71"/>
        <v/>
      </c>
      <c r="AE1924" t="str">
        <f t="shared" si="72"/>
        <v/>
      </c>
    </row>
    <row r="1925">
      <c r="D1925" s="226"/>
      <c r="H1925" s="474"/>
      <c r="I1925" s="474"/>
      <c r="J1925" s="475"/>
      <c r="K1925" s="275" t="str">
        <f>IFNA(VLOOKUP(D1925,'EAN Codes'!A:C,2,False),"")</f>
        <v/>
      </c>
      <c r="L1925" s="82"/>
      <c r="M1925" s="672"/>
      <c r="N1925" s="242"/>
      <c r="O1925" s="242"/>
      <c r="P1925" s="242"/>
      <c r="Q1925" s="242"/>
      <c r="R1925" s="539"/>
      <c r="S1925" s="540"/>
      <c r="T1925" s="543"/>
      <c r="U1925" s="514" t="b">
        <v>0</v>
      </c>
      <c r="Z1925" t="b">
        <v>0</v>
      </c>
      <c r="AA1925" t="b">
        <v>0</v>
      </c>
      <c r="AC1925" s="82"/>
      <c r="AD1925" t="str">
        <f t="shared" si="71"/>
        <v/>
      </c>
      <c r="AE1925" t="str">
        <f t="shared" si="72"/>
        <v/>
      </c>
    </row>
    <row r="1926">
      <c r="D1926" s="226"/>
      <c r="H1926" s="474"/>
      <c r="I1926" s="474"/>
      <c r="J1926" s="475"/>
      <c r="K1926" s="275" t="str">
        <f>IFNA(VLOOKUP(D1926,'EAN Codes'!A:C,2,False),"")</f>
        <v/>
      </c>
      <c r="L1926" s="82"/>
      <c r="M1926" s="672"/>
      <c r="N1926" s="242"/>
      <c r="O1926" s="242"/>
      <c r="P1926" s="242"/>
      <c r="Q1926" s="242"/>
      <c r="R1926" s="539"/>
      <c r="S1926" s="540"/>
      <c r="T1926" s="543"/>
      <c r="U1926" s="514" t="b">
        <v>0</v>
      </c>
      <c r="Z1926" t="b">
        <v>0</v>
      </c>
      <c r="AA1926" t="b">
        <v>0</v>
      </c>
      <c r="AC1926" s="82"/>
      <c r="AD1926" t="str">
        <f t="shared" si="71"/>
        <v/>
      </c>
      <c r="AE1926" t="str">
        <f t="shared" si="72"/>
        <v/>
      </c>
    </row>
    <row r="1927">
      <c r="D1927" s="226"/>
      <c r="H1927" s="474"/>
      <c r="I1927" s="474"/>
      <c r="J1927" s="475"/>
      <c r="K1927" s="275" t="str">
        <f>IFNA(VLOOKUP(D1927,'EAN Codes'!A:C,2,False),"")</f>
        <v/>
      </c>
      <c r="L1927" s="82"/>
      <c r="M1927" s="672"/>
      <c r="N1927" s="242"/>
      <c r="O1927" s="242"/>
      <c r="P1927" s="242"/>
      <c r="Q1927" s="242"/>
      <c r="R1927" s="539"/>
      <c r="S1927" s="540"/>
      <c r="T1927" s="543"/>
      <c r="U1927" s="514" t="b">
        <v>0</v>
      </c>
      <c r="Z1927" t="b">
        <v>0</v>
      </c>
      <c r="AA1927" t="b">
        <v>0</v>
      </c>
      <c r="AC1927" s="82"/>
      <c r="AD1927" t="str">
        <f t="shared" si="71"/>
        <v/>
      </c>
      <c r="AE1927" t="str">
        <f t="shared" si="72"/>
        <v/>
      </c>
    </row>
    <row r="1928">
      <c r="D1928" s="226"/>
      <c r="H1928" s="474"/>
      <c r="I1928" s="474"/>
      <c r="J1928" s="475"/>
      <c r="K1928" s="275" t="str">
        <f>IFNA(VLOOKUP(D1928,'EAN Codes'!A:C,2,False),"")</f>
        <v/>
      </c>
      <c r="L1928" s="82"/>
      <c r="M1928" s="672"/>
      <c r="N1928" s="242"/>
      <c r="O1928" s="242"/>
      <c r="P1928" s="242"/>
      <c r="Q1928" s="242"/>
      <c r="R1928" s="539"/>
      <c r="S1928" s="540"/>
      <c r="T1928" s="543"/>
      <c r="U1928" s="514" t="b">
        <v>0</v>
      </c>
      <c r="Z1928" t="b">
        <v>0</v>
      </c>
      <c r="AA1928" t="b">
        <v>0</v>
      </c>
      <c r="AC1928" s="82"/>
      <c r="AD1928" t="str">
        <f t="shared" si="71"/>
        <v/>
      </c>
      <c r="AE1928" t="str">
        <f t="shared" si="72"/>
        <v/>
      </c>
    </row>
    <row r="1929">
      <c r="D1929" s="226"/>
      <c r="H1929" s="474"/>
      <c r="I1929" s="474"/>
      <c r="J1929" s="475"/>
      <c r="K1929" s="275" t="str">
        <f>IFNA(VLOOKUP(D1929,'EAN Codes'!A:C,2,False),"")</f>
        <v/>
      </c>
      <c r="L1929" s="82"/>
      <c r="M1929" s="672"/>
      <c r="N1929" s="242"/>
      <c r="O1929" s="242"/>
      <c r="P1929" s="242"/>
      <c r="Q1929" s="242"/>
      <c r="R1929" s="539"/>
      <c r="S1929" s="540"/>
      <c r="T1929" s="543"/>
      <c r="U1929" s="514" t="b">
        <v>0</v>
      </c>
      <c r="Z1929" t="b">
        <v>0</v>
      </c>
      <c r="AA1929" t="b">
        <v>0</v>
      </c>
      <c r="AC1929" s="82"/>
      <c r="AD1929" t="str">
        <f t="shared" si="71"/>
        <v/>
      </c>
      <c r="AE1929" t="str">
        <f t="shared" si="72"/>
        <v/>
      </c>
    </row>
    <row r="1930">
      <c r="D1930" s="226"/>
      <c r="H1930" s="474"/>
      <c r="I1930" s="474"/>
      <c r="J1930" s="475"/>
      <c r="K1930" s="275" t="str">
        <f>IFNA(VLOOKUP(D1930,'EAN Codes'!A:C,2,False),"")</f>
        <v/>
      </c>
      <c r="L1930" s="82"/>
      <c r="M1930" s="672"/>
      <c r="N1930" s="242"/>
      <c r="O1930" s="242"/>
      <c r="P1930" s="242"/>
      <c r="Q1930" s="242"/>
      <c r="R1930" s="539"/>
      <c r="S1930" s="540"/>
      <c r="T1930" s="543"/>
      <c r="U1930" s="514" t="b">
        <v>0</v>
      </c>
      <c r="Z1930" t="b">
        <v>0</v>
      </c>
      <c r="AA1930" t="b">
        <v>0</v>
      </c>
      <c r="AC1930" s="82"/>
      <c r="AD1930" t="str">
        <f t="shared" si="71"/>
        <v/>
      </c>
      <c r="AE1930" t="str">
        <f t="shared" si="72"/>
        <v/>
      </c>
    </row>
    <row r="1931">
      <c r="D1931" s="226"/>
      <c r="H1931" s="474"/>
      <c r="I1931" s="474"/>
      <c r="J1931" s="475"/>
      <c r="K1931" s="275" t="str">
        <f>IFNA(VLOOKUP(D1931,'EAN Codes'!A:C,2,False),"")</f>
        <v/>
      </c>
      <c r="L1931" s="82"/>
      <c r="M1931" s="672"/>
      <c r="N1931" s="242"/>
      <c r="O1931" s="242"/>
      <c r="P1931" s="242"/>
      <c r="Q1931" s="242"/>
      <c r="R1931" s="539"/>
      <c r="S1931" s="540"/>
      <c r="T1931" s="543"/>
      <c r="U1931" s="514" t="b">
        <v>0</v>
      </c>
      <c r="Z1931" t="b">
        <v>0</v>
      </c>
      <c r="AA1931" t="b">
        <v>0</v>
      </c>
      <c r="AC1931" s="82"/>
      <c r="AD1931" t="str">
        <f t="shared" si="71"/>
        <v/>
      </c>
      <c r="AE1931" t="str">
        <f t="shared" si="72"/>
        <v/>
      </c>
    </row>
    <row r="1932">
      <c r="D1932" s="226"/>
      <c r="H1932" s="474"/>
      <c r="I1932" s="474"/>
      <c r="J1932" s="475"/>
      <c r="K1932" s="275" t="str">
        <f>IFNA(VLOOKUP(D1932,'EAN Codes'!A:C,2,False),"")</f>
        <v/>
      </c>
      <c r="L1932" s="82"/>
      <c r="M1932" s="672"/>
      <c r="N1932" s="242"/>
      <c r="O1932" s="242"/>
      <c r="P1932" s="242"/>
      <c r="Q1932" s="242"/>
      <c r="R1932" s="539"/>
      <c r="S1932" s="540"/>
      <c r="T1932" s="543"/>
      <c r="U1932" s="514" t="b">
        <v>0</v>
      </c>
      <c r="Z1932" t="b">
        <v>0</v>
      </c>
      <c r="AA1932" t="b">
        <v>0</v>
      </c>
      <c r="AC1932" s="82"/>
      <c r="AD1932" t="str">
        <f t="shared" si="71"/>
        <v/>
      </c>
      <c r="AE1932" t="str">
        <f t="shared" si="72"/>
        <v/>
      </c>
    </row>
    <row r="1933">
      <c r="D1933" s="226"/>
      <c r="H1933" s="474"/>
      <c r="I1933" s="474"/>
      <c r="J1933" s="475"/>
      <c r="K1933" s="275" t="str">
        <f>IFNA(VLOOKUP(D1933,'EAN Codes'!A:C,2,False),"")</f>
        <v/>
      </c>
      <c r="L1933" s="82"/>
      <c r="M1933" s="672"/>
      <c r="N1933" s="242"/>
      <c r="O1933" s="242"/>
      <c r="P1933" s="242"/>
      <c r="Q1933" s="242"/>
      <c r="R1933" s="539"/>
      <c r="S1933" s="540"/>
      <c r="T1933" s="543"/>
      <c r="U1933" s="514" t="b">
        <v>0</v>
      </c>
      <c r="Z1933" t="b">
        <v>0</v>
      </c>
      <c r="AA1933" t="b">
        <v>0</v>
      </c>
      <c r="AC1933" s="82"/>
      <c r="AD1933" t="str">
        <f t="shared" si="71"/>
        <v/>
      </c>
      <c r="AE1933" t="str">
        <f t="shared" si="72"/>
        <v/>
      </c>
    </row>
    <row r="1934">
      <c r="D1934" s="226"/>
      <c r="H1934" s="474"/>
      <c r="I1934" s="474"/>
      <c r="J1934" s="475"/>
      <c r="K1934" s="275" t="str">
        <f>IFNA(VLOOKUP(D1934,'EAN Codes'!A:C,2,False),"")</f>
        <v/>
      </c>
      <c r="L1934" s="82"/>
      <c r="M1934" s="672"/>
      <c r="N1934" s="242"/>
      <c r="O1934" s="242"/>
      <c r="P1934" s="242"/>
      <c r="Q1934" s="242"/>
      <c r="R1934" s="539"/>
      <c r="S1934" s="540"/>
      <c r="T1934" s="543"/>
      <c r="U1934" s="514" t="b">
        <v>0</v>
      </c>
      <c r="Z1934" t="b">
        <v>0</v>
      </c>
      <c r="AA1934" t="b">
        <v>0</v>
      </c>
      <c r="AC1934" s="82"/>
      <c r="AD1934" t="str">
        <f t="shared" si="71"/>
        <v/>
      </c>
      <c r="AE1934" t="str">
        <f t="shared" si="72"/>
        <v/>
      </c>
    </row>
    <row r="1935">
      <c r="D1935" s="226"/>
      <c r="H1935" s="474"/>
      <c r="I1935" s="474"/>
      <c r="J1935" s="475"/>
      <c r="K1935" s="275" t="str">
        <f>IFNA(VLOOKUP(D1935,'EAN Codes'!A:C,2,False),"")</f>
        <v/>
      </c>
      <c r="L1935" s="82"/>
      <c r="M1935" s="672"/>
      <c r="N1935" s="242"/>
      <c r="O1935" s="242"/>
      <c r="P1935" s="242"/>
      <c r="Q1935" s="242"/>
      <c r="R1935" s="539"/>
      <c r="S1935" s="540"/>
      <c r="T1935" s="543"/>
      <c r="U1935" s="514" t="b">
        <v>0</v>
      </c>
      <c r="Z1935" t="b">
        <v>0</v>
      </c>
      <c r="AA1935" t="b">
        <v>0</v>
      </c>
      <c r="AC1935" s="82"/>
      <c r="AD1935" t="str">
        <f t="shared" si="71"/>
        <v/>
      </c>
      <c r="AE1935" t="str">
        <f t="shared" si="72"/>
        <v/>
      </c>
    </row>
    <row r="1936">
      <c r="D1936" s="226"/>
      <c r="H1936" s="474"/>
      <c r="I1936" s="474"/>
      <c r="J1936" s="475"/>
      <c r="K1936" s="275" t="str">
        <f>IFNA(VLOOKUP(D1936,'EAN Codes'!A:C,2,False),"")</f>
        <v/>
      </c>
      <c r="L1936" s="82"/>
      <c r="M1936" s="672"/>
      <c r="N1936" s="242"/>
      <c r="O1936" s="242"/>
      <c r="P1936" s="242"/>
      <c r="Q1936" s="242"/>
      <c r="R1936" s="539"/>
      <c r="S1936" s="540"/>
      <c r="T1936" s="543"/>
      <c r="U1936" s="514" t="b">
        <v>0</v>
      </c>
      <c r="Z1936" t="b">
        <v>0</v>
      </c>
      <c r="AA1936" t="b">
        <v>0</v>
      </c>
      <c r="AC1936" s="82"/>
      <c r="AD1936" t="str">
        <f t="shared" si="71"/>
        <v/>
      </c>
      <c r="AE1936" t="str">
        <f t="shared" si="72"/>
        <v/>
      </c>
    </row>
    <row r="1937">
      <c r="D1937" s="226"/>
      <c r="H1937" s="474"/>
      <c r="I1937" s="474"/>
      <c r="J1937" s="475"/>
      <c r="K1937" s="275" t="str">
        <f>IFNA(VLOOKUP(D1937,'EAN Codes'!A:C,2,False),"")</f>
        <v/>
      </c>
      <c r="L1937" s="82"/>
      <c r="M1937" s="672"/>
      <c r="N1937" s="242"/>
      <c r="O1937" s="242"/>
      <c r="P1937" s="242"/>
      <c r="Q1937" s="242"/>
      <c r="R1937" s="539"/>
      <c r="S1937" s="540"/>
      <c r="T1937" s="543"/>
      <c r="U1937" s="514" t="b">
        <v>0</v>
      </c>
      <c r="Z1937" t="b">
        <v>0</v>
      </c>
      <c r="AA1937" t="b">
        <v>0</v>
      </c>
      <c r="AC1937" s="82"/>
      <c r="AD1937" t="str">
        <f t="shared" si="71"/>
        <v/>
      </c>
      <c r="AE1937" t="str">
        <f t="shared" si="72"/>
        <v/>
      </c>
    </row>
    <row r="1938">
      <c r="D1938" s="226"/>
      <c r="H1938" s="474"/>
      <c r="I1938" s="474"/>
      <c r="J1938" s="475"/>
      <c r="K1938" s="275" t="str">
        <f>IFNA(VLOOKUP(D1938,'EAN Codes'!A:C,2,False),"")</f>
        <v/>
      </c>
      <c r="L1938" s="82"/>
      <c r="M1938" s="672"/>
      <c r="N1938" s="242"/>
      <c r="O1938" s="242"/>
      <c r="P1938" s="242"/>
      <c r="Q1938" s="242"/>
      <c r="R1938" s="539"/>
      <c r="S1938" s="540"/>
      <c r="T1938" s="543"/>
      <c r="U1938" s="514" t="b">
        <v>0</v>
      </c>
      <c r="Z1938" t="b">
        <v>0</v>
      </c>
      <c r="AA1938" t="b">
        <v>0</v>
      </c>
      <c r="AC1938" s="82"/>
      <c r="AD1938" t="str">
        <f t="shared" si="71"/>
        <v/>
      </c>
      <c r="AE1938" t="str">
        <f t="shared" si="72"/>
        <v/>
      </c>
    </row>
    <row r="1939">
      <c r="D1939" s="226"/>
      <c r="H1939" s="474"/>
      <c r="I1939" s="474"/>
      <c r="J1939" s="475"/>
      <c r="K1939" s="275" t="str">
        <f>IFNA(VLOOKUP(D1939,'EAN Codes'!A:C,2,False),"")</f>
        <v/>
      </c>
      <c r="L1939" s="82"/>
      <c r="M1939" s="672"/>
      <c r="N1939" s="242"/>
      <c r="O1939" s="242"/>
      <c r="P1939" s="242"/>
      <c r="Q1939" s="242"/>
      <c r="R1939" s="539"/>
      <c r="S1939" s="540"/>
      <c r="T1939" s="543"/>
      <c r="U1939" s="514" t="b">
        <v>0</v>
      </c>
      <c r="Z1939" t="b">
        <v>0</v>
      </c>
      <c r="AA1939" t="b">
        <v>0</v>
      </c>
      <c r="AC1939" s="82"/>
      <c r="AD1939" t="str">
        <f t="shared" si="71"/>
        <v/>
      </c>
      <c r="AE1939" t="str">
        <f t="shared" si="72"/>
        <v/>
      </c>
    </row>
    <row r="1940">
      <c r="D1940" s="226"/>
      <c r="H1940" s="474"/>
      <c r="I1940" s="474"/>
      <c r="J1940" s="475"/>
      <c r="K1940" s="275" t="str">
        <f>IFNA(VLOOKUP(D1940,'EAN Codes'!A:C,2,False),"")</f>
        <v/>
      </c>
      <c r="L1940" s="82"/>
      <c r="M1940" s="672"/>
      <c r="N1940" s="242"/>
      <c r="O1940" s="242"/>
      <c r="P1940" s="242"/>
      <c r="Q1940" s="242"/>
      <c r="R1940" s="539"/>
      <c r="S1940" s="540"/>
      <c r="T1940" s="543"/>
      <c r="U1940" s="514" t="b">
        <v>0</v>
      </c>
      <c r="Z1940" t="b">
        <v>0</v>
      </c>
      <c r="AA1940" t="b">
        <v>0</v>
      </c>
      <c r="AC1940" s="82"/>
      <c r="AD1940" t="str">
        <f t="shared" si="71"/>
        <v/>
      </c>
      <c r="AE1940" t="str">
        <f t="shared" si="72"/>
        <v/>
      </c>
    </row>
    <row r="1941">
      <c r="D1941" s="226"/>
      <c r="H1941" s="474"/>
      <c r="I1941" s="474"/>
      <c r="J1941" s="475"/>
      <c r="K1941" s="275" t="str">
        <f>IFNA(VLOOKUP(D1941,'EAN Codes'!A:C,2,False),"")</f>
        <v/>
      </c>
      <c r="L1941" s="82"/>
      <c r="M1941" s="672"/>
      <c r="N1941" s="242"/>
      <c r="O1941" s="242"/>
      <c r="P1941" s="242"/>
      <c r="Q1941" s="242"/>
      <c r="R1941" s="539"/>
      <c r="S1941" s="540"/>
      <c r="T1941" s="543"/>
      <c r="U1941" s="514" t="b">
        <v>0</v>
      </c>
      <c r="Z1941" t="b">
        <v>0</v>
      </c>
      <c r="AA1941" t="b">
        <v>0</v>
      </c>
      <c r="AC1941" s="82"/>
      <c r="AD1941" t="str">
        <f t="shared" si="71"/>
        <v/>
      </c>
      <c r="AE1941" t="str">
        <f t="shared" si="72"/>
        <v/>
      </c>
    </row>
    <row r="1942">
      <c r="D1942" s="226"/>
      <c r="H1942" s="474"/>
      <c r="I1942" s="474"/>
      <c r="J1942" s="475"/>
      <c r="K1942" s="275" t="str">
        <f>IFNA(VLOOKUP(D1942,'EAN Codes'!A:C,2,False),"")</f>
        <v/>
      </c>
      <c r="L1942" s="82"/>
      <c r="M1942" s="672"/>
      <c r="N1942" s="242"/>
      <c r="O1942" s="242"/>
      <c r="P1942" s="242"/>
      <c r="Q1942" s="242"/>
      <c r="R1942" s="539"/>
      <c r="S1942" s="540"/>
      <c r="T1942" s="543"/>
      <c r="U1942" s="514" t="b">
        <v>0</v>
      </c>
      <c r="Z1942" t="b">
        <v>0</v>
      </c>
      <c r="AA1942" t="b">
        <v>0</v>
      </c>
      <c r="AC1942" s="82"/>
      <c r="AD1942" t="str">
        <f t="shared" si="71"/>
        <v/>
      </c>
      <c r="AE1942" t="str">
        <f t="shared" si="72"/>
        <v/>
      </c>
    </row>
    <row r="1943">
      <c r="D1943" s="226"/>
      <c r="H1943" s="474"/>
      <c r="I1943" s="474"/>
      <c r="J1943" s="475"/>
      <c r="K1943" s="275" t="str">
        <f>IFNA(VLOOKUP(D1943,'EAN Codes'!A:C,2,False),"")</f>
        <v/>
      </c>
      <c r="L1943" s="82"/>
      <c r="M1943" s="672"/>
      <c r="N1943" s="242"/>
      <c r="O1943" s="242"/>
      <c r="P1943" s="242"/>
      <c r="Q1943" s="242"/>
      <c r="R1943" s="539"/>
      <c r="S1943" s="540"/>
      <c r="T1943" s="543"/>
      <c r="U1943" s="514" t="b">
        <v>0</v>
      </c>
      <c r="Z1943" t="b">
        <v>0</v>
      </c>
      <c r="AA1943" t="b">
        <v>0</v>
      </c>
      <c r="AC1943" s="82"/>
      <c r="AD1943" t="str">
        <f t="shared" si="71"/>
        <v/>
      </c>
      <c r="AE1943" t="str">
        <f t="shared" si="72"/>
        <v/>
      </c>
    </row>
    <row r="1944">
      <c r="D1944" s="226"/>
      <c r="H1944" s="474"/>
      <c r="I1944" s="474"/>
      <c r="J1944" s="475"/>
      <c r="K1944" s="275" t="str">
        <f>IFNA(VLOOKUP(D1944,'EAN Codes'!A:C,2,False),"")</f>
        <v/>
      </c>
      <c r="L1944" s="82"/>
      <c r="M1944" s="672"/>
      <c r="N1944" s="242"/>
      <c r="O1944" s="242"/>
      <c r="P1944" s="242"/>
      <c r="Q1944" s="242"/>
      <c r="R1944" s="539"/>
      <c r="S1944" s="540"/>
      <c r="T1944" s="543"/>
      <c r="U1944" s="514" t="b">
        <v>0</v>
      </c>
      <c r="Z1944" t="b">
        <v>0</v>
      </c>
      <c r="AA1944" t="b">
        <v>0</v>
      </c>
      <c r="AC1944" s="82"/>
      <c r="AD1944" t="str">
        <f t="shared" si="71"/>
        <v/>
      </c>
      <c r="AE1944" t="str">
        <f t="shared" si="72"/>
        <v/>
      </c>
    </row>
    <row r="1945">
      <c r="D1945" s="226"/>
      <c r="H1945" s="474"/>
      <c r="I1945" s="474"/>
      <c r="J1945" s="475"/>
      <c r="K1945" s="275" t="str">
        <f>IFNA(VLOOKUP(D1945,'EAN Codes'!A:C,2,False),"")</f>
        <v/>
      </c>
      <c r="L1945" s="82"/>
      <c r="M1945" s="672"/>
      <c r="N1945" s="242"/>
      <c r="O1945" s="242"/>
      <c r="P1945" s="242"/>
      <c r="Q1945" s="242"/>
      <c r="R1945" s="539"/>
      <c r="S1945" s="540"/>
      <c r="T1945" s="543"/>
      <c r="U1945" s="514" t="b">
        <v>0</v>
      </c>
      <c r="Z1945" t="b">
        <v>0</v>
      </c>
      <c r="AA1945" t="b">
        <v>0</v>
      </c>
      <c r="AC1945" s="82"/>
      <c r="AD1945" t="str">
        <f t="shared" si="71"/>
        <v/>
      </c>
      <c r="AE1945" t="str">
        <f t="shared" si="72"/>
        <v/>
      </c>
    </row>
    <row r="1946">
      <c r="D1946" s="226"/>
      <c r="H1946" s="474"/>
      <c r="I1946" s="474"/>
      <c r="J1946" s="475"/>
      <c r="K1946" s="275" t="str">
        <f>IFNA(VLOOKUP(D1946,'EAN Codes'!A:C,2,False),"")</f>
        <v/>
      </c>
      <c r="L1946" s="82"/>
      <c r="M1946" s="672"/>
      <c r="N1946" s="242"/>
      <c r="O1946" s="242"/>
      <c r="P1946" s="242"/>
      <c r="Q1946" s="242"/>
      <c r="R1946" s="539"/>
      <c r="S1946" s="540"/>
      <c r="T1946" s="543"/>
      <c r="U1946" s="514" t="b">
        <v>0</v>
      </c>
      <c r="Z1946" t="b">
        <v>0</v>
      </c>
      <c r="AA1946" t="b">
        <v>0</v>
      </c>
      <c r="AC1946" s="82"/>
      <c r="AD1946" t="str">
        <f t="shared" si="71"/>
        <v/>
      </c>
      <c r="AE1946" t="str">
        <f t="shared" si="72"/>
        <v/>
      </c>
    </row>
    <row r="1947">
      <c r="D1947" s="226"/>
      <c r="H1947" s="474"/>
      <c r="I1947" s="474"/>
      <c r="J1947" s="475"/>
      <c r="K1947" s="275" t="str">
        <f>IFNA(VLOOKUP(D1947,'EAN Codes'!A:C,2,False),"")</f>
        <v/>
      </c>
      <c r="L1947" s="82"/>
      <c r="M1947" s="672"/>
      <c r="N1947" s="242"/>
      <c r="O1947" s="242"/>
      <c r="P1947" s="242"/>
      <c r="Q1947" s="242"/>
      <c r="R1947" s="539"/>
      <c r="S1947" s="540"/>
      <c r="T1947" s="543"/>
      <c r="U1947" s="514" t="b">
        <v>0</v>
      </c>
      <c r="Z1947" t="b">
        <v>0</v>
      </c>
      <c r="AA1947" t="b">
        <v>0</v>
      </c>
      <c r="AC1947" s="82"/>
      <c r="AD1947" t="str">
        <f t="shared" si="71"/>
        <v/>
      </c>
      <c r="AE1947" t="str">
        <f t="shared" si="72"/>
        <v/>
      </c>
    </row>
    <row r="1948">
      <c r="D1948" s="226"/>
      <c r="H1948" s="474"/>
      <c r="I1948" s="474"/>
      <c r="J1948" s="475"/>
      <c r="K1948" s="275" t="str">
        <f>IFNA(VLOOKUP(D1948,'EAN Codes'!A:C,2,False),"")</f>
        <v/>
      </c>
      <c r="L1948" s="82"/>
      <c r="M1948" s="672"/>
      <c r="N1948" s="242"/>
      <c r="O1948" s="242"/>
      <c r="P1948" s="242"/>
      <c r="Q1948" s="242"/>
      <c r="R1948" s="539"/>
      <c r="S1948" s="540"/>
      <c r="T1948" s="543"/>
      <c r="U1948" s="514" t="b">
        <v>0</v>
      </c>
      <c r="Z1948" t="b">
        <v>0</v>
      </c>
      <c r="AA1948" t="b">
        <v>0</v>
      </c>
      <c r="AC1948" s="82"/>
      <c r="AD1948" t="str">
        <f t="shared" si="71"/>
        <v/>
      </c>
      <c r="AE1948" t="str">
        <f t="shared" si="72"/>
        <v/>
      </c>
    </row>
    <row r="1949">
      <c r="D1949" s="226"/>
      <c r="H1949" s="474"/>
      <c r="I1949" s="474"/>
      <c r="J1949" s="475"/>
      <c r="K1949" s="275" t="str">
        <f>IFNA(VLOOKUP(D1949,'EAN Codes'!A:C,2,False),"")</f>
        <v/>
      </c>
      <c r="L1949" s="82"/>
      <c r="M1949" s="672"/>
      <c r="N1949" s="242"/>
      <c r="O1949" s="242"/>
      <c r="P1949" s="242"/>
      <c r="Q1949" s="242"/>
      <c r="R1949" s="539"/>
      <c r="S1949" s="540"/>
      <c r="T1949" s="543"/>
      <c r="U1949" s="514" t="b">
        <v>0</v>
      </c>
      <c r="Z1949" t="b">
        <v>0</v>
      </c>
      <c r="AA1949" t="b">
        <v>0</v>
      </c>
      <c r="AC1949" s="82"/>
      <c r="AD1949" t="str">
        <f t="shared" si="71"/>
        <v/>
      </c>
      <c r="AE1949" t="str">
        <f t="shared" si="72"/>
        <v/>
      </c>
    </row>
    <row r="1950">
      <c r="D1950" s="226"/>
      <c r="H1950" s="474"/>
      <c r="I1950" s="474"/>
      <c r="J1950" s="475"/>
      <c r="K1950" s="275" t="str">
        <f>IFNA(VLOOKUP(D1950,'EAN Codes'!A:C,2,False),"")</f>
        <v/>
      </c>
      <c r="L1950" s="82"/>
      <c r="M1950" s="672"/>
      <c r="N1950" s="242"/>
      <c r="O1950" s="242"/>
      <c r="P1950" s="242"/>
      <c r="Q1950" s="242"/>
      <c r="R1950" s="539"/>
      <c r="S1950" s="540"/>
      <c r="T1950" s="543"/>
      <c r="U1950" s="514" t="b">
        <v>0</v>
      </c>
      <c r="Z1950" t="b">
        <v>0</v>
      </c>
      <c r="AA1950" t="b">
        <v>0</v>
      </c>
      <c r="AC1950" s="82"/>
      <c r="AD1950" t="str">
        <f t="shared" si="71"/>
        <v/>
      </c>
      <c r="AE1950" t="str">
        <f t="shared" si="72"/>
        <v/>
      </c>
    </row>
    <row r="1951">
      <c r="D1951" s="226"/>
      <c r="H1951" s="474"/>
      <c r="I1951" s="474"/>
      <c r="J1951" s="475"/>
      <c r="K1951" s="275" t="str">
        <f>IFNA(VLOOKUP(D1951,'EAN Codes'!A:C,2,False),"")</f>
        <v/>
      </c>
      <c r="L1951" s="82"/>
      <c r="M1951" s="672"/>
      <c r="N1951" s="242"/>
      <c r="O1951" s="242"/>
      <c r="P1951" s="242"/>
      <c r="Q1951" s="242"/>
      <c r="R1951" s="539"/>
      <c r="S1951" s="540"/>
      <c r="T1951" s="543"/>
      <c r="U1951" s="514" t="b">
        <v>0</v>
      </c>
      <c r="Z1951" t="b">
        <v>0</v>
      </c>
      <c r="AA1951" t="b">
        <v>0</v>
      </c>
      <c r="AC1951" s="82"/>
      <c r="AD1951" t="str">
        <f t="shared" si="71"/>
        <v/>
      </c>
      <c r="AE1951" t="str">
        <f t="shared" si="72"/>
        <v/>
      </c>
    </row>
    <row r="1952">
      <c r="D1952" s="226"/>
      <c r="H1952" s="474"/>
      <c r="I1952" s="474"/>
      <c r="J1952" s="475"/>
      <c r="K1952" s="275" t="str">
        <f>IFNA(VLOOKUP(D1952,'EAN Codes'!A:C,2,False),"")</f>
        <v/>
      </c>
      <c r="L1952" s="82"/>
      <c r="M1952" s="672"/>
      <c r="N1952" s="242"/>
      <c r="O1952" s="242"/>
      <c r="P1952" s="242"/>
      <c r="Q1952" s="242"/>
      <c r="R1952" s="539"/>
      <c r="S1952" s="540"/>
      <c r="T1952" s="543"/>
      <c r="U1952" s="514" t="b">
        <v>0</v>
      </c>
      <c r="Z1952" t="b">
        <v>0</v>
      </c>
      <c r="AA1952" t="b">
        <v>0</v>
      </c>
      <c r="AC1952" s="82"/>
      <c r="AD1952" t="str">
        <f t="shared" si="71"/>
        <v/>
      </c>
      <c r="AE1952" t="str">
        <f t="shared" si="72"/>
        <v/>
      </c>
    </row>
    <row r="1953">
      <c r="D1953" s="226"/>
      <c r="H1953" s="474"/>
      <c r="I1953" s="474"/>
      <c r="J1953" s="475"/>
      <c r="K1953" s="275" t="str">
        <f>IFNA(VLOOKUP(D1953,'EAN Codes'!A:C,2,False),"")</f>
        <v/>
      </c>
      <c r="L1953" s="82"/>
      <c r="M1953" s="672"/>
      <c r="N1953" s="242"/>
      <c r="O1953" s="242"/>
      <c r="P1953" s="242"/>
      <c r="Q1953" s="242"/>
      <c r="R1953" s="539"/>
      <c r="S1953" s="540"/>
      <c r="T1953" s="543"/>
      <c r="U1953" s="514" t="b">
        <v>0</v>
      </c>
      <c r="Z1953" t="b">
        <v>0</v>
      </c>
      <c r="AA1953" t="b">
        <v>0</v>
      </c>
      <c r="AC1953" s="82"/>
      <c r="AD1953" t="str">
        <f t="shared" si="71"/>
        <v/>
      </c>
      <c r="AE1953" t="str">
        <f t="shared" si="72"/>
        <v/>
      </c>
    </row>
    <row r="1954">
      <c r="D1954" s="226"/>
      <c r="H1954" s="474"/>
      <c r="I1954" s="474"/>
      <c r="J1954" s="475"/>
      <c r="K1954" s="275" t="str">
        <f>IFNA(VLOOKUP(D1954,'EAN Codes'!A:C,2,False),"")</f>
        <v/>
      </c>
      <c r="L1954" s="82"/>
      <c r="M1954" s="672"/>
      <c r="N1954" s="242"/>
      <c r="O1954" s="242"/>
      <c r="P1954" s="242"/>
      <c r="Q1954" s="242"/>
      <c r="R1954" s="539"/>
      <c r="S1954" s="540"/>
      <c r="T1954" s="543"/>
      <c r="U1954" s="514" t="b">
        <v>0</v>
      </c>
      <c r="Z1954" t="b">
        <v>0</v>
      </c>
      <c r="AA1954" t="b">
        <v>0</v>
      </c>
      <c r="AC1954" s="82"/>
      <c r="AD1954" t="str">
        <f t="shared" si="71"/>
        <v/>
      </c>
      <c r="AE1954" t="str">
        <f t="shared" si="72"/>
        <v/>
      </c>
    </row>
    <row r="1955">
      <c r="D1955" s="226"/>
      <c r="H1955" s="474"/>
      <c r="I1955" s="474"/>
      <c r="J1955" s="475"/>
      <c r="K1955" s="275" t="str">
        <f>IFNA(VLOOKUP(D1955,'EAN Codes'!A:C,2,False),"")</f>
        <v/>
      </c>
      <c r="L1955" s="82"/>
      <c r="M1955" s="672"/>
      <c r="N1955" s="242"/>
      <c r="O1955" s="242"/>
      <c r="P1955" s="242"/>
      <c r="Q1955" s="242"/>
      <c r="R1955" s="539"/>
      <c r="S1955" s="540"/>
      <c r="T1955" s="543"/>
      <c r="U1955" s="514" t="b">
        <v>0</v>
      </c>
      <c r="Z1955" t="b">
        <v>0</v>
      </c>
      <c r="AA1955" t="b">
        <v>0</v>
      </c>
      <c r="AC1955" s="82"/>
      <c r="AD1955" t="str">
        <f t="shared" si="71"/>
        <v/>
      </c>
      <c r="AE1955" t="str">
        <f t="shared" si="72"/>
        <v/>
      </c>
    </row>
    <row r="1956">
      <c r="D1956" s="226"/>
      <c r="H1956" s="474"/>
      <c r="I1956" s="474"/>
      <c r="J1956" s="475"/>
      <c r="K1956" s="275" t="str">
        <f>IFNA(VLOOKUP(D1956,'EAN Codes'!A:C,2,False),"")</f>
        <v/>
      </c>
      <c r="L1956" s="82"/>
      <c r="M1956" s="672"/>
      <c r="N1956" s="242"/>
      <c r="O1956" s="242"/>
      <c r="P1956" s="242"/>
      <c r="Q1956" s="242"/>
      <c r="R1956" s="539"/>
      <c r="S1956" s="540"/>
      <c r="T1956" s="543"/>
      <c r="U1956" s="514" t="b">
        <v>0</v>
      </c>
      <c r="Z1956" t="b">
        <v>0</v>
      </c>
      <c r="AA1956" t="b">
        <v>0</v>
      </c>
      <c r="AC1956" s="82"/>
      <c r="AD1956" t="str">
        <f t="shared" si="71"/>
        <v/>
      </c>
      <c r="AE1956" t="str">
        <f t="shared" si="72"/>
        <v/>
      </c>
    </row>
    <row r="1957">
      <c r="D1957" s="226"/>
      <c r="H1957" s="474"/>
      <c r="I1957" s="474"/>
      <c r="J1957" s="475"/>
      <c r="K1957" s="275" t="str">
        <f>IFNA(VLOOKUP(D1957,'EAN Codes'!A:C,2,False),"")</f>
        <v/>
      </c>
      <c r="L1957" s="82"/>
      <c r="M1957" s="672"/>
      <c r="N1957" s="242"/>
      <c r="O1957" s="242"/>
      <c r="P1957" s="242"/>
      <c r="Q1957" s="242"/>
      <c r="R1957" s="539"/>
      <c r="S1957" s="540"/>
      <c r="T1957" s="543"/>
      <c r="U1957" s="514" t="b">
        <v>0</v>
      </c>
      <c r="Z1957" t="b">
        <v>0</v>
      </c>
      <c r="AA1957" t="b">
        <v>0</v>
      </c>
      <c r="AC1957" s="82"/>
      <c r="AD1957" t="str">
        <f t="shared" si="71"/>
        <v/>
      </c>
      <c r="AE1957" t="str">
        <f t="shared" si="72"/>
        <v/>
      </c>
    </row>
    <row r="1958">
      <c r="D1958" s="226"/>
      <c r="H1958" s="474"/>
      <c r="I1958" s="474"/>
      <c r="J1958" s="475"/>
      <c r="K1958" s="275" t="str">
        <f>IFNA(VLOOKUP(D1958,'EAN Codes'!A:C,2,False),"")</f>
        <v/>
      </c>
      <c r="L1958" s="82"/>
      <c r="M1958" s="672"/>
      <c r="N1958" s="242"/>
      <c r="O1958" s="242"/>
      <c r="P1958" s="242"/>
      <c r="Q1958" s="242"/>
      <c r="R1958" s="539"/>
      <c r="S1958" s="540"/>
      <c r="T1958" s="543"/>
      <c r="U1958" s="514" t="b">
        <v>0</v>
      </c>
      <c r="Z1958" t="b">
        <v>0</v>
      </c>
      <c r="AA1958" t="b">
        <v>0</v>
      </c>
      <c r="AC1958" s="82"/>
      <c r="AD1958" t="str">
        <f t="shared" si="71"/>
        <v/>
      </c>
      <c r="AE1958" t="str">
        <f t="shared" si="72"/>
        <v/>
      </c>
    </row>
    <row r="1959">
      <c r="D1959" s="226"/>
      <c r="H1959" s="474"/>
      <c r="I1959" s="474"/>
      <c r="J1959" s="475"/>
      <c r="K1959" s="275" t="str">
        <f>IFNA(VLOOKUP(D1959,'EAN Codes'!A:C,2,False),"")</f>
        <v/>
      </c>
      <c r="L1959" s="82"/>
      <c r="M1959" s="672"/>
      <c r="N1959" s="242"/>
      <c r="O1959" s="242"/>
      <c r="P1959" s="242"/>
      <c r="Q1959" s="242"/>
      <c r="R1959" s="539"/>
      <c r="S1959" s="540"/>
      <c r="T1959" s="543"/>
      <c r="U1959" s="514" t="b">
        <v>0</v>
      </c>
      <c r="Z1959" t="b">
        <v>0</v>
      </c>
      <c r="AA1959" t="b">
        <v>0</v>
      </c>
      <c r="AC1959" s="82"/>
      <c r="AD1959" t="str">
        <f t="shared" si="71"/>
        <v/>
      </c>
      <c r="AE1959" t="str">
        <f t="shared" si="72"/>
        <v/>
      </c>
    </row>
    <row r="1960">
      <c r="D1960" s="226"/>
      <c r="H1960" s="474"/>
      <c r="I1960" s="474"/>
      <c r="J1960" s="475"/>
      <c r="K1960" s="275" t="str">
        <f>IFNA(VLOOKUP(D1960,'EAN Codes'!A:C,2,False),"")</f>
        <v/>
      </c>
      <c r="L1960" s="82"/>
      <c r="M1960" s="672"/>
      <c r="N1960" s="242"/>
      <c r="O1960" s="242"/>
      <c r="P1960" s="242"/>
      <c r="Q1960" s="242"/>
      <c r="R1960" s="539"/>
      <c r="S1960" s="540"/>
      <c r="T1960" s="543"/>
      <c r="U1960" s="514" t="b">
        <v>0</v>
      </c>
      <c r="Z1960" t="b">
        <v>0</v>
      </c>
      <c r="AA1960" t="b">
        <v>0</v>
      </c>
      <c r="AC1960" s="82"/>
      <c r="AD1960" t="str">
        <f t="shared" si="71"/>
        <v/>
      </c>
      <c r="AE1960" t="str">
        <f t="shared" si="72"/>
        <v/>
      </c>
    </row>
    <row r="1961">
      <c r="D1961" s="226"/>
      <c r="H1961" s="474"/>
      <c r="I1961" s="474"/>
      <c r="J1961" s="475"/>
      <c r="K1961" s="275" t="str">
        <f>IFNA(VLOOKUP(D1961,'EAN Codes'!A:C,2,False),"")</f>
        <v/>
      </c>
      <c r="L1961" s="82"/>
      <c r="M1961" s="672"/>
      <c r="N1961" s="242"/>
      <c r="O1961" s="242"/>
      <c r="P1961" s="242"/>
      <c r="Q1961" s="242"/>
      <c r="R1961" s="539"/>
      <c r="S1961" s="540"/>
      <c r="T1961" s="543"/>
      <c r="U1961" s="514" t="b">
        <v>0</v>
      </c>
      <c r="Z1961" t="b">
        <v>0</v>
      </c>
      <c r="AA1961" t="b">
        <v>0</v>
      </c>
      <c r="AC1961" s="82"/>
      <c r="AD1961" t="str">
        <f t="shared" si="71"/>
        <v/>
      </c>
      <c r="AE1961" t="str">
        <f t="shared" si="72"/>
        <v/>
      </c>
    </row>
    <row r="1962">
      <c r="D1962" s="226"/>
      <c r="H1962" s="474"/>
      <c r="I1962" s="474"/>
      <c r="J1962" s="475"/>
      <c r="K1962" s="275" t="str">
        <f>IFNA(VLOOKUP(D1962,'EAN Codes'!A:C,2,False),"")</f>
        <v/>
      </c>
      <c r="L1962" s="82"/>
      <c r="M1962" s="672"/>
      <c r="N1962" s="242"/>
      <c r="O1962" s="242"/>
      <c r="P1962" s="242"/>
      <c r="Q1962" s="242"/>
      <c r="R1962" s="539"/>
      <c r="S1962" s="540"/>
      <c r="T1962" s="543"/>
      <c r="U1962" s="514" t="b">
        <v>0</v>
      </c>
      <c r="Z1962" t="b">
        <v>0</v>
      </c>
      <c r="AA1962" t="b">
        <v>0</v>
      </c>
      <c r="AC1962" s="82"/>
      <c r="AD1962" t="str">
        <f t="shared" si="71"/>
        <v/>
      </c>
      <c r="AE1962" t="str">
        <f t="shared" si="72"/>
        <v/>
      </c>
    </row>
    <row r="1963">
      <c r="D1963" s="226"/>
      <c r="H1963" s="474"/>
      <c r="I1963" s="474"/>
      <c r="J1963" s="475"/>
      <c r="K1963" s="275" t="str">
        <f>IFNA(VLOOKUP(D1963,'EAN Codes'!A:C,2,False),"")</f>
        <v/>
      </c>
      <c r="L1963" s="82"/>
      <c r="M1963" s="672"/>
      <c r="N1963" s="242"/>
      <c r="O1963" s="242"/>
      <c r="P1963" s="242"/>
      <c r="Q1963" s="242"/>
      <c r="R1963" s="539"/>
      <c r="S1963" s="540"/>
      <c r="T1963" s="543"/>
      <c r="U1963" s="514" t="b">
        <v>0</v>
      </c>
      <c r="Z1963" t="b">
        <v>0</v>
      </c>
      <c r="AA1963" t="b">
        <v>0</v>
      </c>
      <c r="AC1963" s="82"/>
      <c r="AD1963" t="str">
        <f t="shared" si="71"/>
        <v/>
      </c>
      <c r="AE1963" t="str">
        <f t="shared" si="72"/>
        <v/>
      </c>
    </row>
    <row r="1964">
      <c r="D1964" s="226"/>
      <c r="H1964" s="474"/>
      <c r="I1964" s="474"/>
      <c r="J1964" s="475"/>
      <c r="K1964" s="275" t="str">
        <f>IFNA(VLOOKUP(D1964,'EAN Codes'!A:C,2,False),"")</f>
        <v/>
      </c>
      <c r="L1964" s="82"/>
      <c r="M1964" s="672"/>
      <c r="N1964" s="242"/>
      <c r="O1964" s="242"/>
      <c r="P1964" s="242"/>
      <c r="Q1964" s="242"/>
      <c r="R1964" s="539"/>
      <c r="S1964" s="540"/>
      <c r="T1964" s="543"/>
      <c r="U1964" s="514" t="b">
        <v>0</v>
      </c>
      <c r="Z1964" t="b">
        <v>0</v>
      </c>
      <c r="AA1964" t="b">
        <v>0</v>
      </c>
      <c r="AC1964" s="82"/>
      <c r="AD1964" t="str">
        <f t="shared" si="71"/>
        <v/>
      </c>
      <c r="AE1964" t="str">
        <f t="shared" si="72"/>
        <v/>
      </c>
    </row>
    <row r="1965">
      <c r="D1965" s="226"/>
      <c r="H1965" s="474"/>
      <c r="I1965" s="474"/>
      <c r="J1965" s="475"/>
      <c r="K1965" s="275" t="str">
        <f>IFNA(VLOOKUP(D1965,'EAN Codes'!A:C,2,False),"")</f>
        <v/>
      </c>
      <c r="L1965" s="82"/>
      <c r="M1965" s="672"/>
      <c r="N1965" s="242"/>
      <c r="O1965" s="242"/>
      <c r="P1965" s="242"/>
      <c r="Q1965" s="242"/>
      <c r="R1965" s="539"/>
      <c r="S1965" s="540"/>
      <c r="T1965" s="543"/>
      <c r="U1965" s="514" t="b">
        <v>0</v>
      </c>
      <c r="Z1965" t="b">
        <v>0</v>
      </c>
      <c r="AA1965" t="b">
        <v>0</v>
      </c>
      <c r="AC1965" s="82"/>
      <c r="AD1965" t="str">
        <f t="shared" si="71"/>
        <v/>
      </c>
      <c r="AE1965" t="str">
        <f t="shared" si="72"/>
        <v/>
      </c>
    </row>
    <row r="1966">
      <c r="D1966" s="226"/>
      <c r="H1966" s="474"/>
      <c r="I1966" s="474"/>
      <c r="J1966" s="475"/>
      <c r="K1966" s="275" t="str">
        <f>IFNA(VLOOKUP(D1966,'EAN Codes'!A:C,2,False),"")</f>
        <v/>
      </c>
      <c r="L1966" s="82"/>
      <c r="M1966" s="672"/>
      <c r="N1966" s="242"/>
      <c r="O1966" s="242"/>
      <c r="P1966" s="242"/>
      <c r="Q1966" s="242"/>
      <c r="R1966" s="539"/>
      <c r="S1966" s="540"/>
      <c r="T1966" s="543"/>
      <c r="U1966" s="514" t="b">
        <v>0</v>
      </c>
      <c r="Z1966" t="b">
        <v>0</v>
      </c>
      <c r="AA1966" t="b">
        <v>0</v>
      </c>
      <c r="AC1966" s="82"/>
      <c r="AD1966" t="str">
        <f t="shared" si="71"/>
        <v/>
      </c>
      <c r="AE1966" t="str">
        <f t="shared" si="72"/>
        <v/>
      </c>
    </row>
    <row r="1967">
      <c r="D1967" s="226"/>
      <c r="H1967" s="474"/>
      <c r="I1967" s="474"/>
      <c r="J1967" s="475"/>
      <c r="K1967" s="275" t="str">
        <f>IFNA(VLOOKUP(D1967,'EAN Codes'!A:C,2,False),"")</f>
        <v/>
      </c>
      <c r="L1967" s="82"/>
      <c r="M1967" s="672"/>
      <c r="N1967" s="242"/>
      <c r="O1967" s="242"/>
      <c r="P1967" s="242"/>
      <c r="Q1967" s="242"/>
      <c r="R1967" s="539"/>
      <c r="S1967" s="540"/>
      <c r="T1967" s="543"/>
      <c r="U1967" s="514" t="b">
        <v>0</v>
      </c>
      <c r="Z1967" t="b">
        <v>0</v>
      </c>
      <c r="AA1967" t="b">
        <v>0</v>
      </c>
      <c r="AC1967" s="82"/>
      <c r="AD1967" t="str">
        <f t="shared" si="71"/>
        <v/>
      </c>
      <c r="AE1967" t="str">
        <f t="shared" si="72"/>
        <v/>
      </c>
    </row>
    <row r="1968">
      <c r="D1968" s="226"/>
      <c r="H1968" s="474"/>
      <c r="I1968" s="474"/>
      <c r="J1968" s="475"/>
      <c r="K1968" s="275" t="str">
        <f>IFNA(VLOOKUP(D1968,'EAN Codes'!A:C,2,False),"")</f>
        <v/>
      </c>
      <c r="L1968" s="82"/>
      <c r="M1968" s="672"/>
      <c r="N1968" s="242"/>
      <c r="O1968" s="242"/>
      <c r="P1968" s="242"/>
      <c r="Q1968" s="242"/>
      <c r="R1968" s="539"/>
      <c r="S1968" s="540"/>
      <c r="T1968" s="543"/>
      <c r="U1968" s="514" t="b">
        <v>0</v>
      </c>
      <c r="Z1968" t="b">
        <v>0</v>
      </c>
      <c r="AA1968" t="b">
        <v>0</v>
      </c>
      <c r="AC1968" s="82"/>
      <c r="AD1968" t="str">
        <f t="shared" si="71"/>
        <v/>
      </c>
      <c r="AE1968" t="str">
        <f t="shared" si="72"/>
        <v/>
      </c>
    </row>
    <row r="1969">
      <c r="D1969" s="226"/>
      <c r="H1969" s="474"/>
      <c r="I1969" s="474"/>
      <c r="J1969" s="475"/>
      <c r="K1969" s="275" t="str">
        <f>IFNA(VLOOKUP(D1969,'EAN Codes'!A:C,2,False),"")</f>
        <v/>
      </c>
      <c r="L1969" s="82"/>
      <c r="M1969" s="672"/>
      <c r="N1969" s="242"/>
      <c r="O1969" s="242"/>
      <c r="P1969" s="242"/>
      <c r="Q1969" s="242"/>
      <c r="R1969" s="539"/>
      <c r="S1969" s="540"/>
      <c r="T1969" s="543"/>
      <c r="U1969" s="514" t="b">
        <v>0</v>
      </c>
      <c r="Z1969" t="b">
        <v>0</v>
      </c>
      <c r="AA1969" t="b">
        <v>0</v>
      </c>
      <c r="AC1969" s="82"/>
      <c r="AD1969" t="str">
        <f t="shared" si="71"/>
        <v/>
      </c>
      <c r="AE1969" t="str">
        <f t="shared" si="72"/>
        <v/>
      </c>
    </row>
    <row r="1970">
      <c r="D1970" s="226"/>
      <c r="H1970" s="474"/>
      <c r="I1970" s="474"/>
      <c r="J1970" s="475"/>
      <c r="K1970" s="275" t="str">
        <f>IFNA(VLOOKUP(D1970,'EAN Codes'!A:C,2,False),"")</f>
        <v/>
      </c>
      <c r="L1970" s="82"/>
      <c r="M1970" s="672"/>
      <c r="N1970" s="242"/>
      <c r="O1970" s="242"/>
      <c r="P1970" s="242"/>
      <c r="Q1970" s="242"/>
      <c r="R1970" s="539"/>
      <c r="S1970" s="540"/>
      <c r="T1970" s="543"/>
      <c r="U1970" s="514" t="b">
        <v>0</v>
      </c>
      <c r="Z1970" t="b">
        <v>0</v>
      </c>
      <c r="AA1970" t="b">
        <v>0</v>
      </c>
      <c r="AC1970" s="82"/>
      <c r="AD1970" t="str">
        <f t="shared" si="71"/>
        <v/>
      </c>
      <c r="AE1970" t="str">
        <f t="shared" si="72"/>
        <v/>
      </c>
    </row>
    <row r="1971">
      <c r="D1971" s="226"/>
      <c r="H1971" s="474"/>
      <c r="I1971" s="474"/>
      <c r="J1971" s="475"/>
      <c r="K1971" s="275" t="str">
        <f>IFNA(VLOOKUP(D1971,'EAN Codes'!A:C,2,False),"")</f>
        <v/>
      </c>
      <c r="L1971" s="82"/>
      <c r="M1971" s="672"/>
      <c r="N1971" s="242"/>
      <c r="O1971" s="242"/>
      <c r="P1971" s="242"/>
      <c r="Q1971" s="242"/>
      <c r="R1971" s="539"/>
      <c r="S1971" s="540"/>
      <c r="T1971" s="543"/>
      <c r="U1971" s="514" t="b">
        <v>0</v>
      </c>
      <c r="Z1971" t="b">
        <v>0</v>
      </c>
      <c r="AA1971" t="b">
        <v>0</v>
      </c>
      <c r="AC1971" s="82"/>
      <c r="AD1971" t="str">
        <f t="shared" si="71"/>
        <v/>
      </c>
      <c r="AE1971" t="str">
        <f t="shared" si="72"/>
        <v/>
      </c>
    </row>
    <row r="1972">
      <c r="D1972" s="226"/>
      <c r="H1972" s="474"/>
      <c r="I1972" s="474"/>
      <c r="J1972" s="475"/>
      <c r="K1972" s="275" t="str">
        <f>IFNA(VLOOKUP(D1972,'EAN Codes'!A:C,2,False),"")</f>
        <v/>
      </c>
      <c r="L1972" s="82"/>
      <c r="M1972" s="672"/>
      <c r="N1972" s="242"/>
      <c r="O1972" s="242"/>
      <c r="P1972" s="242"/>
      <c r="Q1972" s="242"/>
      <c r="R1972" s="539"/>
      <c r="S1972" s="540"/>
      <c r="T1972" s="543"/>
      <c r="U1972" s="514" t="b">
        <v>0</v>
      </c>
      <c r="Z1972" t="b">
        <v>0</v>
      </c>
      <c r="AA1972" t="b">
        <v>0</v>
      </c>
      <c r="AC1972" s="82"/>
      <c r="AD1972" t="str">
        <f t="shared" si="71"/>
        <v/>
      </c>
      <c r="AE1972" t="str">
        <f t="shared" si="72"/>
        <v/>
      </c>
    </row>
    <row r="1973">
      <c r="D1973" s="226"/>
      <c r="H1973" s="474"/>
      <c r="I1973" s="474"/>
      <c r="J1973" s="475"/>
      <c r="K1973" s="275" t="str">
        <f>IFNA(VLOOKUP(D1973,'EAN Codes'!A:C,2,False),"")</f>
        <v/>
      </c>
      <c r="L1973" s="82"/>
      <c r="M1973" s="672"/>
      <c r="N1973" s="242"/>
      <c r="O1973" s="242"/>
      <c r="P1973" s="242"/>
      <c r="Q1973" s="242"/>
      <c r="R1973" s="539"/>
      <c r="S1973" s="540"/>
      <c r="T1973" s="543"/>
      <c r="U1973" s="514" t="b">
        <v>0</v>
      </c>
      <c r="Z1973" t="b">
        <v>0</v>
      </c>
      <c r="AA1973" t="b">
        <v>0</v>
      </c>
      <c r="AC1973" s="82"/>
      <c r="AD1973" t="str">
        <f t="shared" si="71"/>
        <v/>
      </c>
      <c r="AE1973" t="str">
        <f t="shared" si="72"/>
        <v/>
      </c>
    </row>
    <row r="1974">
      <c r="D1974" s="226"/>
      <c r="H1974" s="474"/>
      <c r="I1974" s="474"/>
      <c r="J1974" s="475"/>
      <c r="K1974" s="275" t="str">
        <f>IFNA(VLOOKUP(D1974,'EAN Codes'!A:C,2,False),"")</f>
        <v/>
      </c>
      <c r="L1974" s="82"/>
      <c r="M1974" s="672"/>
      <c r="N1974" s="242"/>
      <c r="O1974" s="242"/>
      <c r="P1974" s="242"/>
      <c r="Q1974" s="242"/>
      <c r="R1974" s="539"/>
      <c r="S1974" s="540"/>
      <c r="T1974" s="543"/>
      <c r="U1974" s="514" t="b">
        <v>0</v>
      </c>
      <c r="Z1974" t="b">
        <v>0</v>
      </c>
      <c r="AA1974" t="b">
        <v>0</v>
      </c>
      <c r="AC1974" s="82"/>
      <c r="AD1974" t="str">
        <f t="shared" si="71"/>
        <v/>
      </c>
      <c r="AE1974" t="str">
        <f t="shared" si="72"/>
        <v/>
      </c>
    </row>
    <row r="1975">
      <c r="D1975" s="226"/>
      <c r="H1975" s="474"/>
      <c r="I1975" s="474"/>
      <c r="J1975" s="475"/>
      <c r="K1975" s="275" t="str">
        <f>IFNA(VLOOKUP(D1975,'EAN Codes'!A:C,2,False),"")</f>
        <v/>
      </c>
      <c r="L1975" s="82"/>
      <c r="M1975" s="672"/>
      <c r="N1975" s="242"/>
      <c r="O1975" s="242"/>
      <c r="P1975" s="242"/>
      <c r="Q1975" s="242"/>
      <c r="R1975" s="539"/>
      <c r="S1975" s="540"/>
      <c r="T1975" s="543"/>
      <c r="U1975" s="514" t="b">
        <v>0</v>
      </c>
      <c r="Z1975" t="b">
        <v>0</v>
      </c>
      <c r="AA1975" t="b">
        <v>0</v>
      </c>
      <c r="AC1975" s="82"/>
      <c r="AD1975" t="str">
        <f t="shared" si="71"/>
        <v/>
      </c>
      <c r="AE1975" t="str">
        <f t="shared" si="72"/>
        <v/>
      </c>
    </row>
    <row r="1976">
      <c r="D1976" s="226"/>
      <c r="H1976" s="474"/>
      <c r="I1976" s="474"/>
      <c r="J1976" s="475"/>
      <c r="K1976" s="275" t="str">
        <f>IFNA(VLOOKUP(D1976,'EAN Codes'!A:C,2,False),"")</f>
        <v/>
      </c>
      <c r="L1976" s="82"/>
      <c r="M1976" s="672"/>
      <c r="N1976" s="242"/>
      <c r="O1976" s="242"/>
      <c r="P1976" s="242"/>
      <c r="Q1976" s="242"/>
      <c r="R1976" s="539"/>
      <c r="S1976" s="540"/>
      <c r="T1976" s="543"/>
      <c r="U1976" s="514" t="b">
        <v>0</v>
      </c>
      <c r="Z1976" t="b">
        <v>0</v>
      </c>
      <c r="AA1976" t="b">
        <v>0</v>
      </c>
      <c r="AC1976" s="82"/>
      <c r="AD1976" t="str">
        <f t="shared" si="71"/>
        <v/>
      </c>
      <c r="AE1976" t="str">
        <f t="shared" si="72"/>
        <v/>
      </c>
    </row>
    <row r="1977">
      <c r="D1977" s="226"/>
      <c r="H1977" s="474"/>
      <c r="I1977" s="474"/>
      <c r="J1977" s="475"/>
      <c r="K1977" s="275" t="str">
        <f>IFNA(VLOOKUP(D1977,'EAN Codes'!A:C,2,False),"")</f>
        <v/>
      </c>
      <c r="L1977" s="82"/>
      <c r="M1977" s="672"/>
      <c r="N1977" s="242"/>
      <c r="O1977" s="242"/>
      <c r="P1977" s="242"/>
      <c r="Q1977" s="242"/>
      <c r="R1977" s="539"/>
      <c r="S1977" s="540"/>
      <c r="T1977" s="543"/>
      <c r="U1977" s="514" t="b">
        <v>0</v>
      </c>
      <c r="Z1977" t="b">
        <v>0</v>
      </c>
      <c r="AA1977" t="b">
        <v>0</v>
      </c>
      <c r="AC1977" s="82"/>
      <c r="AD1977" t="str">
        <f t="shared" si="71"/>
        <v/>
      </c>
      <c r="AE1977" t="str">
        <f t="shared" si="72"/>
        <v/>
      </c>
    </row>
    <row r="1978">
      <c r="D1978" s="226"/>
      <c r="H1978" s="474"/>
      <c r="I1978" s="474"/>
      <c r="J1978" s="475"/>
      <c r="K1978" s="275" t="str">
        <f>IFNA(VLOOKUP(D1978,'EAN Codes'!A:C,2,False),"")</f>
        <v/>
      </c>
      <c r="L1978" s="82"/>
      <c r="M1978" s="672"/>
      <c r="N1978" s="242"/>
      <c r="O1978" s="242"/>
      <c r="P1978" s="242"/>
      <c r="Q1978" s="242"/>
      <c r="R1978" s="539"/>
      <c r="S1978" s="540"/>
      <c r="T1978" s="543"/>
      <c r="U1978" s="514" t="b">
        <v>0</v>
      </c>
      <c r="Z1978" t="b">
        <v>0</v>
      </c>
      <c r="AA1978" t="b">
        <v>0</v>
      </c>
      <c r="AC1978" s="82"/>
      <c r="AD1978" t="str">
        <f t="shared" si="71"/>
        <v/>
      </c>
      <c r="AE1978" t="str">
        <f t="shared" si="72"/>
        <v/>
      </c>
    </row>
    <row r="1979">
      <c r="D1979" s="226"/>
      <c r="H1979" s="474"/>
      <c r="I1979" s="474"/>
      <c r="J1979" s="475"/>
      <c r="K1979" s="275" t="str">
        <f>IFNA(VLOOKUP(D1979,'EAN Codes'!A:C,2,False),"")</f>
        <v/>
      </c>
      <c r="L1979" s="82"/>
      <c r="M1979" s="672"/>
      <c r="N1979" s="242"/>
      <c r="O1979" s="242"/>
      <c r="P1979" s="242"/>
      <c r="Q1979" s="242"/>
      <c r="R1979" s="539"/>
      <c r="S1979" s="540"/>
      <c r="T1979" s="543"/>
      <c r="U1979" s="514" t="b">
        <v>0</v>
      </c>
      <c r="Z1979" t="b">
        <v>0</v>
      </c>
      <c r="AA1979" t="b">
        <v>0</v>
      </c>
      <c r="AC1979" s="82"/>
      <c r="AD1979" t="str">
        <f t="shared" si="71"/>
        <v/>
      </c>
      <c r="AE1979" t="str">
        <f t="shared" si="72"/>
        <v/>
      </c>
    </row>
    <row r="1980">
      <c r="D1980" s="226"/>
      <c r="H1980" s="474"/>
      <c r="I1980" s="474"/>
      <c r="J1980" s="475"/>
      <c r="K1980" s="275" t="str">
        <f>IFNA(VLOOKUP(D1980,'EAN Codes'!A:C,2,False),"")</f>
        <v/>
      </c>
      <c r="L1980" s="82"/>
      <c r="M1980" s="672"/>
      <c r="N1980" s="242"/>
      <c r="O1980" s="242"/>
      <c r="P1980" s="242"/>
      <c r="Q1980" s="242"/>
      <c r="R1980" s="539"/>
      <c r="S1980" s="540"/>
      <c r="T1980" s="543"/>
      <c r="U1980" s="514" t="b">
        <v>0</v>
      </c>
      <c r="Z1980" t="b">
        <v>0</v>
      </c>
      <c r="AA1980" t="b">
        <v>0</v>
      </c>
      <c r="AC1980" s="82"/>
      <c r="AD1980" t="str">
        <f t="shared" si="71"/>
        <v/>
      </c>
      <c r="AE1980" t="str">
        <f t="shared" si="72"/>
        <v/>
      </c>
    </row>
    <row r="1981">
      <c r="D1981" s="226"/>
      <c r="H1981" s="474"/>
      <c r="I1981" s="474"/>
      <c r="J1981" s="475"/>
      <c r="K1981" s="275" t="str">
        <f>IFNA(VLOOKUP(D1981,'EAN Codes'!A:C,2,False),"")</f>
        <v/>
      </c>
      <c r="L1981" s="82"/>
      <c r="M1981" s="672"/>
      <c r="N1981" s="242"/>
      <c r="O1981" s="242"/>
      <c r="P1981" s="242"/>
      <c r="Q1981" s="242"/>
      <c r="R1981" s="539"/>
      <c r="S1981" s="540"/>
      <c r="T1981" s="543"/>
      <c r="U1981" s="514" t="b">
        <v>0</v>
      </c>
      <c r="Z1981" t="b">
        <v>0</v>
      </c>
      <c r="AA1981" t="b">
        <v>0</v>
      </c>
      <c r="AC1981" s="82"/>
      <c r="AD1981" t="str">
        <f t="shared" si="71"/>
        <v/>
      </c>
      <c r="AE1981" t="str">
        <f t="shared" si="72"/>
        <v/>
      </c>
    </row>
    <row r="1982">
      <c r="D1982" s="226"/>
      <c r="H1982" s="474"/>
      <c r="I1982" s="474"/>
      <c r="J1982" s="475"/>
      <c r="K1982" s="275" t="str">
        <f>IFNA(VLOOKUP(D1982,'EAN Codes'!A:C,2,False),"")</f>
        <v/>
      </c>
      <c r="L1982" s="82"/>
      <c r="M1982" s="672"/>
      <c r="N1982" s="242"/>
      <c r="O1982" s="242"/>
      <c r="P1982" s="242"/>
      <c r="Q1982" s="242"/>
      <c r="R1982" s="539"/>
      <c r="S1982" s="540"/>
      <c r="T1982" s="543"/>
      <c r="U1982" s="514" t="b">
        <v>0</v>
      </c>
      <c r="Z1982" t="b">
        <v>0</v>
      </c>
      <c r="AA1982" t="b">
        <v>0</v>
      </c>
      <c r="AC1982" s="82"/>
      <c r="AD1982" t="str">
        <f t="shared" si="71"/>
        <v/>
      </c>
      <c r="AE1982" t="str">
        <f t="shared" si="72"/>
        <v/>
      </c>
    </row>
    <row r="1983">
      <c r="D1983" s="226"/>
      <c r="H1983" s="474"/>
      <c r="I1983" s="474"/>
      <c r="J1983" s="475"/>
      <c r="K1983" s="275" t="str">
        <f>IFNA(VLOOKUP(D1983,'EAN Codes'!A:C,2,False),"")</f>
        <v/>
      </c>
      <c r="L1983" s="82"/>
      <c r="M1983" s="672"/>
      <c r="N1983" s="242"/>
      <c r="O1983" s="242"/>
      <c r="P1983" s="242"/>
      <c r="Q1983" s="242"/>
      <c r="R1983" s="539"/>
      <c r="S1983" s="540"/>
      <c r="T1983" s="543"/>
      <c r="U1983" s="514" t="b">
        <v>0</v>
      </c>
      <c r="Z1983" t="b">
        <v>0</v>
      </c>
      <c r="AA1983" t="b">
        <v>0</v>
      </c>
      <c r="AC1983" s="82"/>
      <c r="AD1983" t="str">
        <f t="shared" si="71"/>
        <v/>
      </c>
      <c r="AE1983" t="str">
        <f t="shared" si="72"/>
        <v/>
      </c>
    </row>
    <row r="1984">
      <c r="D1984" s="226"/>
      <c r="H1984" s="474"/>
      <c r="I1984" s="474"/>
      <c r="J1984" s="475"/>
      <c r="K1984" s="275" t="str">
        <f>IFNA(VLOOKUP(D1984,'EAN Codes'!A:C,2,False),"")</f>
        <v/>
      </c>
      <c r="L1984" s="82"/>
      <c r="M1984" s="672"/>
      <c r="N1984" s="242"/>
      <c r="O1984" s="242"/>
      <c r="P1984" s="242"/>
      <c r="Q1984" s="242"/>
      <c r="R1984" s="539"/>
      <c r="S1984" s="540"/>
      <c r="T1984" s="543"/>
      <c r="U1984" s="514" t="b">
        <v>0</v>
      </c>
      <c r="Z1984" t="b">
        <v>0</v>
      </c>
      <c r="AA1984" t="b">
        <v>0</v>
      </c>
      <c r="AC1984" s="82"/>
      <c r="AD1984" t="str">
        <f t="shared" si="71"/>
        <v/>
      </c>
      <c r="AE1984" t="str">
        <f t="shared" si="72"/>
        <v/>
      </c>
    </row>
    <row r="1985">
      <c r="D1985" s="226"/>
      <c r="H1985" s="474"/>
      <c r="I1985" s="474"/>
      <c r="J1985" s="475"/>
      <c r="K1985" s="275" t="str">
        <f>IFNA(VLOOKUP(D1985,'EAN Codes'!A:C,2,False),"")</f>
        <v/>
      </c>
      <c r="L1985" s="82"/>
      <c r="M1985" s="672"/>
      <c r="N1985" s="242"/>
      <c r="O1985" s="242"/>
      <c r="P1985" s="242"/>
      <c r="Q1985" s="242"/>
      <c r="R1985" s="539"/>
      <c r="S1985" s="540"/>
      <c r="T1985" s="543"/>
      <c r="U1985" s="514" t="b">
        <v>0</v>
      </c>
      <c r="Z1985" t="b">
        <v>0</v>
      </c>
      <c r="AA1985" t="b">
        <v>0</v>
      </c>
      <c r="AC1985" s="82"/>
      <c r="AD1985" t="str">
        <f t="shared" si="71"/>
        <v/>
      </c>
      <c r="AE1985" t="str">
        <f t="shared" si="72"/>
        <v/>
      </c>
    </row>
    <row r="1986">
      <c r="D1986" s="226"/>
      <c r="H1986" s="474"/>
      <c r="I1986" s="474"/>
      <c r="J1986" s="475"/>
      <c r="K1986" s="275" t="str">
        <f>IFNA(VLOOKUP(D1986,'EAN Codes'!A:C,2,False),"")</f>
        <v/>
      </c>
      <c r="L1986" s="82"/>
      <c r="M1986" s="672"/>
      <c r="N1986" s="242"/>
      <c r="O1986" s="242"/>
      <c r="P1986" s="242"/>
      <c r="Q1986" s="242"/>
      <c r="R1986" s="539"/>
      <c r="S1986" s="540"/>
      <c r="T1986" s="543"/>
      <c r="U1986" s="514" t="b">
        <v>0</v>
      </c>
      <c r="Z1986" t="b">
        <v>0</v>
      </c>
      <c r="AA1986" t="b">
        <v>0</v>
      </c>
      <c r="AC1986" s="82"/>
      <c r="AD1986" t="str">
        <f t="shared" si="71"/>
        <v/>
      </c>
      <c r="AE1986" t="str">
        <f t="shared" si="72"/>
        <v/>
      </c>
    </row>
    <row r="1987">
      <c r="D1987" s="226"/>
      <c r="H1987" s="474"/>
      <c r="I1987" s="474"/>
      <c r="J1987" s="475"/>
      <c r="K1987" s="275" t="str">
        <f>IFNA(VLOOKUP(D1987,'EAN Codes'!A:C,2,False),"")</f>
        <v/>
      </c>
      <c r="L1987" s="82"/>
      <c r="M1987" s="672"/>
      <c r="N1987" s="242"/>
      <c r="O1987" s="242"/>
      <c r="P1987" s="242"/>
      <c r="Q1987" s="242"/>
      <c r="R1987" s="539"/>
      <c r="S1987" s="540"/>
      <c r="T1987" s="543"/>
      <c r="U1987" s="514" t="b">
        <v>0</v>
      </c>
      <c r="Z1987" t="b">
        <v>0</v>
      </c>
      <c r="AA1987" t="b">
        <v>0</v>
      </c>
      <c r="AC1987" s="82"/>
      <c r="AD1987" t="str">
        <f t="shared" si="71"/>
        <v/>
      </c>
      <c r="AE1987" t="str">
        <f t="shared" si="72"/>
        <v/>
      </c>
    </row>
    <row r="1988">
      <c r="D1988" s="226"/>
      <c r="H1988" s="474"/>
      <c r="I1988" s="474"/>
      <c r="J1988" s="475"/>
      <c r="K1988" s="275" t="str">
        <f>IFNA(VLOOKUP(D1988,'EAN Codes'!A:C,2,False),"")</f>
        <v/>
      </c>
      <c r="L1988" s="82"/>
      <c r="M1988" s="672"/>
      <c r="N1988" s="242"/>
      <c r="O1988" s="242"/>
      <c r="P1988" s="242"/>
      <c r="Q1988" s="242"/>
      <c r="R1988" s="539"/>
      <c r="S1988" s="540"/>
      <c r="T1988" s="543"/>
      <c r="U1988" s="514" t="b">
        <v>0</v>
      </c>
      <c r="Z1988" t="b">
        <v>0</v>
      </c>
      <c r="AA1988" t="b">
        <v>0</v>
      </c>
      <c r="AC1988" s="82"/>
      <c r="AD1988" t="str">
        <f t="shared" si="71"/>
        <v/>
      </c>
      <c r="AE1988" t="str">
        <f t="shared" si="72"/>
        <v/>
      </c>
    </row>
    <row r="1989">
      <c r="D1989" s="226"/>
      <c r="H1989" s="474"/>
      <c r="I1989" s="474"/>
      <c r="J1989" s="475"/>
      <c r="K1989" s="275" t="str">
        <f>IFNA(VLOOKUP(D1989,'EAN Codes'!A:C,2,False),"")</f>
        <v/>
      </c>
      <c r="L1989" s="82"/>
      <c r="M1989" s="672"/>
      <c r="N1989" s="242"/>
      <c r="O1989" s="242"/>
      <c r="P1989" s="242"/>
      <c r="Q1989" s="242"/>
      <c r="R1989" s="539"/>
      <c r="S1989" s="540"/>
      <c r="T1989" s="543"/>
      <c r="U1989" s="514" t="b">
        <v>0</v>
      </c>
      <c r="Z1989" t="b">
        <v>0</v>
      </c>
      <c r="AA1989" t="b">
        <v>0</v>
      </c>
      <c r="AC1989" s="82"/>
      <c r="AD1989" t="str">
        <f t="shared" si="71"/>
        <v/>
      </c>
      <c r="AE1989" t="str">
        <f t="shared" si="72"/>
        <v/>
      </c>
    </row>
    <row r="1990">
      <c r="D1990" s="226"/>
      <c r="H1990" s="474"/>
      <c r="I1990" s="474"/>
      <c r="J1990" s="475"/>
      <c r="K1990" s="275" t="str">
        <f>IFNA(VLOOKUP(D1990,'EAN Codes'!A:C,2,False),"")</f>
        <v/>
      </c>
      <c r="L1990" s="82"/>
      <c r="M1990" s="672"/>
      <c r="N1990" s="242"/>
      <c r="O1990" s="242"/>
      <c r="P1990" s="242"/>
      <c r="Q1990" s="242"/>
      <c r="R1990" s="539"/>
      <c r="S1990" s="540"/>
      <c r="T1990" s="543"/>
      <c r="U1990" s="514" t="b">
        <v>0</v>
      </c>
      <c r="Z1990" t="b">
        <v>0</v>
      </c>
      <c r="AA1990" t="b">
        <v>0</v>
      </c>
      <c r="AC1990" s="82"/>
      <c r="AD1990" t="str">
        <f t="shared" si="71"/>
        <v/>
      </c>
      <c r="AE1990" t="str">
        <f t="shared" si="72"/>
        <v/>
      </c>
    </row>
    <row r="1991">
      <c r="D1991" s="226"/>
      <c r="H1991" s="474"/>
      <c r="I1991" s="474"/>
      <c r="J1991" s="475"/>
      <c r="K1991" s="275" t="str">
        <f>IFNA(VLOOKUP(D1991,'EAN Codes'!A:C,2,False),"")</f>
        <v/>
      </c>
      <c r="L1991" s="82"/>
      <c r="M1991" s="672"/>
      <c r="N1991" s="242"/>
      <c r="O1991" s="242"/>
      <c r="P1991" s="242"/>
      <c r="Q1991" s="242"/>
      <c r="R1991" s="539"/>
      <c r="S1991" s="540"/>
      <c r="T1991" s="543"/>
      <c r="U1991" s="514" t="b">
        <v>0</v>
      </c>
      <c r="Z1991" t="b">
        <v>0</v>
      </c>
      <c r="AA1991" t="b">
        <v>0</v>
      </c>
      <c r="AC1991" s="82"/>
      <c r="AD1991" t="str">
        <f t="shared" si="71"/>
        <v/>
      </c>
      <c r="AE1991" t="str">
        <f t="shared" si="72"/>
        <v/>
      </c>
    </row>
    <row r="1992">
      <c r="D1992" s="226"/>
      <c r="H1992" s="474"/>
      <c r="I1992" s="474"/>
      <c r="J1992" s="475"/>
      <c r="K1992" s="275" t="str">
        <f>IFNA(VLOOKUP(D1992,'EAN Codes'!A:C,2,False),"")</f>
        <v/>
      </c>
      <c r="L1992" s="82"/>
      <c r="M1992" s="672"/>
      <c r="N1992" s="242"/>
      <c r="O1992" s="242"/>
      <c r="P1992" s="242"/>
      <c r="Q1992" s="242"/>
      <c r="R1992" s="539"/>
      <c r="S1992" s="540"/>
      <c r="T1992" s="543"/>
      <c r="U1992" s="514" t="b">
        <v>0</v>
      </c>
      <c r="Z1992" t="b">
        <v>0</v>
      </c>
      <c r="AA1992" t="b">
        <v>0</v>
      </c>
      <c r="AC1992" s="82"/>
      <c r="AD1992" t="str">
        <f t="shared" si="71"/>
        <v/>
      </c>
      <c r="AE1992" t="str">
        <f t="shared" si="72"/>
        <v/>
      </c>
    </row>
    <row r="1993">
      <c r="D1993" s="226"/>
      <c r="H1993" s="474"/>
      <c r="I1993" s="474"/>
      <c r="J1993" s="475"/>
      <c r="K1993" s="275" t="str">
        <f>IFNA(VLOOKUP(D1993,'EAN Codes'!A:C,2,False),"")</f>
        <v/>
      </c>
      <c r="L1993" s="82"/>
      <c r="M1993" s="672"/>
      <c r="N1993" s="242"/>
      <c r="O1993" s="242"/>
      <c r="P1993" s="242"/>
      <c r="Q1993" s="242"/>
      <c r="R1993" s="539"/>
      <c r="S1993" s="540"/>
      <c r="T1993" s="543"/>
      <c r="U1993" s="514" t="b">
        <v>0</v>
      </c>
      <c r="Z1993" t="b">
        <v>0</v>
      </c>
      <c r="AA1993" t="b">
        <v>0</v>
      </c>
      <c r="AC1993" s="82"/>
      <c r="AD1993" t="str">
        <f t="shared" si="71"/>
        <v/>
      </c>
      <c r="AE1993" t="str">
        <f t="shared" si="72"/>
        <v/>
      </c>
    </row>
    <row r="1994">
      <c r="D1994" s="226"/>
      <c r="H1994" s="474"/>
      <c r="I1994" s="474"/>
      <c r="J1994" s="475"/>
      <c r="K1994" s="275" t="str">
        <f>IFNA(VLOOKUP(D1994,'EAN Codes'!A:C,2,False),"")</f>
        <v/>
      </c>
      <c r="L1994" s="82"/>
      <c r="M1994" s="672"/>
      <c r="N1994" s="242"/>
      <c r="O1994" s="242"/>
      <c r="P1994" s="242"/>
      <c r="Q1994" s="242"/>
      <c r="R1994" s="539"/>
      <c r="S1994" s="540"/>
      <c r="T1994" s="543"/>
      <c r="U1994" s="514" t="b">
        <v>0</v>
      </c>
      <c r="Z1994" t="b">
        <v>0</v>
      </c>
      <c r="AA1994" t="b">
        <v>0</v>
      </c>
      <c r="AC1994" s="82"/>
      <c r="AD1994" t="str">
        <f t="shared" si="71"/>
        <v/>
      </c>
      <c r="AE1994" t="str">
        <f t="shared" si="72"/>
        <v/>
      </c>
    </row>
    <row r="1995">
      <c r="D1995" s="226"/>
      <c r="H1995" s="474"/>
      <c r="I1995" s="474"/>
      <c r="J1995" s="475"/>
      <c r="K1995" s="275" t="str">
        <f>IFNA(VLOOKUP(D1995,'EAN Codes'!A:C,2,False),"")</f>
        <v/>
      </c>
      <c r="L1995" s="82"/>
      <c r="M1995" s="672"/>
      <c r="N1995" s="242"/>
      <c r="O1995" s="242"/>
      <c r="P1995" s="242"/>
      <c r="Q1995" s="242"/>
      <c r="R1995" s="539"/>
      <c r="S1995" s="540"/>
      <c r="T1995" s="543"/>
      <c r="U1995" s="514" t="b">
        <v>0</v>
      </c>
      <c r="Z1995" t="b">
        <v>0</v>
      </c>
      <c r="AA1995" t="b">
        <v>0</v>
      </c>
      <c r="AC1995" s="82"/>
      <c r="AD1995" t="str">
        <f t="shared" si="71"/>
        <v/>
      </c>
      <c r="AE1995" t="str">
        <f t="shared" si="72"/>
        <v/>
      </c>
    </row>
    <row r="1996">
      <c r="D1996" s="226"/>
      <c r="H1996" s="474"/>
      <c r="I1996" s="474"/>
      <c r="J1996" s="475"/>
      <c r="K1996" s="275" t="str">
        <f>IFNA(VLOOKUP(D1996,'EAN Codes'!A:C,2,False),"")</f>
        <v/>
      </c>
      <c r="L1996" s="82"/>
      <c r="M1996" s="672"/>
      <c r="N1996" s="242"/>
      <c r="O1996" s="242"/>
      <c r="P1996" s="242"/>
      <c r="Q1996" s="242"/>
      <c r="R1996" s="539"/>
      <c r="S1996" s="540"/>
      <c r="T1996" s="543"/>
      <c r="U1996" s="514" t="b">
        <v>0</v>
      </c>
      <c r="Z1996" t="b">
        <v>0</v>
      </c>
      <c r="AA1996" t="b">
        <v>0</v>
      </c>
      <c r="AC1996" s="82"/>
      <c r="AD1996" t="str">
        <f t="shared" si="71"/>
        <v/>
      </c>
      <c r="AE1996" t="str">
        <f t="shared" si="72"/>
        <v/>
      </c>
    </row>
    <row r="1997">
      <c r="D1997" s="226"/>
      <c r="H1997" s="474"/>
      <c r="I1997" s="474"/>
      <c r="J1997" s="475"/>
      <c r="K1997" s="275" t="str">
        <f>IFNA(VLOOKUP(D1997,'EAN Codes'!A:C,2,False),"")</f>
        <v/>
      </c>
      <c r="L1997" s="82"/>
      <c r="M1997" s="672"/>
      <c r="N1997" s="242"/>
      <c r="O1997" s="242"/>
      <c r="P1997" s="242"/>
      <c r="Q1997" s="242"/>
      <c r="R1997" s="539"/>
      <c r="S1997" s="540"/>
      <c r="T1997" s="543"/>
      <c r="U1997" s="514" t="b">
        <v>0</v>
      </c>
      <c r="Z1997" t="b">
        <v>0</v>
      </c>
      <c r="AA1997" t="b">
        <v>0</v>
      </c>
      <c r="AC1997" s="82"/>
      <c r="AD1997" t="str">
        <f t="shared" si="71"/>
        <v/>
      </c>
      <c r="AE1997" t="str">
        <f t="shared" si="72"/>
        <v/>
      </c>
    </row>
    <row r="1998">
      <c r="D1998" s="226"/>
      <c r="H1998" s="474"/>
      <c r="I1998" s="474"/>
      <c r="J1998" s="475"/>
      <c r="K1998" s="275" t="str">
        <f>IFNA(VLOOKUP(D1998,'EAN Codes'!A:C,2,False),"")</f>
        <v/>
      </c>
      <c r="L1998" s="82"/>
      <c r="M1998" s="672"/>
      <c r="N1998" s="242"/>
      <c r="O1998" s="242"/>
      <c r="P1998" s="242"/>
      <c r="Q1998" s="242"/>
      <c r="R1998" s="539"/>
      <c r="S1998" s="540"/>
      <c r="T1998" s="543"/>
      <c r="U1998" s="514" t="b">
        <v>0</v>
      </c>
      <c r="Z1998" t="b">
        <v>0</v>
      </c>
      <c r="AA1998" t="b">
        <v>0</v>
      </c>
      <c r="AC1998" s="82"/>
      <c r="AD1998" t="str">
        <f t="shared" si="71"/>
        <v/>
      </c>
      <c r="AE1998" t="str">
        <f t="shared" si="72"/>
        <v/>
      </c>
    </row>
    <row r="1999">
      <c r="D1999" s="226"/>
      <c r="H1999" s="474"/>
      <c r="I1999" s="474"/>
      <c r="J1999" s="475"/>
      <c r="K1999" s="275" t="str">
        <f>IFNA(VLOOKUP(D1999,'EAN Codes'!A:C,2,False),"")</f>
        <v/>
      </c>
      <c r="L1999" s="82"/>
      <c r="M1999" s="672"/>
      <c r="N1999" s="242"/>
      <c r="O1999" s="242"/>
      <c r="P1999" s="242"/>
      <c r="Q1999" s="242"/>
      <c r="R1999" s="539"/>
      <c r="S1999" s="540"/>
      <c r="T1999" s="543"/>
      <c r="U1999" s="514" t="b">
        <v>0</v>
      </c>
      <c r="Z1999" t="b">
        <v>0</v>
      </c>
      <c r="AA1999" t="b">
        <v>0</v>
      </c>
      <c r="AC1999" s="82"/>
      <c r="AD1999" t="str">
        <f t="shared" si="71"/>
        <v/>
      </c>
      <c r="AE1999" t="str">
        <f t="shared" si="72"/>
        <v/>
      </c>
    </row>
    <row r="2000">
      <c r="D2000" s="226"/>
      <c r="H2000" s="474"/>
      <c r="I2000" s="474"/>
      <c r="J2000" s="475"/>
      <c r="K2000" s="275" t="str">
        <f>IFNA(VLOOKUP(D2000,'EAN Codes'!A:C,2,False),"")</f>
        <v/>
      </c>
      <c r="L2000" s="82"/>
      <c r="M2000" s="672"/>
      <c r="N2000" s="242"/>
      <c r="O2000" s="242"/>
      <c r="P2000" s="242"/>
      <c r="Q2000" s="242"/>
      <c r="R2000" s="539"/>
      <c r="S2000" s="540"/>
      <c r="T2000" s="543"/>
      <c r="U2000" s="514" t="b">
        <v>0</v>
      </c>
      <c r="Z2000" t="b">
        <v>0</v>
      </c>
      <c r="AA2000" t="b">
        <v>0</v>
      </c>
      <c r="AC2000" s="82"/>
      <c r="AD2000" t="str">
        <f t="shared" si="71"/>
        <v/>
      </c>
      <c r="AE2000" t="str">
        <f t="shared" si="72"/>
        <v/>
      </c>
    </row>
    <row r="2001">
      <c r="D2001" s="226"/>
      <c r="H2001" s="474"/>
      <c r="I2001" s="474"/>
      <c r="J2001" s="475"/>
      <c r="K2001" s="275" t="str">
        <f>IFNA(VLOOKUP(D2001,'EAN Codes'!A:C,2,False),"")</f>
        <v/>
      </c>
      <c r="L2001" s="82"/>
      <c r="M2001" s="672"/>
      <c r="N2001" s="242"/>
      <c r="O2001" s="242"/>
      <c r="P2001" s="242"/>
      <c r="Q2001" s="242"/>
      <c r="R2001" s="539"/>
      <c r="S2001" s="540"/>
      <c r="T2001" s="543"/>
      <c r="U2001" s="514" t="b">
        <v>0</v>
      </c>
      <c r="Z2001" t="b">
        <v>0</v>
      </c>
      <c r="AA2001" t="b">
        <v>0</v>
      </c>
      <c r="AC2001" s="82"/>
      <c r="AD2001" t="str">
        <f t="shared" si="71"/>
        <v/>
      </c>
      <c r="AE2001" t="str">
        <f t="shared" si="72"/>
        <v/>
      </c>
    </row>
    <row r="2002">
      <c r="D2002" s="226"/>
      <c r="H2002" s="474"/>
      <c r="I2002" s="474"/>
      <c r="J2002" s="475"/>
      <c r="K2002" s="275" t="str">
        <f>IFNA(VLOOKUP(D2002,'EAN Codes'!A:C,2,False),"")</f>
        <v/>
      </c>
      <c r="L2002" s="82"/>
      <c r="M2002" s="672"/>
      <c r="N2002" s="242"/>
      <c r="O2002" s="242"/>
      <c r="P2002" s="242"/>
      <c r="Q2002" s="242"/>
      <c r="R2002" s="539"/>
      <c r="S2002" s="540"/>
      <c r="T2002" s="543"/>
      <c r="U2002" s="514" t="b">
        <v>0</v>
      </c>
      <c r="Z2002" t="b">
        <v>0</v>
      </c>
      <c r="AA2002" t="b">
        <v>0</v>
      </c>
      <c r="AC2002" s="82"/>
      <c r="AD2002" t="str">
        <f t="shared" si="71"/>
        <v/>
      </c>
      <c r="AE2002" t="str">
        <f t="shared" si="72"/>
        <v/>
      </c>
    </row>
    <row r="2003">
      <c r="D2003" s="226"/>
      <c r="H2003" s="474"/>
      <c r="I2003" s="474"/>
      <c r="J2003" s="475"/>
      <c r="K2003" s="275" t="str">
        <f>IFNA(VLOOKUP(D2003,'EAN Codes'!A:C,2,False),"")</f>
        <v/>
      </c>
      <c r="L2003" s="82"/>
      <c r="M2003" s="672"/>
      <c r="N2003" s="242"/>
      <c r="O2003" s="242"/>
      <c r="P2003" s="242"/>
      <c r="Q2003" s="242"/>
      <c r="R2003" s="539"/>
      <c r="S2003" s="540"/>
      <c r="T2003" s="543"/>
      <c r="U2003" s="514" t="b">
        <v>0</v>
      </c>
      <c r="Z2003" t="b">
        <v>0</v>
      </c>
      <c r="AA2003" t="b">
        <v>0</v>
      </c>
      <c r="AC2003" s="82"/>
      <c r="AD2003" t="str">
        <f t="shared" si="71"/>
        <v/>
      </c>
      <c r="AE2003" t="str">
        <f t="shared" si="72"/>
        <v/>
      </c>
    </row>
    <row r="2004">
      <c r="D2004" s="226"/>
      <c r="H2004" s="474"/>
      <c r="I2004" s="474"/>
      <c r="J2004" s="475"/>
      <c r="K2004" s="275" t="str">
        <f>IFNA(VLOOKUP(D2004,'EAN Codes'!A:C,2,False),"")</f>
        <v/>
      </c>
      <c r="L2004" s="82"/>
      <c r="M2004" s="672"/>
      <c r="N2004" s="242"/>
      <c r="O2004" s="242"/>
      <c r="P2004" s="242"/>
      <c r="Q2004" s="242"/>
      <c r="R2004" s="539"/>
      <c r="S2004" s="540"/>
      <c r="T2004" s="543"/>
      <c r="U2004" s="514" t="b">
        <v>0</v>
      </c>
      <c r="Z2004" t="b">
        <v>0</v>
      </c>
      <c r="AA2004" t="b">
        <v>0</v>
      </c>
      <c r="AC2004" s="82"/>
      <c r="AD2004" t="str">
        <f t="shared" si="71"/>
        <v/>
      </c>
      <c r="AE2004" t="str">
        <f t="shared" si="72"/>
        <v/>
      </c>
    </row>
    <row r="2005">
      <c r="D2005" s="226"/>
      <c r="H2005" s="474"/>
      <c r="I2005" s="474"/>
      <c r="J2005" s="475"/>
      <c r="K2005" s="275" t="str">
        <f>IFNA(VLOOKUP(D2005,'EAN Codes'!A:C,2,False),"")</f>
        <v/>
      </c>
      <c r="L2005" s="82"/>
      <c r="M2005" s="672"/>
      <c r="N2005" s="242"/>
      <c r="O2005" s="242"/>
      <c r="P2005" s="242"/>
      <c r="Q2005" s="242"/>
      <c r="R2005" s="539"/>
      <c r="S2005" s="540"/>
      <c r="T2005" s="543"/>
      <c r="U2005" s="514" t="b">
        <v>0</v>
      </c>
      <c r="Z2005" t="b">
        <v>0</v>
      </c>
      <c r="AA2005" t="b">
        <v>0</v>
      </c>
      <c r="AC2005" s="82"/>
      <c r="AD2005" t="str">
        <f t="shared" si="71"/>
        <v/>
      </c>
      <c r="AE2005" t="str">
        <f t="shared" si="72"/>
        <v/>
      </c>
    </row>
    <row r="2006">
      <c r="D2006" s="226"/>
      <c r="H2006" s="474"/>
      <c r="I2006" s="474"/>
      <c r="J2006" s="475"/>
      <c r="K2006" s="275" t="str">
        <f>IFNA(VLOOKUP(D2006,'EAN Codes'!A:C,2,False),"")</f>
        <v/>
      </c>
      <c r="L2006" s="82"/>
      <c r="M2006" s="672"/>
      <c r="N2006" s="242"/>
      <c r="O2006" s="242"/>
      <c r="P2006" s="242"/>
      <c r="Q2006" s="242"/>
      <c r="R2006" s="539"/>
      <c r="S2006" s="540"/>
      <c r="T2006" s="543"/>
      <c r="U2006" s="514" t="b">
        <v>0</v>
      </c>
      <c r="Z2006" t="b">
        <v>0</v>
      </c>
      <c r="AA2006" t="b">
        <v>0</v>
      </c>
      <c r="AC2006" s="82"/>
      <c r="AD2006" t="str">
        <f t="shared" si="71"/>
        <v/>
      </c>
      <c r="AE2006" t="str">
        <f t="shared" si="72"/>
        <v/>
      </c>
    </row>
    <row r="2007">
      <c r="D2007" s="226"/>
      <c r="H2007" s="474"/>
      <c r="I2007" s="474"/>
      <c r="J2007" s="475"/>
      <c r="K2007" s="275" t="str">
        <f>IFNA(VLOOKUP(D2007,'EAN Codes'!A:C,2,False),"")</f>
        <v/>
      </c>
      <c r="L2007" s="82"/>
      <c r="M2007" s="672"/>
      <c r="N2007" s="242"/>
      <c r="O2007" s="242"/>
      <c r="P2007" s="242"/>
      <c r="Q2007" s="242"/>
      <c r="R2007" s="539"/>
      <c r="S2007" s="540"/>
      <c r="T2007" s="543"/>
      <c r="U2007" s="514" t="b">
        <v>0</v>
      </c>
      <c r="Z2007" t="b">
        <v>0</v>
      </c>
      <c r="AA2007" t="b">
        <v>0</v>
      </c>
      <c r="AC2007" s="82"/>
      <c r="AD2007" t="str">
        <f t="shared" si="71"/>
        <v/>
      </c>
      <c r="AE2007" t="str">
        <f t="shared" si="72"/>
        <v/>
      </c>
    </row>
    <row r="2008">
      <c r="D2008" s="226"/>
      <c r="H2008" s="474"/>
      <c r="I2008" s="474"/>
      <c r="J2008" s="475"/>
      <c r="K2008" s="275" t="str">
        <f>IFNA(VLOOKUP(D2008,'EAN Codes'!A:C,2,False),"")</f>
        <v/>
      </c>
      <c r="L2008" s="82"/>
      <c r="M2008" s="672"/>
      <c r="N2008" s="242"/>
      <c r="O2008" s="242"/>
      <c r="P2008" s="242"/>
      <c r="Q2008" s="242"/>
      <c r="R2008" s="539"/>
      <c r="S2008" s="540"/>
      <c r="T2008" s="543"/>
      <c r="U2008" s="514" t="b">
        <v>0</v>
      </c>
      <c r="Z2008" t="b">
        <v>0</v>
      </c>
      <c r="AA2008" t="b">
        <v>0</v>
      </c>
      <c r="AC2008" s="82"/>
      <c r="AD2008" t="str">
        <f t="shared" si="71"/>
        <v/>
      </c>
      <c r="AE2008" t="str">
        <f t="shared" si="72"/>
        <v/>
      </c>
    </row>
    <row r="2009">
      <c r="D2009" s="226"/>
      <c r="H2009" s="474"/>
      <c r="I2009" s="474"/>
      <c r="J2009" s="475"/>
      <c r="K2009" s="275" t="str">
        <f>IFNA(VLOOKUP(D2009,'EAN Codes'!A:C,2,False),"")</f>
        <v/>
      </c>
      <c r="L2009" s="82"/>
      <c r="M2009" s="672"/>
      <c r="N2009" s="242"/>
      <c r="O2009" s="242"/>
      <c r="P2009" s="242"/>
      <c r="Q2009" s="242"/>
      <c r="R2009" s="539"/>
      <c r="S2009" s="540"/>
      <c r="T2009" s="543"/>
      <c r="U2009" s="514" t="b">
        <v>0</v>
      </c>
      <c r="Z2009" t="b">
        <v>0</v>
      </c>
      <c r="AA2009" t="b">
        <v>0</v>
      </c>
      <c r="AC2009" s="82"/>
      <c r="AD2009" t="str">
        <f t="shared" si="71"/>
        <v/>
      </c>
      <c r="AE2009" t="str">
        <f t="shared" si="72"/>
        <v/>
      </c>
    </row>
    <row r="2010">
      <c r="D2010" s="226"/>
      <c r="H2010" s="474"/>
      <c r="I2010" s="474"/>
      <c r="J2010" s="475"/>
      <c r="K2010" s="275" t="str">
        <f>IFNA(VLOOKUP(D2010,'EAN Codes'!A:C,2,False),"")</f>
        <v/>
      </c>
      <c r="L2010" s="82"/>
      <c r="M2010" s="672"/>
      <c r="N2010" s="242"/>
      <c r="O2010" s="242"/>
      <c r="P2010" s="242"/>
      <c r="Q2010" s="242"/>
      <c r="R2010" s="539"/>
      <c r="S2010" s="540"/>
      <c r="T2010" s="543"/>
      <c r="U2010" s="514" t="b">
        <v>0</v>
      </c>
      <c r="Z2010" t="b">
        <v>0</v>
      </c>
      <c r="AA2010" t="b">
        <v>0</v>
      </c>
      <c r="AC2010" s="82"/>
      <c r="AD2010" t="str">
        <f t="shared" si="71"/>
        <v/>
      </c>
      <c r="AE2010" t="str">
        <f t="shared" si="72"/>
        <v/>
      </c>
    </row>
    <row r="2011">
      <c r="D2011" s="226"/>
      <c r="H2011" s="474"/>
      <c r="I2011" s="474"/>
      <c r="J2011" s="475"/>
      <c r="K2011" s="275" t="str">
        <f>IFNA(VLOOKUP(D2011,'EAN Codes'!A:C,2,False),"")</f>
        <v/>
      </c>
      <c r="L2011" s="82"/>
      <c r="M2011" s="672"/>
      <c r="N2011" s="242"/>
      <c r="O2011" s="242"/>
      <c r="P2011" s="242"/>
      <c r="Q2011" s="242"/>
      <c r="R2011" s="539"/>
      <c r="S2011" s="540"/>
      <c r="T2011" s="543"/>
      <c r="U2011" s="514" t="b">
        <v>0</v>
      </c>
      <c r="Z2011" t="b">
        <v>0</v>
      </c>
      <c r="AA2011" t="b">
        <v>0</v>
      </c>
      <c r="AC2011" s="82"/>
      <c r="AD2011" t="str">
        <f t="shared" si="71"/>
        <v/>
      </c>
      <c r="AE2011" t="str">
        <f t="shared" si="72"/>
        <v/>
      </c>
    </row>
    <row r="2012">
      <c r="D2012" s="226"/>
      <c r="H2012" s="474"/>
      <c r="I2012" s="474"/>
      <c r="J2012" s="475"/>
      <c r="K2012" s="275" t="str">
        <f>IFNA(VLOOKUP(D2012,'EAN Codes'!A:C,2,False),"")</f>
        <v/>
      </c>
      <c r="L2012" s="82"/>
      <c r="M2012" s="672"/>
      <c r="N2012" s="242"/>
      <c r="O2012" s="242"/>
      <c r="P2012" s="242"/>
      <c r="Q2012" s="242"/>
      <c r="R2012" s="539"/>
      <c r="S2012" s="540"/>
      <c r="T2012" s="543"/>
      <c r="U2012" s="514" t="b">
        <v>0</v>
      </c>
      <c r="Z2012" t="b">
        <v>0</v>
      </c>
      <c r="AA2012" t="b">
        <v>0</v>
      </c>
      <c r="AC2012" s="82"/>
      <c r="AD2012" t="str">
        <f t="shared" si="71"/>
        <v/>
      </c>
      <c r="AE2012" t="str">
        <f t="shared" si="72"/>
        <v/>
      </c>
    </row>
    <row r="2013">
      <c r="D2013" s="226"/>
      <c r="H2013" s="474"/>
      <c r="I2013" s="474"/>
      <c r="J2013" s="475"/>
      <c r="K2013" s="275" t="str">
        <f>IFNA(VLOOKUP(D2013,'EAN Codes'!A:C,2,False),"")</f>
        <v/>
      </c>
      <c r="L2013" s="82"/>
      <c r="M2013" s="672"/>
      <c r="N2013" s="242"/>
      <c r="O2013" s="242"/>
      <c r="P2013" s="242"/>
      <c r="Q2013" s="242"/>
      <c r="R2013" s="539"/>
      <c r="S2013" s="540"/>
      <c r="T2013" s="543"/>
      <c r="U2013" s="514" t="b">
        <v>0</v>
      </c>
      <c r="Z2013" t="b">
        <v>0</v>
      </c>
      <c r="AA2013" t="b">
        <v>0</v>
      </c>
      <c r="AC2013" s="82"/>
      <c r="AD2013" t="str">
        <f t="shared" si="71"/>
        <v/>
      </c>
      <c r="AE2013" t="str">
        <f t="shared" si="72"/>
        <v/>
      </c>
    </row>
    <row r="2014">
      <c r="D2014" s="226"/>
      <c r="H2014" s="474"/>
      <c r="I2014" s="474"/>
      <c r="J2014" s="475"/>
      <c r="K2014" s="275" t="str">
        <f>IFNA(VLOOKUP(D2014,'EAN Codes'!A:C,2,False),"")</f>
        <v/>
      </c>
      <c r="L2014" s="82"/>
      <c r="M2014" s="672"/>
      <c r="N2014" s="242"/>
      <c r="O2014" s="242"/>
      <c r="P2014" s="242"/>
      <c r="Q2014" s="242"/>
      <c r="R2014" s="539"/>
      <c r="S2014" s="540"/>
      <c r="T2014" s="543"/>
      <c r="U2014" s="514" t="b">
        <v>0</v>
      </c>
      <c r="Z2014" t="b">
        <v>0</v>
      </c>
      <c r="AA2014" t="b">
        <v>0</v>
      </c>
      <c r="AC2014" s="82"/>
      <c r="AD2014" t="str">
        <f t="shared" si="71"/>
        <v/>
      </c>
      <c r="AE2014" t="str">
        <f t="shared" si="72"/>
        <v/>
      </c>
    </row>
    <row r="2015">
      <c r="D2015" s="226"/>
      <c r="H2015" s="474"/>
      <c r="I2015" s="474"/>
      <c r="J2015" s="475"/>
      <c r="K2015" s="275" t="str">
        <f>IFNA(VLOOKUP(D2015,'EAN Codes'!A:C,2,False),"")</f>
        <v/>
      </c>
      <c r="L2015" s="82"/>
      <c r="M2015" s="672"/>
      <c r="N2015" s="242"/>
      <c r="O2015" s="242"/>
      <c r="P2015" s="242"/>
      <c r="Q2015" s="242"/>
      <c r="R2015" s="539"/>
      <c r="S2015" s="540"/>
      <c r="T2015" s="543"/>
      <c r="U2015" s="514" t="b">
        <v>0</v>
      </c>
      <c r="Z2015" t="b">
        <v>0</v>
      </c>
      <c r="AA2015" t="b">
        <v>0</v>
      </c>
      <c r="AC2015" s="82"/>
      <c r="AD2015" t="str">
        <f t="shared" si="71"/>
        <v/>
      </c>
      <c r="AE2015" t="str">
        <f t="shared" si="72"/>
        <v/>
      </c>
    </row>
    <row r="2016">
      <c r="D2016" s="226"/>
      <c r="H2016" s="474"/>
      <c r="I2016" s="474"/>
      <c r="J2016" s="475"/>
      <c r="K2016" s="275" t="str">
        <f>IFNA(VLOOKUP(D2016,'EAN Codes'!A:C,2,False),"")</f>
        <v/>
      </c>
      <c r="L2016" s="82"/>
      <c r="M2016" s="672"/>
      <c r="N2016" s="242"/>
      <c r="O2016" s="242"/>
      <c r="P2016" s="242"/>
      <c r="Q2016" s="242"/>
      <c r="R2016" s="539"/>
      <c r="S2016" s="540"/>
      <c r="T2016" s="543"/>
      <c r="U2016" s="514" t="b">
        <v>0</v>
      </c>
      <c r="Z2016" t="b">
        <v>0</v>
      </c>
      <c r="AA2016" t="b">
        <v>0</v>
      </c>
      <c r="AC2016" s="82"/>
      <c r="AD2016" t="str">
        <f t="shared" si="71"/>
        <v/>
      </c>
      <c r="AE2016" t="str">
        <f t="shared" si="72"/>
        <v/>
      </c>
    </row>
    <row r="2017">
      <c r="D2017" s="226"/>
      <c r="H2017" s="474"/>
      <c r="I2017" s="474"/>
      <c r="J2017" s="475"/>
      <c r="K2017" s="275" t="str">
        <f>IFNA(VLOOKUP(D2017,'EAN Codes'!A:C,2,False),"")</f>
        <v/>
      </c>
      <c r="L2017" s="82"/>
      <c r="M2017" s="672"/>
      <c r="N2017" s="242"/>
      <c r="O2017" s="242"/>
      <c r="P2017" s="242"/>
      <c r="Q2017" s="242"/>
      <c r="R2017" s="539"/>
      <c r="S2017" s="540"/>
      <c r="T2017" s="543"/>
      <c r="U2017" s="514" t="b">
        <v>0</v>
      </c>
      <c r="Z2017" t="b">
        <v>0</v>
      </c>
      <c r="AA2017" t="b">
        <v>0</v>
      </c>
      <c r="AC2017" s="82"/>
      <c r="AD2017" t="str">
        <f t="shared" si="71"/>
        <v/>
      </c>
      <c r="AE2017" t="str">
        <f t="shared" si="72"/>
        <v/>
      </c>
    </row>
    <row r="2018">
      <c r="D2018" s="226"/>
      <c r="H2018" s="474"/>
      <c r="I2018" s="474"/>
      <c r="J2018" s="475"/>
      <c r="K2018" s="275" t="str">
        <f>IFNA(VLOOKUP(D2018,'EAN Codes'!A:C,2,False),"")</f>
        <v/>
      </c>
      <c r="L2018" s="82"/>
      <c r="M2018" s="672"/>
      <c r="N2018" s="242"/>
      <c r="O2018" s="242"/>
      <c r="P2018" s="242"/>
      <c r="Q2018" s="242"/>
      <c r="R2018" s="539"/>
      <c r="S2018" s="540"/>
      <c r="T2018" s="543"/>
      <c r="U2018" s="514" t="b">
        <v>0</v>
      </c>
      <c r="Z2018" t="b">
        <v>0</v>
      </c>
      <c r="AA2018" t="b">
        <v>0</v>
      </c>
      <c r="AC2018" s="82"/>
      <c r="AD2018" t="str">
        <f t="shared" si="71"/>
        <v/>
      </c>
      <c r="AE2018" t="str">
        <f t="shared" si="72"/>
        <v/>
      </c>
    </row>
    <row r="2019">
      <c r="D2019" s="226"/>
      <c r="H2019" s="474"/>
      <c r="I2019" s="474"/>
      <c r="J2019" s="475"/>
      <c r="K2019" s="275" t="str">
        <f>IFNA(VLOOKUP(D2019,'EAN Codes'!A:C,2,False),"")</f>
        <v/>
      </c>
      <c r="L2019" s="82"/>
      <c r="M2019" s="672"/>
      <c r="N2019" s="242"/>
      <c r="O2019" s="242"/>
      <c r="P2019" s="242"/>
      <c r="Q2019" s="242"/>
      <c r="R2019" s="539"/>
      <c r="S2019" s="540"/>
      <c r="T2019" s="543"/>
      <c r="U2019" s="514" t="b">
        <v>0</v>
      </c>
      <c r="Z2019" t="b">
        <v>0</v>
      </c>
      <c r="AA2019" t="b">
        <v>0</v>
      </c>
      <c r="AC2019" s="82"/>
      <c r="AD2019" t="str">
        <f t="shared" si="71"/>
        <v/>
      </c>
      <c r="AE2019" t="str">
        <f t="shared" si="72"/>
        <v/>
      </c>
    </row>
    <row r="2020">
      <c r="D2020" s="226"/>
      <c r="H2020" s="474"/>
      <c r="I2020" s="474"/>
      <c r="J2020" s="475"/>
      <c r="K2020" s="275" t="str">
        <f>IFNA(VLOOKUP(D2020,'EAN Codes'!A:C,2,False),"")</f>
        <v/>
      </c>
      <c r="L2020" s="82"/>
      <c r="M2020" s="672"/>
      <c r="N2020" s="242"/>
      <c r="O2020" s="242"/>
      <c r="P2020" s="242"/>
      <c r="Q2020" s="242"/>
      <c r="R2020" s="539"/>
      <c r="S2020" s="540"/>
      <c r="T2020" s="543"/>
      <c r="U2020" s="514" t="b">
        <v>0</v>
      </c>
      <c r="Z2020" t="b">
        <v>0</v>
      </c>
      <c r="AA2020" t="b">
        <v>0</v>
      </c>
      <c r="AC2020" s="82"/>
      <c r="AD2020" t="str">
        <f t="shared" si="71"/>
        <v/>
      </c>
      <c r="AE2020" t="str">
        <f t="shared" si="72"/>
        <v/>
      </c>
    </row>
    <row r="2021">
      <c r="D2021" s="226"/>
      <c r="H2021" s="474"/>
      <c r="I2021" s="474"/>
      <c r="J2021" s="475"/>
      <c r="K2021" s="275"/>
      <c r="L2021" s="82"/>
      <c r="M2021" s="672"/>
      <c r="N2021" s="242"/>
      <c r="O2021" s="242"/>
      <c r="P2021" s="242"/>
      <c r="Q2021" s="242"/>
      <c r="R2021" s="539"/>
      <c r="S2021" s="540"/>
      <c r="T2021" s="543"/>
      <c r="U2021" s="673" t="b">
        <v>0</v>
      </c>
      <c r="Z2021" t="b">
        <v>0</v>
      </c>
      <c r="AA2021" t="b">
        <v>0</v>
      </c>
      <c r="AC2021" s="82"/>
      <c r="AD2021" t="str">
        <f t="shared" si="71"/>
        <v/>
      </c>
      <c r="AE2021" t="str">
        <f t="shared" si="72"/>
        <v/>
      </c>
    </row>
    <row r="2022">
      <c r="A2022" s="3"/>
      <c r="B2022" s="4"/>
      <c r="C2022" s="4"/>
      <c r="D2022" s="674"/>
      <c r="E2022" s="4"/>
      <c r="F2022" s="4"/>
      <c r="G2022" s="4"/>
      <c r="H2022" s="675"/>
      <c r="I2022" s="675"/>
      <c r="J2022" s="676"/>
      <c r="K2022" s="677"/>
      <c r="L2022" s="678"/>
      <c r="M2022" s="679"/>
      <c r="N2022" s="680"/>
      <c r="O2022" s="680"/>
      <c r="P2022" s="680"/>
      <c r="Q2022" s="680"/>
      <c r="R2022" s="681"/>
      <c r="S2022" s="682"/>
      <c r="T2022" s="683"/>
      <c r="U2022" s="684" t="b">
        <v>0</v>
      </c>
      <c r="V2022" s="4"/>
      <c r="W2022" s="4"/>
      <c r="X2022" s="4"/>
      <c r="Y2022" s="4"/>
      <c r="Z2022" t="b">
        <v>0</v>
      </c>
      <c r="AA2022" t="b">
        <v>0</v>
      </c>
      <c r="AC2022" s="82"/>
      <c r="AD2022" t="str">
        <f t="shared" si="71"/>
        <v/>
      </c>
      <c r="AE2022" t="str">
        <f t="shared" si="72"/>
        <v/>
      </c>
    </row>
    <row r="2023">
      <c r="D2023" s="226"/>
      <c r="H2023" s="474"/>
      <c r="I2023" s="474"/>
      <c r="J2023" s="475"/>
      <c r="K2023" s="275"/>
      <c r="L2023" s="82"/>
      <c r="M2023" s="672"/>
      <c r="N2023" s="242"/>
      <c r="O2023" s="242"/>
      <c r="P2023" s="242"/>
      <c r="Q2023" s="242"/>
      <c r="R2023" s="539"/>
      <c r="S2023" s="540"/>
      <c r="T2023" s="543"/>
      <c r="U2023" s="673" t="b">
        <v>0</v>
      </c>
      <c r="Z2023" t="b">
        <v>0</v>
      </c>
      <c r="AA2023" t="b">
        <v>0</v>
      </c>
      <c r="AC2023" s="82"/>
      <c r="AD2023" t="str">
        <f t="shared" si="71"/>
        <v/>
      </c>
      <c r="AE2023" t="str">
        <f t="shared" si="72"/>
        <v/>
      </c>
    </row>
    <row r="2024">
      <c r="D2024" s="226"/>
      <c r="H2024" s="474"/>
      <c r="I2024" s="474"/>
      <c r="J2024" s="475"/>
      <c r="K2024" s="275"/>
      <c r="L2024" s="82"/>
      <c r="M2024" s="672"/>
      <c r="N2024" s="242"/>
      <c r="O2024" s="242"/>
      <c r="P2024" s="242"/>
      <c r="Q2024" s="242"/>
      <c r="R2024" s="539"/>
      <c r="S2024" s="540"/>
      <c r="T2024" s="543"/>
      <c r="U2024" s="673" t="b">
        <v>0</v>
      </c>
      <c r="Z2024" t="b">
        <v>0</v>
      </c>
      <c r="AA2024" t="b">
        <v>0</v>
      </c>
      <c r="AC2024" s="82"/>
      <c r="AD2024" t="str">
        <f t="shared" si="71"/>
        <v/>
      </c>
      <c r="AE2024" t="str">
        <f t="shared" si="72"/>
        <v/>
      </c>
    </row>
    <row r="2025">
      <c r="D2025" s="226"/>
      <c r="H2025" s="474"/>
      <c r="I2025" s="474"/>
      <c r="J2025" s="475"/>
      <c r="K2025" s="275"/>
      <c r="L2025" s="82"/>
      <c r="M2025" s="672"/>
      <c r="N2025" s="242"/>
      <c r="O2025" s="242"/>
      <c r="P2025" s="242"/>
      <c r="Q2025" s="242"/>
      <c r="R2025" s="539"/>
      <c r="S2025" s="540"/>
      <c r="T2025" s="543"/>
      <c r="U2025" s="673" t="b">
        <v>0</v>
      </c>
      <c r="Z2025" t="b">
        <v>0</v>
      </c>
      <c r="AA2025" t="b">
        <v>0</v>
      </c>
      <c r="AC2025" s="82"/>
      <c r="AD2025" t="str">
        <f t="shared" si="71"/>
        <v/>
      </c>
      <c r="AE2025" t="str">
        <f t="shared" si="72"/>
        <v/>
      </c>
    </row>
    <row r="2026">
      <c r="D2026" s="226"/>
      <c r="H2026" s="474"/>
      <c r="I2026" s="474"/>
      <c r="J2026" s="475"/>
      <c r="K2026" s="275"/>
      <c r="L2026" s="82"/>
      <c r="M2026" s="672"/>
      <c r="N2026" s="242"/>
      <c r="O2026" s="242"/>
      <c r="P2026" s="242"/>
      <c r="Q2026" s="242"/>
      <c r="R2026" s="539"/>
      <c r="S2026" s="540"/>
      <c r="T2026" s="543"/>
      <c r="U2026" s="673" t="b">
        <v>0</v>
      </c>
      <c r="Z2026" t="b">
        <v>0</v>
      </c>
      <c r="AA2026" t="b">
        <v>0</v>
      </c>
      <c r="AC2026" s="82"/>
      <c r="AD2026" t="str">
        <f t="shared" si="71"/>
        <v/>
      </c>
      <c r="AE2026" t="str">
        <f t="shared" si="72"/>
        <v/>
      </c>
    </row>
    <row r="2027">
      <c r="D2027" s="226"/>
      <c r="H2027" s="474"/>
      <c r="I2027" s="474"/>
      <c r="J2027" s="475"/>
      <c r="K2027" s="275"/>
      <c r="L2027" s="82"/>
      <c r="M2027" s="672"/>
      <c r="N2027" s="242"/>
      <c r="O2027" s="242"/>
      <c r="P2027" s="242"/>
      <c r="Q2027" s="242"/>
      <c r="R2027" s="539"/>
      <c r="S2027" s="540"/>
      <c r="T2027" s="543"/>
      <c r="U2027" s="673" t="b">
        <v>0</v>
      </c>
      <c r="Z2027" t="b">
        <v>0</v>
      </c>
      <c r="AA2027" t="b">
        <v>0</v>
      </c>
      <c r="AC2027" s="82"/>
      <c r="AD2027" t="str">
        <f t="shared" si="71"/>
        <v/>
      </c>
      <c r="AE2027" t="str">
        <f t="shared" si="72"/>
        <v/>
      </c>
    </row>
    <row r="2028">
      <c r="D2028" s="226"/>
      <c r="H2028" s="474"/>
      <c r="I2028" s="474"/>
      <c r="J2028" s="475"/>
      <c r="K2028" s="275"/>
      <c r="L2028" s="82"/>
      <c r="M2028" s="672"/>
      <c r="N2028" s="242"/>
      <c r="O2028" s="242"/>
      <c r="P2028" s="242"/>
      <c r="Q2028" s="242"/>
      <c r="R2028" s="539"/>
      <c r="S2028" s="540"/>
      <c r="T2028" s="543"/>
      <c r="U2028" s="673" t="b">
        <v>0</v>
      </c>
      <c r="Z2028" t="b">
        <v>0</v>
      </c>
      <c r="AA2028" t="b">
        <v>0</v>
      </c>
      <c r="AC2028" s="82"/>
      <c r="AD2028" t="str">
        <f t="shared" si="71"/>
        <v/>
      </c>
      <c r="AE2028" t="str">
        <f t="shared" si="72"/>
        <v/>
      </c>
    </row>
    <row r="2029">
      <c r="D2029" s="226"/>
      <c r="H2029" s="474"/>
      <c r="I2029" s="474"/>
      <c r="J2029" s="475"/>
      <c r="K2029" s="275"/>
      <c r="L2029" s="82"/>
      <c r="M2029" s="672"/>
      <c r="N2029" s="242"/>
      <c r="O2029" s="242"/>
      <c r="P2029" s="242"/>
      <c r="Q2029" s="242"/>
      <c r="R2029" s="539"/>
      <c r="S2029" s="540"/>
      <c r="T2029" s="543"/>
      <c r="U2029" s="673" t="b">
        <v>0</v>
      </c>
      <c r="Z2029" t="b">
        <v>0</v>
      </c>
      <c r="AA2029" t="b">
        <v>0</v>
      </c>
      <c r="AC2029" s="82"/>
      <c r="AD2029" t="str">
        <f t="shared" si="71"/>
        <v/>
      </c>
      <c r="AE2029" t="str">
        <f t="shared" si="72"/>
        <v/>
      </c>
    </row>
    <row r="2030">
      <c r="D2030" s="226"/>
      <c r="H2030" s="474"/>
      <c r="I2030" s="474"/>
      <c r="J2030" s="475"/>
      <c r="K2030" s="275"/>
      <c r="L2030" s="82"/>
      <c r="M2030" s="672"/>
      <c r="N2030" s="242"/>
      <c r="O2030" s="242"/>
      <c r="P2030" s="242"/>
      <c r="Q2030" s="242"/>
      <c r="R2030" s="539"/>
      <c r="S2030" s="540"/>
      <c r="T2030" s="543"/>
      <c r="U2030" s="673" t="b">
        <v>0</v>
      </c>
      <c r="Z2030" t="b">
        <v>0</v>
      </c>
      <c r="AA2030" t="b">
        <v>0</v>
      </c>
      <c r="AC2030" s="82"/>
      <c r="AD2030" t="str">
        <f t="shared" si="71"/>
        <v/>
      </c>
      <c r="AE2030" t="str">
        <f t="shared" si="72"/>
        <v/>
      </c>
    </row>
    <row r="2031">
      <c r="D2031" s="226"/>
      <c r="H2031" s="474"/>
      <c r="I2031" s="474"/>
      <c r="J2031" s="475"/>
      <c r="K2031" s="275"/>
      <c r="L2031" s="82"/>
      <c r="M2031" s="672"/>
      <c r="N2031" s="242"/>
      <c r="O2031" s="242"/>
      <c r="P2031" s="242"/>
      <c r="Q2031" s="242"/>
      <c r="R2031" s="539"/>
      <c r="S2031" s="540"/>
      <c r="T2031" s="543"/>
      <c r="U2031" s="673" t="b">
        <v>0</v>
      </c>
      <c r="Z2031" t="b">
        <v>0</v>
      </c>
      <c r="AA2031" t="b">
        <v>0</v>
      </c>
      <c r="AC2031" s="82"/>
      <c r="AD2031" t="str">
        <f t="shared" si="71"/>
        <v/>
      </c>
      <c r="AE2031" t="str">
        <f t="shared" si="72"/>
        <v/>
      </c>
    </row>
    <row r="2032">
      <c r="D2032" s="226"/>
      <c r="H2032" s="474"/>
      <c r="I2032" s="474"/>
      <c r="J2032" s="475"/>
      <c r="K2032" s="275"/>
      <c r="L2032" s="82"/>
      <c r="M2032" s="672"/>
      <c r="N2032" s="242"/>
      <c r="O2032" s="242"/>
      <c r="P2032" s="242"/>
      <c r="Q2032" s="242"/>
      <c r="R2032" s="539"/>
      <c r="S2032" s="540"/>
      <c r="T2032" s="543"/>
      <c r="U2032" s="673" t="b">
        <v>0</v>
      </c>
      <c r="Z2032" t="b">
        <v>0</v>
      </c>
      <c r="AA2032" t="b">
        <v>0</v>
      </c>
      <c r="AC2032" s="82"/>
      <c r="AD2032" t="str">
        <f t="shared" si="71"/>
        <v/>
      </c>
      <c r="AE2032" t="str">
        <f t="shared" si="72"/>
        <v/>
      </c>
    </row>
    <row r="2033">
      <c r="D2033" s="226"/>
      <c r="H2033" s="474"/>
      <c r="I2033" s="474"/>
      <c r="J2033" s="475"/>
      <c r="K2033" s="275"/>
      <c r="L2033" s="82"/>
      <c r="M2033" s="672"/>
      <c r="N2033" s="242"/>
      <c r="O2033" s="242"/>
      <c r="P2033" s="242"/>
      <c r="Q2033" s="242"/>
      <c r="R2033" s="539"/>
      <c r="S2033" s="540"/>
      <c r="T2033" s="543"/>
      <c r="U2033" s="673" t="b">
        <v>0</v>
      </c>
      <c r="Z2033" t="b">
        <v>0</v>
      </c>
      <c r="AA2033" t="b">
        <v>0</v>
      </c>
      <c r="AC2033" s="82"/>
      <c r="AD2033" t="str">
        <f t="shared" si="71"/>
        <v/>
      </c>
      <c r="AE2033" t="str">
        <f t="shared" si="72"/>
        <v/>
      </c>
    </row>
    <row r="2034">
      <c r="D2034" s="226"/>
      <c r="H2034" s="474"/>
      <c r="I2034" s="474"/>
      <c r="J2034" s="475"/>
      <c r="K2034" s="275"/>
      <c r="L2034" s="82"/>
      <c r="M2034" s="672"/>
      <c r="N2034" s="242"/>
      <c r="O2034" s="242"/>
      <c r="P2034" s="242"/>
      <c r="Q2034" s="242"/>
      <c r="R2034" s="539"/>
      <c r="S2034" s="540"/>
      <c r="T2034" s="543"/>
      <c r="U2034" s="673" t="b">
        <v>0</v>
      </c>
      <c r="Z2034" t="b">
        <v>0</v>
      </c>
      <c r="AA2034" t="b">
        <v>0</v>
      </c>
      <c r="AC2034" s="82"/>
      <c r="AD2034" t="str">
        <f t="shared" si="71"/>
        <v/>
      </c>
      <c r="AE2034" t="str">
        <f t="shared" si="72"/>
        <v/>
      </c>
    </row>
    <row r="2035">
      <c r="D2035" s="226"/>
      <c r="H2035" s="474"/>
      <c r="I2035" s="474"/>
      <c r="J2035" s="475"/>
      <c r="K2035" s="275"/>
      <c r="L2035" s="82"/>
      <c r="M2035" s="672"/>
      <c r="N2035" s="242"/>
      <c r="O2035" s="242"/>
      <c r="P2035" s="242"/>
      <c r="Q2035" s="242"/>
      <c r="R2035" s="539"/>
      <c r="S2035" s="540"/>
      <c r="T2035" s="543"/>
      <c r="U2035" s="673" t="b">
        <v>0</v>
      </c>
      <c r="Z2035" t="b">
        <v>0</v>
      </c>
      <c r="AA2035" t="b">
        <v>0</v>
      </c>
      <c r="AC2035" s="82"/>
      <c r="AD2035" t="str">
        <f t="shared" si="71"/>
        <v/>
      </c>
      <c r="AE2035" t="str">
        <f t="shared" si="72"/>
        <v/>
      </c>
    </row>
    <row r="2036">
      <c r="D2036" s="226"/>
      <c r="H2036" s="474"/>
      <c r="I2036" s="474"/>
      <c r="J2036" s="475"/>
      <c r="K2036" s="275"/>
      <c r="L2036" s="82"/>
      <c r="M2036" s="672"/>
      <c r="N2036" s="242"/>
      <c r="O2036" s="242"/>
      <c r="P2036" s="242"/>
      <c r="Q2036" s="242"/>
      <c r="R2036" s="539"/>
      <c r="S2036" s="540"/>
      <c r="T2036" s="543"/>
      <c r="U2036" s="673" t="b">
        <v>0</v>
      </c>
      <c r="Z2036" t="b">
        <v>0</v>
      </c>
      <c r="AA2036" t="b">
        <v>0</v>
      </c>
      <c r="AC2036" s="82"/>
      <c r="AD2036" t="str">
        <f t="shared" si="71"/>
        <v/>
      </c>
      <c r="AE2036" t="str">
        <f t="shared" si="72"/>
        <v/>
      </c>
    </row>
    <row r="2037">
      <c r="D2037" s="226"/>
      <c r="H2037" s="474"/>
      <c r="I2037" s="474"/>
      <c r="J2037" s="475"/>
      <c r="K2037" s="275"/>
      <c r="L2037" s="82"/>
      <c r="M2037" s="672"/>
      <c r="N2037" s="242"/>
      <c r="O2037" s="242"/>
      <c r="P2037" s="242"/>
      <c r="Q2037" s="242"/>
      <c r="R2037" s="539"/>
      <c r="S2037" s="540"/>
      <c r="T2037" s="543"/>
      <c r="U2037" s="673" t="b">
        <v>0</v>
      </c>
      <c r="Z2037" t="b">
        <v>0</v>
      </c>
      <c r="AA2037" t="b">
        <v>0</v>
      </c>
      <c r="AC2037" s="82"/>
      <c r="AD2037" t="str">
        <f t="shared" si="71"/>
        <v/>
      </c>
      <c r="AE2037" t="str">
        <f t="shared" si="72"/>
        <v/>
      </c>
    </row>
    <row r="2038">
      <c r="D2038" s="226"/>
      <c r="H2038" s="474"/>
      <c r="I2038" s="474"/>
      <c r="J2038" s="475"/>
      <c r="K2038" s="275"/>
      <c r="L2038" s="82"/>
      <c r="M2038" s="672"/>
      <c r="N2038" s="242"/>
      <c r="O2038" s="242"/>
      <c r="P2038" s="242"/>
      <c r="Q2038" s="242"/>
      <c r="R2038" s="539"/>
      <c r="S2038" s="540"/>
      <c r="T2038" s="543"/>
      <c r="U2038" s="673" t="b">
        <v>0</v>
      </c>
      <c r="Z2038" t="b">
        <v>0</v>
      </c>
      <c r="AA2038" t="b">
        <v>0</v>
      </c>
      <c r="AC2038" s="82"/>
      <c r="AD2038" t="str">
        <f t="shared" si="71"/>
        <v/>
      </c>
      <c r="AE2038" t="str">
        <f t="shared" si="72"/>
        <v/>
      </c>
    </row>
    <row r="2039">
      <c r="D2039" s="226"/>
      <c r="H2039" s="474"/>
      <c r="I2039" s="474"/>
      <c r="J2039" s="475"/>
      <c r="K2039" s="275"/>
      <c r="L2039" s="82"/>
      <c r="M2039" s="672"/>
      <c r="N2039" s="242"/>
      <c r="O2039" s="242"/>
      <c r="P2039" s="242"/>
      <c r="Q2039" s="242"/>
      <c r="R2039" s="539"/>
      <c r="S2039" s="540"/>
      <c r="T2039" s="543"/>
      <c r="U2039" s="673" t="b">
        <v>0</v>
      </c>
      <c r="Z2039" t="b">
        <v>0</v>
      </c>
      <c r="AA2039" t="b">
        <v>0</v>
      </c>
      <c r="AC2039" s="82"/>
      <c r="AD2039" t="str">
        <f t="shared" si="71"/>
        <v/>
      </c>
      <c r="AE2039" t="str">
        <f t="shared" si="72"/>
        <v/>
      </c>
    </row>
    <row r="2040">
      <c r="D2040" s="226"/>
      <c r="H2040" s="474"/>
      <c r="I2040" s="474"/>
      <c r="J2040" s="475"/>
      <c r="K2040" s="275"/>
      <c r="L2040" s="82"/>
      <c r="M2040" s="672"/>
      <c r="N2040" s="242"/>
      <c r="O2040" s="242"/>
      <c r="P2040" s="242"/>
      <c r="Q2040" s="242"/>
      <c r="R2040" s="539"/>
      <c r="S2040" s="540"/>
      <c r="T2040" s="543"/>
      <c r="U2040" s="673" t="b">
        <v>0</v>
      </c>
      <c r="Z2040" t="b">
        <v>0</v>
      </c>
      <c r="AA2040" t="b">
        <v>0</v>
      </c>
      <c r="AC2040" s="82"/>
      <c r="AD2040" t="str">
        <f t="shared" si="71"/>
        <v/>
      </c>
      <c r="AE2040" t="str">
        <f t="shared" si="72"/>
        <v/>
      </c>
    </row>
    <row r="2041">
      <c r="D2041" s="226"/>
      <c r="H2041" s="474"/>
      <c r="I2041" s="474"/>
      <c r="J2041" s="475"/>
      <c r="K2041" s="275"/>
      <c r="L2041" s="82"/>
      <c r="M2041" s="672"/>
      <c r="N2041" s="242"/>
      <c r="O2041" s="242"/>
      <c r="P2041" s="242"/>
      <c r="Q2041" s="242"/>
      <c r="R2041" s="539"/>
      <c r="S2041" s="540"/>
      <c r="T2041" s="543"/>
      <c r="U2041" s="673" t="b">
        <v>0</v>
      </c>
      <c r="Z2041" t="b">
        <v>0</v>
      </c>
      <c r="AA2041" t="b">
        <v>0</v>
      </c>
      <c r="AC2041" s="82"/>
      <c r="AD2041" t="str">
        <f t="shared" si="71"/>
        <v/>
      </c>
      <c r="AE2041" t="str">
        <f t="shared" si="72"/>
        <v/>
      </c>
    </row>
    <row r="2042">
      <c r="D2042" s="226"/>
      <c r="H2042" s="474"/>
      <c r="I2042" s="474"/>
      <c r="J2042" s="475"/>
      <c r="K2042" s="275"/>
      <c r="L2042" s="82"/>
      <c r="M2042" s="672"/>
      <c r="N2042" s="242"/>
      <c r="O2042" s="242"/>
      <c r="P2042" s="242"/>
      <c r="Q2042" s="242"/>
      <c r="R2042" s="539"/>
      <c r="S2042" s="540"/>
      <c r="T2042" s="543"/>
      <c r="U2042" s="673" t="b">
        <v>0</v>
      </c>
      <c r="Z2042" t="b">
        <v>0</v>
      </c>
      <c r="AA2042" t="b">
        <v>0</v>
      </c>
      <c r="AC2042" s="82"/>
      <c r="AD2042" t="str">
        <f t="shared" si="71"/>
        <v/>
      </c>
      <c r="AE2042" t="str">
        <f t="shared" si="72"/>
        <v/>
      </c>
    </row>
    <row r="2043">
      <c r="D2043" s="226"/>
      <c r="H2043" s="474"/>
      <c r="I2043" s="474"/>
      <c r="J2043" s="475"/>
      <c r="K2043" s="275"/>
      <c r="L2043" s="82"/>
      <c r="M2043" s="672"/>
      <c r="N2043" s="242"/>
      <c r="O2043" s="242"/>
      <c r="P2043" s="242"/>
      <c r="Q2043" s="242"/>
      <c r="R2043" s="539"/>
      <c r="S2043" s="540"/>
      <c r="T2043" s="543"/>
      <c r="U2043" s="673" t="b">
        <v>0</v>
      </c>
      <c r="Z2043" t="b">
        <v>0</v>
      </c>
      <c r="AA2043" t="b">
        <v>0</v>
      </c>
      <c r="AC2043" s="82"/>
      <c r="AD2043" t="str">
        <f t="shared" si="71"/>
        <v/>
      </c>
      <c r="AE2043" t="str">
        <f t="shared" si="72"/>
        <v/>
      </c>
    </row>
    <row r="2044">
      <c r="D2044" s="226"/>
      <c r="H2044" s="474"/>
      <c r="I2044" s="474"/>
      <c r="J2044" s="475"/>
      <c r="K2044" s="275"/>
      <c r="L2044" s="82"/>
      <c r="M2044" s="672"/>
      <c r="N2044" s="242"/>
      <c r="O2044" s="242"/>
      <c r="P2044" s="242"/>
      <c r="Q2044" s="242"/>
      <c r="R2044" s="539"/>
      <c r="S2044" s="540"/>
      <c r="T2044" s="543"/>
      <c r="U2044" s="673" t="b">
        <v>0</v>
      </c>
      <c r="Z2044" t="b">
        <v>0</v>
      </c>
      <c r="AA2044" t="b">
        <v>0</v>
      </c>
      <c r="AC2044" s="82"/>
      <c r="AD2044" t="str">
        <f t="shared" si="71"/>
        <v/>
      </c>
      <c r="AE2044" t="str">
        <f t="shared" si="72"/>
        <v/>
      </c>
    </row>
    <row r="2045">
      <c r="D2045" s="226"/>
      <c r="H2045" s="474"/>
      <c r="I2045" s="474"/>
      <c r="J2045" s="475"/>
      <c r="K2045" s="275"/>
      <c r="L2045" s="82"/>
      <c r="M2045" s="672"/>
      <c r="N2045" s="242"/>
      <c r="O2045" s="242"/>
      <c r="P2045" s="242"/>
      <c r="Q2045" s="242"/>
      <c r="R2045" s="539"/>
      <c r="S2045" s="540"/>
      <c r="T2045" s="543"/>
      <c r="U2045" s="673" t="b">
        <v>0</v>
      </c>
      <c r="Z2045" t="b">
        <v>0</v>
      </c>
      <c r="AA2045" t="b">
        <v>0</v>
      </c>
      <c r="AC2045" s="82"/>
      <c r="AD2045" t="str">
        <f t="shared" si="71"/>
        <v/>
      </c>
      <c r="AE2045" t="str">
        <f t="shared" si="72"/>
        <v/>
      </c>
    </row>
    <row r="2046">
      <c r="D2046" s="226"/>
      <c r="H2046" s="474"/>
      <c r="I2046" s="474"/>
      <c r="J2046" s="475"/>
      <c r="K2046" s="275"/>
      <c r="L2046" s="82"/>
      <c r="M2046" s="672"/>
      <c r="N2046" s="242"/>
      <c r="O2046" s="242"/>
      <c r="P2046" s="242"/>
      <c r="Q2046" s="242"/>
      <c r="R2046" s="539"/>
      <c r="S2046" s="540"/>
      <c r="T2046" s="543"/>
      <c r="U2046" s="673" t="b">
        <v>0</v>
      </c>
      <c r="Z2046" t="b">
        <v>0</v>
      </c>
      <c r="AA2046" t="b">
        <v>0</v>
      </c>
      <c r="AC2046" s="82"/>
      <c r="AD2046" t="str">
        <f t="shared" si="71"/>
        <v/>
      </c>
      <c r="AE2046" t="str">
        <f t="shared" si="72"/>
        <v/>
      </c>
    </row>
    <row r="2047">
      <c r="D2047" s="226"/>
      <c r="H2047" s="474"/>
      <c r="I2047" s="474"/>
      <c r="J2047" s="475"/>
      <c r="K2047" s="275"/>
      <c r="L2047" s="82"/>
      <c r="M2047" s="672"/>
      <c r="N2047" s="242"/>
      <c r="O2047" s="242"/>
      <c r="P2047" s="242"/>
      <c r="Q2047" s="242"/>
      <c r="R2047" s="539"/>
      <c r="S2047" s="540"/>
      <c r="T2047" s="543"/>
      <c r="U2047" s="673" t="b">
        <v>0</v>
      </c>
      <c r="Z2047" t="b">
        <v>0</v>
      </c>
      <c r="AA2047" t="b">
        <v>0</v>
      </c>
      <c r="AC2047" s="82"/>
      <c r="AD2047" t="str">
        <f t="shared" si="71"/>
        <v/>
      </c>
      <c r="AE2047" t="str">
        <f t="shared" si="72"/>
        <v/>
      </c>
    </row>
    <row r="2048">
      <c r="D2048" s="226"/>
      <c r="H2048" s="474"/>
      <c r="I2048" s="474"/>
      <c r="J2048" s="475"/>
      <c r="K2048" s="275"/>
      <c r="L2048" s="82"/>
      <c r="M2048" s="672"/>
      <c r="N2048" s="242"/>
      <c r="O2048" s="242"/>
      <c r="P2048" s="242"/>
      <c r="Q2048" s="242"/>
      <c r="R2048" s="539"/>
      <c r="S2048" s="540"/>
      <c r="T2048" s="543"/>
      <c r="U2048" s="673" t="b">
        <v>0</v>
      </c>
      <c r="Z2048" t="b">
        <v>0</v>
      </c>
      <c r="AA2048" t="b">
        <v>0</v>
      </c>
      <c r="AC2048" s="82"/>
      <c r="AD2048" t="str">
        <f t="shared" si="71"/>
        <v/>
      </c>
      <c r="AE2048" t="str">
        <f t="shared" si="72"/>
        <v/>
      </c>
    </row>
    <row r="2049">
      <c r="D2049" s="226"/>
      <c r="H2049" s="474"/>
      <c r="I2049" s="474"/>
      <c r="J2049" s="475"/>
      <c r="K2049" s="275"/>
      <c r="L2049" s="82"/>
      <c r="M2049" s="672"/>
      <c r="N2049" s="242"/>
      <c r="O2049" s="242"/>
      <c r="P2049" s="242"/>
      <c r="Q2049" s="242"/>
      <c r="R2049" s="539"/>
      <c r="S2049" s="540"/>
      <c r="T2049" s="543"/>
      <c r="U2049" s="673" t="b">
        <v>0</v>
      </c>
      <c r="Z2049" t="b">
        <v>0</v>
      </c>
      <c r="AA2049" t="b">
        <v>0</v>
      </c>
      <c r="AC2049" s="82"/>
      <c r="AD2049" t="str">
        <f t="shared" si="71"/>
        <v/>
      </c>
      <c r="AE2049" t="str">
        <f t="shared" si="72"/>
        <v/>
      </c>
    </row>
    <row r="2050">
      <c r="D2050" s="226"/>
      <c r="H2050" s="474"/>
      <c r="I2050" s="474"/>
      <c r="J2050" s="475"/>
      <c r="K2050" s="275"/>
      <c r="L2050" s="82"/>
      <c r="M2050" s="672"/>
      <c r="N2050" s="242"/>
      <c r="O2050" s="242"/>
      <c r="P2050" s="242"/>
      <c r="Q2050" s="242"/>
      <c r="R2050" s="539"/>
      <c r="S2050" s="540"/>
      <c r="T2050" s="543"/>
      <c r="U2050" s="673" t="b">
        <v>0</v>
      </c>
      <c r="Z2050" t="b">
        <v>0</v>
      </c>
      <c r="AA2050" t="b">
        <v>0</v>
      </c>
      <c r="AC2050" s="82"/>
      <c r="AD2050" t="str">
        <f t="shared" si="71"/>
        <v/>
      </c>
      <c r="AE2050" t="str">
        <f t="shared" si="72"/>
        <v/>
      </c>
    </row>
    <row r="2051">
      <c r="D2051" s="226"/>
      <c r="H2051" s="474"/>
      <c r="I2051" s="474"/>
      <c r="J2051" s="475"/>
      <c r="K2051" s="275"/>
      <c r="L2051" s="82"/>
      <c r="M2051" s="672"/>
      <c r="N2051" s="242"/>
      <c r="O2051" s="242"/>
      <c r="P2051" s="242"/>
      <c r="Q2051" s="242"/>
      <c r="R2051" s="539"/>
      <c r="S2051" s="540"/>
      <c r="T2051" s="543"/>
      <c r="U2051" s="673" t="b">
        <v>0</v>
      </c>
      <c r="Z2051" t="b">
        <v>0</v>
      </c>
      <c r="AA2051" t="b">
        <v>0</v>
      </c>
      <c r="AC2051" s="82"/>
      <c r="AD2051" t="str">
        <f t="shared" si="71"/>
        <v/>
      </c>
      <c r="AE2051" t="str">
        <f t="shared" si="72"/>
        <v/>
      </c>
    </row>
    <row r="2052">
      <c r="D2052" s="226"/>
      <c r="H2052" s="474"/>
      <c r="I2052" s="474"/>
      <c r="J2052" s="475"/>
      <c r="K2052" s="275"/>
      <c r="L2052" s="82"/>
      <c r="M2052" s="672"/>
      <c r="N2052" s="242"/>
      <c r="O2052" s="242"/>
      <c r="P2052" s="242"/>
      <c r="Q2052" s="242"/>
      <c r="R2052" s="539"/>
      <c r="S2052" s="540"/>
      <c r="T2052" s="543"/>
      <c r="U2052" s="673" t="b">
        <v>0</v>
      </c>
      <c r="Z2052" t="b">
        <v>0</v>
      </c>
      <c r="AA2052" t="b">
        <v>0</v>
      </c>
      <c r="AC2052" s="82"/>
      <c r="AD2052" t="str">
        <f t="shared" si="71"/>
        <v/>
      </c>
      <c r="AE2052" t="str">
        <f t="shared" si="72"/>
        <v/>
      </c>
    </row>
    <row r="2053">
      <c r="D2053" s="226"/>
      <c r="H2053" s="474"/>
      <c r="I2053" s="474"/>
      <c r="J2053" s="475"/>
      <c r="K2053" s="275"/>
      <c r="L2053" s="82"/>
      <c r="M2053" s="672"/>
      <c r="N2053" s="242"/>
      <c r="O2053" s="242"/>
      <c r="P2053" s="242"/>
      <c r="Q2053" s="242"/>
      <c r="R2053" s="539"/>
      <c r="S2053" s="540"/>
      <c r="T2053" s="543"/>
      <c r="U2053" s="673" t="b">
        <v>0</v>
      </c>
      <c r="Z2053" t="b">
        <v>0</v>
      </c>
      <c r="AA2053" t="b">
        <v>0</v>
      </c>
      <c r="AC2053" s="82"/>
      <c r="AD2053" t="str">
        <f t="shared" si="71"/>
        <v/>
      </c>
      <c r="AE2053" t="str">
        <f t="shared" si="72"/>
        <v/>
      </c>
    </row>
    <row r="2054">
      <c r="D2054" s="226"/>
      <c r="H2054" s="474"/>
      <c r="I2054" s="474"/>
      <c r="J2054" s="475"/>
      <c r="K2054" s="275"/>
      <c r="L2054" s="82"/>
      <c r="M2054" s="672"/>
      <c r="N2054" s="242"/>
      <c r="O2054" s="242"/>
      <c r="P2054" s="242"/>
      <c r="Q2054" s="242"/>
      <c r="R2054" s="539"/>
      <c r="S2054" s="540"/>
      <c r="T2054" s="543"/>
      <c r="U2054" s="673" t="b">
        <v>0</v>
      </c>
      <c r="Z2054" t="b">
        <v>0</v>
      </c>
      <c r="AA2054" t="b">
        <v>0</v>
      </c>
      <c r="AC2054" s="82"/>
      <c r="AD2054" t="str">
        <f t="shared" si="71"/>
        <v/>
      </c>
      <c r="AE2054" t="str">
        <f t="shared" si="72"/>
        <v/>
      </c>
    </row>
    <row r="2055">
      <c r="D2055" s="226"/>
      <c r="H2055" s="474"/>
      <c r="I2055" s="474"/>
      <c r="J2055" s="475"/>
      <c r="K2055" s="275"/>
      <c r="L2055" s="82"/>
      <c r="M2055" s="672"/>
      <c r="N2055" s="242"/>
      <c r="O2055" s="242"/>
      <c r="P2055" s="242"/>
      <c r="Q2055" s="242"/>
      <c r="R2055" s="539"/>
      <c r="S2055" s="540"/>
      <c r="T2055" s="543"/>
      <c r="U2055" s="673" t="b">
        <v>0</v>
      </c>
      <c r="Z2055" t="b">
        <v>0</v>
      </c>
      <c r="AA2055" t="b">
        <v>0</v>
      </c>
      <c r="AC2055" s="82"/>
      <c r="AD2055" t="str">
        <f t="shared" si="71"/>
        <v/>
      </c>
      <c r="AE2055" t="str">
        <f t="shared" si="72"/>
        <v/>
      </c>
    </row>
    <row r="2056">
      <c r="D2056" s="226"/>
      <c r="H2056" s="474"/>
      <c r="I2056" s="474"/>
      <c r="J2056" s="475"/>
      <c r="K2056" s="275"/>
      <c r="L2056" s="82"/>
      <c r="M2056" s="672"/>
      <c r="N2056" s="242"/>
      <c r="O2056" s="242"/>
      <c r="P2056" s="242"/>
      <c r="Q2056" s="242"/>
      <c r="R2056" s="539"/>
      <c r="S2056" s="540"/>
      <c r="T2056" s="543"/>
      <c r="U2056" s="673" t="b">
        <v>0</v>
      </c>
      <c r="Z2056" t="b">
        <v>0</v>
      </c>
      <c r="AA2056" t="b">
        <v>0</v>
      </c>
      <c r="AC2056" s="82"/>
      <c r="AD2056" t="str">
        <f t="shared" si="71"/>
        <v/>
      </c>
      <c r="AE2056" t="str">
        <f t="shared" si="72"/>
        <v/>
      </c>
    </row>
    <row r="2057">
      <c r="D2057" s="226"/>
      <c r="H2057" s="474"/>
      <c r="I2057" s="474"/>
      <c r="J2057" s="475"/>
      <c r="K2057" s="275"/>
      <c r="L2057" s="82"/>
      <c r="M2057" s="672"/>
      <c r="N2057" s="242"/>
      <c r="O2057" s="242"/>
      <c r="P2057" s="242"/>
      <c r="Q2057" s="242"/>
      <c r="R2057" s="539"/>
      <c r="S2057" s="540"/>
      <c r="T2057" s="543"/>
      <c r="U2057" s="673" t="b">
        <v>0</v>
      </c>
      <c r="Z2057" t="b">
        <v>0</v>
      </c>
      <c r="AA2057" t="b">
        <v>0</v>
      </c>
      <c r="AC2057" s="82"/>
      <c r="AD2057" t="str">
        <f t="shared" si="71"/>
        <v/>
      </c>
      <c r="AE2057" t="str">
        <f t="shared" si="72"/>
        <v/>
      </c>
    </row>
    <row r="2058">
      <c r="D2058" s="226"/>
      <c r="H2058" s="474"/>
      <c r="I2058" s="474"/>
      <c r="J2058" s="475"/>
      <c r="K2058" s="275"/>
      <c r="L2058" s="82"/>
      <c r="M2058" s="672"/>
      <c r="N2058" s="242"/>
      <c r="O2058" s="242"/>
      <c r="P2058" s="242"/>
      <c r="Q2058" s="242"/>
      <c r="R2058" s="539"/>
      <c r="S2058" s="540"/>
      <c r="T2058" s="543"/>
      <c r="U2058" s="673" t="b">
        <v>0</v>
      </c>
      <c r="Z2058" t="b">
        <v>0</v>
      </c>
      <c r="AA2058" t="b">
        <v>0</v>
      </c>
      <c r="AC2058" s="82"/>
      <c r="AD2058" t="str">
        <f t="shared" si="71"/>
        <v/>
      </c>
      <c r="AE2058" t="str">
        <f t="shared" si="72"/>
        <v/>
      </c>
    </row>
    <row r="2059">
      <c r="D2059" s="226"/>
      <c r="H2059" s="474"/>
      <c r="I2059" s="474"/>
      <c r="J2059" s="475"/>
      <c r="K2059" s="275"/>
      <c r="L2059" s="82"/>
      <c r="M2059" s="672"/>
      <c r="N2059" s="242"/>
      <c r="O2059" s="242"/>
      <c r="P2059" s="242"/>
      <c r="Q2059" s="242"/>
      <c r="R2059" s="539"/>
      <c r="S2059" s="540"/>
      <c r="T2059" s="543"/>
      <c r="U2059" s="673" t="b">
        <v>0</v>
      </c>
      <c r="Z2059" t="b">
        <v>0</v>
      </c>
      <c r="AA2059" t="b">
        <v>0</v>
      </c>
      <c r="AC2059" s="82"/>
      <c r="AD2059" t="str">
        <f t="shared" si="71"/>
        <v/>
      </c>
      <c r="AE2059" t="str">
        <f t="shared" si="72"/>
        <v/>
      </c>
    </row>
    <row r="2060">
      <c r="D2060" s="226"/>
      <c r="H2060" s="474"/>
      <c r="I2060" s="474"/>
      <c r="J2060" s="475"/>
      <c r="K2060" s="275"/>
      <c r="L2060" s="82"/>
      <c r="M2060" s="672"/>
      <c r="N2060" s="242"/>
      <c r="O2060" s="242"/>
      <c r="P2060" s="242"/>
      <c r="Q2060" s="242"/>
      <c r="R2060" s="539"/>
      <c r="S2060" s="540"/>
      <c r="T2060" s="543"/>
      <c r="U2060" s="673" t="b">
        <v>0</v>
      </c>
      <c r="Z2060" t="b">
        <v>0</v>
      </c>
      <c r="AA2060" t="b">
        <v>0</v>
      </c>
      <c r="AC2060" s="82"/>
      <c r="AD2060" t="str">
        <f t="shared" si="71"/>
        <v/>
      </c>
      <c r="AE2060" t="str">
        <f t="shared" si="72"/>
        <v/>
      </c>
    </row>
    <row r="2061">
      <c r="D2061" s="226"/>
      <c r="H2061" s="474"/>
      <c r="I2061" s="474"/>
      <c r="J2061" s="475"/>
      <c r="K2061" s="275"/>
      <c r="L2061" s="82"/>
      <c r="M2061" s="672"/>
      <c r="N2061" s="242"/>
      <c r="O2061" s="242"/>
      <c r="P2061" s="242"/>
      <c r="Q2061" s="242"/>
      <c r="R2061" s="539"/>
      <c r="S2061" s="540"/>
      <c r="T2061" s="543"/>
      <c r="U2061" s="673" t="b">
        <v>0</v>
      </c>
      <c r="Z2061" t="b">
        <v>0</v>
      </c>
      <c r="AA2061" t="b">
        <v>0</v>
      </c>
      <c r="AC2061" s="82"/>
      <c r="AD2061" t="str">
        <f t="shared" si="71"/>
        <v/>
      </c>
      <c r="AE2061" t="str">
        <f t="shared" si="72"/>
        <v/>
      </c>
    </row>
    <row r="2062">
      <c r="D2062" s="226"/>
      <c r="H2062" s="474"/>
      <c r="I2062" s="474"/>
      <c r="J2062" s="475"/>
      <c r="K2062" s="275"/>
      <c r="L2062" s="82"/>
      <c r="M2062" s="672"/>
      <c r="N2062" s="242"/>
      <c r="O2062" s="242"/>
      <c r="P2062" s="242"/>
      <c r="Q2062" s="242"/>
      <c r="R2062" s="539"/>
      <c r="S2062" s="540"/>
      <c r="T2062" s="543"/>
      <c r="U2062" s="673" t="b">
        <v>0</v>
      </c>
      <c r="Z2062" t="b">
        <v>0</v>
      </c>
      <c r="AA2062" t="b">
        <v>0</v>
      </c>
      <c r="AC2062" s="82"/>
      <c r="AD2062" t="str">
        <f t="shared" si="71"/>
        <v/>
      </c>
      <c r="AE2062" t="str">
        <f t="shared" si="72"/>
        <v/>
      </c>
    </row>
    <row r="2063">
      <c r="D2063" s="226"/>
      <c r="H2063" s="474"/>
      <c r="I2063" s="474"/>
      <c r="J2063" s="475"/>
      <c r="K2063" s="275"/>
      <c r="L2063" s="82"/>
      <c r="M2063" s="672"/>
      <c r="N2063" s="242"/>
      <c r="O2063" s="242"/>
      <c r="P2063" s="242"/>
      <c r="Q2063" s="242"/>
      <c r="R2063" s="539"/>
      <c r="S2063" s="540"/>
      <c r="T2063" s="543"/>
      <c r="U2063" s="673" t="b">
        <v>0</v>
      </c>
      <c r="Z2063" t="b">
        <v>0</v>
      </c>
      <c r="AA2063" t="b">
        <v>0</v>
      </c>
      <c r="AC2063" s="82"/>
      <c r="AD2063" t="str">
        <f t="shared" si="71"/>
        <v/>
      </c>
      <c r="AE2063" t="str">
        <f t="shared" si="72"/>
        <v/>
      </c>
    </row>
    <row r="2064">
      <c r="D2064" s="226"/>
      <c r="H2064" s="474"/>
      <c r="I2064" s="474"/>
      <c r="J2064" s="475"/>
      <c r="K2064" s="275"/>
      <c r="L2064" s="82"/>
      <c r="M2064" s="672"/>
      <c r="N2064" s="242"/>
      <c r="O2064" s="242"/>
      <c r="P2064" s="242"/>
      <c r="Q2064" s="242"/>
      <c r="R2064" s="539"/>
      <c r="S2064" s="540"/>
      <c r="T2064" s="543"/>
      <c r="U2064" s="673" t="b">
        <v>0</v>
      </c>
      <c r="Z2064" t="b">
        <v>0</v>
      </c>
      <c r="AA2064" t="b">
        <v>0</v>
      </c>
      <c r="AC2064" s="82"/>
      <c r="AD2064" t="str">
        <f t="shared" si="71"/>
        <v/>
      </c>
      <c r="AE2064" t="str">
        <f t="shared" si="72"/>
        <v/>
      </c>
    </row>
    <row r="2065">
      <c r="D2065" s="226"/>
      <c r="H2065" s="474"/>
      <c r="I2065" s="474"/>
      <c r="J2065" s="475"/>
      <c r="K2065" s="275"/>
      <c r="L2065" s="82"/>
      <c r="M2065" s="672"/>
      <c r="N2065" s="242"/>
      <c r="O2065" s="242"/>
      <c r="P2065" s="242"/>
      <c r="Q2065" s="242"/>
      <c r="R2065" s="539"/>
      <c r="S2065" s="540"/>
      <c r="T2065" s="543"/>
      <c r="U2065" s="673" t="b">
        <v>0</v>
      </c>
      <c r="Z2065" t="b">
        <v>0</v>
      </c>
      <c r="AA2065" t="b">
        <v>0</v>
      </c>
      <c r="AC2065" s="82"/>
      <c r="AD2065" t="str">
        <f t="shared" si="71"/>
        <v/>
      </c>
      <c r="AE2065" t="str">
        <f t="shared" si="72"/>
        <v/>
      </c>
    </row>
    <row r="2066">
      <c r="D2066" s="226"/>
      <c r="H2066" s="474"/>
      <c r="I2066" s="474"/>
      <c r="J2066" s="475"/>
      <c r="K2066" s="275"/>
      <c r="L2066" s="82"/>
      <c r="M2066" s="672"/>
      <c r="N2066" s="242"/>
      <c r="O2066" s="242"/>
      <c r="P2066" s="242"/>
      <c r="Q2066" s="242"/>
      <c r="R2066" s="539"/>
      <c r="S2066" s="540"/>
      <c r="T2066" s="543"/>
      <c r="U2066" s="673" t="b">
        <v>0</v>
      </c>
      <c r="Z2066" t="b">
        <v>0</v>
      </c>
      <c r="AA2066" t="b">
        <v>0</v>
      </c>
      <c r="AC2066" s="82"/>
      <c r="AD2066" t="str">
        <f t="shared" si="71"/>
        <v/>
      </c>
      <c r="AE2066" t="str">
        <f t="shared" si="72"/>
        <v/>
      </c>
    </row>
    <row r="2067">
      <c r="D2067" s="226"/>
      <c r="H2067" s="474"/>
      <c r="I2067" s="474"/>
      <c r="J2067" s="475"/>
      <c r="K2067" s="275"/>
      <c r="L2067" s="82"/>
      <c r="M2067" s="672"/>
      <c r="N2067" s="242"/>
      <c r="O2067" s="242"/>
      <c r="P2067" s="242"/>
      <c r="Q2067" s="242"/>
      <c r="R2067" s="539"/>
      <c r="S2067" s="540"/>
      <c r="T2067" s="543"/>
      <c r="U2067" s="673" t="b">
        <v>0</v>
      </c>
      <c r="Z2067" t="b">
        <v>0</v>
      </c>
      <c r="AA2067" t="b">
        <v>0</v>
      </c>
      <c r="AC2067" s="82"/>
      <c r="AD2067" t="str">
        <f t="shared" si="71"/>
        <v/>
      </c>
      <c r="AE2067" t="str">
        <f t="shared" si="72"/>
        <v/>
      </c>
    </row>
    <row r="2068">
      <c r="D2068" s="226"/>
      <c r="H2068" s="474"/>
      <c r="I2068" s="474"/>
      <c r="J2068" s="475"/>
      <c r="K2068" s="275"/>
      <c r="L2068" s="82"/>
      <c r="M2068" s="672"/>
      <c r="N2068" s="242"/>
      <c r="O2068" s="242"/>
      <c r="P2068" s="242"/>
      <c r="Q2068" s="242"/>
      <c r="R2068" s="539"/>
      <c r="S2068" s="540"/>
      <c r="T2068" s="543"/>
      <c r="U2068" s="673" t="b">
        <v>0</v>
      </c>
      <c r="Z2068" t="b">
        <v>0</v>
      </c>
      <c r="AA2068" t="b">
        <v>0</v>
      </c>
      <c r="AC2068" s="82"/>
      <c r="AD2068" t="str">
        <f t="shared" si="71"/>
        <v/>
      </c>
      <c r="AE2068" t="str">
        <f t="shared" si="72"/>
        <v/>
      </c>
    </row>
    <row r="2069">
      <c r="D2069" s="226"/>
      <c r="H2069" s="474"/>
      <c r="I2069" s="474"/>
      <c r="J2069" s="475"/>
      <c r="K2069" s="275"/>
      <c r="L2069" s="82"/>
      <c r="M2069" s="672"/>
      <c r="N2069" s="242"/>
      <c r="O2069" s="242"/>
      <c r="P2069" s="242"/>
      <c r="Q2069" s="242"/>
      <c r="R2069" s="539"/>
      <c r="S2069" s="540"/>
      <c r="T2069" s="543"/>
      <c r="U2069" s="673" t="b">
        <v>0</v>
      </c>
      <c r="Z2069" t="b">
        <v>0</v>
      </c>
      <c r="AA2069" t="b">
        <v>0</v>
      </c>
      <c r="AC2069" s="82"/>
      <c r="AD2069" t="str">
        <f t="shared" si="71"/>
        <v/>
      </c>
      <c r="AE2069" t="str">
        <f t="shared" si="72"/>
        <v/>
      </c>
    </row>
    <row r="2070">
      <c r="D2070" s="226"/>
      <c r="H2070" s="474"/>
      <c r="I2070" s="474"/>
      <c r="J2070" s="475"/>
      <c r="K2070" s="275"/>
      <c r="L2070" s="82"/>
      <c r="M2070" s="672"/>
      <c r="N2070" s="242"/>
      <c r="O2070" s="242"/>
      <c r="P2070" s="242"/>
      <c r="Q2070" s="242"/>
      <c r="R2070" s="539"/>
      <c r="S2070" s="540"/>
      <c r="T2070" s="543"/>
      <c r="U2070" s="673" t="b">
        <v>0</v>
      </c>
      <c r="Z2070" t="b">
        <v>0</v>
      </c>
      <c r="AA2070" t="b">
        <v>0</v>
      </c>
      <c r="AC2070" s="82"/>
      <c r="AD2070" t="str">
        <f t="shared" si="71"/>
        <v/>
      </c>
      <c r="AE2070" t="str">
        <f t="shared" si="72"/>
        <v/>
      </c>
    </row>
    <row r="2071">
      <c r="D2071" s="226"/>
      <c r="H2071" s="474"/>
      <c r="I2071" s="474"/>
      <c r="J2071" s="475"/>
      <c r="K2071" s="275"/>
      <c r="L2071" s="82"/>
      <c r="M2071" s="672"/>
      <c r="N2071" s="242"/>
      <c r="O2071" s="242"/>
      <c r="P2071" s="242"/>
      <c r="Q2071" s="242"/>
      <c r="R2071" s="539"/>
      <c r="S2071" s="540"/>
      <c r="T2071" s="543"/>
      <c r="U2071" s="673" t="b">
        <v>0</v>
      </c>
      <c r="Z2071" t="b">
        <v>0</v>
      </c>
      <c r="AA2071" t="b">
        <v>0</v>
      </c>
      <c r="AC2071" s="82"/>
      <c r="AD2071" t="str">
        <f t="shared" si="71"/>
        <v/>
      </c>
      <c r="AE2071" t="str">
        <f t="shared" si="72"/>
        <v/>
      </c>
    </row>
    <row r="2072">
      <c r="D2072" s="226"/>
      <c r="H2072" s="474"/>
      <c r="I2072" s="474"/>
      <c r="J2072" s="475"/>
      <c r="K2072" s="275"/>
      <c r="L2072" s="82"/>
      <c r="M2072" s="672"/>
      <c r="N2072" s="242"/>
      <c r="O2072" s="242"/>
      <c r="P2072" s="242"/>
      <c r="Q2072" s="242"/>
      <c r="R2072" s="539"/>
      <c r="S2072" s="540"/>
      <c r="T2072" s="543"/>
      <c r="U2072" s="673" t="b">
        <v>0</v>
      </c>
      <c r="Z2072" t="b">
        <v>0</v>
      </c>
      <c r="AA2072" t="b">
        <v>0</v>
      </c>
      <c r="AC2072" s="82"/>
      <c r="AD2072" t="str">
        <f t="shared" si="71"/>
        <v/>
      </c>
      <c r="AE2072" t="str">
        <f t="shared" si="72"/>
        <v/>
      </c>
    </row>
    <row r="2073">
      <c r="D2073" s="226"/>
      <c r="H2073" s="474"/>
      <c r="I2073" s="474"/>
      <c r="J2073" s="475"/>
      <c r="K2073" s="275"/>
      <c r="L2073" s="82"/>
      <c r="M2073" s="672"/>
      <c r="N2073" s="242"/>
      <c r="O2073" s="242"/>
      <c r="P2073" s="242"/>
      <c r="Q2073" s="242"/>
      <c r="R2073" s="539"/>
      <c r="S2073" s="540"/>
      <c r="T2073" s="543"/>
      <c r="U2073" s="673" t="b">
        <v>0</v>
      </c>
      <c r="Z2073" t="b">
        <v>0</v>
      </c>
      <c r="AA2073" t="b">
        <v>0</v>
      </c>
      <c r="AC2073" s="82"/>
      <c r="AD2073" t="str">
        <f t="shared" si="71"/>
        <v/>
      </c>
      <c r="AE2073" t="str">
        <f t="shared" si="72"/>
        <v/>
      </c>
    </row>
    <row r="2074">
      <c r="D2074" s="226"/>
      <c r="H2074" s="474"/>
      <c r="I2074" s="474"/>
      <c r="J2074" s="475"/>
      <c r="K2074" s="275"/>
      <c r="L2074" s="82"/>
      <c r="M2074" s="672"/>
      <c r="N2074" s="242"/>
      <c r="O2074" s="242"/>
      <c r="P2074" s="242"/>
      <c r="Q2074" s="242"/>
      <c r="R2074" s="539"/>
      <c r="S2074" s="540"/>
      <c r="T2074" s="543"/>
      <c r="U2074" s="673" t="b">
        <v>0</v>
      </c>
      <c r="Z2074" t="b">
        <v>0</v>
      </c>
      <c r="AA2074" t="b">
        <v>0</v>
      </c>
      <c r="AC2074" s="82"/>
      <c r="AD2074" t="str">
        <f t="shared" si="71"/>
        <v/>
      </c>
      <c r="AE2074" t="str">
        <f t="shared" si="72"/>
        <v/>
      </c>
    </row>
    <row r="2075">
      <c r="D2075" s="226"/>
      <c r="H2075" s="474"/>
      <c r="I2075" s="474"/>
      <c r="J2075" s="475"/>
      <c r="K2075" s="275"/>
      <c r="L2075" s="82"/>
      <c r="M2075" s="672"/>
      <c r="N2075" s="242"/>
      <c r="O2075" s="242"/>
      <c r="P2075" s="242"/>
      <c r="Q2075" s="242"/>
      <c r="R2075" s="539"/>
      <c r="S2075" s="540"/>
      <c r="T2075" s="543"/>
      <c r="U2075" s="673" t="b">
        <v>0</v>
      </c>
      <c r="Z2075" t="b">
        <v>0</v>
      </c>
      <c r="AA2075" t="b">
        <v>0</v>
      </c>
      <c r="AC2075" s="82"/>
      <c r="AD2075" t="str">
        <f t="shared" si="71"/>
        <v/>
      </c>
      <c r="AE2075" t="str">
        <f t="shared" si="72"/>
        <v/>
      </c>
    </row>
    <row r="2076">
      <c r="D2076" s="226"/>
      <c r="H2076" s="474"/>
      <c r="I2076" s="474"/>
      <c r="J2076" s="475"/>
      <c r="K2076" s="275"/>
      <c r="L2076" s="82"/>
      <c r="M2076" s="672"/>
      <c r="N2076" s="242"/>
      <c r="O2076" s="242"/>
      <c r="P2076" s="242"/>
      <c r="Q2076" s="242"/>
      <c r="R2076" s="539"/>
      <c r="S2076" s="540"/>
      <c r="T2076" s="543"/>
      <c r="U2076" s="673" t="b">
        <v>0</v>
      </c>
      <c r="Z2076" t="b">
        <v>0</v>
      </c>
      <c r="AA2076" t="b">
        <v>0</v>
      </c>
      <c r="AC2076" s="82"/>
      <c r="AD2076" t="str">
        <f t="shared" si="71"/>
        <v/>
      </c>
      <c r="AE2076" t="str">
        <f t="shared" si="72"/>
        <v/>
      </c>
    </row>
    <row r="2077">
      <c r="D2077" s="226"/>
      <c r="H2077" s="474"/>
      <c r="I2077" s="474"/>
      <c r="J2077" s="475"/>
      <c r="K2077" s="275"/>
      <c r="L2077" s="82"/>
      <c r="M2077" s="672"/>
      <c r="N2077" s="242"/>
      <c r="O2077" s="242"/>
      <c r="P2077" s="242"/>
      <c r="Q2077" s="242"/>
      <c r="R2077" s="539"/>
      <c r="S2077" s="540"/>
      <c r="T2077" s="543"/>
      <c r="U2077" s="673" t="b">
        <v>0</v>
      </c>
      <c r="Z2077" t="b">
        <v>0</v>
      </c>
      <c r="AA2077" t="b">
        <v>0</v>
      </c>
      <c r="AC2077" s="82"/>
      <c r="AD2077" t="str">
        <f t="shared" si="71"/>
        <v/>
      </c>
      <c r="AE2077" t="str">
        <f t="shared" si="72"/>
        <v/>
      </c>
    </row>
    <row r="2078">
      <c r="D2078" s="226"/>
      <c r="H2078" s="474"/>
      <c r="I2078" s="474"/>
      <c r="J2078" s="475"/>
      <c r="K2078" s="275"/>
      <c r="L2078" s="82"/>
      <c r="M2078" s="672"/>
      <c r="N2078" s="242"/>
      <c r="O2078" s="242"/>
      <c r="P2078" s="242"/>
      <c r="Q2078" s="242"/>
      <c r="R2078" s="539"/>
      <c r="S2078" s="540"/>
      <c r="T2078" s="543"/>
      <c r="U2078" s="673" t="b">
        <v>0</v>
      </c>
      <c r="Z2078" t="b">
        <v>0</v>
      </c>
      <c r="AA2078" t="b">
        <v>0</v>
      </c>
      <c r="AC2078" s="82"/>
      <c r="AD2078" t="str">
        <f t="shared" si="71"/>
        <v/>
      </c>
      <c r="AE2078" t="str">
        <f t="shared" si="72"/>
        <v/>
      </c>
    </row>
    <row r="2079">
      <c r="D2079" s="226"/>
      <c r="H2079" s="474"/>
      <c r="I2079" s="474"/>
      <c r="J2079" s="475"/>
      <c r="K2079" s="275"/>
      <c r="L2079" s="82"/>
      <c r="M2079" s="672"/>
      <c r="N2079" s="242"/>
      <c r="O2079" s="242"/>
      <c r="P2079" s="242"/>
      <c r="Q2079" s="242"/>
      <c r="R2079" s="539"/>
      <c r="S2079" s="540"/>
      <c r="T2079" s="543"/>
      <c r="U2079" s="673" t="b">
        <v>0</v>
      </c>
      <c r="Z2079" t="b">
        <v>0</v>
      </c>
      <c r="AA2079" t="b">
        <v>0</v>
      </c>
      <c r="AC2079" s="82"/>
      <c r="AD2079" t="str">
        <f t="shared" si="71"/>
        <v/>
      </c>
      <c r="AE2079" t="str">
        <f t="shared" si="72"/>
        <v/>
      </c>
    </row>
    <row r="2080">
      <c r="D2080" s="226"/>
      <c r="H2080" s="474"/>
      <c r="I2080" s="474"/>
      <c r="J2080" s="475"/>
      <c r="K2080" s="275"/>
      <c r="L2080" s="82"/>
      <c r="M2080" s="672"/>
      <c r="N2080" s="242"/>
      <c r="O2080" s="242"/>
      <c r="P2080" s="242"/>
      <c r="Q2080" s="242"/>
      <c r="R2080" s="539"/>
      <c r="S2080" s="540"/>
      <c r="T2080" s="543"/>
      <c r="U2080" s="673" t="b">
        <v>0</v>
      </c>
      <c r="Z2080" t="b">
        <v>0</v>
      </c>
      <c r="AA2080" t="b">
        <v>0</v>
      </c>
      <c r="AC2080" s="82"/>
      <c r="AD2080" t="str">
        <f t="shared" si="71"/>
        <v/>
      </c>
      <c r="AE2080" t="str">
        <f t="shared" si="72"/>
        <v/>
      </c>
    </row>
    <row r="2081">
      <c r="D2081" s="226"/>
      <c r="H2081" s="474"/>
      <c r="I2081" s="474"/>
      <c r="J2081" s="475"/>
      <c r="K2081" s="275"/>
      <c r="L2081" s="82"/>
      <c r="M2081" s="672"/>
      <c r="N2081" s="242"/>
      <c r="O2081" s="242"/>
      <c r="P2081" s="242"/>
      <c r="Q2081" s="242"/>
      <c r="R2081" s="539"/>
      <c r="S2081" s="540"/>
      <c r="T2081" s="543"/>
      <c r="U2081" s="673" t="b">
        <v>0</v>
      </c>
      <c r="Z2081" t="b">
        <v>0</v>
      </c>
      <c r="AA2081" t="b">
        <v>0</v>
      </c>
      <c r="AC2081" s="82"/>
      <c r="AD2081" t="str">
        <f t="shared" si="71"/>
        <v/>
      </c>
      <c r="AE2081" t="str">
        <f t="shared" si="72"/>
        <v/>
      </c>
    </row>
    <row r="2082">
      <c r="D2082" s="226"/>
      <c r="H2082" s="474"/>
      <c r="I2082" s="474"/>
      <c r="J2082" s="475"/>
      <c r="K2082" s="275"/>
      <c r="L2082" s="82"/>
      <c r="M2082" s="672"/>
      <c r="N2082" s="242"/>
      <c r="O2082" s="242"/>
      <c r="P2082" s="242"/>
      <c r="Q2082" s="242"/>
      <c r="R2082" s="539"/>
      <c r="S2082" s="540"/>
      <c r="T2082" s="543"/>
      <c r="U2082" s="673" t="b">
        <v>0</v>
      </c>
      <c r="Z2082" t="b">
        <v>0</v>
      </c>
      <c r="AA2082" t="b">
        <v>0</v>
      </c>
      <c r="AC2082" s="82"/>
      <c r="AD2082" t="str">
        <f t="shared" si="71"/>
        <v/>
      </c>
      <c r="AE2082" t="str">
        <f t="shared" si="72"/>
        <v/>
      </c>
    </row>
    <row r="2083">
      <c r="D2083" s="226"/>
      <c r="H2083" s="474"/>
      <c r="I2083" s="474"/>
      <c r="J2083" s="475"/>
      <c r="K2083" s="275"/>
      <c r="L2083" s="82"/>
      <c r="M2083" s="672"/>
      <c r="N2083" s="242"/>
      <c r="O2083" s="242"/>
      <c r="P2083" s="242"/>
      <c r="Q2083" s="242"/>
      <c r="R2083" s="539"/>
      <c r="S2083" s="540"/>
      <c r="T2083" s="543"/>
      <c r="U2083" s="673" t="b">
        <v>0</v>
      </c>
      <c r="Z2083" t="b">
        <v>0</v>
      </c>
      <c r="AA2083" t="b">
        <v>0</v>
      </c>
      <c r="AC2083" s="82"/>
      <c r="AD2083" t="str">
        <f t="shared" si="71"/>
        <v/>
      </c>
      <c r="AE2083" t="str">
        <f t="shared" si="72"/>
        <v/>
      </c>
    </row>
    <row r="2084">
      <c r="D2084" s="226"/>
      <c r="H2084" s="474"/>
      <c r="I2084" s="474"/>
      <c r="J2084" s="475"/>
      <c r="K2084" s="275"/>
      <c r="L2084" s="82"/>
      <c r="M2084" s="672"/>
      <c r="N2084" s="242"/>
      <c r="O2084" s="242"/>
      <c r="P2084" s="242"/>
      <c r="Q2084" s="242"/>
      <c r="R2084" s="539"/>
      <c r="S2084" s="540"/>
      <c r="T2084" s="543"/>
      <c r="U2084" s="673" t="b">
        <v>0</v>
      </c>
      <c r="Z2084" t="b">
        <v>0</v>
      </c>
      <c r="AA2084" t="b">
        <v>0</v>
      </c>
      <c r="AC2084" s="82"/>
      <c r="AD2084" t="str">
        <f t="shared" si="71"/>
        <v/>
      </c>
      <c r="AE2084" t="str">
        <f t="shared" si="72"/>
        <v/>
      </c>
    </row>
    <row r="2085">
      <c r="D2085" s="226"/>
      <c r="H2085" s="474"/>
      <c r="I2085" s="474"/>
      <c r="J2085" s="475"/>
      <c r="K2085" s="275"/>
      <c r="L2085" s="82"/>
      <c r="M2085" s="672"/>
      <c r="N2085" s="242"/>
      <c r="O2085" s="242"/>
      <c r="P2085" s="242"/>
      <c r="Q2085" s="242"/>
      <c r="R2085" s="539"/>
      <c r="S2085" s="540"/>
      <c r="T2085" s="543"/>
      <c r="U2085" s="673" t="b">
        <v>0</v>
      </c>
      <c r="Z2085" t="b">
        <v>0</v>
      </c>
      <c r="AA2085" t="b">
        <v>0</v>
      </c>
      <c r="AC2085" s="82"/>
      <c r="AD2085" t="str">
        <f t="shared" si="71"/>
        <v/>
      </c>
      <c r="AE2085" t="str">
        <f t="shared" si="72"/>
        <v/>
      </c>
    </row>
    <row r="2086">
      <c r="D2086" s="226"/>
      <c r="H2086" s="474"/>
      <c r="I2086" s="474"/>
      <c r="J2086" s="475"/>
      <c r="K2086" s="275"/>
      <c r="L2086" s="82"/>
      <c r="M2086" s="672"/>
      <c r="N2086" s="242"/>
      <c r="O2086" s="242"/>
      <c r="P2086" s="242"/>
      <c r="Q2086" s="242"/>
      <c r="R2086" s="539"/>
      <c r="S2086" s="540"/>
      <c r="T2086" s="543"/>
      <c r="U2086" s="673" t="b">
        <v>0</v>
      </c>
      <c r="Z2086" t="b">
        <v>0</v>
      </c>
      <c r="AA2086" t="b">
        <v>0</v>
      </c>
      <c r="AC2086" s="82"/>
      <c r="AD2086" t="str">
        <f t="shared" si="71"/>
        <v/>
      </c>
      <c r="AE2086" t="str">
        <f t="shared" si="72"/>
        <v/>
      </c>
    </row>
    <row r="2087">
      <c r="D2087" s="226"/>
      <c r="H2087" s="474"/>
      <c r="I2087" s="474"/>
      <c r="J2087" s="475"/>
      <c r="K2087" s="275"/>
      <c r="L2087" s="82"/>
      <c r="M2087" s="672"/>
      <c r="N2087" s="242"/>
      <c r="O2087" s="242"/>
      <c r="P2087" s="242"/>
      <c r="Q2087" s="242"/>
      <c r="R2087" s="539"/>
      <c r="S2087" s="540"/>
      <c r="T2087" s="543"/>
      <c r="U2087" s="673" t="b">
        <v>0</v>
      </c>
      <c r="Z2087" t="b">
        <v>0</v>
      </c>
      <c r="AA2087" t="b">
        <v>0</v>
      </c>
      <c r="AC2087" s="82"/>
      <c r="AD2087" t="str">
        <f t="shared" si="71"/>
        <v/>
      </c>
      <c r="AE2087" t="str">
        <f t="shared" si="72"/>
        <v/>
      </c>
    </row>
    <row r="2088">
      <c r="D2088" s="226"/>
      <c r="H2088" s="474"/>
      <c r="I2088" s="474"/>
      <c r="J2088" s="475"/>
      <c r="K2088" s="275"/>
      <c r="L2088" s="82"/>
      <c r="M2088" s="672"/>
      <c r="N2088" s="242"/>
      <c r="O2088" s="242"/>
      <c r="P2088" s="242"/>
      <c r="Q2088" s="242"/>
      <c r="R2088" s="539"/>
      <c r="S2088" s="540"/>
      <c r="T2088" s="543"/>
      <c r="U2088" s="673" t="b">
        <v>0</v>
      </c>
      <c r="Z2088" t="b">
        <v>0</v>
      </c>
      <c r="AA2088" t="b">
        <v>0</v>
      </c>
      <c r="AC2088" s="82"/>
      <c r="AD2088" t="str">
        <f t="shared" si="71"/>
        <v/>
      </c>
      <c r="AE2088" t="str">
        <f t="shared" si="72"/>
        <v/>
      </c>
    </row>
    <row r="2089">
      <c r="D2089" s="226"/>
      <c r="H2089" s="474"/>
      <c r="I2089" s="474"/>
      <c r="J2089" s="475"/>
      <c r="K2089" s="275"/>
      <c r="L2089" s="82"/>
      <c r="M2089" s="672"/>
      <c r="N2089" s="242"/>
      <c r="O2089" s="242"/>
      <c r="P2089" s="242"/>
      <c r="Q2089" s="242"/>
      <c r="R2089" s="539"/>
      <c r="S2089" s="540"/>
      <c r="T2089" s="543"/>
      <c r="U2089" s="673" t="b">
        <v>0</v>
      </c>
      <c r="Z2089" t="b">
        <v>0</v>
      </c>
      <c r="AA2089" t="b">
        <v>0</v>
      </c>
      <c r="AC2089" s="82"/>
      <c r="AD2089" t="str">
        <f t="shared" si="71"/>
        <v/>
      </c>
      <c r="AE2089" t="str">
        <f t="shared" si="72"/>
        <v/>
      </c>
    </row>
    <row r="2090">
      <c r="D2090" s="226"/>
      <c r="H2090" s="474"/>
      <c r="I2090" s="474"/>
      <c r="J2090" s="475"/>
      <c r="K2090" s="275"/>
      <c r="L2090" s="82"/>
      <c r="M2090" s="672"/>
      <c r="N2090" s="242"/>
      <c r="O2090" s="242"/>
      <c r="P2090" s="242"/>
      <c r="Q2090" s="242"/>
      <c r="R2090" s="539"/>
      <c r="S2090" s="540"/>
      <c r="T2090" s="543"/>
      <c r="U2090" s="673" t="b">
        <v>0</v>
      </c>
      <c r="Z2090" t="b">
        <v>0</v>
      </c>
      <c r="AA2090" t="b">
        <v>0</v>
      </c>
      <c r="AC2090" s="82"/>
      <c r="AD2090" t="str">
        <f t="shared" si="71"/>
        <v/>
      </c>
      <c r="AE2090" t="str">
        <f t="shared" si="72"/>
        <v/>
      </c>
    </row>
    <row r="2091">
      <c r="D2091" s="226"/>
      <c r="H2091" s="474"/>
      <c r="I2091" s="474"/>
      <c r="J2091" s="475"/>
      <c r="K2091" s="275"/>
      <c r="L2091" s="82"/>
      <c r="M2091" s="672"/>
      <c r="N2091" s="242"/>
      <c r="O2091" s="242"/>
      <c r="P2091" s="242"/>
      <c r="Q2091" s="242"/>
      <c r="R2091" s="539"/>
      <c r="S2091" s="540"/>
      <c r="T2091" s="543"/>
      <c r="U2091" s="673" t="b">
        <v>0</v>
      </c>
      <c r="Z2091" t="b">
        <v>0</v>
      </c>
      <c r="AA2091" t="b">
        <v>0</v>
      </c>
      <c r="AC2091" s="82"/>
      <c r="AD2091" t="str">
        <f t="shared" si="71"/>
        <v/>
      </c>
      <c r="AE2091" t="str">
        <f t="shared" si="72"/>
        <v/>
      </c>
    </row>
    <row r="2092">
      <c r="D2092" s="226"/>
      <c r="H2092" s="474"/>
      <c r="I2092" s="474"/>
      <c r="J2092" s="475"/>
      <c r="K2092" s="275"/>
      <c r="L2092" s="82"/>
      <c r="M2092" s="672"/>
      <c r="N2092" s="242"/>
      <c r="O2092" s="242"/>
      <c r="P2092" s="242"/>
      <c r="Q2092" s="242"/>
      <c r="R2092" s="539"/>
      <c r="S2092" s="540"/>
      <c r="T2092" s="543"/>
      <c r="U2092" s="673" t="b">
        <v>0</v>
      </c>
      <c r="Z2092" t="b">
        <v>0</v>
      </c>
      <c r="AA2092" t="b">
        <v>0</v>
      </c>
      <c r="AC2092" s="82"/>
      <c r="AD2092" t="str">
        <f t="shared" si="71"/>
        <v/>
      </c>
      <c r="AE2092" t="str">
        <f t="shared" si="72"/>
        <v/>
      </c>
    </row>
    <row r="2093">
      <c r="D2093" s="226"/>
      <c r="H2093" s="474"/>
      <c r="I2093" s="474"/>
      <c r="J2093" s="475"/>
      <c r="K2093" s="275"/>
      <c r="L2093" s="82"/>
      <c r="M2093" s="672"/>
      <c r="N2093" s="242"/>
      <c r="O2093" s="242"/>
      <c r="P2093" s="242"/>
      <c r="Q2093" s="242"/>
      <c r="R2093" s="539"/>
      <c r="S2093" s="540"/>
      <c r="T2093" s="543"/>
      <c r="U2093" s="673" t="b">
        <v>0</v>
      </c>
      <c r="Z2093" t="b">
        <v>0</v>
      </c>
      <c r="AA2093" t="b">
        <v>0</v>
      </c>
      <c r="AC2093" s="82"/>
      <c r="AD2093" t="str">
        <f t="shared" si="71"/>
        <v/>
      </c>
      <c r="AE2093" t="str">
        <f t="shared" si="72"/>
        <v/>
      </c>
    </row>
    <row r="2094">
      <c r="D2094" s="226"/>
      <c r="H2094" s="474"/>
      <c r="I2094" s="474"/>
      <c r="J2094" s="475"/>
      <c r="K2094" s="275"/>
      <c r="L2094" s="82"/>
      <c r="M2094" s="672"/>
      <c r="N2094" s="242"/>
      <c r="O2094" s="242"/>
      <c r="P2094" s="242"/>
      <c r="Q2094" s="242"/>
      <c r="R2094" s="539"/>
      <c r="S2094" s="540"/>
      <c r="T2094" s="543"/>
      <c r="U2094" s="673" t="b">
        <v>0</v>
      </c>
      <c r="Z2094" t="b">
        <v>0</v>
      </c>
      <c r="AA2094" t="b">
        <v>0</v>
      </c>
      <c r="AC2094" s="82"/>
      <c r="AD2094" t="str">
        <f t="shared" si="71"/>
        <v/>
      </c>
      <c r="AE2094" t="str">
        <f t="shared" si="72"/>
        <v/>
      </c>
    </row>
    <row r="2095">
      <c r="D2095" s="226"/>
      <c r="H2095" s="474"/>
      <c r="I2095" s="474"/>
      <c r="J2095" s="475"/>
      <c r="K2095" s="275"/>
      <c r="L2095" s="82"/>
      <c r="M2095" s="672"/>
      <c r="N2095" s="242"/>
      <c r="O2095" s="242"/>
      <c r="P2095" s="242"/>
      <c r="Q2095" s="242"/>
      <c r="R2095" s="539"/>
      <c r="S2095" s="540"/>
      <c r="T2095" s="543"/>
      <c r="U2095" s="673" t="b">
        <v>0</v>
      </c>
      <c r="Z2095" t="b">
        <v>0</v>
      </c>
      <c r="AA2095" t="b">
        <v>0</v>
      </c>
      <c r="AC2095" s="82"/>
      <c r="AD2095" t="str">
        <f t="shared" si="71"/>
        <v/>
      </c>
      <c r="AE2095" t="str">
        <f t="shared" si="72"/>
        <v/>
      </c>
    </row>
    <row r="2096">
      <c r="D2096" s="226"/>
      <c r="H2096" s="474"/>
      <c r="I2096" s="474"/>
      <c r="J2096" s="475"/>
      <c r="K2096" s="275"/>
      <c r="L2096" s="82"/>
      <c r="M2096" s="672"/>
      <c r="N2096" s="242"/>
      <c r="O2096" s="242"/>
      <c r="P2096" s="242"/>
      <c r="Q2096" s="242"/>
      <c r="R2096" s="539"/>
      <c r="S2096" s="540"/>
      <c r="T2096" s="543"/>
      <c r="U2096" s="673" t="b">
        <v>0</v>
      </c>
      <c r="Z2096" t="b">
        <v>0</v>
      </c>
      <c r="AA2096" t="b">
        <v>0</v>
      </c>
      <c r="AC2096" s="82"/>
      <c r="AD2096" t="str">
        <f t="shared" si="71"/>
        <v/>
      </c>
      <c r="AE2096" t="str">
        <f t="shared" si="72"/>
        <v/>
      </c>
    </row>
    <row r="2097">
      <c r="D2097" s="226"/>
      <c r="H2097" s="474"/>
      <c r="I2097" s="474"/>
      <c r="J2097" s="475"/>
      <c r="K2097" s="275"/>
      <c r="L2097" s="82"/>
      <c r="M2097" s="672"/>
      <c r="N2097" s="242"/>
      <c r="O2097" s="242"/>
      <c r="P2097" s="242"/>
      <c r="Q2097" s="242"/>
      <c r="R2097" s="539"/>
      <c r="S2097" s="540"/>
      <c r="T2097" s="543"/>
      <c r="U2097" s="673" t="b">
        <v>0</v>
      </c>
      <c r="Z2097" t="b">
        <v>0</v>
      </c>
      <c r="AA2097" t="b">
        <v>0</v>
      </c>
      <c r="AC2097" s="82"/>
      <c r="AD2097" t="str">
        <f t="shared" si="71"/>
        <v/>
      </c>
      <c r="AE2097" t="str">
        <f t="shared" si="72"/>
        <v/>
      </c>
    </row>
    <row r="2098">
      <c r="D2098" s="226"/>
      <c r="H2098" s="474"/>
      <c r="I2098" s="474"/>
      <c r="J2098" s="475"/>
      <c r="K2098" s="275"/>
      <c r="L2098" s="82"/>
      <c r="M2098" s="672"/>
      <c r="N2098" s="242"/>
      <c r="O2098" s="242"/>
      <c r="P2098" s="242"/>
      <c r="Q2098" s="242"/>
      <c r="R2098" s="539"/>
      <c r="S2098" s="540"/>
      <c r="T2098" s="543"/>
      <c r="U2098" s="673" t="b">
        <v>0</v>
      </c>
      <c r="Z2098" t="b">
        <v>0</v>
      </c>
      <c r="AA2098" t="b">
        <v>0</v>
      </c>
      <c r="AC2098" s="82"/>
      <c r="AD2098" t="str">
        <f t="shared" si="71"/>
        <v/>
      </c>
      <c r="AE2098" t="str">
        <f t="shared" si="72"/>
        <v/>
      </c>
    </row>
    <row r="2099">
      <c r="D2099" s="226"/>
      <c r="H2099" s="474"/>
      <c r="I2099" s="474"/>
      <c r="J2099" s="475"/>
      <c r="K2099" s="275"/>
      <c r="L2099" s="82"/>
      <c r="M2099" s="672"/>
      <c r="N2099" s="242"/>
      <c r="O2099" s="242"/>
      <c r="P2099" s="242"/>
      <c r="Q2099" s="242"/>
      <c r="R2099" s="539"/>
      <c r="S2099" s="540"/>
      <c r="T2099" s="543"/>
      <c r="U2099" s="673" t="b">
        <v>0</v>
      </c>
      <c r="Z2099" t="b">
        <v>0</v>
      </c>
      <c r="AA2099" t="b">
        <v>0</v>
      </c>
      <c r="AC2099" s="82"/>
      <c r="AD2099" t="str">
        <f t="shared" si="71"/>
        <v/>
      </c>
      <c r="AE2099" t="str">
        <f t="shared" si="72"/>
        <v/>
      </c>
    </row>
    <row r="2100">
      <c r="D2100" s="226"/>
      <c r="H2100" s="474"/>
      <c r="I2100" s="474"/>
      <c r="J2100" s="475"/>
      <c r="K2100" s="275"/>
      <c r="L2100" s="82"/>
      <c r="M2100" s="672"/>
      <c r="N2100" s="242"/>
      <c r="O2100" s="242"/>
      <c r="P2100" s="242"/>
      <c r="Q2100" s="242"/>
      <c r="R2100" s="539"/>
      <c r="S2100" s="540"/>
      <c r="T2100" s="543"/>
      <c r="U2100" s="673" t="b">
        <v>0</v>
      </c>
      <c r="Z2100" t="b">
        <v>0</v>
      </c>
      <c r="AA2100" t="b">
        <v>0</v>
      </c>
      <c r="AC2100" s="82"/>
      <c r="AD2100" t="str">
        <f t="shared" si="71"/>
        <v/>
      </c>
      <c r="AE2100" t="str">
        <f t="shared" si="72"/>
        <v/>
      </c>
    </row>
    <row r="2101">
      <c r="D2101" s="226"/>
      <c r="H2101" s="474"/>
      <c r="I2101" s="474"/>
      <c r="J2101" s="475"/>
      <c r="K2101" s="275"/>
      <c r="L2101" s="82"/>
      <c r="M2101" s="672"/>
      <c r="N2101" s="242"/>
      <c r="O2101" s="242"/>
      <c r="P2101" s="242"/>
      <c r="Q2101" s="242"/>
      <c r="R2101" s="539"/>
      <c r="S2101" s="540"/>
      <c r="T2101" s="543"/>
      <c r="U2101" s="673" t="b">
        <v>0</v>
      </c>
      <c r="Z2101" t="b">
        <v>0</v>
      </c>
      <c r="AA2101" t="b">
        <v>0</v>
      </c>
      <c r="AC2101" s="82"/>
      <c r="AD2101" t="str">
        <f t="shared" si="71"/>
        <v/>
      </c>
      <c r="AE2101" t="str">
        <f t="shared" si="72"/>
        <v/>
      </c>
    </row>
    <row r="2102">
      <c r="D2102" s="226"/>
      <c r="H2102" s="474"/>
      <c r="I2102" s="474"/>
      <c r="J2102" s="475"/>
      <c r="K2102" s="275"/>
      <c r="L2102" s="82"/>
      <c r="M2102" s="672"/>
      <c r="N2102" s="242"/>
      <c r="O2102" s="242"/>
      <c r="P2102" s="242"/>
      <c r="Q2102" s="242"/>
      <c r="R2102" s="539"/>
      <c r="S2102" s="540"/>
      <c r="T2102" s="543"/>
      <c r="U2102" s="673" t="b">
        <v>0</v>
      </c>
      <c r="Z2102" t="b">
        <v>0</v>
      </c>
      <c r="AA2102" t="b">
        <v>0</v>
      </c>
      <c r="AC2102" s="82"/>
      <c r="AD2102" t="str">
        <f t="shared" si="71"/>
        <v/>
      </c>
      <c r="AE2102" t="str">
        <f t="shared" si="72"/>
        <v/>
      </c>
    </row>
    <row r="2103">
      <c r="D2103" s="226"/>
      <c r="H2103" s="474"/>
      <c r="I2103" s="474"/>
      <c r="J2103" s="475"/>
      <c r="K2103" s="275"/>
      <c r="L2103" s="82"/>
      <c r="M2103" s="672"/>
      <c r="N2103" s="242"/>
      <c r="O2103" s="242"/>
      <c r="P2103" s="242"/>
      <c r="Q2103" s="242"/>
      <c r="R2103" s="539"/>
      <c r="S2103" s="540"/>
      <c r="T2103" s="543"/>
      <c r="U2103" s="673" t="b">
        <v>0</v>
      </c>
      <c r="Z2103" t="b">
        <v>0</v>
      </c>
      <c r="AA2103" t="b">
        <v>0</v>
      </c>
      <c r="AC2103" s="82"/>
      <c r="AD2103" t="str">
        <f t="shared" si="71"/>
        <v/>
      </c>
      <c r="AE2103" t="str">
        <f t="shared" si="72"/>
        <v/>
      </c>
    </row>
    <row r="2104">
      <c r="D2104" s="226"/>
      <c r="H2104" s="474"/>
      <c r="I2104" s="474"/>
      <c r="J2104" s="475"/>
      <c r="K2104" s="275"/>
      <c r="L2104" s="82"/>
      <c r="M2104" s="672"/>
      <c r="N2104" s="242"/>
      <c r="O2104" s="242"/>
      <c r="P2104" s="242"/>
      <c r="Q2104" s="242"/>
      <c r="R2104" s="539"/>
      <c r="S2104" s="540"/>
      <c r="T2104" s="543"/>
      <c r="U2104" s="673" t="b">
        <v>0</v>
      </c>
      <c r="Z2104" t="b">
        <v>0</v>
      </c>
      <c r="AA2104" t="b">
        <v>0</v>
      </c>
      <c r="AC2104" s="82"/>
      <c r="AD2104" t="str">
        <f t="shared" si="71"/>
        <v/>
      </c>
      <c r="AE2104" t="str">
        <f t="shared" si="72"/>
        <v/>
      </c>
    </row>
    <row r="2105">
      <c r="D2105" s="226"/>
      <c r="H2105" s="474"/>
      <c r="I2105" s="474"/>
      <c r="J2105" s="475"/>
      <c r="K2105" s="275"/>
      <c r="L2105" s="82"/>
      <c r="M2105" s="672"/>
      <c r="N2105" s="242"/>
      <c r="O2105" s="242"/>
      <c r="P2105" s="242"/>
      <c r="Q2105" s="242"/>
      <c r="R2105" s="539"/>
      <c r="S2105" s="540"/>
      <c r="T2105" s="543"/>
      <c r="U2105" s="673" t="b">
        <v>0</v>
      </c>
      <c r="Z2105" t="b">
        <v>0</v>
      </c>
      <c r="AA2105" t="b">
        <v>0</v>
      </c>
      <c r="AC2105" s="82"/>
      <c r="AD2105" t="str">
        <f t="shared" si="71"/>
        <v/>
      </c>
      <c r="AE2105" t="str">
        <f t="shared" si="72"/>
        <v/>
      </c>
    </row>
    <row r="2106">
      <c r="D2106" s="226"/>
      <c r="H2106" s="474"/>
      <c r="I2106" s="474"/>
      <c r="J2106" s="475"/>
      <c r="K2106" s="275"/>
      <c r="L2106" s="82"/>
      <c r="M2106" s="672"/>
      <c r="N2106" s="242"/>
      <c r="O2106" s="242"/>
      <c r="P2106" s="242"/>
      <c r="Q2106" s="242"/>
      <c r="R2106" s="539"/>
      <c r="S2106" s="540"/>
      <c r="T2106" s="543"/>
      <c r="U2106" s="673" t="b">
        <v>0</v>
      </c>
      <c r="Z2106" t="b">
        <v>0</v>
      </c>
      <c r="AA2106" t="b">
        <v>0</v>
      </c>
      <c r="AC2106" s="82"/>
      <c r="AD2106" t="str">
        <f t="shared" si="71"/>
        <v/>
      </c>
      <c r="AE2106" t="str">
        <f t="shared" si="72"/>
        <v/>
      </c>
    </row>
    <row r="2107">
      <c r="D2107" s="226"/>
      <c r="H2107" s="474"/>
      <c r="I2107" s="474"/>
      <c r="J2107" s="475"/>
      <c r="K2107" s="275"/>
      <c r="L2107" s="82"/>
      <c r="M2107" s="672"/>
      <c r="N2107" s="242"/>
      <c r="O2107" s="242"/>
      <c r="P2107" s="242"/>
      <c r="Q2107" s="242"/>
      <c r="R2107" s="539"/>
      <c r="S2107" s="540"/>
      <c r="T2107" s="543"/>
      <c r="U2107" s="673" t="b">
        <v>0</v>
      </c>
      <c r="Z2107" t="b">
        <v>0</v>
      </c>
      <c r="AA2107" t="b">
        <v>0</v>
      </c>
      <c r="AC2107" s="82"/>
      <c r="AD2107" t="str">
        <f t="shared" si="71"/>
        <v/>
      </c>
      <c r="AE2107" t="str">
        <f t="shared" si="72"/>
        <v/>
      </c>
    </row>
    <row r="2108">
      <c r="D2108" s="226"/>
      <c r="H2108" s="474"/>
      <c r="I2108" s="474"/>
      <c r="J2108" s="475"/>
      <c r="K2108" s="275"/>
      <c r="L2108" s="82"/>
      <c r="M2108" s="672"/>
      <c r="N2108" s="242"/>
      <c r="O2108" s="242"/>
      <c r="P2108" s="242"/>
      <c r="Q2108" s="242"/>
      <c r="R2108" s="539"/>
      <c r="S2108" s="540"/>
      <c r="T2108" s="543"/>
      <c r="U2108" s="673" t="b">
        <v>0</v>
      </c>
      <c r="Z2108" t="b">
        <v>0</v>
      </c>
      <c r="AA2108" t="b">
        <v>0</v>
      </c>
      <c r="AC2108" s="82"/>
      <c r="AD2108" t="str">
        <f t="shared" si="71"/>
        <v/>
      </c>
      <c r="AE2108" t="str">
        <f t="shared" si="72"/>
        <v/>
      </c>
    </row>
    <row r="2109">
      <c r="D2109" s="226"/>
      <c r="H2109" s="474"/>
      <c r="I2109" s="474"/>
      <c r="J2109" s="475"/>
      <c r="K2109" s="275"/>
      <c r="L2109" s="82"/>
      <c r="M2109" s="672"/>
      <c r="N2109" s="242"/>
      <c r="O2109" s="242"/>
      <c r="P2109" s="242"/>
      <c r="Q2109" s="242"/>
      <c r="R2109" s="539"/>
      <c r="S2109" s="540"/>
      <c r="T2109" s="543"/>
      <c r="U2109" s="673" t="b">
        <v>0</v>
      </c>
      <c r="Z2109" t="b">
        <v>0</v>
      </c>
      <c r="AA2109" t="b">
        <v>0</v>
      </c>
      <c r="AC2109" s="82"/>
      <c r="AD2109" t="str">
        <f t="shared" si="71"/>
        <v/>
      </c>
      <c r="AE2109" t="str">
        <f t="shared" si="72"/>
        <v/>
      </c>
    </row>
    <row r="2110">
      <c r="D2110" s="226"/>
      <c r="H2110" s="474"/>
      <c r="I2110" s="474"/>
      <c r="J2110" s="475"/>
      <c r="K2110" s="275"/>
      <c r="L2110" s="82"/>
      <c r="M2110" s="672"/>
      <c r="N2110" s="242"/>
      <c r="O2110" s="242"/>
      <c r="P2110" s="242"/>
      <c r="Q2110" s="242"/>
      <c r="R2110" s="539"/>
      <c r="S2110" s="540"/>
      <c r="T2110" s="543"/>
      <c r="U2110" s="673" t="b">
        <v>0</v>
      </c>
      <c r="Z2110" t="b">
        <v>0</v>
      </c>
      <c r="AA2110" t="b">
        <v>0</v>
      </c>
      <c r="AC2110" s="82"/>
      <c r="AD2110" t="str">
        <f t="shared" si="71"/>
        <v/>
      </c>
      <c r="AE2110" t="str">
        <f t="shared" si="72"/>
        <v/>
      </c>
    </row>
    <row r="2111">
      <c r="D2111" s="226"/>
      <c r="H2111" s="474"/>
      <c r="I2111" s="474"/>
      <c r="J2111" s="475"/>
      <c r="K2111" s="275"/>
      <c r="L2111" s="82"/>
      <c r="M2111" s="672"/>
      <c r="N2111" s="242"/>
      <c r="O2111" s="242"/>
      <c r="P2111" s="242"/>
      <c r="Q2111" s="242"/>
      <c r="R2111" s="539"/>
      <c r="S2111" s="540"/>
      <c r="T2111" s="543"/>
      <c r="U2111" s="673" t="b">
        <v>0</v>
      </c>
      <c r="Z2111" t="b">
        <v>0</v>
      </c>
      <c r="AA2111" t="b">
        <v>0</v>
      </c>
      <c r="AC2111" s="82"/>
      <c r="AD2111" t="str">
        <f t="shared" si="71"/>
        <v/>
      </c>
      <c r="AE2111" t="str">
        <f t="shared" si="72"/>
        <v/>
      </c>
    </row>
    <row r="2112">
      <c r="D2112" s="226"/>
      <c r="H2112" s="474"/>
      <c r="I2112" s="474"/>
      <c r="J2112" s="475"/>
      <c r="K2112" s="275"/>
      <c r="L2112" s="82"/>
      <c r="M2112" s="672"/>
      <c r="N2112" s="242"/>
      <c r="O2112" s="242"/>
      <c r="P2112" s="242"/>
      <c r="Q2112" s="242"/>
      <c r="R2112" s="539"/>
      <c r="S2112" s="540"/>
      <c r="T2112" s="543"/>
      <c r="U2112" s="673" t="b">
        <v>0</v>
      </c>
      <c r="Z2112" t="b">
        <v>0</v>
      </c>
      <c r="AA2112" t="b">
        <v>0</v>
      </c>
      <c r="AC2112" s="82"/>
      <c r="AD2112" t="str">
        <f t="shared" si="71"/>
        <v/>
      </c>
      <c r="AE2112" t="str">
        <f t="shared" si="72"/>
        <v/>
      </c>
    </row>
    <row r="2113">
      <c r="D2113" s="226"/>
      <c r="H2113" s="474"/>
      <c r="I2113" s="474"/>
      <c r="J2113" s="475"/>
      <c r="K2113" s="275"/>
      <c r="L2113" s="82"/>
      <c r="M2113" s="672"/>
      <c r="N2113" s="242"/>
      <c r="O2113" s="242"/>
      <c r="P2113" s="242"/>
      <c r="Q2113" s="242"/>
      <c r="R2113" s="539"/>
      <c r="S2113" s="540"/>
      <c r="T2113" s="543"/>
      <c r="U2113" s="673" t="b">
        <v>0</v>
      </c>
      <c r="Z2113" t="b">
        <v>0</v>
      </c>
      <c r="AA2113" t="b">
        <v>0</v>
      </c>
      <c r="AC2113" s="82"/>
      <c r="AD2113" t="str">
        <f t="shared" si="71"/>
        <v/>
      </c>
      <c r="AE2113" t="str">
        <f t="shared" si="72"/>
        <v/>
      </c>
    </row>
    <row r="2114">
      <c r="D2114" s="226"/>
      <c r="H2114" s="474"/>
      <c r="I2114" s="474"/>
      <c r="J2114" s="475"/>
      <c r="K2114" s="275"/>
      <c r="L2114" s="82"/>
      <c r="M2114" s="672"/>
      <c r="N2114" s="242"/>
      <c r="O2114" s="242"/>
      <c r="P2114" s="242"/>
      <c r="Q2114" s="242"/>
      <c r="R2114" s="539"/>
      <c r="S2114" s="540"/>
      <c r="T2114" s="543"/>
      <c r="U2114" s="673" t="b">
        <v>0</v>
      </c>
      <c r="Z2114" t="b">
        <v>0</v>
      </c>
      <c r="AA2114" t="b">
        <v>0</v>
      </c>
      <c r="AC2114" s="82"/>
      <c r="AD2114" t="str">
        <f t="shared" si="71"/>
        <v/>
      </c>
      <c r="AE2114" t="str">
        <f t="shared" si="72"/>
        <v/>
      </c>
    </row>
    <row r="2115">
      <c r="D2115" s="226"/>
      <c r="H2115" s="474"/>
      <c r="I2115" s="474"/>
      <c r="J2115" s="475"/>
      <c r="K2115" s="275"/>
      <c r="L2115" s="82"/>
      <c r="M2115" s="672"/>
      <c r="N2115" s="242"/>
      <c r="O2115" s="242"/>
      <c r="P2115" s="242"/>
      <c r="Q2115" s="242"/>
      <c r="R2115" s="539"/>
      <c r="S2115" s="540"/>
      <c r="T2115" s="543"/>
      <c r="U2115" s="673" t="b">
        <v>0</v>
      </c>
      <c r="Z2115" t="b">
        <v>0</v>
      </c>
      <c r="AA2115" t="b">
        <v>0</v>
      </c>
      <c r="AC2115" s="82"/>
      <c r="AD2115" t="str">
        <f t="shared" si="71"/>
        <v/>
      </c>
      <c r="AE2115" t="str">
        <f t="shared" si="72"/>
        <v/>
      </c>
    </row>
    <row r="2116">
      <c r="D2116" s="226"/>
      <c r="H2116" s="474"/>
      <c r="I2116" s="474"/>
      <c r="J2116" s="475"/>
      <c r="K2116" s="275"/>
      <c r="L2116" s="82"/>
      <c r="M2116" s="672"/>
      <c r="N2116" s="242"/>
      <c r="O2116" s="242"/>
      <c r="P2116" s="242"/>
      <c r="Q2116" s="242"/>
      <c r="R2116" s="539"/>
      <c r="S2116" s="540"/>
      <c r="T2116" s="543"/>
      <c r="U2116" s="673" t="b">
        <v>0</v>
      </c>
      <c r="Z2116" t="b">
        <v>0</v>
      </c>
      <c r="AA2116" t="b">
        <v>0</v>
      </c>
      <c r="AC2116" s="82"/>
      <c r="AD2116" t="str">
        <f t="shared" si="71"/>
        <v/>
      </c>
      <c r="AE2116" t="str">
        <f t="shared" si="72"/>
        <v/>
      </c>
    </row>
    <row r="2117">
      <c r="D2117" s="226"/>
      <c r="H2117" s="474"/>
      <c r="I2117" s="474"/>
      <c r="J2117" s="475"/>
      <c r="K2117" s="275"/>
      <c r="L2117" s="82"/>
      <c r="M2117" s="672"/>
      <c r="N2117" s="242"/>
      <c r="O2117" s="242"/>
      <c r="P2117" s="242"/>
      <c r="Q2117" s="242"/>
      <c r="R2117" s="539"/>
      <c r="S2117" s="540"/>
      <c r="T2117" s="543"/>
      <c r="U2117" s="673" t="b">
        <v>0</v>
      </c>
      <c r="Z2117" t="b">
        <v>0</v>
      </c>
      <c r="AA2117" t="b">
        <v>0</v>
      </c>
      <c r="AC2117" s="82"/>
      <c r="AD2117" t="str">
        <f t="shared" si="71"/>
        <v/>
      </c>
      <c r="AE2117" t="str">
        <f t="shared" si="72"/>
        <v/>
      </c>
    </row>
    <row r="2118">
      <c r="D2118" s="226"/>
      <c r="H2118" s="474"/>
      <c r="I2118" s="474"/>
      <c r="J2118" s="475"/>
      <c r="K2118" s="275"/>
      <c r="L2118" s="82"/>
      <c r="M2118" s="672"/>
      <c r="N2118" s="242"/>
      <c r="O2118" s="242"/>
      <c r="P2118" s="242"/>
      <c r="Q2118" s="242"/>
      <c r="R2118" s="539"/>
      <c r="S2118" s="540"/>
      <c r="T2118" s="543"/>
      <c r="U2118" s="673" t="b">
        <v>0</v>
      </c>
      <c r="Z2118" t="b">
        <v>0</v>
      </c>
      <c r="AA2118" t="b">
        <v>0</v>
      </c>
      <c r="AC2118" s="82"/>
      <c r="AD2118" t="str">
        <f t="shared" si="71"/>
        <v/>
      </c>
      <c r="AE2118" t="str">
        <f t="shared" si="72"/>
        <v/>
      </c>
    </row>
    <row r="2119">
      <c r="D2119" s="226"/>
      <c r="H2119" s="474"/>
      <c r="I2119" s="474"/>
      <c r="J2119" s="475"/>
      <c r="K2119" s="275"/>
      <c r="L2119" s="82"/>
      <c r="M2119" s="672"/>
      <c r="N2119" s="242"/>
      <c r="O2119" s="242"/>
      <c r="P2119" s="242"/>
      <c r="Q2119" s="242"/>
      <c r="R2119" s="539"/>
      <c r="S2119" s="540"/>
      <c r="T2119" s="543"/>
      <c r="U2119" s="673" t="b">
        <v>0</v>
      </c>
      <c r="Z2119" t="b">
        <v>0</v>
      </c>
      <c r="AA2119" t="b">
        <v>0</v>
      </c>
      <c r="AC2119" s="82"/>
      <c r="AD2119" t="str">
        <f t="shared" si="71"/>
        <v/>
      </c>
      <c r="AE2119" t="str">
        <f t="shared" si="72"/>
        <v/>
      </c>
    </row>
    <row r="2120">
      <c r="D2120" s="226"/>
      <c r="H2120" s="474"/>
      <c r="I2120" s="474"/>
      <c r="J2120" s="475"/>
      <c r="K2120" s="275"/>
      <c r="L2120" s="82"/>
      <c r="M2120" s="672"/>
      <c r="N2120" s="242"/>
      <c r="O2120" s="242"/>
      <c r="P2120" s="242"/>
      <c r="Q2120" s="242"/>
      <c r="R2120" s="539"/>
      <c r="S2120" s="540"/>
      <c r="T2120" s="543"/>
      <c r="U2120" s="673" t="b">
        <v>0</v>
      </c>
      <c r="Z2120" t="b">
        <v>0</v>
      </c>
      <c r="AA2120" t="b">
        <v>0</v>
      </c>
      <c r="AC2120" s="82"/>
      <c r="AD2120" t="str">
        <f t="shared" si="71"/>
        <v/>
      </c>
      <c r="AE2120" t="str">
        <f t="shared" si="72"/>
        <v/>
      </c>
    </row>
    <row r="2121">
      <c r="D2121" s="226"/>
      <c r="H2121" s="474"/>
      <c r="I2121" s="474"/>
      <c r="J2121" s="475"/>
      <c r="K2121" s="275"/>
      <c r="L2121" s="82"/>
      <c r="M2121" s="672"/>
      <c r="N2121" s="242"/>
      <c r="O2121" s="242"/>
      <c r="P2121" s="242"/>
      <c r="Q2121" s="242"/>
      <c r="R2121" s="539"/>
      <c r="S2121" s="540"/>
      <c r="T2121" s="543"/>
      <c r="U2121" s="673" t="b">
        <v>0</v>
      </c>
      <c r="Z2121" t="b">
        <v>0</v>
      </c>
      <c r="AA2121" t="b">
        <v>0</v>
      </c>
      <c r="AC2121" s="82"/>
      <c r="AD2121" t="str">
        <f t="shared" si="71"/>
        <v/>
      </c>
      <c r="AE2121" t="str">
        <f t="shared" si="72"/>
        <v/>
      </c>
    </row>
    <row r="2122">
      <c r="D2122" s="226"/>
      <c r="H2122" s="474"/>
      <c r="I2122" s="474"/>
      <c r="J2122" s="475"/>
      <c r="K2122" s="275"/>
      <c r="L2122" s="82"/>
      <c r="M2122" s="672"/>
      <c r="N2122" s="242"/>
      <c r="O2122" s="242"/>
      <c r="P2122" s="242"/>
      <c r="Q2122" s="242"/>
      <c r="R2122" s="539"/>
      <c r="S2122" s="540"/>
      <c r="T2122" s="543"/>
      <c r="U2122" s="673" t="b">
        <v>0</v>
      </c>
      <c r="Z2122" t="b">
        <v>0</v>
      </c>
      <c r="AA2122" t="b">
        <v>0</v>
      </c>
      <c r="AC2122" s="82"/>
      <c r="AD2122" t="str">
        <f t="shared" si="71"/>
        <v/>
      </c>
      <c r="AE2122" t="str">
        <f t="shared" si="72"/>
        <v/>
      </c>
    </row>
    <row r="2123">
      <c r="D2123" s="226"/>
      <c r="H2123" s="474"/>
      <c r="I2123" s="474"/>
      <c r="J2123" s="475"/>
      <c r="K2123" s="275"/>
      <c r="L2123" s="82"/>
      <c r="M2123" s="672"/>
      <c r="N2123" s="242"/>
      <c r="O2123" s="242"/>
      <c r="P2123" s="242"/>
      <c r="Q2123" s="242"/>
      <c r="R2123" s="539"/>
      <c r="S2123" s="540"/>
      <c r="T2123" s="543"/>
      <c r="U2123" s="673" t="b">
        <v>0</v>
      </c>
      <c r="Z2123" t="b">
        <v>0</v>
      </c>
      <c r="AA2123" t="b">
        <v>0</v>
      </c>
      <c r="AC2123" s="82"/>
      <c r="AD2123" t="str">
        <f t="shared" si="71"/>
        <v/>
      </c>
      <c r="AE2123" t="str">
        <f t="shared" si="72"/>
        <v/>
      </c>
    </row>
    <row r="2124">
      <c r="D2124" s="226"/>
      <c r="H2124" s="474"/>
      <c r="I2124" s="474"/>
      <c r="J2124" s="475"/>
      <c r="K2124" s="275"/>
      <c r="L2124" s="82"/>
      <c r="M2124" s="672"/>
      <c r="N2124" s="242"/>
      <c r="O2124" s="242"/>
      <c r="P2124" s="242"/>
      <c r="Q2124" s="242"/>
      <c r="R2124" s="539"/>
      <c r="S2124" s="540"/>
      <c r="T2124" s="543"/>
      <c r="U2124" s="673" t="b">
        <v>0</v>
      </c>
      <c r="Z2124" t="b">
        <v>0</v>
      </c>
      <c r="AA2124" t="b">
        <v>0</v>
      </c>
      <c r="AC2124" s="82"/>
      <c r="AD2124" t="str">
        <f t="shared" si="71"/>
        <v/>
      </c>
      <c r="AE2124" t="str">
        <f t="shared" si="72"/>
        <v/>
      </c>
    </row>
    <row r="2125">
      <c r="D2125" s="226"/>
      <c r="H2125" s="474"/>
      <c r="I2125" s="474"/>
      <c r="J2125" s="475"/>
      <c r="K2125" s="275"/>
      <c r="L2125" s="82"/>
      <c r="M2125" s="672"/>
      <c r="N2125" s="242"/>
      <c r="O2125" s="242"/>
      <c r="P2125" s="242"/>
      <c r="Q2125" s="242"/>
      <c r="R2125" s="539"/>
      <c r="S2125" s="540"/>
      <c r="T2125" s="543"/>
      <c r="U2125" s="673" t="b">
        <v>0</v>
      </c>
      <c r="Z2125" t="b">
        <v>0</v>
      </c>
      <c r="AA2125" t="b">
        <v>0</v>
      </c>
      <c r="AC2125" s="82"/>
      <c r="AD2125" t="str">
        <f t="shared" si="71"/>
        <v/>
      </c>
      <c r="AE2125" t="str">
        <f t="shared" si="72"/>
        <v/>
      </c>
    </row>
    <row r="2126">
      <c r="D2126" s="226"/>
      <c r="H2126" s="474"/>
      <c r="I2126" s="474"/>
      <c r="J2126" s="475"/>
      <c r="K2126" s="275"/>
      <c r="L2126" s="82"/>
      <c r="M2126" s="672"/>
      <c r="N2126" s="242"/>
      <c r="O2126" s="242"/>
      <c r="P2126" s="242"/>
      <c r="Q2126" s="242"/>
      <c r="R2126" s="539"/>
      <c r="S2126" s="540"/>
      <c r="T2126" s="543"/>
      <c r="U2126" s="673" t="b">
        <v>0</v>
      </c>
      <c r="Z2126" t="b">
        <v>0</v>
      </c>
      <c r="AA2126" t="b">
        <v>0</v>
      </c>
      <c r="AC2126" s="82"/>
      <c r="AD2126" t="str">
        <f t="shared" si="71"/>
        <v/>
      </c>
      <c r="AE2126" t="str">
        <f t="shared" si="72"/>
        <v/>
      </c>
    </row>
    <row r="2127">
      <c r="D2127" s="226"/>
      <c r="H2127" s="474"/>
      <c r="I2127" s="474"/>
      <c r="J2127" s="475"/>
      <c r="K2127" s="275"/>
      <c r="L2127" s="82"/>
      <c r="M2127" s="672"/>
      <c r="N2127" s="242"/>
      <c r="O2127" s="242"/>
      <c r="P2127" s="242"/>
      <c r="Q2127" s="242"/>
      <c r="R2127" s="539"/>
      <c r="S2127" s="540"/>
      <c r="T2127" s="543"/>
      <c r="U2127" s="673" t="b">
        <v>0</v>
      </c>
      <c r="Z2127" t="b">
        <v>0</v>
      </c>
      <c r="AA2127" t="b">
        <v>0</v>
      </c>
      <c r="AC2127" s="82"/>
      <c r="AD2127" t="str">
        <f t="shared" si="71"/>
        <v/>
      </c>
      <c r="AE2127" t="str">
        <f t="shared" si="72"/>
        <v/>
      </c>
    </row>
    <row r="2128">
      <c r="D2128" s="226"/>
      <c r="H2128" s="474"/>
      <c r="I2128" s="474"/>
      <c r="J2128" s="475"/>
      <c r="K2128" s="275"/>
      <c r="L2128" s="82"/>
      <c r="M2128" s="672"/>
      <c r="N2128" s="242"/>
      <c r="O2128" s="242"/>
      <c r="P2128" s="242"/>
      <c r="Q2128" s="242"/>
      <c r="R2128" s="539"/>
      <c r="S2128" s="540"/>
      <c r="T2128" s="543"/>
      <c r="U2128" s="673" t="b">
        <v>0</v>
      </c>
      <c r="Z2128" t="b">
        <v>0</v>
      </c>
      <c r="AA2128" t="b">
        <v>0</v>
      </c>
      <c r="AC2128" s="82"/>
      <c r="AD2128" t="str">
        <f t="shared" si="71"/>
        <v/>
      </c>
      <c r="AE2128" t="str">
        <f t="shared" si="72"/>
        <v/>
      </c>
    </row>
    <row r="2129">
      <c r="D2129" s="226"/>
      <c r="H2129" s="474"/>
      <c r="I2129" s="474"/>
      <c r="J2129" s="475"/>
      <c r="K2129" s="275"/>
      <c r="L2129" s="82"/>
      <c r="M2129" s="672"/>
      <c r="N2129" s="242"/>
      <c r="O2129" s="242"/>
      <c r="P2129" s="242"/>
      <c r="Q2129" s="242"/>
      <c r="R2129" s="539"/>
      <c r="S2129" s="540"/>
      <c r="T2129" s="543"/>
      <c r="U2129" s="673" t="b">
        <v>0</v>
      </c>
      <c r="Z2129" t="b">
        <v>0</v>
      </c>
      <c r="AA2129" t="b">
        <v>0</v>
      </c>
      <c r="AC2129" s="82"/>
      <c r="AD2129" t="str">
        <f t="shared" si="71"/>
        <v/>
      </c>
      <c r="AE2129" t="str">
        <f t="shared" si="72"/>
        <v/>
      </c>
    </row>
    <row r="2130">
      <c r="D2130" s="226"/>
      <c r="H2130" s="474"/>
      <c r="I2130" s="474"/>
      <c r="J2130" s="475"/>
      <c r="K2130" s="275"/>
      <c r="L2130" s="82"/>
      <c r="M2130" s="672"/>
      <c r="N2130" s="242"/>
      <c r="O2130" s="242"/>
      <c r="P2130" s="242"/>
      <c r="Q2130" s="242"/>
      <c r="R2130" s="539"/>
      <c r="S2130" s="540"/>
      <c r="T2130" s="543"/>
      <c r="U2130" s="673" t="b">
        <v>0</v>
      </c>
      <c r="Z2130" t="b">
        <v>0</v>
      </c>
      <c r="AA2130" t="b">
        <v>0</v>
      </c>
      <c r="AC2130" s="82"/>
      <c r="AD2130" t="str">
        <f t="shared" si="71"/>
        <v/>
      </c>
      <c r="AE2130" t="str">
        <f t="shared" si="72"/>
        <v/>
      </c>
    </row>
    <row r="2131">
      <c r="D2131" s="226"/>
      <c r="H2131" s="474"/>
      <c r="I2131" s="474"/>
      <c r="J2131" s="475"/>
      <c r="K2131" s="275"/>
      <c r="L2131" s="82"/>
      <c r="M2131" s="672"/>
      <c r="N2131" s="242"/>
      <c r="O2131" s="242"/>
      <c r="P2131" s="242"/>
      <c r="Q2131" s="242"/>
      <c r="R2131" s="539"/>
      <c r="S2131" s="540"/>
      <c r="T2131" s="543"/>
      <c r="U2131" s="673" t="b">
        <v>0</v>
      </c>
      <c r="Z2131" t="b">
        <v>0</v>
      </c>
      <c r="AA2131" t="b">
        <v>0</v>
      </c>
      <c r="AC2131" s="82"/>
      <c r="AD2131" t="str">
        <f t="shared" si="71"/>
        <v/>
      </c>
      <c r="AE2131" t="str">
        <f t="shared" si="72"/>
        <v/>
      </c>
    </row>
    <row r="2132">
      <c r="D2132" s="226"/>
      <c r="H2132" s="474"/>
      <c r="I2132" s="474"/>
      <c r="J2132" s="475"/>
      <c r="K2132" s="275"/>
      <c r="L2132" s="82"/>
      <c r="M2132" s="672"/>
      <c r="N2132" s="242"/>
      <c r="O2132" s="242"/>
      <c r="P2132" s="242"/>
      <c r="Q2132" s="242"/>
      <c r="R2132" s="539"/>
      <c r="S2132" s="540"/>
      <c r="T2132" s="543"/>
      <c r="U2132" s="673" t="b">
        <v>0</v>
      </c>
      <c r="Z2132" t="b">
        <v>0</v>
      </c>
      <c r="AA2132" t="b">
        <v>0</v>
      </c>
      <c r="AC2132" s="82"/>
      <c r="AD2132" t="str">
        <f t="shared" si="71"/>
        <v/>
      </c>
      <c r="AE2132" t="str">
        <f t="shared" si="72"/>
        <v/>
      </c>
    </row>
    <row r="2133">
      <c r="D2133" s="226"/>
      <c r="H2133" s="474"/>
      <c r="I2133" s="474"/>
      <c r="J2133" s="475"/>
      <c r="K2133" s="275"/>
      <c r="L2133" s="82"/>
      <c r="M2133" s="672"/>
      <c r="N2133" s="242"/>
      <c r="O2133" s="242"/>
      <c r="P2133" s="242"/>
      <c r="Q2133" s="242"/>
      <c r="R2133" s="539"/>
      <c r="S2133" s="540"/>
      <c r="T2133" s="543"/>
      <c r="U2133" s="673" t="b">
        <v>0</v>
      </c>
      <c r="Z2133" t="b">
        <v>0</v>
      </c>
      <c r="AA2133" t="b">
        <v>0</v>
      </c>
      <c r="AC2133" s="82"/>
      <c r="AD2133" t="str">
        <f t="shared" si="71"/>
        <v/>
      </c>
      <c r="AE2133" t="str">
        <f t="shared" si="72"/>
        <v/>
      </c>
    </row>
    <row r="2134">
      <c r="D2134" s="226"/>
      <c r="H2134" s="474"/>
      <c r="I2134" s="474"/>
      <c r="J2134" s="475"/>
      <c r="K2134" s="275"/>
      <c r="L2134" s="82"/>
      <c r="M2134" s="672"/>
      <c r="N2134" s="242"/>
      <c r="O2134" s="242"/>
      <c r="P2134" s="242"/>
      <c r="Q2134" s="242"/>
      <c r="R2134" s="539"/>
      <c r="S2134" s="540"/>
      <c r="T2134" s="543"/>
      <c r="U2134" s="673" t="b">
        <v>0</v>
      </c>
      <c r="Z2134" t="b">
        <v>0</v>
      </c>
      <c r="AA2134" t="b">
        <v>0</v>
      </c>
      <c r="AC2134" s="82"/>
      <c r="AD2134" t="str">
        <f t="shared" si="71"/>
        <v/>
      </c>
      <c r="AE2134" t="str">
        <f t="shared" si="72"/>
        <v/>
      </c>
    </row>
    <row r="2135">
      <c r="D2135" s="226"/>
      <c r="H2135" s="474"/>
      <c r="I2135" s="474"/>
      <c r="J2135" s="475"/>
      <c r="K2135" s="275"/>
      <c r="L2135" s="82"/>
      <c r="M2135" s="672"/>
      <c r="N2135" s="242"/>
      <c r="O2135" s="242"/>
      <c r="P2135" s="242"/>
      <c r="Q2135" s="242"/>
      <c r="R2135" s="539"/>
      <c r="S2135" s="540"/>
      <c r="T2135" s="543"/>
      <c r="U2135" s="673" t="b">
        <v>0</v>
      </c>
      <c r="Z2135" t="b">
        <v>0</v>
      </c>
      <c r="AA2135" t="b">
        <v>0</v>
      </c>
      <c r="AC2135" s="82"/>
      <c r="AD2135" t="str">
        <f t="shared" si="71"/>
        <v/>
      </c>
      <c r="AE2135" t="str">
        <f t="shared" si="72"/>
        <v/>
      </c>
    </row>
    <row r="2136">
      <c r="D2136" s="226"/>
      <c r="H2136" s="474"/>
      <c r="I2136" s="474"/>
      <c r="J2136" s="475"/>
      <c r="K2136" s="275"/>
      <c r="L2136" s="82"/>
      <c r="M2136" s="672"/>
      <c r="N2136" s="242"/>
      <c r="O2136" s="242"/>
      <c r="P2136" s="242"/>
      <c r="Q2136" s="242"/>
      <c r="R2136" s="539"/>
      <c r="S2136" s="540"/>
      <c r="T2136" s="543"/>
      <c r="U2136" s="673" t="b">
        <v>0</v>
      </c>
      <c r="Z2136" t="b">
        <v>0</v>
      </c>
      <c r="AA2136" t="b">
        <v>0</v>
      </c>
      <c r="AC2136" s="82"/>
      <c r="AD2136" t="str">
        <f t="shared" si="71"/>
        <v/>
      </c>
      <c r="AE2136" t="str">
        <f t="shared" si="72"/>
        <v/>
      </c>
    </row>
    <row r="2137">
      <c r="D2137" s="226"/>
      <c r="H2137" s="474"/>
      <c r="I2137" s="474"/>
      <c r="J2137" s="475"/>
      <c r="K2137" s="275"/>
      <c r="L2137" s="82"/>
      <c r="M2137" s="672"/>
      <c r="N2137" s="242"/>
      <c r="O2137" s="242"/>
      <c r="P2137" s="242"/>
      <c r="Q2137" s="242"/>
      <c r="R2137" s="539"/>
      <c r="S2137" s="540"/>
      <c r="T2137" s="543"/>
      <c r="U2137" s="673" t="b">
        <v>0</v>
      </c>
      <c r="Z2137" t="b">
        <v>0</v>
      </c>
      <c r="AA2137" t="b">
        <v>0</v>
      </c>
      <c r="AC2137" s="82"/>
      <c r="AD2137" t="str">
        <f t="shared" si="71"/>
        <v/>
      </c>
      <c r="AE2137" t="str">
        <f t="shared" si="72"/>
        <v/>
      </c>
    </row>
    <row r="2138">
      <c r="D2138" s="226"/>
      <c r="H2138" s="474"/>
      <c r="I2138" s="474"/>
      <c r="J2138" s="475"/>
      <c r="K2138" s="275"/>
      <c r="L2138" s="82"/>
      <c r="M2138" s="672"/>
      <c r="N2138" s="242"/>
      <c r="O2138" s="242"/>
      <c r="P2138" s="242"/>
      <c r="Q2138" s="242"/>
      <c r="R2138" s="539"/>
      <c r="S2138" s="540"/>
      <c r="T2138" s="543"/>
      <c r="U2138" s="673" t="b">
        <v>0</v>
      </c>
      <c r="Z2138" t="b">
        <v>0</v>
      </c>
      <c r="AA2138" t="b">
        <v>0</v>
      </c>
      <c r="AC2138" s="82"/>
      <c r="AD2138" t="str">
        <f t="shared" si="71"/>
        <v/>
      </c>
      <c r="AE2138" t="str">
        <f t="shared" si="72"/>
        <v/>
      </c>
    </row>
    <row r="2139">
      <c r="D2139" s="226"/>
      <c r="H2139" s="474"/>
      <c r="I2139" s="474"/>
      <c r="J2139" s="475"/>
      <c r="K2139" s="275"/>
      <c r="L2139" s="82"/>
      <c r="M2139" s="672"/>
      <c r="N2139" s="242"/>
      <c r="O2139" s="242"/>
      <c r="P2139" s="242"/>
      <c r="Q2139" s="242"/>
      <c r="R2139" s="539"/>
      <c r="S2139" s="540"/>
      <c r="T2139" s="543"/>
      <c r="U2139" s="673" t="b">
        <v>0</v>
      </c>
      <c r="Z2139" t="b">
        <v>0</v>
      </c>
      <c r="AA2139" t="b">
        <v>0</v>
      </c>
      <c r="AC2139" s="82"/>
      <c r="AD2139" t="str">
        <f t="shared" si="71"/>
        <v/>
      </c>
      <c r="AE2139" t="str">
        <f t="shared" si="72"/>
        <v/>
      </c>
    </row>
    <row r="2140">
      <c r="D2140" s="226"/>
      <c r="H2140" s="474"/>
      <c r="I2140" s="474"/>
      <c r="J2140" s="475"/>
      <c r="K2140" s="275"/>
      <c r="L2140" s="82"/>
      <c r="M2140" s="672"/>
      <c r="N2140" s="242"/>
      <c r="O2140" s="242"/>
      <c r="P2140" s="242"/>
      <c r="Q2140" s="242"/>
      <c r="R2140" s="539"/>
      <c r="S2140" s="540"/>
      <c r="T2140" s="543"/>
      <c r="U2140" s="673" t="b">
        <v>0</v>
      </c>
      <c r="Z2140" t="b">
        <v>0</v>
      </c>
      <c r="AA2140" t="b">
        <v>0</v>
      </c>
      <c r="AC2140" s="82"/>
      <c r="AD2140" t="str">
        <f t="shared" si="71"/>
        <v/>
      </c>
      <c r="AE2140" t="str">
        <f t="shared" si="72"/>
        <v/>
      </c>
    </row>
    <row r="2141">
      <c r="D2141" s="226"/>
      <c r="H2141" s="474"/>
      <c r="I2141" s="474"/>
      <c r="J2141" s="475"/>
      <c r="K2141" s="275"/>
      <c r="L2141" s="82"/>
      <c r="M2141" s="672"/>
      <c r="N2141" s="242"/>
      <c r="O2141" s="242"/>
      <c r="P2141" s="242"/>
      <c r="Q2141" s="242"/>
      <c r="R2141" s="539"/>
      <c r="S2141" s="540"/>
      <c r="T2141" s="543"/>
      <c r="U2141" s="673" t="b">
        <v>0</v>
      </c>
      <c r="Z2141" t="b">
        <v>0</v>
      </c>
      <c r="AA2141" t="b">
        <v>0</v>
      </c>
      <c r="AC2141" s="82"/>
      <c r="AD2141" t="str">
        <f t="shared" si="71"/>
        <v/>
      </c>
      <c r="AE2141" t="str">
        <f t="shared" si="72"/>
        <v/>
      </c>
    </row>
    <row r="2142">
      <c r="D2142" s="226"/>
      <c r="H2142" s="474"/>
      <c r="I2142" s="474"/>
      <c r="J2142" s="475"/>
      <c r="K2142" s="275"/>
      <c r="L2142" s="82"/>
      <c r="M2142" s="672"/>
      <c r="N2142" s="242"/>
      <c r="O2142" s="242"/>
      <c r="P2142" s="242"/>
      <c r="Q2142" s="242"/>
      <c r="R2142" s="539"/>
      <c r="S2142" s="540"/>
      <c r="T2142" s="543"/>
      <c r="U2142" s="673" t="b">
        <v>0</v>
      </c>
      <c r="Z2142" t="b">
        <v>0</v>
      </c>
      <c r="AA2142" t="b">
        <v>0</v>
      </c>
      <c r="AC2142" s="82"/>
      <c r="AD2142" t="str">
        <f t="shared" si="71"/>
        <v/>
      </c>
      <c r="AE2142" t="str">
        <f t="shared" si="72"/>
        <v/>
      </c>
    </row>
    <row r="2143">
      <c r="D2143" s="226"/>
      <c r="H2143" s="474"/>
      <c r="I2143" s="474"/>
      <c r="J2143" s="475"/>
      <c r="K2143" s="275"/>
      <c r="L2143" s="82"/>
      <c r="M2143" s="672"/>
      <c r="N2143" s="242"/>
      <c r="O2143" s="242"/>
      <c r="P2143" s="242"/>
      <c r="Q2143" s="242"/>
      <c r="R2143" s="539"/>
      <c r="S2143" s="540"/>
      <c r="T2143" s="543"/>
      <c r="U2143" s="673" t="b">
        <v>0</v>
      </c>
      <c r="Z2143" t="b">
        <v>0</v>
      </c>
      <c r="AA2143" t="b">
        <v>0</v>
      </c>
      <c r="AC2143" s="82"/>
      <c r="AD2143" t="str">
        <f t="shared" si="71"/>
        <v/>
      </c>
      <c r="AE2143" t="str">
        <f t="shared" si="72"/>
        <v/>
      </c>
    </row>
    <row r="2144">
      <c r="D2144" s="226"/>
      <c r="H2144" s="474"/>
      <c r="I2144" s="474"/>
      <c r="J2144" s="475"/>
      <c r="K2144" s="275"/>
      <c r="L2144" s="82"/>
      <c r="M2144" s="672"/>
      <c r="N2144" s="242"/>
      <c r="O2144" s="242"/>
      <c r="P2144" s="242"/>
      <c r="Q2144" s="242"/>
      <c r="R2144" s="539"/>
      <c r="S2144" s="540"/>
      <c r="T2144" s="543"/>
      <c r="U2144" s="673" t="b">
        <v>0</v>
      </c>
      <c r="Z2144" t="b">
        <v>0</v>
      </c>
      <c r="AA2144" t="b">
        <v>0</v>
      </c>
      <c r="AC2144" s="82"/>
      <c r="AD2144" t="str">
        <f t="shared" si="71"/>
        <v/>
      </c>
      <c r="AE2144" t="str">
        <f t="shared" si="72"/>
        <v/>
      </c>
    </row>
    <row r="2145">
      <c r="D2145" s="226"/>
      <c r="H2145" s="474"/>
      <c r="I2145" s="474"/>
      <c r="J2145" s="475"/>
      <c r="K2145" s="275"/>
      <c r="L2145" s="82"/>
      <c r="M2145" s="672"/>
      <c r="N2145" s="242"/>
      <c r="O2145" s="242"/>
      <c r="P2145" s="242"/>
      <c r="Q2145" s="242"/>
      <c r="R2145" s="539"/>
      <c r="S2145" s="540"/>
      <c r="T2145" s="543"/>
      <c r="U2145" s="673" t="b">
        <v>0</v>
      </c>
      <c r="Z2145" t="b">
        <v>0</v>
      </c>
      <c r="AA2145" t="b">
        <v>0</v>
      </c>
      <c r="AC2145" s="82"/>
      <c r="AD2145" t="str">
        <f t="shared" si="71"/>
        <v/>
      </c>
      <c r="AE2145" t="str">
        <f t="shared" si="72"/>
        <v/>
      </c>
    </row>
    <row r="2146">
      <c r="D2146" s="226"/>
      <c r="H2146" s="474"/>
      <c r="I2146" s="474"/>
      <c r="J2146" s="475"/>
      <c r="K2146" s="275"/>
      <c r="L2146" s="82"/>
      <c r="M2146" s="672"/>
      <c r="N2146" s="242"/>
      <c r="O2146" s="242"/>
      <c r="P2146" s="242"/>
      <c r="Q2146" s="242"/>
      <c r="R2146" s="539"/>
      <c r="S2146" s="540"/>
      <c r="T2146" s="543"/>
      <c r="U2146" s="673" t="b">
        <v>0</v>
      </c>
      <c r="Z2146" t="b">
        <v>0</v>
      </c>
      <c r="AA2146" t="b">
        <v>0</v>
      </c>
      <c r="AC2146" s="82"/>
      <c r="AD2146" t="str">
        <f t="shared" si="71"/>
        <v/>
      </c>
      <c r="AE2146" t="str">
        <f t="shared" si="72"/>
        <v/>
      </c>
    </row>
    <row r="2147">
      <c r="D2147" s="226"/>
      <c r="H2147" s="474"/>
      <c r="I2147" s="474"/>
      <c r="J2147" s="475"/>
      <c r="K2147" s="275"/>
      <c r="L2147" s="82"/>
      <c r="M2147" s="672"/>
      <c r="N2147" s="242"/>
      <c r="O2147" s="242"/>
      <c r="P2147" s="242"/>
      <c r="Q2147" s="242"/>
      <c r="R2147" s="539"/>
      <c r="S2147" s="540"/>
      <c r="T2147" s="543"/>
      <c r="U2147" s="673" t="b">
        <v>0</v>
      </c>
      <c r="Z2147" t="b">
        <v>0</v>
      </c>
      <c r="AA2147" t="b">
        <v>0</v>
      </c>
      <c r="AC2147" s="82"/>
      <c r="AD2147" t="str">
        <f t="shared" si="71"/>
        <v/>
      </c>
      <c r="AE2147" t="str">
        <f t="shared" si="72"/>
        <v/>
      </c>
    </row>
    <row r="2148">
      <c r="D2148" s="226"/>
      <c r="H2148" s="474"/>
      <c r="I2148" s="474"/>
      <c r="J2148" s="475"/>
      <c r="K2148" s="275"/>
      <c r="L2148" s="82"/>
      <c r="M2148" s="672"/>
      <c r="N2148" s="242"/>
      <c r="O2148" s="242"/>
      <c r="P2148" s="242"/>
      <c r="Q2148" s="242"/>
      <c r="R2148" s="539"/>
      <c r="S2148" s="540"/>
      <c r="T2148" s="543"/>
      <c r="U2148" s="673" t="b">
        <v>0</v>
      </c>
      <c r="Z2148" t="b">
        <v>0</v>
      </c>
      <c r="AA2148" t="b">
        <v>0</v>
      </c>
      <c r="AC2148" s="82"/>
      <c r="AD2148" t="str">
        <f t="shared" si="71"/>
        <v/>
      </c>
      <c r="AE2148" t="str">
        <f t="shared" si="72"/>
        <v/>
      </c>
    </row>
    <row r="2149">
      <c r="D2149" s="226"/>
      <c r="H2149" s="474"/>
      <c r="I2149" s="474"/>
      <c r="J2149" s="475"/>
      <c r="K2149" s="275"/>
      <c r="L2149" s="82"/>
      <c r="M2149" s="672"/>
      <c r="N2149" s="242"/>
      <c r="O2149" s="242"/>
      <c r="P2149" s="242"/>
      <c r="Q2149" s="242"/>
      <c r="R2149" s="539"/>
      <c r="S2149" s="540"/>
      <c r="T2149" s="543"/>
      <c r="U2149" s="673" t="b">
        <v>0</v>
      </c>
      <c r="Z2149" t="b">
        <v>0</v>
      </c>
      <c r="AA2149" t="b">
        <v>0</v>
      </c>
      <c r="AC2149" s="82"/>
      <c r="AD2149" t="str">
        <f t="shared" si="71"/>
        <v/>
      </c>
      <c r="AE2149" t="str">
        <f t="shared" si="72"/>
        <v/>
      </c>
    </row>
    <row r="2150">
      <c r="D2150" s="226"/>
      <c r="H2150" s="474"/>
      <c r="I2150" s="474"/>
      <c r="J2150" s="475"/>
      <c r="K2150" s="275"/>
      <c r="L2150" s="82"/>
      <c r="M2150" s="672"/>
      <c r="N2150" s="242"/>
      <c r="O2150" s="242"/>
      <c r="P2150" s="242"/>
      <c r="Q2150" s="242"/>
      <c r="R2150" s="539"/>
      <c r="S2150" s="540"/>
      <c r="T2150" s="543"/>
      <c r="U2150" s="673" t="b">
        <v>0</v>
      </c>
      <c r="Z2150" t="b">
        <v>0</v>
      </c>
      <c r="AA2150" t="b">
        <v>0</v>
      </c>
      <c r="AC2150" s="82"/>
      <c r="AD2150" t="str">
        <f t="shared" si="71"/>
        <v/>
      </c>
      <c r="AE2150" t="str">
        <f t="shared" si="72"/>
        <v/>
      </c>
    </row>
    <row r="2151">
      <c r="D2151" s="226"/>
      <c r="H2151" s="474"/>
      <c r="I2151" s="474"/>
      <c r="J2151" s="475"/>
      <c r="K2151" s="275"/>
      <c r="L2151" s="82"/>
      <c r="M2151" s="672"/>
      <c r="N2151" s="242"/>
      <c r="O2151" s="242"/>
      <c r="P2151" s="242"/>
      <c r="Q2151" s="242"/>
      <c r="R2151" s="539"/>
      <c r="S2151" s="540"/>
      <c r="T2151" s="543"/>
      <c r="U2151" s="673" t="b">
        <v>0</v>
      </c>
      <c r="Z2151" t="b">
        <v>0</v>
      </c>
      <c r="AA2151" t="b">
        <v>0</v>
      </c>
      <c r="AC2151" s="82"/>
      <c r="AD2151" t="str">
        <f t="shared" si="71"/>
        <v/>
      </c>
      <c r="AE2151" t="str">
        <f t="shared" si="72"/>
        <v/>
      </c>
    </row>
    <row r="2152">
      <c r="D2152" s="226"/>
      <c r="H2152" s="474"/>
      <c r="I2152" s="474"/>
      <c r="J2152" s="475"/>
      <c r="K2152" s="275"/>
      <c r="L2152" s="82"/>
      <c r="M2152" s="672"/>
      <c r="N2152" s="242"/>
      <c r="O2152" s="242"/>
      <c r="P2152" s="242"/>
      <c r="Q2152" s="242"/>
      <c r="R2152" s="539"/>
      <c r="S2152" s="540"/>
      <c r="T2152" s="543"/>
      <c r="U2152" s="673" t="b">
        <v>0</v>
      </c>
      <c r="Z2152" t="b">
        <v>0</v>
      </c>
      <c r="AA2152" t="b">
        <v>0</v>
      </c>
      <c r="AC2152" s="82"/>
      <c r="AD2152" t="str">
        <f t="shared" si="71"/>
        <v/>
      </c>
      <c r="AE2152" t="str">
        <f t="shared" si="72"/>
        <v/>
      </c>
    </row>
    <row r="2153">
      <c r="D2153" s="226"/>
      <c r="H2153" s="474"/>
      <c r="I2153" s="474"/>
      <c r="J2153" s="475"/>
      <c r="K2153" s="275"/>
      <c r="L2153" s="82"/>
      <c r="M2153" s="672"/>
      <c r="N2153" s="242"/>
      <c r="O2153" s="242"/>
      <c r="P2153" s="242"/>
      <c r="Q2153" s="242"/>
      <c r="R2153" s="539"/>
      <c r="S2153" s="540"/>
      <c r="T2153" s="543"/>
      <c r="U2153" s="673" t="b">
        <v>0</v>
      </c>
      <c r="Z2153" t="b">
        <v>0</v>
      </c>
      <c r="AA2153" t="b">
        <v>0</v>
      </c>
      <c r="AC2153" s="82"/>
      <c r="AD2153" t="str">
        <f t="shared" si="71"/>
        <v/>
      </c>
      <c r="AE2153" t="str">
        <f t="shared" si="72"/>
        <v/>
      </c>
    </row>
    <row r="2154">
      <c r="D2154" s="226"/>
      <c r="H2154" s="474"/>
      <c r="I2154" s="474"/>
      <c r="J2154" s="475"/>
      <c r="K2154" s="275"/>
      <c r="L2154" s="82"/>
      <c r="M2154" s="672"/>
      <c r="N2154" s="242"/>
      <c r="O2154" s="242"/>
      <c r="P2154" s="242"/>
      <c r="Q2154" s="242"/>
      <c r="R2154" s="539"/>
      <c r="S2154" s="540"/>
      <c r="T2154" s="543"/>
      <c r="U2154" s="673" t="b">
        <v>0</v>
      </c>
      <c r="Z2154" t="b">
        <v>0</v>
      </c>
      <c r="AA2154" t="b">
        <v>0</v>
      </c>
      <c r="AC2154" s="82"/>
      <c r="AD2154" t="str">
        <f t="shared" si="71"/>
        <v/>
      </c>
      <c r="AE2154" t="str">
        <f t="shared" si="72"/>
        <v/>
      </c>
    </row>
    <row r="2155">
      <c r="D2155" s="226"/>
      <c r="H2155" s="474"/>
      <c r="I2155" s="474"/>
      <c r="J2155" s="475"/>
      <c r="K2155" s="275"/>
      <c r="L2155" s="82"/>
      <c r="M2155" s="672"/>
      <c r="N2155" s="242"/>
      <c r="O2155" s="242"/>
      <c r="P2155" s="242"/>
      <c r="Q2155" s="242"/>
      <c r="R2155" s="539"/>
      <c r="S2155" s="540"/>
      <c r="T2155" s="543"/>
      <c r="U2155" s="673" t="b">
        <v>0</v>
      </c>
      <c r="Z2155" t="b">
        <v>0</v>
      </c>
      <c r="AA2155" t="b">
        <v>0</v>
      </c>
      <c r="AC2155" s="82"/>
      <c r="AD2155" t="str">
        <f t="shared" si="71"/>
        <v/>
      </c>
      <c r="AE2155" t="str">
        <f t="shared" si="72"/>
        <v/>
      </c>
    </row>
    <row r="2156">
      <c r="D2156" s="226"/>
      <c r="H2156" s="474"/>
      <c r="I2156" s="474"/>
      <c r="J2156" s="475"/>
      <c r="K2156" s="275"/>
      <c r="L2156" s="82"/>
      <c r="M2156" s="672"/>
      <c r="N2156" s="242"/>
      <c r="O2156" s="242"/>
      <c r="P2156" s="242"/>
      <c r="Q2156" s="242"/>
      <c r="R2156" s="539"/>
      <c r="S2156" s="540"/>
      <c r="T2156" s="543"/>
      <c r="U2156" s="673" t="b">
        <v>0</v>
      </c>
      <c r="Z2156" t="b">
        <v>0</v>
      </c>
      <c r="AA2156" t="b">
        <v>0</v>
      </c>
      <c r="AC2156" s="82"/>
      <c r="AD2156" t="str">
        <f t="shared" si="71"/>
        <v/>
      </c>
      <c r="AE2156" t="str">
        <f t="shared" si="72"/>
        <v/>
      </c>
    </row>
    <row r="2157">
      <c r="D2157" s="226"/>
      <c r="H2157" s="474"/>
      <c r="I2157" s="474"/>
      <c r="J2157" s="475"/>
      <c r="K2157" s="275"/>
      <c r="L2157" s="82"/>
      <c r="M2157" s="672"/>
      <c r="N2157" s="242"/>
      <c r="O2157" s="242"/>
      <c r="P2157" s="242"/>
      <c r="Q2157" s="242"/>
      <c r="R2157" s="539"/>
      <c r="S2157" s="540"/>
      <c r="T2157" s="543"/>
      <c r="U2157" s="673" t="b">
        <v>0</v>
      </c>
      <c r="Z2157" t="b">
        <v>0</v>
      </c>
      <c r="AA2157" t="b">
        <v>0</v>
      </c>
      <c r="AC2157" s="82"/>
      <c r="AD2157" t="str">
        <f t="shared" si="71"/>
        <v/>
      </c>
      <c r="AE2157" t="str">
        <f t="shared" si="72"/>
        <v/>
      </c>
    </row>
    <row r="2158">
      <c r="D2158" s="226"/>
      <c r="H2158" s="474"/>
      <c r="I2158" s="474"/>
      <c r="J2158" s="475"/>
      <c r="K2158" s="275"/>
      <c r="L2158" s="82"/>
      <c r="M2158" s="672"/>
      <c r="N2158" s="242"/>
      <c r="O2158" s="242"/>
      <c r="P2158" s="242"/>
      <c r="Q2158" s="242"/>
      <c r="R2158" s="539"/>
      <c r="S2158" s="540"/>
      <c r="T2158" s="543"/>
      <c r="U2158" s="673" t="b">
        <v>0</v>
      </c>
      <c r="Z2158" t="b">
        <v>0</v>
      </c>
      <c r="AA2158" t="b">
        <v>0</v>
      </c>
      <c r="AC2158" s="82"/>
      <c r="AD2158" t="str">
        <f t="shared" si="71"/>
        <v/>
      </c>
      <c r="AE2158" t="str">
        <f t="shared" si="72"/>
        <v/>
      </c>
    </row>
    <row r="2159">
      <c r="D2159" s="226"/>
      <c r="H2159" s="474"/>
      <c r="I2159" s="474"/>
      <c r="J2159" s="475"/>
      <c r="K2159" s="275"/>
      <c r="L2159" s="82"/>
      <c r="M2159" s="672"/>
      <c r="N2159" s="242"/>
      <c r="O2159" s="242"/>
      <c r="P2159" s="242"/>
      <c r="Q2159" s="242"/>
      <c r="R2159" s="539"/>
      <c r="S2159" s="540"/>
      <c r="T2159" s="543"/>
      <c r="U2159" s="673" t="b">
        <v>0</v>
      </c>
      <c r="Z2159" t="b">
        <v>0</v>
      </c>
      <c r="AA2159" t="b">
        <v>0</v>
      </c>
      <c r="AC2159" s="82"/>
      <c r="AD2159" t="str">
        <f t="shared" si="71"/>
        <v/>
      </c>
      <c r="AE2159" t="str">
        <f t="shared" si="72"/>
        <v/>
      </c>
    </row>
    <row r="2160">
      <c r="D2160" s="226"/>
      <c r="H2160" s="474"/>
      <c r="I2160" s="474"/>
      <c r="J2160" s="475"/>
      <c r="K2160" s="275"/>
      <c r="L2160" s="82"/>
      <c r="M2160" s="672"/>
      <c r="N2160" s="242"/>
      <c r="O2160" s="242"/>
      <c r="P2160" s="242"/>
      <c r="Q2160" s="242"/>
      <c r="R2160" s="539"/>
      <c r="S2160" s="540"/>
      <c r="T2160" s="543"/>
      <c r="U2160" s="673" t="b">
        <v>0</v>
      </c>
      <c r="Z2160" t="b">
        <v>0</v>
      </c>
      <c r="AA2160" t="b">
        <v>0</v>
      </c>
      <c r="AC2160" s="82"/>
      <c r="AD2160" t="str">
        <f t="shared" si="71"/>
        <v/>
      </c>
      <c r="AE2160" t="str">
        <f t="shared" si="72"/>
        <v/>
      </c>
    </row>
    <row r="2161">
      <c r="D2161" s="226"/>
      <c r="H2161" s="474"/>
      <c r="I2161" s="474"/>
      <c r="J2161" s="475"/>
      <c r="K2161" s="275"/>
      <c r="L2161" s="82"/>
      <c r="M2161" s="672"/>
      <c r="N2161" s="242"/>
      <c r="O2161" s="242"/>
      <c r="P2161" s="242"/>
      <c r="Q2161" s="242"/>
      <c r="R2161" s="539"/>
      <c r="S2161" s="540"/>
      <c r="T2161" s="543"/>
      <c r="U2161" s="673" t="b">
        <v>0</v>
      </c>
      <c r="Z2161" t="b">
        <v>0</v>
      </c>
      <c r="AA2161" t="b">
        <v>0</v>
      </c>
      <c r="AC2161" s="82"/>
      <c r="AD2161" t="str">
        <f t="shared" si="71"/>
        <v/>
      </c>
      <c r="AE2161" t="str">
        <f t="shared" si="72"/>
        <v/>
      </c>
    </row>
    <row r="2162">
      <c r="D2162" s="226"/>
      <c r="H2162" s="474"/>
      <c r="I2162" s="474"/>
      <c r="J2162" s="475"/>
      <c r="K2162" s="275"/>
      <c r="L2162" s="82"/>
      <c r="M2162" s="672"/>
      <c r="N2162" s="242"/>
      <c r="O2162" s="242"/>
      <c r="P2162" s="242"/>
      <c r="Q2162" s="242"/>
      <c r="R2162" s="539"/>
      <c r="S2162" s="540"/>
      <c r="T2162" s="543"/>
      <c r="U2162" s="673" t="b">
        <v>0</v>
      </c>
      <c r="Z2162" t="b">
        <v>0</v>
      </c>
      <c r="AA2162" t="b">
        <v>0</v>
      </c>
      <c r="AC2162" s="82"/>
      <c r="AD2162" t="str">
        <f t="shared" si="71"/>
        <v/>
      </c>
      <c r="AE2162" t="str">
        <f t="shared" si="72"/>
        <v/>
      </c>
    </row>
    <row r="2163">
      <c r="D2163" s="226"/>
      <c r="H2163" s="474"/>
      <c r="I2163" s="474"/>
      <c r="J2163" s="475"/>
      <c r="K2163" s="275"/>
      <c r="L2163" s="82"/>
      <c r="M2163" s="672"/>
      <c r="N2163" s="242"/>
      <c r="O2163" s="242"/>
      <c r="P2163" s="242"/>
      <c r="Q2163" s="242"/>
      <c r="R2163" s="539"/>
      <c r="S2163" s="540"/>
      <c r="T2163" s="543"/>
      <c r="U2163" s="673" t="b">
        <v>0</v>
      </c>
      <c r="Z2163" t="b">
        <v>0</v>
      </c>
      <c r="AA2163" t="b">
        <v>0</v>
      </c>
      <c r="AC2163" s="82"/>
      <c r="AD2163" t="str">
        <f t="shared" si="71"/>
        <v/>
      </c>
      <c r="AE2163" t="str">
        <f t="shared" si="72"/>
        <v/>
      </c>
    </row>
    <row r="2164">
      <c r="D2164" s="226"/>
      <c r="H2164" s="474"/>
      <c r="I2164" s="474"/>
      <c r="J2164" s="475"/>
      <c r="K2164" s="275"/>
      <c r="L2164" s="82"/>
      <c r="M2164" s="672"/>
      <c r="N2164" s="242"/>
      <c r="O2164" s="242"/>
      <c r="P2164" s="242"/>
      <c r="Q2164" s="242"/>
      <c r="R2164" s="539"/>
      <c r="S2164" s="540"/>
      <c r="T2164" s="543"/>
      <c r="U2164" s="673" t="b">
        <v>0</v>
      </c>
      <c r="Z2164" t="b">
        <v>0</v>
      </c>
      <c r="AA2164" t="b">
        <v>0</v>
      </c>
      <c r="AC2164" s="82"/>
      <c r="AD2164" t="str">
        <f t="shared" si="71"/>
        <v/>
      </c>
      <c r="AE2164" t="str">
        <f t="shared" si="72"/>
        <v/>
      </c>
    </row>
    <row r="2165">
      <c r="D2165" s="226"/>
      <c r="H2165" s="474"/>
      <c r="I2165" s="474"/>
      <c r="J2165" s="475"/>
      <c r="K2165" s="275"/>
      <c r="L2165" s="82"/>
      <c r="M2165" s="672"/>
      <c r="N2165" s="242"/>
      <c r="O2165" s="242"/>
      <c r="P2165" s="242"/>
      <c r="Q2165" s="242"/>
      <c r="R2165" s="539"/>
      <c r="S2165" s="540"/>
      <c r="T2165" s="543"/>
      <c r="U2165" s="673" t="b">
        <v>0</v>
      </c>
      <c r="Z2165" t="b">
        <v>0</v>
      </c>
      <c r="AA2165" t="b">
        <v>0</v>
      </c>
      <c r="AC2165" s="82"/>
      <c r="AD2165" t="str">
        <f t="shared" si="71"/>
        <v/>
      </c>
      <c r="AE2165" t="str">
        <f t="shared" si="72"/>
        <v/>
      </c>
    </row>
    <row r="2166">
      <c r="D2166" s="226"/>
      <c r="H2166" s="474"/>
      <c r="I2166" s="474"/>
      <c r="J2166" s="475"/>
      <c r="K2166" s="275"/>
      <c r="L2166" s="82"/>
      <c r="M2166" s="672"/>
      <c r="N2166" s="242"/>
      <c r="O2166" s="242"/>
      <c r="P2166" s="242"/>
      <c r="Q2166" s="242"/>
      <c r="R2166" s="539"/>
      <c r="S2166" s="540"/>
      <c r="T2166" s="543"/>
      <c r="U2166" s="673" t="b">
        <v>0</v>
      </c>
      <c r="Z2166" t="b">
        <v>0</v>
      </c>
      <c r="AA2166" t="b">
        <v>0</v>
      </c>
      <c r="AC2166" s="82"/>
      <c r="AD2166" t="str">
        <f t="shared" si="71"/>
        <v/>
      </c>
      <c r="AE2166" t="str">
        <f t="shared" si="72"/>
        <v/>
      </c>
    </row>
    <row r="2167">
      <c r="D2167" s="226"/>
      <c r="H2167" s="474"/>
      <c r="I2167" s="474"/>
      <c r="J2167" s="475"/>
      <c r="K2167" s="275"/>
      <c r="L2167" s="82"/>
      <c r="M2167" s="672"/>
      <c r="N2167" s="242"/>
      <c r="O2167" s="242"/>
      <c r="P2167" s="242"/>
      <c r="Q2167" s="242"/>
      <c r="R2167" s="539"/>
      <c r="S2167" s="540"/>
      <c r="T2167" s="543"/>
      <c r="U2167" s="673" t="b">
        <v>0</v>
      </c>
      <c r="Z2167" t="b">
        <v>0</v>
      </c>
      <c r="AA2167" t="b">
        <v>0</v>
      </c>
      <c r="AC2167" s="82"/>
      <c r="AD2167" t="str">
        <f t="shared" si="71"/>
        <v/>
      </c>
      <c r="AE2167" t="str">
        <f t="shared" si="72"/>
        <v/>
      </c>
    </row>
    <row r="2168">
      <c r="D2168" s="226"/>
      <c r="H2168" s="474"/>
      <c r="I2168" s="474"/>
      <c r="J2168" s="475"/>
      <c r="K2168" s="275"/>
      <c r="L2168" s="82"/>
      <c r="M2168" s="672"/>
      <c r="N2168" s="242"/>
      <c r="O2168" s="242"/>
      <c r="P2168" s="242"/>
      <c r="Q2168" s="242"/>
      <c r="R2168" s="539"/>
      <c r="S2168" s="540"/>
      <c r="T2168" s="543"/>
      <c r="U2168" s="673" t="b">
        <v>0</v>
      </c>
      <c r="Z2168" t="b">
        <v>0</v>
      </c>
      <c r="AA2168" t="b">
        <v>0</v>
      </c>
      <c r="AC2168" s="82"/>
      <c r="AD2168" t="str">
        <f t="shared" si="71"/>
        <v/>
      </c>
      <c r="AE2168" t="str">
        <f t="shared" si="72"/>
        <v/>
      </c>
    </row>
    <row r="2169">
      <c r="D2169" s="226"/>
      <c r="H2169" s="474"/>
      <c r="I2169" s="474"/>
      <c r="J2169" s="475"/>
      <c r="K2169" s="275"/>
      <c r="L2169" s="82"/>
      <c r="M2169" s="672"/>
      <c r="N2169" s="242"/>
      <c r="O2169" s="242"/>
      <c r="P2169" s="242"/>
      <c r="Q2169" s="242"/>
      <c r="R2169" s="539"/>
      <c r="S2169" s="540"/>
      <c r="T2169" s="543"/>
      <c r="U2169" s="673" t="b">
        <v>0</v>
      </c>
      <c r="Z2169" t="b">
        <v>0</v>
      </c>
      <c r="AA2169" t="b">
        <v>0</v>
      </c>
      <c r="AC2169" s="82"/>
      <c r="AD2169" t="str">
        <f t="shared" si="71"/>
        <v/>
      </c>
      <c r="AE2169" t="str">
        <f t="shared" si="72"/>
        <v/>
      </c>
    </row>
    <row r="2170">
      <c r="D2170" s="226"/>
      <c r="H2170" s="474"/>
      <c r="I2170" s="474"/>
      <c r="J2170" s="475"/>
      <c r="K2170" s="275"/>
      <c r="L2170" s="82"/>
      <c r="M2170" s="672"/>
      <c r="N2170" s="242"/>
      <c r="O2170" s="242"/>
      <c r="P2170" s="242"/>
      <c r="Q2170" s="242"/>
      <c r="R2170" s="539"/>
      <c r="S2170" s="540"/>
      <c r="T2170" s="543"/>
      <c r="U2170" s="673" t="b">
        <v>0</v>
      </c>
      <c r="Z2170" t="b">
        <v>0</v>
      </c>
      <c r="AA2170" t="b">
        <v>0</v>
      </c>
      <c r="AC2170" s="82"/>
      <c r="AD2170" t="str">
        <f t="shared" si="71"/>
        <v/>
      </c>
      <c r="AE2170" t="str">
        <f t="shared" si="72"/>
        <v/>
      </c>
    </row>
    <row r="2171">
      <c r="D2171" s="226"/>
      <c r="H2171" s="474"/>
      <c r="I2171" s="474"/>
      <c r="J2171" s="475"/>
      <c r="K2171" s="275"/>
      <c r="L2171" s="82"/>
      <c r="M2171" s="672"/>
      <c r="N2171" s="242"/>
      <c r="O2171" s="242"/>
      <c r="P2171" s="242"/>
      <c r="Q2171" s="242"/>
      <c r="R2171" s="539"/>
      <c r="S2171" s="540"/>
      <c r="T2171" s="543"/>
      <c r="U2171" s="673" t="b">
        <v>0</v>
      </c>
      <c r="Z2171" t="b">
        <v>0</v>
      </c>
      <c r="AA2171" t="b">
        <v>0</v>
      </c>
      <c r="AC2171" s="82"/>
      <c r="AD2171" t="str">
        <f t="shared" si="71"/>
        <v/>
      </c>
      <c r="AE2171" t="str">
        <f t="shared" si="72"/>
        <v/>
      </c>
    </row>
    <row r="2172">
      <c r="D2172" s="226"/>
      <c r="H2172" s="474"/>
      <c r="I2172" s="474"/>
      <c r="J2172" s="475"/>
      <c r="K2172" s="275"/>
      <c r="L2172" s="82"/>
      <c r="M2172" s="672"/>
      <c r="N2172" s="242"/>
      <c r="O2172" s="242"/>
      <c r="P2172" s="242"/>
      <c r="Q2172" s="242"/>
      <c r="R2172" s="539"/>
      <c r="S2172" s="540"/>
      <c r="T2172" s="543"/>
      <c r="U2172" s="673" t="b">
        <v>0</v>
      </c>
      <c r="Z2172" t="b">
        <v>0</v>
      </c>
      <c r="AA2172" t="b">
        <v>0</v>
      </c>
      <c r="AC2172" s="82"/>
      <c r="AD2172" t="str">
        <f t="shared" si="71"/>
        <v/>
      </c>
      <c r="AE2172" t="str">
        <f t="shared" si="72"/>
        <v/>
      </c>
    </row>
    <row r="2173">
      <c r="D2173" s="226"/>
      <c r="H2173" s="474"/>
      <c r="I2173" s="474"/>
      <c r="J2173" s="475"/>
      <c r="K2173" s="275"/>
      <c r="L2173" s="82"/>
      <c r="M2173" s="672"/>
      <c r="N2173" s="242"/>
      <c r="O2173" s="242"/>
      <c r="P2173" s="242"/>
      <c r="Q2173" s="242"/>
      <c r="R2173" s="539"/>
      <c r="S2173" s="540"/>
      <c r="T2173" s="543"/>
      <c r="U2173" s="673" t="b">
        <v>0</v>
      </c>
      <c r="Z2173" t="b">
        <v>0</v>
      </c>
      <c r="AA2173" t="b">
        <v>0</v>
      </c>
      <c r="AC2173" s="82"/>
      <c r="AD2173" t="str">
        <f t="shared" si="71"/>
        <v/>
      </c>
      <c r="AE2173" t="str">
        <f t="shared" si="72"/>
        <v/>
      </c>
    </row>
    <row r="2174">
      <c r="D2174" s="226"/>
      <c r="H2174" s="474"/>
      <c r="I2174" s="474"/>
      <c r="J2174" s="475"/>
      <c r="K2174" s="275"/>
      <c r="L2174" s="82"/>
      <c r="M2174" s="672"/>
      <c r="N2174" s="242"/>
      <c r="O2174" s="242"/>
      <c r="P2174" s="242"/>
      <c r="Q2174" s="242"/>
      <c r="R2174" s="539"/>
      <c r="S2174" s="540"/>
      <c r="T2174" s="543"/>
      <c r="U2174" s="673" t="b">
        <v>0</v>
      </c>
      <c r="Z2174" t="b">
        <v>0</v>
      </c>
      <c r="AA2174" t="b">
        <v>0</v>
      </c>
      <c r="AC2174" s="82"/>
      <c r="AD2174" t="str">
        <f t="shared" si="71"/>
        <v/>
      </c>
      <c r="AE2174" t="str">
        <f t="shared" si="72"/>
        <v/>
      </c>
    </row>
    <row r="2175">
      <c r="D2175" s="226"/>
      <c r="H2175" s="474"/>
      <c r="I2175" s="474"/>
      <c r="J2175" s="475"/>
      <c r="K2175" s="275"/>
      <c r="L2175" s="82"/>
      <c r="M2175" s="672"/>
      <c r="N2175" s="242"/>
      <c r="O2175" s="242"/>
      <c r="P2175" s="242"/>
      <c r="Q2175" s="242"/>
      <c r="R2175" s="539"/>
      <c r="S2175" s="540"/>
      <c r="T2175" s="543"/>
      <c r="U2175" s="673" t="b">
        <v>0</v>
      </c>
      <c r="Z2175" t="b">
        <v>0</v>
      </c>
      <c r="AA2175" t="b">
        <v>0</v>
      </c>
      <c r="AC2175" s="82"/>
      <c r="AD2175" t="str">
        <f t="shared" si="71"/>
        <v/>
      </c>
      <c r="AE2175" t="str">
        <f t="shared" si="72"/>
        <v/>
      </c>
    </row>
    <row r="2176">
      <c r="D2176" s="226"/>
      <c r="H2176" s="474"/>
      <c r="I2176" s="474"/>
      <c r="J2176" s="475"/>
      <c r="K2176" s="275"/>
      <c r="L2176" s="82"/>
      <c r="M2176" s="672"/>
      <c r="N2176" s="242"/>
      <c r="O2176" s="242"/>
      <c r="P2176" s="242"/>
      <c r="Q2176" s="242"/>
      <c r="R2176" s="539"/>
      <c r="S2176" s="540"/>
      <c r="T2176" s="543"/>
      <c r="U2176" s="673" t="b">
        <v>0</v>
      </c>
      <c r="Z2176" t="b">
        <v>0</v>
      </c>
      <c r="AA2176" t="b">
        <v>0</v>
      </c>
      <c r="AC2176" s="82"/>
      <c r="AD2176" t="str">
        <f t="shared" si="71"/>
        <v/>
      </c>
      <c r="AE2176" t="str">
        <f t="shared" si="72"/>
        <v/>
      </c>
    </row>
    <row r="2177">
      <c r="D2177" s="226"/>
      <c r="H2177" s="474"/>
      <c r="I2177" s="474"/>
      <c r="J2177" s="475"/>
      <c r="K2177" s="275"/>
      <c r="L2177" s="82"/>
      <c r="M2177" s="672"/>
      <c r="N2177" s="242"/>
      <c r="O2177" s="242"/>
      <c r="P2177" s="242"/>
      <c r="Q2177" s="242"/>
      <c r="R2177" s="539"/>
      <c r="S2177" s="540"/>
      <c r="T2177" s="543"/>
      <c r="U2177" s="673" t="b">
        <v>0</v>
      </c>
      <c r="Z2177" t="b">
        <v>0</v>
      </c>
      <c r="AA2177" t="b">
        <v>0</v>
      </c>
      <c r="AC2177" s="82"/>
      <c r="AD2177" t="str">
        <f t="shared" si="71"/>
        <v/>
      </c>
      <c r="AE2177" t="str">
        <f t="shared" si="72"/>
        <v/>
      </c>
    </row>
    <row r="2178">
      <c r="D2178" s="226"/>
      <c r="H2178" s="474"/>
      <c r="I2178" s="474"/>
      <c r="J2178" s="475"/>
      <c r="K2178" s="275"/>
      <c r="L2178" s="82"/>
      <c r="M2178" s="672"/>
      <c r="N2178" s="242"/>
      <c r="O2178" s="242"/>
      <c r="P2178" s="242"/>
      <c r="Q2178" s="242"/>
      <c r="R2178" s="539"/>
      <c r="S2178" s="540"/>
      <c r="T2178" s="543"/>
      <c r="U2178" s="673" t="b">
        <v>0</v>
      </c>
      <c r="Z2178" t="b">
        <v>0</v>
      </c>
      <c r="AA2178" t="b">
        <v>0</v>
      </c>
      <c r="AC2178" s="82"/>
      <c r="AD2178" t="str">
        <f t="shared" si="71"/>
        <v/>
      </c>
      <c r="AE2178" t="str">
        <f t="shared" si="72"/>
        <v/>
      </c>
    </row>
    <row r="2179">
      <c r="D2179" s="226"/>
      <c r="H2179" s="474"/>
      <c r="I2179" s="474"/>
      <c r="J2179" s="475"/>
      <c r="K2179" s="275"/>
      <c r="L2179" s="82"/>
      <c r="M2179" s="672"/>
      <c r="N2179" s="242"/>
      <c r="O2179" s="242"/>
      <c r="P2179" s="242"/>
      <c r="Q2179" s="242"/>
      <c r="R2179" s="539"/>
      <c r="S2179" s="540"/>
      <c r="T2179" s="543"/>
      <c r="U2179" s="673" t="b">
        <v>0</v>
      </c>
      <c r="Z2179" t="b">
        <v>0</v>
      </c>
      <c r="AA2179" t="b">
        <v>0</v>
      </c>
      <c r="AC2179" s="82"/>
      <c r="AD2179" t="str">
        <f t="shared" si="71"/>
        <v/>
      </c>
      <c r="AE2179" t="str">
        <f t="shared" si="72"/>
        <v/>
      </c>
    </row>
    <row r="2180">
      <c r="D2180" s="226"/>
      <c r="H2180" s="474"/>
      <c r="I2180" s="474"/>
      <c r="J2180" s="475"/>
      <c r="K2180" s="275"/>
      <c r="L2180" s="82"/>
      <c r="M2180" s="672"/>
      <c r="N2180" s="242"/>
      <c r="O2180" s="242"/>
      <c r="P2180" s="242"/>
      <c r="Q2180" s="242"/>
      <c r="R2180" s="539"/>
      <c r="S2180" s="540"/>
      <c r="T2180" s="543"/>
      <c r="U2180" s="673" t="b">
        <v>0</v>
      </c>
      <c r="Z2180" t="b">
        <v>0</v>
      </c>
      <c r="AA2180" t="b">
        <v>0</v>
      </c>
      <c r="AC2180" s="82"/>
      <c r="AD2180" t="str">
        <f t="shared" si="71"/>
        <v/>
      </c>
      <c r="AE2180" t="str">
        <f t="shared" si="72"/>
        <v/>
      </c>
    </row>
    <row r="2181">
      <c r="D2181" s="226"/>
      <c r="H2181" s="474"/>
      <c r="I2181" s="474"/>
      <c r="J2181" s="475"/>
      <c r="K2181" s="275"/>
      <c r="L2181" s="82"/>
      <c r="M2181" s="672"/>
      <c r="N2181" s="242"/>
      <c r="O2181" s="242"/>
      <c r="P2181" s="242"/>
      <c r="Q2181" s="242"/>
      <c r="R2181" s="539"/>
      <c r="S2181" s="540"/>
      <c r="T2181" s="543"/>
      <c r="U2181" s="673" t="b">
        <v>0</v>
      </c>
      <c r="Z2181" t="b">
        <v>0</v>
      </c>
      <c r="AA2181" t="b">
        <v>0</v>
      </c>
      <c r="AC2181" s="82"/>
      <c r="AD2181" t="str">
        <f t="shared" si="71"/>
        <v/>
      </c>
      <c r="AE2181" t="str">
        <f t="shared" si="72"/>
        <v/>
      </c>
    </row>
    <row r="2182">
      <c r="D2182" s="226"/>
      <c r="H2182" s="474"/>
      <c r="I2182" s="474"/>
      <c r="J2182" s="475"/>
      <c r="K2182" s="275"/>
      <c r="L2182" s="82"/>
      <c r="M2182" s="672"/>
      <c r="N2182" s="242"/>
      <c r="O2182" s="242"/>
      <c r="P2182" s="242"/>
      <c r="Q2182" s="242"/>
      <c r="R2182" s="539"/>
      <c r="S2182" s="540"/>
      <c r="T2182" s="543"/>
      <c r="U2182" s="673" t="b">
        <v>0</v>
      </c>
      <c r="Z2182" t="b">
        <v>0</v>
      </c>
      <c r="AA2182" t="b">
        <v>0</v>
      </c>
      <c r="AC2182" s="82"/>
      <c r="AD2182" t="str">
        <f t="shared" si="71"/>
        <v/>
      </c>
      <c r="AE2182" t="str">
        <f t="shared" si="72"/>
        <v/>
      </c>
    </row>
    <row r="2183">
      <c r="D2183" s="226"/>
      <c r="H2183" s="474"/>
      <c r="I2183" s="474"/>
      <c r="J2183" s="475"/>
      <c r="K2183" s="275"/>
      <c r="L2183" s="82"/>
      <c r="M2183" s="672"/>
      <c r="N2183" s="242"/>
      <c r="O2183" s="242"/>
      <c r="P2183" s="242"/>
      <c r="Q2183" s="242"/>
      <c r="R2183" s="539"/>
      <c r="S2183" s="540"/>
      <c r="T2183" s="543"/>
      <c r="U2183" s="673" t="b">
        <v>0</v>
      </c>
      <c r="Z2183" t="b">
        <v>0</v>
      </c>
      <c r="AA2183" t="b">
        <v>0</v>
      </c>
      <c r="AC2183" s="82"/>
      <c r="AD2183" t="str">
        <f t="shared" si="71"/>
        <v/>
      </c>
      <c r="AE2183" t="str">
        <f t="shared" si="72"/>
        <v/>
      </c>
    </row>
    <row r="2184">
      <c r="D2184" s="226"/>
      <c r="H2184" s="474"/>
      <c r="I2184" s="474"/>
      <c r="J2184" s="475"/>
      <c r="K2184" s="275"/>
      <c r="L2184" s="82"/>
      <c r="M2184" s="672"/>
      <c r="N2184" s="242"/>
      <c r="O2184" s="242"/>
      <c r="P2184" s="242"/>
      <c r="Q2184" s="242"/>
      <c r="R2184" s="539"/>
      <c r="S2184" s="540"/>
      <c r="T2184" s="543"/>
      <c r="U2184" s="673" t="b">
        <v>0</v>
      </c>
      <c r="Z2184" t="b">
        <v>0</v>
      </c>
      <c r="AA2184" t="b">
        <v>0</v>
      </c>
      <c r="AC2184" s="82"/>
      <c r="AD2184" t="str">
        <f t="shared" si="71"/>
        <v/>
      </c>
      <c r="AE2184" t="str">
        <f t="shared" si="72"/>
        <v/>
      </c>
    </row>
    <row r="2185">
      <c r="D2185" s="226"/>
      <c r="H2185" s="474"/>
      <c r="I2185" s="474"/>
      <c r="J2185" s="475"/>
      <c r="K2185" s="275"/>
      <c r="L2185" s="82"/>
      <c r="M2185" s="672"/>
      <c r="N2185" s="242"/>
      <c r="O2185" s="242"/>
      <c r="P2185" s="242"/>
      <c r="Q2185" s="242"/>
      <c r="R2185" s="539"/>
      <c r="S2185" s="540"/>
      <c r="T2185" s="543"/>
      <c r="U2185" s="673" t="b">
        <v>0</v>
      </c>
      <c r="Z2185" t="b">
        <v>0</v>
      </c>
      <c r="AA2185" t="b">
        <v>0</v>
      </c>
      <c r="AC2185" s="82"/>
      <c r="AD2185" t="str">
        <f t="shared" si="71"/>
        <v/>
      </c>
      <c r="AE2185" t="str">
        <f t="shared" si="72"/>
        <v/>
      </c>
    </row>
    <row r="2186">
      <c r="D2186" s="226"/>
      <c r="H2186" s="474"/>
      <c r="I2186" s="474"/>
      <c r="J2186" s="475"/>
      <c r="K2186" s="275"/>
      <c r="L2186" s="82"/>
      <c r="M2186" s="672"/>
      <c r="N2186" s="242"/>
      <c r="O2186" s="242"/>
      <c r="P2186" s="242"/>
      <c r="Q2186" s="242"/>
      <c r="R2186" s="539"/>
      <c r="S2186" s="540"/>
      <c r="T2186" s="543"/>
      <c r="U2186" s="673" t="b">
        <v>0</v>
      </c>
      <c r="Z2186" t="b">
        <v>0</v>
      </c>
      <c r="AA2186" t="b">
        <v>0</v>
      </c>
      <c r="AC2186" s="82"/>
      <c r="AD2186" t="str">
        <f t="shared" si="71"/>
        <v/>
      </c>
      <c r="AE2186" t="str">
        <f t="shared" si="72"/>
        <v/>
      </c>
    </row>
    <row r="2187">
      <c r="D2187" s="226"/>
      <c r="H2187" s="474"/>
      <c r="I2187" s="474"/>
      <c r="J2187" s="475"/>
      <c r="K2187" s="275"/>
      <c r="L2187" s="82"/>
      <c r="M2187" s="672"/>
      <c r="N2187" s="242"/>
      <c r="O2187" s="242"/>
      <c r="P2187" s="242"/>
      <c r="Q2187" s="242"/>
      <c r="R2187" s="539"/>
      <c r="S2187" s="540"/>
      <c r="T2187" s="543"/>
      <c r="U2187" s="673" t="b">
        <v>0</v>
      </c>
      <c r="Z2187" t="b">
        <v>0</v>
      </c>
      <c r="AA2187" t="b">
        <v>0</v>
      </c>
      <c r="AC2187" s="82"/>
      <c r="AD2187" t="str">
        <f t="shared" si="71"/>
        <v/>
      </c>
      <c r="AE2187" t="str">
        <f t="shared" si="72"/>
        <v/>
      </c>
    </row>
    <row r="2188">
      <c r="D2188" s="226"/>
      <c r="H2188" s="474"/>
      <c r="I2188" s="474"/>
      <c r="J2188" s="475"/>
      <c r="K2188" s="275"/>
      <c r="L2188" s="82"/>
      <c r="M2188" s="672"/>
      <c r="N2188" s="242"/>
      <c r="O2188" s="242"/>
      <c r="P2188" s="242"/>
      <c r="Q2188" s="242"/>
      <c r="R2188" s="539"/>
      <c r="S2188" s="540"/>
      <c r="T2188" s="543"/>
      <c r="U2188" s="673" t="b">
        <v>0</v>
      </c>
      <c r="Z2188" t="b">
        <v>0</v>
      </c>
      <c r="AA2188" t="b">
        <v>0</v>
      </c>
      <c r="AC2188" s="82"/>
      <c r="AD2188" t="str">
        <f t="shared" si="71"/>
        <v/>
      </c>
      <c r="AE2188" t="str">
        <f t="shared" si="72"/>
        <v/>
      </c>
    </row>
    <row r="2189">
      <c r="D2189" s="226"/>
      <c r="H2189" s="474"/>
      <c r="I2189" s="474"/>
      <c r="J2189" s="475"/>
      <c r="K2189" s="275"/>
      <c r="L2189" s="82"/>
      <c r="M2189" s="672"/>
      <c r="N2189" s="242"/>
      <c r="O2189" s="242"/>
      <c r="P2189" s="242"/>
      <c r="Q2189" s="242"/>
      <c r="R2189" s="539"/>
      <c r="S2189" s="540"/>
      <c r="T2189" s="543"/>
      <c r="U2189" s="673" t="b">
        <v>0</v>
      </c>
      <c r="Z2189" t="b">
        <v>0</v>
      </c>
      <c r="AA2189" t="b">
        <v>0</v>
      </c>
      <c r="AC2189" s="82"/>
      <c r="AD2189" t="str">
        <f t="shared" si="71"/>
        <v/>
      </c>
      <c r="AE2189" t="str">
        <f t="shared" si="72"/>
        <v/>
      </c>
    </row>
    <row r="2190">
      <c r="D2190" s="226"/>
      <c r="H2190" s="474"/>
      <c r="I2190" s="474"/>
      <c r="J2190" s="475"/>
      <c r="K2190" s="275"/>
      <c r="L2190" s="82"/>
      <c r="M2190" s="672"/>
      <c r="N2190" s="242"/>
      <c r="O2190" s="242"/>
      <c r="P2190" s="242"/>
      <c r="Q2190" s="242"/>
      <c r="R2190" s="539"/>
      <c r="S2190" s="540"/>
      <c r="T2190" s="543"/>
      <c r="U2190" s="673" t="b">
        <v>0</v>
      </c>
      <c r="Z2190" t="b">
        <v>0</v>
      </c>
      <c r="AA2190" t="b">
        <v>0</v>
      </c>
      <c r="AC2190" s="82"/>
      <c r="AD2190" t="str">
        <f t="shared" si="71"/>
        <v/>
      </c>
      <c r="AE2190" t="str">
        <f t="shared" si="72"/>
        <v/>
      </c>
    </row>
    <row r="2191">
      <c r="D2191" s="226"/>
      <c r="H2191" s="474"/>
      <c r="I2191" s="474"/>
      <c r="J2191" s="475"/>
      <c r="K2191" s="275"/>
      <c r="L2191" s="82"/>
      <c r="M2191" s="672"/>
      <c r="N2191" s="242"/>
      <c r="O2191" s="242"/>
      <c r="P2191" s="242"/>
      <c r="Q2191" s="242"/>
      <c r="R2191" s="539"/>
      <c r="S2191" s="540"/>
      <c r="T2191" s="543"/>
      <c r="U2191" s="673" t="b">
        <v>0</v>
      </c>
      <c r="Z2191" t="b">
        <v>0</v>
      </c>
      <c r="AA2191" t="b">
        <v>0</v>
      </c>
      <c r="AC2191" s="82"/>
      <c r="AD2191" t="str">
        <f t="shared" si="71"/>
        <v/>
      </c>
      <c r="AE2191" t="str">
        <f t="shared" si="72"/>
        <v/>
      </c>
    </row>
    <row r="2192">
      <c r="D2192" s="226"/>
      <c r="H2192" s="474"/>
      <c r="I2192" s="474"/>
      <c r="J2192" s="475"/>
      <c r="K2192" s="275"/>
      <c r="L2192" s="82"/>
      <c r="M2192" s="672"/>
      <c r="N2192" s="242"/>
      <c r="O2192" s="242"/>
      <c r="P2192" s="242"/>
      <c r="Q2192" s="242"/>
      <c r="R2192" s="539"/>
      <c r="S2192" s="540"/>
      <c r="T2192" s="543"/>
      <c r="U2192" s="673" t="b">
        <v>0</v>
      </c>
      <c r="Z2192" t="b">
        <v>0</v>
      </c>
      <c r="AA2192" t="b">
        <v>0</v>
      </c>
      <c r="AC2192" s="82"/>
      <c r="AD2192" t="str">
        <f t="shared" si="71"/>
        <v/>
      </c>
      <c r="AE2192" t="str">
        <f t="shared" si="72"/>
        <v/>
      </c>
    </row>
    <row r="2193">
      <c r="D2193" s="226"/>
      <c r="H2193" s="474"/>
      <c r="I2193" s="474"/>
      <c r="J2193" s="475"/>
      <c r="K2193" s="275"/>
      <c r="L2193" s="82"/>
      <c r="M2193" s="672"/>
      <c r="N2193" s="242"/>
      <c r="O2193" s="242"/>
      <c r="P2193" s="242"/>
      <c r="Q2193" s="242"/>
      <c r="R2193" s="539"/>
      <c r="S2193" s="540"/>
      <c r="T2193" s="543"/>
      <c r="U2193" s="673" t="b">
        <v>0</v>
      </c>
      <c r="Z2193" t="b">
        <v>0</v>
      </c>
      <c r="AA2193" t="b">
        <v>0</v>
      </c>
      <c r="AC2193" s="82"/>
      <c r="AD2193" t="str">
        <f t="shared" si="71"/>
        <v/>
      </c>
      <c r="AE2193" t="str">
        <f t="shared" si="72"/>
        <v/>
      </c>
    </row>
    <row r="2194">
      <c r="D2194" s="226"/>
      <c r="H2194" s="474"/>
      <c r="I2194" s="474"/>
      <c r="J2194" s="475"/>
      <c r="K2194" s="275"/>
      <c r="L2194" s="82"/>
      <c r="M2194" s="672"/>
      <c r="N2194" s="242"/>
      <c r="O2194" s="242"/>
      <c r="P2194" s="242"/>
      <c r="Q2194" s="242"/>
      <c r="R2194" s="539"/>
      <c r="S2194" s="540"/>
      <c r="T2194" s="543"/>
      <c r="U2194" s="673" t="b">
        <v>0</v>
      </c>
      <c r="Z2194" t="b">
        <v>0</v>
      </c>
      <c r="AA2194" t="b">
        <v>0</v>
      </c>
      <c r="AC2194" s="82"/>
      <c r="AD2194" t="str">
        <f t="shared" si="71"/>
        <v/>
      </c>
      <c r="AE2194" t="str">
        <f t="shared" si="72"/>
        <v/>
      </c>
    </row>
    <row r="2195">
      <c r="D2195" s="226"/>
      <c r="H2195" s="474"/>
      <c r="I2195" s="474"/>
      <c r="J2195" s="475"/>
      <c r="K2195" s="275"/>
      <c r="L2195" s="82"/>
      <c r="M2195" s="672"/>
      <c r="N2195" s="242"/>
      <c r="O2195" s="242"/>
      <c r="P2195" s="242"/>
      <c r="Q2195" s="242"/>
      <c r="R2195" s="539"/>
      <c r="S2195" s="540"/>
      <c r="T2195" s="543"/>
      <c r="U2195" s="673" t="b">
        <v>0</v>
      </c>
      <c r="Z2195" t="b">
        <v>0</v>
      </c>
      <c r="AA2195" t="b">
        <v>0</v>
      </c>
      <c r="AC2195" s="82"/>
      <c r="AD2195" t="str">
        <f t="shared" si="71"/>
        <v/>
      </c>
      <c r="AE2195" t="str">
        <f t="shared" si="72"/>
        <v/>
      </c>
    </row>
    <row r="2196">
      <c r="D2196" s="226"/>
      <c r="H2196" s="474"/>
      <c r="I2196" s="474"/>
      <c r="J2196" s="475"/>
      <c r="K2196" s="275"/>
      <c r="L2196" s="82"/>
      <c r="M2196" s="672"/>
      <c r="N2196" s="242"/>
      <c r="O2196" s="242"/>
      <c r="P2196" s="242"/>
      <c r="Q2196" s="242"/>
      <c r="R2196" s="539"/>
      <c r="S2196" s="540"/>
      <c r="T2196" s="543"/>
      <c r="U2196" s="673" t="b">
        <v>0</v>
      </c>
      <c r="Z2196" t="b">
        <v>0</v>
      </c>
      <c r="AA2196" t="b">
        <v>0</v>
      </c>
      <c r="AC2196" s="82"/>
      <c r="AD2196" t="str">
        <f t="shared" si="71"/>
        <v/>
      </c>
      <c r="AE2196" t="str">
        <f t="shared" si="72"/>
        <v/>
      </c>
    </row>
    <row r="2197">
      <c r="D2197" s="226"/>
      <c r="H2197" s="474"/>
      <c r="I2197" s="474"/>
      <c r="J2197" s="475"/>
      <c r="K2197" s="275"/>
      <c r="L2197" s="82"/>
      <c r="M2197" s="672"/>
      <c r="N2197" s="242"/>
      <c r="O2197" s="242"/>
      <c r="P2197" s="242"/>
      <c r="Q2197" s="242"/>
      <c r="R2197" s="539"/>
      <c r="S2197" s="540"/>
      <c r="T2197" s="543"/>
      <c r="U2197" s="673" t="b">
        <v>0</v>
      </c>
      <c r="Z2197" t="b">
        <v>0</v>
      </c>
      <c r="AA2197" t="b">
        <v>0</v>
      </c>
      <c r="AC2197" s="82"/>
      <c r="AD2197" t="str">
        <f t="shared" si="71"/>
        <v/>
      </c>
      <c r="AE2197" t="str">
        <f t="shared" si="72"/>
        <v/>
      </c>
    </row>
    <row r="2198">
      <c r="D2198" s="226"/>
      <c r="H2198" s="474"/>
      <c r="I2198" s="474"/>
      <c r="J2198" s="475"/>
      <c r="K2198" s="275"/>
      <c r="L2198" s="82"/>
      <c r="M2198" s="672"/>
      <c r="N2198" s="242"/>
      <c r="O2198" s="242"/>
      <c r="P2198" s="242"/>
      <c r="Q2198" s="242"/>
      <c r="R2198" s="539"/>
      <c r="S2198" s="540"/>
      <c r="T2198" s="543"/>
      <c r="U2198" s="673" t="b">
        <v>0</v>
      </c>
      <c r="Z2198" t="b">
        <v>0</v>
      </c>
      <c r="AA2198" t="b">
        <v>0</v>
      </c>
      <c r="AC2198" s="82"/>
      <c r="AD2198" t="str">
        <f t="shared" si="71"/>
        <v/>
      </c>
      <c r="AE2198" t="str">
        <f t="shared" si="72"/>
        <v/>
      </c>
    </row>
    <row r="2199">
      <c r="D2199" s="226"/>
      <c r="H2199" s="474"/>
      <c r="I2199" s="474"/>
      <c r="J2199" s="475"/>
      <c r="K2199" s="275"/>
      <c r="L2199" s="82"/>
      <c r="M2199" s="672"/>
      <c r="N2199" s="242"/>
      <c r="O2199" s="242"/>
      <c r="P2199" s="242"/>
      <c r="Q2199" s="242"/>
      <c r="R2199" s="539"/>
      <c r="S2199" s="540"/>
      <c r="T2199" s="543"/>
      <c r="U2199" s="673" t="b">
        <v>0</v>
      </c>
      <c r="Z2199" t="b">
        <v>0</v>
      </c>
      <c r="AA2199" t="b">
        <v>0</v>
      </c>
      <c r="AC2199" s="82"/>
      <c r="AD2199" t="str">
        <f t="shared" si="71"/>
        <v/>
      </c>
      <c r="AE2199" t="str">
        <f t="shared" si="72"/>
        <v/>
      </c>
    </row>
    <row r="2200">
      <c r="D2200" s="226"/>
      <c r="H2200" s="474"/>
      <c r="I2200" s="474"/>
      <c r="J2200" s="475"/>
      <c r="K2200" s="275"/>
      <c r="L2200" s="82"/>
      <c r="M2200" s="672"/>
      <c r="N2200" s="242"/>
      <c r="O2200" s="242"/>
      <c r="P2200" s="242"/>
      <c r="Q2200" s="242"/>
      <c r="R2200" s="539"/>
      <c r="S2200" s="540"/>
      <c r="T2200" s="543"/>
      <c r="U2200" s="673" t="b">
        <v>0</v>
      </c>
      <c r="Z2200" t="b">
        <v>0</v>
      </c>
      <c r="AA2200" t="b">
        <v>0</v>
      </c>
      <c r="AC2200" s="82"/>
      <c r="AD2200" t="str">
        <f t="shared" si="71"/>
        <v/>
      </c>
      <c r="AE2200" t="str">
        <f t="shared" si="72"/>
        <v/>
      </c>
    </row>
    <row r="2201">
      <c r="D2201" s="226"/>
      <c r="H2201" s="474"/>
      <c r="I2201" s="474"/>
      <c r="J2201" s="475"/>
      <c r="K2201" s="275"/>
      <c r="L2201" s="82"/>
      <c r="M2201" s="672"/>
      <c r="N2201" s="242"/>
      <c r="O2201" s="242"/>
      <c r="P2201" s="242"/>
      <c r="Q2201" s="242"/>
      <c r="R2201" s="539"/>
      <c r="S2201" s="540"/>
      <c r="T2201" s="543"/>
      <c r="U2201" s="673" t="b">
        <v>0</v>
      </c>
      <c r="Z2201" t="b">
        <v>0</v>
      </c>
      <c r="AA2201" t="b">
        <v>0</v>
      </c>
      <c r="AC2201" s="82"/>
      <c r="AD2201" t="str">
        <f t="shared" si="71"/>
        <v/>
      </c>
      <c r="AE2201" t="str">
        <f t="shared" si="72"/>
        <v/>
      </c>
    </row>
    <row r="2202">
      <c r="D2202" s="226"/>
      <c r="H2202" s="474"/>
      <c r="I2202" s="474"/>
      <c r="J2202" s="475"/>
      <c r="K2202" s="275"/>
      <c r="L2202" s="82"/>
      <c r="M2202" s="672"/>
      <c r="N2202" s="242"/>
      <c r="O2202" s="242"/>
      <c r="P2202" s="242"/>
      <c r="Q2202" s="242"/>
      <c r="R2202" s="539"/>
      <c r="S2202" s="540"/>
      <c r="T2202" s="543"/>
      <c r="U2202" s="673" t="b">
        <v>0</v>
      </c>
      <c r="Z2202" t="b">
        <v>0</v>
      </c>
      <c r="AA2202" t="b">
        <v>0</v>
      </c>
      <c r="AC2202" s="82"/>
      <c r="AD2202" t="str">
        <f t="shared" si="71"/>
        <v/>
      </c>
      <c r="AE2202" t="str">
        <f t="shared" si="72"/>
        <v/>
      </c>
    </row>
    <row r="2203">
      <c r="D2203" s="226"/>
      <c r="H2203" s="474"/>
      <c r="I2203" s="474"/>
      <c r="J2203" s="475"/>
      <c r="K2203" s="275"/>
      <c r="L2203" s="82"/>
      <c r="M2203" s="672"/>
      <c r="N2203" s="242"/>
      <c r="O2203" s="242"/>
      <c r="P2203" s="242"/>
      <c r="Q2203" s="242"/>
      <c r="R2203" s="539"/>
      <c r="S2203" s="540"/>
      <c r="T2203" s="543"/>
      <c r="U2203" s="673" t="b">
        <v>0</v>
      </c>
      <c r="Z2203" t="b">
        <v>0</v>
      </c>
      <c r="AA2203" t="b">
        <v>0</v>
      </c>
      <c r="AC2203" s="82"/>
      <c r="AD2203" t="str">
        <f t="shared" si="71"/>
        <v/>
      </c>
      <c r="AE2203" t="str">
        <f t="shared" si="72"/>
        <v/>
      </c>
    </row>
    <row r="2204">
      <c r="D2204" s="226"/>
      <c r="H2204" s="474"/>
      <c r="I2204" s="474"/>
      <c r="J2204" s="475"/>
      <c r="K2204" s="275"/>
      <c r="L2204" s="82"/>
      <c r="M2204" s="672"/>
      <c r="N2204" s="242"/>
      <c r="O2204" s="242"/>
      <c r="P2204" s="242"/>
      <c r="Q2204" s="242"/>
      <c r="R2204" s="539"/>
      <c r="S2204" s="540"/>
      <c r="T2204" s="543"/>
      <c r="U2204" s="673" t="b">
        <v>0</v>
      </c>
      <c r="Z2204" t="b">
        <v>0</v>
      </c>
      <c r="AA2204" t="b">
        <v>0</v>
      </c>
      <c r="AC2204" s="82"/>
      <c r="AD2204" t="str">
        <f t="shared" si="71"/>
        <v/>
      </c>
      <c r="AE2204" t="str">
        <f t="shared" si="72"/>
        <v/>
      </c>
    </row>
    <row r="2205">
      <c r="D2205" s="226"/>
      <c r="H2205" s="474"/>
      <c r="I2205" s="474"/>
      <c r="J2205" s="475"/>
      <c r="K2205" s="275"/>
      <c r="L2205" s="82"/>
      <c r="M2205" s="672"/>
      <c r="N2205" s="242"/>
      <c r="O2205" s="242"/>
      <c r="P2205" s="242"/>
      <c r="Q2205" s="242"/>
      <c r="R2205" s="539"/>
      <c r="S2205" s="540"/>
      <c r="T2205" s="543"/>
      <c r="U2205" s="673" t="b">
        <v>0</v>
      </c>
      <c r="Z2205" t="b">
        <v>0</v>
      </c>
      <c r="AA2205" t="b">
        <v>0</v>
      </c>
      <c r="AC2205" s="82"/>
      <c r="AD2205" t="str">
        <f t="shared" si="71"/>
        <v/>
      </c>
      <c r="AE2205" t="str">
        <f t="shared" si="72"/>
        <v/>
      </c>
    </row>
    <row r="2206">
      <c r="D2206" s="226"/>
      <c r="H2206" s="474"/>
      <c r="I2206" s="474"/>
      <c r="J2206" s="475"/>
      <c r="K2206" s="275"/>
      <c r="L2206" s="82"/>
      <c r="M2206" s="672"/>
      <c r="N2206" s="242"/>
      <c r="O2206" s="242"/>
      <c r="P2206" s="242"/>
      <c r="Q2206" s="242"/>
      <c r="R2206" s="539"/>
      <c r="S2206" s="540"/>
      <c r="T2206" s="543"/>
      <c r="U2206" s="673" t="b">
        <v>0</v>
      </c>
      <c r="Z2206" t="b">
        <v>0</v>
      </c>
      <c r="AA2206" t="b">
        <v>0</v>
      </c>
      <c r="AC2206" s="82"/>
      <c r="AD2206" t="str">
        <f t="shared" si="71"/>
        <v/>
      </c>
      <c r="AE2206" t="str">
        <f t="shared" si="72"/>
        <v/>
      </c>
    </row>
    <row r="2207">
      <c r="D2207" s="226"/>
      <c r="H2207" s="474"/>
      <c r="I2207" s="474"/>
      <c r="J2207" s="475"/>
      <c r="K2207" s="275"/>
      <c r="L2207" s="82"/>
      <c r="M2207" s="672"/>
      <c r="N2207" s="242"/>
      <c r="O2207" s="242"/>
      <c r="P2207" s="242"/>
      <c r="Q2207" s="242"/>
      <c r="R2207" s="539"/>
      <c r="S2207" s="540"/>
      <c r="T2207" s="543"/>
      <c r="U2207" s="673" t="b">
        <v>0</v>
      </c>
      <c r="Z2207" t="b">
        <v>0</v>
      </c>
      <c r="AA2207" t="b">
        <v>0</v>
      </c>
      <c r="AC2207" s="82"/>
      <c r="AD2207" t="str">
        <f t="shared" si="71"/>
        <v/>
      </c>
      <c r="AE2207" t="str">
        <f t="shared" si="72"/>
        <v/>
      </c>
    </row>
    <row r="2208">
      <c r="D2208" s="226"/>
      <c r="H2208" s="474"/>
      <c r="I2208" s="474"/>
      <c r="J2208" s="475"/>
      <c r="K2208" s="275"/>
      <c r="L2208" s="82"/>
      <c r="M2208" s="672"/>
      <c r="N2208" s="242"/>
      <c r="O2208" s="242"/>
      <c r="P2208" s="242"/>
      <c r="Q2208" s="242"/>
      <c r="R2208" s="539"/>
      <c r="S2208" s="540"/>
      <c r="T2208" s="543"/>
      <c r="U2208" s="673" t="b">
        <v>0</v>
      </c>
      <c r="Z2208" t="b">
        <v>0</v>
      </c>
      <c r="AA2208" t="b">
        <v>0</v>
      </c>
      <c r="AC2208" s="82"/>
      <c r="AD2208" t="str">
        <f t="shared" si="71"/>
        <v/>
      </c>
      <c r="AE2208" t="str">
        <f t="shared" si="72"/>
        <v/>
      </c>
    </row>
    <row r="2209">
      <c r="D2209" s="226"/>
      <c r="H2209" s="474"/>
      <c r="I2209" s="474"/>
      <c r="J2209" s="475"/>
      <c r="K2209" s="275"/>
      <c r="L2209" s="82"/>
      <c r="M2209" s="672"/>
      <c r="N2209" s="242"/>
      <c r="O2209" s="242"/>
      <c r="P2209" s="242"/>
      <c r="Q2209" s="242"/>
      <c r="R2209" s="539"/>
      <c r="S2209" s="540"/>
      <c r="T2209" s="543"/>
      <c r="U2209" s="673" t="b">
        <v>0</v>
      </c>
      <c r="Z2209" t="b">
        <v>0</v>
      </c>
      <c r="AA2209" t="b">
        <v>0</v>
      </c>
      <c r="AC2209" s="82"/>
      <c r="AD2209" t="str">
        <f t="shared" si="71"/>
        <v/>
      </c>
      <c r="AE2209" t="str">
        <f t="shared" si="72"/>
        <v/>
      </c>
    </row>
    <row r="2210">
      <c r="D2210" s="226"/>
      <c r="H2210" s="474"/>
      <c r="I2210" s="474"/>
      <c r="J2210" s="475"/>
      <c r="K2210" s="275"/>
      <c r="L2210" s="82"/>
      <c r="M2210" s="672"/>
      <c r="N2210" s="242"/>
      <c r="O2210" s="242"/>
      <c r="P2210" s="242"/>
      <c r="Q2210" s="242"/>
      <c r="R2210" s="539"/>
      <c r="S2210" s="540"/>
      <c r="T2210" s="543"/>
      <c r="U2210" s="673" t="b">
        <v>0</v>
      </c>
      <c r="Z2210" t="b">
        <v>0</v>
      </c>
      <c r="AA2210" t="b">
        <v>0</v>
      </c>
      <c r="AC2210" s="82"/>
      <c r="AD2210" t="str">
        <f t="shared" si="71"/>
        <v/>
      </c>
      <c r="AE2210" t="str">
        <f t="shared" si="72"/>
        <v/>
      </c>
    </row>
    <row r="2211">
      <c r="D2211" s="226"/>
      <c r="H2211" s="474"/>
      <c r="I2211" s="474"/>
      <c r="J2211" s="475"/>
      <c r="K2211" s="275"/>
      <c r="L2211" s="82"/>
      <c r="M2211" s="672"/>
      <c r="N2211" s="242"/>
      <c r="O2211" s="242"/>
      <c r="P2211" s="242"/>
      <c r="Q2211" s="242"/>
      <c r="R2211" s="539"/>
      <c r="S2211" s="540"/>
      <c r="T2211" s="543"/>
      <c r="U2211" s="673" t="b">
        <v>0</v>
      </c>
      <c r="Z2211" t="b">
        <v>0</v>
      </c>
      <c r="AA2211" t="b">
        <v>0</v>
      </c>
      <c r="AC2211" s="82"/>
      <c r="AD2211" t="str">
        <f t="shared" si="71"/>
        <v/>
      </c>
      <c r="AE2211" t="str">
        <f t="shared" si="72"/>
        <v/>
      </c>
    </row>
    <row r="2212">
      <c r="D2212" s="226"/>
      <c r="H2212" s="474"/>
      <c r="I2212" s="474"/>
      <c r="J2212" s="475"/>
      <c r="K2212" s="275"/>
      <c r="L2212" s="82"/>
      <c r="M2212" s="672"/>
      <c r="N2212" s="242"/>
      <c r="O2212" s="242"/>
      <c r="P2212" s="242"/>
      <c r="Q2212" s="242"/>
      <c r="R2212" s="539"/>
      <c r="S2212" s="540"/>
      <c r="T2212" s="543"/>
      <c r="U2212" s="673" t="b">
        <v>0</v>
      </c>
      <c r="Z2212" t="b">
        <v>0</v>
      </c>
      <c r="AA2212" t="b">
        <v>0</v>
      </c>
      <c r="AC2212" s="82"/>
      <c r="AD2212" t="str">
        <f t="shared" si="71"/>
        <v/>
      </c>
      <c r="AE2212" t="str">
        <f t="shared" si="72"/>
        <v/>
      </c>
    </row>
    <row r="2213">
      <c r="D2213" s="226"/>
      <c r="H2213" s="474"/>
      <c r="I2213" s="474"/>
      <c r="J2213" s="475"/>
      <c r="K2213" s="275"/>
      <c r="L2213" s="82"/>
      <c r="M2213" s="672"/>
      <c r="N2213" s="242"/>
      <c r="O2213" s="242"/>
      <c r="P2213" s="242"/>
      <c r="Q2213" s="242"/>
      <c r="R2213" s="539"/>
      <c r="S2213" s="540"/>
      <c r="T2213" s="543"/>
      <c r="U2213" s="673" t="b">
        <v>0</v>
      </c>
      <c r="Z2213" t="b">
        <v>0</v>
      </c>
      <c r="AA2213" t="b">
        <v>0</v>
      </c>
      <c r="AC2213" s="82"/>
      <c r="AD2213" t="str">
        <f t="shared" si="71"/>
        <v/>
      </c>
      <c r="AE2213" t="str">
        <f t="shared" si="72"/>
        <v/>
      </c>
    </row>
    <row r="2214">
      <c r="D2214" s="226"/>
      <c r="H2214" s="474"/>
      <c r="I2214" s="474"/>
      <c r="J2214" s="475"/>
      <c r="K2214" s="275"/>
      <c r="L2214" s="82"/>
      <c r="M2214" s="672"/>
      <c r="N2214" s="242"/>
      <c r="O2214" s="242"/>
      <c r="P2214" s="242"/>
      <c r="Q2214" s="242"/>
      <c r="R2214" s="539"/>
      <c r="S2214" s="540"/>
      <c r="T2214" s="543"/>
      <c r="U2214" s="673" t="b">
        <v>0</v>
      </c>
      <c r="Z2214" t="b">
        <v>0</v>
      </c>
      <c r="AA2214" t="b">
        <v>0</v>
      </c>
      <c r="AC2214" s="82"/>
      <c r="AD2214" t="str">
        <f t="shared" si="71"/>
        <v/>
      </c>
      <c r="AE2214" t="str">
        <f t="shared" si="72"/>
        <v/>
      </c>
    </row>
    <row r="2215">
      <c r="D2215" s="226"/>
      <c r="H2215" s="474"/>
      <c r="I2215" s="474"/>
      <c r="J2215" s="475"/>
      <c r="K2215" s="275"/>
      <c r="L2215" s="82"/>
      <c r="M2215" s="672"/>
      <c r="N2215" s="242"/>
      <c r="O2215" s="242"/>
      <c r="P2215" s="242"/>
      <c r="Q2215" s="242"/>
      <c r="R2215" s="539"/>
      <c r="S2215" s="540"/>
      <c r="T2215" s="543"/>
      <c r="U2215" s="673" t="b">
        <v>0</v>
      </c>
      <c r="Z2215" t="b">
        <v>0</v>
      </c>
      <c r="AA2215" t="b">
        <v>0</v>
      </c>
      <c r="AC2215" s="82"/>
      <c r="AD2215" t="str">
        <f t="shared" si="71"/>
        <v/>
      </c>
      <c r="AE2215" t="str">
        <f t="shared" si="72"/>
        <v/>
      </c>
    </row>
    <row r="2216">
      <c r="D2216" s="226"/>
      <c r="H2216" s="474"/>
      <c r="I2216" s="474"/>
      <c r="J2216" s="475"/>
      <c r="K2216" s="275"/>
      <c r="L2216" s="82"/>
      <c r="M2216" s="672"/>
      <c r="N2216" s="242"/>
      <c r="O2216" s="242"/>
      <c r="P2216" s="242"/>
      <c r="Q2216" s="242"/>
      <c r="R2216" s="539"/>
      <c r="S2216" s="540"/>
      <c r="T2216" s="543"/>
      <c r="U2216" s="673" t="b">
        <v>0</v>
      </c>
      <c r="Z2216" t="b">
        <v>0</v>
      </c>
      <c r="AA2216" t="b">
        <v>0</v>
      </c>
      <c r="AC2216" s="82"/>
      <c r="AD2216" t="str">
        <f t="shared" si="71"/>
        <v/>
      </c>
      <c r="AE2216" t="str">
        <f t="shared" si="72"/>
        <v/>
      </c>
    </row>
    <row r="2217">
      <c r="D2217" s="226"/>
      <c r="H2217" s="474"/>
      <c r="I2217" s="474"/>
      <c r="J2217" s="475"/>
      <c r="K2217" s="275"/>
      <c r="L2217" s="82"/>
      <c r="M2217" s="672"/>
      <c r="N2217" s="242"/>
      <c r="O2217" s="242"/>
      <c r="P2217" s="242"/>
      <c r="Q2217" s="242"/>
      <c r="R2217" s="539"/>
      <c r="S2217" s="540"/>
      <c r="T2217" s="543"/>
      <c r="U2217" s="673" t="b">
        <v>0</v>
      </c>
      <c r="Z2217" t="b">
        <v>0</v>
      </c>
      <c r="AA2217" t="b">
        <v>0</v>
      </c>
      <c r="AC2217" s="82"/>
      <c r="AD2217" t="str">
        <f t="shared" si="71"/>
        <v/>
      </c>
      <c r="AE2217" t="str">
        <f t="shared" si="72"/>
        <v/>
      </c>
    </row>
    <row r="2218">
      <c r="D2218" s="226"/>
      <c r="H2218" s="474"/>
      <c r="I2218" s="474"/>
      <c r="J2218" s="475"/>
      <c r="K2218" s="275"/>
      <c r="L2218" s="82"/>
      <c r="M2218" s="672"/>
      <c r="N2218" s="242"/>
      <c r="O2218" s="242"/>
      <c r="P2218" s="242"/>
      <c r="Q2218" s="242"/>
      <c r="R2218" s="539"/>
      <c r="S2218" s="540"/>
      <c r="T2218" s="543"/>
      <c r="U2218" s="673" t="b">
        <v>0</v>
      </c>
      <c r="Z2218" t="b">
        <v>0</v>
      </c>
      <c r="AA2218" t="b">
        <v>0</v>
      </c>
      <c r="AC2218" s="82"/>
      <c r="AD2218" t="str">
        <f t="shared" si="71"/>
        <v/>
      </c>
      <c r="AE2218" t="str">
        <f t="shared" si="72"/>
        <v/>
      </c>
    </row>
    <row r="2219">
      <c r="D2219" s="226"/>
      <c r="H2219" s="474"/>
      <c r="I2219" s="474"/>
      <c r="J2219" s="475"/>
      <c r="K2219" s="275"/>
      <c r="L2219" s="82"/>
      <c r="M2219" s="672"/>
      <c r="N2219" s="242"/>
      <c r="O2219" s="242"/>
      <c r="P2219" s="242"/>
      <c r="Q2219" s="242"/>
      <c r="R2219" s="539"/>
      <c r="S2219" s="540"/>
      <c r="T2219" s="543"/>
      <c r="U2219" s="673" t="b">
        <v>0</v>
      </c>
      <c r="Z2219" t="b">
        <v>0</v>
      </c>
      <c r="AA2219" t="b">
        <v>0</v>
      </c>
      <c r="AC2219" s="82"/>
      <c r="AD2219" t="str">
        <f t="shared" si="71"/>
        <v/>
      </c>
      <c r="AE2219" t="str">
        <f t="shared" si="72"/>
        <v/>
      </c>
    </row>
    <row r="2220">
      <c r="D2220" s="226"/>
      <c r="H2220" s="474"/>
      <c r="I2220" s="474"/>
      <c r="J2220" s="475"/>
      <c r="K2220" s="275"/>
      <c r="L2220" s="82"/>
      <c r="M2220" s="672"/>
      <c r="N2220" s="242"/>
      <c r="O2220" s="242"/>
      <c r="P2220" s="242"/>
      <c r="Q2220" s="242"/>
      <c r="R2220" s="539"/>
      <c r="S2220" s="540"/>
      <c r="T2220" s="543"/>
      <c r="U2220" s="673" t="b">
        <v>0</v>
      </c>
      <c r="Z2220" t="b">
        <v>0</v>
      </c>
      <c r="AA2220" t="b">
        <v>0</v>
      </c>
      <c r="AC2220" s="82"/>
      <c r="AD2220" t="str">
        <f t="shared" si="71"/>
        <v/>
      </c>
      <c r="AE2220" t="str">
        <f t="shared" si="72"/>
        <v/>
      </c>
    </row>
    <row r="2221">
      <c r="D2221" s="226"/>
      <c r="H2221" s="474"/>
      <c r="I2221" s="474"/>
      <c r="J2221" s="475"/>
      <c r="K2221" s="275"/>
      <c r="L2221" s="82"/>
      <c r="M2221" s="672"/>
      <c r="N2221" s="242"/>
      <c r="O2221" s="242"/>
      <c r="P2221" s="242"/>
      <c r="Q2221" s="242"/>
      <c r="R2221" s="539"/>
      <c r="S2221" s="540"/>
      <c r="T2221" s="543"/>
      <c r="U2221" s="673" t="b">
        <v>0</v>
      </c>
      <c r="Z2221" t="b">
        <v>0</v>
      </c>
      <c r="AA2221" t="b">
        <v>0</v>
      </c>
      <c r="AC2221" s="82"/>
      <c r="AD2221" t="str">
        <f t="shared" si="71"/>
        <v/>
      </c>
      <c r="AE2221" t="str">
        <f t="shared" si="72"/>
        <v/>
      </c>
    </row>
    <row r="2222">
      <c r="D2222" s="226"/>
      <c r="H2222" s="474"/>
      <c r="I2222" s="474"/>
      <c r="J2222" s="475"/>
      <c r="K2222" s="275"/>
      <c r="L2222" s="82"/>
      <c r="M2222" s="672"/>
      <c r="N2222" s="242"/>
      <c r="O2222" s="242"/>
      <c r="P2222" s="242"/>
      <c r="Q2222" s="242"/>
      <c r="R2222" s="539"/>
      <c r="S2222" s="540"/>
      <c r="T2222" s="543"/>
      <c r="U2222" s="673" t="b">
        <v>0</v>
      </c>
      <c r="Z2222" t="b">
        <v>0</v>
      </c>
      <c r="AA2222" t="b">
        <v>0</v>
      </c>
      <c r="AC2222" s="82"/>
      <c r="AD2222" t="str">
        <f t="shared" si="71"/>
        <v/>
      </c>
      <c r="AE2222" t="str">
        <f t="shared" si="72"/>
        <v/>
      </c>
    </row>
    <row r="2223">
      <c r="D2223" s="226"/>
      <c r="H2223" s="474"/>
      <c r="I2223" s="474"/>
      <c r="J2223" s="475"/>
      <c r="K2223" s="275"/>
      <c r="L2223" s="82"/>
      <c r="M2223" s="672"/>
      <c r="N2223" s="242"/>
      <c r="O2223" s="242"/>
      <c r="P2223" s="242"/>
      <c r="Q2223" s="242"/>
      <c r="R2223" s="539"/>
      <c r="S2223" s="540"/>
      <c r="T2223" s="543"/>
      <c r="U2223" s="673" t="b">
        <v>0</v>
      </c>
      <c r="Z2223" t="b">
        <v>0</v>
      </c>
      <c r="AA2223" t="b">
        <v>0</v>
      </c>
      <c r="AC2223" s="82"/>
      <c r="AD2223" t="str">
        <f t="shared" si="71"/>
        <v/>
      </c>
      <c r="AE2223" t="str">
        <f t="shared" si="72"/>
        <v/>
      </c>
    </row>
    <row r="2224">
      <c r="D2224" s="226"/>
      <c r="H2224" s="474"/>
      <c r="I2224" s="474"/>
      <c r="J2224" s="475"/>
      <c r="K2224" s="275"/>
      <c r="L2224" s="82"/>
      <c r="M2224" s="672"/>
      <c r="N2224" s="242"/>
      <c r="O2224" s="242"/>
      <c r="P2224" s="242"/>
      <c r="Q2224" s="242"/>
      <c r="R2224" s="539"/>
      <c r="S2224" s="540"/>
      <c r="T2224" s="543"/>
      <c r="U2224" s="673" t="b">
        <v>0</v>
      </c>
      <c r="Z2224" t="b">
        <v>0</v>
      </c>
      <c r="AA2224" t="b">
        <v>0</v>
      </c>
      <c r="AC2224" s="82"/>
      <c r="AD2224" t="str">
        <f t="shared" si="71"/>
        <v/>
      </c>
      <c r="AE2224" t="str">
        <f t="shared" si="72"/>
        <v/>
      </c>
    </row>
    <row r="2225">
      <c r="D2225" s="226"/>
      <c r="H2225" s="474"/>
      <c r="I2225" s="474"/>
      <c r="J2225" s="475"/>
      <c r="K2225" s="275"/>
      <c r="L2225" s="82"/>
      <c r="M2225" s="672"/>
      <c r="N2225" s="242"/>
      <c r="O2225" s="242"/>
      <c r="P2225" s="242"/>
      <c r="Q2225" s="242"/>
      <c r="R2225" s="539"/>
      <c r="S2225" s="540"/>
      <c r="T2225" s="543"/>
      <c r="U2225" s="673" t="b">
        <v>0</v>
      </c>
      <c r="Z2225" t="b">
        <v>0</v>
      </c>
      <c r="AA2225" t="b">
        <v>0</v>
      </c>
      <c r="AC2225" s="82"/>
      <c r="AD2225" t="str">
        <f t="shared" si="71"/>
        <v/>
      </c>
      <c r="AE2225" t="str">
        <f t="shared" si="72"/>
        <v/>
      </c>
    </row>
    <row r="2226">
      <c r="D2226" s="226"/>
      <c r="H2226" s="474"/>
      <c r="I2226" s="474"/>
      <c r="J2226" s="475"/>
      <c r="K2226" s="275"/>
      <c r="L2226" s="82"/>
      <c r="M2226" s="672"/>
      <c r="N2226" s="242"/>
      <c r="O2226" s="242"/>
      <c r="P2226" s="242"/>
      <c r="Q2226" s="242"/>
      <c r="R2226" s="539"/>
      <c r="S2226" s="540"/>
      <c r="T2226" s="543"/>
      <c r="U2226" s="673" t="b">
        <v>0</v>
      </c>
      <c r="Z2226" t="b">
        <v>0</v>
      </c>
      <c r="AA2226" t="b">
        <v>0</v>
      </c>
      <c r="AC2226" s="82"/>
      <c r="AD2226" t="str">
        <f t="shared" si="71"/>
        <v/>
      </c>
      <c r="AE2226" t="str">
        <f t="shared" si="72"/>
        <v/>
      </c>
    </row>
    <row r="2227">
      <c r="D2227" s="226"/>
      <c r="H2227" s="474"/>
      <c r="I2227" s="474"/>
      <c r="J2227" s="475"/>
      <c r="K2227" s="275"/>
      <c r="L2227" s="82"/>
      <c r="M2227" s="672"/>
      <c r="N2227" s="242"/>
      <c r="O2227" s="242"/>
      <c r="P2227" s="242"/>
      <c r="Q2227" s="242"/>
      <c r="R2227" s="539"/>
      <c r="S2227" s="540"/>
      <c r="T2227" s="543"/>
      <c r="U2227" s="673" t="b">
        <v>0</v>
      </c>
      <c r="Z2227" t="b">
        <v>0</v>
      </c>
      <c r="AA2227" t="b">
        <v>0</v>
      </c>
      <c r="AC2227" s="82"/>
      <c r="AD2227" t="str">
        <f t="shared" si="71"/>
        <v/>
      </c>
      <c r="AE2227" t="str">
        <f t="shared" si="72"/>
        <v/>
      </c>
    </row>
    <row r="2228">
      <c r="D2228" s="226"/>
      <c r="H2228" s="474"/>
      <c r="I2228" s="474"/>
      <c r="J2228" s="475"/>
      <c r="K2228" s="275"/>
      <c r="L2228" s="82"/>
      <c r="M2228" s="672"/>
      <c r="N2228" s="242"/>
      <c r="O2228" s="242"/>
      <c r="P2228" s="242"/>
      <c r="Q2228" s="242"/>
      <c r="R2228" s="539"/>
      <c r="S2228" s="540"/>
      <c r="T2228" s="543"/>
      <c r="U2228" s="673" t="b">
        <v>0</v>
      </c>
      <c r="Z2228" t="b">
        <v>0</v>
      </c>
      <c r="AA2228" t="b">
        <v>0</v>
      </c>
      <c r="AC2228" s="82"/>
      <c r="AD2228" t="str">
        <f t="shared" si="71"/>
        <v/>
      </c>
      <c r="AE2228" t="str">
        <f t="shared" si="72"/>
        <v/>
      </c>
    </row>
    <row r="2229">
      <c r="D2229" s="226"/>
      <c r="H2229" s="474"/>
      <c r="I2229" s="474"/>
      <c r="J2229" s="475"/>
      <c r="K2229" s="275"/>
      <c r="L2229" s="82"/>
      <c r="M2229" s="672"/>
      <c r="N2229" s="242"/>
      <c r="O2229" s="242"/>
      <c r="P2229" s="242"/>
      <c r="Q2229" s="242"/>
      <c r="R2229" s="539"/>
      <c r="S2229" s="540"/>
      <c r="T2229" s="543"/>
      <c r="U2229" s="673" t="b">
        <v>0</v>
      </c>
      <c r="Z2229" t="b">
        <v>0</v>
      </c>
      <c r="AA2229" t="b">
        <v>0</v>
      </c>
      <c r="AC2229" s="82"/>
      <c r="AD2229" t="str">
        <f t="shared" si="71"/>
        <v/>
      </c>
      <c r="AE2229" t="str">
        <f t="shared" si="72"/>
        <v/>
      </c>
    </row>
    <row r="2230">
      <c r="D2230" s="226"/>
      <c r="H2230" s="474"/>
      <c r="I2230" s="474"/>
      <c r="J2230" s="475"/>
      <c r="K2230" s="275"/>
      <c r="L2230" s="82"/>
      <c r="M2230" s="672"/>
      <c r="N2230" s="242"/>
      <c r="O2230" s="242"/>
      <c r="P2230" s="242"/>
      <c r="Q2230" s="242"/>
      <c r="R2230" s="539"/>
      <c r="S2230" s="540"/>
      <c r="T2230" s="543"/>
      <c r="U2230" s="673" t="b">
        <v>0</v>
      </c>
      <c r="Z2230" t="b">
        <v>0</v>
      </c>
      <c r="AA2230" t="b">
        <v>0</v>
      </c>
      <c r="AC2230" s="82"/>
      <c r="AD2230" t="str">
        <f t="shared" si="71"/>
        <v/>
      </c>
      <c r="AE2230" t="str">
        <f t="shared" si="72"/>
        <v/>
      </c>
    </row>
    <row r="2231">
      <c r="D2231" s="226"/>
      <c r="H2231" s="474"/>
      <c r="I2231" s="474"/>
      <c r="J2231" s="475"/>
      <c r="K2231" s="275"/>
      <c r="L2231" s="82"/>
      <c r="M2231" s="672"/>
      <c r="N2231" s="242"/>
      <c r="O2231" s="242"/>
      <c r="P2231" s="242"/>
      <c r="Q2231" s="242"/>
      <c r="R2231" s="539"/>
      <c r="S2231" s="540"/>
      <c r="T2231" s="543"/>
      <c r="U2231" s="673" t="b">
        <v>0</v>
      </c>
      <c r="Z2231" t="b">
        <v>0</v>
      </c>
      <c r="AA2231" t="b">
        <v>0</v>
      </c>
      <c r="AC2231" s="82"/>
      <c r="AD2231" t="str">
        <f t="shared" si="71"/>
        <v/>
      </c>
      <c r="AE2231" t="str">
        <f t="shared" si="72"/>
        <v/>
      </c>
    </row>
    <row r="2232">
      <c r="D2232" s="226"/>
      <c r="H2232" s="474"/>
      <c r="I2232" s="474"/>
      <c r="J2232" s="475"/>
      <c r="K2232" s="275"/>
      <c r="L2232" s="82"/>
      <c r="M2232" s="672"/>
      <c r="N2232" s="242"/>
      <c r="O2232" s="242"/>
      <c r="P2232" s="242"/>
      <c r="Q2232" s="242"/>
      <c r="R2232" s="539"/>
      <c r="S2232" s="540"/>
      <c r="T2232" s="543"/>
      <c r="U2232" s="673" t="b">
        <v>0</v>
      </c>
      <c r="Z2232" t="b">
        <v>0</v>
      </c>
      <c r="AA2232" t="b">
        <v>0</v>
      </c>
      <c r="AC2232" s="82"/>
      <c r="AD2232" t="str">
        <f t="shared" si="71"/>
        <v/>
      </c>
      <c r="AE2232" t="str">
        <f t="shared" si="72"/>
        <v/>
      </c>
    </row>
    <row r="2233">
      <c r="D2233" s="226"/>
      <c r="H2233" s="474"/>
      <c r="I2233" s="474"/>
      <c r="J2233" s="475"/>
      <c r="K2233" s="275"/>
      <c r="L2233" s="82"/>
      <c r="M2233" s="672"/>
      <c r="N2233" s="242"/>
      <c r="O2233" s="242"/>
      <c r="P2233" s="242"/>
      <c r="Q2233" s="242"/>
      <c r="R2233" s="539"/>
      <c r="S2233" s="540"/>
      <c r="T2233" s="543"/>
      <c r="U2233" s="673" t="b">
        <v>0</v>
      </c>
      <c r="Z2233" t="b">
        <v>0</v>
      </c>
      <c r="AA2233" t="b">
        <v>0</v>
      </c>
      <c r="AC2233" s="82"/>
      <c r="AD2233" t="str">
        <f t="shared" si="71"/>
        <v/>
      </c>
      <c r="AE2233" t="str">
        <f t="shared" si="72"/>
        <v/>
      </c>
    </row>
    <row r="2234">
      <c r="D2234" s="226"/>
      <c r="H2234" s="474"/>
      <c r="I2234" s="474"/>
      <c r="J2234" s="475"/>
      <c r="K2234" s="275"/>
      <c r="L2234" s="82"/>
      <c r="M2234" s="672"/>
      <c r="N2234" s="242"/>
      <c r="O2234" s="242"/>
      <c r="P2234" s="242"/>
      <c r="Q2234" s="242"/>
      <c r="R2234" s="539"/>
      <c r="S2234" s="540"/>
      <c r="T2234" s="543"/>
      <c r="U2234" s="673" t="b">
        <v>0</v>
      </c>
      <c r="Z2234" t="b">
        <v>0</v>
      </c>
      <c r="AA2234" t="b">
        <v>0</v>
      </c>
      <c r="AC2234" s="82"/>
      <c r="AD2234" t="str">
        <f t="shared" si="71"/>
        <v/>
      </c>
      <c r="AE2234" t="str">
        <f t="shared" si="72"/>
        <v/>
      </c>
    </row>
    <row r="2235">
      <c r="D2235" s="226"/>
      <c r="H2235" s="474"/>
      <c r="I2235" s="474"/>
      <c r="J2235" s="475"/>
      <c r="K2235" s="275"/>
      <c r="L2235" s="82"/>
      <c r="M2235" s="672"/>
      <c r="N2235" s="242"/>
      <c r="O2235" s="242"/>
      <c r="P2235" s="242"/>
      <c r="Q2235" s="242"/>
      <c r="R2235" s="539"/>
      <c r="S2235" s="540"/>
      <c r="T2235" s="543"/>
      <c r="U2235" s="673" t="b">
        <v>0</v>
      </c>
      <c r="Z2235" t="b">
        <v>0</v>
      </c>
      <c r="AA2235" t="b">
        <v>0</v>
      </c>
      <c r="AC2235" s="82"/>
      <c r="AD2235" t="str">
        <f t="shared" si="71"/>
        <v/>
      </c>
      <c r="AE2235" t="str">
        <f t="shared" si="72"/>
        <v/>
      </c>
    </row>
    <row r="2236">
      <c r="D2236" s="226"/>
      <c r="H2236" s="474"/>
      <c r="I2236" s="474"/>
      <c r="J2236" s="475"/>
      <c r="K2236" s="275"/>
      <c r="L2236" s="82"/>
      <c r="M2236" s="672"/>
      <c r="N2236" s="242"/>
      <c r="O2236" s="242"/>
      <c r="P2236" s="242"/>
      <c r="Q2236" s="242"/>
      <c r="R2236" s="539"/>
      <c r="S2236" s="540"/>
      <c r="T2236" s="543"/>
      <c r="U2236" s="673" t="b">
        <v>0</v>
      </c>
      <c r="Z2236" t="b">
        <v>0</v>
      </c>
      <c r="AA2236" t="b">
        <v>0</v>
      </c>
      <c r="AC2236" s="82"/>
      <c r="AD2236" t="str">
        <f t="shared" si="71"/>
        <v/>
      </c>
      <c r="AE2236" t="str">
        <f t="shared" si="72"/>
        <v/>
      </c>
    </row>
    <row r="2237">
      <c r="D2237" s="226"/>
      <c r="H2237" s="474"/>
      <c r="I2237" s="474"/>
      <c r="J2237" s="475"/>
      <c r="K2237" s="275"/>
      <c r="L2237" s="82"/>
      <c r="M2237" s="672"/>
      <c r="N2237" s="242"/>
      <c r="O2237" s="242"/>
      <c r="P2237" s="242"/>
      <c r="Q2237" s="242"/>
      <c r="R2237" s="539"/>
      <c r="S2237" s="540"/>
      <c r="T2237" s="543"/>
      <c r="U2237" s="673" t="b">
        <v>0</v>
      </c>
      <c r="Z2237" t="b">
        <v>0</v>
      </c>
      <c r="AA2237" t="b">
        <v>0</v>
      </c>
      <c r="AC2237" s="82"/>
      <c r="AD2237" t="str">
        <f t="shared" si="71"/>
        <v/>
      </c>
      <c r="AE2237" t="str">
        <f t="shared" si="72"/>
        <v/>
      </c>
    </row>
    <row r="2238">
      <c r="D2238" s="226"/>
      <c r="H2238" s="474"/>
      <c r="I2238" s="474"/>
      <c r="J2238" s="475"/>
      <c r="K2238" s="275"/>
      <c r="L2238" s="82"/>
      <c r="M2238" s="672"/>
      <c r="N2238" s="242"/>
      <c r="O2238" s="242"/>
      <c r="P2238" s="242"/>
      <c r="Q2238" s="242"/>
      <c r="R2238" s="539"/>
      <c r="S2238" s="540"/>
      <c r="T2238" s="543"/>
      <c r="U2238" s="673" t="b">
        <v>0</v>
      </c>
      <c r="Z2238" t="b">
        <v>0</v>
      </c>
      <c r="AA2238" t="b">
        <v>0</v>
      </c>
      <c r="AC2238" s="82"/>
      <c r="AD2238" t="str">
        <f t="shared" si="71"/>
        <v/>
      </c>
      <c r="AE2238" t="str">
        <f t="shared" si="72"/>
        <v/>
      </c>
    </row>
    <row r="2239">
      <c r="D2239" s="226"/>
      <c r="H2239" s="474"/>
      <c r="I2239" s="474"/>
      <c r="J2239" s="475"/>
      <c r="K2239" s="275"/>
      <c r="L2239" s="82"/>
      <c r="M2239" s="672"/>
      <c r="N2239" s="242"/>
      <c r="O2239" s="242"/>
      <c r="P2239" s="242"/>
      <c r="Q2239" s="242"/>
      <c r="R2239" s="539"/>
      <c r="S2239" s="540"/>
      <c r="T2239" s="543"/>
      <c r="U2239" s="673" t="b">
        <v>0</v>
      </c>
      <c r="Z2239" t="b">
        <v>0</v>
      </c>
      <c r="AA2239" t="b">
        <v>0</v>
      </c>
      <c r="AC2239" s="82"/>
      <c r="AD2239" t="str">
        <f t="shared" si="71"/>
        <v/>
      </c>
      <c r="AE2239" t="str">
        <f t="shared" si="72"/>
        <v/>
      </c>
    </row>
    <row r="2240">
      <c r="D2240" s="226"/>
      <c r="H2240" s="474"/>
      <c r="I2240" s="474"/>
      <c r="J2240" s="475"/>
      <c r="K2240" s="275"/>
      <c r="L2240" s="82"/>
      <c r="M2240" s="672"/>
      <c r="N2240" s="242"/>
      <c r="O2240" s="242"/>
      <c r="P2240" s="242"/>
      <c r="Q2240" s="242"/>
      <c r="R2240" s="539"/>
      <c r="S2240" s="540"/>
      <c r="T2240" s="543"/>
      <c r="U2240" s="673" t="b">
        <v>0</v>
      </c>
      <c r="Z2240" t="b">
        <v>0</v>
      </c>
      <c r="AA2240" t="b">
        <v>0</v>
      </c>
      <c r="AC2240" s="82"/>
      <c r="AD2240" t="str">
        <f t="shared" si="71"/>
        <v/>
      </c>
      <c r="AE2240" t="str">
        <f t="shared" si="72"/>
        <v/>
      </c>
    </row>
    <row r="2241">
      <c r="D2241" s="226"/>
      <c r="H2241" s="474"/>
      <c r="I2241" s="474"/>
      <c r="J2241" s="475"/>
      <c r="K2241" s="275"/>
      <c r="L2241" s="82"/>
      <c r="M2241" s="672"/>
      <c r="N2241" s="242"/>
      <c r="O2241" s="242"/>
      <c r="P2241" s="242"/>
      <c r="Q2241" s="242"/>
      <c r="R2241" s="539"/>
      <c r="S2241" s="540"/>
      <c r="T2241" s="543"/>
      <c r="U2241" s="673" t="b">
        <v>0</v>
      </c>
      <c r="Z2241" t="b">
        <v>0</v>
      </c>
      <c r="AA2241" t="b">
        <v>0</v>
      </c>
      <c r="AC2241" s="82"/>
      <c r="AD2241" t="str">
        <f t="shared" si="71"/>
        <v/>
      </c>
      <c r="AE2241" t="str">
        <f t="shared" si="72"/>
        <v/>
      </c>
    </row>
    <row r="2242">
      <c r="D2242" s="226"/>
      <c r="H2242" s="474"/>
      <c r="I2242" s="474"/>
      <c r="J2242" s="475"/>
      <c r="K2242" s="275"/>
      <c r="L2242" s="82"/>
      <c r="M2242" s="672"/>
      <c r="N2242" s="242"/>
      <c r="O2242" s="242"/>
      <c r="P2242" s="242"/>
      <c r="Q2242" s="242"/>
      <c r="R2242" s="539"/>
      <c r="S2242" s="540"/>
      <c r="T2242" s="543"/>
      <c r="U2242" s="673" t="b">
        <v>0</v>
      </c>
      <c r="Z2242" t="b">
        <v>0</v>
      </c>
      <c r="AA2242" t="b">
        <v>0</v>
      </c>
      <c r="AC2242" s="82"/>
      <c r="AD2242" t="str">
        <f t="shared" si="71"/>
        <v/>
      </c>
      <c r="AE2242" t="str">
        <f t="shared" si="72"/>
        <v/>
      </c>
    </row>
    <row r="2243">
      <c r="D2243" s="226"/>
      <c r="H2243" s="474"/>
      <c r="I2243" s="474"/>
      <c r="J2243" s="475"/>
      <c r="K2243" s="275"/>
      <c r="L2243" s="82"/>
      <c r="M2243" s="672"/>
      <c r="N2243" s="242"/>
      <c r="O2243" s="242"/>
      <c r="P2243" s="242"/>
      <c r="Q2243" s="242"/>
      <c r="R2243" s="539"/>
      <c r="S2243" s="540"/>
      <c r="T2243" s="543"/>
      <c r="U2243" s="673" t="b">
        <v>0</v>
      </c>
      <c r="Z2243" t="b">
        <v>0</v>
      </c>
      <c r="AA2243" t="b">
        <v>0</v>
      </c>
      <c r="AC2243" s="82"/>
      <c r="AD2243" t="str">
        <f t="shared" si="71"/>
        <v/>
      </c>
      <c r="AE2243" t="str">
        <f t="shared" si="72"/>
        <v/>
      </c>
    </row>
    <row r="2244">
      <c r="D2244" s="226"/>
      <c r="H2244" s="474"/>
      <c r="I2244" s="474"/>
      <c r="J2244" s="475"/>
      <c r="K2244" s="275"/>
      <c r="L2244" s="82"/>
      <c r="M2244" s="672"/>
      <c r="N2244" s="242"/>
      <c r="O2244" s="242"/>
      <c r="P2244" s="242"/>
      <c r="Q2244" s="242"/>
      <c r="R2244" s="539"/>
      <c r="S2244" s="540"/>
      <c r="T2244" s="543"/>
      <c r="U2244" s="673" t="b">
        <v>0</v>
      </c>
      <c r="Z2244" t="b">
        <v>0</v>
      </c>
      <c r="AA2244" t="b">
        <v>0</v>
      </c>
      <c r="AC2244" s="82"/>
      <c r="AD2244" t="str">
        <f t="shared" si="71"/>
        <v/>
      </c>
      <c r="AE2244" t="str">
        <f t="shared" si="72"/>
        <v/>
      </c>
    </row>
    <row r="2245">
      <c r="D2245" s="226"/>
      <c r="H2245" s="474"/>
      <c r="I2245" s="474"/>
      <c r="J2245" s="475"/>
      <c r="K2245" s="275"/>
      <c r="L2245" s="82"/>
      <c r="M2245" s="672"/>
      <c r="N2245" s="242"/>
      <c r="O2245" s="242"/>
      <c r="P2245" s="242"/>
      <c r="Q2245" s="242"/>
      <c r="R2245" s="539"/>
      <c r="S2245" s="540"/>
      <c r="T2245" s="543"/>
      <c r="U2245" s="673" t="b">
        <v>0</v>
      </c>
      <c r="Z2245" t="b">
        <v>0</v>
      </c>
      <c r="AA2245" t="b">
        <v>0</v>
      </c>
      <c r="AC2245" s="82"/>
      <c r="AD2245" t="str">
        <f t="shared" si="71"/>
        <v/>
      </c>
      <c r="AE2245" t="str">
        <f t="shared" si="72"/>
        <v/>
      </c>
    </row>
    <row r="2246">
      <c r="D2246" s="226"/>
      <c r="H2246" s="474"/>
      <c r="I2246" s="474"/>
      <c r="J2246" s="475"/>
      <c r="K2246" s="275"/>
      <c r="L2246" s="82"/>
      <c r="M2246" s="672"/>
      <c r="N2246" s="242"/>
      <c r="O2246" s="242"/>
      <c r="P2246" s="242"/>
      <c r="Q2246" s="242"/>
      <c r="R2246" s="539"/>
      <c r="S2246" s="540"/>
      <c r="T2246" s="543"/>
      <c r="U2246" s="673" t="b">
        <v>0</v>
      </c>
      <c r="Z2246" t="b">
        <v>0</v>
      </c>
      <c r="AA2246" t="b">
        <v>0</v>
      </c>
      <c r="AC2246" s="82"/>
      <c r="AD2246" t="str">
        <f t="shared" si="71"/>
        <v/>
      </c>
      <c r="AE2246" t="str">
        <f t="shared" si="72"/>
        <v/>
      </c>
    </row>
    <row r="2247">
      <c r="D2247" s="226"/>
      <c r="H2247" s="474"/>
      <c r="I2247" s="474"/>
      <c r="J2247" s="475"/>
      <c r="K2247" s="275"/>
      <c r="L2247" s="82"/>
      <c r="M2247" s="672"/>
      <c r="N2247" s="242"/>
      <c r="O2247" s="242"/>
      <c r="P2247" s="242"/>
      <c r="Q2247" s="242"/>
      <c r="R2247" s="539"/>
      <c r="S2247" s="540"/>
      <c r="T2247" s="543"/>
      <c r="U2247" s="673" t="b">
        <v>0</v>
      </c>
      <c r="Z2247" t="b">
        <v>0</v>
      </c>
      <c r="AA2247" t="b">
        <v>0</v>
      </c>
      <c r="AC2247" s="82"/>
      <c r="AD2247" t="str">
        <f t="shared" si="71"/>
        <v/>
      </c>
      <c r="AE2247" t="str">
        <f t="shared" si="72"/>
        <v/>
      </c>
    </row>
    <row r="2248">
      <c r="D2248" s="226"/>
      <c r="H2248" s="474"/>
      <c r="I2248" s="474"/>
      <c r="J2248" s="475"/>
      <c r="K2248" s="275"/>
      <c r="L2248" s="82"/>
      <c r="M2248" s="672"/>
      <c r="N2248" s="242"/>
      <c r="O2248" s="242"/>
      <c r="P2248" s="242"/>
      <c r="Q2248" s="242"/>
      <c r="R2248" s="539"/>
      <c r="S2248" s="540"/>
      <c r="T2248" s="543"/>
      <c r="U2248" s="673" t="b">
        <v>0</v>
      </c>
      <c r="Z2248" t="b">
        <v>0</v>
      </c>
      <c r="AA2248" t="b">
        <v>0</v>
      </c>
      <c r="AC2248" s="82"/>
      <c r="AD2248" t="str">
        <f t="shared" si="71"/>
        <v/>
      </c>
      <c r="AE2248" t="str">
        <f t="shared" si="72"/>
        <v/>
      </c>
    </row>
    <row r="2249">
      <c r="D2249" s="226"/>
      <c r="H2249" s="474"/>
      <c r="I2249" s="474"/>
      <c r="J2249" s="475"/>
      <c r="K2249" s="275"/>
      <c r="L2249" s="82"/>
      <c r="M2249" s="672"/>
      <c r="N2249" s="242"/>
      <c r="O2249" s="242"/>
      <c r="P2249" s="242"/>
      <c r="Q2249" s="242"/>
      <c r="R2249" s="539"/>
      <c r="S2249" s="540"/>
      <c r="T2249" s="543"/>
      <c r="U2249" s="673" t="b">
        <v>0</v>
      </c>
      <c r="Z2249" t="b">
        <v>0</v>
      </c>
      <c r="AA2249" t="b">
        <v>0</v>
      </c>
      <c r="AC2249" s="82"/>
      <c r="AD2249" t="str">
        <f t="shared" si="71"/>
        <v/>
      </c>
      <c r="AE2249" t="str">
        <f t="shared" si="72"/>
        <v/>
      </c>
    </row>
    <row r="2250">
      <c r="D2250" s="226"/>
      <c r="H2250" s="474"/>
      <c r="I2250" s="474"/>
      <c r="J2250" s="475"/>
      <c r="K2250" s="275"/>
      <c r="L2250" s="82"/>
      <c r="M2250" s="672"/>
      <c r="N2250" s="242"/>
      <c r="O2250" s="242"/>
      <c r="P2250" s="242"/>
      <c r="Q2250" s="242"/>
      <c r="R2250" s="539"/>
      <c r="S2250" s="540"/>
      <c r="T2250" s="543"/>
      <c r="U2250" s="673" t="b">
        <v>0</v>
      </c>
      <c r="Z2250" t="b">
        <v>0</v>
      </c>
      <c r="AA2250" t="b">
        <v>0</v>
      </c>
      <c r="AC2250" s="82"/>
      <c r="AD2250" t="str">
        <f t="shared" si="71"/>
        <v/>
      </c>
      <c r="AE2250" t="str">
        <f t="shared" si="72"/>
        <v/>
      </c>
    </row>
    <row r="2251">
      <c r="D2251" s="226"/>
      <c r="H2251" s="474"/>
      <c r="I2251" s="474"/>
      <c r="J2251" s="475"/>
      <c r="K2251" s="275"/>
      <c r="L2251" s="82"/>
      <c r="M2251" s="672"/>
      <c r="N2251" s="242"/>
      <c r="O2251" s="242"/>
      <c r="P2251" s="242"/>
      <c r="Q2251" s="242"/>
      <c r="R2251" s="539"/>
      <c r="S2251" s="540"/>
      <c r="T2251" s="543"/>
      <c r="U2251" s="673" t="b">
        <v>0</v>
      </c>
      <c r="Z2251" t="b">
        <v>0</v>
      </c>
      <c r="AA2251" t="b">
        <v>0</v>
      </c>
      <c r="AC2251" s="82"/>
      <c r="AD2251" t="str">
        <f t="shared" si="71"/>
        <v/>
      </c>
      <c r="AE2251" t="str">
        <f t="shared" si="72"/>
        <v/>
      </c>
    </row>
    <row r="2252">
      <c r="D2252" s="226"/>
      <c r="H2252" s="474"/>
      <c r="I2252" s="474"/>
      <c r="J2252" s="475"/>
      <c r="K2252" s="275"/>
      <c r="L2252" s="82"/>
      <c r="M2252" s="672"/>
      <c r="N2252" s="242"/>
      <c r="O2252" s="242"/>
      <c r="P2252" s="242"/>
      <c r="Q2252" s="242"/>
      <c r="R2252" s="539"/>
      <c r="S2252" s="540"/>
      <c r="T2252" s="543"/>
      <c r="U2252" s="673" t="b">
        <v>0</v>
      </c>
      <c r="Z2252" t="b">
        <v>0</v>
      </c>
      <c r="AA2252" t="b">
        <v>0</v>
      </c>
      <c r="AC2252" s="82"/>
      <c r="AD2252" t="str">
        <f t="shared" si="71"/>
        <v/>
      </c>
      <c r="AE2252" t="str">
        <f t="shared" si="72"/>
        <v/>
      </c>
    </row>
    <row r="2253">
      <c r="D2253" s="226"/>
      <c r="H2253" s="474"/>
      <c r="I2253" s="474"/>
      <c r="J2253" s="475"/>
      <c r="K2253" s="275"/>
      <c r="L2253" s="82"/>
      <c r="M2253" s="672"/>
      <c r="N2253" s="242"/>
      <c r="O2253" s="242"/>
      <c r="P2253" s="242"/>
      <c r="Q2253" s="242"/>
      <c r="R2253" s="539"/>
      <c r="S2253" s="540"/>
      <c r="T2253" s="543"/>
      <c r="U2253" s="673" t="b">
        <v>0</v>
      </c>
      <c r="Z2253" t="b">
        <v>0</v>
      </c>
      <c r="AA2253" t="b">
        <v>0</v>
      </c>
      <c r="AC2253" s="82"/>
      <c r="AD2253" t="str">
        <f t="shared" si="71"/>
        <v/>
      </c>
      <c r="AE2253" t="str">
        <f t="shared" si="72"/>
        <v/>
      </c>
    </row>
    <row r="2254">
      <c r="D2254" s="226"/>
      <c r="H2254" s="474"/>
      <c r="I2254" s="474"/>
      <c r="J2254" s="475"/>
      <c r="K2254" s="275"/>
      <c r="L2254" s="82"/>
      <c r="M2254" s="672"/>
      <c r="N2254" s="242"/>
      <c r="O2254" s="242"/>
      <c r="P2254" s="242"/>
      <c r="Q2254" s="242"/>
      <c r="R2254" s="539"/>
      <c r="S2254" s="540"/>
      <c r="T2254" s="543"/>
      <c r="U2254" s="673" t="b">
        <v>0</v>
      </c>
      <c r="Z2254" t="b">
        <v>0</v>
      </c>
      <c r="AA2254" t="b">
        <v>0</v>
      </c>
      <c r="AC2254" s="82"/>
      <c r="AD2254" t="str">
        <f t="shared" si="71"/>
        <v/>
      </c>
      <c r="AE2254" t="str">
        <f t="shared" si="72"/>
        <v/>
      </c>
    </row>
    <row r="2255">
      <c r="D2255" s="226"/>
      <c r="H2255" s="474"/>
      <c r="I2255" s="474"/>
      <c r="J2255" s="475"/>
      <c r="K2255" s="275"/>
      <c r="L2255" s="82"/>
      <c r="M2255" s="672"/>
      <c r="N2255" s="242"/>
      <c r="O2255" s="242"/>
      <c r="P2255" s="242"/>
      <c r="Q2255" s="242"/>
      <c r="R2255" s="539"/>
      <c r="S2255" s="540"/>
      <c r="T2255" s="543"/>
      <c r="U2255" s="673" t="b">
        <v>0</v>
      </c>
      <c r="Z2255" t="b">
        <v>0</v>
      </c>
      <c r="AA2255" t="b">
        <v>0</v>
      </c>
      <c r="AC2255" s="82"/>
      <c r="AD2255" t="str">
        <f t="shared" si="71"/>
        <v/>
      </c>
      <c r="AE2255" t="str">
        <f t="shared" si="72"/>
        <v/>
      </c>
    </row>
    <row r="2256">
      <c r="D2256" s="226"/>
      <c r="H2256" s="474"/>
      <c r="I2256" s="474"/>
      <c r="J2256" s="475"/>
      <c r="K2256" s="275"/>
      <c r="L2256" s="82"/>
      <c r="M2256" s="672"/>
      <c r="N2256" s="242"/>
      <c r="O2256" s="242"/>
      <c r="P2256" s="242"/>
      <c r="Q2256" s="242"/>
      <c r="R2256" s="539"/>
      <c r="S2256" s="540"/>
      <c r="T2256" s="543"/>
      <c r="U2256" s="673" t="b">
        <v>0</v>
      </c>
      <c r="Z2256" t="b">
        <v>0</v>
      </c>
      <c r="AA2256" t="b">
        <v>0</v>
      </c>
      <c r="AC2256" s="82"/>
      <c r="AD2256" t="str">
        <f t="shared" si="71"/>
        <v/>
      </c>
      <c r="AE2256" t="str">
        <f t="shared" si="72"/>
        <v/>
      </c>
    </row>
    <row r="2257">
      <c r="D2257" s="226"/>
      <c r="H2257" s="474"/>
      <c r="I2257" s="474"/>
      <c r="J2257" s="475"/>
      <c r="K2257" s="275"/>
      <c r="L2257" s="82"/>
      <c r="M2257" s="672"/>
      <c r="N2257" s="242"/>
      <c r="O2257" s="242"/>
      <c r="P2257" s="242"/>
      <c r="Q2257" s="242"/>
      <c r="R2257" s="539"/>
      <c r="S2257" s="540"/>
      <c r="T2257" s="543"/>
      <c r="U2257" s="673" t="b">
        <v>0</v>
      </c>
      <c r="Z2257" t="b">
        <v>0</v>
      </c>
      <c r="AA2257" t="b">
        <v>0</v>
      </c>
      <c r="AC2257" s="82"/>
      <c r="AD2257" t="str">
        <f t="shared" si="71"/>
        <v/>
      </c>
      <c r="AE2257" t="str">
        <f t="shared" si="72"/>
        <v/>
      </c>
    </row>
    <row r="2258">
      <c r="D2258" s="226"/>
      <c r="H2258" s="474"/>
      <c r="I2258" s="474"/>
      <c r="J2258" s="475"/>
      <c r="K2258" s="275"/>
      <c r="L2258" s="82"/>
      <c r="M2258" s="672"/>
      <c r="N2258" s="242"/>
      <c r="O2258" s="242"/>
      <c r="P2258" s="242"/>
      <c r="Q2258" s="242"/>
      <c r="R2258" s="539"/>
      <c r="S2258" s="540"/>
      <c r="T2258" s="543"/>
      <c r="U2258" s="673" t="b">
        <v>0</v>
      </c>
      <c r="Z2258" t="b">
        <v>0</v>
      </c>
      <c r="AA2258" t="b">
        <v>0</v>
      </c>
      <c r="AC2258" s="82"/>
      <c r="AD2258" t="str">
        <f t="shared" si="71"/>
        <v/>
      </c>
      <c r="AE2258" t="str">
        <f t="shared" si="72"/>
        <v/>
      </c>
    </row>
    <row r="2259">
      <c r="D2259" s="226"/>
      <c r="H2259" s="474"/>
      <c r="I2259" s="474"/>
      <c r="J2259" s="475"/>
      <c r="K2259" s="275"/>
      <c r="L2259" s="82"/>
      <c r="M2259" s="672"/>
      <c r="N2259" s="242"/>
      <c r="O2259" s="242"/>
      <c r="P2259" s="242"/>
      <c r="Q2259" s="242"/>
      <c r="R2259" s="539"/>
      <c r="S2259" s="540"/>
      <c r="T2259" s="543"/>
      <c r="U2259" s="673" t="b">
        <v>0</v>
      </c>
      <c r="Z2259" t="b">
        <v>0</v>
      </c>
      <c r="AA2259" t="b">
        <v>0</v>
      </c>
      <c r="AC2259" s="82"/>
      <c r="AD2259" t="str">
        <f t="shared" si="71"/>
        <v/>
      </c>
      <c r="AE2259" t="str">
        <f t="shared" si="72"/>
        <v/>
      </c>
    </row>
    <row r="2260">
      <c r="D2260" s="226"/>
      <c r="H2260" s="474"/>
      <c r="I2260" s="474"/>
      <c r="J2260" s="475"/>
      <c r="K2260" s="275"/>
      <c r="L2260" s="82"/>
      <c r="M2260" s="672"/>
      <c r="N2260" s="242"/>
      <c r="O2260" s="242"/>
      <c r="P2260" s="242"/>
      <c r="Q2260" s="242"/>
      <c r="R2260" s="539"/>
      <c r="S2260" s="540"/>
      <c r="T2260" s="543"/>
      <c r="U2260" s="673" t="b">
        <v>0</v>
      </c>
      <c r="Z2260" t="b">
        <v>0</v>
      </c>
      <c r="AA2260" t="b">
        <v>0</v>
      </c>
      <c r="AC2260" s="82"/>
      <c r="AD2260" t="str">
        <f t="shared" si="71"/>
        <v/>
      </c>
      <c r="AE2260" t="str">
        <f t="shared" si="72"/>
        <v/>
      </c>
    </row>
    <row r="2261">
      <c r="D2261" s="226"/>
      <c r="H2261" s="474"/>
      <c r="I2261" s="474"/>
      <c r="J2261" s="475"/>
      <c r="K2261" s="275"/>
      <c r="L2261" s="82"/>
      <c r="M2261" s="672"/>
      <c r="N2261" s="242"/>
      <c r="O2261" s="242"/>
      <c r="P2261" s="242"/>
      <c r="Q2261" s="242"/>
      <c r="R2261" s="539"/>
      <c r="S2261" s="540"/>
      <c r="T2261" s="543"/>
      <c r="U2261" s="673" t="b">
        <v>0</v>
      </c>
      <c r="Z2261" t="b">
        <v>0</v>
      </c>
      <c r="AA2261" t="b">
        <v>0</v>
      </c>
      <c r="AC2261" s="82"/>
      <c r="AD2261" t="str">
        <f t="shared" si="71"/>
        <v/>
      </c>
      <c r="AE2261" t="str">
        <f t="shared" si="72"/>
        <v/>
      </c>
    </row>
    <row r="2262">
      <c r="D2262" s="226"/>
      <c r="H2262" s="474"/>
      <c r="I2262" s="474"/>
      <c r="J2262" s="475"/>
      <c r="K2262" s="275"/>
      <c r="L2262" s="82"/>
      <c r="M2262" s="672"/>
      <c r="N2262" s="242"/>
      <c r="O2262" s="242"/>
      <c r="P2262" s="242"/>
      <c r="Q2262" s="242"/>
      <c r="R2262" s="539"/>
      <c r="S2262" s="540"/>
      <c r="T2262" s="543"/>
      <c r="U2262" s="673" t="b">
        <v>0</v>
      </c>
      <c r="Z2262" t="b">
        <v>0</v>
      </c>
      <c r="AA2262" t="b">
        <v>0</v>
      </c>
      <c r="AC2262" s="82"/>
      <c r="AD2262" t="str">
        <f t="shared" si="71"/>
        <v/>
      </c>
      <c r="AE2262" t="str">
        <f t="shared" si="72"/>
        <v/>
      </c>
    </row>
    <row r="2263">
      <c r="D2263" s="226"/>
      <c r="H2263" s="474"/>
      <c r="I2263" s="474"/>
      <c r="J2263" s="475"/>
      <c r="K2263" s="275"/>
      <c r="L2263" s="82"/>
      <c r="M2263" s="672"/>
      <c r="N2263" s="242"/>
      <c r="O2263" s="242"/>
      <c r="P2263" s="242"/>
      <c r="Q2263" s="242"/>
      <c r="R2263" s="539"/>
      <c r="S2263" s="540"/>
      <c r="T2263" s="543"/>
      <c r="U2263" s="673" t="b">
        <v>0</v>
      </c>
      <c r="Z2263" t="b">
        <v>0</v>
      </c>
      <c r="AA2263" t="b">
        <v>0</v>
      </c>
      <c r="AC2263" s="82"/>
      <c r="AD2263" t="str">
        <f t="shared" si="71"/>
        <v/>
      </c>
      <c r="AE2263" t="str">
        <f t="shared" si="72"/>
        <v/>
      </c>
    </row>
    <row r="2264">
      <c r="D2264" s="226"/>
      <c r="H2264" s="474"/>
      <c r="I2264" s="474"/>
      <c r="J2264" s="475"/>
      <c r="K2264" s="275"/>
      <c r="L2264" s="82"/>
      <c r="M2264" s="672"/>
      <c r="N2264" s="242"/>
      <c r="O2264" s="242"/>
      <c r="P2264" s="242"/>
      <c r="Q2264" s="242"/>
      <c r="R2264" s="539"/>
      <c r="S2264" s="540"/>
      <c r="T2264" s="543"/>
      <c r="U2264" s="673" t="b">
        <v>0</v>
      </c>
      <c r="Z2264" t="b">
        <v>0</v>
      </c>
      <c r="AA2264" t="b">
        <v>0</v>
      </c>
      <c r="AC2264" s="82"/>
      <c r="AD2264" t="str">
        <f t="shared" si="71"/>
        <v/>
      </c>
      <c r="AE2264" t="str">
        <f t="shared" si="72"/>
        <v/>
      </c>
    </row>
    <row r="2265">
      <c r="D2265" s="226"/>
      <c r="H2265" s="474"/>
      <c r="I2265" s="474"/>
      <c r="J2265" s="475"/>
      <c r="K2265" s="275"/>
      <c r="L2265" s="82"/>
      <c r="M2265" s="672"/>
      <c r="N2265" s="242"/>
      <c r="O2265" s="242"/>
      <c r="P2265" s="242"/>
      <c r="Q2265" s="242"/>
      <c r="R2265" s="539"/>
      <c r="S2265" s="540"/>
      <c r="T2265" s="543"/>
      <c r="U2265" s="673" t="b">
        <v>0</v>
      </c>
      <c r="Z2265" t="b">
        <v>0</v>
      </c>
      <c r="AA2265" t="b">
        <v>0</v>
      </c>
      <c r="AC2265" s="82"/>
      <c r="AD2265" t="str">
        <f t="shared" si="71"/>
        <v/>
      </c>
      <c r="AE2265" t="str">
        <f t="shared" si="72"/>
        <v/>
      </c>
    </row>
    <row r="2266">
      <c r="D2266" s="226"/>
      <c r="H2266" s="474"/>
      <c r="I2266" s="474"/>
      <c r="J2266" s="475"/>
      <c r="K2266" s="275"/>
      <c r="L2266" s="82"/>
      <c r="M2266" s="672"/>
      <c r="N2266" s="242"/>
      <c r="O2266" s="242"/>
      <c r="P2266" s="242"/>
      <c r="Q2266" s="242"/>
      <c r="R2266" s="539"/>
      <c r="S2266" s="540"/>
      <c r="T2266" s="543"/>
      <c r="U2266" s="673" t="b">
        <v>0</v>
      </c>
      <c r="Z2266" t="b">
        <v>0</v>
      </c>
      <c r="AA2266" t="b">
        <v>0</v>
      </c>
      <c r="AC2266" s="82"/>
      <c r="AD2266" t="str">
        <f t="shared" si="71"/>
        <v/>
      </c>
      <c r="AE2266" t="str">
        <f t="shared" si="72"/>
        <v/>
      </c>
    </row>
    <row r="2267">
      <c r="D2267" s="226"/>
      <c r="H2267" s="474"/>
      <c r="I2267" s="474"/>
      <c r="J2267" s="475"/>
      <c r="K2267" s="275"/>
      <c r="L2267" s="82"/>
      <c r="M2267" s="672"/>
      <c r="N2267" s="242"/>
      <c r="O2267" s="242"/>
      <c r="P2267" s="242"/>
      <c r="Q2267" s="242"/>
      <c r="R2267" s="539"/>
      <c r="S2267" s="540"/>
      <c r="T2267" s="543"/>
      <c r="U2267" s="673" t="b">
        <v>0</v>
      </c>
      <c r="Z2267" t="b">
        <v>0</v>
      </c>
      <c r="AA2267" t="b">
        <v>0</v>
      </c>
      <c r="AC2267" s="82"/>
      <c r="AD2267" t="str">
        <f t="shared" si="71"/>
        <v/>
      </c>
      <c r="AE2267" t="str">
        <f t="shared" si="72"/>
        <v/>
      </c>
    </row>
    <row r="2268">
      <c r="D2268" s="226"/>
      <c r="H2268" s="474"/>
      <c r="I2268" s="474"/>
      <c r="J2268" s="475"/>
      <c r="K2268" s="275"/>
      <c r="L2268" s="82"/>
      <c r="M2268" s="672"/>
      <c r="N2268" s="242"/>
      <c r="O2268" s="242"/>
      <c r="P2268" s="242"/>
      <c r="Q2268" s="242"/>
      <c r="R2268" s="539"/>
      <c r="S2268" s="540"/>
      <c r="T2268" s="543"/>
      <c r="U2268" s="673" t="b">
        <v>0</v>
      </c>
      <c r="Z2268" t="b">
        <v>0</v>
      </c>
      <c r="AA2268" t="b">
        <v>0</v>
      </c>
      <c r="AC2268" s="82"/>
      <c r="AD2268" t="str">
        <f t="shared" si="71"/>
        <v/>
      </c>
      <c r="AE2268" t="str">
        <f t="shared" si="72"/>
        <v/>
      </c>
    </row>
    <row r="2269">
      <c r="D2269" s="226"/>
      <c r="H2269" s="474"/>
      <c r="I2269" s="474"/>
      <c r="J2269" s="475"/>
      <c r="K2269" s="275"/>
      <c r="L2269" s="82"/>
      <c r="M2269" s="672"/>
      <c r="N2269" s="242"/>
      <c r="O2269" s="242"/>
      <c r="P2269" s="242"/>
      <c r="Q2269" s="242"/>
      <c r="R2269" s="539"/>
      <c r="S2269" s="540"/>
      <c r="T2269" s="543"/>
      <c r="U2269" s="673" t="b">
        <v>0</v>
      </c>
      <c r="Z2269" t="b">
        <v>0</v>
      </c>
      <c r="AA2269" t="b">
        <v>0</v>
      </c>
      <c r="AC2269" s="82"/>
      <c r="AD2269" t="str">
        <f t="shared" si="71"/>
        <v/>
      </c>
      <c r="AE2269" t="str">
        <f t="shared" si="72"/>
        <v/>
      </c>
    </row>
    <row r="2270">
      <c r="D2270" s="226"/>
      <c r="H2270" s="474"/>
      <c r="I2270" s="474"/>
      <c r="J2270" s="475"/>
      <c r="K2270" s="275"/>
      <c r="L2270" s="82"/>
      <c r="M2270" s="672"/>
      <c r="N2270" s="242"/>
      <c r="O2270" s="242"/>
      <c r="P2270" s="242"/>
      <c r="Q2270" s="242"/>
      <c r="R2270" s="539"/>
      <c r="S2270" s="540"/>
      <c r="T2270" s="543"/>
      <c r="U2270" s="673" t="b">
        <v>0</v>
      </c>
      <c r="Z2270" t="b">
        <v>0</v>
      </c>
      <c r="AA2270" t="b">
        <v>0</v>
      </c>
      <c r="AC2270" s="82"/>
      <c r="AD2270" t="str">
        <f t="shared" si="71"/>
        <v/>
      </c>
      <c r="AE2270" t="str">
        <f t="shared" si="72"/>
        <v/>
      </c>
    </row>
    <row r="2271">
      <c r="D2271" s="226"/>
      <c r="H2271" s="474"/>
      <c r="I2271" s="474"/>
      <c r="J2271" s="475"/>
      <c r="K2271" s="275"/>
      <c r="L2271" s="82"/>
      <c r="M2271" s="672"/>
      <c r="N2271" s="242"/>
      <c r="O2271" s="242"/>
      <c r="P2271" s="242"/>
      <c r="Q2271" s="242"/>
      <c r="R2271" s="539"/>
      <c r="S2271" s="540"/>
      <c r="T2271" s="543"/>
      <c r="U2271" s="673" t="b">
        <v>0</v>
      </c>
      <c r="Z2271" t="b">
        <v>0</v>
      </c>
      <c r="AA2271" t="b">
        <v>0</v>
      </c>
      <c r="AC2271" s="82"/>
      <c r="AD2271" t="str">
        <f t="shared" si="71"/>
        <v/>
      </c>
      <c r="AE2271" t="str">
        <f t="shared" si="72"/>
        <v/>
      </c>
    </row>
    <row r="2272">
      <c r="D2272" s="226"/>
      <c r="H2272" s="474"/>
      <c r="I2272" s="474"/>
      <c r="J2272" s="475"/>
      <c r="K2272" s="275"/>
      <c r="L2272" s="82"/>
      <c r="M2272" s="672"/>
      <c r="N2272" s="242"/>
      <c r="O2272" s="242"/>
      <c r="P2272" s="242"/>
      <c r="Q2272" s="242"/>
      <c r="R2272" s="539"/>
      <c r="S2272" s="540"/>
      <c r="T2272" s="543"/>
      <c r="U2272" s="673" t="b">
        <v>0</v>
      </c>
      <c r="Z2272" t="b">
        <v>0</v>
      </c>
      <c r="AA2272" t="b">
        <v>0</v>
      </c>
      <c r="AC2272" s="82"/>
      <c r="AD2272" t="str">
        <f t="shared" si="71"/>
        <v/>
      </c>
      <c r="AE2272" t="str">
        <f t="shared" si="72"/>
        <v/>
      </c>
    </row>
    <row r="2273">
      <c r="D2273" s="226"/>
      <c r="H2273" s="474"/>
      <c r="I2273" s="474"/>
      <c r="J2273" s="475"/>
      <c r="K2273" s="275"/>
      <c r="L2273" s="82"/>
      <c r="M2273" s="672"/>
      <c r="N2273" s="242"/>
      <c r="O2273" s="242"/>
      <c r="P2273" s="242"/>
      <c r="Q2273" s="242"/>
      <c r="R2273" s="539"/>
      <c r="S2273" s="540"/>
      <c r="T2273" s="543"/>
      <c r="U2273" s="673" t="b">
        <v>0</v>
      </c>
      <c r="Z2273" t="b">
        <v>0</v>
      </c>
      <c r="AA2273" t="b">
        <v>0</v>
      </c>
      <c r="AC2273" s="82"/>
      <c r="AD2273" t="str">
        <f t="shared" si="71"/>
        <v/>
      </c>
      <c r="AE2273" t="str">
        <f t="shared" si="72"/>
        <v/>
      </c>
    </row>
    <row r="2274">
      <c r="D2274" s="226"/>
      <c r="H2274" s="474"/>
      <c r="I2274" s="474"/>
      <c r="J2274" s="475"/>
      <c r="K2274" s="275"/>
      <c r="L2274" s="82"/>
      <c r="M2274" s="672"/>
      <c r="N2274" s="242"/>
      <c r="O2274" s="242"/>
      <c r="P2274" s="242"/>
      <c r="Q2274" s="242"/>
      <c r="R2274" s="539"/>
      <c r="S2274" s="540"/>
      <c r="T2274" s="543"/>
      <c r="U2274" s="673" t="b">
        <v>0</v>
      </c>
      <c r="Z2274" t="b">
        <v>0</v>
      </c>
      <c r="AA2274" t="b">
        <v>0</v>
      </c>
      <c r="AC2274" s="82"/>
      <c r="AD2274" t="str">
        <f t="shared" si="71"/>
        <v/>
      </c>
      <c r="AE2274" t="str">
        <f t="shared" si="72"/>
        <v/>
      </c>
    </row>
    <row r="2275">
      <c r="D2275" s="226"/>
      <c r="H2275" s="474"/>
      <c r="I2275" s="474"/>
      <c r="J2275" s="475"/>
      <c r="K2275" s="275"/>
      <c r="L2275" s="82"/>
      <c r="M2275" s="672"/>
      <c r="N2275" s="242"/>
      <c r="O2275" s="242"/>
      <c r="P2275" s="242"/>
      <c r="Q2275" s="242"/>
      <c r="R2275" s="539"/>
      <c r="S2275" s="540"/>
      <c r="T2275" s="543"/>
      <c r="U2275" s="673" t="b">
        <v>0</v>
      </c>
      <c r="Z2275" t="b">
        <v>0</v>
      </c>
      <c r="AA2275" t="b">
        <v>0</v>
      </c>
      <c r="AC2275" s="82"/>
      <c r="AD2275" t="str">
        <f t="shared" si="71"/>
        <v/>
      </c>
      <c r="AE2275" t="str">
        <f t="shared" si="72"/>
        <v/>
      </c>
    </row>
    <row r="2276">
      <c r="D2276" s="226"/>
      <c r="H2276" s="474"/>
      <c r="I2276" s="474"/>
      <c r="J2276" s="475"/>
      <c r="K2276" s="275"/>
      <c r="L2276" s="82"/>
      <c r="M2276" s="672"/>
      <c r="N2276" s="242"/>
      <c r="O2276" s="242"/>
      <c r="P2276" s="242"/>
      <c r="Q2276" s="242"/>
      <c r="R2276" s="539"/>
      <c r="S2276" s="540"/>
      <c r="T2276" s="543"/>
      <c r="U2276" s="673" t="b">
        <v>0</v>
      </c>
      <c r="Z2276" t="b">
        <v>0</v>
      </c>
      <c r="AA2276" t="b">
        <v>0</v>
      </c>
      <c r="AC2276" s="82"/>
      <c r="AD2276" t="str">
        <f t="shared" si="71"/>
        <v/>
      </c>
      <c r="AE2276" t="str">
        <f t="shared" si="72"/>
        <v/>
      </c>
    </row>
    <row r="2277">
      <c r="D2277" s="226"/>
      <c r="H2277" s="474"/>
      <c r="I2277" s="474"/>
      <c r="J2277" s="475"/>
      <c r="K2277" s="275"/>
      <c r="L2277" s="82"/>
      <c r="M2277" s="672"/>
      <c r="N2277" s="242"/>
      <c r="O2277" s="242"/>
      <c r="P2277" s="242"/>
      <c r="Q2277" s="242"/>
      <c r="R2277" s="539"/>
      <c r="S2277" s="540"/>
      <c r="T2277" s="543"/>
      <c r="U2277" s="673" t="b">
        <v>0</v>
      </c>
      <c r="Z2277" t="b">
        <v>0</v>
      </c>
      <c r="AA2277" t="b">
        <v>0</v>
      </c>
      <c r="AC2277" s="82"/>
      <c r="AD2277" t="str">
        <f t="shared" si="71"/>
        <v/>
      </c>
      <c r="AE2277" t="str">
        <f t="shared" si="72"/>
        <v/>
      </c>
    </row>
    <row r="2278">
      <c r="D2278" s="226"/>
      <c r="H2278" s="474"/>
      <c r="I2278" s="474"/>
      <c r="J2278" s="475"/>
      <c r="K2278" s="275"/>
      <c r="L2278" s="82"/>
      <c r="M2278" s="672"/>
      <c r="N2278" s="242"/>
      <c r="O2278" s="242"/>
      <c r="P2278" s="242"/>
      <c r="Q2278" s="242"/>
      <c r="R2278" s="539"/>
      <c r="S2278" s="540"/>
      <c r="T2278" s="543"/>
      <c r="U2278" s="673" t="b">
        <v>0</v>
      </c>
      <c r="Z2278" t="b">
        <v>0</v>
      </c>
      <c r="AA2278" t="b">
        <v>0</v>
      </c>
      <c r="AC2278" s="82"/>
      <c r="AD2278" t="str">
        <f t="shared" si="71"/>
        <v/>
      </c>
      <c r="AE2278" t="str">
        <f t="shared" si="72"/>
        <v/>
      </c>
    </row>
    <row r="2279">
      <c r="D2279" s="226"/>
      <c r="H2279" s="474"/>
      <c r="I2279" s="474"/>
      <c r="J2279" s="475"/>
      <c r="K2279" s="275"/>
      <c r="L2279" s="82"/>
      <c r="M2279" s="672"/>
      <c r="N2279" s="242"/>
      <c r="O2279" s="242"/>
      <c r="P2279" s="242"/>
      <c r="Q2279" s="242"/>
      <c r="R2279" s="539"/>
      <c r="S2279" s="540"/>
      <c r="T2279" s="543"/>
      <c r="U2279" s="673" t="b">
        <v>0</v>
      </c>
      <c r="Z2279" t="b">
        <v>0</v>
      </c>
      <c r="AA2279" t="b">
        <v>0</v>
      </c>
      <c r="AC2279" s="82"/>
      <c r="AD2279" t="str">
        <f t="shared" si="71"/>
        <v/>
      </c>
      <c r="AE2279" t="str">
        <f t="shared" si="72"/>
        <v/>
      </c>
    </row>
    <row r="2280">
      <c r="D2280" s="226"/>
      <c r="H2280" s="474"/>
      <c r="I2280" s="474"/>
      <c r="J2280" s="475"/>
      <c r="K2280" s="275"/>
      <c r="L2280" s="82"/>
      <c r="M2280" s="672"/>
      <c r="N2280" s="242"/>
      <c r="O2280" s="242"/>
      <c r="P2280" s="242"/>
      <c r="Q2280" s="242"/>
      <c r="R2280" s="539"/>
      <c r="S2280" s="540"/>
      <c r="T2280" s="543"/>
      <c r="U2280" s="673" t="b">
        <v>0</v>
      </c>
      <c r="Z2280" t="b">
        <v>0</v>
      </c>
      <c r="AA2280" t="b">
        <v>0</v>
      </c>
      <c r="AC2280" s="82"/>
      <c r="AD2280" t="str">
        <f t="shared" si="71"/>
        <v/>
      </c>
      <c r="AE2280" t="str">
        <f t="shared" si="72"/>
        <v/>
      </c>
    </row>
    <row r="2281">
      <c r="D2281" s="226"/>
      <c r="H2281" s="474"/>
      <c r="I2281" s="474"/>
      <c r="J2281" s="475"/>
      <c r="K2281" s="275"/>
      <c r="L2281" s="82"/>
      <c r="M2281" s="672"/>
      <c r="N2281" s="242"/>
      <c r="O2281" s="242"/>
      <c r="P2281" s="242"/>
      <c r="Q2281" s="242"/>
      <c r="R2281" s="539"/>
      <c r="S2281" s="540"/>
      <c r="T2281" s="543"/>
      <c r="U2281" s="673" t="b">
        <v>0</v>
      </c>
      <c r="Z2281" t="b">
        <v>0</v>
      </c>
      <c r="AA2281" t="b">
        <v>0</v>
      </c>
      <c r="AC2281" s="82"/>
      <c r="AD2281" t="str">
        <f t="shared" si="71"/>
        <v/>
      </c>
      <c r="AE2281" t="str">
        <f t="shared" si="72"/>
        <v/>
      </c>
    </row>
    <row r="2282">
      <c r="D2282" s="226"/>
      <c r="H2282" s="474"/>
      <c r="I2282" s="474"/>
      <c r="J2282" s="475"/>
      <c r="K2282" s="275"/>
      <c r="L2282" s="82"/>
      <c r="M2282" s="672"/>
      <c r="N2282" s="242"/>
      <c r="O2282" s="242"/>
      <c r="P2282" s="242"/>
      <c r="Q2282" s="242"/>
      <c r="R2282" s="539"/>
      <c r="S2282" s="540"/>
      <c r="T2282" s="543"/>
      <c r="U2282" s="673" t="b">
        <v>0</v>
      </c>
      <c r="Z2282" t="b">
        <v>0</v>
      </c>
      <c r="AA2282" t="b">
        <v>0</v>
      </c>
      <c r="AC2282" s="82"/>
      <c r="AD2282" t="str">
        <f t="shared" si="71"/>
        <v/>
      </c>
      <c r="AE2282" t="str">
        <f t="shared" si="72"/>
        <v/>
      </c>
    </row>
    <row r="2283">
      <c r="D2283" s="226"/>
      <c r="H2283" s="474"/>
      <c r="I2283" s="474"/>
      <c r="J2283" s="475"/>
      <c r="K2283" s="275"/>
      <c r="L2283" s="82"/>
      <c r="M2283" s="672"/>
      <c r="N2283" s="242"/>
      <c r="O2283" s="242"/>
      <c r="P2283" s="242"/>
      <c r="Q2283" s="242"/>
      <c r="R2283" s="539"/>
      <c r="S2283" s="540"/>
      <c r="T2283" s="543"/>
      <c r="U2283" s="673" t="b">
        <v>0</v>
      </c>
      <c r="Z2283" t="b">
        <v>0</v>
      </c>
      <c r="AA2283" t="b">
        <v>0</v>
      </c>
      <c r="AC2283" s="82"/>
      <c r="AD2283" t="str">
        <f t="shared" si="71"/>
        <v/>
      </c>
      <c r="AE2283" t="str">
        <f t="shared" si="72"/>
        <v/>
      </c>
    </row>
    <row r="2284">
      <c r="D2284" s="226"/>
      <c r="H2284" s="474"/>
      <c r="I2284" s="474"/>
      <c r="J2284" s="475"/>
      <c r="K2284" s="275"/>
      <c r="L2284" s="82"/>
      <c r="M2284" s="672"/>
      <c r="N2284" s="242"/>
      <c r="O2284" s="242"/>
      <c r="P2284" s="242"/>
      <c r="Q2284" s="242"/>
      <c r="R2284" s="539"/>
      <c r="S2284" s="540"/>
      <c r="T2284" s="543"/>
      <c r="U2284" s="673" t="b">
        <v>0</v>
      </c>
      <c r="Z2284" t="b">
        <v>0</v>
      </c>
      <c r="AA2284" t="b">
        <v>0</v>
      </c>
      <c r="AC2284" s="82"/>
      <c r="AD2284" t="str">
        <f t="shared" si="71"/>
        <v/>
      </c>
      <c r="AE2284" t="str">
        <f t="shared" si="72"/>
        <v/>
      </c>
    </row>
    <row r="2285">
      <c r="D2285" s="226"/>
      <c r="H2285" s="474"/>
      <c r="I2285" s="474"/>
      <c r="J2285" s="475"/>
      <c r="K2285" s="275"/>
      <c r="L2285" s="82"/>
      <c r="M2285" s="672"/>
      <c r="N2285" s="242"/>
      <c r="O2285" s="242"/>
      <c r="P2285" s="242"/>
      <c r="Q2285" s="242"/>
      <c r="R2285" s="539"/>
      <c r="S2285" s="540"/>
      <c r="T2285" s="543"/>
      <c r="U2285" s="673" t="b">
        <v>0</v>
      </c>
      <c r="Z2285" t="b">
        <v>0</v>
      </c>
      <c r="AA2285" t="b">
        <v>0</v>
      </c>
      <c r="AC2285" s="82"/>
      <c r="AD2285" t="str">
        <f t="shared" si="71"/>
        <v/>
      </c>
      <c r="AE2285" t="str">
        <f t="shared" si="72"/>
        <v/>
      </c>
    </row>
    <row r="2286">
      <c r="D2286" s="226"/>
      <c r="H2286" s="474"/>
      <c r="I2286" s="474"/>
      <c r="J2286" s="475"/>
      <c r="K2286" s="275"/>
      <c r="L2286" s="82"/>
      <c r="M2286" s="672"/>
      <c r="N2286" s="242"/>
      <c r="O2286" s="242"/>
      <c r="P2286" s="242"/>
      <c r="Q2286" s="242"/>
      <c r="R2286" s="539"/>
      <c r="S2286" s="540"/>
      <c r="T2286" s="543"/>
      <c r="U2286" s="673" t="b">
        <v>0</v>
      </c>
      <c r="Z2286" t="b">
        <v>0</v>
      </c>
      <c r="AA2286" t="b">
        <v>0</v>
      </c>
      <c r="AC2286" s="82"/>
      <c r="AD2286" t="str">
        <f t="shared" si="71"/>
        <v/>
      </c>
      <c r="AE2286" t="str">
        <f t="shared" si="72"/>
        <v/>
      </c>
    </row>
    <row r="2287">
      <c r="D2287" s="226"/>
      <c r="H2287" s="474"/>
      <c r="I2287" s="474"/>
      <c r="J2287" s="475"/>
      <c r="K2287" s="275"/>
      <c r="L2287" s="82"/>
      <c r="M2287" s="672"/>
      <c r="N2287" s="242"/>
      <c r="O2287" s="242"/>
      <c r="P2287" s="242"/>
      <c r="Q2287" s="242"/>
      <c r="R2287" s="539"/>
      <c r="S2287" s="540"/>
      <c r="T2287" s="543"/>
      <c r="U2287" s="673" t="b">
        <v>0</v>
      </c>
      <c r="Z2287" t="b">
        <v>0</v>
      </c>
      <c r="AA2287" t="b">
        <v>0</v>
      </c>
      <c r="AC2287" s="82"/>
      <c r="AD2287" t="str">
        <f t="shared" si="71"/>
        <v/>
      </c>
      <c r="AE2287" t="str">
        <f t="shared" si="72"/>
        <v/>
      </c>
    </row>
    <row r="2288">
      <c r="D2288" s="226"/>
      <c r="H2288" s="474"/>
      <c r="I2288" s="474"/>
      <c r="J2288" s="475"/>
      <c r="K2288" s="275"/>
      <c r="L2288" s="82"/>
      <c r="M2288" s="672"/>
      <c r="N2288" s="242"/>
      <c r="O2288" s="242"/>
      <c r="P2288" s="242"/>
      <c r="Q2288" s="242"/>
      <c r="R2288" s="539"/>
      <c r="S2288" s="540"/>
      <c r="T2288" s="543"/>
      <c r="U2288" s="673" t="b">
        <v>0</v>
      </c>
      <c r="Z2288" t="b">
        <v>0</v>
      </c>
      <c r="AA2288" t="b">
        <v>0</v>
      </c>
      <c r="AC2288" s="82"/>
      <c r="AD2288" t="str">
        <f t="shared" si="71"/>
        <v/>
      </c>
      <c r="AE2288" t="str">
        <f t="shared" si="72"/>
        <v/>
      </c>
    </row>
    <row r="2289">
      <c r="D2289" s="226"/>
      <c r="H2289" s="474"/>
      <c r="I2289" s="474"/>
      <c r="J2289" s="475"/>
      <c r="K2289" s="275"/>
      <c r="L2289" s="82"/>
      <c r="M2289" s="672"/>
      <c r="N2289" s="242"/>
      <c r="O2289" s="242"/>
      <c r="P2289" s="242"/>
      <c r="Q2289" s="242"/>
      <c r="R2289" s="539"/>
      <c r="S2289" s="540"/>
      <c r="T2289" s="543"/>
      <c r="U2289" s="673" t="b">
        <v>0</v>
      </c>
      <c r="Z2289" t="b">
        <v>0</v>
      </c>
      <c r="AA2289" t="b">
        <v>0</v>
      </c>
      <c r="AC2289" s="82"/>
      <c r="AD2289" t="str">
        <f t="shared" si="71"/>
        <v/>
      </c>
      <c r="AE2289" t="str">
        <f t="shared" si="72"/>
        <v/>
      </c>
    </row>
    <row r="2290">
      <c r="D2290" s="226"/>
      <c r="H2290" s="474"/>
      <c r="I2290" s="474"/>
      <c r="J2290" s="475"/>
      <c r="K2290" s="275"/>
      <c r="L2290" s="82"/>
      <c r="M2290" s="672"/>
      <c r="N2290" s="242"/>
      <c r="O2290" s="242"/>
      <c r="P2290" s="242"/>
      <c r="Q2290" s="242"/>
      <c r="R2290" s="539"/>
      <c r="S2290" s="540"/>
      <c r="T2290" s="543"/>
      <c r="U2290" s="673" t="b">
        <v>0</v>
      </c>
      <c r="Z2290" t="b">
        <v>0</v>
      </c>
      <c r="AA2290" t="b">
        <v>0</v>
      </c>
      <c r="AC2290" s="82"/>
      <c r="AD2290" t="str">
        <f t="shared" si="71"/>
        <v/>
      </c>
      <c r="AE2290" t="str">
        <f t="shared" si="72"/>
        <v/>
      </c>
    </row>
    <row r="2291">
      <c r="D2291" s="226"/>
      <c r="H2291" s="474"/>
      <c r="I2291" s="474"/>
      <c r="J2291" s="475"/>
      <c r="K2291" s="275"/>
      <c r="L2291" s="82"/>
      <c r="M2291" s="672"/>
      <c r="N2291" s="242"/>
      <c r="O2291" s="242"/>
      <c r="P2291" s="242"/>
      <c r="Q2291" s="242"/>
      <c r="R2291" s="539"/>
      <c r="S2291" s="540"/>
      <c r="T2291" s="543"/>
      <c r="U2291" s="673" t="b">
        <v>0</v>
      </c>
      <c r="Z2291" t="b">
        <v>0</v>
      </c>
      <c r="AA2291" t="b">
        <v>0</v>
      </c>
      <c r="AC2291" s="82"/>
      <c r="AD2291" t="str">
        <f t="shared" si="71"/>
        <v/>
      </c>
      <c r="AE2291" t="str">
        <f t="shared" si="72"/>
        <v/>
      </c>
    </row>
    <row r="2292">
      <c r="D2292" s="226"/>
      <c r="H2292" s="474"/>
      <c r="I2292" s="474"/>
      <c r="J2292" s="475"/>
      <c r="K2292" s="275"/>
      <c r="L2292" s="82"/>
      <c r="M2292" s="672"/>
      <c r="N2292" s="242"/>
      <c r="O2292" s="242"/>
      <c r="P2292" s="242"/>
      <c r="Q2292" s="242"/>
      <c r="R2292" s="539"/>
      <c r="S2292" s="540"/>
      <c r="T2292" s="543"/>
      <c r="U2292" s="673" t="b">
        <v>0</v>
      </c>
      <c r="Z2292" t="b">
        <v>0</v>
      </c>
      <c r="AA2292" t="b">
        <v>0</v>
      </c>
      <c r="AC2292" s="82"/>
      <c r="AD2292" t="str">
        <f t="shared" si="71"/>
        <v/>
      </c>
      <c r="AE2292" t="str">
        <f t="shared" si="72"/>
        <v/>
      </c>
    </row>
    <row r="2293">
      <c r="D2293" s="226"/>
      <c r="H2293" s="474"/>
      <c r="I2293" s="474"/>
      <c r="J2293" s="475"/>
      <c r="K2293" s="275"/>
      <c r="L2293" s="82"/>
      <c r="M2293" s="672"/>
      <c r="N2293" s="242"/>
      <c r="O2293" s="242"/>
      <c r="P2293" s="242"/>
      <c r="Q2293" s="242"/>
      <c r="R2293" s="539"/>
      <c r="S2293" s="540"/>
      <c r="T2293" s="543"/>
      <c r="U2293" s="673" t="b">
        <v>0</v>
      </c>
      <c r="Z2293" t="b">
        <v>0</v>
      </c>
      <c r="AA2293" t="b">
        <v>0</v>
      </c>
      <c r="AC2293" s="82"/>
      <c r="AD2293" t="str">
        <f t="shared" si="71"/>
        <v/>
      </c>
      <c r="AE2293" t="str">
        <f t="shared" si="72"/>
        <v/>
      </c>
    </row>
    <row r="2294">
      <c r="D2294" s="226"/>
      <c r="H2294" s="474"/>
      <c r="I2294" s="474"/>
      <c r="J2294" s="475"/>
      <c r="K2294" s="275"/>
      <c r="L2294" s="82"/>
      <c r="M2294" s="672"/>
      <c r="N2294" s="242"/>
      <c r="O2294" s="242"/>
      <c r="P2294" s="242"/>
      <c r="Q2294" s="242"/>
      <c r="R2294" s="539"/>
      <c r="S2294" s="540"/>
      <c r="T2294" s="543"/>
      <c r="U2294" s="673" t="b">
        <v>0</v>
      </c>
      <c r="Z2294" t="b">
        <v>0</v>
      </c>
      <c r="AA2294" t="b">
        <v>0</v>
      </c>
      <c r="AC2294" s="82"/>
      <c r="AD2294" t="str">
        <f t="shared" si="71"/>
        <v/>
      </c>
      <c r="AE2294" t="str">
        <f t="shared" si="72"/>
        <v/>
      </c>
    </row>
    <row r="2295">
      <c r="D2295" s="226"/>
      <c r="H2295" s="474"/>
      <c r="I2295" s="474"/>
      <c r="J2295" s="475"/>
      <c r="K2295" s="275"/>
      <c r="L2295" s="82"/>
      <c r="M2295" s="672"/>
      <c r="N2295" s="242"/>
      <c r="O2295" s="242"/>
      <c r="P2295" s="242"/>
      <c r="Q2295" s="242"/>
      <c r="R2295" s="539"/>
      <c r="S2295" s="540"/>
      <c r="T2295" s="543"/>
      <c r="U2295" s="673" t="b">
        <v>0</v>
      </c>
      <c r="Z2295" t="b">
        <v>0</v>
      </c>
      <c r="AA2295" t="b">
        <v>0</v>
      </c>
      <c r="AC2295" s="82"/>
      <c r="AD2295" t="str">
        <f t="shared" si="71"/>
        <v/>
      </c>
      <c r="AE2295" t="str">
        <f t="shared" si="72"/>
        <v/>
      </c>
    </row>
    <row r="2296">
      <c r="D2296" s="226"/>
      <c r="H2296" s="474"/>
      <c r="I2296" s="474"/>
      <c r="J2296" s="475"/>
      <c r="K2296" s="275"/>
      <c r="L2296" s="82"/>
      <c r="M2296" s="672"/>
      <c r="N2296" s="242"/>
      <c r="O2296" s="242"/>
      <c r="P2296" s="242"/>
      <c r="Q2296" s="242"/>
      <c r="R2296" s="539"/>
      <c r="S2296" s="540"/>
      <c r="T2296" s="543"/>
      <c r="U2296" s="673" t="b">
        <v>0</v>
      </c>
      <c r="Z2296" t="b">
        <v>0</v>
      </c>
      <c r="AA2296" t="b">
        <v>0</v>
      </c>
      <c r="AC2296" s="82"/>
      <c r="AD2296" t="str">
        <f t="shared" si="71"/>
        <v/>
      </c>
      <c r="AE2296" t="str">
        <f t="shared" si="72"/>
        <v/>
      </c>
    </row>
    <row r="2297">
      <c r="D2297" s="226"/>
      <c r="H2297" s="474"/>
      <c r="I2297" s="474"/>
      <c r="J2297" s="475"/>
      <c r="K2297" s="275"/>
      <c r="L2297" s="82"/>
      <c r="M2297" s="672"/>
      <c r="N2297" s="242"/>
      <c r="O2297" s="242"/>
      <c r="P2297" s="242"/>
      <c r="Q2297" s="242"/>
      <c r="R2297" s="539"/>
      <c r="S2297" s="540"/>
      <c r="T2297" s="543"/>
      <c r="U2297" s="673" t="b">
        <v>0</v>
      </c>
      <c r="Z2297" t="b">
        <v>0</v>
      </c>
      <c r="AA2297" t="b">
        <v>0</v>
      </c>
      <c r="AC2297" s="82"/>
      <c r="AD2297" t="str">
        <f t="shared" si="71"/>
        <v/>
      </c>
      <c r="AE2297" t="str">
        <f t="shared" si="72"/>
        <v/>
      </c>
    </row>
    <row r="2298">
      <c r="D2298" s="226"/>
      <c r="H2298" s="474"/>
      <c r="I2298" s="474"/>
      <c r="J2298" s="475"/>
      <c r="K2298" s="275"/>
      <c r="L2298" s="82"/>
      <c r="M2298" s="672"/>
      <c r="N2298" s="242"/>
      <c r="O2298" s="242"/>
      <c r="P2298" s="242"/>
      <c r="Q2298" s="242"/>
      <c r="R2298" s="539"/>
      <c r="S2298" s="540"/>
      <c r="T2298" s="543"/>
      <c r="U2298" s="673" t="b">
        <v>0</v>
      </c>
      <c r="Z2298" t="b">
        <v>0</v>
      </c>
      <c r="AA2298" t="b">
        <v>0</v>
      </c>
      <c r="AC2298" s="82"/>
      <c r="AD2298" t="str">
        <f t="shared" si="71"/>
        <v/>
      </c>
      <c r="AE2298" t="str">
        <f t="shared" si="72"/>
        <v/>
      </c>
    </row>
    <row r="2299">
      <c r="D2299" s="226"/>
      <c r="H2299" s="474"/>
      <c r="I2299" s="474"/>
      <c r="J2299" s="475"/>
      <c r="K2299" s="275"/>
      <c r="L2299" s="82"/>
      <c r="M2299" s="672"/>
      <c r="N2299" s="242"/>
      <c r="O2299" s="242"/>
      <c r="P2299" s="242"/>
      <c r="Q2299" s="242"/>
      <c r="R2299" s="539"/>
      <c r="S2299" s="540"/>
      <c r="T2299" s="543"/>
      <c r="U2299" s="673" t="b">
        <v>0</v>
      </c>
      <c r="Z2299" t="b">
        <v>0</v>
      </c>
      <c r="AA2299" t="b">
        <v>0</v>
      </c>
      <c r="AC2299" s="82"/>
      <c r="AD2299" t="str">
        <f t="shared" si="71"/>
        <v/>
      </c>
      <c r="AE2299" t="str">
        <f t="shared" si="72"/>
        <v/>
      </c>
    </row>
    <row r="2300">
      <c r="D2300" s="226"/>
      <c r="H2300" s="474"/>
      <c r="I2300" s="474"/>
      <c r="J2300" s="475"/>
      <c r="K2300" s="275"/>
      <c r="L2300" s="82"/>
      <c r="M2300" s="672"/>
      <c r="N2300" s="242"/>
      <c r="O2300" s="242"/>
      <c r="P2300" s="242"/>
      <c r="Q2300" s="242"/>
      <c r="R2300" s="539"/>
      <c r="S2300" s="540"/>
      <c r="T2300" s="543"/>
      <c r="U2300" s="673" t="b">
        <v>0</v>
      </c>
      <c r="Z2300" t="b">
        <v>0</v>
      </c>
      <c r="AA2300" t="b">
        <v>0</v>
      </c>
      <c r="AC2300" s="82"/>
      <c r="AD2300" t="str">
        <f t="shared" si="71"/>
        <v/>
      </c>
      <c r="AE2300" t="str">
        <f t="shared" si="72"/>
        <v/>
      </c>
    </row>
    <row r="2301">
      <c r="D2301" s="226"/>
      <c r="H2301" s="474"/>
      <c r="I2301" s="474"/>
      <c r="J2301" s="475"/>
      <c r="K2301" s="275"/>
      <c r="L2301" s="82"/>
      <c r="M2301" s="672"/>
      <c r="N2301" s="242"/>
      <c r="O2301" s="242"/>
      <c r="P2301" s="242"/>
      <c r="Q2301" s="242"/>
      <c r="R2301" s="539"/>
      <c r="S2301" s="540"/>
      <c r="T2301" s="543"/>
      <c r="U2301" s="673" t="b">
        <v>0</v>
      </c>
      <c r="Z2301" t="b">
        <v>0</v>
      </c>
      <c r="AA2301" t="b">
        <v>0</v>
      </c>
      <c r="AC2301" s="82"/>
      <c r="AD2301" t="str">
        <f t="shared" si="71"/>
        <v/>
      </c>
      <c r="AE2301" t="str">
        <f t="shared" si="72"/>
        <v/>
      </c>
    </row>
    <row r="2302">
      <c r="D2302" s="226"/>
      <c r="H2302" s="474"/>
      <c r="I2302" s="474"/>
      <c r="J2302" s="475"/>
      <c r="K2302" s="275"/>
      <c r="L2302" s="82"/>
      <c r="M2302" s="672"/>
      <c r="N2302" s="242"/>
      <c r="O2302" s="242"/>
      <c r="P2302" s="242"/>
      <c r="Q2302" s="242"/>
      <c r="R2302" s="539"/>
      <c r="S2302" s="540"/>
      <c r="T2302" s="543"/>
      <c r="U2302" s="673" t="b">
        <v>0</v>
      </c>
      <c r="Z2302" t="b">
        <v>0</v>
      </c>
      <c r="AA2302" t="b">
        <v>0</v>
      </c>
      <c r="AC2302" s="82"/>
      <c r="AD2302" t="str">
        <f t="shared" si="71"/>
        <v/>
      </c>
      <c r="AE2302" t="str">
        <f t="shared" si="72"/>
        <v/>
      </c>
    </row>
    <row r="2303">
      <c r="D2303" s="226"/>
      <c r="H2303" s="474"/>
      <c r="I2303" s="474"/>
      <c r="J2303" s="475"/>
      <c r="K2303" s="275"/>
      <c r="L2303" s="82"/>
      <c r="M2303" s="672"/>
      <c r="N2303" s="242"/>
      <c r="O2303" s="242"/>
      <c r="P2303" s="242"/>
      <c r="Q2303" s="242"/>
      <c r="R2303" s="539"/>
      <c r="S2303" s="540"/>
      <c r="T2303" s="543"/>
      <c r="U2303" s="673" t="b">
        <v>0</v>
      </c>
      <c r="Z2303" t="b">
        <v>0</v>
      </c>
      <c r="AA2303" t="b">
        <v>0</v>
      </c>
      <c r="AC2303" s="82"/>
      <c r="AD2303" t="str">
        <f t="shared" si="71"/>
        <v/>
      </c>
      <c r="AE2303" t="str">
        <f t="shared" si="72"/>
        <v/>
      </c>
    </row>
    <row r="2304">
      <c r="D2304" s="226"/>
      <c r="H2304" s="474"/>
      <c r="I2304" s="474"/>
      <c r="J2304" s="475"/>
      <c r="K2304" s="275"/>
      <c r="L2304" s="82"/>
      <c r="M2304" s="672"/>
      <c r="N2304" s="242"/>
      <c r="O2304" s="242"/>
      <c r="P2304" s="242"/>
      <c r="Q2304" s="242"/>
      <c r="R2304" s="539"/>
      <c r="S2304" s="540"/>
      <c r="T2304" s="543"/>
      <c r="U2304" s="673" t="b">
        <v>0</v>
      </c>
      <c r="Z2304" t="b">
        <v>0</v>
      </c>
      <c r="AA2304" t="b">
        <v>0</v>
      </c>
      <c r="AC2304" s="82"/>
      <c r="AD2304" t="str">
        <f t="shared" si="71"/>
        <v/>
      </c>
      <c r="AE2304" t="str">
        <f t="shared" si="72"/>
        <v/>
      </c>
    </row>
    <row r="2305">
      <c r="D2305" s="226"/>
      <c r="H2305" s="474"/>
      <c r="I2305" s="474"/>
      <c r="J2305" s="475"/>
      <c r="K2305" s="275"/>
      <c r="L2305" s="82"/>
      <c r="M2305" s="672"/>
      <c r="N2305" s="242"/>
      <c r="O2305" s="242"/>
      <c r="P2305" s="242"/>
      <c r="Q2305" s="242"/>
      <c r="R2305" s="539"/>
      <c r="S2305" s="540"/>
      <c r="T2305" s="543"/>
      <c r="U2305" s="673" t="b">
        <v>0</v>
      </c>
      <c r="Z2305" t="b">
        <v>0</v>
      </c>
      <c r="AA2305" t="b">
        <v>0</v>
      </c>
      <c r="AC2305" s="82"/>
      <c r="AD2305" t="str">
        <f t="shared" si="71"/>
        <v/>
      </c>
      <c r="AE2305" t="str">
        <f t="shared" si="72"/>
        <v/>
      </c>
    </row>
    <row r="2306">
      <c r="D2306" s="226"/>
      <c r="H2306" s="474"/>
      <c r="I2306" s="474"/>
      <c r="J2306" s="475"/>
      <c r="K2306" s="275"/>
      <c r="L2306" s="82"/>
      <c r="M2306" s="672"/>
      <c r="N2306" s="242"/>
      <c r="O2306" s="242"/>
      <c r="P2306" s="242"/>
      <c r="Q2306" s="242"/>
      <c r="R2306" s="539"/>
      <c r="S2306" s="540"/>
      <c r="T2306" s="543"/>
      <c r="U2306" s="673" t="b">
        <v>0</v>
      </c>
      <c r="Z2306" t="b">
        <v>0</v>
      </c>
      <c r="AA2306" t="b">
        <v>0</v>
      </c>
      <c r="AC2306" s="82"/>
      <c r="AD2306" t="str">
        <f t="shared" si="71"/>
        <v/>
      </c>
      <c r="AE2306" t="str">
        <f t="shared" si="72"/>
        <v/>
      </c>
    </row>
    <row r="2307">
      <c r="D2307" s="226"/>
      <c r="H2307" s="474"/>
      <c r="I2307" s="474"/>
      <c r="J2307" s="475"/>
      <c r="K2307" s="275"/>
      <c r="L2307" s="82"/>
      <c r="M2307" s="672"/>
      <c r="N2307" s="242"/>
      <c r="O2307" s="242"/>
      <c r="P2307" s="242"/>
      <c r="Q2307" s="242"/>
      <c r="R2307" s="539"/>
      <c r="S2307" s="540"/>
      <c r="T2307" s="543"/>
      <c r="U2307" s="673" t="b">
        <v>0</v>
      </c>
      <c r="Z2307" t="b">
        <v>0</v>
      </c>
      <c r="AA2307" t="b">
        <v>0</v>
      </c>
      <c r="AC2307" s="82"/>
      <c r="AD2307" t="str">
        <f t="shared" si="71"/>
        <v/>
      </c>
      <c r="AE2307" t="str">
        <f t="shared" si="72"/>
        <v/>
      </c>
    </row>
    <row r="2308">
      <c r="D2308" s="226"/>
      <c r="H2308" s="474"/>
      <c r="I2308" s="474"/>
      <c r="J2308" s="475"/>
      <c r="K2308" s="275"/>
      <c r="L2308" s="82"/>
      <c r="M2308" s="672"/>
      <c r="N2308" s="242"/>
      <c r="O2308" s="242"/>
      <c r="P2308" s="242"/>
      <c r="Q2308" s="242"/>
      <c r="R2308" s="539"/>
      <c r="S2308" s="540"/>
      <c r="T2308" s="543"/>
      <c r="U2308" s="673" t="b">
        <v>0</v>
      </c>
      <c r="Z2308" t="b">
        <v>0</v>
      </c>
      <c r="AA2308" t="b">
        <v>0</v>
      </c>
      <c r="AC2308" s="82"/>
      <c r="AD2308" t="str">
        <f t="shared" si="71"/>
        <v/>
      </c>
      <c r="AE2308" t="str">
        <f t="shared" si="72"/>
        <v/>
      </c>
    </row>
    <row r="2309">
      <c r="D2309" s="226"/>
      <c r="H2309" s="474"/>
      <c r="I2309" s="474"/>
      <c r="J2309" s="475"/>
      <c r="K2309" s="275"/>
      <c r="L2309" s="82"/>
      <c r="M2309" s="672"/>
      <c r="N2309" s="242"/>
      <c r="O2309" s="242"/>
      <c r="P2309" s="242"/>
      <c r="Q2309" s="242"/>
      <c r="R2309" s="539"/>
      <c r="S2309" s="540"/>
      <c r="T2309" s="543"/>
      <c r="U2309" s="673" t="b">
        <v>0</v>
      </c>
      <c r="Z2309" t="b">
        <v>0</v>
      </c>
      <c r="AA2309" t="b">
        <v>0</v>
      </c>
      <c r="AC2309" s="82"/>
      <c r="AD2309" t="str">
        <f t="shared" si="71"/>
        <v/>
      </c>
      <c r="AE2309" t="str">
        <f t="shared" si="72"/>
        <v/>
      </c>
    </row>
    <row r="2310">
      <c r="D2310" s="226"/>
      <c r="H2310" s="474"/>
      <c r="I2310" s="474"/>
      <c r="J2310" s="475"/>
      <c r="K2310" s="275"/>
      <c r="L2310" s="82"/>
      <c r="M2310" s="672"/>
      <c r="N2310" s="242"/>
      <c r="O2310" s="242"/>
      <c r="P2310" s="242"/>
      <c r="Q2310" s="242"/>
      <c r="R2310" s="539"/>
      <c r="S2310" s="540"/>
      <c r="T2310" s="543"/>
      <c r="U2310" s="673" t="b">
        <v>0</v>
      </c>
      <c r="Z2310" t="b">
        <v>0</v>
      </c>
      <c r="AA2310" t="b">
        <v>0</v>
      </c>
      <c r="AC2310" s="82"/>
      <c r="AD2310" t="str">
        <f t="shared" si="71"/>
        <v/>
      </c>
      <c r="AE2310" t="str">
        <f t="shared" si="72"/>
        <v/>
      </c>
    </row>
    <row r="2311">
      <c r="D2311" s="226"/>
      <c r="H2311" s="474"/>
      <c r="I2311" s="474"/>
      <c r="J2311" s="475"/>
      <c r="K2311" s="275"/>
      <c r="L2311" s="82"/>
      <c r="M2311" s="672"/>
      <c r="N2311" s="242"/>
      <c r="O2311" s="242"/>
      <c r="P2311" s="242"/>
      <c r="Q2311" s="242"/>
      <c r="R2311" s="539"/>
      <c r="S2311" s="540"/>
      <c r="T2311" s="543"/>
      <c r="U2311" s="673" t="b">
        <v>0</v>
      </c>
      <c r="Z2311" t="b">
        <v>0</v>
      </c>
      <c r="AA2311" t="b">
        <v>0</v>
      </c>
      <c r="AC2311" s="82"/>
      <c r="AD2311" t="str">
        <f t="shared" si="71"/>
        <v/>
      </c>
      <c r="AE2311" t="str">
        <f t="shared" si="72"/>
        <v/>
      </c>
    </row>
    <row r="2312">
      <c r="D2312" s="226"/>
      <c r="H2312" s="474"/>
      <c r="I2312" s="474"/>
      <c r="J2312" s="475"/>
      <c r="K2312" s="275"/>
      <c r="L2312" s="82"/>
      <c r="M2312" s="672"/>
      <c r="N2312" s="242"/>
      <c r="O2312" s="242"/>
      <c r="P2312" s="242"/>
      <c r="Q2312" s="242"/>
      <c r="R2312" s="539"/>
      <c r="S2312" s="540"/>
      <c r="T2312" s="543"/>
      <c r="U2312" s="673" t="b">
        <v>0</v>
      </c>
      <c r="Z2312" t="b">
        <v>0</v>
      </c>
      <c r="AA2312" t="b">
        <v>0</v>
      </c>
      <c r="AC2312" s="82"/>
      <c r="AD2312" t="str">
        <f t="shared" si="71"/>
        <v/>
      </c>
      <c r="AE2312" t="str">
        <f t="shared" si="72"/>
        <v/>
      </c>
    </row>
    <row r="2313">
      <c r="D2313" s="226"/>
      <c r="H2313" s="474"/>
      <c r="I2313" s="474"/>
      <c r="J2313" s="475"/>
      <c r="K2313" s="275"/>
      <c r="L2313" s="82"/>
      <c r="M2313" s="672"/>
      <c r="N2313" s="242"/>
      <c r="O2313" s="242"/>
      <c r="P2313" s="242"/>
      <c r="Q2313" s="242"/>
      <c r="R2313" s="539"/>
      <c r="S2313" s="540"/>
      <c r="T2313" s="543"/>
      <c r="U2313" s="673" t="b">
        <v>0</v>
      </c>
      <c r="Z2313" t="b">
        <v>0</v>
      </c>
      <c r="AA2313" t="b">
        <v>0</v>
      </c>
      <c r="AC2313" s="82"/>
      <c r="AD2313" t="str">
        <f t="shared" si="71"/>
        <v/>
      </c>
      <c r="AE2313" t="str">
        <f t="shared" si="72"/>
        <v/>
      </c>
    </row>
    <row r="2314">
      <c r="D2314" s="226"/>
      <c r="H2314" s="474"/>
      <c r="I2314" s="474"/>
      <c r="J2314" s="475"/>
      <c r="K2314" s="275"/>
      <c r="L2314" s="82"/>
      <c r="M2314" s="672"/>
      <c r="N2314" s="242"/>
      <c r="O2314" s="242"/>
      <c r="P2314" s="242"/>
      <c r="Q2314" s="242"/>
      <c r="R2314" s="539"/>
      <c r="S2314" s="540"/>
      <c r="T2314" s="543"/>
      <c r="U2314" s="673" t="b">
        <v>0</v>
      </c>
      <c r="Z2314" t="b">
        <v>0</v>
      </c>
      <c r="AA2314" t="b">
        <v>0</v>
      </c>
      <c r="AC2314" s="82"/>
      <c r="AD2314" t="str">
        <f t="shared" si="71"/>
        <v/>
      </c>
      <c r="AE2314" t="str">
        <f t="shared" si="72"/>
        <v/>
      </c>
    </row>
    <row r="2315">
      <c r="D2315" s="226"/>
      <c r="H2315" s="474"/>
      <c r="I2315" s="474"/>
      <c r="J2315" s="475"/>
      <c r="K2315" s="275"/>
      <c r="L2315" s="82"/>
      <c r="M2315" s="672"/>
      <c r="N2315" s="242"/>
      <c r="O2315" s="242"/>
      <c r="P2315" s="242"/>
      <c r="Q2315" s="242"/>
      <c r="R2315" s="539"/>
      <c r="S2315" s="540"/>
      <c r="T2315" s="543"/>
      <c r="U2315" s="673" t="b">
        <v>0</v>
      </c>
      <c r="Z2315" t="b">
        <v>0</v>
      </c>
      <c r="AA2315" t="b">
        <v>0</v>
      </c>
      <c r="AC2315" s="82"/>
      <c r="AD2315" t="str">
        <f t="shared" si="71"/>
        <v/>
      </c>
      <c r="AE2315" t="str">
        <f t="shared" si="72"/>
        <v/>
      </c>
    </row>
    <row r="2316">
      <c r="D2316" s="226"/>
      <c r="H2316" s="474"/>
      <c r="I2316" s="474"/>
      <c r="J2316" s="475"/>
      <c r="K2316" s="275"/>
      <c r="L2316" s="82"/>
      <c r="M2316" s="672"/>
      <c r="N2316" s="242"/>
      <c r="O2316" s="242"/>
      <c r="P2316" s="242"/>
      <c r="Q2316" s="242"/>
      <c r="R2316" s="539"/>
      <c r="S2316" s="540"/>
      <c r="T2316" s="543"/>
      <c r="U2316" s="673" t="b">
        <v>0</v>
      </c>
      <c r="Z2316" t="b">
        <v>0</v>
      </c>
      <c r="AA2316" t="b">
        <v>0</v>
      </c>
      <c r="AC2316" s="82"/>
      <c r="AD2316" t="str">
        <f t="shared" si="71"/>
        <v/>
      </c>
      <c r="AE2316" t="str">
        <f t="shared" si="72"/>
        <v/>
      </c>
    </row>
    <row r="2317">
      <c r="D2317" s="226"/>
      <c r="H2317" s="474"/>
      <c r="I2317" s="474"/>
      <c r="J2317" s="475"/>
      <c r="K2317" s="275"/>
      <c r="L2317" s="82"/>
      <c r="M2317" s="672"/>
      <c r="N2317" s="242"/>
      <c r="O2317" s="242"/>
      <c r="P2317" s="242"/>
      <c r="Q2317" s="242"/>
      <c r="R2317" s="539"/>
      <c r="S2317" s="540"/>
      <c r="T2317" s="543"/>
      <c r="U2317" s="673" t="b">
        <v>0</v>
      </c>
      <c r="Z2317" t="b">
        <v>0</v>
      </c>
      <c r="AA2317" t="b">
        <v>0</v>
      </c>
      <c r="AC2317" s="82"/>
      <c r="AD2317" t="str">
        <f t="shared" si="71"/>
        <v/>
      </c>
      <c r="AE2317" t="str">
        <f t="shared" si="72"/>
        <v/>
      </c>
    </row>
    <row r="2318">
      <c r="D2318" s="226"/>
      <c r="H2318" s="474"/>
      <c r="I2318" s="474"/>
      <c r="J2318" s="475"/>
      <c r="K2318" s="275"/>
      <c r="L2318" s="82"/>
      <c r="M2318" s="672"/>
      <c r="N2318" s="242"/>
      <c r="O2318" s="242"/>
      <c r="P2318" s="242"/>
      <c r="Q2318" s="242"/>
      <c r="R2318" s="539"/>
      <c r="S2318" s="540"/>
      <c r="T2318" s="543"/>
      <c r="U2318" s="673" t="b">
        <v>0</v>
      </c>
      <c r="Z2318" t="b">
        <v>0</v>
      </c>
      <c r="AA2318" t="b">
        <v>0</v>
      </c>
      <c r="AC2318" s="82"/>
      <c r="AD2318" t="str">
        <f t="shared" si="71"/>
        <v/>
      </c>
      <c r="AE2318" t="str">
        <f t="shared" si="72"/>
        <v/>
      </c>
    </row>
    <row r="2319">
      <c r="D2319" s="226"/>
      <c r="H2319" s="474"/>
      <c r="I2319" s="474"/>
      <c r="J2319" s="475"/>
      <c r="K2319" s="275"/>
      <c r="L2319" s="82"/>
      <c r="M2319" s="672"/>
      <c r="N2319" s="242"/>
      <c r="O2319" s="242"/>
      <c r="P2319" s="242"/>
      <c r="Q2319" s="242"/>
      <c r="R2319" s="539"/>
      <c r="S2319" s="540"/>
      <c r="T2319" s="543"/>
      <c r="U2319" s="673" t="b">
        <v>0</v>
      </c>
      <c r="Z2319" t="b">
        <v>0</v>
      </c>
      <c r="AA2319" t="b">
        <v>0</v>
      </c>
      <c r="AC2319" s="82"/>
      <c r="AD2319" t="str">
        <f t="shared" si="71"/>
        <v/>
      </c>
      <c r="AE2319" t="str">
        <f t="shared" si="72"/>
        <v/>
      </c>
    </row>
    <row r="2320">
      <c r="D2320" s="226"/>
      <c r="H2320" s="474"/>
      <c r="I2320" s="474"/>
      <c r="J2320" s="475"/>
      <c r="K2320" s="275"/>
      <c r="L2320" s="82"/>
      <c r="M2320" s="672"/>
      <c r="N2320" s="242"/>
      <c r="O2320" s="242"/>
      <c r="P2320" s="242"/>
      <c r="Q2320" s="242"/>
      <c r="R2320" s="539"/>
      <c r="S2320" s="540"/>
      <c r="T2320" s="543"/>
      <c r="U2320" s="673" t="b">
        <v>0</v>
      </c>
      <c r="Z2320" t="b">
        <v>0</v>
      </c>
      <c r="AA2320" t="b">
        <v>0</v>
      </c>
      <c r="AC2320" s="82"/>
      <c r="AD2320" t="str">
        <f t="shared" si="71"/>
        <v/>
      </c>
      <c r="AE2320" t="str">
        <f t="shared" si="72"/>
        <v/>
      </c>
    </row>
    <row r="2321">
      <c r="D2321" s="226"/>
      <c r="H2321" s="474"/>
      <c r="I2321" s="474"/>
      <c r="J2321" s="475"/>
      <c r="K2321" s="275"/>
      <c r="L2321" s="82"/>
      <c r="M2321" s="672"/>
      <c r="N2321" s="242"/>
      <c r="O2321" s="242"/>
      <c r="P2321" s="242"/>
      <c r="Q2321" s="242"/>
      <c r="R2321" s="539"/>
      <c r="S2321" s="540"/>
      <c r="T2321" s="543"/>
      <c r="U2321" s="673" t="b">
        <v>0</v>
      </c>
      <c r="Z2321" t="b">
        <v>0</v>
      </c>
      <c r="AA2321" t="b">
        <v>0</v>
      </c>
      <c r="AC2321" s="82"/>
      <c r="AD2321" t="str">
        <f t="shared" si="71"/>
        <v/>
      </c>
      <c r="AE2321" t="str">
        <f t="shared" si="72"/>
        <v/>
      </c>
    </row>
    <row r="2322">
      <c r="D2322" s="226"/>
      <c r="H2322" s="474"/>
      <c r="I2322" s="474"/>
      <c r="J2322" s="475"/>
      <c r="K2322" s="275"/>
      <c r="L2322" s="82"/>
      <c r="M2322" s="672"/>
      <c r="N2322" s="242"/>
      <c r="O2322" s="242"/>
      <c r="P2322" s="242"/>
      <c r="Q2322" s="242"/>
      <c r="R2322" s="539"/>
      <c r="S2322" s="540"/>
      <c r="T2322" s="543"/>
      <c r="U2322" s="673" t="b">
        <v>0</v>
      </c>
      <c r="Z2322" t="b">
        <v>0</v>
      </c>
      <c r="AA2322" t="b">
        <v>0</v>
      </c>
      <c r="AC2322" s="82"/>
      <c r="AD2322" t="str">
        <f t="shared" si="71"/>
        <v/>
      </c>
      <c r="AE2322" t="str">
        <f t="shared" si="72"/>
        <v/>
      </c>
    </row>
    <row r="2323">
      <c r="D2323" s="226"/>
      <c r="H2323" s="474"/>
      <c r="I2323" s="474"/>
      <c r="J2323" s="475"/>
      <c r="K2323" s="275"/>
      <c r="L2323" s="82"/>
      <c r="M2323" s="672"/>
      <c r="N2323" s="242"/>
      <c r="O2323" s="242"/>
      <c r="P2323" s="242"/>
      <c r="Q2323" s="242"/>
      <c r="R2323" s="539"/>
      <c r="S2323" s="540"/>
      <c r="T2323" s="543"/>
      <c r="U2323" s="673" t="b">
        <v>0</v>
      </c>
      <c r="Z2323" t="b">
        <v>0</v>
      </c>
      <c r="AA2323" t="b">
        <v>0</v>
      </c>
      <c r="AC2323" s="82"/>
      <c r="AD2323" t="str">
        <f t="shared" si="71"/>
        <v/>
      </c>
      <c r="AE2323" t="str">
        <f t="shared" si="72"/>
        <v/>
      </c>
    </row>
    <row r="2324">
      <c r="D2324" s="226"/>
      <c r="H2324" s="474"/>
      <c r="I2324" s="474"/>
      <c r="J2324" s="475"/>
      <c r="K2324" s="275"/>
      <c r="L2324" s="82"/>
      <c r="M2324" s="672"/>
      <c r="N2324" s="242"/>
      <c r="O2324" s="242"/>
      <c r="P2324" s="242"/>
      <c r="Q2324" s="242"/>
      <c r="R2324" s="539"/>
      <c r="S2324" s="540"/>
      <c r="T2324" s="543"/>
      <c r="U2324" s="673" t="b">
        <v>0</v>
      </c>
      <c r="Z2324" t="b">
        <v>0</v>
      </c>
      <c r="AA2324" t="b">
        <v>0</v>
      </c>
      <c r="AC2324" s="82"/>
      <c r="AD2324" t="str">
        <f t="shared" si="71"/>
        <v/>
      </c>
      <c r="AE2324" t="str">
        <f t="shared" si="72"/>
        <v/>
      </c>
    </row>
    <row r="2325">
      <c r="D2325" s="226"/>
      <c r="H2325" s="474"/>
      <c r="I2325" s="474"/>
      <c r="J2325" s="475"/>
      <c r="K2325" s="275"/>
      <c r="L2325" s="82"/>
      <c r="M2325" s="672"/>
      <c r="N2325" s="242"/>
      <c r="O2325" s="242"/>
      <c r="P2325" s="242"/>
      <c r="Q2325" s="242"/>
      <c r="R2325" s="539"/>
      <c r="S2325" s="540"/>
      <c r="T2325" s="543"/>
      <c r="U2325" s="673" t="b">
        <v>0</v>
      </c>
      <c r="Z2325" t="b">
        <v>0</v>
      </c>
      <c r="AA2325" t="b">
        <v>0</v>
      </c>
      <c r="AC2325" s="82"/>
      <c r="AD2325" t="str">
        <f t="shared" si="71"/>
        <v/>
      </c>
      <c r="AE2325" t="str">
        <f t="shared" si="72"/>
        <v/>
      </c>
    </row>
    <row r="2326">
      <c r="D2326" s="226"/>
      <c r="H2326" s="474"/>
      <c r="I2326" s="474"/>
      <c r="J2326" s="475"/>
      <c r="K2326" s="275"/>
      <c r="L2326" s="82"/>
      <c r="M2326" s="672"/>
      <c r="N2326" s="242"/>
      <c r="O2326" s="242"/>
      <c r="P2326" s="242"/>
      <c r="Q2326" s="242"/>
      <c r="R2326" s="539"/>
      <c r="S2326" s="540"/>
      <c r="T2326" s="543"/>
      <c r="U2326" s="673" t="b">
        <v>0</v>
      </c>
      <c r="Z2326" t="b">
        <v>0</v>
      </c>
      <c r="AA2326" t="b">
        <v>0</v>
      </c>
      <c r="AC2326" s="82"/>
      <c r="AD2326" t="str">
        <f t="shared" si="71"/>
        <v/>
      </c>
      <c r="AE2326" t="str">
        <f t="shared" si="72"/>
        <v/>
      </c>
    </row>
    <row r="2327">
      <c r="D2327" s="226"/>
      <c r="H2327" s="474"/>
      <c r="I2327" s="474"/>
      <c r="J2327" s="475"/>
      <c r="K2327" s="275"/>
      <c r="L2327" s="82"/>
      <c r="M2327" s="672"/>
      <c r="N2327" s="242"/>
      <c r="O2327" s="242"/>
      <c r="P2327" s="242"/>
      <c r="Q2327" s="242"/>
      <c r="R2327" s="539"/>
      <c r="S2327" s="540"/>
      <c r="T2327" s="543"/>
      <c r="U2327" s="673" t="b">
        <v>0</v>
      </c>
      <c r="Z2327" t="b">
        <v>0</v>
      </c>
      <c r="AA2327" t="b">
        <v>0</v>
      </c>
      <c r="AC2327" s="82"/>
      <c r="AD2327" t="str">
        <f t="shared" si="71"/>
        <v/>
      </c>
      <c r="AE2327" t="str">
        <f t="shared" si="72"/>
        <v/>
      </c>
    </row>
    <row r="2328">
      <c r="D2328" s="226"/>
      <c r="H2328" s="474"/>
      <c r="I2328" s="474"/>
      <c r="J2328" s="475"/>
      <c r="K2328" s="275"/>
      <c r="L2328" s="82"/>
      <c r="M2328" s="672"/>
      <c r="N2328" s="242"/>
      <c r="O2328" s="242"/>
      <c r="P2328" s="242"/>
      <c r="Q2328" s="242"/>
      <c r="R2328" s="539"/>
      <c r="S2328" s="540"/>
      <c r="T2328" s="543"/>
      <c r="U2328" s="673" t="b">
        <v>0</v>
      </c>
      <c r="Z2328" t="b">
        <v>0</v>
      </c>
      <c r="AA2328" t="b">
        <v>0</v>
      </c>
      <c r="AC2328" s="82"/>
      <c r="AD2328" t="str">
        <f t="shared" si="71"/>
        <v/>
      </c>
      <c r="AE2328" t="str">
        <f t="shared" si="72"/>
        <v/>
      </c>
    </row>
    <row r="2329">
      <c r="D2329" s="226"/>
      <c r="H2329" s="474"/>
      <c r="I2329" s="474"/>
      <c r="J2329" s="475"/>
      <c r="K2329" s="275"/>
      <c r="L2329" s="82"/>
      <c r="M2329" s="672"/>
      <c r="N2329" s="242"/>
      <c r="O2329" s="242"/>
      <c r="P2329" s="242"/>
      <c r="Q2329" s="242"/>
      <c r="R2329" s="539"/>
      <c r="S2329" s="540"/>
      <c r="T2329" s="543"/>
      <c r="U2329" s="673" t="b">
        <v>0</v>
      </c>
      <c r="Z2329" t="b">
        <v>0</v>
      </c>
      <c r="AA2329" t="b">
        <v>0</v>
      </c>
      <c r="AC2329" s="82"/>
      <c r="AD2329" t="str">
        <f t="shared" si="71"/>
        <v/>
      </c>
      <c r="AE2329" t="str">
        <f t="shared" si="72"/>
        <v/>
      </c>
    </row>
    <row r="2330">
      <c r="D2330" s="226"/>
      <c r="H2330" s="474"/>
      <c r="I2330" s="474"/>
      <c r="J2330" s="475"/>
      <c r="K2330" s="275"/>
      <c r="L2330" s="82"/>
      <c r="M2330" s="672"/>
      <c r="N2330" s="242"/>
      <c r="O2330" s="242"/>
      <c r="P2330" s="242"/>
      <c r="Q2330" s="242"/>
      <c r="R2330" s="539"/>
      <c r="S2330" s="540"/>
      <c r="T2330" s="543"/>
      <c r="U2330" s="673" t="b">
        <v>0</v>
      </c>
      <c r="Z2330" t="b">
        <v>0</v>
      </c>
      <c r="AA2330" t="b">
        <v>0</v>
      </c>
      <c r="AC2330" s="82"/>
      <c r="AD2330" t="str">
        <f t="shared" si="71"/>
        <v/>
      </c>
      <c r="AE2330" t="str">
        <f t="shared" si="72"/>
        <v/>
      </c>
    </row>
    <row r="2331">
      <c r="D2331" s="226"/>
      <c r="H2331" s="474"/>
      <c r="I2331" s="474"/>
      <c r="J2331" s="475"/>
      <c r="K2331" s="275"/>
      <c r="L2331" s="82"/>
      <c r="M2331" s="672"/>
      <c r="N2331" s="242"/>
      <c r="O2331" s="242"/>
      <c r="P2331" s="242"/>
      <c r="Q2331" s="242"/>
      <c r="R2331" s="539"/>
      <c r="S2331" s="540"/>
      <c r="T2331" s="543"/>
      <c r="U2331" s="673" t="b">
        <v>0</v>
      </c>
      <c r="Z2331" t="b">
        <v>0</v>
      </c>
      <c r="AA2331" t="b">
        <v>0</v>
      </c>
      <c r="AC2331" s="82"/>
      <c r="AD2331" t="str">
        <f t="shared" si="71"/>
        <v/>
      </c>
      <c r="AE2331" t="str">
        <f t="shared" si="72"/>
        <v/>
      </c>
    </row>
    <row r="2332">
      <c r="D2332" s="226"/>
      <c r="H2332" s="474"/>
      <c r="I2332" s="474"/>
      <c r="J2332" s="475"/>
      <c r="K2332" s="275"/>
      <c r="L2332" s="82"/>
      <c r="M2332" s="672"/>
      <c r="N2332" s="242"/>
      <c r="O2332" s="242"/>
      <c r="P2332" s="242"/>
      <c r="Q2332" s="242"/>
      <c r="R2332" s="539"/>
      <c r="S2332" s="540"/>
      <c r="T2332" s="543"/>
      <c r="U2332" s="673" t="b">
        <v>0</v>
      </c>
      <c r="Z2332" t="b">
        <v>0</v>
      </c>
      <c r="AA2332" t="b">
        <v>0</v>
      </c>
      <c r="AC2332" s="82"/>
      <c r="AD2332" t="str">
        <f t="shared" si="71"/>
        <v/>
      </c>
      <c r="AE2332" t="str">
        <f t="shared" si="72"/>
        <v/>
      </c>
    </row>
    <row r="2333">
      <c r="D2333" s="226"/>
      <c r="H2333" s="474"/>
      <c r="I2333" s="474"/>
      <c r="J2333" s="475"/>
      <c r="K2333" s="275"/>
      <c r="L2333" s="82"/>
      <c r="M2333" s="672"/>
      <c r="N2333" s="242"/>
      <c r="O2333" s="242"/>
      <c r="P2333" s="242"/>
      <c r="Q2333" s="242"/>
      <c r="R2333" s="539"/>
      <c r="S2333" s="540"/>
      <c r="T2333" s="543"/>
      <c r="U2333" s="673" t="b">
        <v>0</v>
      </c>
      <c r="Z2333" t="b">
        <v>0</v>
      </c>
      <c r="AA2333" t="b">
        <v>0</v>
      </c>
      <c r="AC2333" s="82"/>
      <c r="AD2333" t="str">
        <f t="shared" si="71"/>
        <v/>
      </c>
      <c r="AE2333" t="str">
        <f t="shared" si="72"/>
        <v/>
      </c>
    </row>
    <row r="2334">
      <c r="D2334" s="226"/>
      <c r="H2334" s="474"/>
      <c r="I2334" s="474"/>
      <c r="J2334" s="475"/>
      <c r="K2334" s="275"/>
      <c r="L2334" s="82"/>
      <c r="M2334" s="672"/>
      <c r="N2334" s="242"/>
      <c r="O2334" s="242"/>
      <c r="P2334" s="242"/>
      <c r="Q2334" s="242"/>
      <c r="R2334" s="539"/>
      <c r="S2334" s="540"/>
      <c r="T2334" s="543"/>
      <c r="U2334" s="673" t="b">
        <v>0</v>
      </c>
      <c r="Z2334" t="b">
        <v>0</v>
      </c>
      <c r="AA2334" t="b">
        <v>0</v>
      </c>
      <c r="AC2334" s="82"/>
      <c r="AD2334" t="str">
        <f t="shared" si="71"/>
        <v/>
      </c>
      <c r="AE2334" t="str">
        <f t="shared" si="72"/>
        <v/>
      </c>
    </row>
    <row r="2335">
      <c r="D2335" s="226"/>
      <c r="H2335" s="474"/>
      <c r="I2335" s="474"/>
      <c r="J2335" s="475"/>
      <c r="K2335" s="275"/>
      <c r="L2335" s="82"/>
      <c r="M2335" s="672"/>
      <c r="N2335" s="242"/>
      <c r="O2335" s="242"/>
      <c r="P2335" s="242"/>
      <c r="Q2335" s="242"/>
      <c r="R2335" s="539"/>
      <c r="S2335" s="540"/>
      <c r="T2335" s="543"/>
      <c r="U2335" s="673" t="b">
        <v>0</v>
      </c>
      <c r="Z2335" t="b">
        <v>0</v>
      </c>
      <c r="AA2335" t="b">
        <v>0</v>
      </c>
      <c r="AC2335" s="82"/>
      <c r="AD2335" t="str">
        <f t="shared" si="71"/>
        <v/>
      </c>
      <c r="AE2335" t="str">
        <f t="shared" si="72"/>
        <v/>
      </c>
    </row>
    <row r="2336">
      <c r="D2336" s="226"/>
      <c r="H2336" s="474"/>
      <c r="I2336" s="474"/>
      <c r="J2336" s="475"/>
      <c r="K2336" s="275"/>
      <c r="L2336" s="82"/>
      <c r="M2336" s="672"/>
      <c r="N2336" s="242"/>
      <c r="O2336" s="242"/>
      <c r="P2336" s="242"/>
      <c r="Q2336" s="242"/>
      <c r="R2336" s="539"/>
      <c r="S2336" s="540"/>
      <c r="T2336" s="543"/>
      <c r="U2336" s="673" t="b">
        <v>0</v>
      </c>
      <c r="Z2336" t="b">
        <v>0</v>
      </c>
      <c r="AA2336" t="b">
        <v>0</v>
      </c>
      <c r="AC2336" s="82"/>
      <c r="AD2336" t="str">
        <f t="shared" si="71"/>
        <v/>
      </c>
      <c r="AE2336" t="str">
        <f t="shared" si="72"/>
        <v/>
      </c>
    </row>
    <row r="2337">
      <c r="D2337" s="226"/>
      <c r="H2337" s="474"/>
      <c r="I2337" s="474"/>
      <c r="J2337" s="475"/>
      <c r="K2337" s="275"/>
      <c r="L2337" s="82"/>
      <c r="M2337" s="672"/>
      <c r="N2337" s="242"/>
      <c r="O2337" s="242"/>
      <c r="P2337" s="242"/>
      <c r="Q2337" s="242"/>
      <c r="R2337" s="539"/>
      <c r="S2337" s="540"/>
      <c r="T2337" s="543"/>
      <c r="U2337" s="673" t="b">
        <v>0</v>
      </c>
      <c r="Z2337" t="b">
        <v>0</v>
      </c>
      <c r="AA2337" t="b">
        <v>0</v>
      </c>
      <c r="AC2337" s="82"/>
      <c r="AD2337" t="str">
        <f t="shared" si="71"/>
        <v/>
      </c>
      <c r="AE2337" t="str">
        <f t="shared" si="72"/>
        <v/>
      </c>
    </row>
    <row r="2338">
      <c r="D2338" s="226"/>
      <c r="H2338" s="474"/>
      <c r="I2338" s="474"/>
      <c r="J2338" s="475"/>
      <c r="K2338" s="275"/>
      <c r="L2338" s="82"/>
      <c r="M2338" s="672"/>
      <c r="N2338" s="242"/>
      <c r="O2338" s="242"/>
      <c r="P2338" s="242"/>
      <c r="Q2338" s="242"/>
      <c r="R2338" s="539"/>
      <c r="S2338" s="540"/>
      <c r="T2338" s="543"/>
      <c r="U2338" s="673" t="b">
        <v>0</v>
      </c>
      <c r="Z2338" t="b">
        <v>0</v>
      </c>
      <c r="AA2338" t="b">
        <v>0</v>
      </c>
      <c r="AC2338" s="82"/>
      <c r="AD2338" t="str">
        <f t="shared" si="71"/>
        <v/>
      </c>
      <c r="AE2338" t="str">
        <f t="shared" si="72"/>
        <v/>
      </c>
    </row>
    <row r="2339">
      <c r="D2339" s="226"/>
      <c r="H2339" s="474"/>
      <c r="I2339" s="474"/>
      <c r="J2339" s="475"/>
      <c r="K2339" s="275"/>
      <c r="L2339" s="82"/>
      <c r="M2339" s="672"/>
      <c r="N2339" s="242"/>
      <c r="O2339" s="242"/>
      <c r="P2339" s="242"/>
      <c r="Q2339" s="242"/>
      <c r="R2339" s="539"/>
      <c r="S2339" s="540"/>
      <c r="T2339" s="543"/>
      <c r="U2339" s="673" t="b">
        <v>0</v>
      </c>
      <c r="Z2339" t="b">
        <v>0</v>
      </c>
      <c r="AA2339" t="b">
        <v>0</v>
      </c>
      <c r="AC2339" s="82"/>
      <c r="AD2339" t="str">
        <f t="shared" si="71"/>
        <v/>
      </c>
      <c r="AE2339" t="str">
        <f t="shared" si="72"/>
        <v/>
      </c>
    </row>
    <row r="2340">
      <c r="D2340" s="226"/>
      <c r="H2340" s="474"/>
      <c r="I2340" s="474"/>
      <c r="J2340" s="475"/>
      <c r="K2340" s="275"/>
      <c r="L2340" s="82"/>
      <c r="M2340" s="672"/>
      <c r="N2340" s="242"/>
      <c r="O2340" s="242"/>
      <c r="P2340" s="242"/>
      <c r="Q2340" s="242"/>
      <c r="R2340" s="539"/>
      <c r="S2340" s="540"/>
      <c r="T2340" s="543"/>
      <c r="U2340" s="673" t="b">
        <v>0</v>
      </c>
      <c r="Z2340" t="b">
        <v>0</v>
      </c>
      <c r="AA2340" t="b">
        <v>0</v>
      </c>
      <c r="AC2340" s="82"/>
      <c r="AD2340" t="str">
        <f t="shared" si="71"/>
        <v/>
      </c>
      <c r="AE2340" t="str">
        <f t="shared" si="72"/>
        <v/>
      </c>
    </row>
    <row r="2341">
      <c r="D2341" s="226"/>
      <c r="H2341" s="474"/>
      <c r="I2341" s="474"/>
      <c r="J2341" s="475"/>
      <c r="K2341" s="275"/>
      <c r="L2341" s="82"/>
      <c r="M2341" s="672"/>
      <c r="N2341" s="242"/>
      <c r="O2341" s="242"/>
      <c r="P2341" s="242"/>
      <c r="Q2341" s="242"/>
      <c r="R2341" s="539"/>
      <c r="S2341" s="540"/>
      <c r="T2341" s="543"/>
      <c r="U2341" s="673" t="b">
        <v>0</v>
      </c>
      <c r="Z2341" t="b">
        <v>0</v>
      </c>
      <c r="AA2341" t="b">
        <v>0</v>
      </c>
      <c r="AC2341" s="82"/>
      <c r="AD2341" t="str">
        <f t="shared" si="71"/>
        <v/>
      </c>
      <c r="AE2341" t="str">
        <f t="shared" si="72"/>
        <v/>
      </c>
    </row>
    <row r="2342">
      <c r="D2342" s="226"/>
      <c r="H2342" s="474"/>
      <c r="I2342" s="474"/>
      <c r="J2342" s="475"/>
      <c r="K2342" s="275"/>
      <c r="L2342" s="82"/>
      <c r="M2342" s="672"/>
      <c r="N2342" s="242"/>
      <c r="O2342" s="242"/>
      <c r="P2342" s="242"/>
      <c r="Q2342" s="242"/>
      <c r="R2342" s="539"/>
      <c r="S2342" s="540"/>
      <c r="T2342" s="543"/>
      <c r="U2342" s="673" t="b">
        <v>0</v>
      </c>
      <c r="Z2342" t="b">
        <v>0</v>
      </c>
      <c r="AA2342" t="b">
        <v>0</v>
      </c>
      <c r="AC2342" s="82"/>
      <c r="AD2342" t="str">
        <f t="shared" si="71"/>
        <v/>
      </c>
      <c r="AE2342" t="str">
        <f t="shared" si="72"/>
        <v/>
      </c>
    </row>
    <row r="2343">
      <c r="D2343" s="226"/>
      <c r="H2343" s="474"/>
      <c r="I2343" s="474"/>
      <c r="J2343" s="475"/>
      <c r="K2343" s="275"/>
      <c r="L2343" s="82"/>
      <c r="M2343" s="672"/>
      <c r="N2343" s="242"/>
      <c r="O2343" s="242"/>
      <c r="P2343" s="242"/>
      <c r="Q2343" s="242"/>
      <c r="R2343" s="539"/>
      <c r="S2343" s="540"/>
      <c r="T2343" s="543"/>
      <c r="U2343" s="673" t="b">
        <v>0</v>
      </c>
      <c r="Z2343" t="b">
        <v>0</v>
      </c>
      <c r="AA2343" t="b">
        <v>0</v>
      </c>
      <c r="AC2343" s="82"/>
      <c r="AD2343" t="str">
        <f t="shared" si="71"/>
        <v/>
      </c>
      <c r="AE2343" t="str">
        <f t="shared" si="72"/>
        <v/>
      </c>
    </row>
    <row r="2344">
      <c r="D2344" s="226"/>
      <c r="H2344" s="474"/>
      <c r="I2344" s="474"/>
      <c r="J2344" s="475"/>
      <c r="K2344" s="275"/>
      <c r="L2344" s="82"/>
      <c r="M2344" s="672"/>
      <c r="N2344" s="242"/>
      <c r="O2344" s="242"/>
      <c r="P2344" s="242"/>
      <c r="Q2344" s="242"/>
      <c r="R2344" s="539"/>
      <c r="S2344" s="540"/>
      <c r="T2344" s="543"/>
      <c r="U2344" s="673" t="b">
        <v>0</v>
      </c>
      <c r="Z2344" t="b">
        <v>0</v>
      </c>
      <c r="AA2344" t="b">
        <v>0</v>
      </c>
      <c r="AC2344" s="82"/>
      <c r="AD2344" t="str">
        <f t="shared" si="71"/>
        <v/>
      </c>
      <c r="AE2344" t="str">
        <f t="shared" si="72"/>
        <v/>
      </c>
    </row>
    <row r="2345">
      <c r="D2345" s="226"/>
      <c r="H2345" s="474"/>
      <c r="I2345" s="474"/>
      <c r="J2345" s="475"/>
      <c r="K2345" s="275"/>
      <c r="L2345" s="82"/>
      <c r="M2345" s="672"/>
      <c r="N2345" s="242"/>
      <c r="O2345" s="242"/>
      <c r="P2345" s="242"/>
      <c r="Q2345" s="242"/>
      <c r="R2345" s="539"/>
      <c r="S2345" s="540"/>
      <c r="T2345" s="543"/>
      <c r="U2345" s="673" t="b">
        <v>0</v>
      </c>
      <c r="Z2345" t="b">
        <v>0</v>
      </c>
      <c r="AA2345" t="b">
        <v>0</v>
      </c>
      <c r="AC2345" s="82"/>
      <c r="AD2345" t="str">
        <f t="shared" si="71"/>
        <v/>
      </c>
      <c r="AE2345" t="str">
        <f t="shared" si="72"/>
        <v/>
      </c>
    </row>
    <row r="2346">
      <c r="D2346" s="226"/>
      <c r="H2346" s="474"/>
      <c r="I2346" s="474"/>
      <c r="J2346" s="475"/>
      <c r="K2346" s="275"/>
      <c r="L2346" s="82"/>
      <c r="M2346" s="672"/>
      <c r="N2346" s="242"/>
      <c r="O2346" s="242"/>
      <c r="P2346" s="242"/>
      <c r="Q2346" s="242"/>
      <c r="R2346" s="539"/>
      <c r="S2346" s="540"/>
      <c r="T2346" s="543"/>
      <c r="U2346" s="673" t="b">
        <v>0</v>
      </c>
      <c r="Z2346" t="b">
        <v>0</v>
      </c>
      <c r="AA2346" t="b">
        <v>0</v>
      </c>
      <c r="AC2346" s="82"/>
      <c r="AD2346" t="str">
        <f t="shared" si="71"/>
        <v/>
      </c>
      <c r="AE2346" t="str">
        <f t="shared" si="72"/>
        <v/>
      </c>
    </row>
    <row r="2347">
      <c r="D2347" s="226"/>
      <c r="H2347" s="474"/>
      <c r="I2347" s="474"/>
      <c r="J2347" s="475"/>
      <c r="K2347" s="275"/>
      <c r="L2347" s="82"/>
      <c r="M2347" s="672"/>
      <c r="N2347" s="242"/>
      <c r="O2347" s="242"/>
      <c r="P2347" s="242"/>
      <c r="Q2347" s="242"/>
      <c r="R2347" s="539"/>
      <c r="S2347" s="540"/>
      <c r="T2347" s="543"/>
      <c r="U2347" s="673" t="b">
        <v>0</v>
      </c>
      <c r="Z2347" t="b">
        <v>0</v>
      </c>
      <c r="AA2347" t="b">
        <v>0</v>
      </c>
      <c r="AC2347" s="82"/>
      <c r="AD2347" t="str">
        <f t="shared" si="71"/>
        <v/>
      </c>
      <c r="AE2347" t="str">
        <f t="shared" si="72"/>
        <v/>
      </c>
    </row>
    <row r="2348">
      <c r="D2348" s="226"/>
      <c r="H2348" s="474"/>
      <c r="I2348" s="474"/>
      <c r="J2348" s="475"/>
      <c r="K2348" s="275"/>
      <c r="L2348" s="82"/>
      <c r="M2348" s="672"/>
      <c r="N2348" s="242"/>
      <c r="O2348" s="242"/>
      <c r="P2348" s="242"/>
      <c r="Q2348" s="242"/>
      <c r="R2348" s="539"/>
      <c r="S2348" s="540"/>
      <c r="T2348" s="543"/>
      <c r="U2348" s="673" t="b">
        <v>0</v>
      </c>
      <c r="Z2348" t="b">
        <v>0</v>
      </c>
      <c r="AA2348" t="b">
        <v>0</v>
      </c>
      <c r="AC2348" s="82"/>
      <c r="AD2348" t="str">
        <f t="shared" si="71"/>
        <v/>
      </c>
      <c r="AE2348" t="str">
        <f t="shared" si="72"/>
        <v/>
      </c>
    </row>
    <row r="2349">
      <c r="D2349" s="226"/>
      <c r="H2349" s="474"/>
      <c r="I2349" s="474"/>
      <c r="J2349" s="475"/>
      <c r="K2349" s="275"/>
      <c r="L2349" s="82"/>
      <c r="M2349" s="672"/>
      <c r="N2349" s="242"/>
      <c r="O2349" s="242"/>
      <c r="P2349" s="242"/>
      <c r="Q2349" s="242"/>
      <c r="R2349" s="539"/>
      <c r="S2349" s="540"/>
      <c r="T2349" s="543"/>
      <c r="U2349" s="673" t="b">
        <v>0</v>
      </c>
      <c r="Z2349" t="b">
        <v>0</v>
      </c>
      <c r="AA2349" t="b">
        <v>0</v>
      </c>
      <c r="AC2349" s="82"/>
      <c r="AD2349" t="str">
        <f t="shared" si="71"/>
        <v/>
      </c>
      <c r="AE2349" t="str">
        <f t="shared" si="72"/>
        <v/>
      </c>
    </row>
    <row r="2350">
      <c r="D2350" s="226"/>
      <c r="H2350" s="474"/>
      <c r="I2350" s="474"/>
      <c r="J2350" s="475"/>
      <c r="K2350" s="275"/>
      <c r="L2350" s="82"/>
      <c r="M2350" s="672"/>
      <c r="N2350" s="242"/>
      <c r="O2350" s="242"/>
      <c r="P2350" s="242"/>
      <c r="Q2350" s="242"/>
      <c r="R2350" s="539"/>
      <c r="S2350" s="540"/>
      <c r="T2350" s="543"/>
      <c r="U2350" s="673" t="b">
        <v>0</v>
      </c>
      <c r="Z2350" t="b">
        <v>0</v>
      </c>
      <c r="AA2350" t="b">
        <v>0</v>
      </c>
      <c r="AC2350" s="82"/>
      <c r="AD2350" t="str">
        <f t="shared" si="71"/>
        <v/>
      </c>
      <c r="AE2350" t="str">
        <f t="shared" si="72"/>
        <v/>
      </c>
    </row>
    <row r="2351">
      <c r="D2351" s="226"/>
      <c r="H2351" s="474"/>
      <c r="I2351" s="474"/>
      <c r="J2351" s="475"/>
      <c r="K2351" s="275"/>
      <c r="L2351" s="82"/>
      <c r="M2351" s="672"/>
      <c r="N2351" s="242"/>
      <c r="O2351" s="242"/>
      <c r="P2351" s="242"/>
      <c r="Q2351" s="242"/>
      <c r="R2351" s="539"/>
      <c r="S2351" s="540"/>
      <c r="T2351" s="543"/>
      <c r="U2351" s="673" t="b">
        <v>0</v>
      </c>
      <c r="Z2351" t="b">
        <v>0</v>
      </c>
      <c r="AA2351" t="b">
        <v>0</v>
      </c>
      <c r="AC2351" s="82"/>
      <c r="AD2351" t="str">
        <f t="shared" si="71"/>
        <v/>
      </c>
      <c r="AE2351" t="str">
        <f t="shared" si="72"/>
        <v/>
      </c>
    </row>
    <row r="2352">
      <c r="D2352" s="226"/>
      <c r="H2352" s="474"/>
      <c r="I2352" s="474"/>
      <c r="J2352" s="475"/>
      <c r="K2352" s="275"/>
      <c r="L2352" s="82"/>
      <c r="M2352" s="672"/>
      <c r="N2352" s="242"/>
      <c r="O2352" s="242"/>
      <c r="P2352" s="242"/>
      <c r="Q2352" s="242"/>
      <c r="R2352" s="539"/>
      <c r="S2352" s="540"/>
      <c r="T2352" s="543"/>
      <c r="U2352" s="673" t="b">
        <v>0</v>
      </c>
      <c r="Z2352" t="b">
        <v>0</v>
      </c>
      <c r="AA2352" t="b">
        <v>0</v>
      </c>
      <c r="AC2352" s="82"/>
      <c r="AD2352" t="str">
        <f t="shared" si="71"/>
        <v/>
      </c>
      <c r="AE2352" t="str">
        <f t="shared" si="72"/>
        <v/>
      </c>
    </row>
    <row r="2353">
      <c r="D2353" s="226"/>
      <c r="H2353" s="474"/>
      <c r="I2353" s="474"/>
      <c r="J2353" s="475"/>
      <c r="K2353" s="275"/>
      <c r="L2353" s="82"/>
      <c r="M2353" s="672"/>
      <c r="N2353" s="242"/>
      <c r="O2353" s="242"/>
      <c r="P2353" s="242"/>
      <c r="Q2353" s="242"/>
      <c r="R2353" s="539"/>
      <c r="S2353" s="540"/>
      <c r="T2353" s="543"/>
      <c r="U2353" s="673" t="b">
        <v>0</v>
      </c>
      <c r="Z2353" t="b">
        <v>0</v>
      </c>
      <c r="AA2353" t="b">
        <v>0</v>
      </c>
      <c r="AC2353" s="82"/>
      <c r="AD2353" t="str">
        <f t="shared" si="71"/>
        <v/>
      </c>
      <c r="AE2353" t="str">
        <f t="shared" si="72"/>
        <v/>
      </c>
    </row>
    <row r="2354">
      <c r="D2354" s="226"/>
      <c r="H2354" s="474"/>
      <c r="I2354" s="474"/>
      <c r="J2354" s="475"/>
      <c r="K2354" s="275"/>
      <c r="L2354" s="82"/>
      <c r="M2354" s="672"/>
      <c r="N2354" s="242"/>
      <c r="O2354" s="242"/>
      <c r="P2354" s="242"/>
      <c r="Q2354" s="242"/>
      <c r="R2354" s="539"/>
      <c r="S2354" s="540"/>
      <c r="T2354" s="543"/>
      <c r="U2354" s="673" t="b">
        <v>0</v>
      </c>
      <c r="Z2354" t="b">
        <v>0</v>
      </c>
      <c r="AA2354" t="b">
        <v>0</v>
      </c>
      <c r="AC2354" s="82"/>
      <c r="AD2354" t="str">
        <f t="shared" si="71"/>
        <v/>
      </c>
      <c r="AE2354" t="str">
        <f t="shared" si="72"/>
        <v/>
      </c>
    </row>
    <row r="2355">
      <c r="D2355" s="226"/>
      <c r="H2355" s="474"/>
      <c r="I2355" s="474"/>
      <c r="J2355" s="475"/>
      <c r="K2355" s="275"/>
      <c r="L2355" s="82"/>
      <c r="M2355" s="672"/>
      <c r="N2355" s="242"/>
      <c r="O2355" s="242"/>
      <c r="P2355" s="242"/>
      <c r="Q2355" s="242"/>
      <c r="R2355" s="539"/>
      <c r="S2355" s="540"/>
      <c r="T2355" s="543"/>
      <c r="U2355" s="673" t="b">
        <v>0</v>
      </c>
      <c r="Z2355" t="b">
        <v>0</v>
      </c>
      <c r="AA2355" t="b">
        <v>0</v>
      </c>
      <c r="AC2355" s="82"/>
      <c r="AD2355" t="str">
        <f t="shared" si="71"/>
        <v/>
      </c>
      <c r="AE2355" t="str">
        <f t="shared" si="72"/>
        <v/>
      </c>
    </row>
    <row r="2356">
      <c r="D2356" s="226"/>
      <c r="H2356" s="474"/>
      <c r="I2356" s="474"/>
      <c r="J2356" s="475"/>
      <c r="K2356" s="275"/>
      <c r="L2356" s="82"/>
      <c r="M2356" s="672"/>
      <c r="N2356" s="242"/>
      <c r="O2356" s="242"/>
      <c r="P2356" s="242"/>
      <c r="Q2356" s="242"/>
      <c r="R2356" s="539"/>
      <c r="S2356" s="540"/>
      <c r="T2356" s="543"/>
      <c r="U2356" s="673" t="b">
        <v>0</v>
      </c>
      <c r="Z2356" t="b">
        <v>0</v>
      </c>
      <c r="AA2356" t="b">
        <v>0</v>
      </c>
      <c r="AC2356" s="82"/>
      <c r="AD2356" t="str">
        <f t="shared" si="71"/>
        <v/>
      </c>
      <c r="AE2356" t="str">
        <f t="shared" si="72"/>
        <v/>
      </c>
    </row>
    <row r="2357">
      <c r="D2357" s="226"/>
      <c r="H2357" s="474"/>
      <c r="I2357" s="474"/>
      <c r="J2357" s="475"/>
      <c r="K2357" s="275"/>
      <c r="L2357" s="82"/>
      <c r="M2357" s="672"/>
      <c r="N2357" s="242"/>
      <c r="O2357" s="242"/>
      <c r="P2357" s="242"/>
      <c r="Q2357" s="242"/>
      <c r="R2357" s="539"/>
      <c r="S2357" s="540"/>
      <c r="T2357" s="543"/>
      <c r="U2357" s="673" t="b">
        <v>0</v>
      </c>
      <c r="Z2357" t="b">
        <v>0</v>
      </c>
      <c r="AA2357" t="b">
        <v>0</v>
      </c>
      <c r="AC2357" s="82"/>
      <c r="AD2357" t="str">
        <f t="shared" si="71"/>
        <v/>
      </c>
      <c r="AE2357" t="str">
        <f t="shared" si="72"/>
        <v/>
      </c>
    </row>
    <row r="2358">
      <c r="D2358" s="226"/>
      <c r="H2358" s="474"/>
      <c r="I2358" s="474"/>
      <c r="J2358" s="475"/>
      <c r="K2358" s="275"/>
      <c r="L2358" s="82"/>
      <c r="M2358" s="672"/>
      <c r="N2358" s="242"/>
      <c r="O2358" s="242"/>
      <c r="P2358" s="242"/>
      <c r="Q2358" s="242"/>
      <c r="R2358" s="539"/>
      <c r="S2358" s="540"/>
      <c r="T2358" s="543"/>
      <c r="U2358" s="673" t="b">
        <v>0</v>
      </c>
      <c r="Z2358" t="b">
        <v>0</v>
      </c>
      <c r="AA2358" t="b">
        <v>0</v>
      </c>
      <c r="AC2358" s="82"/>
      <c r="AD2358" t="str">
        <f t="shared" si="71"/>
        <v/>
      </c>
      <c r="AE2358" t="str">
        <f t="shared" si="72"/>
        <v/>
      </c>
    </row>
    <row r="2359">
      <c r="D2359" s="226"/>
      <c r="H2359" s="474"/>
      <c r="I2359" s="474"/>
      <c r="J2359" s="475"/>
      <c r="K2359" s="275"/>
      <c r="L2359" s="82"/>
      <c r="M2359" s="672"/>
      <c r="N2359" s="242"/>
      <c r="O2359" s="242"/>
      <c r="P2359" s="242"/>
      <c r="Q2359" s="242"/>
      <c r="R2359" s="539"/>
      <c r="S2359" s="540"/>
      <c r="T2359" s="543"/>
      <c r="U2359" s="673" t="b">
        <v>0</v>
      </c>
      <c r="Z2359" t="b">
        <v>0</v>
      </c>
      <c r="AA2359" t="b">
        <v>0</v>
      </c>
      <c r="AC2359" s="82"/>
      <c r="AD2359" t="str">
        <f t="shared" si="71"/>
        <v/>
      </c>
      <c r="AE2359" t="str">
        <f t="shared" si="72"/>
        <v/>
      </c>
    </row>
    <row r="2360">
      <c r="D2360" s="226"/>
      <c r="H2360" s="474"/>
      <c r="I2360" s="474"/>
      <c r="J2360" s="475"/>
      <c r="K2360" s="275"/>
      <c r="L2360" s="82"/>
      <c r="M2360" s="672"/>
      <c r="N2360" s="242"/>
      <c r="O2360" s="242"/>
      <c r="P2360" s="242"/>
      <c r="Q2360" s="242"/>
      <c r="R2360" s="539"/>
      <c r="S2360" s="540"/>
      <c r="T2360" s="543"/>
      <c r="U2360" s="673" t="b">
        <v>0</v>
      </c>
      <c r="Z2360" t="b">
        <v>0</v>
      </c>
      <c r="AA2360" t="b">
        <v>0</v>
      </c>
      <c r="AC2360" s="82"/>
      <c r="AD2360" t="str">
        <f t="shared" si="71"/>
        <v/>
      </c>
      <c r="AE2360" t="str">
        <f t="shared" si="72"/>
        <v/>
      </c>
    </row>
    <row r="2361">
      <c r="D2361" s="226"/>
      <c r="H2361" s="474"/>
      <c r="I2361" s="474"/>
      <c r="J2361" s="475"/>
      <c r="K2361" s="275"/>
      <c r="L2361" s="82"/>
      <c r="M2361" s="672"/>
      <c r="N2361" s="242"/>
      <c r="O2361" s="242"/>
      <c r="P2361" s="242"/>
      <c r="Q2361" s="242"/>
      <c r="R2361" s="539"/>
      <c r="S2361" s="540"/>
      <c r="T2361" s="543"/>
      <c r="U2361" s="673" t="b">
        <v>0</v>
      </c>
      <c r="Z2361" t="b">
        <v>0</v>
      </c>
      <c r="AA2361" t="b">
        <v>0</v>
      </c>
      <c r="AC2361" s="82"/>
      <c r="AD2361" t="str">
        <f t="shared" si="71"/>
        <v/>
      </c>
      <c r="AE2361" t="str">
        <f t="shared" si="72"/>
        <v/>
      </c>
    </row>
    <row r="2362">
      <c r="D2362" s="226"/>
      <c r="H2362" s="474"/>
      <c r="I2362" s="474"/>
      <c r="J2362" s="475"/>
      <c r="K2362" s="275"/>
      <c r="L2362" s="82"/>
      <c r="M2362" s="672"/>
      <c r="N2362" s="242"/>
      <c r="O2362" s="242"/>
      <c r="P2362" s="242"/>
      <c r="Q2362" s="242"/>
      <c r="R2362" s="539"/>
      <c r="S2362" s="540"/>
      <c r="T2362" s="543"/>
      <c r="U2362" s="673" t="b">
        <v>0</v>
      </c>
      <c r="Z2362" t="b">
        <v>0</v>
      </c>
      <c r="AA2362" t="b">
        <v>0</v>
      </c>
      <c r="AC2362" s="82"/>
      <c r="AD2362" t="str">
        <f t="shared" si="71"/>
        <v/>
      </c>
      <c r="AE2362" t="str">
        <f t="shared" si="72"/>
        <v/>
      </c>
    </row>
    <row r="2363">
      <c r="D2363" s="226"/>
      <c r="H2363" s="474"/>
      <c r="I2363" s="474"/>
      <c r="J2363" s="475"/>
      <c r="K2363" s="275"/>
      <c r="L2363" s="82"/>
      <c r="M2363" s="672"/>
      <c r="N2363" s="242"/>
      <c r="O2363" s="242"/>
      <c r="P2363" s="242"/>
      <c r="Q2363" s="242"/>
      <c r="R2363" s="539"/>
      <c r="S2363" s="540"/>
      <c r="T2363" s="543"/>
      <c r="U2363" s="673" t="b">
        <v>0</v>
      </c>
      <c r="Z2363" t="b">
        <v>0</v>
      </c>
      <c r="AA2363" t="b">
        <v>0</v>
      </c>
      <c r="AC2363" s="82"/>
      <c r="AD2363" t="str">
        <f t="shared" si="71"/>
        <v/>
      </c>
      <c r="AE2363" t="str">
        <f t="shared" si="72"/>
        <v/>
      </c>
    </row>
    <row r="2364">
      <c r="D2364" s="226"/>
      <c r="H2364" s="474"/>
      <c r="I2364" s="474"/>
      <c r="J2364" s="475"/>
      <c r="K2364" s="275"/>
      <c r="L2364" s="82"/>
      <c r="M2364" s="672"/>
      <c r="N2364" s="242"/>
      <c r="O2364" s="242"/>
      <c r="P2364" s="242"/>
      <c r="Q2364" s="242"/>
      <c r="R2364" s="539"/>
      <c r="S2364" s="540"/>
      <c r="T2364" s="543"/>
      <c r="U2364" s="673" t="b">
        <v>0</v>
      </c>
      <c r="Z2364" t="b">
        <v>0</v>
      </c>
      <c r="AA2364" t="b">
        <v>0</v>
      </c>
      <c r="AC2364" s="82"/>
      <c r="AD2364" t="str">
        <f t="shared" si="71"/>
        <v/>
      </c>
      <c r="AE2364" t="str">
        <f t="shared" si="72"/>
        <v/>
      </c>
    </row>
    <row r="2365">
      <c r="D2365" s="226"/>
      <c r="H2365" s="474"/>
      <c r="I2365" s="474"/>
      <c r="J2365" s="475"/>
      <c r="K2365" s="275"/>
      <c r="L2365" s="82"/>
      <c r="M2365" s="672"/>
      <c r="N2365" s="242"/>
      <c r="O2365" s="242"/>
      <c r="P2365" s="242"/>
      <c r="Q2365" s="242"/>
      <c r="R2365" s="539"/>
      <c r="S2365" s="540"/>
      <c r="T2365" s="543"/>
      <c r="U2365" s="673" t="b">
        <v>0</v>
      </c>
      <c r="Z2365" t="b">
        <v>0</v>
      </c>
      <c r="AA2365" t="b">
        <v>0</v>
      </c>
      <c r="AC2365" s="82"/>
      <c r="AD2365" t="str">
        <f t="shared" si="71"/>
        <v/>
      </c>
      <c r="AE2365" t="str">
        <f t="shared" si="72"/>
        <v/>
      </c>
    </row>
    <row r="2366">
      <c r="D2366" s="226"/>
      <c r="H2366" s="474"/>
      <c r="I2366" s="474"/>
      <c r="J2366" s="475"/>
      <c r="K2366" s="275"/>
      <c r="L2366" s="82"/>
      <c r="M2366" s="672"/>
      <c r="N2366" s="242"/>
      <c r="O2366" s="242"/>
      <c r="P2366" s="242"/>
      <c r="Q2366" s="242"/>
      <c r="R2366" s="539"/>
      <c r="S2366" s="540"/>
      <c r="T2366" s="543"/>
      <c r="U2366" s="673" t="b">
        <v>0</v>
      </c>
      <c r="Z2366" t="b">
        <v>0</v>
      </c>
      <c r="AA2366" t="b">
        <v>0</v>
      </c>
      <c r="AC2366" s="82"/>
      <c r="AD2366" t="str">
        <f t="shared" si="71"/>
        <v/>
      </c>
      <c r="AE2366" t="str">
        <f t="shared" si="72"/>
        <v/>
      </c>
    </row>
    <row r="2367">
      <c r="D2367" s="226"/>
      <c r="H2367" s="474"/>
      <c r="I2367" s="474"/>
      <c r="J2367" s="475"/>
      <c r="K2367" s="275"/>
      <c r="L2367" s="82"/>
      <c r="M2367" s="672"/>
      <c r="N2367" s="242"/>
      <c r="O2367" s="242"/>
      <c r="P2367" s="242"/>
      <c r="Q2367" s="242"/>
      <c r="R2367" s="539"/>
      <c r="S2367" s="540"/>
      <c r="T2367" s="543"/>
      <c r="U2367" s="673" t="b">
        <v>0</v>
      </c>
      <c r="Z2367" t="b">
        <v>0</v>
      </c>
      <c r="AA2367" t="b">
        <v>0</v>
      </c>
      <c r="AC2367" s="82"/>
      <c r="AD2367" t="str">
        <f t="shared" si="71"/>
        <v/>
      </c>
      <c r="AE2367" t="str">
        <f t="shared" si="72"/>
        <v/>
      </c>
    </row>
    <row r="2368">
      <c r="D2368" s="226"/>
      <c r="H2368" s="474"/>
      <c r="I2368" s="474"/>
      <c r="J2368" s="475"/>
      <c r="K2368" s="275"/>
      <c r="L2368" s="82"/>
      <c r="M2368" s="672"/>
      <c r="N2368" s="242"/>
      <c r="O2368" s="242"/>
      <c r="P2368" s="242"/>
      <c r="Q2368" s="242"/>
      <c r="R2368" s="539"/>
      <c r="S2368" s="540"/>
      <c r="T2368" s="543"/>
      <c r="U2368" s="673" t="b">
        <v>0</v>
      </c>
      <c r="Z2368" t="b">
        <v>0</v>
      </c>
      <c r="AA2368" t="b">
        <v>0</v>
      </c>
      <c r="AC2368" s="82"/>
      <c r="AD2368" t="str">
        <f t="shared" si="71"/>
        <v/>
      </c>
      <c r="AE2368" t="str">
        <f t="shared" si="72"/>
        <v/>
      </c>
    </row>
    <row r="2369">
      <c r="D2369" s="226"/>
      <c r="H2369" s="474"/>
      <c r="I2369" s="474"/>
      <c r="J2369" s="475"/>
      <c r="K2369" s="275"/>
      <c r="L2369" s="82"/>
      <c r="M2369" s="672"/>
      <c r="N2369" s="242"/>
      <c r="O2369" s="242"/>
      <c r="P2369" s="242"/>
      <c r="Q2369" s="242"/>
      <c r="R2369" s="539"/>
      <c r="S2369" s="540"/>
      <c r="T2369" s="543"/>
      <c r="U2369" s="673" t="b">
        <v>0</v>
      </c>
      <c r="Z2369" t="b">
        <v>0</v>
      </c>
      <c r="AA2369" t="b">
        <v>0</v>
      </c>
      <c r="AC2369" s="82"/>
      <c r="AD2369" t="str">
        <f t="shared" si="71"/>
        <v/>
      </c>
      <c r="AE2369" t="str">
        <f t="shared" si="72"/>
        <v/>
      </c>
    </row>
    <row r="2370">
      <c r="D2370" s="226"/>
      <c r="H2370" s="474"/>
      <c r="I2370" s="474"/>
      <c r="J2370" s="475"/>
      <c r="K2370" s="275"/>
      <c r="L2370" s="82"/>
      <c r="M2370" s="672"/>
      <c r="N2370" s="242"/>
      <c r="O2370" s="242"/>
      <c r="P2370" s="242"/>
      <c r="Q2370" s="242"/>
      <c r="R2370" s="539"/>
      <c r="S2370" s="540"/>
      <c r="T2370" s="543"/>
      <c r="U2370" s="673" t="b">
        <v>0</v>
      </c>
      <c r="Z2370" t="b">
        <v>0</v>
      </c>
      <c r="AA2370" t="b">
        <v>0</v>
      </c>
      <c r="AC2370" s="82"/>
      <c r="AD2370" t="str">
        <f t="shared" si="71"/>
        <v/>
      </c>
      <c r="AE2370" t="str">
        <f t="shared" si="72"/>
        <v/>
      </c>
    </row>
    <row r="2371">
      <c r="D2371" s="226"/>
      <c r="H2371" s="474"/>
      <c r="I2371" s="474"/>
      <c r="J2371" s="475"/>
      <c r="K2371" s="275"/>
      <c r="L2371" s="82"/>
      <c r="M2371" s="672"/>
      <c r="N2371" s="242"/>
      <c r="O2371" s="242"/>
      <c r="P2371" s="242"/>
      <c r="Q2371" s="242"/>
      <c r="R2371" s="539"/>
      <c r="S2371" s="540"/>
      <c r="T2371" s="543"/>
      <c r="U2371" s="673" t="b">
        <v>0</v>
      </c>
      <c r="Z2371" t="b">
        <v>0</v>
      </c>
      <c r="AA2371" t="b">
        <v>0</v>
      </c>
      <c r="AC2371" s="82"/>
      <c r="AD2371" t="str">
        <f t="shared" si="71"/>
        <v/>
      </c>
      <c r="AE2371" t="str">
        <f t="shared" si="72"/>
        <v/>
      </c>
    </row>
    <row r="2372">
      <c r="D2372" s="226"/>
      <c r="H2372" s="474"/>
      <c r="I2372" s="474"/>
      <c r="J2372" s="475"/>
      <c r="K2372" s="275"/>
      <c r="L2372" s="82"/>
      <c r="M2372" s="672"/>
      <c r="N2372" s="242"/>
      <c r="O2372" s="242"/>
      <c r="P2372" s="242"/>
      <c r="Q2372" s="242"/>
      <c r="R2372" s="539"/>
      <c r="S2372" s="540"/>
      <c r="T2372" s="543"/>
      <c r="U2372" s="673" t="b">
        <v>0</v>
      </c>
      <c r="Z2372" t="b">
        <v>0</v>
      </c>
      <c r="AA2372" t="b">
        <v>0</v>
      </c>
      <c r="AC2372" s="82"/>
      <c r="AD2372" t="str">
        <f t="shared" si="71"/>
        <v/>
      </c>
      <c r="AE2372" t="str">
        <f t="shared" si="72"/>
        <v/>
      </c>
    </row>
    <row r="2373">
      <c r="D2373" s="226"/>
      <c r="H2373" s="474"/>
      <c r="I2373" s="474"/>
      <c r="J2373" s="475"/>
      <c r="K2373" s="275"/>
      <c r="L2373" s="82"/>
      <c r="M2373" s="672"/>
      <c r="N2373" s="242"/>
      <c r="O2373" s="242"/>
      <c r="P2373" s="242"/>
      <c r="Q2373" s="242"/>
      <c r="R2373" s="539"/>
      <c r="S2373" s="540"/>
      <c r="T2373" s="543"/>
      <c r="U2373" s="673" t="b">
        <v>0</v>
      </c>
      <c r="Z2373" t="b">
        <v>0</v>
      </c>
      <c r="AA2373" t="b">
        <v>0</v>
      </c>
      <c r="AC2373" s="82"/>
      <c r="AD2373" t="str">
        <f t="shared" si="71"/>
        <v/>
      </c>
      <c r="AE2373" t="str">
        <f t="shared" si="72"/>
        <v/>
      </c>
    </row>
    <row r="2374">
      <c r="D2374" s="226"/>
      <c r="H2374" s="474"/>
      <c r="I2374" s="474"/>
      <c r="J2374" s="475"/>
      <c r="K2374" s="275"/>
      <c r="L2374" s="82"/>
      <c r="M2374" s="672"/>
      <c r="N2374" s="242"/>
      <c r="O2374" s="242"/>
      <c r="P2374" s="242"/>
      <c r="Q2374" s="242"/>
      <c r="R2374" s="539"/>
      <c r="S2374" s="540"/>
      <c r="T2374" s="543"/>
      <c r="U2374" s="673" t="b">
        <v>0</v>
      </c>
      <c r="Z2374" t="b">
        <v>0</v>
      </c>
      <c r="AA2374" t="b">
        <v>0</v>
      </c>
      <c r="AC2374" s="82"/>
      <c r="AD2374" t="str">
        <f t="shared" si="71"/>
        <v/>
      </c>
      <c r="AE2374" t="str">
        <f t="shared" si="72"/>
        <v/>
      </c>
    </row>
    <row r="2375">
      <c r="D2375" s="226"/>
      <c r="H2375" s="474"/>
      <c r="I2375" s="474"/>
      <c r="J2375" s="475"/>
      <c r="K2375" s="275"/>
      <c r="L2375" s="82"/>
      <c r="M2375" s="672"/>
      <c r="N2375" s="242"/>
      <c r="O2375" s="242"/>
      <c r="P2375" s="242"/>
      <c r="Q2375" s="242"/>
      <c r="R2375" s="539"/>
      <c r="S2375" s="540"/>
      <c r="T2375" s="543"/>
      <c r="U2375" s="673" t="b">
        <v>0</v>
      </c>
      <c r="Z2375" t="b">
        <v>0</v>
      </c>
      <c r="AA2375" t="b">
        <v>0</v>
      </c>
      <c r="AC2375" s="82"/>
      <c r="AD2375" t="str">
        <f t="shared" si="71"/>
        <v/>
      </c>
      <c r="AE2375" t="str">
        <f t="shared" si="72"/>
        <v/>
      </c>
    </row>
    <row r="2376">
      <c r="D2376" s="226"/>
      <c r="H2376" s="474"/>
      <c r="I2376" s="474"/>
      <c r="J2376" s="475"/>
      <c r="K2376" s="275"/>
      <c r="L2376" s="82"/>
      <c r="M2376" s="672"/>
      <c r="N2376" s="242"/>
      <c r="O2376" s="242"/>
      <c r="P2376" s="242"/>
      <c r="Q2376" s="242"/>
      <c r="R2376" s="539"/>
      <c r="S2376" s="540"/>
      <c r="T2376" s="543"/>
      <c r="U2376" s="673" t="b">
        <v>0</v>
      </c>
      <c r="Z2376" t="b">
        <v>0</v>
      </c>
      <c r="AA2376" t="b">
        <v>0</v>
      </c>
      <c r="AC2376" s="82"/>
      <c r="AD2376" t="str">
        <f t="shared" si="71"/>
        <v/>
      </c>
      <c r="AE2376" t="str">
        <f t="shared" si="72"/>
        <v/>
      </c>
    </row>
    <row r="2377">
      <c r="D2377" s="226"/>
      <c r="H2377" s="474"/>
      <c r="I2377" s="474"/>
      <c r="J2377" s="475"/>
      <c r="K2377" s="275"/>
      <c r="L2377" s="82"/>
      <c r="M2377" s="672"/>
      <c r="N2377" s="242"/>
      <c r="O2377" s="242"/>
      <c r="P2377" s="242"/>
      <c r="Q2377" s="242"/>
      <c r="R2377" s="539"/>
      <c r="S2377" s="540"/>
      <c r="T2377" s="543"/>
      <c r="U2377" s="673" t="b">
        <v>0</v>
      </c>
      <c r="Z2377" t="b">
        <v>0</v>
      </c>
      <c r="AA2377" t="b">
        <v>0</v>
      </c>
      <c r="AC2377" s="82"/>
      <c r="AD2377" t="str">
        <f t="shared" si="71"/>
        <v/>
      </c>
      <c r="AE2377" t="str">
        <f t="shared" si="72"/>
        <v/>
      </c>
    </row>
    <row r="2378">
      <c r="D2378" s="226"/>
      <c r="H2378" s="474"/>
      <c r="I2378" s="474"/>
      <c r="J2378" s="475"/>
      <c r="K2378" s="275"/>
      <c r="L2378" s="82"/>
      <c r="M2378" s="672"/>
      <c r="N2378" s="242"/>
      <c r="O2378" s="242"/>
      <c r="P2378" s="242"/>
      <c r="Q2378" s="242"/>
      <c r="R2378" s="539"/>
      <c r="S2378" s="540"/>
      <c r="T2378" s="543"/>
      <c r="U2378" s="673" t="b">
        <v>0</v>
      </c>
      <c r="Z2378" t="b">
        <v>0</v>
      </c>
      <c r="AA2378" t="b">
        <v>0</v>
      </c>
      <c r="AC2378" s="82"/>
      <c r="AD2378" t="str">
        <f t="shared" si="71"/>
        <v/>
      </c>
      <c r="AE2378" t="str">
        <f t="shared" si="72"/>
        <v/>
      </c>
    </row>
    <row r="2379">
      <c r="D2379" s="226"/>
      <c r="H2379" s="474"/>
      <c r="I2379" s="474"/>
      <c r="J2379" s="475"/>
      <c r="K2379" s="275"/>
      <c r="L2379" s="82"/>
      <c r="M2379" s="672"/>
      <c r="N2379" s="242"/>
      <c r="O2379" s="242"/>
      <c r="P2379" s="242"/>
      <c r="Q2379" s="242"/>
      <c r="R2379" s="539"/>
      <c r="S2379" s="540"/>
      <c r="T2379" s="543"/>
      <c r="U2379" s="673" t="b">
        <v>0</v>
      </c>
      <c r="Z2379" t="b">
        <v>0</v>
      </c>
      <c r="AA2379" t="b">
        <v>0</v>
      </c>
      <c r="AC2379" s="82"/>
      <c r="AD2379" t="str">
        <f t="shared" si="71"/>
        <v/>
      </c>
      <c r="AE2379" t="str">
        <f t="shared" si="72"/>
        <v/>
      </c>
    </row>
    <row r="2380">
      <c r="D2380" s="226"/>
      <c r="H2380" s="474"/>
      <c r="I2380" s="474"/>
      <c r="J2380" s="475"/>
      <c r="K2380" s="275"/>
      <c r="L2380" s="82"/>
      <c r="M2380" s="672"/>
      <c r="N2380" s="242"/>
      <c r="O2380" s="242"/>
      <c r="P2380" s="242"/>
      <c r="Q2380" s="242"/>
      <c r="R2380" s="539"/>
      <c r="S2380" s="540"/>
      <c r="T2380" s="543"/>
      <c r="U2380" s="673" t="b">
        <v>0</v>
      </c>
      <c r="Z2380" t="b">
        <v>0</v>
      </c>
      <c r="AA2380" t="b">
        <v>0</v>
      </c>
      <c r="AC2380" s="82"/>
      <c r="AD2380" t="str">
        <f t="shared" si="71"/>
        <v/>
      </c>
      <c r="AE2380" t="str">
        <f t="shared" si="72"/>
        <v/>
      </c>
    </row>
    <row r="2381">
      <c r="D2381" s="226"/>
      <c r="H2381" s="474"/>
      <c r="I2381" s="474"/>
      <c r="J2381" s="475"/>
      <c r="K2381" s="275"/>
      <c r="L2381" s="82"/>
      <c r="M2381" s="672"/>
      <c r="N2381" s="242"/>
      <c r="O2381" s="242"/>
      <c r="P2381" s="242"/>
      <c r="Q2381" s="242"/>
      <c r="R2381" s="539"/>
      <c r="S2381" s="540"/>
      <c r="T2381" s="543"/>
      <c r="U2381" s="673" t="b">
        <v>0</v>
      </c>
      <c r="Z2381" t="b">
        <v>0</v>
      </c>
      <c r="AA2381" t="b">
        <v>0</v>
      </c>
      <c r="AC2381" s="82"/>
      <c r="AD2381" t="str">
        <f t="shared" si="71"/>
        <v/>
      </c>
      <c r="AE2381" t="str">
        <f t="shared" si="72"/>
        <v/>
      </c>
    </row>
    <row r="2382">
      <c r="D2382" s="226"/>
      <c r="H2382" s="474"/>
      <c r="I2382" s="474"/>
      <c r="J2382" s="475"/>
      <c r="K2382" s="275"/>
      <c r="L2382" s="82"/>
      <c r="M2382" s="672"/>
      <c r="N2382" s="242"/>
      <c r="O2382" s="242"/>
      <c r="P2382" s="242"/>
      <c r="Q2382" s="242"/>
      <c r="R2382" s="539"/>
      <c r="S2382" s="540"/>
      <c r="T2382" s="543"/>
      <c r="U2382" s="673" t="b">
        <v>0</v>
      </c>
      <c r="Z2382" t="b">
        <v>0</v>
      </c>
      <c r="AA2382" t="b">
        <v>0</v>
      </c>
      <c r="AC2382" s="82"/>
      <c r="AD2382" t="str">
        <f t="shared" si="71"/>
        <v/>
      </c>
      <c r="AE2382" t="str">
        <f t="shared" si="72"/>
        <v/>
      </c>
    </row>
    <row r="2383">
      <c r="D2383" s="226"/>
      <c r="H2383" s="474"/>
      <c r="I2383" s="474"/>
      <c r="J2383" s="475"/>
      <c r="K2383" s="275"/>
      <c r="L2383" s="82"/>
      <c r="M2383" s="672"/>
      <c r="N2383" s="242"/>
      <c r="O2383" s="242"/>
      <c r="P2383" s="242"/>
      <c r="Q2383" s="242"/>
      <c r="R2383" s="539"/>
      <c r="S2383" s="540"/>
      <c r="T2383" s="543"/>
      <c r="U2383" s="673" t="b">
        <v>0</v>
      </c>
      <c r="Z2383" t="b">
        <v>0</v>
      </c>
      <c r="AA2383" t="b">
        <v>0</v>
      </c>
      <c r="AC2383" s="82"/>
      <c r="AD2383" t="str">
        <f t="shared" si="71"/>
        <v/>
      </c>
      <c r="AE2383" t="str">
        <f t="shared" si="72"/>
        <v/>
      </c>
    </row>
    <row r="2384">
      <c r="D2384" s="226"/>
      <c r="H2384" s="474"/>
      <c r="I2384" s="474"/>
      <c r="J2384" s="475"/>
      <c r="K2384" s="275"/>
      <c r="L2384" s="82"/>
      <c r="M2384" s="672"/>
      <c r="N2384" s="242"/>
      <c r="O2384" s="242"/>
      <c r="P2384" s="242"/>
      <c r="Q2384" s="242"/>
      <c r="R2384" s="539"/>
      <c r="S2384" s="540"/>
      <c r="T2384" s="543"/>
      <c r="U2384" s="673" t="b">
        <v>0</v>
      </c>
      <c r="Z2384" t="b">
        <v>0</v>
      </c>
      <c r="AA2384" t="b">
        <v>0</v>
      </c>
      <c r="AC2384" s="82"/>
      <c r="AD2384" t="str">
        <f t="shared" si="71"/>
        <v/>
      </c>
      <c r="AE2384" t="str">
        <f t="shared" si="72"/>
        <v/>
      </c>
    </row>
    <row r="2385">
      <c r="D2385" s="226"/>
      <c r="H2385" s="474"/>
      <c r="I2385" s="474"/>
      <c r="J2385" s="475"/>
      <c r="K2385" s="275"/>
      <c r="L2385" s="82"/>
      <c r="M2385" s="672"/>
      <c r="N2385" s="242"/>
      <c r="O2385" s="242"/>
      <c r="P2385" s="242"/>
      <c r="Q2385" s="242"/>
      <c r="R2385" s="539"/>
      <c r="S2385" s="540"/>
      <c r="T2385" s="543"/>
      <c r="U2385" s="673" t="b">
        <v>0</v>
      </c>
      <c r="Z2385" t="b">
        <v>0</v>
      </c>
      <c r="AA2385" t="b">
        <v>0</v>
      </c>
      <c r="AC2385" s="82"/>
      <c r="AD2385" t="str">
        <f t="shared" si="71"/>
        <v/>
      </c>
      <c r="AE2385" t="str">
        <f t="shared" si="72"/>
        <v/>
      </c>
    </row>
    <row r="2386">
      <c r="D2386" s="226"/>
      <c r="H2386" s="474"/>
      <c r="I2386" s="474"/>
      <c r="J2386" s="475"/>
      <c r="K2386" s="275"/>
      <c r="L2386" s="82"/>
      <c r="M2386" s="672"/>
      <c r="N2386" s="242"/>
      <c r="O2386" s="242"/>
      <c r="P2386" s="242"/>
      <c r="Q2386" s="242"/>
      <c r="R2386" s="539"/>
      <c r="S2386" s="540"/>
      <c r="T2386" s="543"/>
      <c r="U2386" s="673" t="b">
        <v>0</v>
      </c>
      <c r="Z2386" t="b">
        <v>0</v>
      </c>
      <c r="AA2386" t="b">
        <v>0</v>
      </c>
      <c r="AC2386" s="82"/>
      <c r="AD2386" t="str">
        <f t="shared" si="71"/>
        <v/>
      </c>
      <c r="AE2386" t="str">
        <f t="shared" si="72"/>
        <v/>
      </c>
    </row>
    <row r="2387">
      <c r="D2387" s="226"/>
      <c r="H2387" s="474"/>
      <c r="I2387" s="474"/>
      <c r="J2387" s="475"/>
      <c r="K2387" s="275"/>
      <c r="L2387" s="82"/>
      <c r="M2387" s="672"/>
      <c r="N2387" s="242"/>
      <c r="O2387" s="242"/>
      <c r="P2387" s="242"/>
      <c r="Q2387" s="242"/>
      <c r="R2387" s="539"/>
      <c r="S2387" s="540"/>
      <c r="T2387" s="543"/>
      <c r="U2387" s="673" t="b">
        <v>0</v>
      </c>
      <c r="Z2387" t="b">
        <v>0</v>
      </c>
      <c r="AA2387" t="b">
        <v>0</v>
      </c>
      <c r="AC2387" s="82"/>
      <c r="AD2387" t="str">
        <f t="shared" si="71"/>
        <v/>
      </c>
      <c r="AE2387" t="str">
        <f t="shared" si="72"/>
        <v/>
      </c>
    </row>
    <row r="2388">
      <c r="D2388" s="226"/>
      <c r="H2388" s="474"/>
      <c r="I2388" s="474"/>
      <c r="J2388" s="475"/>
      <c r="K2388" s="275"/>
      <c r="L2388" s="82"/>
      <c r="M2388" s="672"/>
      <c r="N2388" s="242"/>
      <c r="O2388" s="242"/>
      <c r="P2388" s="242"/>
      <c r="Q2388" s="242"/>
      <c r="R2388" s="539"/>
      <c r="S2388" s="540"/>
      <c r="T2388" s="543"/>
      <c r="U2388" s="673" t="b">
        <v>0</v>
      </c>
      <c r="Z2388" t="b">
        <v>0</v>
      </c>
      <c r="AA2388" t="b">
        <v>0</v>
      </c>
      <c r="AC2388" s="82"/>
      <c r="AD2388" t="str">
        <f t="shared" si="71"/>
        <v/>
      </c>
      <c r="AE2388" t="str">
        <f t="shared" si="72"/>
        <v/>
      </c>
    </row>
    <row r="2389">
      <c r="D2389" s="226"/>
      <c r="H2389" s="474"/>
      <c r="I2389" s="474"/>
      <c r="J2389" s="475"/>
      <c r="K2389" s="275"/>
      <c r="L2389" s="82"/>
      <c r="M2389" s="672"/>
      <c r="N2389" s="242"/>
      <c r="O2389" s="242"/>
      <c r="P2389" s="242"/>
      <c r="Q2389" s="242"/>
      <c r="R2389" s="539"/>
      <c r="S2389" s="540"/>
      <c r="T2389" s="543"/>
      <c r="U2389" s="673" t="b">
        <v>0</v>
      </c>
      <c r="Z2389" t="b">
        <v>0</v>
      </c>
      <c r="AA2389" t="b">
        <v>0</v>
      </c>
      <c r="AC2389" s="82"/>
      <c r="AD2389" t="str">
        <f t="shared" si="71"/>
        <v/>
      </c>
      <c r="AE2389" t="str">
        <f t="shared" si="72"/>
        <v/>
      </c>
    </row>
    <row r="2390">
      <c r="D2390" s="226"/>
      <c r="H2390" s="474"/>
      <c r="I2390" s="474"/>
      <c r="J2390" s="475"/>
      <c r="K2390" s="275"/>
      <c r="L2390" s="82"/>
      <c r="M2390" s="672"/>
      <c r="N2390" s="242"/>
      <c r="O2390" s="242"/>
      <c r="P2390" s="242"/>
      <c r="Q2390" s="242"/>
      <c r="R2390" s="539"/>
      <c r="S2390" s="540"/>
      <c r="T2390" s="543"/>
      <c r="U2390" s="673" t="b">
        <v>0</v>
      </c>
      <c r="Z2390" t="b">
        <v>0</v>
      </c>
      <c r="AA2390" t="b">
        <v>0</v>
      </c>
      <c r="AC2390" s="82"/>
      <c r="AD2390" t="str">
        <f t="shared" si="71"/>
        <v/>
      </c>
      <c r="AE2390" t="str">
        <f t="shared" si="72"/>
        <v/>
      </c>
    </row>
    <row r="2391">
      <c r="D2391" s="226"/>
      <c r="H2391" s="474"/>
      <c r="I2391" s="474"/>
      <c r="J2391" s="475"/>
      <c r="K2391" s="275"/>
      <c r="L2391" s="82"/>
      <c r="M2391" s="672"/>
      <c r="N2391" s="242"/>
      <c r="O2391" s="242"/>
      <c r="P2391" s="242"/>
      <c r="Q2391" s="242"/>
      <c r="R2391" s="539"/>
      <c r="S2391" s="540"/>
      <c r="T2391" s="543"/>
      <c r="U2391" s="673" t="b">
        <v>0</v>
      </c>
      <c r="Z2391" t="b">
        <v>0</v>
      </c>
      <c r="AA2391" t="b">
        <v>0</v>
      </c>
      <c r="AC2391" s="82"/>
      <c r="AD2391" t="str">
        <f t="shared" si="71"/>
        <v/>
      </c>
      <c r="AE2391" t="str">
        <f t="shared" si="72"/>
        <v/>
      </c>
    </row>
    <row r="2392">
      <c r="D2392" s="226"/>
      <c r="H2392" s="474"/>
      <c r="I2392" s="474"/>
      <c r="J2392" s="475"/>
      <c r="K2392" s="275"/>
      <c r="L2392" s="82"/>
      <c r="M2392" s="672"/>
      <c r="N2392" s="242"/>
      <c r="O2392" s="242"/>
      <c r="P2392" s="242"/>
      <c r="Q2392" s="242"/>
      <c r="R2392" s="539"/>
      <c r="S2392" s="540"/>
      <c r="T2392" s="543"/>
      <c r="U2392" s="673" t="b">
        <v>0</v>
      </c>
      <c r="Z2392" t="b">
        <v>0</v>
      </c>
      <c r="AA2392" t="b">
        <v>0</v>
      </c>
      <c r="AC2392" s="82"/>
      <c r="AD2392" t="str">
        <f t="shared" si="71"/>
        <v/>
      </c>
      <c r="AE2392" t="str">
        <f t="shared" si="72"/>
        <v/>
      </c>
    </row>
    <row r="2393">
      <c r="D2393" s="226"/>
      <c r="H2393" s="474"/>
      <c r="I2393" s="474"/>
      <c r="J2393" s="475"/>
      <c r="K2393" s="275"/>
      <c r="L2393" s="82"/>
      <c r="M2393" s="672"/>
      <c r="N2393" s="242"/>
      <c r="O2393" s="242"/>
      <c r="P2393" s="242"/>
      <c r="Q2393" s="242"/>
      <c r="R2393" s="539"/>
      <c r="S2393" s="540"/>
      <c r="T2393" s="543"/>
      <c r="U2393" s="673" t="b">
        <v>0</v>
      </c>
      <c r="Z2393" t="b">
        <v>0</v>
      </c>
      <c r="AA2393" t="b">
        <v>0</v>
      </c>
      <c r="AC2393" s="82"/>
      <c r="AD2393" t="str">
        <f t="shared" si="71"/>
        <v/>
      </c>
      <c r="AE2393" t="str">
        <f t="shared" si="72"/>
        <v/>
      </c>
    </row>
    <row r="2394">
      <c r="D2394" s="226"/>
      <c r="H2394" s="474"/>
      <c r="I2394" s="474"/>
      <c r="J2394" s="475"/>
      <c r="K2394" s="275"/>
      <c r="L2394" s="82"/>
      <c r="M2394" s="672"/>
      <c r="N2394" s="242"/>
      <c r="O2394" s="242"/>
      <c r="P2394" s="242"/>
      <c r="Q2394" s="242"/>
      <c r="R2394" s="539"/>
      <c r="S2394" s="540"/>
      <c r="T2394" s="543"/>
      <c r="U2394" s="673" t="b">
        <v>0</v>
      </c>
      <c r="Z2394" t="b">
        <v>0</v>
      </c>
      <c r="AA2394" t="b">
        <v>0</v>
      </c>
      <c r="AC2394" s="82"/>
      <c r="AD2394" t="str">
        <f t="shared" si="71"/>
        <v/>
      </c>
      <c r="AE2394" t="str">
        <f t="shared" si="72"/>
        <v/>
      </c>
    </row>
    <row r="2395">
      <c r="D2395" s="226"/>
      <c r="H2395" s="474"/>
      <c r="I2395" s="474"/>
      <c r="J2395" s="475"/>
      <c r="K2395" s="275"/>
      <c r="L2395" s="82"/>
      <c r="M2395" s="672"/>
      <c r="N2395" s="242"/>
      <c r="O2395" s="242"/>
      <c r="P2395" s="242"/>
      <c r="Q2395" s="242"/>
      <c r="R2395" s="539"/>
      <c r="S2395" s="540"/>
      <c r="T2395" s="543"/>
      <c r="U2395" s="673" t="b">
        <v>0</v>
      </c>
      <c r="Z2395" t="b">
        <v>0</v>
      </c>
      <c r="AA2395" t="b">
        <v>0</v>
      </c>
      <c r="AC2395" s="82"/>
      <c r="AD2395" t="str">
        <f t="shared" si="71"/>
        <v/>
      </c>
      <c r="AE2395" t="str">
        <f t="shared" si="72"/>
        <v/>
      </c>
    </row>
    <row r="2396">
      <c r="D2396" s="226"/>
      <c r="H2396" s="474"/>
      <c r="I2396" s="474"/>
      <c r="J2396" s="475"/>
      <c r="K2396" s="275"/>
      <c r="L2396" s="82"/>
      <c r="M2396" s="672"/>
      <c r="N2396" s="242"/>
      <c r="O2396" s="242"/>
      <c r="P2396" s="242"/>
      <c r="Q2396" s="242"/>
      <c r="R2396" s="539"/>
      <c r="S2396" s="540"/>
      <c r="T2396" s="543"/>
      <c r="U2396" s="673" t="b">
        <v>0</v>
      </c>
      <c r="Z2396" t="b">
        <v>0</v>
      </c>
      <c r="AA2396" t="b">
        <v>0</v>
      </c>
      <c r="AC2396" s="82"/>
      <c r="AD2396" t="str">
        <f t="shared" si="71"/>
        <v/>
      </c>
      <c r="AE2396" t="str">
        <f t="shared" si="72"/>
        <v/>
      </c>
    </row>
    <row r="2397">
      <c r="D2397" s="226"/>
      <c r="H2397" s="474"/>
      <c r="I2397" s="474"/>
      <c r="J2397" s="475"/>
      <c r="K2397" s="275"/>
      <c r="L2397" s="82"/>
      <c r="M2397" s="672"/>
      <c r="N2397" s="242"/>
      <c r="O2397" s="242"/>
      <c r="P2397" s="242"/>
      <c r="Q2397" s="242"/>
      <c r="R2397" s="539"/>
      <c r="S2397" s="540"/>
      <c r="T2397" s="543"/>
      <c r="U2397" s="673" t="b">
        <v>0</v>
      </c>
      <c r="Z2397" t="b">
        <v>0</v>
      </c>
      <c r="AA2397" t="b">
        <v>0</v>
      </c>
      <c r="AC2397" s="82"/>
      <c r="AD2397" t="str">
        <f t="shared" si="71"/>
        <v/>
      </c>
      <c r="AE2397" t="str">
        <f t="shared" si="72"/>
        <v/>
      </c>
    </row>
    <row r="2398">
      <c r="D2398" s="226"/>
      <c r="H2398" s="474"/>
      <c r="I2398" s="474"/>
      <c r="J2398" s="475"/>
      <c r="K2398" s="275"/>
      <c r="L2398" s="82"/>
      <c r="M2398" s="672"/>
      <c r="N2398" s="242"/>
      <c r="O2398" s="242"/>
      <c r="P2398" s="242"/>
      <c r="Q2398" s="242"/>
      <c r="R2398" s="539"/>
      <c r="S2398" s="540"/>
      <c r="T2398" s="543"/>
      <c r="U2398" s="673" t="b">
        <v>0</v>
      </c>
      <c r="Z2398" t="b">
        <v>0</v>
      </c>
      <c r="AA2398" t="b">
        <v>0</v>
      </c>
      <c r="AC2398" s="82"/>
      <c r="AD2398" t="str">
        <f t="shared" si="71"/>
        <v/>
      </c>
      <c r="AE2398" t="str">
        <f t="shared" si="72"/>
        <v/>
      </c>
    </row>
    <row r="2399">
      <c r="D2399" s="226"/>
      <c r="H2399" s="474"/>
      <c r="I2399" s="474"/>
      <c r="J2399" s="475"/>
      <c r="K2399" s="275"/>
      <c r="L2399" s="82"/>
      <c r="M2399" s="672"/>
      <c r="N2399" s="242"/>
      <c r="O2399" s="242"/>
      <c r="P2399" s="242"/>
      <c r="Q2399" s="242"/>
      <c r="R2399" s="539"/>
      <c r="S2399" s="540"/>
      <c r="T2399" s="543"/>
      <c r="U2399" s="673" t="b">
        <v>0</v>
      </c>
      <c r="Z2399" t="b">
        <v>0</v>
      </c>
      <c r="AA2399" t="b">
        <v>0</v>
      </c>
      <c r="AC2399" s="82"/>
      <c r="AD2399" t="str">
        <f t="shared" si="71"/>
        <v/>
      </c>
      <c r="AE2399" t="str">
        <f t="shared" si="72"/>
        <v/>
      </c>
    </row>
    <row r="2400">
      <c r="D2400" s="226"/>
      <c r="H2400" s="474"/>
      <c r="I2400" s="474"/>
      <c r="J2400" s="475"/>
      <c r="K2400" s="275"/>
      <c r="L2400" s="82"/>
      <c r="M2400" s="672"/>
      <c r="N2400" s="242"/>
      <c r="O2400" s="242"/>
      <c r="P2400" s="242"/>
      <c r="Q2400" s="242"/>
      <c r="R2400" s="539"/>
      <c r="S2400" s="540"/>
      <c r="T2400" s="543"/>
      <c r="U2400" s="673" t="b">
        <v>0</v>
      </c>
      <c r="Z2400" t="b">
        <v>0</v>
      </c>
      <c r="AA2400" t="b">
        <v>0</v>
      </c>
      <c r="AC2400" s="82"/>
      <c r="AD2400" t="str">
        <f t="shared" si="71"/>
        <v/>
      </c>
      <c r="AE2400" t="str">
        <f t="shared" si="72"/>
        <v/>
      </c>
    </row>
    <row r="2401">
      <c r="D2401" s="226"/>
      <c r="H2401" s="474"/>
      <c r="I2401" s="474"/>
      <c r="J2401" s="475"/>
      <c r="K2401" s="275"/>
      <c r="L2401" s="82"/>
      <c r="M2401" s="672"/>
      <c r="N2401" s="242"/>
      <c r="O2401" s="242"/>
      <c r="P2401" s="242"/>
      <c r="Q2401" s="242"/>
      <c r="R2401" s="539"/>
      <c r="S2401" s="540"/>
      <c r="T2401" s="543"/>
      <c r="U2401" s="673" t="b">
        <v>0</v>
      </c>
      <c r="Z2401" t="b">
        <v>0</v>
      </c>
      <c r="AA2401" t="b">
        <v>0</v>
      </c>
      <c r="AC2401" s="82"/>
      <c r="AD2401" t="str">
        <f t="shared" si="71"/>
        <v/>
      </c>
      <c r="AE2401" t="str">
        <f t="shared" si="72"/>
        <v/>
      </c>
    </row>
    <row r="2402">
      <c r="D2402" s="226"/>
      <c r="H2402" s="474"/>
      <c r="I2402" s="474"/>
      <c r="J2402" s="475"/>
      <c r="K2402" s="275"/>
      <c r="L2402" s="82"/>
      <c r="M2402" s="672"/>
      <c r="N2402" s="242"/>
      <c r="O2402" s="242"/>
      <c r="P2402" s="242"/>
      <c r="Q2402" s="242"/>
      <c r="R2402" s="539"/>
      <c r="S2402" s="540"/>
      <c r="T2402" s="543"/>
      <c r="U2402" s="673" t="b">
        <v>0</v>
      </c>
      <c r="Z2402" t="b">
        <v>0</v>
      </c>
      <c r="AA2402" t="b">
        <v>0</v>
      </c>
      <c r="AC2402" s="82"/>
      <c r="AD2402" t="str">
        <f t="shared" si="71"/>
        <v/>
      </c>
      <c r="AE2402" t="str">
        <f t="shared" si="72"/>
        <v/>
      </c>
    </row>
    <row r="2403">
      <c r="D2403" s="226"/>
      <c r="H2403" s="474"/>
      <c r="I2403" s="474"/>
      <c r="J2403" s="475"/>
      <c r="K2403" s="275"/>
      <c r="L2403" s="82"/>
      <c r="M2403" s="672"/>
      <c r="N2403" s="242"/>
      <c r="O2403" s="242"/>
      <c r="P2403" s="242"/>
      <c r="Q2403" s="242"/>
      <c r="R2403" s="539"/>
      <c r="S2403" s="540"/>
      <c r="T2403" s="543"/>
      <c r="U2403" s="673" t="b">
        <v>0</v>
      </c>
      <c r="Z2403" t="b">
        <v>0</v>
      </c>
      <c r="AA2403" t="b">
        <v>0</v>
      </c>
      <c r="AC2403" s="82"/>
      <c r="AD2403" t="str">
        <f t="shared" si="71"/>
        <v/>
      </c>
      <c r="AE2403" t="str">
        <f t="shared" si="72"/>
        <v/>
      </c>
    </row>
    <row r="2404">
      <c r="D2404" s="226"/>
      <c r="H2404" s="474"/>
      <c r="I2404" s="474"/>
      <c r="J2404" s="475"/>
      <c r="K2404" s="275"/>
      <c r="L2404" s="82"/>
      <c r="M2404" s="672"/>
      <c r="N2404" s="242"/>
      <c r="O2404" s="242"/>
      <c r="P2404" s="242"/>
      <c r="Q2404" s="242"/>
      <c r="R2404" s="539"/>
      <c r="S2404" s="540"/>
      <c r="T2404" s="543"/>
      <c r="U2404" s="673" t="b">
        <v>0</v>
      </c>
      <c r="Z2404" t="b">
        <v>0</v>
      </c>
      <c r="AA2404" t="b">
        <v>0</v>
      </c>
      <c r="AC2404" s="82"/>
      <c r="AD2404" t="str">
        <f t="shared" si="71"/>
        <v/>
      </c>
      <c r="AE2404" t="str">
        <f t="shared" si="72"/>
        <v/>
      </c>
    </row>
    <row r="2405">
      <c r="D2405" s="226"/>
      <c r="H2405" s="474"/>
      <c r="I2405" s="474"/>
      <c r="J2405" s="475"/>
      <c r="K2405" s="275"/>
      <c r="L2405" s="82"/>
      <c r="M2405" s="672"/>
      <c r="N2405" s="242"/>
      <c r="O2405" s="242"/>
      <c r="P2405" s="242"/>
      <c r="Q2405" s="242"/>
      <c r="R2405" s="539"/>
      <c r="S2405" s="540"/>
      <c r="T2405" s="543"/>
      <c r="U2405" s="673" t="b">
        <v>0</v>
      </c>
      <c r="Z2405" t="b">
        <v>0</v>
      </c>
      <c r="AA2405" t="b">
        <v>0</v>
      </c>
      <c r="AC2405" s="82"/>
      <c r="AD2405" t="str">
        <f t="shared" si="71"/>
        <v/>
      </c>
      <c r="AE2405" t="str">
        <f t="shared" si="72"/>
        <v/>
      </c>
    </row>
    <row r="2406">
      <c r="D2406" s="226"/>
      <c r="H2406" s="474"/>
      <c r="I2406" s="474"/>
      <c r="J2406" s="475"/>
      <c r="K2406" s="275"/>
      <c r="L2406" s="82"/>
      <c r="M2406" s="672"/>
      <c r="N2406" s="242"/>
      <c r="O2406" s="242"/>
      <c r="P2406" s="242"/>
      <c r="Q2406" s="242"/>
      <c r="R2406" s="539"/>
      <c r="S2406" s="540"/>
      <c r="T2406" s="543"/>
      <c r="U2406" s="673" t="b">
        <v>0</v>
      </c>
      <c r="Z2406" t="b">
        <v>0</v>
      </c>
      <c r="AA2406" t="b">
        <v>0</v>
      </c>
      <c r="AC2406" s="82"/>
      <c r="AD2406" t="str">
        <f t="shared" si="71"/>
        <v/>
      </c>
      <c r="AE2406" t="str">
        <f t="shared" si="72"/>
        <v/>
      </c>
    </row>
    <row r="2407">
      <c r="D2407" s="226"/>
      <c r="H2407" s="474"/>
      <c r="I2407" s="474"/>
      <c r="J2407" s="475"/>
      <c r="K2407" s="275"/>
      <c r="L2407" s="82"/>
      <c r="M2407" s="672"/>
      <c r="N2407" s="242"/>
      <c r="O2407" s="242"/>
      <c r="P2407" s="242"/>
      <c r="Q2407" s="242"/>
      <c r="R2407" s="539"/>
      <c r="S2407" s="540"/>
      <c r="T2407" s="543"/>
      <c r="U2407" s="673" t="b">
        <v>0</v>
      </c>
      <c r="Z2407" t="b">
        <v>0</v>
      </c>
      <c r="AA2407" t="b">
        <v>0</v>
      </c>
      <c r="AC2407" s="82"/>
      <c r="AD2407" t="str">
        <f t="shared" si="71"/>
        <v/>
      </c>
      <c r="AE2407" t="str">
        <f t="shared" si="72"/>
        <v/>
      </c>
    </row>
    <row r="2408">
      <c r="D2408" s="226"/>
      <c r="H2408" s="474"/>
      <c r="I2408" s="474"/>
      <c r="J2408" s="475"/>
      <c r="K2408" s="275"/>
      <c r="L2408" s="82"/>
      <c r="M2408" s="672"/>
      <c r="N2408" s="242"/>
      <c r="O2408" s="242"/>
      <c r="P2408" s="242"/>
      <c r="Q2408" s="242"/>
      <c r="R2408" s="539"/>
      <c r="S2408" s="540"/>
      <c r="T2408" s="543"/>
      <c r="U2408" s="673" t="b">
        <v>0</v>
      </c>
      <c r="Z2408" t="b">
        <v>0</v>
      </c>
      <c r="AA2408" t="b">
        <v>0</v>
      </c>
      <c r="AC2408" s="82"/>
      <c r="AD2408" t="str">
        <f t="shared" si="71"/>
        <v/>
      </c>
      <c r="AE2408" t="str">
        <f t="shared" si="72"/>
        <v/>
      </c>
    </row>
    <row r="2409">
      <c r="D2409" s="226"/>
      <c r="H2409" s="474"/>
      <c r="I2409" s="474"/>
      <c r="J2409" s="475"/>
      <c r="K2409" s="275"/>
      <c r="L2409" s="82"/>
      <c r="M2409" s="672"/>
      <c r="N2409" s="242"/>
      <c r="O2409" s="242"/>
      <c r="P2409" s="242"/>
      <c r="Q2409" s="242"/>
      <c r="R2409" s="539"/>
      <c r="S2409" s="540"/>
      <c r="T2409" s="543"/>
      <c r="U2409" s="673" t="b">
        <v>0</v>
      </c>
      <c r="Z2409" t="b">
        <v>0</v>
      </c>
      <c r="AA2409" t="b">
        <v>0</v>
      </c>
      <c r="AC2409" s="82"/>
      <c r="AD2409" t="str">
        <f t="shared" si="71"/>
        <v/>
      </c>
      <c r="AE2409" t="str">
        <f t="shared" si="72"/>
        <v/>
      </c>
    </row>
    <row r="2410">
      <c r="D2410" s="226"/>
      <c r="H2410" s="474"/>
      <c r="I2410" s="474"/>
      <c r="J2410" s="475"/>
      <c r="K2410" s="275"/>
      <c r="L2410" s="82"/>
      <c r="M2410" s="672"/>
      <c r="N2410" s="242"/>
      <c r="O2410" s="242"/>
      <c r="P2410" s="242"/>
      <c r="Q2410" s="242"/>
      <c r="R2410" s="539"/>
      <c r="S2410" s="540"/>
      <c r="T2410" s="543"/>
      <c r="U2410" s="673" t="b">
        <v>0</v>
      </c>
      <c r="Z2410" t="b">
        <v>0</v>
      </c>
      <c r="AA2410" t="b">
        <v>0</v>
      </c>
      <c r="AC2410" s="82"/>
      <c r="AD2410" t="str">
        <f t="shared" si="71"/>
        <v/>
      </c>
      <c r="AE2410" t="str">
        <f t="shared" si="72"/>
        <v/>
      </c>
    </row>
    <row r="2411">
      <c r="D2411" s="226"/>
      <c r="H2411" s="474"/>
      <c r="I2411" s="474"/>
      <c r="J2411" s="475"/>
      <c r="K2411" s="275"/>
      <c r="L2411" s="82"/>
      <c r="M2411" s="672"/>
      <c r="N2411" s="242"/>
      <c r="O2411" s="242"/>
      <c r="P2411" s="242"/>
      <c r="Q2411" s="242"/>
      <c r="R2411" s="539"/>
      <c r="S2411" s="540"/>
      <c r="T2411" s="543"/>
      <c r="U2411" s="673" t="b">
        <v>0</v>
      </c>
      <c r="Z2411" t="b">
        <v>0</v>
      </c>
      <c r="AA2411" t="b">
        <v>0</v>
      </c>
      <c r="AC2411" s="82"/>
      <c r="AD2411" t="str">
        <f t="shared" si="71"/>
        <v/>
      </c>
      <c r="AE2411" t="str">
        <f t="shared" si="72"/>
        <v/>
      </c>
    </row>
    <row r="2412">
      <c r="D2412" s="226"/>
      <c r="H2412" s="474"/>
      <c r="I2412" s="474"/>
      <c r="J2412" s="475"/>
      <c r="K2412" s="275"/>
      <c r="L2412" s="82"/>
      <c r="M2412" s="672"/>
      <c r="N2412" s="242"/>
      <c r="O2412" s="242"/>
      <c r="P2412" s="242"/>
      <c r="Q2412" s="242"/>
      <c r="R2412" s="539"/>
      <c r="S2412" s="540"/>
      <c r="T2412" s="543"/>
      <c r="U2412" s="673" t="b">
        <v>0</v>
      </c>
      <c r="Z2412" t="b">
        <v>0</v>
      </c>
      <c r="AA2412" t="b">
        <v>0</v>
      </c>
      <c r="AC2412" s="82"/>
      <c r="AD2412" t="str">
        <f t="shared" si="71"/>
        <v/>
      </c>
      <c r="AE2412" t="str">
        <f t="shared" si="72"/>
        <v/>
      </c>
    </row>
    <row r="2413">
      <c r="D2413" s="226"/>
      <c r="H2413" s="474"/>
      <c r="I2413" s="474"/>
      <c r="J2413" s="475"/>
      <c r="K2413" s="275"/>
      <c r="L2413" s="82"/>
      <c r="M2413" s="672"/>
      <c r="N2413" s="242"/>
      <c r="O2413" s="242"/>
      <c r="P2413" s="242"/>
      <c r="Q2413" s="242"/>
      <c r="R2413" s="539"/>
      <c r="S2413" s="540"/>
      <c r="T2413" s="543"/>
      <c r="U2413" s="673" t="b">
        <v>0</v>
      </c>
      <c r="Z2413" t="b">
        <v>0</v>
      </c>
      <c r="AA2413" t="b">
        <v>0</v>
      </c>
      <c r="AC2413" s="82"/>
      <c r="AD2413" t="str">
        <f t="shared" si="71"/>
        <v/>
      </c>
      <c r="AE2413" t="str">
        <f t="shared" si="72"/>
        <v/>
      </c>
    </row>
    <row r="2414">
      <c r="D2414" s="226"/>
      <c r="H2414" s="474"/>
      <c r="I2414" s="474"/>
      <c r="J2414" s="475"/>
      <c r="K2414" s="275"/>
      <c r="L2414" s="82"/>
      <c r="M2414" s="672"/>
      <c r="N2414" s="242"/>
      <c r="O2414" s="242"/>
      <c r="P2414" s="242"/>
      <c r="Q2414" s="242"/>
      <c r="R2414" s="539"/>
      <c r="S2414" s="540"/>
      <c r="T2414" s="543"/>
      <c r="U2414" s="673" t="b">
        <v>0</v>
      </c>
      <c r="Z2414" t="b">
        <v>0</v>
      </c>
      <c r="AA2414" t="b">
        <v>0</v>
      </c>
      <c r="AC2414" s="82"/>
      <c r="AD2414" t="str">
        <f t="shared" si="71"/>
        <v/>
      </c>
      <c r="AE2414" t="str">
        <f t="shared" si="72"/>
        <v/>
      </c>
    </row>
    <row r="2415">
      <c r="D2415" s="226"/>
      <c r="H2415" s="474"/>
      <c r="I2415" s="474"/>
      <c r="J2415" s="475"/>
      <c r="K2415" s="275"/>
      <c r="L2415" s="82"/>
      <c r="M2415" s="672"/>
      <c r="N2415" s="242"/>
      <c r="O2415" s="242"/>
      <c r="P2415" s="242"/>
      <c r="Q2415" s="242"/>
      <c r="R2415" s="539"/>
      <c r="S2415" s="540"/>
      <c r="T2415" s="543"/>
      <c r="U2415" s="673" t="b">
        <v>0</v>
      </c>
      <c r="Z2415" t="b">
        <v>0</v>
      </c>
      <c r="AA2415" t="b">
        <v>0</v>
      </c>
      <c r="AC2415" s="82"/>
      <c r="AD2415" t="str">
        <f t="shared" si="71"/>
        <v/>
      </c>
      <c r="AE2415" t="str">
        <f t="shared" si="72"/>
        <v/>
      </c>
    </row>
    <row r="2416">
      <c r="D2416" s="226"/>
      <c r="H2416" s="474"/>
      <c r="I2416" s="474"/>
      <c r="J2416" s="475"/>
      <c r="K2416" s="275"/>
      <c r="L2416" s="82"/>
      <c r="M2416" s="672"/>
      <c r="N2416" s="242"/>
      <c r="O2416" s="242"/>
      <c r="P2416" s="242"/>
      <c r="Q2416" s="242"/>
      <c r="R2416" s="539"/>
      <c r="S2416" s="540"/>
      <c r="T2416" s="543"/>
      <c r="U2416" s="673" t="b">
        <v>0</v>
      </c>
      <c r="Z2416" t="b">
        <v>0</v>
      </c>
      <c r="AA2416" t="b">
        <v>0</v>
      </c>
      <c r="AC2416" s="82"/>
      <c r="AD2416" t="str">
        <f t="shared" si="71"/>
        <v/>
      </c>
      <c r="AE2416" t="str">
        <f t="shared" si="72"/>
        <v/>
      </c>
    </row>
    <row r="2417">
      <c r="D2417" s="226"/>
      <c r="H2417" s="474"/>
      <c r="I2417" s="474"/>
      <c r="J2417" s="475"/>
      <c r="K2417" s="275"/>
      <c r="L2417" s="82"/>
      <c r="M2417" s="672"/>
      <c r="N2417" s="242"/>
      <c r="O2417" s="242"/>
      <c r="P2417" s="242"/>
      <c r="Q2417" s="242"/>
      <c r="R2417" s="539"/>
      <c r="S2417" s="540"/>
      <c r="T2417" s="543"/>
      <c r="U2417" s="673" t="b">
        <v>0</v>
      </c>
      <c r="Z2417" t="b">
        <v>0</v>
      </c>
      <c r="AA2417" t="b">
        <v>0</v>
      </c>
      <c r="AC2417" s="82"/>
      <c r="AD2417" t="str">
        <f t="shared" si="71"/>
        <v/>
      </c>
      <c r="AE2417" t="str">
        <f t="shared" si="72"/>
        <v/>
      </c>
    </row>
    <row r="2418">
      <c r="D2418" s="226"/>
      <c r="H2418" s="474"/>
      <c r="I2418" s="474"/>
      <c r="J2418" s="475"/>
      <c r="K2418" s="275"/>
      <c r="L2418" s="82"/>
      <c r="M2418" s="672"/>
      <c r="N2418" s="242"/>
      <c r="O2418" s="242"/>
      <c r="P2418" s="242"/>
      <c r="Q2418" s="242"/>
      <c r="R2418" s="539"/>
      <c r="S2418" s="540"/>
      <c r="T2418" s="543"/>
      <c r="U2418" s="673" t="b">
        <v>0</v>
      </c>
      <c r="Z2418" t="b">
        <v>0</v>
      </c>
      <c r="AA2418" t="b">
        <v>0</v>
      </c>
      <c r="AC2418" s="82"/>
      <c r="AD2418" t="str">
        <f t="shared" si="71"/>
        <v/>
      </c>
      <c r="AE2418" t="str">
        <f t="shared" si="72"/>
        <v/>
      </c>
    </row>
    <row r="2419">
      <c r="D2419" s="226"/>
      <c r="H2419" s="474"/>
      <c r="I2419" s="474"/>
      <c r="J2419" s="475"/>
      <c r="K2419" s="275"/>
      <c r="L2419" s="82"/>
      <c r="M2419" s="672"/>
      <c r="N2419" s="242"/>
      <c r="O2419" s="242"/>
      <c r="P2419" s="242"/>
      <c r="Q2419" s="242"/>
      <c r="R2419" s="539"/>
      <c r="S2419" s="540"/>
      <c r="T2419" s="543"/>
      <c r="U2419" s="673" t="b">
        <v>0</v>
      </c>
      <c r="Z2419" t="b">
        <v>0</v>
      </c>
      <c r="AA2419" t="b">
        <v>0</v>
      </c>
      <c r="AC2419" s="82"/>
      <c r="AD2419" t="str">
        <f t="shared" si="71"/>
        <v/>
      </c>
      <c r="AE2419" t="str">
        <f t="shared" si="72"/>
        <v/>
      </c>
    </row>
    <row r="2420">
      <c r="D2420" s="226"/>
      <c r="H2420" s="474"/>
      <c r="I2420" s="474"/>
      <c r="J2420" s="475"/>
      <c r="K2420" s="275"/>
      <c r="L2420" s="82"/>
      <c r="M2420" s="672"/>
      <c r="N2420" s="242"/>
      <c r="O2420" s="242"/>
      <c r="P2420" s="242"/>
      <c r="Q2420" s="242"/>
      <c r="R2420" s="539"/>
      <c r="S2420" s="540"/>
      <c r="T2420" s="543"/>
      <c r="U2420" s="673" t="b">
        <v>0</v>
      </c>
      <c r="Z2420" t="b">
        <v>0</v>
      </c>
      <c r="AA2420" t="b">
        <v>0</v>
      </c>
      <c r="AC2420" s="82"/>
      <c r="AD2420" t="str">
        <f t="shared" si="71"/>
        <v/>
      </c>
      <c r="AE2420" t="str">
        <f t="shared" si="72"/>
        <v/>
      </c>
    </row>
    <row r="2421">
      <c r="D2421" s="226"/>
      <c r="H2421" s="474"/>
      <c r="I2421" s="474"/>
      <c r="J2421" s="475"/>
      <c r="K2421" s="275"/>
      <c r="L2421" s="82"/>
      <c r="M2421" s="672"/>
      <c r="N2421" s="242"/>
      <c r="O2421" s="242"/>
      <c r="P2421" s="242"/>
      <c r="Q2421" s="242"/>
      <c r="R2421" s="539"/>
      <c r="S2421" s="540"/>
      <c r="T2421" s="543"/>
      <c r="U2421" s="673" t="b">
        <v>0</v>
      </c>
      <c r="Z2421" t="b">
        <v>0</v>
      </c>
      <c r="AA2421" t="b">
        <v>0</v>
      </c>
      <c r="AC2421" s="82"/>
      <c r="AD2421" t="str">
        <f t="shared" si="71"/>
        <v/>
      </c>
      <c r="AE2421" t="str">
        <f t="shared" si="72"/>
        <v/>
      </c>
    </row>
    <row r="2422">
      <c r="D2422" s="226"/>
      <c r="H2422" s="474"/>
      <c r="I2422" s="474"/>
      <c r="J2422" s="475"/>
      <c r="K2422" s="275"/>
      <c r="L2422" s="82"/>
      <c r="M2422" s="672"/>
      <c r="N2422" s="242"/>
      <c r="O2422" s="242"/>
      <c r="P2422" s="242"/>
      <c r="Q2422" s="242"/>
      <c r="R2422" s="539"/>
      <c r="S2422" s="540"/>
      <c r="T2422" s="543"/>
      <c r="U2422" s="673" t="b">
        <v>0</v>
      </c>
      <c r="Z2422" t="b">
        <v>0</v>
      </c>
      <c r="AA2422" t="b">
        <v>0</v>
      </c>
      <c r="AC2422" s="82"/>
      <c r="AD2422" t="str">
        <f t="shared" si="71"/>
        <v/>
      </c>
      <c r="AE2422" t="str">
        <f t="shared" si="72"/>
        <v/>
      </c>
    </row>
    <row r="2423">
      <c r="D2423" s="226"/>
      <c r="H2423" s="474"/>
      <c r="I2423" s="474"/>
      <c r="J2423" s="475"/>
      <c r="K2423" s="275"/>
      <c r="L2423" s="82"/>
      <c r="M2423" s="672"/>
      <c r="N2423" s="242"/>
      <c r="O2423" s="242"/>
      <c r="P2423" s="242"/>
      <c r="Q2423" s="242"/>
      <c r="R2423" s="539"/>
      <c r="S2423" s="540"/>
      <c r="T2423" s="543"/>
      <c r="U2423" s="673" t="b">
        <v>0</v>
      </c>
      <c r="Z2423" t="b">
        <v>0</v>
      </c>
      <c r="AA2423" t="b">
        <v>0</v>
      </c>
      <c r="AC2423" s="82"/>
      <c r="AD2423" t="str">
        <f t="shared" si="71"/>
        <v/>
      </c>
      <c r="AE2423" t="str">
        <f t="shared" si="72"/>
        <v/>
      </c>
    </row>
    <row r="2424">
      <c r="D2424" s="226"/>
      <c r="H2424" s="474"/>
      <c r="I2424" s="474"/>
      <c r="J2424" s="475"/>
      <c r="K2424" s="275"/>
      <c r="L2424" s="82"/>
      <c r="M2424" s="672"/>
      <c r="N2424" s="242"/>
      <c r="O2424" s="242"/>
      <c r="P2424" s="242"/>
      <c r="Q2424" s="242"/>
      <c r="R2424" s="539"/>
      <c r="S2424" s="540"/>
      <c r="T2424" s="543"/>
      <c r="U2424" s="673" t="b">
        <v>0</v>
      </c>
      <c r="Z2424" t="b">
        <v>0</v>
      </c>
      <c r="AA2424" t="b">
        <v>0</v>
      </c>
      <c r="AC2424" s="82"/>
      <c r="AD2424" t="str">
        <f t="shared" si="71"/>
        <v/>
      </c>
      <c r="AE2424" t="str">
        <f t="shared" si="72"/>
        <v/>
      </c>
    </row>
    <row r="2425">
      <c r="D2425" s="226"/>
      <c r="H2425" s="474"/>
      <c r="I2425" s="474"/>
      <c r="J2425" s="475"/>
      <c r="K2425" s="275"/>
      <c r="L2425" s="82"/>
      <c r="M2425" s="672"/>
      <c r="N2425" s="242"/>
      <c r="O2425" s="242"/>
      <c r="P2425" s="242"/>
      <c r="Q2425" s="242"/>
      <c r="R2425" s="539"/>
      <c r="S2425" s="540"/>
      <c r="T2425" s="543"/>
      <c r="U2425" s="673" t="b">
        <v>0</v>
      </c>
      <c r="Z2425" t="b">
        <v>0</v>
      </c>
      <c r="AA2425" t="b">
        <v>0</v>
      </c>
      <c r="AC2425" s="82"/>
      <c r="AD2425" t="str">
        <f t="shared" si="71"/>
        <v/>
      </c>
      <c r="AE2425" t="str">
        <f t="shared" si="72"/>
        <v/>
      </c>
    </row>
    <row r="2426">
      <c r="D2426" s="226"/>
      <c r="H2426" s="474"/>
      <c r="I2426" s="474"/>
      <c r="J2426" s="475"/>
      <c r="K2426" s="275"/>
      <c r="L2426" s="82"/>
      <c r="M2426" s="672"/>
      <c r="N2426" s="242"/>
      <c r="O2426" s="242"/>
      <c r="P2426" s="242"/>
      <c r="Q2426" s="242"/>
      <c r="R2426" s="539"/>
      <c r="S2426" s="540"/>
      <c r="T2426" s="543"/>
      <c r="U2426" s="673" t="b">
        <v>0</v>
      </c>
      <c r="Z2426" t="b">
        <v>0</v>
      </c>
      <c r="AA2426" t="b">
        <v>0</v>
      </c>
      <c r="AC2426" s="82"/>
      <c r="AD2426" t="str">
        <f t="shared" si="71"/>
        <v/>
      </c>
      <c r="AE2426" t="str">
        <f t="shared" si="72"/>
        <v/>
      </c>
    </row>
    <row r="2427">
      <c r="D2427" s="226"/>
      <c r="H2427" s="474"/>
      <c r="I2427" s="474"/>
      <c r="J2427" s="475"/>
      <c r="K2427" s="275"/>
      <c r="L2427" s="82"/>
      <c r="M2427" s="672"/>
      <c r="N2427" s="242"/>
      <c r="O2427" s="242"/>
      <c r="P2427" s="242"/>
      <c r="Q2427" s="242"/>
      <c r="R2427" s="539"/>
      <c r="S2427" s="540"/>
      <c r="T2427" s="543"/>
      <c r="U2427" s="673" t="b">
        <v>0</v>
      </c>
      <c r="Z2427" t="b">
        <v>0</v>
      </c>
      <c r="AA2427" t="b">
        <v>0</v>
      </c>
      <c r="AC2427" s="82"/>
      <c r="AD2427" t="str">
        <f t="shared" si="71"/>
        <v/>
      </c>
      <c r="AE2427" t="str">
        <f t="shared" si="72"/>
        <v/>
      </c>
    </row>
    <row r="2428">
      <c r="D2428" s="226"/>
      <c r="H2428" s="474"/>
      <c r="I2428" s="474"/>
      <c r="J2428" s="475"/>
      <c r="K2428" s="275"/>
      <c r="L2428" s="82"/>
      <c r="M2428" s="672"/>
      <c r="N2428" s="242"/>
      <c r="O2428" s="242"/>
      <c r="P2428" s="242"/>
      <c r="Q2428" s="242"/>
      <c r="R2428" s="539"/>
      <c r="S2428" s="540"/>
      <c r="T2428" s="543"/>
      <c r="U2428" s="673" t="b">
        <v>0</v>
      </c>
      <c r="Z2428" t="b">
        <v>0</v>
      </c>
      <c r="AA2428" t="b">
        <v>0</v>
      </c>
      <c r="AC2428" s="82"/>
      <c r="AD2428" t="str">
        <f t="shared" si="71"/>
        <v/>
      </c>
      <c r="AE2428" t="str">
        <f t="shared" si="72"/>
        <v/>
      </c>
    </row>
    <row r="2429">
      <c r="D2429" s="226"/>
      <c r="H2429" s="474"/>
      <c r="I2429" s="474"/>
      <c r="J2429" s="475"/>
      <c r="K2429" s="275"/>
      <c r="L2429" s="82"/>
      <c r="M2429" s="672"/>
      <c r="N2429" s="242"/>
      <c r="O2429" s="242"/>
      <c r="P2429" s="242"/>
      <c r="Q2429" s="242"/>
      <c r="R2429" s="539"/>
      <c r="S2429" s="540"/>
      <c r="T2429" s="543"/>
      <c r="U2429" s="673" t="b">
        <v>0</v>
      </c>
      <c r="Z2429" t="b">
        <v>0</v>
      </c>
      <c r="AA2429" t="b">
        <v>0</v>
      </c>
      <c r="AC2429" s="82"/>
      <c r="AD2429" t="str">
        <f t="shared" si="71"/>
        <v/>
      </c>
      <c r="AE2429" t="str">
        <f t="shared" si="72"/>
        <v/>
      </c>
    </row>
    <row r="2430">
      <c r="D2430" s="226"/>
      <c r="H2430" s="474"/>
      <c r="I2430" s="474"/>
      <c r="J2430" s="475"/>
      <c r="K2430" s="275"/>
      <c r="L2430" s="82"/>
      <c r="M2430" s="672"/>
      <c r="N2430" s="242"/>
      <c r="O2430" s="242"/>
      <c r="P2430" s="242"/>
      <c r="Q2430" s="242"/>
      <c r="R2430" s="539"/>
      <c r="S2430" s="540"/>
      <c r="T2430" s="543"/>
      <c r="U2430" s="673" t="b">
        <v>0</v>
      </c>
      <c r="Z2430" t="b">
        <v>0</v>
      </c>
      <c r="AA2430" t="b">
        <v>0</v>
      </c>
      <c r="AC2430" s="82"/>
      <c r="AD2430" t="str">
        <f t="shared" si="71"/>
        <v/>
      </c>
      <c r="AE2430" t="str">
        <f t="shared" si="72"/>
        <v/>
      </c>
    </row>
    <row r="2431">
      <c r="D2431" s="226"/>
      <c r="H2431" s="474"/>
      <c r="I2431" s="474"/>
      <c r="J2431" s="475"/>
      <c r="K2431" s="275"/>
      <c r="L2431" s="82"/>
      <c r="M2431" s="672"/>
      <c r="N2431" s="242"/>
      <c r="O2431" s="242"/>
      <c r="P2431" s="242"/>
      <c r="Q2431" s="242"/>
      <c r="R2431" s="539"/>
      <c r="S2431" s="540"/>
      <c r="T2431" s="543"/>
      <c r="U2431" s="673" t="b">
        <v>0</v>
      </c>
      <c r="Z2431" t="b">
        <v>0</v>
      </c>
      <c r="AA2431" t="b">
        <v>0</v>
      </c>
      <c r="AC2431" s="82"/>
      <c r="AD2431" t="str">
        <f t="shared" si="71"/>
        <v/>
      </c>
      <c r="AE2431" t="str">
        <f t="shared" si="72"/>
        <v/>
      </c>
    </row>
    <row r="2432">
      <c r="D2432" s="226"/>
      <c r="H2432" s="474"/>
      <c r="I2432" s="474"/>
      <c r="J2432" s="475"/>
      <c r="K2432" s="275"/>
      <c r="L2432" s="82"/>
      <c r="M2432" s="672"/>
      <c r="N2432" s="242"/>
      <c r="O2432" s="242"/>
      <c r="P2432" s="242"/>
      <c r="Q2432" s="242"/>
      <c r="R2432" s="539"/>
      <c r="S2432" s="540"/>
      <c r="T2432" s="543"/>
      <c r="U2432" s="673" t="b">
        <v>0</v>
      </c>
      <c r="Z2432" t="b">
        <v>0</v>
      </c>
      <c r="AA2432" t="b">
        <v>0</v>
      </c>
      <c r="AC2432" s="82"/>
      <c r="AD2432" t="str">
        <f t="shared" si="71"/>
        <v/>
      </c>
      <c r="AE2432" t="str">
        <f t="shared" si="72"/>
        <v/>
      </c>
    </row>
    <row r="2433">
      <c r="D2433" s="226"/>
      <c r="H2433" s="474"/>
      <c r="I2433" s="474"/>
      <c r="J2433" s="475"/>
      <c r="K2433" s="275"/>
      <c r="L2433" s="82"/>
      <c r="M2433" s="672"/>
      <c r="N2433" s="242"/>
      <c r="O2433" s="242"/>
      <c r="P2433" s="242"/>
      <c r="Q2433" s="242"/>
      <c r="R2433" s="539"/>
      <c r="S2433" s="540"/>
      <c r="T2433" s="543"/>
      <c r="U2433" s="673" t="b">
        <v>0</v>
      </c>
      <c r="Z2433" t="b">
        <v>0</v>
      </c>
      <c r="AA2433" t="b">
        <v>0</v>
      </c>
      <c r="AC2433" s="82"/>
      <c r="AD2433" t="str">
        <f t="shared" si="71"/>
        <v/>
      </c>
      <c r="AE2433" t="str">
        <f t="shared" si="72"/>
        <v/>
      </c>
    </row>
    <row r="2434">
      <c r="D2434" s="226"/>
      <c r="H2434" s="474"/>
      <c r="I2434" s="474"/>
      <c r="J2434" s="475"/>
      <c r="K2434" s="275"/>
      <c r="L2434" s="82"/>
      <c r="M2434" s="672"/>
      <c r="N2434" s="242"/>
      <c r="O2434" s="242"/>
      <c r="P2434" s="242"/>
      <c r="Q2434" s="242"/>
      <c r="R2434" s="539"/>
      <c r="S2434" s="540"/>
      <c r="T2434" s="543"/>
      <c r="U2434" s="673" t="b">
        <v>0</v>
      </c>
      <c r="Z2434" t="b">
        <v>0</v>
      </c>
      <c r="AA2434" t="b">
        <v>0</v>
      </c>
      <c r="AC2434" s="82"/>
      <c r="AD2434" t="str">
        <f t="shared" si="71"/>
        <v/>
      </c>
      <c r="AE2434" t="str">
        <f t="shared" si="72"/>
        <v/>
      </c>
    </row>
    <row r="2435">
      <c r="D2435" s="226"/>
      <c r="H2435" s="474"/>
      <c r="I2435" s="474"/>
      <c r="J2435" s="475"/>
      <c r="K2435" s="275"/>
      <c r="L2435" s="82"/>
      <c r="M2435" s="672"/>
      <c r="N2435" s="242"/>
      <c r="O2435" s="242"/>
      <c r="P2435" s="242"/>
      <c r="Q2435" s="242"/>
      <c r="R2435" s="539"/>
      <c r="S2435" s="540"/>
      <c r="T2435" s="543"/>
      <c r="U2435" s="673" t="b">
        <v>0</v>
      </c>
      <c r="Z2435" t="b">
        <v>0</v>
      </c>
      <c r="AA2435" t="b">
        <v>0</v>
      </c>
      <c r="AC2435" s="82"/>
      <c r="AD2435" t="str">
        <f t="shared" si="71"/>
        <v/>
      </c>
      <c r="AE2435" t="str">
        <f t="shared" si="72"/>
        <v/>
      </c>
    </row>
    <row r="2436">
      <c r="D2436" s="226"/>
      <c r="H2436" s="474"/>
      <c r="I2436" s="474"/>
      <c r="J2436" s="475"/>
      <c r="K2436" s="275"/>
      <c r="L2436" s="82"/>
      <c r="M2436" s="672"/>
      <c r="N2436" s="242"/>
      <c r="O2436" s="242"/>
      <c r="P2436" s="242"/>
      <c r="Q2436" s="242"/>
      <c r="R2436" s="539"/>
      <c r="S2436" s="540"/>
      <c r="T2436" s="543"/>
      <c r="U2436" s="673" t="b">
        <v>0</v>
      </c>
      <c r="Z2436" t="b">
        <v>0</v>
      </c>
      <c r="AA2436" t="b">
        <v>0</v>
      </c>
      <c r="AC2436" s="82"/>
      <c r="AD2436" t="str">
        <f t="shared" si="71"/>
        <v/>
      </c>
      <c r="AE2436" t="str">
        <f t="shared" si="72"/>
        <v/>
      </c>
    </row>
    <row r="2437">
      <c r="D2437" s="226"/>
      <c r="H2437" s="474"/>
      <c r="I2437" s="474"/>
      <c r="J2437" s="475"/>
      <c r="K2437" s="275"/>
      <c r="L2437" s="82"/>
      <c r="M2437" s="672"/>
      <c r="N2437" s="242"/>
      <c r="O2437" s="242"/>
      <c r="P2437" s="242"/>
      <c r="Q2437" s="242"/>
      <c r="R2437" s="539"/>
      <c r="S2437" s="540"/>
      <c r="T2437" s="543"/>
      <c r="U2437" s="673" t="b">
        <v>0</v>
      </c>
      <c r="Z2437" t="b">
        <v>0</v>
      </c>
      <c r="AA2437" t="b">
        <v>0</v>
      </c>
      <c r="AC2437" s="82"/>
      <c r="AD2437" t="str">
        <f t="shared" si="71"/>
        <v/>
      </c>
      <c r="AE2437" t="str">
        <f t="shared" si="72"/>
        <v/>
      </c>
    </row>
    <row r="2438">
      <c r="D2438" s="226"/>
      <c r="H2438" s="474"/>
      <c r="I2438" s="474"/>
      <c r="J2438" s="475"/>
      <c r="K2438" s="275"/>
      <c r="L2438" s="82"/>
      <c r="M2438" s="672"/>
      <c r="N2438" s="242"/>
      <c r="O2438" s="242"/>
      <c r="P2438" s="242"/>
      <c r="Q2438" s="242"/>
      <c r="R2438" s="539"/>
      <c r="S2438" s="540"/>
      <c r="T2438" s="543"/>
      <c r="U2438" s="673" t="b">
        <v>0</v>
      </c>
      <c r="Z2438" t="b">
        <v>0</v>
      </c>
      <c r="AA2438" t="b">
        <v>0</v>
      </c>
      <c r="AC2438" s="82"/>
      <c r="AD2438" t="str">
        <f t="shared" si="71"/>
        <v/>
      </c>
      <c r="AE2438" t="str">
        <f t="shared" si="72"/>
        <v/>
      </c>
    </row>
    <row r="2439">
      <c r="D2439" s="226"/>
      <c r="H2439" s="474"/>
      <c r="I2439" s="474"/>
      <c r="J2439" s="475"/>
      <c r="K2439" s="275"/>
      <c r="L2439" s="82"/>
      <c r="M2439" s="672"/>
      <c r="N2439" s="242"/>
      <c r="O2439" s="242"/>
      <c r="P2439" s="242"/>
      <c r="Q2439" s="242"/>
      <c r="R2439" s="539"/>
      <c r="S2439" s="540"/>
      <c r="T2439" s="543"/>
      <c r="U2439" s="673" t="b">
        <v>0</v>
      </c>
      <c r="Z2439" t="b">
        <v>0</v>
      </c>
      <c r="AA2439" t="b">
        <v>0</v>
      </c>
      <c r="AC2439" s="82"/>
      <c r="AD2439" t="str">
        <f t="shared" si="71"/>
        <v/>
      </c>
      <c r="AE2439" t="str">
        <f t="shared" si="72"/>
        <v/>
      </c>
    </row>
    <row r="2440">
      <c r="D2440" s="226"/>
      <c r="H2440" s="474"/>
      <c r="I2440" s="474"/>
      <c r="J2440" s="475"/>
      <c r="K2440" s="275"/>
      <c r="L2440" s="82"/>
      <c r="M2440" s="672"/>
      <c r="N2440" s="242"/>
      <c r="O2440" s="242"/>
      <c r="P2440" s="242"/>
      <c r="Q2440" s="242"/>
      <c r="R2440" s="539"/>
      <c r="S2440" s="540"/>
      <c r="T2440" s="543"/>
      <c r="U2440" s="673" t="b">
        <v>0</v>
      </c>
      <c r="Z2440" t="b">
        <v>0</v>
      </c>
      <c r="AA2440" t="b">
        <v>0</v>
      </c>
      <c r="AC2440" s="82"/>
      <c r="AD2440" t="str">
        <f t="shared" si="71"/>
        <v/>
      </c>
      <c r="AE2440" t="str">
        <f t="shared" si="72"/>
        <v/>
      </c>
    </row>
    <row r="2441">
      <c r="D2441" s="226"/>
      <c r="H2441" s="474"/>
      <c r="I2441" s="474"/>
      <c r="J2441" s="475"/>
      <c r="K2441" s="275"/>
      <c r="L2441" s="82"/>
      <c r="M2441" s="672"/>
      <c r="N2441" s="242"/>
      <c r="O2441" s="242"/>
      <c r="P2441" s="242"/>
      <c r="Q2441" s="242"/>
      <c r="R2441" s="539"/>
      <c r="S2441" s="540"/>
      <c r="T2441" s="543"/>
      <c r="U2441" s="673" t="b">
        <v>0</v>
      </c>
      <c r="Z2441" t="b">
        <v>0</v>
      </c>
      <c r="AA2441" t="b">
        <v>0</v>
      </c>
      <c r="AC2441" s="82"/>
      <c r="AD2441" t="str">
        <f t="shared" si="71"/>
        <v/>
      </c>
      <c r="AE2441" t="str">
        <f t="shared" si="72"/>
        <v/>
      </c>
    </row>
    <row r="2442">
      <c r="D2442" s="226"/>
      <c r="H2442" s="474"/>
      <c r="I2442" s="474"/>
      <c r="J2442" s="475"/>
      <c r="K2442" s="275"/>
      <c r="L2442" s="82"/>
      <c r="M2442" s="672"/>
      <c r="N2442" s="242"/>
      <c r="O2442" s="242"/>
      <c r="P2442" s="242"/>
      <c r="Q2442" s="242"/>
      <c r="R2442" s="539"/>
      <c r="S2442" s="540"/>
      <c r="T2442" s="543"/>
      <c r="U2442" s="673" t="b">
        <v>0</v>
      </c>
      <c r="Z2442" t="b">
        <v>0</v>
      </c>
      <c r="AA2442" t="b">
        <v>0</v>
      </c>
      <c r="AC2442" s="82"/>
      <c r="AD2442" t="str">
        <f t="shared" si="71"/>
        <v/>
      </c>
      <c r="AE2442" t="str">
        <f t="shared" si="72"/>
        <v/>
      </c>
    </row>
    <row r="2443">
      <c r="D2443" s="226"/>
      <c r="H2443" s="474"/>
      <c r="I2443" s="474"/>
      <c r="J2443" s="475"/>
      <c r="K2443" s="275"/>
      <c r="L2443" s="82"/>
      <c r="M2443" s="672"/>
      <c r="N2443" s="242"/>
      <c r="O2443" s="242"/>
      <c r="P2443" s="242"/>
      <c r="Q2443" s="242"/>
      <c r="R2443" s="539"/>
      <c r="S2443" s="540"/>
      <c r="T2443" s="543"/>
      <c r="U2443" s="673" t="b">
        <v>0</v>
      </c>
      <c r="Z2443" t="b">
        <v>0</v>
      </c>
      <c r="AA2443" t="b">
        <v>0</v>
      </c>
      <c r="AC2443" s="82"/>
      <c r="AD2443" t="str">
        <f t="shared" si="71"/>
        <v/>
      </c>
      <c r="AE2443" t="str">
        <f t="shared" si="72"/>
        <v/>
      </c>
    </row>
    <row r="2444">
      <c r="D2444" s="226"/>
      <c r="H2444" s="474"/>
      <c r="I2444" s="474"/>
      <c r="J2444" s="475"/>
      <c r="K2444" s="275"/>
      <c r="L2444" s="82"/>
      <c r="M2444" s="672"/>
      <c r="N2444" s="242"/>
      <c r="O2444" s="242"/>
      <c r="P2444" s="242"/>
      <c r="Q2444" s="242"/>
      <c r="R2444" s="539"/>
      <c r="S2444" s="540"/>
      <c r="T2444" s="543"/>
      <c r="U2444" s="673" t="b">
        <v>0</v>
      </c>
      <c r="Z2444" t="b">
        <v>0</v>
      </c>
      <c r="AA2444" t="b">
        <v>0</v>
      </c>
      <c r="AC2444" s="82"/>
      <c r="AD2444" t="str">
        <f t="shared" si="71"/>
        <v/>
      </c>
      <c r="AE2444" t="str">
        <f t="shared" si="72"/>
        <v/>
      </c>
    </row>
    <row r="2445">
      <c r="D2445" s="226"/>
      <c r="H2445" s="474"/>
      <c r="I2445" s="474"/>
      <c r="J2445" s="475"/>
      <c r="K2445" s="275"/>
      <c r="L2445" s="82"/>
      <c r="M2445" s="672"/>
      <c r="N2445" s="242"/>
      <c r="O2445" s="242"/>
      <c r="P2445" s="242"/>
      <c r="Q2445" s="242"/>
      <c r="R2445" s="539"/>
      <c r="S2445" s="540"/>
      <c r="T2445" s="543"/>
      <c r="U2445" s="673" t="b">
        <v>0</v>
      </c>
      <c r="Z2445" t="b">
        <v>0</v>
      </c>
      <c r="AA2445" t="b">
        <v>0</v>
      </c>
      <c r="AC2445" s="82"/>
      <c r="AD2445" t="str">
        <f t="shared" si="71"/>
        <v/>
      </c>
      <c r="AE2445" t="str">
        <f t="shared" si="72"/>
        <v/>
      </c>
    </row>
    <row r="2446">
      <c r="D2446" s="226"/>
      <c r="H2446" s="474"/>
      <c r="I2446" s="474"/>
      <c r="J2446" s="475"/>
      <c r="K2446" s="275"/>
      <c r="L2446" s="82"/>
      <c r="M2446" s="672"/>
      <c r="N2446" s="242"/>
      <c r="O2446" s="242"/>
      <c r="P2446" s="242"/>
      <c r="Q2446" s="242"/>
      <c r="R2446" s="539"/>
      <c r="S2446" s="540"/>
      <c r="T2446" s="543"/>
      <c r="U2446" s="673" t="b">
        <v>0</v>
      </c>
      <c r="Z2446" t="b">
        <v>0</v>
      </c>
      <c r="AA2446" t="b">
        <v>0</v>
      </c>
      <c r="AC2446" s="82"/>
      <c r="AD2446" t="str">
        <f t="shared" si="71"/>
        <v/>
      </c>
      <c r="AE2446" t="str">
        <f t="shared" si="72"/>
        <v/>
      </c>
    </row>
    <row r="2447">
      <c r="D2447" s="226"/>
      <c r="H2447" s="474"/>
      <c r="I2447" s="474"/>
      <c r="J2447" s="475"/>
      <c r="K2447" s="275"/>
      <c r="L2447" s="82"/>
      <c r="M2447" s="672"/>
      <c r="N2447" s="242"/>
      <c r="O2447" s="242"/>
      <c r="P2447" s="242"/>
      <c r="Q2447" s="242"/>
      <c r="R2447" s="539"/>
      <c r="S2447" s="540"/>
      <c r="T2447" s="543"/>
      <c r="U2447" s="673" t="b">
        <v>0</v>
      </c>
      <c r="Z2447" t="b">
        <v>0</v>
      </c>
      <c r="AA2447" t="b">
        <v>0</v>
      </c>
      <c r="AC2447" s="82"/>
      <c r="AD2447" t="str">
        <f t="shared" si="71"/>
        <v/>
      </c>
      <c r="AE2447" t="str">
        <f t="shared" si="72"/>
        <v/>
      </c>
    </row>
    <row r="2448">
      <c r="D2448" s="226"/>
      <c r="H2448" s="474"/>
      <c r="I2448" s="474"/>
      <c r="J2448" s="475"/>
      <c r="K2448" s="275"/>
      <c r="L2448" s="82"/>
      <c r="M2448" s="672"/>
      <c r="N2448" s="242"/>
      <c r="O2448" s="242"/>
      <c r="P2448" s="242"/>
      <c r="Q2448" s="242"/>
      <c r="R2448" s="539"/>
      <c r="S2448" s="540"/>
      <c r="T2448" s="543"/>
      <c r="U2448" s="673" t="b">
        <v>0</v>
      </c>
      <c r="Z2448" t="b">
        <v>0</v>
      </c>
      <c r="AA2448" t="b">
        <v>0</v>
      </c>
      <c r="AC2448" s="82"/>
      <c r="AD2448" t="str">
        <f t="shared" si="71"/>
        <v/>
      </c>
      <c r="AE2448" t="str">
        <f t="shared" si="72"/>
        <v/>
      </c>
    </row>
    <row r="2449">
      <c r="D2449" s="226"/>
      <c r="H2449" s="474"/>
      <c r="I2449" s="474"/>
      <c r="J2449" s="475"/>
      <c r="K2449" s="275"/>
      <c r="L2449" s="82"/>
      <c r="M2449" s="672"/>
      <c r="N2449" s="242"/>
      <c r="O2449" s="242"/>
      <c r="P2449" s="242"/>
      <c r="Q2449" s="242"/>
      <c r="R2449" s="539"/>
      <c r="S2449" s="540"/>
      <c r="T2449" s="543"/>
      <c r="U2449" s="673" t="b">
        <v>0</v>
      </c>
      <c r="Z2449" t="b">
        <v>0</v>
      </c>
      <c r="AA2449" t="b">
        <v>0</v>
      </c>
      <c r="AC2449" s="82"/>
      <c r="AD2449" t="str">
        <f t="shared" si="71"/>
        <v/>
      </c>
      <c r="AE2449" t="str">
        <f t="shared" si="72"/>
        <v/>
      </c>
    </row>
    <row r="2450">
      <c r="D2450" s="226"/>
      <c r="H2450" s="474"/>
      <c r="I2450" s="474"/>
      <c r="J2450" s="475"/>
      <c r="K2450" s="275"/>
      <c r="L2450" s="82"/>
      <c r="M2450" s="672"/>
      <c r="N2450" s="242"/>
      <c r="O2450" s="242"/>
      <c r="P2450" s="242"/>
      <c r="Q2450" s="242"/>
      <c r="R2450" s="539"/>
      <c r="S2450" s="540"/>
      <c r="T2450" s="543"/>
      <c r="U2450" s="673" t="b">
        <v>0</v>
      </c>
      <c r="Z2450" t="b">
        <v>0</v>
      </c>
      <c r="AA2450" t="b">
        <v>0</v>
      </c>
      <c r="AC2450" s="82"/>
      <c r="AD2450" t="str">
        <f t="shared" si="71"/>
        <v/>
      </c>
      <c r="AE2450" t="str">
        <f t="shared" si="72"/>
        <v/>
      </c>
    </row>
    <row r="2451">
      <c r="D2451" s="226"/>
      <c r="H2451" s="474"/>
      <c r="I2451" s="474"/>
      <c r="J2451" s="475"/>
      <c r="K2451" s="275"/>
      <c r="L2451" s="82"/>
      <c r="M2451" s="672"/>
      <c r="N2451" s="242"/>
      <c r="O2451" s="242"/>
      <c r="P2451" s="242"/>
      <c r="Q2451" s="242"/>
      <c r="R2451" s="539"/>
      <c r="S2451" s="540"/>
      <c r="T2451" s="543"/>
      <c r="U2451" s="673" t="b">
        <v>0</v>
      </c>
      <c r="Z2451" t="b">
        <v>0</v>
      </c>
      <c r="AA2451" t="b">
        <v>0</v>
      </c>
      <c r="AC2451" s="82"/>
      <c r="AD2451" t="str">
        <f t="shared" si="71"/>
        <v/>
      </c>
      <c r="AE2451" t="str">
        <f t="shared" si="72"/>
        <v/>
      </c>
    </row>
    <row r="2452">
      <c r="D2452" s="226"/>
      <c r="H2452" s="474"/>
      <c r="I2452" s="474"/>
      <c r="J2452" s="475"/>
      <c r="K2452" s="275"/>
      <c r="L2452" s="82"/>
      <c r="M2452" s="672"/>
      <c r="N2452" s="242"/>
      <c r="O2452" s="242"/>
      <c r="P2452" s="242"/>
      <c r="Q2452" s="242"/>
      <c r="R2452" s="539"/>
      <c r="S2452" s="540"/>
      <c r="T2452" s="543"/>
      <c r="U2452" s="673" t="b">
        <v>0</v>
      </c>
      <c r="Z2452" t="b">
        <v>0</v>
      </c>
      <c r="AA2452" t="b">
        <v>0</v>
      </c>
      <c r="AC2452" s="82"/>
      <c r="AD2452" t="str">
        <f t="shared" si="71"/>
        <v/>
      </c>
      <c r="AE2452" t="str">
        <f t="shared" si="72"/>
        <v/>
      </c>
    </row>
    <row r="2453">
      <c r="D2453" s="226"/>
      <c r="H2453" s="474"/>
      <c r="I2453" s="474"/>
      <c r="J2453" s="475"/>
      <c r="K2453" s="275"/>
      <c r="L2453" s="82"/>
      <c r="M2453" s="672"/>
      <c r="N2453" s="242"/>
      <c r="O2453" s="242"/>
      <c r="P2453" s="242"/>
      <c r="Q2453" s="242"/>
      <c r="R2453" s="539"/>
      <c r="S2453" s="540"/>
      <c r="T2453" s="543"/>
      <c r="U2453" s="673" t="b">
        <v>0</v>
      </c>
      <c r="Z2453" t="b">
        <v>0</v>
      </c>
      <c r="AA2453" t="b">
        <v>0</v>
      </c>
      <c r="AC2453" s="82"/>
      <c r="AD2453" t="str">
        <f t="shared" si="71"/>
        <v/>
      </c>
      <c r="AE2453" t="str">
        <f t="shared" si="72"/>
        <v/>
      </c>
    </row>
    <row r="2454">
      <c r="D2454" s="226"/>
      <c r="H2454" s="474"/>
      <c r="I2454" s="474"/>
      <c r="J2454" s="475"/>
      <c r="K2454" s="275"/>
      <c r="L2454" s="82"/>
      <c r="M2454" s="672"/>
      <c r="N2454" s="242"/>
      <c r="O2454" s="242"/>
      <c r="P2454" s="242"/>
      <c r="Q2454" s="242"/>
      <c r="R2454" s="539"/>
      <c r="S2454" s="540"/>
      <c r="T2454" s="543"/>
      <c r="U2454" s="673" t="b">
        <v>0</v>
      </c>
      <c r="Z2454" t="b">
        <v>0</v>
      </c>
      <c r="AA2454" t="b">
        <v>0</v>
      </c>
      <c r="AC2454" s="82"/>
      <c r="AD2454" t="str">
        <f t="shared" si="71"/>
        <v/>
      </c>
      <c r="AE2454" t="str">
        <f t="shared" si="72"/>
        <v/>
      </c>
    </row>
    <row r="2455">
      <c r="D2455" s="226"/>
      <c r="H2455" s="474"/>
      <c r="I2455" s="474"/>
      <c r="J2455" s="475"/>
      <c r="K2455" s="275"/>
      <c r="L2455" s="82"/>
      <c r="M2455" s="672"/>
      <c r="N2455" s="242"/>
      <c r="O2455" s="242"/>
      <c r="P2455" s="242"/>
      <c r="Q2455" s="242"/>
      <c r="R2455" s="539"/>
      <c r="S2455" s="540"/>
      <c r="T2455" s="543"/>
      <c r="U2455" s="673" t="b">
        <v>0</v>
      </c>
      <c r="Z2455" t="b">
        <v>0</v>
      </c>
      <c r="AA2455" t="b">
        <v>0</v>
      </c>
      <c r="AC2455" s="82"/>
      <c r="AD2455" t="str">
        <f t="shared" si="71"/>
        <v/>
      </c>
      <c r="AE2455" t="str">
        <f t="shared" si="72"/>
        <v/>
      </c>
    </row>
    <row r="2456">
      <c r="D2456" s="226"/>
      <c r="H2456" s="474"/>
      <c r="I2456" s="474"/>
      <c r="J2456" s="475"/>
      <c r="K2456" s="275"/>
      <c r="L2456" s="82"/>
      <c r="M2456" s="672"/>
      <c r="N2456" s="242"/>
      <c r="O2456" s="242"/>
      <c r="P2456" s="242"/>
      <c r="Q2456" s="242"/>
      <c r="R2456" s="539"/>
      <c r="S2456" s="540"/>
      <c r="T2456" s="543"/>
      <c r="U2456" s="673" t="b">
        <v>0</v>
      </c>
      <c r="Z2456" t="b">
        <v>0</v>
      </c>
      <c r="AA2456" t="b">
        <v>0</v>
      </c>
      <c r="AC2456" s="82"/>
      <c r="AD2456" t="str">
        <f t="shared" si="71"/>
        <v/>
      </c>
      <c r="AE2456" t="str">
        <f t="shared" si="72"/>
        <v/>
      </c>
    </row>
    <row r="2457">
      <c r="D2457" s="226"/>
      <c r="H2457" s="474"/>
      <c r="I2457" s="474"/>
      <c r="J2457" s="475"/>
      <c r="K2457" s="275"/>
      <c r="L2457" s="82"/>
      <c r="M2457" s="672"/>
      <c r="N2457" s="242"/>
      <c r="O2457" s="242"/>
      <c r="P2457" s="242"/>
      <c r="Q2457" s="242"/>
      <c r="R2457" s="539"/>
      <c r="S2457" s="540"/>
      <c r="T2457" s="543"/>
      <c r="U2457" s="673" t="b">
        <v>0</v>
      </c>
      <c r="Z2457" t="b">
        <v>0</v>
      </c>
      <c r="AA2457" t="b">
        <v>0</v>
      </c>
      <c r="AC2457" s="82"/>
      <c r="AD2457" t="str">
        <f t="shared" si="71"/>
        <v/>
      </c>
      <c r="AE2457" t="str">
        <f t="shared" si="72"/>
        <v/>
      </c>
    </row>
    <row r="2458">
      <c r="D2458" s="226"/>
      <c r="H2458" s="474"/>
      <c r="I2458" s="474"/>
      <c r="J2458" s="475"/>
      <c r="K2458" s="275"/>
      <c r="L2458" s="82"/>
      <c r="M2458" s="672"/>
      <c r="N2458" s="242"/>
      <c r="O2458" s="242"/>
      <c r="P2458" s="242"/>
      <c r="Q2458" s="242"/>
      <c r="R2458" s="539"/>
      <c r="S2458" s="540"/>
      <c r="T2458" s="543"/>
      <c r="U2458" s="673" t="b">
        <v>0</v>
      </c>
      <c r="Z2458" t="b">
        <v>0</v>
      </c>
      <c r="AA2458" t="b">
        <v>0</v>
      </c>
      <c r="AC2458" s="82"/>
      <c r="AD2458" t="str">
        <f t="shared" si="71"/>
        <v/>
      </c>
      <c r="AE2458" t="str">
        <f t="shared" si="72"/>
        <v/>
      </c>
    </row>
    <row r="2459">
      <c r="D2459" s="226"/>
      <c r="H2459" s="474"/>
      <c r="I2459" s="474"/>
      <c r="J2459" s="475"/>
      <c r="K2459" s="275"/>
      <c r="L2459" s="82"/>
      <c r="M2459" s="672"/>
      <c r="N2459" s="242"/>
      <c r="O2459" s="242"/>
      <c r="P2459" s="242"/>
      <c r="Q2459" s="242"/>
      <c r="R2459" s="539"/>
      <c r="S2459" s="540"/>
      <c r="T2459" s="543"/>
      <c r="U2459" s="673" t="b">
        <v>0</v>
      </c>
      <c r="Z2459" t="b">
        <v>0</v>
      </c>
      <c r="AA2459" t="b">
        <v>0</v>
      </c>
      <c r="AC2459" s="82"/>
      <c r="AD2459" t="str">
        <f t="shared" si="71"/>
        <v/>
      </c>
      <c r="AE2459" t="str">
        <f t="shared" si="72"/>
        <v/>
      </c>
    </row>
    <row r="2460">
      <c r="D2460" s="226"/>
      <c r="H2460" s="474"/>
      <c r="I2460" s="474"/>
      <c r="J2460" s="475"/>
      <c r="K2460" s="275"/>
      <c r="L2460" s="82"/>
      <c r="M2460" s="672"/>
      <c r="N2460" s="242"/>
      <c r="O2460" s="242"/>
      <c r="P2460" s="242"/>
      <c r="Q2460" s="242"/>
      <c r="R2460" s="539"/>
      <c r="S2460" s="540"/>
      <c r="T2460" s="543"/>
      <c r="U2460" s="673" t="b">
        <v>0</v>
      </c>
      <c r="Z2460" t="b">
        <v>0</v>
      </c>
      <c r="AA2460" t="b">
        <v>0</v>
      </c>
      <c r="AC2460" s="82"/>
      <c r="AD2460" t="str">
        <f t="shared" si="71"/>
        <v/>
      </c>
      <c r="AE2460" t="str">
        <f t="shared" si="72"/>
        <v/>
      </c>
    </row>
    <row r="2461">
      <c r="D2461" s="226"/>
      <c r="H2461" s="474"/>
      <c r="I2461" s="474"/>
      <c r="J2461" s="475"/>
      <c r="K2461" s="275"/>
      <c r="L2461" s="82"/>
      <c r="M2461" s="672"/>
      <c r="N2461" s="242"/>
      <c r="O2461" s="242"/>
      <c r="P2461" s="242"/>
      <c r="Q2461" s="242"/>
      <c r="R2461" s="539"/>
      <c r="S2461" s="540"/>
      <c r="T2461" s="543"/>
      <c r="U2461" s="673" t="b">
        <v>0</v>
      </c>
      <c r="Z2461" t="b">
        <v>0</v>
      </c>
      <c r="AA2461" t="b">
        <v>0</v>
      </c>
      <c r="AC2461" s="82"/>
      <c r="AD2461" t="str">
        <f t="shared" si="71"/>
        <v/>
      </c>
      <c r="AE2461" t="str">
        <f t="shared" si="72"/>
        <v/>
      </c>
    </row>
    <row r="2462">
      <c r="D2462" s="226"/>
      <c r="H2462" s="474"/>
      <c r="I2462" s="474"/>
      <c r="J2462" s="475"/>
      <c r="K2462" s="275"/>
      <c r="L2462" s="82"/>
      <c r="M2462" s="672"/>
      <c r="N2462" s="242"/>
      <c r="O2462" s="242"/>
      <c r="P2462" s="242"/>
      <c r="Q2462" s="242"/>
      <c r="R2462" s="539"/>
      <c r="S2462" s="540"/>
      <c r="T2462" s="543"/>
      <c r="U2462" s="673" t="b">
        <v>0</v>
      </c>
      <c r="Z2462" t="b">
        <v>0</v>
      </c>
      <c r="AA2462" t="b">
        <v>0</v>
      </c>
      <c r="AC2462" s="82"/>
      <c r="AD2462" t="str">
        <f t="shared" si="71"/>
        <v/>
      </c>
      <c r="AE2462" t="str">
        <f t="shared" si="72"/>
        <v/>
      </c>
    </row>
    <row r="2463">
      <c r="D2463" s="226"/>
      <c r="H2463" s="474"/>
      <c r="I2463" s="474"/>
      <c r="J2463" s="475"/>
      <c r="K2463" s="275"/>
      <c r="L2463" s="82"/>
      <c r="M2463" s="672"/>
      <c r="N2463" s="242"/>
      <c r="O2463" s="242"/>
      <c r="P2463" s="242"/>
      <c r="Q2463" s="242"/>
      <c r="R2463" s="539"/>
      <c r="S2463" s="540"/>
      <c r="T2463" s="543"/>
      <c r="U2463" s="673" t="b">
        <v>0</v>
      </c>
      <c r="Z2463" t="b">
        <v>0</v>
      </c>
      <c r="AA2463" t="b">
        <v>0</v>
      </c>
      <c r="AC2463" s="82"/>
      <c r="AD2463" t="str">
        <f t="shared" si="71"/>
        <v/>
      </c>
      <c r="AE2463" t="str">
        <f t="shared" si="72"/>
        <v/>
      </c>
    </row>
    <row r="2464">
      <c r="D2464" s="226"/>
      <c r="H2464" s="474"/>
      <c r="I2464" s="474"/>
      <c r="J2464" s="475"/>
      <c r="K2464" s="275"/>
      <c r="L2464" s="82"/>
      <c r="M2464" s="672"/>
      <c r="N2464" s="242"/>
      <c r="O2464" s="242"/>
      <c r="P2464" s="242"/>
      <c r="Q2464" s="242"/>
      <c r="R2464" s="539"/>
      <c r="S2464" s="540"/>
      <c r="T2464" s="543"/>
      <c r="U2464" s="673" t="b">
        <v>0</v>
      </c>
      <c r="Z2464" t="b">
        <v>0</v>
      </c>
      <c r="AA2464" t="b">
        <v>0</v>
      </c>
      <c r="AC2464" s="82"/>
      <c r="AD2464" t="str">
        <f t="shared" si="71"/>
        <v/>
      </c>
      <c r="AE2464" t="str">
        <f t="shared" si="72"/>
        <v/>
      </c>
    </row>
    <row r="2465">
      <c r="D2465" s="226"/>
      <c r="H2465" s="474"/>
      <c r="I2465" s="474"/>
      <c r="J2465" s="475"/>
      <c r="K2465" s="275"/>
      <c r="L2465" s="82"/>
      <c r="M2465" s="672"/>
      <c r="N2465" s="242"/>
      <c r="O2465" s="242"/>
      <c r="P2465" s="242"/>
      <c r="Q2465" s="242"/>
      <c r="R2465" s="539"/>
      <c r="S2465" s="540"/>
      <c r="T2465" s="543"/>
      <c r="U2465" s="673" t="b">
        <v>0</v>
      </c>
      <c r="Z2465" t="b">
        <v>0</v>
      </c>
      <c r="AA2465" t="b">
        <v>0</v>
      </c>
      <c r="AC2465" s="82"/>
      <c r="AD2465" t="str">
        <f t="shared" si="71"/>
        <v/>
      </c>
      <c r="AE2465" t="str">
        <f t="shared" si="72"/>
        <v/>
      </c>
    </row>
    <row r="2466">
      <c r="D2466" s="226"/>
      <c r="H2466" s="474"/>
      <c r="I2466" s="474"/>
      <c r="J2466" s="475"/>
      <c r="K2466" s="275"/>
      <c r="L2466" s="82"/>
      <c r="M2466" s="672"/>
      <c r="N2466" s="242"/>
      <c r="O2466" s="242"/>
      <c r="P2466" s="242"/>
      <c r="Q2466" s="242"/>
      <c r="R2466" s="539"/>
      <c r="S2466" s="540"/>
      <c r="T2466" s="543"/>
      <c r="U2466" s="673" t="b">
        <v>0</v>
      </c>
      <c r="Z2466" t="b">
        <v>0</v>
      </c>
      <c r="AA2466" t="b">
        <v>0</v>
      </c>
      <c r="AC2466" s="82"/>
      <c r="AD2466" t="str">
        <f t="shared" si="71"/>
        <v/>
      </c>
      <c r="AE2466" t="str">
        <f t="shared" si="72"/>
        <v/>
      </c>
    </row>
    <row r="2467">
      <c r="D2467" s="226"/>
      <c r="H2467" s="474"/>
      <c r="I2467" s="474"/>
      <c r="J2467" s="475"/>
      <c r="K2467" s="275"/>
      <c r="L2467" s="82"/>
      <c r="M2467" s="672"/>
      <c r="N2467" s="242"/>
      <c r="O2467" s="242"/>
      <c r="P2467" s="242"/>
      <c r="Q2467" s="242"/>
      <c r="R2467" s="539"/>
      <c r="S2467" s="540"/>
      <c r="T2467" s="543"/>
      <c r="U2467" s="673" t="b">
        <v>0</v>
      </c>
      <c r="Z2467" t="b">
        <v>0</v>
      </c>
      <c r="AA2467" t="b">
        <v>0</v>
      </c>
      <c r="AC2467" s="82"/>
      <c r="AD2467" t="str">
        <f t="shared" si="71"/>
        <v/>
      </c>
      <c r="AE2467" t="str">
        <f t="shared" si="72"/>
        <v/>
      </c>
    </row>
    <row r="2468">
      <c r="D2468" s="226"/>
      <c r="H2468" s="474"/>
      <c r="I2468" s="474"/>
      <c r="J2468" s="475"/>
      <c r="K2468" s="275"/>
      <c r="L2468" s="82"/>
      <c r="M2468" s="672"/>
      <c r="N2468" s="242"/>
      <c r="O2468" s="242"/>
      <c r="P2468" s="242"/>
      <c r="Q2468" s="242"/>
      <c r="R2468" s="539"/>
      <c r="S2468" s="540"/>
      <c r="T2468" s="543"/>
      <c r="U2468" s="673" t="b">
        <v>0</v>
      </c>
      <c r="Z2468" t="b">
        <v>0</v>
      </c>
      <c r="AA2468" t="b">
        <v>0</v>
      </c>
      <c r="AC2468" s="82"/>
      <c r="AD2468" t="str">
        <f t="shared" si="71"/>
        <v/>
      </c>
      <c r="AE2468" t="str">
        <f t="shared" si="72"/>
        <v/>
      </c>
    </row>
    <row r="2469">
      <c r="D2469" s="226"/>
      <c r="H2469" s="474"/>
      <c r="I2469" s="474"/>
      <c r="J2469" s="475"/>
      <c r="K2469" s="275"/>
      <c r="L2469" s="82"/>
      <c r="M2469" s="672"/>
      <c r="N2469" s="242"/>
      <c r="O2469" s="242"/>
      <c r="P2469" s="242"/>
      <c r="Q2469" s="242"/>
      <c r="R2469" s="539"/>
      <c r="S2469" s="540"/>
      <c r="T2469" s="543"/>
      <c r="U2469" s="673" t="b">
        <v>0</v>
      </c>
      <c r="Z2469" t="b">
        <v>0</v>
      </c>
      <c r="AA2469" t="b">
        <v>0</v>
      </c>
      <c r="AC2469" s="82"/>
      <c r="AD2469" t="str">
        <f t="shared" si="71"/>
        <v/>
      </c>
      <c r="AE2469" t="str">
        <f t="shared" si="72"/>
        <v/>
      </c>
    </row>
    <row r="2470">
      <c r="D2470" s="226"/>
      <c r="H2470" s="474"/>
      <c r="I2470" s="474"/>
      <c r="J2470" s="475"/>
      <c r="K2470" s="275"/>
      <c r="L2470" s="82"/>
      <c r="M2470" s="672"/>
      <c r="N2470" s="242"/>
      <c r="O2470" s="242"/>
      <c r="P2470" s="242"/>
      <c r="Q2470" s="242"/>
      <c r="R2470" s="539"/>
      <c r="S2470" s="540"/>
      <c r="T2470" s="543"/>
      <c r="U2470" s="673" t="b">
        <v>0</v>
      </c>
      <c r="Z2470" t="b">
        <v>0</v>
      </c>
      <c r="AA2470" t="b">
        <v>0</v>
      </c>
      <c r="AC2470" s="82"/>
      <c r="AD2470" t="str">
        <f t="shared" si="71"/>
        <v/>
      </c>
      <c r="AE2470" t="str">
        <f t="shared" si="72"/>
        <v/>
      </c>
    </row>
    <row r="2471">
      <c r="D2471" s="226"/>
      <c r="H2471" s="474"/>
      <c r="I2471" s="474"/>
      <c r="J2471" s="475"/>
      <c r="K2471" s="275"/>
      <c r="L2471" s="82"/>
      <c r="M2471" s="672"/>
      <c r="N2471" s="242"/>
      <c r="O2471" s="242"/>
      <c r="P2471" s="242"/>
      <c r="Q2471" s="242"/>
      <c r="R2471" s="539"/>
      <c r="S2471" s="540"/>
      <c r="T2471" s="543"/>
      <c r="U2471" s="673" t="b">
        <v>0</v>
      </c>
      <c r="Z2471" t="b">
        <v>0</v>
      </c>
      <c r="AA2471" t="b">
        <v>0</v>
      </c>
      <c r="AC2471" s="82"/>
      <c r="AD2471" t="str">
        <f t="shared" si="71"/>
        <v/>
      </c>
      <c r="AE2471" t="str">
        <f t="shared" si="72"/>
        <v/>
      </c>
    </row>
    <row r="2472">
      <c r="D2472" s="226"/>
      <c r="H2472" s="474"/>
      <c r="I2472" s="474"/>
      <c r="J2472" s="475"/>
      <c r="K2472" s="275"/>
      <c r="L2472" s="82"/>
      <c r="M2472" s="672"/>
      <c r="N2472" s="242"/>
      <c r="O2472" s="242"/>
      <c r="P2472" s="242"/>
      <c r="Q2472" s="242"/>
      <c r="R2472" s="539"/>
      <c r="S2472" s="540"/>
      <c r="T2472" s="543"/>
      <c r="U2472" s="673" t="b">
        <v>0</v>
      </c>
      <c r="Z2472" t="b">
        <v>0</v>
      </c>
      <c r="AA2472" t="b">
        <v>0</v>
      </c>
      <c r="AC2472" s="82"/>
      <c r="AD2472" t="str">
        <f t="shared" si="71"/>
        <v/>
      </c>
      <c r="AE2472" t="str">
        <f t="shared" si="72"/>
        <v/>
      </c>
    </row>
    <row r="2473">
      <c r="D2473" s="226"/>
      <c r="H2473" s="474"/>
      <c r="I2473" s="474"/>
      <c r="J2473" s="475"/>
      <c r="K2473" s="275"/>
      <c r="L2473" s="82"/>
      <c r="M2473" s="672"/>
      <c r="N2473" s="242"/>
      <c r="O2473" s="242"/>
      <c r="P2473" s="242"/>
      <c r="Q2473" s="242"/>
      <c r="R2473" s="539"/>
      <c r="S2473" s="540"/>
      <c r="T2473" s="543"/>
      <c r="U2473" s="673" t="b">
        <v>0</v>
      </c>
      <c r="Z2473" t="b">
        <v>0</v>
      </c>
      <c r="AA2473" t="b">
        <v>0</v>
      </c>
      <c r="AC2473" s="82"/>
      <c r="AD2473" t="str">
        <f t="shared" si="71"/>
        <v/>
      </c>
      <c r="AE2473" t="str">
        <f t="shared" si="72"/>
        <v/>
      </c>
    </row>
    <row r="2474">
      <c r="D2474" s="226"/>
      <c r="H2474" s="474"/>
      <c r="I2474" s="474"/>
      <c r="J2474" s="475"/>
      <c r="K2474" s="275"/>
      <c r="L2474" s="82"/>
      <c r="M2474" s="672"/>
      <c r="N2474" s="242"/>
      <c r="O2474" s="242"/>
      <c r="P2474" s="242"/>
      <c r="Q2474" s="242"/>
      <c r="R2474" s="539"/>
      <c r="S2474" s="540"/>
      <c r="T2474" s="543"/>
      <c r="U2474" s="673" t="b">
        <v>0</v>
      </c>
      <c r="Z2474" t="b">
        <v>0</v>
      </c>
      <c r="AA2474" t="b">
        <v>0</v>
      </c>
      <c r="AC2474" s="82"/>
      <c r="AD2474" t="str">
        <f t="shared" si="71"/>
        <v/>
      </c>
      <c r="AE2474" t="str">
        <f t="shared" si="72"/>
        <v/>
      </c>
    </row>
    <row r="2475">
      <c r="D2475" s="226"/>
      <c r="H2475" s="474"/>
      <c r="I2475" s="474"/>
      <c r="J2475" s="475"/>
      <c r="K2475" s="275"/>
      <c r="L2475" s="82"/>
      <c r="M2475" s="672"/>
      <c r="N2475" s="242"/>
      <c r="O2475" s="242"/>
      <c r="P2475" s="242"/>
      <c r="Q2475" s="242"/>
      <c r="R2475" s="539"/>
      <c r="S2475" s="540"/>
      <c r="T2475" s="543"/>
      <c r="U2475" s="673" t="b">
        <v>0</v>
      </c>
      <c r="Z2475" t="b">
        <v>0</v>
      </c>
      <c r="AA2475" t="b">
        <v>0</v>
      </c>
      <c r="AC2475" s="82"/>
      <c r="AD2475" t="str">
        <f t="shared" si="71"/>
        <v/>
      </c>
      <c r="AE2475" t="str">
        <f t="shared" si="72"/>
        <v/>
      </c>
    </row>
    <row r="2476">
      <c r="D2476" s="226"/>
      <c r="H2476" s="474"/>
      <c r="I2476" s="474"/>
      <c r="J2476" s="475"/>
      <c r="K2476" s="275"/>
      <c r="L2476" s="82"/>
      <c r="M2476" s="672"/>
      <c r="N2476" s="242"/>
      <c r="O2476" s="242"/>
      <c r="P2476" s="242"/>
      <c r="Q2476" s="242"/>
      <c r="R2476" s="539"/>
      <c r="S2476" s="540"/>
      <c r="T2476" s="543"/>
      <c r="U2476" s="673" t="b">
        <v>0</v>
      </c>
      <c r="Z2476" t="b">
        <v>0</v>
      </c>
      <c r="AA2476" t="b">
        <v>0</v>
      </c>
      <c r="AC2476" s="82"/>
      <c r="AD2476" t="str">
        <f t="shared" si="71"/>
        <v/>
      </c>
      <c r="AE2476" t="str">
        <f t="shared" si="72"/>
        <v/>
      </c>
    </row>
    <row r="2477">
      <c r="D2477" s="226"/>
      <c r="H2477" s="474"/>
      <c r="I2477" s="474"/>
      <c r="J2477" s="475"/>
      <c r="K2477" s="275"/>
      <c r="L2477" s="82"/>
      <c r="M2477" s="672"/>
      <c r="N2477" s="242"/>
      <c r="O2477" s="242"/>
      <c r="P2477" s="242"/>
      <c r="Q2477" s="242"/>
      <c r="R2477" s="539"/>
      <c r="S2477" s="540"/>
      <c r="T2477" s="543"/>
      <c r="U2477" s="673" t="b">
        <v>0</v>
      </c>
      <c r="Z2477" t="b">
        <v>0</v>
      </c>
      <c r="AA2477" t="b">
        <v>0</v>
      </c>
      <c r="AC2477" s="82"/>
      <c r="AD2477" t="str">
        <f t="shared" si="71"/>
        <v/>
      </c>
      <c r="AE2477" t="str">
        <f t="shared" si="72"/>
        <v/>
      </c>
    </row>
    <row r="2478">
      <c r="D2478" s="226"/>
      <c r="H2478" s="474"/>
      <c r="I2478" s="474"/>
      <c r="J2478" s="475"/>
      <c r="K2478" s="275"/>
      <c r="L2478" s="82"/>
      <c r="M2478" s="672"/>
      <c r="N2478" s="242"/>
      <c r="O2478" s="242"/>
      <c r="P2478" s="242"/>
      <c r="Q2478" s="242"/>
      <c r="R2478" s="539"/>
      <c r="S2478" s="540"/>
      <c r="T2478" s="543"/>
      <c r="U2478" s="673" t="b">
        <v>0</v>
      </c>
      <c r="Z2478" t="b">
        <v>0</v>
      </c>
      <c r="AA2478" t="b">
        <v>0</v>
      </c>
      <c r="AC2478" s="82"/>
      <c r="AD2478" t="str">
        <f t="shared" si="71"/>
        <v/>
      </c>
      <c r="AE2478" t="str">
        <f t="shared" si="72"/>
        <v/>
      </c>
    </row>
    <row r="2479">
      <c r="D2479" s="226"/>
      <c r="H2479" s="474"/>
      <c r="I2479" s="474"/>
      <c r="J2479" s="475"/>
      <c r="K2479" s="275"/>
      <c r="L2479" s="82"/>
      <c r="M2479" s="672"/>
      <c r="N2479" s="242"/>
      <c r="O2479" s="242"/>
      <c r="P2479" s="242"/>
      <c r="Q2479" s="242"/>
      <c r="R2479" s="539"/>
      <c r="S2479" s="540"/>
      <c r="T2479" s="543"/>
      <c r="U2479" s="673" t="b">
        <v>0</v>
      </c>
      <c r="Z2479" t="b">
        <v>0</v>
      </c>
      <c r="AA2479" t="b">
        <v>0</v>
      </c>
      <c r="AC2479" s="82"/>
      <c r="AD2479" t="str">
        <f t="shared" si="71"/>
        <v/>
      </c>
      <c r="AE2479" t="str">
        <f t="shared" si="72"/>
        <v/>
      </c>
    </row>
    <row r="2480">
      <c r="D2480" s="226"/>
      <c r="H2480" s="474"/>
      <c r="I2480" s="474"/>
      <c r="J2480" s="475"/>
      <c r="K2480" s="275"/>
      <c r="L2480" s="82"/>
      <c r="M2480" s="672"/>
      <c r="N2480" s="242"/>
      <c r="O2480" s="242"/>
      <c r="P2480" s="242"/>
      <c r="Q2480" s="242"/>
      <c r="R2480" s="539"/>
      <c r="S2480" s="540"/>
      <c r="T2480" s="543"/>
      <c r="U2480" s="673" t="b">
        <v>0</v>
      </c>
      <c r="Z2480" t="b">
        <v>0</v>
      </c>
      <c r="AA2480" t="b">
        <v>0</v>
      </c>
      <c r="AC2480" s="82"/>
      <c r="AD2480" t="str">
        <f t="shared" si="71"/>
        <v/>
      </c>
      <c r="AE2480" t="str">
        <f t="shared" si="72"/>
        <v/>
      </c>
    </row>
    <row r="2481">
      <c r="D2481" s="226"/>
      <c r="H2481" s="474"/>
      <c r="I2481" s="474"/>
      <c r="J2481" s="475"/>
      <c r="K2481" s="275"/>
      <c r="L2481" s="82"/>
      <c r="M2481" s="672"/>
      <c r="N2481" s="242"/>
      <c r="O2481" s="242"/>
      <c r="P2481" s="242"/>
      <c r="Q2481" s="242"/>
      <c r="R2481" s="539"/>
      <c r="S2481" s="540"/>
      <c r="T2481" s="543"/>
      <c r="U2481" s="673" t="b">
        <v>0</v>
      </c>
      <c r="Z2481" t="b">
        <v>0</v>
      </c>
      <c r="AA2481" t="b">
        <v>0</v>
      </c>
      <c r="AC2481" s="82"/>
      <c r="AD2481" t="str">
        <f t="shared" si="71"/>
        <v/>
      </c>
      <c r="AE2481" t="str">
        <f t="shared" si="72"/>
        <v/>
      </c>
    </row>
    <row r="2482">
      <c r="D2482" s="226"/>
      <c r="H2482" s="474"/>
      <c r="I2482" s="474"/>
      <c r="J2482" s="475"/>
      <c r="K2482" s="275"/>
      <c r="L2482" s="82"/>
      <c r="M2482" s="672"/>
      <c r="N2482" s="242"/>
      <c r="O2482" s="242"/>
      <c r="P2482" s="242"/>
      <c r="Q2482" s="242"/>
      <c r="R2482" s="539"/>
      <c r="S2482" s="540"/>
      <c r="T2482" s="543"/>
      <c r="U2482" s="673" t="b">
        <v>0</v>
      </c>
      <c r="Z2482" t="b">
        <v>0</v>
      </c>
      <c r="AA2482" t="b">
        <v>0</v>
      </c>
      <c r="AC2482" s="82"/>
      <c r="AD2482" t="str">
        <f t="shared" si="71"/>
        <v/>
      </c>
      <c r="AE2482" t="str">
        <f t="shared" si="72"/>
        <v/>
      </c>
    </row>
    <row r="2483">
      <c r="D2483" s="226"/>
      <c r="H2483" s="474"/>
      <c r="I2483" s="474"/>
      <c r="J2483" s="475"/>
      <c r="K2483" s="275"/>
      <c r="L2483" s="82"/>
      <c r="M2483" s="672"/>
      <c r="N2483" s="242"/>
      <c r="O2483" s="242"/>
      <c r="P2483" s="242"/>
      <c r="Q2483" s="242"/>
      <c r="R2483" s="539"/>
      <c r="S2483" s="540"/>
      <c r="T2483" s="543"/>
      <c r="U2483" s="673" t="b">
        <v>0</v>
      </c>
      <c r="Z2483" t="b">
        <v>0</v>
      </c>
      <c r="AA2483" t="b">
        <v>0</v>
      </c>
      <c r="AC2483" s="82"/>
      <c r="AD2483" t="str">
        <f t="shared" si="71"/>
        <v/>
      </c>
      <c r="AE2483" t="str">
        <f t="shared" si="72"/>
        <v/>
      </c>
    </row>
    <row r="2484">
      <c r="D2484" s="226"/>
      <c r="H2484" s="474"/>
      <c r="I2484" s="474"/>
      <c r="J2484" s="475"/>
      <c r="K2484" s="275"/>
      <c r="L2484" s="82"/>
      <c r="M2484" s="672"/>
      <c r="N2484" s="242"/>
      <c r="O2484" s="242"/>
      <c r="P2484" s="242"/>
      <c r="Q2484" s="242"/>
      <c r="R2484" s="539"/>
      <c r="S2484" s="540"/>
      <c r="T2484" s="543"/>
      <c r="U2484" s="673" t="b">
        <v>0</v>
      </c>
      <c r="Z2484" t="b">
        <v>0</v>
      </c>
      <c r="AA2484" t="b">
        <v>0</v>
      </c>
      <c r="AC2484" s="82"/>
      <c r="AD2484" t="str">
        <f t="shared" si="71"/>
        <v/>
      </c>
      <c r="AE2484" t="str">
        <f t="shared" si="72"/>
        <v/>
      </c>
    </row>
    <row r="2485">
      <c r="D2485" s="226"/>
      <c r="H2485" s="474"/>
      <c r="I2485" s="474"/>
      <c r="J2485" s="475"/>
      <c r="K2485" s="275"/>
      <c r="L2485" s="82"/>
      <c r="M2485" s="672"/>
      <c r="N2485" s="242"/>
      <c r="O2485" s="242"/>
      <c r="P2485" s="242"/>
      <c r="Q2485" s="242"/>
      <c r="R2485" s="539"/>
      <c r="S2485" s="540"/>
      <c r="T2485" s="543"/>
      <c r="U2485" s="673" t="b">
        <v>0</v>
      </c>
      <c r="Z2485" t="b">
        <v>0</v>
      </c>
      <c r="AA2485" t="b">
        <v>0</v>
      </c>
      <c r="AC2485" s="82"/>
      <c r="AD2485" t="str">
        <f t="shared" si="71"/>
        <v/>
      </c>
      <c r="AE2485" t="str">
        <f t="shared" si="72"/>
        <v/>
      </c>
    </row>
    <row r="2486">
      <c r="D2486" s="226"/>
      <c r="H2486" s="474"/>
      <c r="I2486" s="474"/>
      <c r="J2486" s="475"/>
      <c r="K2486" s="275"/>
      <c r="L2486" s="82"/>
      <c r="M2486" s="672"/>
      <c r="N2486" s="242"/>
      <c r="O2486" s="242"/>
      <c r="P2486" s="242"/>
      <c r="Q2486" s="242"/>
      <c r="R2486" s="539"/>
      <c r="S2486" s="540"/>
      <c r="T2486" s="543"/>
      <c r="U2486" s="673" t="b">
        <v>0</v>
      </c>
      <c r="Z2486" t="b">
        <v>0</v>
      </c>
      <c r="AA2486" t="b">
        <v>0</v>
      </c>
      <c r="AC2486" s="82"/>
      <c r="AD2486" t="str">
        <f t="shared" si="71"/>
        <v/>
      </c>
      <c r="AE2486" t="str">
        <f t="shared" si="72"/>
        <v/>
      </c>
    </row>
    <row r="2487">
      <c r="D2487" s="226"/>
      <c r="H2487" s="474"/>
      <c r="I2487" s="474"/>
      <c r="J2487" s="475"/>
      <c r="K2487" s="275"/>
      <c r="L2487" s="82"/>
      <c r="M2487" s="672"/>
      <c r="N2487" s="242"/>
      <c r="O2487" s="242"/>
      <c r="P2487" s="242"/>
      <c r="Q2487" s="242"/>
      <c r="R2487" s="539"/>
      <c r="S2487" s="540"/>
      <c r="T2487" s="543"/>
      <c r="U2487" s="673" t="b">
        <v>0</v>
      </c>
      <c r="Z2487" t="b">
        <v>0</v>
      </c>
      <c r="AA2487" t="b">
        <v>0</v>
      </c>
      <c r="AC2487" s="82"/>
      <c r="AD2487" t="str">
        <f t="shared" si="71"/>
        <v/>
      </c>
      <c r="AE2487" t="str">
        <f t="shared" si="72"/>
        <v/>
      </c>
    </row>
    <row r="2488">
      <c r="D2488" s="226"/>
      <c r="H2488" s="474"/>
      <c r="I2488" s="474"/>
      <c r="J2488" s="475"/>
      <c r="K2488" s="275"/>
      <c r="L2488" s="82"/>
      <c r="M2488" s="672"/>
      <c r="N2488" s="242"/>
      <c r="O2488" s="242"/>
      <c r="P2488" s="242"/>
      <c r="Q2488" s="242"/>
      <c r="R2488" s="539"/>
      <c r="S2488" s="540"/>
      <c r="T2488" s="543"/>
      <c r="U2488" s="673" t="b">
        <v>0</v>
      </c>
      <c r="Z2488" t="b">
        <v>0</v>
      </c>
      <c r="AA2488" t="b">
        <v>0</v>
      </c>
      <c r="AC2488" s="82"/>
      <c r="AD2488" t="str">
        <f t="shared" si="71"/>
        <v/>
      </c>
      <c r="AE2488" t="str">
        <f t="shared" si="72"/>
        <v/>
      </c>
    </row>
    <row r="2489">
      <c r="D2489" s="226"/>
      <c r="H2489" s="474"/>
      <c r="I2489" s="474"/>
      <c r="J2489" s="475"/>
      <c r="K2489" s="275"/>
      <c r="L2489" s="82"/>
      <c r="M2489" s="672"/>
      <c r="N2489" s="242"/>
      <c r="O2489" s="242"/>
      <c r="P2489" s="242"/>
      <c r="Q2489" s="242"/>
      <c r="R2489" s="539"/>
      <c r="S2489" s="540"/>
      <c r="T2489" s="543"/>
      <c r="U2489" s="673" t="b">
        <v>0</v>
      </c>
      <c r="Z2489" t="b">
        <v>0</v>
      </c>
      <c r="AA2489" t="b">
        <v>0</v>
      </c>
      <c r="AC2489" s="82"/>
      <c r="AD2489" t="str">
        <f t="shared" si="71"/>
        <v/>
      </c>
      <c r="AE2489" t="str">
        <f t="shared" si="72"/>
        <v/>
      </c>
    </row>
    <row r="2490">
      <c r="D2490" s="226"/>
      <c r="H2490" s="474"/>
      <c r="I2490" s="474"/>
      <c r="J2490" s="475"/>
      <c r="K2490" s="275"/>
      <c r="L2490" s="82"/>
      <c r="M2490" s="672"/>
      <c r="N2490" s="242"/>
      <c r="O2490" s="242"/>
      <c r="P2490" s="242"/>
      <c r="Q2490" s="242"/>
      <c r="R2490" s="539"/>
      <c r="S2490" s="540"/>
      <c r="T2490" s="543"/>
      <c r="U2490" s="673" t="b">
        <v>0</v>
      </c>
      <c r="Z2490" t="b">
        <v>0</v>
      </c>
      <c r="AA2490" t="b">
        <v>0</v>
      </c>
      <c r="AC2490" s="82"/>
      <c r="AD2490" t="str">
        <f t="shared" si="71"/>
        <v/>
      </c>
      <c r="AE2490" t="str">
        <f t="shared" si="72"/>
        <v/>
      </c>
    </row>
    <row r="2491">
      <c r="D2491" s="226"/>
      <c r="H2491" s="474"/>
      <c r="I2491" s="474"/>
      <c r="J2491" s="475"/>
      <c r="K2491" s="275"/>
      <c r="L2491" s="82"/>
      <c r="M2491" s="672"/>
      <c r="N2491" s="242"/>
      <c r="O2491" s="242"/>
      <c r="P2491" s="242"/>
      <c r="Q2491" s="242"/>
      <c r="R2491" s="539"/>
      <c r="S2491" s="540"/>
      <c r="T2491" s="543"/>
      <c r="U2491" s="673" t="b">
        <v>0</v>
      </c>
      <c r="Z2491" t="b">
        <v>0</v>
      </c>
      <c r="AA2491" t="b">
        <v>0</v>
      </c>
      <c r="AC2491" s="82"/>
      <c r="AD2491" t="str">
        <f t="shared" si="71"/>
        <v/>
      </c>
      <c r="AE2491" t="str">
        <f t="shared" si="72"/>
        <v/>
      </c>
    </row>
    <row r="2492">
      <c r="D2492" s="226"/>
      <c r="H2492" s="474"/>
      <c r="I2492" s="474"/>
      <c r="J2492" s="475"/>
      <c r="K2492" s="275"/>
      <c r="L2492" s="82"/>
      <c r="M2492" s="672"/>
      <c r="N2492" s="242"/>
      <c r="O2492" s="242"/>
      <c r="P2492" s="242"/>
      <c r="Q2492" s="242"/>
      <c r="R2492" s="539"/>
      <c r="S2492" s="540"/>
      <c r="T2492" s="543"/>
      <c r="U2492" s="673" t="b">
        <v>0</v>
      </c>
      <c r="Z2492" t="b">
        <v>0</v>
      </c>
      <c r="AA2492" t="b">
        <v>0</v>
      </c>
      <c r="AC2492" s="82"/>
      <c r="AD2492" t="str">
        <f t="shared" si="71"/>
        <v/>
      </c>
      <c r="AE2492" t="str">
        <f t="shared" si="72"/>
        <v/>
      </c>
    </row>
    <row r="2493">
      <c r="D2493" s="226"/>
      <c r="H2493" s="474"/>
      <c r="I2493" s="474"/>
      <c r="J2493" s="475"/>
      <c r="K2493" s="275"/>
      <c r="L2493" s="82"/>
      <c r="M2493" s="672"/>
      <c r="N2493" s="242"/>
      <c r="O2493" s="242"/>
      <c r="P2493" s="242"/>
      <c r="Q2493" s="242"/>
      <c r="R2493" s="539"/>
      <c r="S2493" s="540"/>
      <c r="T2493" s="543"/>
      <c r="U2493" s="673" t="b">
        <v>0</v>
      </c>
      <c r="Z2493" t="b">
        <v>0</v>
      </c>
      <c r="AA2493" t="b">
        <v>0</v>
      </c>
      <c r="AC2493" s="82"/>
      <c r="AD2493" t="str">
        <f t="shared" si="71"/>
        <v/>
      </c>
      <c r="AE2493" t="str">
        <f t="shared" si="72"/>
        <v/>
      </c>
    </row>
    <row r="2494">
      <c r="D2494" s="226"/>
      <c r="H2494" s="474"/>
      <c r="I2494" s="474"/>
      <c r="J2494" s="475"/>
      <c r="K2494" s="275"/>
      <c r="L2494" s="82"/>
      <c r="M2494" s="672"/>
      <c r="N2494" s="242"/>
      <c r="O2494" s="242"/>
      <c r="P2494" s="242"/>
      <c r="Q2494" s="242"/>
      <c r="R2494" s="539"/>
      <c r="S2494" s="540"/>
      <c r="T2494" s="543"/>
      <c r="U2494" s="673" t="b">
        <v>0</v>
      </c>
      <c r="Z2494" t="b">
        <v>0</v>
      </c>
      <c r="AA2494" t="b">
        <v>0</v>
      </c>
      <c r="AC2494" s="82"/>
      <c r="AD2494" t="str">
        <f t="shared" si="71"/>
        <v/>
      </c>
      <c r="AE2494" t="str">
        <f t="shared" si="72"/>
        <v/>
      </c>
    </row>
    <row r="2495">
      <c r="D2495" s="226"/>
      <c r="H2495" s="474"/>
      <c r="I2495" s="474"/>
      <c r="J2495" s="475"/>
      <c r="K2495" s="275"/>
      <c r="L2495" s="82"/>
      <c r="M2495" s="672"/>
      <c r="N2495" s="242"/>
      <c r="O2495" s="242"/>
      <c r="P2495" s="242"/>
      <c r="Q2495" s="242"/>
      <c r="R2495" s="539"/>
      <c r="S2495" s="540"/>
      <c r="T2495" s="543"/>
      <c r="U2495" s="673" t="b">
        <v>0</v>
      </c>
      <c r="Z2495" t="b">
        <v>0</v>
      </c>
      <c r="AA2495" t="b">
        <v>0</v>
      </c>
      <c r="AC2495" s="82"/>
      <c r="AD2495" t="str">
        <f t="shared" si="71"/>
        <v/>
      </c>
      <c r="AE2495" t="str">
        <f t="shared" si="72"/>
        <v/>
      </c>
    </row>
    <row r="2496">
      <c r="D2496" s="226"/>
      <c r="H2496" s="474"/>
      <c r="I2496" s="474"/>
      <c r="J2496" s="475"/>
      <c r="K2496" s="275"/>
      <c r="L2496" s="82"/>
      <c r="M2496" s="672"/>
      <c r="N2496" s="242"/>
      <c r="O2496" s="242"/>
      <c r="P2496" s="242"/>
      <c r="Q2496" s="242"/>
      <c r="R2496" s="539"/>
      <c r="S2496" s="540"/>
      <c r="T2496" s="543"/>
      <c r="U2496" s="673" t="b">
        <v>0</v>
      </c>
      <c r="Z2496" t="b">
        <v>0</v>
      </c>
      <c r="AA2496" t="b">
        <v>0</v>
      </c>
      <c r="AC2496" s="82"/>
      <c r="AD2496" t="str">
        <f t="shared" si="71"/>
        <v/>
      </c>
      <c r="AE2496" t="str">
        <f t="shared" si="72"/>
        <v/>
      </c>
    </row>
    <row r="2497">
      <c r="D2497" s="226"/>
      <c r="H2497" s="474"/>
      <c r="I2497" s="474"/>
      <c r="J2497" s="475"/>
      <c r="K2497" s="275"/>
      <c r="L2497" s="82"/>
      <c r="M2497" s="672"/>
      <c r="N2497" s="242"/>
      <c r="O2497" s="242"/>
      <c r="P2497" s="242"/>
      <c r="Q2497" s="242"/>
      <c r="R2497" s="539"/>
      <c r="S2497" s="540"/>
      <c r="T2497" s="543"/>
      <c r="U2497" s="673" t="b">
        <v>0</v>
      </c>
      <c r="Z2497" t="b">
        <v>0</v>
      </c>
      <c r="AA2497" t="b">
        <v>0</v>
      </c>
      <c r="AC2497" s="82"/>
      <c r="AD2497" t="str">
        <f t="shared" si="71"/>
        <v/>
      </c>
      <c r="AE2497" t="str">
        <f t="shared" si="72"/>
        <v/>
      </c>
    </row>
    <row r="2498">
      <c r="D2498" s="226"/>
      <c r="H2498" s="474"/>
      <c r="I2498" s="474"/>
      <c r="J2498" s="475"/>
      <c r="K2498" s="275"/>
      <c r="L2498" s="82"/>
      <c r="M2498" s="672"/>
      <c r="N2498" s="242"/>
      <c r="O2498" s="242"/>
      <c r="P2498" s="242"/>
      <c r="Q2498" s="242"/>
      <c r="R2498" s="539"/>
      <c r="S2498" s="540"/>
      <c r="T2498" s="543"/>
      <c r="U2498" s="673" t="b">
        <v>0</v>
      </c>
      <c r="Z2498" t="b">
        <v>0</v>
      </c>
      <c r="AA2498" t="b">
        <v>0</v>
      </c>
      <c r="AC2498" s="82"/>
      <c r="AD2498" t="str">
        <f t="shared" si="71"/>
        <v/>
      </c>
      <c r="AE2498" t="str">
        <f t="shared" si="72"/>
        <v/>
      </c>
    </row>
    <row r="2499">
      <c r="D2499" s="226"/>
      <c r="H2499" s="474"/>
      <c r="I2499" s="474"/>
      <c r="J2499" s="475"/>
      <c r="K2499" s="275"/>
      <c r="L2499" s="82"/>
      <c r="M2499" s="672"/>
      <c r="N2499" s="242"/>
      <c r="O2499" s="242"/>
      <c r="P2499" s="242"/>
      <c r="Q2499" s="242"/>
      <c r="R2499" s="539"/>
      <c r="S2499" s="540"/>
      <c r="T2499" s="543"/>
      <c r="U2499" s="673" t="b">
        <v>0</v>
      </c>
      <c r="Z2499" t="b">
        <v>0</v>
      </c>
      <c r="AA2499" t="b">
        <v>0</v>
      </c>
      <c r="AC2499" s="82"/>
      <c r="AD2499" t="str">
        <f t="shared" si="71"/>
        <v/>
      </c>
      <c r="AE2499" t="str">
        <f t="shared" si="72"/>
        <v/>
      </c>
    </row>
    <row r="2500">
      <c r="D2500" s="226"/>
      <c r="H2500" s="474"/>
      <c r="I2500" s="474"/>
      <c r="J2500" s="475"/>
      <c r="K2500" s="275"/>
      <c r="L2500" s="82"/>
      <c r="M2500" s="672"/>
      <c r="N2500" s="242"/>
      <c r="O2500" s="242"/>
      <c r="P2500" s="242"/>
      <c r="Q2500" s="242"/>
      <c r="R2500" s="539"/>
      <c r="S2500" s="540"/>
      <c r="T2500" s="543"/>
      <c r="U2500" s="673" t="b">
        <v>0</v>
      </c>
      <c r="Z2500" t="b">
        <v>0</v>
      </c>
      <c r="AA2500" t="b">
        <v>0</v>
      </c>
      <c r="AC2500" s="82"/>
      <c r="AD2500" t="str">
        <f t="shared" si="71"/>
        <v/>
      </c>
      <c r="AE2500" t="str">
        <f t="shared" si="72"/>
        <v/>
      </c>
    </row>
    <row r="2501">
      <c r="D2501" s="226"/>
      <c r="H2501" s="474"/>
      <c r="I2501" s="474"/>
      <c r="J2501" s="475"/>
      <c r="K2501" s="275"/>
      <c r="L2501" s="82"/>
      <c r="M2501" s="672"/>
      <c r="N2501" s="242"/>
      <c r="O2501" s="242"/>
      <c r="P2501" s="242"/>
      <c r="Q2501" s="242"/>
      <c r="R2501" s="539"/>
      <c r="S2501" s="540"/>
      <c r="T2501" s="543"/>
      <c r="U2501" s="673" t="b">
        <v>0</v>
      </c>
      <c r="Z2501" t="b">
        <v>0</v>
      </c>
      <c r="AA2501" t="b">
        <v>0</v>
      </c>
      <c r="AC2501" s="82"/>
      <c r="AD2501" t="str">
        <f t="shared" si="71"/>
        <v/>
      </c>
      <c r="AE2501" t="str">
        <f t="shared" si="72"/>
        <v/>
      </c>
    </row>
    <row r="2502">
      <c r="D2502" s="226"/>
      <c r="H2502" s="474"/>
      <c r="I2502" s="474"/>
      <c r="J2502" s="475"/>
      <c r="K2502" s="275"/>
      <c r="L2502" s="82"/>
      <c r="M2502" s="672"/>
      <c r="N2502" s="242"/>
      <c r="O2502" s="242"/>
      <c r="P2502" s="242"/>
      <c r="Q2502" s="242"/>
      <c r="R2502" s="539"/>
      <c r="S2502" s="540"/>
      <c r="T2502" s="543"/>
      <c r="U2502" s="673" t="b">
        <v>0</v>
      </c>
      <c r="Z2502" t="b">
        <v>0</v>
      </c>
      <c r="AA2502" t="b">
        <v>0</v>
      </c>
      <c r="AC2502" s="82"/>
      <c r="AD2502" t="str">
        <f t="shared" si="71"/>
        <v/>
      </c>
      <c r="AE2502" t="str">
        <f t="shared" si="72"/>
        <v/>
      </c>
    </row>
    <row r="2503">
      <c r="D2503" s="226"/>
      <c r="H2503" s="474"/>
      <c r="I2503" s="474"/>
      <c r="J2503" s="475"/>
      <c r="K2503" s="275"/>
      <c r="L2503" s="82"/>
      <c r="M2503" s="672"/>
      <c r="N2503" s="242"/>
      <c r="O2503" s="242"/>
      <c r="P2503" s="242"/>
      <c r="Q2503" s="242"/>
      <c r="R2503" s="539"/>
      <c r="S2503" s="540"/>
      <c r="T2503" s="543"/>
      <c r="U2503" s="673" t="b">
        <v>0</v>
      </c>
      <c r="Z2503" t="b">
        <v>0</v>
      </c>
      <c r="AA2503" t="b">
        <v>0</v>
      </c>
      <c r="AC2503" s="82"/>
      <c r="AD2503" t="str">
        <f t="shared" si="71"/>
        <v/>
      </c>
      <c r="AE2503" t="str">
        <f t="shared" si="72"/>
        <v/>
      </c>
    </row>
    <row r="2504">
      <c r="D2504" s="226"/>
      <c r="H2504" s="474"/>
      <c r="I2504" s="474"/>
      <c r="J2504" s="475"/>
      <c r="K2504" s="275"/>
      <c r="L2504" s="82"/>
      <c r="M2504" s="672"/>
      <c r="N2504" s="242"/>
      <c r="O2504" s="242"/>
      <c r="P2504" s="242"/>
      <c r="Q2504" s="242"/>
      <c r="R2504" s="539"/>
      <c r="S2504" s="540"/>
      <c r="T2504" s="543"/>
      <c r="U2504" s="673" t="b">
        <v>0</v>
      </c>
      <c r="Z2504" t="b">
        <v>0</v>
      </c>
      <c r="AA2504" t="b">
        <v>0</v>
      </c>
      <c r="AC2504" s="82"/>
      <c r="AD2504" t="str">
        <f t="shared" si="71"/>
        <v/>
      </c>
      <c r="AE2504" t="str">
        <f t="shared" si="72"/>
        <v/>
      </c>
    </row>
    <row r="2505">
      <c r="D2505" s="226"/>
      <c r="H2505" s="474"/>
      <c r="I2505" s="474"/>
      <c r="J2505" s="475"/>
      <c r="K2505" s="275"/>
      <c r="L2505" s="82"/>
      <c r="M2505" s="672"/>
      <c r="N2505" s="242"/>
      <c r="O2505" s="242"/>
      <c r="P2505" s="242"/>
      <c r="Q2505" s="242"/>
      <c r="R2505" s="539"/>
      <c r="S2505" s="540"/>
      <c r="T2505" s="543"/>
      <c r="U2505" s="673" t="b">
        <v>0</v>
      </c>
      <c r="Z2505" t="b">
        <v>0</v>
      </c>
      <c r="AA2505" t="b">
        <v>0</v>
      </c>
      <c r="AC2505" s="82"/>
      <c r="AD2505" t="str">
        <f t="shared" si="71"/>
        <v/>
      </c>
      <c r="AE2505" t="str">
        <f t="shared" si="72"/>
        <v/>
      </c>
    </row>
    <row r="2506">
      <c r="D2506" s="226"/>
      <c r="H2506" s="474"/>
      <c r="I2506" s="474"/>
      <c r="J2506" s="475"/>
      <c r="K2506" s="275"/>
      <c r="L2506" s="82"/>
      <c r="M2506" s="672"/>
      <c r="N2506" s="242"/>
      <c r="O2506" s="242"/>
      <c r="P2506" s="242"/>
      <c r="Q2506" s="242"/>
      <c r="R2506" s="539"/>
      <c r="S2506" s="540"/>
      <c r="T2506" s="543"/>
      <c r="U2506" s="673" t="b">
        <v>0</v>
      </c>
      <c r="Z2506" t="b">
        <v>0</v>
      </c>
      <c r="AA2506" t="b">
        <v>0</v>
      </c>
      <c r="AC2506" s="82"/>
      <c r="AD2506" t="str">
        <f t="shared" si="71"/>
        <v/>
      </c>
      <c r="AE2506" t="str">
        <f t="shared" si="72"/>
        <v/>
      </c>
    </row>
    <row r="2507">
      <c r="D2507" s="226"/>
      <c r="H2507" s="474"/>
      <c r="I2507" s="474"/>
      <c r="J2507" s="475"/>
      <c r="K2507" s="275"/>
      <c r="L2507" s="82"/>
      <c r="M2507" s="672"/>
      <c r="N2507" s="242"/>
      <c r="O2507" s="242"/>
      <c r="P2507" s="242"/>
      <c r="Q2507" s="242"/>
      <c r="R2507" s="539"/>
      <c r="S2507" s="540"/>
      <c r="T2507" s="543"/>
      <c r="U2507" s="673" t="b">
        <v>0</v>
      </c>
      <c r="Z2507" t="b">
        <v>0</v>
      </c>
      <c r="AA2507" t="b">
        <v>0</v>
      </c>
      <c r="AC2507" s="82"/>
      <c r="AD2507" t="str">
        <f t="shared" si="71"/>
        <v/>
      </c>
      <c r="AE2507" t="str">
        <f t="shared" si="72"/>
        <v/>
      </c>
    </row>
    <row r="2508">
      <c r="D2508" s="226"/>
      <c r="H2508" s="474"/>
      <c r="I2508" s="474"/>
      <c r="J2508" s="475"/>
      <c r="K2508" s="275"/>
      <c r="L2508" s="82"/>
      <c r="M2508" s="672"/>
      <c r="N2508" s="242"/>
      <c r="O2508" s="242"/>
      <c r="P2508" s="242"/>
      <c r="Q2508" s="242"/>
      <c r="R2508" s="539"/>
      <c r="S2508" s="540"/>
      <c r="T2508" s="543"/>
      <c r="U2508" s="673" t="b">
        <v>0</v>
      </c>
      <c r="Z2508" t="b">
        <v>0</v>
      </c>
      <c r="AA2508" t="b">
        <v>0</v>
      </c>
      <c r="AC2508" s="82"/>
      <c r="AD2508" t="str">
        <f t="shared" si="71"/>
        <v/>
      </c>
      <c r="AE2508" t="str">
        <f t="shared" si="72"/>
        <v/>
      </c>
    </row>
    <row r="2509">
      <c r="D2509" s="226"/>
      <c r="H2509" s="474"/>
      <c r="I2509" s="474"/>
      <c r="J2509" s="475"/>
      <c r="K2509" s="275"/>
      <c r="L2509" s="82"/>
      <c r="M2509" s="672"/>
      <c r="N2509" s="242"/>
      <c r="O2509" s="242"/>
      <c r="P2509" s="242"/>
      <c r="Q2509" s="242"/>
      <c r="R2509" s="539"/>
      <c r="S2509" s="540"/>
      <c r="T2509" s="543"/>
      <c r="U2509" s="673" t="b">
        <v>0</v>
      </c>
      <c r="Z2509" t="b">
        <v>0</v>
      </c>
      <c r="AA2509" t="b">
        <v>0</v>
      </c>
      <c r="AC2509" s="82"/>
      <c r="AD2509" t="str">
        <f t="shared" si="71"/>
        <v/>
      </c>
      <c r="AE2509" t="str">
        <f t="shared" si="72"/>
        <v/>
      </c>
    </row>
    <row r="2510">
      <c r="D2510" s="226"/>
      <c r="H2510" s="474"/>
      <c r="I2510" s="474"/>
      <c r="J2510" s="475"/>
      <c r="K2510" s="275"/>
      <c r="L2510" s="82"/>
      <c r="M2510" s="672"/>
      <c r="N2510" s="242"/>
      <c r="O2510" s="242"/>
      <c r="P2510" s="242"/>
      <c r="Q2510" s="242"/>
      <c r="R2510" s="539"/>
      <c r="S2510" s="540"/>
      <c r="T2510" s="543"/>
      <c r="U2510" s="673" t="b">
        <v>0</v>
      </c>
      <c r="Z2510" t="b">
        <v>0</v>
      </c>
      <c r="AA2510" t="b">
        <v>0</v>
      </c>
      <c r="AC2510" s="82"/>
      <c r="AD2510" t="str">
        <f t="shared" si="71"/>
        <v/>
      </c>
      <c r="AE2510" t="str">
        <f t="shared" si="72"/>
        <v/>
      </c>
    </row>
    <row r="2511">
      <c r="D2511" s="226"/>
      <c r="H2511" s="474"/>
      <c r="I2511" s="474"/>
      <c r="J2511" s="475"/>
      <c r="K2511" s="275"/>
      <c r="L2511" s="82"/>
      <c r="M2511" s="672"/>
      <c r="N2511" s="242"/>
      <c r="O2511" s="242"/>
      <c r="P2511" s="242"/>
      <c r="Q2511" s="242"/>
      <c r="R2511" s="539"/>
      <c r="S2511" s="540"/>
      <c r="T2511" s="543"/>
      <c r="U2511" s="673" t="b">
        <v>0</v>
      </c>
      <c r="Z2511" t="b">
        <v>0</v>
      </c>
      <c r="AA2511" t="b">
        <v>0</v>
      </c>
      <c r="AC2511" s="82"/>
      <c r="AD2511" t="str">
        <f t="shared" si="71"/>
        <v/>
      </c>
      <c r="AE2511" t="str">
        <f t="shared" si="72"/>
        <v/>
      </c>
    </row>
    <row r="2512">
      <c r="D2512" s="226"/>
      <c r="H2512" s="474"/>
      <c r="I2512" s="474"/>
      <c r="J2512" s="475"/>
      <c r="K2512" s="275"/>
      <c r="L2512" s="82"/>
      <c r="M2512" s="672"/>
      <c r="N2512" s="242"/>
      <c r="O2512" s="242"/>
      <c r="P2512" s="242"/>
      <c r="Q2512" s="242"/>
      <c r="R2512" s="539"/>
      <c r="S2512" s="540"/>
      <c r="T2512" s="543"/>
      <c r="U2512" s="673" t="b">
        <v>0</v>
      </c>
      <c r="Z2512" t="b">
        <v>0</v>
      </c>
      <c r="AA2512" t="b">
        <v>0</v>
      </c>
      <c r="AC2512" s="82"/>
      <c r="AD2512" t="str">
        <f t="shared" si="71"/>
        <v/>
      </c>
      <c r="AE2512" t="str">
        <f t="shared" si="72"/>
        <v/>
      </c>
    </row>
    <row r="2513">
      <c r="D2513" s="226"/>
      <c r="H2513" s="474"/>
      <c r="I2513" s="474"/>
      <c r="J2513" s="475"/>
      <c r="K2513" s="275"/>
      <c r="L2513" s="82"/>
      <c r="M2513" s="672"/>
      <c r="N2513" s="242"/>
      <c r="O2513" s="242"/>
      <c r="P2513" s="242"/>
      <c r="Q2513" s="242"/>
      <c r="R2513" s="539"/>
      <c r="S2513" s="540"/>
      <c r="T2513" s="543"/>
      <c r="U2513" s="673" t="b">
        <v>0</v>
      </c>
      <c r="Z2513" t="b">
        <v>0</v>
      </c>
      <c r="AA2513" t="b">
        <v>0</v>
      </c>
      <c r="AC2513" s="82"/>
      <c r="AD2513" t="str">
        <f t="shared" si="71"/>
        <v/>
      </c>
      <c r="AE2513" t="str">
        <f t="shared" si="72"/>
        <v/>
      </c>
    </row>
    <row r="2514">
      <c r="D2514" s="226"/>
      <c r="H2514" s="474"/>
      <c r="I2514" s="474"/>
      <c r="J2514" s="475"/>
      <c r="K2514" s="275"/>
      <c r="L2514" s="82"/>
      <c r="M2514" s="672"/>
      <c r="N2514" s="242"/>
      <c r="O2514" s="242"/>
      <c r="P2514" s="242"/>
      <c r="Q2514" s="242"/>
      <c r="R2514" s="539"/>
      <c r="S2514" s="540"/>
      <c r="T2514" s="543"/>
      <c r="U2514" s="673" t="b">
        <v>0</v>
      </c>
      <c r="Z2514" t="b">
        <v>0</v>
      </c>
      <c r="AA2514" t="b">
        <v>0</v>
      </c>
      <c r="AC2514" s="82"/>
      <c r="AD2514" t="str">
        <f t="shared" si="71"/>
        <v/>
      </c>
      <c r="AE2514" t="str">
        <f t="shared" si="72"/>
        <v/>
      </c>
    </row>
    <row r="2515">
      <c r="D2515" s="226"/>
      <c r="H2515" s="474"/>
      <c r="I2515" s="474"/>
      <c r="J2515" s="475"/>
      <c r="K2515" s="275"/>
      <c r="L2515" s="82"/>
      <c r="M2515" s="672"/>
      <c r="N2515" s="242"/>
      <c r="O2515" s="242"/>
      <c r="P2515" s="242"/>
      <c r="Q2515" s="242"/>
      <c r="R2515" s="539"/>
      <c r="S2515" s="540"/>
      <c r="T2515" s="543"/>
      <c r="U2515" s="673" t="b">
        <v>0</v>
      </c>
      <c r="Z2515" t="b">
        <v>0</v>
      </c>
      <c r="AA2515" t="b">
        <v>0</v>
      </c>
      <c r="AC2515" s="82"/>
      <c r="AD2515" t="str">
        <f t="shared" si="71"/>
        <v/>
      </c>
      <c r="AE2515" t="str">
        <f t="shared" si="72"/>
        <v/>
      </c>
    </row>
    <row r="2516">
      <c r="D2516" s="226"/>
      <c r="H2516" s="474"/>
      <c r="I2516" s="474"/>
      <c r="J2516" s="475"/>
      <c r="K2516" s="275"/>
      <c r="L2516" s="82"/>
      <c r="M2516" s="672"/>
      <c r="N2516" s="242"/>
      <c r="O2516" s="242"/>
      <c r="P2516" s="242"/>
      <c r="Q2516" s="242"/>
      <c r="R2516" s="539"/>
      <c r="S2516" s="540"/>
      <c r="T2516" s="543"/>
      <c r="U2516" s="673" t="b">
        <v>0</v>
      </c>
      <c r="Z2516" t="b">
        <v>0</v>
      </c>
      <c r="AA2516" t="b">
        <v>0</v>
      </c>
      <c r="AC2516" s="82"/>
      <c r="AD2516" t="str">
        <f t="shared" si="71"/>
        <v/>
      </c>
      <c r="AE2516" t="str">
        <f t="shared" si="72"/>
        <v/>
      </c>
    </row>
    <row r="2517">
      <c r="D2517" s="226"/>
      <c r="H2517" s="474"/>
      <c r="I2517" s="474"/>
      <c r="J2517" s="475"/>
      <c r="K2517" s="275"/>
      <c r="L2517" s="82"/>
      <c r="M2517" s="672"/>
      <c r="N2517" s="242"/>
      <c r="O2517" s="242"/>
      <c r="P2517" s="242"/>
      <c r="Q2517" s="242"/>
      <c r="R2517" s="539"/>
      <c r="S2517" s="540"/>
      <c r="T2517" s="543"/>
      <c r="U2517" s="673" t="b">
        <v>0</v>
      </c>
      <c r="Z2517" t="b">
        <v>0</v>
      </c>
      <c r="AA2517" t="b">
        <v>0</v>
      </c>
      <c r="AC2517" s="82"/>
      <c r="AD2517" t="str">
        <f t="shared" si="71"/>
        <v/>
      </c>
      <c r="AE2517" t="str">
        <f t="shared" si="72"/>
        <v/>
      </c>
    </row>
    <row r="2518">
      <c r="D2518" s="226"/>
      <c r="H2518" s="474"/>
      <c r="I2518" s="474"/>
      <c r="J2518" s="475"/>
      <c r="K2518" s="275"/>
      <c r="L2518" s="82"/>
      <c r="M2518" s="672"/>
      <c r="N2518" s="242"/>
      <c r="O2518" s="242"/>
      <c r="P2518" s="242"/>
      <c r="Q2518" s="242"/>
      <c r="R2518" s="539"/>
      <c r="S2518" s="540"/>
      <c r="T2518" s="543"/>
      <c r="U2518" s="673" t="b">
        <v>0</v>
      </c>
      <c r="Z2518" t="b">
        <v>0</v>
      </c>
      <c r="AA2518" t="b">
        <v>0</v>
      </c>
      <c r="AC2518" s="82"/>
      <c r="AD2518" t="str">
        <f t="shared" si="71"/>
        <v/>
      </c>
      <c r="AE2518" t="str">
        <f t="shared" si="72"/>
        <v/>
      </c>
    </row>
    <row r="2519">
      <c r="D2519" s="226"/>
      <c r="H2519" s="474"/>
      <c r="I2519" s="474"/>
      <c r="J2519" s="475"/>
      <c r="K2519" s="275"/>
      <c r="L2519" s="82"/>
      <c r="M2519" s="672"/>
      <c r="N2519" s="242"/>
      <c r="O2519" s="242"/>
      <c r="P2519" s="242"/>
      <c r="Q2519" s="242"/>
      <c r="R2519" s="539"/>
      <c r="S2519" s="540"/>
      <c r="T2519" s="543"/>
      <c r="U2519" s="673" t="b">
        <v>0</v>
      </c>
      <c r="Z2519" t="b">
        <v>0</v>
      </c>
      <c r="AA2519" t="b">
        <v>0</v>
      </c>
      <c r="AC2519" s="82"/>
      <c r="AD2519" t="str">
        <f t="shared" si="71"/>
        <v/>
      </c>
      <c r="AE2519" t="str">
        <f t="shared" si="72"/>
        <v/>
      </c>
    </row>
    <row r="2520">
      <c r="D2520" s="226"/>
      <c r="H2520" s="474"/>
      <c r="I2520" s="474"/>
      <c r="J2520" s="475"/>
      <c r="K2520" s="275"/>
      <c r="L2520" s="82"/>
      <c r="M2520" s="672"/>
      <c r="N2520" s="242"/>
      <c r="O2520" s="242"/>
      <c r="P2520" s="242"/>
      <c r="Q2520" s="242"/>
      <c r="R2520" s="539"/>
      <c r="S2520" s="540"/>
      <c r="T2520" s="543"/>
      <c r="U2520" s="673" t="b">
        <v>0</v>
      </c>
      <c r="Z2520" t="b">
        <v>0</v>
      </c>
      <c r="AA2520" t="b">
        <v>0</v>
      </c>
      <c r="AC2520" s="82"/>
      <c r="AD2520" t="str">
        <f t="shared" si="71"/>
        <v/>
      </c>
      <c r="AE2520" t="str">
        <f t="shared" si="72"/>
        <v/>
      </c>
    </row>
    <row r="2521">
      <c r="D2521" s="226"/>
      <c r="H2521" s="474"/>
      <c r="I2521" s="474"/>
      <c r="J2521" s="475"/>
      <c r="K2521" s="275"/>
      <c r="L2521" s="82"/>
      <c r="M2521" s="672"/>
      <c r="N2521" s="242"/>
      <c r="O2521" s="242"/>
      <c r="P2521" s="242"/>
      <c r="Q2521" s="242"/>
      <c r="R2521" s="539"/>
      <c r="S2521" s="540"/>
      <c r="T2521" s="543"/>
      <c r="U2521" s="673" t="b">
        <v>0</v>
      </c>
      <c r="Z2521" t="b">
        <v>0</v>
      </c>
      <c r="AA2521" t="b">
        <v>0</v>
      </c>
      <c r="AC2521" s="82"/>
      <c r="AD2521" t="str">
        <f t="shared" si="71"/>
        <v/>
      </c>
      <c r="AE2521" t="str">
        <f t="shared" si="72"/>
        <v/>
      </c>
    </row>
    <row r="2522">
      <c r="D2522" s="226"/>
      <c r="H2522" s="474"/>
      <c r="I2522" s="474"/>
      <c r="J2522" s="475"/>
      <c r="K2522" s="275"/>
      <c r="L2522" s="82"/>
      <c r="M2522" s="672"/>
      <c r="N2522" s="242"/>
      <c r="O2522" s="242"/>
      <c r="P2522" s="242"/>
      <c r="Q2522" s="242"/>
      <c r="R2522" s="539"/>
      <c r="S2522" s="540"/>
      <c r="T2522" s="543"/>
      <c r="U2522" s="673" t="b">
        <v>0</v>
      </c>
      <c r="Z2522" t="b">
        <v>0</v>
      </c>
      <c r="AA2522" t="b">
        <v>0</v>
      </c>
      <c r="AC2522" s="82"/>
      <c r="AD2522" t="str">
        <f t="shared" si="71"/>
        <v/>
      </c>
      <c r="AE2522" t="str">
        <f t="shared" si="72"/>
        <v/>
      </c>
    </row>
    <row r="2523">
      <c r="D2523" s="226"/>
      <c r="H2523" s="474"/>
      <c r="I2523" s="474"/>
      <c r="J2523" s="475"/>
      <c r="K2523" s="275"/>
      <c r="L2523" s="82"/>
      <c r="M2523" s="672"/>
      <c r="N2523" s="242"/>
      <c r="O2523" s="242"/>
      <c r="P2523" s="242"/>
      <c r="Q2523" s="242"/>
      <c r="R2523" s="539"/>
      <c r="S2523" s="540"/>
      <c r="T2523" s="543"/>
      <c r="U2523" s="673" t="b">
        <v>0</v>
      </c>
      <c r="Z2523" t="b">
        <v>0</v>
      </c>
      <c r="AA2523" t="b">
        <v>0</v>
      </c>
      <c r="AC2523" s="82"/>
      <c r="AD2523" t="str">
        <f t="shared" si="71"/>
        <v/>
      </c>
      <c r="AE2523" t="str">
        <f t="shared" si="72"/>
        <v/>
      </c>
    </row>
    <row r="2524">
      <c r="D2524" s="226"/>
      <c r="H2524" s="474"/>
      <c r="I2524" s="474"/>
      <c r="J2524" s="475"/>
      <c r="K2524" s="275"/>
      <c r="L2524" s="82"/>
      <c r="M2524" s="672"/>
      <c r="N2524" s="242"/>
      <c r="O2524" s="242"/>
      <c r="P2524" s="242"/>
      <c r="Q2524" s="242"/>
      <c r="R2524" s="539"/>
      <c r="S2524" s="540"/>
      <c r="T2524" s="543"/>
      <c r="U2524" s="673" t="b">
        <v>0</v>
      </c>
      <c r="Z2524" t="b">
        <v>0</v>
      </c>
      <c r="AA2524" t="b">
        <v>0</v>
      </c>
      <c r="AC2524" s="82"/>
      <c r="AD2524" t="str">
        <f t="shared" si="71"/>
        <v/>
      </c>
      <c r="AE2524" t="str">
        <f t="shared" si="72"/>
        <v/>
      </c>
    </row>
    <row r="2525">
      <c r="D2525" s="226"/>
      <c r="H2525" s="474"/>
      <c r="I2525" s="474"/>
      <c r="J2525" s="475"/>
      <c r="K2525" s="275"/>
      <c r="L2525" s="82"/>
      <c r="M2525" s="672"/>
      <c r="N2525" s="242"/>
      <c r="O2525" s="242"/>
      <c r="P2525" s="242"/>
      <c r="Q2525" s="242"/>
      <c r="R2525" s="539"/>
      <c r="S2525" s="540"/>
      <c r="T2525" s="543"/>
      <c r="U2525" s="673" t="b">
        <v>0</v>
      </c>
      <c r="Z2525" t="b">
        <v>0</v>
      </c>
      <c r="AA2525" t="b">
        <v>0</v>
      </c>
      <c r="AC2525" s="82"/>
      <c r="AD2525" t="str">
        <f t="shared" si="71"/>
        <v/>
      </c>
      <c r="AE2525" t="str">
        <f t="shared" si="72"/>
        <v/>
      </c>
    </row>
    <row r="2526">
      <c r="D2526" s="226"/>
      <c r="H2526" s="474"/>
      <c r="I2526" s="474"/>
      <c r="J2526" s="475"/>
      <c r="K2526" s="275"/>
      <c r="L2526" s="82"/>
      <c r="M2526" s="672"/>
      <c r="N2526" s="242"/>
      <c r="O2526" s="242"/>
      <c r="P2526" s="242"/>
      <c r="Q2526" s="242"/>
      <c r="R2526" s="539"/>
      <c r="S2526" s="540"/>
      <c r="T2526" s="543"/>
      <c r="U2526" s="673" t="b">
        <v>0</v>
      </c>
      <c r="Z2526" t="b">
        <v>0</v>
      </c>
      <c r="AA2526" t="b">
        <v>0</v>
      </c>
      <c r="AC2526" s="82"/>
      <c r="AD2526" t="str">
        <f t="shared" si="71"/>
        <v/>
      </c>
      <c r="AE2526" t="str">
        <f t="shared" si="72"/>
        <v/>
      </c>
    </row>
    <row r="2527">
      <c r="D2527" s="226"/>
      <c r="H2527" s="474"/>
      <c r="I2527" s="474"/>
      <c r="J2527" s="475"/>
      <c r="K2527" s="275"/>
      <c r="L2527" s="82"/>
      <c r="M2527" s="672"/>
      <c r="N2527" s="242"/>
      <c r="O2527" s="242"/>
      <c r="P2527" s="242"/>
      <c r="Q2527" s="242"/>
      <c r="R2527" s="539"/>
      <c r="S2527" s="540"/>
      <c r="T2527" s="543"/>
      <c r="U2527" s="673" t="b">
        <v>0</v>
      </c>
      <c r="Z2527" t="b">
        <v>0</v>
      </c>
      <c r="AA2527" t="b">
        <v>0</v>
      </c>
      <c r="AC2527" s="82"/>
      <c r="AD2527" t="str">
        <f t="shared" si="71"/>
        <v/>
      </c>
      <c r="AE2527" t="str">
        <f t="shared" si="72"/>
        <v/>
      </c>
    </row>
    <row r="2528">
      <c r="D2528" s="226"/>
      <c r="H2528" s="474"/>
      <c r="I2528" s="474"/>
      <c r="J2528" s="475"/>
      <c r="K2528" s="275"/>
      <c r="L2528" s="82"/>
      <c r="M2528" s="672"/>
      <c r="N2528" s="242"/>
      <c r="O2528" s="242"/>
      <c r="P2528" s="242"/>
      <c r="Q2528" s="242"/>
      <c r="R2528" s="539"/>
      <c r="S2528" s="540"/>
      <c r="T2528" s="543"/>
      <c r="U2528" s="673" t="b">
        <v>0</v>
      </c>
      <c r="Z2528" t="b">
        <v>0</v>
      </c>
      <c r="AA2528" t="b">
        <v>0</v>
      </c>
      <c r="AC2528" s="82"/>
      <c r="AD2528" t="str">
        <f t="shared" si="71"/>
        <v/>
      </c>
      <c r="AE2528" t="str">
        <f t="shared" si="72"/>
        <v/>
      </c>
    </row>
    <row r="2529">
      <c r="D2529" s="226"/>
      <c r="H2529" s="474"/>
      <c r="I2529" s="474"/>
      <c r="J2529" s="475"/>
      <c r="K2529" s="275"/>
      <c r="L2529" s="82"/>
      <c r="M2529" s="672"/>
      <c r="N2529" s="242"/>
      <c r="O2529" s="242"/>
      <c r="P2529" s="242"/>
      <c r="Q2529" s="242"/>
      <c r="R2529" s="539"/>
      <c r="S2529" s="540"/>
      <c r="T2529" s="543"/>
      <c r="U2529" s="673" t="b">
        <v>0</v>
      </c>
      <c r="Z2529" t="b">
        <v>0</v>
      </c>
      <c r="AA2529" t="b">
        <v>0</v>
      </c>
      <c r="AC2529" s="82"/>
      <c r="AD2529" t="str">
        <f t="shared" si="71"/>
        <v/>
      </c>
      <c r="AE2529" t="str">
        <f t="shared" si="72"/>
        <v/>
      </c>
    </row>
    <row r="2530">
      <c r="D2530" s="226"/>
      <c r="H2530" s="474"/>
      <c r="I2530" s="474"/>
      <c r="J2530" s="475"/>
      <c r="K2530" s="275"/>
      <c r="L2530" s="82"/>
      <c r="M2530" s="672"/>
      <c r="N2530" s="242"/>
      <c r="O2530" s="242"/>
      <c r="P2530" s="242"/>
      <c r="Q2530" s="242"/>
      <c r="R2530" s="539"/>
      <c r="S2530" s="540"/>
      <c r="T2530" s="543"/>
      <c r="U2530" s="673" t="b">
        <v>0</v>
      </c>
      <c r="Z2530" t="b">
        <v>0</v>
      </c>
      <c r="AA2530" t="b">
        <v>0</v>
      </c>
      <c r="AC2530" s="82"/>
      <c r="AD2530" t="str">
        <f t="shared" si="71"/>
        <v/>
      </c>
      <c r="AE2530" t="str">
        <f t="shared" si="72"/>
        <v/>
      </c>
    </row>
    <row r="2531">
      <c r="D2531" s="226"/>
      <c r="H2531" s="474"/>
      <c r="I2531" s="474"/>
      <c r="J2531" s="475"/>
      <c r="K2531" s="275"/>
      <c r="L2531" s="82"/>
      <c r="M2531" s="672"/>
      <c r="N2531" s="242"/>
      <c r="O2531" s="242"/>
      <c r="P2531" s="242"/>
      <c r="Q2531" s="242"/>
      <c r="R2531" s="539"/>
      <c r="S2531" s="540"/>
      <c r="T2531" s="543"/>
      <c r="U2531" s="673" t="b">
        <v>0</v>
      </c>
      <c r="Z2531" t="b">
        <v>0</v>
      </c>
      <c r="AA2531" t="b">
        <v>0</v>
      </c>
      <c r="AC2531" s="82"/>
      <c r="AD2531" t="str">
        <f t="shared" si="71"/>
        <v/>
      </c>
      <c r="AE2531" t="str">
        <f t="shared" si="72"/>
        <v/>
      </c>
    </row>
    <row r="2532">
      <c r="D2532" s="226"/>
      <c r="H2532" s="474"/>
      <c r="I2532" s="474"/>
      <c r="J2532" s="475"/>
      <c r="K2532" s="275"/>
      <c r="L2532" s="82"/>
      <c r="M2532" s="672"/>
      <c r="N2532" s="242"/>
      <c r="O2532" s="242"/>
      <c r="P2532" s="242"/>
      <c r="Q2532" s="242"/>
      <c r="R2532" s="539"/>
      <c r="S2532" s="540"/>
      <c r="T2532" s="543"/>
      <c r="U2532" s="673" t="b">
        <v>0</v>
      </c>
      <c r="Z2532" t="b">
        <v>0</v>
      </c>
      <c r="AA2532" t="b">
        <v>0</v>
      </c>
      <c r="AC2532" s="82"/>
      <c r="AD2532" t="str">
        <f t="shared" si="71"/>
        <v/>
      </c>
      <c r="AE2532" t="str">
        <f t="shared" si="72"/>
        <v/>
      </c>
    </row>
    <row r="2533">
      <c r="D2533" s="226"/>
      <c r="H2533" s="474"/>
      <c r="I2533" s="474"/>
      <c r="J2533" s="475"/>
      <c r="K2533" s="275"/>
      <c r="L2533" s="82"/>
      <c r="M2533" s="672"/>
      <c r="N2533" s="242"/>
      <c r="O2533" s="242"/>
      <c r="P2533" s="242"/>
      <c r="Q2533" s="242"/>
      <c r="R2533" s="539"/>
      <c r="S2533" s="540"/>
      <c r="T2533" s="543"/>
      <c r="U2533" s="673" t="b">
        <v>0</v>
      </c>
      <c r="Z2533" t="b">
        <v>0</v>
      </c>
      <c r="AA2533" t="b">
        <v>0</v>
      </c>
      <c r="AC2533" s="82"/>
      <c r="AD2533" t="str">
        <f t="shared" si="71"/>
        <v/>
      </c>
      <c r="AE2533" t="str">
        <f t="shared" si="72"/>
        <v/>
      </c>
    </row>
    <row r="2534">
      <c r="D2534" s="226"/>
      <c r="H2534" s="474"/>
      <c r="I2534" s="474"/>
      <c r="J2534" s="475"/>
      <c r="K2534" s="275"/>
      <c r="L2534" s="82"/>
      <c r="M2534" s="672"/>
      <c r="N2534" s="242"/>
      <c r="O2534" s="242"/>
      <c r="P2534" s="242"/>
      <c r="Q2534" s="242"/>
      <c r="R2534" s="539"/>
      <c r="S2534" s="540"/>
      <c r="T2534" s="543"/>
      <c r="U2534" s="673" t="b">
        <v>0</v>
      </c>
      <c r="Z2534" t="b">
        <v>0</v>
      </c>
      <c r="AA2534" t="b">
        <v>0</v>
      </c>
      <c r="AC2534" s="82"/>
      <c r="AD2534" t="str">
        <f t="shared" si="71"/>
        <v/>
      </c>
      <c r="AE2534" t="str">
        <f t="shared" si="72"/>
        <v/>
      </c>
    </row>
    <row r="2535">
      <c r="D2535" s="226"/>
      <c r="H2535" s="474"/>
      <c r="I2535" s="474"/>
      <c r="J2535" s="475"/>
      <c r="K2535" s="275"/>
      <c r="L2535" s="82"/>
      <c r="M2535" s="672"/>
      <c r="N2535" s="242"/>
      <c r="O2535" s="242"/>
      <c r="P2535" s="242"/>
      <c r="Q2535" s="242"/>
      <c r="R2535" s="539"/>
      <c r="S2535" s="540"/>
      <c r="T2535" s="543"/>
      <c r="U2535" s="673" t="b">
        <v>0</v>
      </c>
      <c r="Z2535" t="b">
        <v>0</v>
      </c>
      <c r="AA2535" t="b">
        <v>0</v>
      </c>
      <c r="AC2535" s="82"/>
      <c r="AD2535" t="str">
        <f t="shared" si="71"/>
        <v/>
      </c>
      <c r="AE2535" t="str">
        <f t="shared" si="72"/>
        <v/>
      </c>
    </row>
    <row r="2536">
      <c r="D2536" s="226"/>
      <c r="H2536" s="474"/>
      <c r="I2536" s="474"/>
      <c r="J2536" s="475"/>
      <c r="K2536" s="275"/>
      <c r="L2536" s="82"/>
      <c r="M2536" s="672"/>
      <c r="N2536" s="242"/>
      <c r="O2536" s="242"/>
      <c r="P2536" s="242"/>
      <c r="Q2536" s="242"/>
      <c r="R2536" s="539"/>
      <c r="S2536" s="540"/>
      <c r="T2536" s="543"/>
      <c r="U2536" s="673" t="b">
        <v>0</v>
      </c>
      <c r="Z2536" t="b">
        <v>0</v>
      </c>
      <c r="AA2536" t="b">
        <v>0</v>
      </c>
      <c r="AC2536" s="82"/>
      <c r="AD2536" t="str">
        <f t="shared" si="71"/>
        <v/>
      </c>
      <c r="AE2536" t="str">
        <f t="shared" si="72"/>
        <v/>
      </c>
    </row>
    <row r="2537">
      <c r="D2537" s="226"/>
      <c r="H2537" s="474"/>
      <c r="I2537" s="474"/>
      <c r="J2537" s="475"/>
      <c r="K2537" s="275"/>
      <c r="L2537" s="82"/>
      <c r="M2537" s="672"/>
      <c r="N2537" s="242"/>
      <c r="O2537" s="242"/>
      <c r="P2537" s="242"/>
      <c r="Q2537" s="242"/>
      <c r="R2537" s="539"/>
      <c r="S2537" s="540"/>
      <c r="T2537" s="543"/>
      <c r="U2537" s="673" t="b">
        <v>0</v>
      </c>
      <c r="Z2537" t="b">
        <v>0</v>
      </c>
      <c r="AA2537" t="b">
        <v>0</v>
      </c>
      <c r="AC2537" s="82"/>
      <c r="AD2537" t="str">
        <f t="shared" si="71"/>
        <v/>
      </c>
      <c r="AE2537" t="str">
        <f t="shared" si="72"/>
        <v/>
      </c>
    </row>
    <row r="2538">
      <c r="D2538" s="226"/>
      <c r="H2538" s="474"/>
      <c r="I2538" s="474"/>
      <c r="J2538" s="475"/>
      <c r="K2538" s="275"/>
      <c r="L2538" s="82"/>
      <c r="M2538" s="672"/>
      <c r="N2538" s="242"/>
      <c r="O2538" s="242"/>
      <c r="P2538" s="242"/>
      <c r="Q2538" s="242"/>
      <c r="R2538" s="539"/>
      <c r="S2538" s="540"/>
      <c r="T2538" s="543"/>
      <c r="U2538" s="673" t="b">
        <v>0</v>
      </c>
      <c r="Z2538" t="b">
        <v>0</v>
      </c>
      <c r="AA2538" t="b">
        <v>0</v>
      </c>
      <c r="AC2538" s="82"/>
      <c r="AD2538" t="str">
        <f t="shared" si="71"/>
        <v/>
      </c>
      <c r="AE2538" t="str">
        <f t="shared" si="72"/>
        <v/>
      </c>
    </row>
    <row r="2539">
      <c r="D2539" s="226"/>
      <c r="H2539" s="474"/>
      <c r="I2539" s="474"/>
      <c r="J2539" s="475"/>
      <c r="K2539" s="275"/>
      <c r="L2539" s="82"/>
      <c r="M2539" s="672"/>
      <c r="N2539" s="242"/>
      <c r="O2539" s="242"/>
      <c r="P2539" s="242"/>
      <c r="Q2539" s="242"/>
      <c r="R2539" s="539"/>
      <c r="S2539" s="540"/>
      <c r="T2539" s="543"/>
      <c r="U2539" s="673" t="b">
        <v>0</v>
      </c>
      <c r="Z2539" t="b">
        <v>0</v>
      </c>
      <c r="AA2539" t="b">
        <v>0</v>
      </c>
      <c r="AC2539" s="82"/>
      <c r="AD2539" t="str">
        <f t="shared" si="71"/>
        <v/>
      </c>
      <c r="AE2539" t="str">
        <f t="shared" si="72"/>
        <v/>
      </c>
    </row>
    <row r="2540">
      <c r="D2540" s="226"/>
      <c r="H2540" s="474"/>
      <c r="I2540" s="474"/>
      <c r="J2540" s="475"/>
      <c r="K2540" s="275"/>
      <c r="L2540" s="82"/>
      <c r="M2540" s="672"/>
      <c r="N2540" s="242"/>
      <c r="O2540" s="242"/>
      <c r="P2540" s="242"/>
      <c r="Q2540" s="242"/>
      <c r="R2540" s="539"/>
      <c r="S2540" s="540"/>
      <c r="T2540" s="543"/>
      <c r="U2540" s="673" t="b">
        <v>0</v>
      </c>
      <c r="Z2540" t="b">
        <v>0</v>
      </c>
      <c r="AA2540" t="b">
        <v>0</v>
      </c>
      <c r="AC2540" s="82"/>
      <c r="AD2540" t="str">
        <f t="shared" si="71"/>
        <v/>
      </c>
      <c r="AE2540" t="str">
        <f t="shared" si="72"/>
        <v/>
      </c>
    </row>
    <row r="2541">
      <c r="D2541" s="226"/>
      <c r="H2541" s="474"/>
      <c r="I2541" s="474"/>
      <c r="J2541" s="475"/>
      <c r="K2541" s="275"/>
      <c r="L2541" s="82"/>
      <c r="M2541" s="672"/>
      <c r="N2541" s="242"/>
      <c r="O2541" s="242"/>
      <c r="P2541" s="242"/>
      <c r="Q2541" s="242"/>
      <c r="R2541" s="539"/>
      <c r="S2541" s="540"/>
      <c r="T2541" s="543"/>
      <c r="U2541" s="673" t="b">
        <v>0</v>
      </c>
      <c r="Z2541" t="b">
        <v>0</v>
      </c>
      <c r="AA2541" t="b">
        <v>0</v>
      </c>
      <c r="AC2541" s="82"/>
      <c r="AD2541" t="str">
        <f t="shared" si="71"/>
        <v/>
      </c>
      <c r="AE2541" t="str">
        <f t="shared" si="72"/>
        <v/>
      </c>
    </row>
    <row r="2542">
      <c r="D2542" s="226"/>
      <c r="H2542" s="474"/>
      <c r="I2542" s="474"/>
      <c r="J2542" s="475"/>
      <c r="K2542" s="275"/>
      <c r="L2542" s="82"/>
      <c r="M2542" s="672"/>
      <c r="N2542" s="242"/>
      <c r="O2542" s="242"/>
      <c r="P2542" s="242"/>
      <c r="Q2542" s="242"/>
      <c r="R2542" s="539"/>
      <c r="S2542" s="540"/>
      <c r="T2542" s="543"/>
      <c r="U2542" s="673" t="b">
        <v>0</v>
      </c>
      <c r="Z2542" t="b">
        <v>0</v>
      </c>
      <c r="AA2542" t="b">
        <v>0</v>
      </c>
      <c r="AC2542" s="82"/>
      <c r="AD2542" t="str">
        <f t="shared" si="71"/>
        <v/>
      </c>
      <c r="AE2542" t="str">
        <f t="shared" si="72"/>
        <v/>
      </c>
    </row>
    <row r="2543">
      <c r="D2543" s="226"/>
      <c r="H2543" s="474"/>
      <c r="I2543" s="474"/>
      <c r="J2543" s="475"/>
      <c r="K2543" s="275"/>
      <c r="L2543" s="82"/>
      <c r="M2543" s="672"/>
      <c r="N2543" s="242"/>
      <c r="O2543" s="242"/>
      <c r="P2543" s="242"/>
      <c r="Q2543" s="242"/>
      <c r="R2543" s="539"/>
      <c r="S2543" s="540"/>
      <c r="T2543" s="543"/>
      <c r="U2543" s="673" t="b">
        <v>0</v>
      </c>
      <c r="Z2543" t="b">
        <v>0</v>
      </c>
      <c r="AA2543" t="b">
        <v>0</v>
      </c>
      <c r="AC2543" s="82"/>
      <c r="AD2543" t="str">
        <f t="shared" si="71"/>
        <v/>
      </c>
      <c r="AE2543" t="str">
        <f t="shared" si="72"/>
        <v/>
      </c>
    </row>
    <row r="2544">
      <c r="D2544" s="226"/>
      <c r="H2544" s="474"/>
      <c r="I2544" s="474"/>
      <c r="J2544" s="475"/>
      <c r="K2544" s="275"/>
      <c r="L2544" s="82"/>
      <c r="M2544" s="672"/>
      <c r="N2544" s="242"/>
      <c r="O2544" s="242"/>
      <c r="P2544" s="242"/>
      <c r="Q2544" s="242"/>
      <c r="R2544" s="539"/>
      <c r="S2544" s="540"/>
      <c r="T2544" s="543"/>
      <c r="U2544" s="673" t="b">
        <v>0</v>
      </c>
      <c r="Z2544" t="b">
        <v>0</v>
      </c>
      <c r="AA2544" t="b">
        <v>0</v>
      </c>
      <c r="AC2544" s="82"/>
      <c r="AD2544" t="str">
        <f t="shared" si="71"/>
        <v/>
      </c>
      <c r="AE2544" t="str">
        <f t="shared" si="72"/>
        <v/>
      </c>
    </row>
    <row r="2545">
      <c r="D2545" s="226"/>
      <c r="H2545" s="474"/>
      <c r="I2545" s="474"/>
      <c r="J2545" s="475"/>
      <c r="K2545" s="275"/>
      <c r="L2545" s="82"/>
      <c r="M2545" s="672"/>
      <c r="N2545" s="242"/>
      <c r="O2545" s="242"/>
      <c r="P2545" s="242"/>
      <c r="Q2545" s="242"/>
      <c r="R2545" s="539"/>
      <c r="S2545" s="540"/>
      <c r="T2545" s="543"/>
      <c r="U2545" s="673" t="b">
        <v>0</v>
      </c>
      <c r="Z2545" t="b">
        <v>0</v>
      </c>
      <c r="AA2545" t="b">
        <v>0</v>
      </c>
      <c r="AC2545" s="82"/>
      <c r="AD2545" t="str">
        <f t="shared" si="71"/>
        <v/>
      </c>
      <c r="AE2545" t="str">
        <f t="shared" si="72"/>
        <v/>
      </c>
    </row>
    <row r="2546">
      <c r="D2546" s="226"/>
      <c r="H2546" s="474"/>
      <c r="I2546" s="474"/>
      <c r="J2546" s="475"/>
      <c r="K2546" s="275"/>
      <c r="L2546" s="82"/>
      <c r="M2546" s="672"/>
      <c r="N2546" s="242"/>
      <c r="O2546" s="242"/>
      <c r="P2546" s="242"/>
      <c r="Q2546" s="242"/>
      <c r="R2546" s="539"/>
      <c r="S2546" s="540"/>
      <c r="T2546" s="543"/>
      <c r="U2546" s="673" t="b">
        <v>0</v>
      </c>
      <c r="Z2546" t="b">
        <v>0</v>
      </c>
      <c r="AA2546" t="b">
        <v>0</v>
      </c>
      <c r="AC2546" s="82"/>
      <c r="AD2546" t="str">
        <f t="shared" si="71"/>
        <v/>
      </c>
      <c r="AE2546" t="str">
        <f t="shared" si="72"/>
        <v/>
      </c>
    </row>
    <row r="2547">
      <c r="D2547" s="226"/>
      <c r="H2547" s="474"/>
      <c r="I2547" s="474"/>
      <c r="J2547" s="475"/>
      <c r="K2547" s="275"/>
      <c r="L2547" s="82"/>
      <c r="M2547" s="672"/>
      <c r="N2547" s="242"/>
      <c r="O2547" s="242"/>
      <c r="P2547" s="242"/>
      <c r="Q2547" s="242"/>
      <c r="R2547" s="539"/>
      <c r="S2547" s="540"/>
      <c r="T2547" s="543"/>
      <c r="U2547" s="673" t="b">
        <v>0</v>
      </c>
      <c r="Z2547" t="b">
        <v>0</v>
      </c>
      <c r="AA2547" t="b">
        <v>0</v>
      </c>
      <c r="AC2547" s="82"/>
      <c r="AD2547" t="str">
        <f t="shared" si="71"/>
        <v/>
      </c>
      <c r="AE2547" t="str">
        <f t="shared" si="72"/>
        <v/>
      </c>
    </row>
    <row r="2548">
      <c r="D2548" s="226"/>
      <c r="H2548" s="474"/>
      <c r="I2548" s="474"/>
      <c r="J2548" s="475"/>
      <c r="K2548" s="275"/>
      <c r="L2548" s="82"/>
      <c r="M2548" s="672"/>
      <c r="N2548" s="242"/>
      <c r="O2548" s="242"/>
      <c r="P2548" s="242"/>
      <c r="Q2548" s="242"/>
      <c r="R2548" s="539"/>
      <c r="S2548" s="540"/>
      <c r="T2548" s="543"/>
      <c r="U2548" s="673" t="b">
        <v>0</v>
      </c>
      <c r="Z2548" t="b">
        <v>0</v>
      </c>
      <c r="AA2548" t="b">
        <v>0</v>
      </c>
      <c r="AC2548" s="82"/>
      <c r="AD2548" t="str">
        <f t="shared" si="71"/>
        <v/>
      </c>
      <c r="AE2548" t="str">
        <f t="shared" si="72"/>
        <v/>
      </c>
    </row>
    <row r="2549">
      <c r="D2549" s="226"/>
      <c r="H2549" s="474"/>
      <c r="I2549" s="474"/>
      <c r="J2549" s="475"/>
      <c r="K2549" s="275"/>
      <c r="L2549" s="82"/>
      <c r="M2549" s="672"/>
      <c r="N2549" s="242"/>
      <c r="O2549" s="242"/>
      <c r="P2549" s="242"/>
      <c r="Q2549" s="242"/>
      <c r="R2549" s="539"/>
      <c r="S2549" s="540"/>
      <c r="T2549" s="543"/>
      <c r="U2549" s="673" t="b">
        <v>0</v>
      </c>
      <c r="Z2549" t="b">
        <v>0</v>
      </c>
      <c r="AA2549" t="b">
        <v>0</v>
      </c>
      <c r="AC2549" s="82"/>
      <c r="AD2549" t="str">
        <f t="shared" si="71"/>
        <v/>
      </c>
      <c r="AE2549" t="str">
        <f t="shared" si="72"/>
        <v/>
      </c>
    </row>
    <row r="2550">
      <c r="D2550" s="226"/>
      <c r="H2550" s="474"/>
      <c r="I2550" s="474"/>
      <c r="J2550" s="475"/>
      <c r="K2550" s="275"/>
      <c r="L2550" s="82"/>
      <c r="M2550" s="672"/>
      <c r="N2550" s="242"/>
      <c r="O2550" s="242"/>
      <c r="P2550" s="242"/>
      <c r="Q2550" s="242"/>
      <c r="R2550" s="539"/>
      <c r="S2550" s="540"/>
      <c r="T2550" s="543"/>
      <c r="U2550" s="673" t="b">
        <v>0</v>
      </c>
      <c r="Z2550" t="b">
        <v>0</v>
      </c>
      <c r="AA2550" t="b">
        <v>0</v>
      </c>
      <c r="AC2550" s="82"/>
      <c r="AD2550" t="str">
        <f t="shared" si="71"/>
        <v/>
      </c>
      <c r="AE2550" t="str">
        <f t="shared" si="72"/>
        <v/>
      </c>
    </row>
    <row r="2551">
      <c r="D2551" s="226"/>
      <c r="H2551" s="474"/>
      <c r="I2551" s="474"/>
      <c r="J2551" s="475"/>
      <c r="K2551" s="275"/>
      <c r="L2551" s="82"/>
      <c r="M2551" s="672"/>
      <c r="N2551" s="242"/>
      <c r="O2551" s="242"/>
      <c r="P2551" s="242"/>
      <c r="Q2551" s="242"/>
      <c r="R2551" s="539"/>
      <c r="S2551" s="540"/>
      <c r="T2551" s="543"/>
      <c r="U2551" s="673" t="b">
        <v>0</v>
      </c>
      <c r="Z2551" t="b">
        <v>0</v>
      </c>
      <c r="AA2551" t="b">
        <v>0</v>
      </c>
      <c r="AC2551" s="82"/>
      <c r="AD2551" t="str">
        <f t="shared" si="71"/>
        <v/>
      </c>
      <c r="AE2551" t="str">
        <f t="shared" si="72"/>
        <v/>
      </c>
    </row>
    <row r="2552">
      <c r="D2552" s="226"/>
      <c r="H2552" s="474"/>
      <c r="I2552" s="474"/>
      <c r="J2552" s="475"/>
      <c r="K2552" s="275"/>
      <c r="L2552" s="82"/>
      <c r="M2552" s="672"/>
      <c r="N2552" s="242"/>
      <c r="O2552" s="242"/>
      <c r="P2552" s="242"/>
      <c r="Q2552" s="242"/>
      <c r="R2552" s="539"/>
      <c r="S2552" s="540"/>
      <c r="T2552" s="543"/>
      <c r="U2552" s="673" t="b">
        <v>0</v>
      </c>
      <c r="Z2552" t="b">
        <v>0</v>
      </c>
      <c r="AA2552" t="b">
        <v>0</v>
      </c>
      <c r="AC2552" s="82"/>
      <c r="AD2552" t="str">
        <f t="shared" si="71"/>
        <v/>
      </c>
      <c r="AE2552" t="str">
        <f t="shared" si="72"/>
        <v/>
      </c>
    </row>
    <row r="2553">
      <c r="D2553" s="226"/>
      <c r="H2553" s="474"/>
      <c r="I2553" s="474"/>
      <c r="J2553" s="475"/>
      <c r="K2553" s="275"/>
      <c r="L2553" s="82"/>
      <c r="M2553" s="672"/>
      <c r="N2553" s="242"/>
      <c r="O2553" s="242"/>
      <c r="P2553" s="242"/>
      <c r="Q2553" s="242"/>
      <c r="R2553" s="539"/>
      <c r="S2553" s="540"/>
      <c r="T2553" s="543"/>
      <c r="U2553" s="673" t="b">
        <v>0</v>
      </c>
      <c r="Z2553" t="b">
        <v>0</v>
      </c>
      <c r="AA2553" t="b">
        <v>0</v>
      </c>
      <c r="AC2553" s="82"/>
      <c r="AD2553" t="str">
        <f t="shared" si="71"/>
        <v/>
      </c>
      <c r="AE2553" t="str">
        <f t="shared" si="72"/>
        <v/>
      </c>
    </row>
    <row r="2554">
      <c r="D2554" s="226"/>
      <c r="H2554" s="474"/>
      <c r="I2554" s="474"/>
      <c r="J2554" s="475"/>
      <c r="K2554" s="275"/>
      <c r="L2554" s="82"/>
      <c r="M2554" s="672"/>
      <c r="N2554" s="242"/>
      <c r="O2554" s="242"/>
      <c r="P2554" s="242"/>
      <c r="Q2554" s="242"/>
      <c r="R2554" s="539"/>
      <c r="S2554" s="540"/>
      <c r="T2554" s="543"/>
      <c r="U2554" s="673" t="b">
        <v>0</v>
      </c>
      <c r="Z2554" t="b">
        <v>0</v>
      </c>
      <c r="AA2554" t="b">
        <v>0</v>
      </c>
      <c r="AC2554" s="82"/>
      <c r="AD2554" t="str">
        <f t="shared" si="71"/>
        <v/>
      </c>
      <c r="AE2554" t="str">
        <f t="shared" si="72"/>
        <v/>
      </c>
    </row>
    <row r="2555">
      <c r="D2555" s="226"/>
      <c r="H2555" s="474"/>
      <c r="I2555" s="474"/>
      <c r="J2555" s="475"/>
      <c r="K2555" s="275"/>
      <c r="L2555" s="82"/>
      <c r="M2555" s="672"/>
      <c r="N2555" s="242"/>
      <c r="O2555" s="242"/>
      <c r="P2555" s="242"/>
      <c r="Q2555" s="242"/>
      <c r="R2555" s="539"/>
      <c r="S2555" s="540"/>
      <c r="T2555" s="543"/>
      <c r="U2555" s="673" t="b">
        <v>0</v>
      </c>
      <c r="Z2555" t="b">
        <v>0</v>
      </c>
      <c r="AA2555" t="b">
        <v>0</v>
      </c>
      <c r="AC2555" s="82"/>
      <c r="AD2555" t="str">
        <f t="shared" si="71"/>
        <v/>
      </c>
      <c r="AE2555" t="str">
        <f t="shared" si="72"/>
        <v/>
      </c>
    </row>
    <row r="2556">
      <c r="D2556" s="226"/>
      <c r="H2556" s="474"/>
      <c r="I2556" s="474"/>
      <c r="J2556" s="475"/>
      <c r="K2556" s="275"/>
      <c r="L2556" s="82"/>
      <c r="M2556" s="672"/>
      <c r="N2556" s="242"/>
      <c r="O2556" s="242"/>
      <c r="P2556" s="242"/>
      <c r="Q2556" s="242"/>
      <c r="R2556" s="539"/>
      <c r="S2556" s="540"/>
      <c r="T2556" s="543"/>
      <c r="U2556" s="673" t="b">
        <v>0</v>
      </c>
      <c r="Z2556" t="b">
        <v>0</v>
      </c>
      <c r="AA2556" t="b">
        <v>0</v>
      </c>
      <c r="AC2556" s="82"/>
      <c r="AD2556" t="str">
        <f t="shared" si="71"/>
        <v/>
      </c>
      <c r="AE2556" t="str">
        <f t="shared" si="72"/>
        <v/>
      </c>
    </row>
    <row r="2557">
      <c r="D2557" s="226"/>
      <c r="H2557" s="474"/>
      <c r="I2557" s="474"/>
      <c r="J2557" s="475"/>
      <c r="K2557" s="275"/>
      <c r="L2557" s="82"/>
      <c r="M2557" s="672"/>
      <c r="N2557" s="242"/>
      <c r="O2557" s="242"/>
      <c r="P2557" s="242"/>
      <c r="Q2557" s="242"/>
      <c r="R2557" s="539"/>
      <c r="S2557" s="540"/>
      <c r="T2557" s="543"/>
      <c r="U2557" s="673" t="b">
        <v>0</v>
      </c>
      <c r="Z2557" t="b">
        <v>0</v>
      </c>
      <c r="AA2557" t="b">
        <v>0</v>
      </c>
      <c r="AC2557" s="82"/>
      <c r="AD2557" t="str">
        <f t="shared" si="71"/>
        <v/>
      </c>
      <c r="AE2557" t="str">
        <f t="shared" si="72"/>
        <v/>
      </c>
    </row>
    <row r="2558">
      <c r="D2558" s="226"/>
      <c r="H2558" s="474"/>
      <c r="I2558" s="474"/>
      <c r="J2558" s="475"/>
      <c r="K2558" s="275"/>
      <c r="L2558" s="82"/>
      <c r="M2558" s="672"/>
      <c r="N2558" s="242"/>
      <c r="O2558" s="242"/>
      <c r="P2558" s="242"/>
      <c r="Q2558" s="242"/>
      <c r="R2558" s="539"/>
      <c r="S2558" s="540"/>
      <c r="T2558" s="543"/>
      <c r="U2558" s="673" t="b">
        <v>0</v>
      </c>
      <c r="Z2558" t="b">
        <v>0</v>
      </c>
      <c r="AA2558" t="b">
        <v>0</v>
      </c>
      <c r="AC2558" s="82"/>
      <c r="AD2558" t="str">
        <f t="shared" si="71"/>
        <v/>
      </c>
      <c r="AE2558" t="str">
        <f t="shared" si="72"/>
        <v/>
      </c>
    </row>
    <row r="2559">
      <c r="D2559" s="226"/>
      <c r="H2559" s="474"/>
      <c r="I2559" s="474"/>
      <c r="J2559" s="475"/>
      <c r="K2559" s="275"/>
      <c r="L2559" s="82"/>
      <c r="M2559" s="672"/>
      <c r="N2559" s="242"/>
      <c r="O2559" s="242"/>
      <c r="P2559" s="242"/>
      <c r="Q2559" s="242"/>
      <c r="R2559" s="539"/>
      <c r="S2559" s="540"/>
      <c r="T2559" s="543"/>
      <c r="U2559" s="673" t="b">
        <v>0</v>
      </c>
      <c r="Z2559" t="b">
        <v>0</v>
      </c>
      <c r="AA2559" t="b">
        <v>0</v>
      </c>
      <c r="AC2559" s="82"/>
      <c r="AD2559" t="str">
        <f t="shared" si="71"/>
        <v/>
      </c>
      <c r="AE2559" t="str">
        <f t="shared" si="72"/>
        <v/>
      </c>
    </row>
    <row r="2560">
      <c r="D2560" s="226"/>
      <c r="H2560" s="474"/>
      <c r="I2560" s="474"/>
      <c r="J2560" s="475"/>
      <c r="K2560" s="275"/>
      <c r="L2560" s="82"/>
      <c r="M2560" s="672"/>
      <c r="N2560" s="242"/>
      <c r="O2560" s="242"/>
      <c r="P2560" s="242"/>
      <c r="Q2560" s="242"/>
      <c r="R2560" s="539"/>
      <c r="S2560" s="540"/>
      <c r="T2560" s="543"/>
      <c r="U2560" s="673" t="b">
        <v>0</v>
      </c>
      <c r="Z2560" t="b">
        <v>0</v>
      </c>
      <c r="AA2560" t="b">
        <v>0</v>
      </c>
      <c r="AC2560" s="82"/>
      <c r="AD2560" t="str">
        <f t="shared" si="71"/>
        <v/>
      </c>
      <c r="AE2560" t="str">
        <f t="shared" si="72"/>
        <v/>
      </c>
    </row>
    <row r="2561">
      <c r="D2561" s="226"/>
      <c r="H2561" s="474"/>
      <c r="I2561" s="474"/>
      <c r="J2561" s="475"/>
      <c r="K2561" s="275"/>
      <c r="L2561" s="82"/>
      <c r="M2561" s="672"/>
      <c r="N2561" s="242"/>
      <c r="O2561" s="242"/>
      <c r="P2561" s="242"/>
      <c r="Q2561" s="242"/>
      <c r="R2561" s="539"/>
      <c r="S2561" s="540"/>
      <c r="T2561" s="543"/>
      <c r="U2561" s="673" t="b">
        <v>0</v>
      </c>
      <c r="Z2561" t="b">
        <v>0</v>
      </c>
      <c r="AA2561" t="b">
        <v>0</v>
      </c>
      <c r="AC2561" s="82"/>
      <c r="AD2561" t="str">
        <f t="shared" si="71"/>
        <v/>
      </c>
      <c r="AE2561" t="str">
        <f t="shared" si="72"/>
        <v/>
      </c>
    </row>
    <row r="2562">
      <c r="D2562" s="226"/>
      <c r="H2562" s="474"/>
      <c r="I2562" s="474"/>
      <c r="J2562" s="475"/>
      <c r="K2562" s="275"/>
      <c r="L2562" s="82"/>
      <c r="M2562" s="672"/>
      <c r="N2562" s="242"/>
      <c r="O2562" s="242"/>
      <c r="P2562" s="242"/>
      <c r="Q2562" s="242"/>
      <c r="R2562" s="539"/>
      <c r="S2562" s="540"/>
      <c r="T2562" s="543"/>
      <c r="U2562" s="673" t="b">
        <v>0</v>
      </c>
      <c r="Z2562" t="b">
        <v>0</v>
      </c>
      <c r="AA2562" t="b">
        <v>0</v>
      </c>
      <c r="AC2562" s="82"/>
      <c r="AD2562" t="str">
        <f t="shared" si="71"/>
        <v/>
      </c>
      <c r="AE2562" t="str">
        <f t="shared" si="72"/>
        <v/>
      </c>
    </row>
    <row r="2563">
      <c r="D2563" s="226"/>
      <c r="H2563" s="474"/>
      <c r="I2563" s="474"/>
      <c r="J2563" s="475"/>
      <c r="K2563" s="275"/>
      <c r="L2563" s="82"/>
      <c r="M2563" s="672"/>
      <c r="N2563" s="242"/>
      <c r="O2563" s="242"/>
      <c r="P2563" s="242"/>
      <c r="Q2563" s="242"/>
      <c r="R2563" s="539"/>
      <c r="S2563" s="540"/>
      <c r="T2563" s="543"/>
      <c r="U2563" s="673" t="b">
        <v>0</v>
      </c>
      <c r="Z2563" t="b">
        <v>0</v>
      </c>
      <c r="AA2563" t="b">
        <v>0</v>
      </c>
      <c r="AC2563" s="82"/>
      <c r="AD2563" t="str">
        <f t="shared" si="71"/>
        <v/>
      </c>
      <c r="AE2563" t="str">
        <f t="shared" si="72"/>
        <v/>
      </c>
    </row>
    <row r="2564">
      <c r="D2564" s="226"/>
      <c r="H2564" s="474"/>
      <c r="I2564" s="474"/>
      <c r="J2564" s="475"/>
      <c r="K2564" s="275"/>
      <c r="L2564" s="82"/>
      <c r="M2564" s="672"/>
      <c r="N2564" s="242"/>
      <c r="O2564" s="242"/>
      <c r="P2564" s="242"/>
      <c r="Q2564" s="242"/>
      <c r="R2564" s="539"/>
      <c r="S2564" s="540"/>
      <c r="T2564" s="543"/>
      <c r="U2564" s="673" t="b">
        <v>0</v>
      </c>
      <c r="Z2564" t="b">
        <v>0</v>
      </c>
      <c r="AA2564" t="b">
        <v>0</v>
      </c>
      <c r="AC2564" s="82"/>
      <c r="AD2564" t="str">
        <f t="shared" si="71"/>
        <v/>
      </c>
      <c r="AE2564" t="str">
        <f t="shared" si="72"/>
        <v/>
      </c>
    </row>
    <row r="2565">
      <c r="D2565" s="226"/>
      <c r="H2565" s="474"/>
      <c r="I2565" s="474"/>
      <c r="J2565" s="475"/>
      <c r="K2565" s="275"/>
      <c r="L2565" s="82"/>
      <c r="M2565" s="672"/>
      <c r="N2565" s="242"/>
      <c r="O2565" s="242"/>
      <c r="P2565" s="242"/>
      <c r="Q2565" s="242"/>
      <c r="R2565" s="539"/>
      <c r="S2565" s="540"/>
      <c r="T2565" s="543"/>
      <c r="U2565" s="673" t="b">
        <v>0</v>
      </c>
      <c r="Z2565" t="b">
        <v>0</v>
      </c>
      <c r="AA2565" t="b">
        <v>0</v>
      </c>
      <c r="AC2565" s="82"/>
      <c r="AD2565" t="str">
        <f t="shared" si="71"/>
        <v/>
      </c>
      <c r="AE2565" t="str">
        <f t="shared" si="72"/>
        <v/>
      </c>
    </row>
    <row r="2566">
      <c r="D2566" s="226"/>
      <c r="H2566" s="474"/>
      <c r="I2566" s="474"/>
      <c r="J2566" s="475"/>
      <c r="K2566" s="275"/>
      <c r="L2566" s="82"/>
      <c r="M2566" s="672"/>
      <c r="N2566" s="242"/>
      <c r="O2566" s="242"/>
      <c r="P2566" s="242"/>
      <c r="Q2566" s="242"/>
      <c r="R2566" s="539"/>
      <c r="S2566" s="540"/>
      <c r="T2566" s="543"/>
      <c r="U2566" s="673" t="b">
        <v>0</v>
      </c>
      <c r="Z2566" t="b">
        <v>0</v>
      </c>
      <c r="AA2566" t="b">
        <v>0</v>
      </c>
      <c r="AC2566" s="82"/>
      <c r="AD2566" t="str">
        <f t="shared" si="71"/>
        <v/>
      </c>
      <c r="AE2566" t="str">
        <f t="shared" si="72"/>
        <v/>
      </c>
    </row>
    <row r="2567">
      <c r="D2567" s="226"/>
      <c r="H2567" s="474"/>
      <c r="I2567" s="474"/>
      <c r="J2567" s="475"/>
      <c r="K2567" s="275"/>
      <c r="L2567" s="82"/>
      <c r="M2567" s="672"/>
      <c r="N2567" s="242"/>
      <c r="O2567" s="242"/>
      <c r="P2567" s="242"/>
      <c r="Q2567" s="242"/>
      <c r="R2567" s="539"/>
      <c r="S2567" s="540"/>
      <c r="T2567" s="543"/>
      <c r="U2567" s="673" t="b">
        <v>0</v>
      </c>
      <c r="Z2567" t="b">
        <v>0</v>
      </c>
      <c r="AA2567" t="b">
        <v>0</v>
      </c>
      <c r="AC2567" s="82"/>
      <c r="AD2567" t="str">
        <f t="shared" si="71"/>
        <v/>
      </c>
      <c r="AE2567" t="str">
        <f t="shared" si="72"/>
        <v/>
      </c>
    </row>
    <row r="2568">
      <c r="D2568" s="226"/>
      <c r="H2568" s="474"/>
      <c r="I2568" s="474"/>
      <c r="J2568" s="475"/>
      <c r="K2568" s="275"/>
      <c r="L2568" s="82"/>
      <c r="M2568" s="672"/>
      <c r="N2568" s="242"/>
      <c r="O2568" s="242"/>
      <c r="P2568" s="242"/>
      <c r="Q2568" s="242"/>
      <c r="R2568" s="539"/>
      <c r="S2568" s="540"/>
      <c r="T2568" s="543"/>
      <c r="U2568" s="673" t="b">
        <v>0</v>
      </c>
      <c r="Z2568" t="b">
        <v>0</v>
      </c>
      <c r="AA2568" t="b">
        <v>0</v>
      </c>
      <c r="AC2568" s="82"/>
      <c r="AD2568" t="str">
        <f t="shared" si="71"/>
        <v/>
      </c>
      <c r="AE2568" t="str">
        <f t="shared" si="72"/>
        <v/>
      </c>
    </row>
    <row r="2569">
      <c r="D2569" s="226"/>
      <c r="H2569" s="474"/>
      <c r="I2569" s="474"/>
      <c r="J2569" s="475"/>
      <c r="K2569" s="275"/>
      <c r="L2569" s="82"/>
      <c r="M2569" s="672"/>
      <c r="N2569" s="242"/>
      <c r="O2569" s="242"/>
      <c r="P2569" s="242"/>
      <c r="Q2569" s="242"/>
      <c r="R2569" s="539"/>
      <c r="S2569" s="540"/>
      <c r="T2569" s="543"/>
      <c r="U2569" s="673" t="b">
        <v>0</v>
      </c>
      <c r="Z2569" t="b">
        <v>0</v>
      </c>
      <c r="AA2569" t="b">
        <v>0</v>
      </c>
      <c r="AC2569" s="82"/>
      <c r="AD2569" t="str">
        <f t="shared" si="71"/>
        <v/>
      </c>
      <c r="AE2569" t="str">
        <f t="shared" si="72"/>
        <v/>
      </c>
    </row>
    <row r="2570">
      <c r="D2570" s="226"/>
      <c r="H2570" s="474"/>
      <c r="I2570" s="474"/>
      <c r="J2570" s="475"/>
      <c r="K2570" s="275"/>
      <c r="L2570" s="82"/>
      <c r="M2570" s="672"/>
      <c r="N2570" s="242"/>
      <c r="O2570" s="242"/>
      <c r="P2570" s="242"/>
      <c r="Q2570" s="242"/>
      <c r="R2570" s="539"/>
      <c r="S2570" s="540"/>
      <c r="T2570" s="543"/>
      <c r="U2570" s="673" t="b">
        <v>0</v>
      </c>
      <c r="Z2570" t="b">
        <v>0</v>
      </c>
      <c r="AA2570" t="b">
        <v>0</v>
      </c>
      <c r="AC2570" s="82"/>
      <c r="AD2570" t="str">
        <f t="shared" si="71"/>
        <v/>
      </c>
      <c r="AE2570" t="str">
        <f t="shared" si="72"/>
        <v/>
      </c>
    </row>
    <row r="2571">
      <c r="D2571" s="226"/>
      <c r="H2571" s="474"/>
      <c r="I2571" s="474"/>
      <c r="J2571" s="475"/>
      <c r="K2571" s="275"/>
      <c r="L2571" s="82"/>
      <c r="M2571" s="672"/>
      <c r="N2571" s="242"/>
      <c r="O2571" s="242"/>
      <c r="P2571" s="242"/>
      <c r="Q2571" s="242"/>
      <c r="R2571" s="539"/>
      <c r="S2571" s="540"/>
      <c r="T2571" s="543"/>
      <c r="U2571" s="673" t="b">
        <v>0</v>
      </c>
      <c r="Z2571" t="b">
        <v>0</v>
      </c>
      <c r="AA2571" t="b">
        <v>0</v>
      </c>
      <c r="AC2571" s="82"/>
      <c r="AD2571" t="str">
        <f t="shared" si="71"/>
        <v/>
      </c>
      <c r="AE2571" t="str">
        <f t="shared" si="72"/>
        <v/>
      </c>
    </row>
    <row r="2572">
      <c r="D2572" s="226"/>
      <c r="H2572" s="474"/>
      <c r="I2572" s="474"/>
      <c r="J2572" s="475"/>
      <c r="K2572" s="275"/>
      <c r="L2572" s="82"/>
      <c r="M2572" s="672"/>
      <c r="N2572" s="242"/>
      <c r="O2572" s="242"/>
      <c r="P2572" s="242"/>
      <c r="Q2572" s="242"/>
      <c r="R2572" s="539"/>
      <c r="S2572" s="540"/>
      <c r="T2572" s="543"/>
      <c r="U2572" s="673" t="b">
        <v>0</v>
      </c>
      <c r="Z2572" t="b">
        <v>0</v>
      </c>
      <c r="AA2572" t="b">
        <v>0</v>
      </c>
      <c r="AC2572" s="82"/>
      <c r="AD2572" t="str">
        <f t="shared" si="71"/>
        <v/>
      </c>
      <c r="AE2572" t="str">
        <f t="shared" si="72"/>
        <v/>
      </c>
    </row>
    <row r="2573">
      <c r="D2573" s="226"/>
      <c r="H2573" s="474"/>
      <c r="I2573" s="474"/>
      <c r="J2573" s="475"/>
      <c r="K2573" s="275"/>
      <c r="L2573" s="82"/>
      <c r="M2573" s="672"/>
      <c r="N2573" s="242"/>
      <c r="O2573" s="242"/>
      <c r="P2573" s="242"/>
      <c r="Q2573" s="242"/>
      <c r="R2573" s="539"/>
      <c r="S2573" s="540"/>
      <c r="T2573" s="543"/>
      <c r="U2573" s="673" t="b">
        <v>0</v>
      </c>
      <c r="Z2573" t="b">
        <v>0</v>
      </c>
      <c r="AA2573" t="b">
        <v>0</v>
      </c>
      <c r="AC2573" s="82"/>
      <c r="AD2573" t="str">
        <f t="shared" si="71"/>
        <v/>
      </c>
      <c r="AE2573" t="str">
        <f t="shared" si="72"/>
        <v/>
      </c>
    </row>
    <row r="2574">
      <c r="D2574" s="226"/>
      <c r="H2574" s="474"/>
      <c r="I2574" s="474"/>
      <c r="J2574" s="475"/>
      <c r="K2574" s="275"/>
      <c r="L2574" s="82"/>
      <c r="M2574" s="672"/>
      <c r="N2574" s="242"/>
      <c r="O2574" s="242"/>
      <c r="P2574" s="242"/>
      <c r="Q2574" s="242"/>
      <c r="R2574" s="539"/>
      <c r="S2574" s="540"/>
      <c r="T2574" s="543"/>
      <c r="U2574" s="673" t="b">
        <v>0</v>
      </c>
      <c r="Z2574" t="b">
        <v>0</v>
      </c>
      <c r="AA2574" t="b">
        <v>0</v>
      </c>
      <c r="AC2574" s="82"/>
      <c r="AD2574" t="str">
        <f t="shared" si="71"/>
        <v/>
      </c>
      <c r="AE2574" t="str">
        <f t="shared" si="72"/>
        <v/>
      </c>
    </row>
    <row r="2575">
      <c r="D2575" s="226"/>
      <c r="H2575" s="474"/>
      <c r="I2575" s="474"/>
      <c r="J2575" s="475"/>
      <c r="K2575" s="275"/>
      <c r="L2575" s="82"/>
      <c r="M2575" s="672"/>
      <c r="N2575" s="242"/>
      <c r="O2575" s="242"/>
      <c r="P2575" s="242"/>
      <c r="Q2575" s="242"/>
      <c r="R2575" s="539"/>
      <c r="S2575" s="540"/>
      <c r="T2575" s="543"/>
      <c r="U2575" s="673" t="b">
        <v>0</v>
      </c>
      <c r="Z2575" t="b">
        <v>0</v>
      </c>
      <c r="AA2575" t="b">
        <v>0</v>
      </c>
      <c r="AC2575" s="82"/>
      <c r="AD2575" t="str">
        <f t="shared" si="71"/>
        <v/>
      </c>
      <c r="AE2575" t="str">
        <f t="shared" si="72"/>
        <v/>
      </c>
    </row>
    <row r="2576">
      <c r="D2576" s="226"/>
      <c r="H2576" s="474"/>
      <c r="I2576" s="474"/>
      <c r="J2576" s="475"/>
      <c r="K2576" s="275"/>
      <c r="L2576" s="82"/>
      <c r="M2576" s="672"/>
      <c r="N2576" s="242"/>
      <c r="O2576" s="242"/>
      <c r="P2576" s="242"/>
      <c r="Q2576" s="242"/>
      <c r="R2576" s="539"/>
      <c r="S2576" s="540"/>
      <c r="T2576" s="543"/>
      <c r="U2576" s="673" t="b">
        <v>0</v>
      </c>
      <c r="Z2576" t="b">
        <v>0</v>
      </c>
      <c r="AA2576" t="b">
        <v>0</v>
      </c>
      <c r="AC2576" s="82"/>
      <c r="AD2576" t="str">
        <f t="shared" si="71"/>
        <v/>
      </c>
      <c r="AE2576" t="str">
        <f t="shared" si="72"/>
        <v/>
      </c>
    </row>
    <row r="2577">
      <c r="D2577" s="226"/>
      <c r="H2577" s="474"/>
      <c r="I2577" s="474"/>
      <c r="J2577" s="475"/>
      <c r="K2577" s="275"/>
      <c r="L2577" s="82"/>
      <c r="M2577" s="672"/>
      <c r="N2577" s="242"/>
      <c r="O2577" s="242"/>
      <c r="P2577" s="242"/>
      <c r="Q2577" s="242"/>
      <c r="R2577" s="539"/>
      <c r="S2577" s="540"/>
      <c r="T2577" s="543"/>
      <c r="U2577" s="673" t="b">
        <v>0</v>
      </c>
      <c r="Z2577" t="b">
        <v>0</v>
      </c>
      <c r="AA2577" t="b">
        <v>0</v>
      </c>
      <c r="AC2577" s="82"/>
      <c r="AD2577" t="str">
        <f t="shared" si="71"/>
        <v/>
      </c>
      <c r="AE2577" t="str">
        <f t="shared" si="72"/>
        <v/>
      </c>
    </row>
    <row r="2578">
      <c r="D2578" s="226"/>
      <c r="H2578" s="474"/>
      <c r="I2578" s="474"/>
      <c r="J2578" s="475"/>
      <c r="K2578" s="275"/>
      <c r="L2578" s="82"/>
      <c r="M2578" s="672"/>
      <c r="N2578" s="242"/>
      <c r="O2578" s="242"/>
      <c r="P2578" s="242"/>
      <c r="Q2578" s="242"/>
      <c r="R2578" s="539"/>
      <c r="S2578" s="540"/>
      <c r="T2578" s="543"/>
      <c r="U2578" s="673" t="b">
        <v>0</v>
      </c>
      <c r="Z2578" t="b">
        <v>0</v>
      </c>
      <c r="AA2578" t="b">
        <v>0</v>
      </c>
      <c r="AC2578" s="82"/>
      <c r="AD2578" t="str">
        <f t="shared" si="71"/>
        <v/>
      </c>
      <c r="AE2578" t="str">
        <f t="shared" si="72"/>
        <v/>
      </c>
    </row>
    <row r="2579">
      <c r="D2579" s="226"/>
      <c r="H2579" s="474"/>
      <c r="I2579" s="474"/>
      <c r="J2579" s="475"/>
      <c r="K2579" s="275"/>
      <c r="L2579" s="82"/>
      <c r="M2579" s="672"/>
      <c r="N2579" s="242"/>
      <c r="O2579" s="242"/>
      <c r="P2579" s="242"/>
      <c r="Q2579" s="242"/>
      <c r="R2579" s="539"/>
      <c r="S2579" s="540"/>
      <c r="T2579" s="543"/>
      <c r="U2579" s="673" t="b">
        <v>0</v>
      </c>
      <c r="Z2579" t="b">
        <v>0</v>
      </c>
      <c r="AA2579" t="b">
        <v>0</v>
      </c>
      <c r="AC2579" s="82"/>
      <c r="AD2579" t="str">
        <f t="shared" si="71"/>
        <v/>
      </c>
      <c r="AE2579" t="str">
        <f t="shared" si="72"/>
        <v/>
      </c>
    </row>
    <row r="2580">
      <c r="D2580" s="226"/>
      <c r="H2580" s="474"/>
      <c r="I2580" s="474"/>
      <c r="J2580" s="475"/>
      <c r="K2580" s="275"/>
      <c r="L2580" s="82"/>
      <c r="M2580" s="672"/>
      <c r="N2580" s="242"/>
      <c r="O2580" s="242"/>
      <c r="P2580" s="242"/>
      <c r="Q2580" s="242"/>
      <c r="R2580" s="539"/>
      <c r="S2580" s="540"/>
      <c r="T2580" s="543"/>
      <c r="U2580" s="673" t="b">
        <v>0</v>
      </c>
      <c r="Z2580" t="b">
        <v>0</v>
      </c>
      <c r="AA2580" t="b">
        <v>0</v>
      </c>
      <c r="AC2580" s="82"/>
      <c r="AD2580" t="str">
        <f t="shared" si="71"/>
        <v/>
      </c>
      <c r="AE2580" t="str">
        <f t="shared" si="72"/>
        <v/>
      </c>
    </row>
    <row r="2581">
      <c r="D2581" s="226"/>
      <c r="H2581" s="474"/>
      <c r="I2581" s="474"/>
      <c r="J2581" s="475"/>
      <c r="K2581" s="275"/>
      <c r="L2581" s="82"/>
      <c r="M2581" s="672"/>
      <c r="N2581" s="242"/>
      <c r="O2581" s="242"/>
      <c r="P2581" s="242"/>
      <c r="Q2581" s="242"/>
      <c r="R2581" s="539"/>
      <c r="S2581" s="540"/>
      <c r="T2581" s="543"/>
      <c r="U2581" s="673" t="b">
        <v>0</v>
      </c>
      <c r="Z2581" t="b">
        <v>0</v>
      </c>
      <c r="AA2581" t="b">
        <v>0</v>
      </c>
      <c r="AC2581" s="82"/>
      <c r="AD2581" t="str">
        <f t="shared" si="71"/>
        <v/>
      </c>
      <c r="AE2581" t="str">
        <f t="shared" si="72"/>
        <v/>
      </c>
    </row>
    <row r="2582">
      <c r="D2582" s="226"/>
      <c r="H2582" s="474"/>
      <c r="I2582" s="474"/>
      <c r="J2582" s="475"/>
      <c r="K2582" s="275"/>
      <c r="L2582" s="82"/>
      <c r="M2582" s="672"/>
      <c r="N2582" s="242"/>
      <c r="O2582" s="242"/>
      <c r="P2582" s="242"/>
      <c r="Q2582" s="242"/>
      <c r="R2582" s="539"/>
      <c r="S2582" s="540"/>
      <c r="T2582" s="543"/>
      <c r="U2582" s="673" t="b">
        <v>0</v>
      </c>
      <c r="Z2582" t="b">
        <v>0</v>
      </c>
      <c r="AA2582" t="b">
        <v>0</v>
      </c>
      <c r="AC2582" s="82"/>
      <c r="AD2582" t="str">
        <f t="shared" si="71"/>
        <v/>
      </c>
      <c r="AE2582" t="str">
        <f t="shared" si="72"/>
        <v/>
      </c>
    </row>
    <row r="2583">
      <c r="D2583" s="226"/>
      <c r="H2583" s="474"/>
      <c r="I2583" s="474"/>
      <c r="J2583" s="475"/>
      <c r="K2583" s="275"/>
      <c r="L2583" s="82"/>
      <c r="M2583" s="672"/>
      <c r="N2583" s="242"/>
      <c r="O2583" s="242"/>
      <c r="P2583" s="242"/>
      <c r="Q2583" s="242"/>
      <c r="R2583" s="539"/>
      <c r="S2583" s="540"/>
      <c r="T2583" s="543"/>
      <c r="U2583" s="673" t="b">
        <v>0</v>
      </c>
      <c r="Z2583" t="b">
        <v>0</v>
      </c>
      <c r="AA2583" t="b">
        <v>0</v>
      </c>
      <c r="AC2583" s="82"/>
      <c r="AD2583" t="str">
        <f t="shared" si="71"/>
        <v/>
      </c>
      <c r="AE2583" t="str">
        <f t="shared" si="72"/>
        <v/>
      </c>
    </row>
    <row r="2584">
      <c r="D2584" s="226"/>
      <c r="H2584" s="474"/>
      <c r="I2584" s="474"/>
      <c r="J2584" s="475"/>
      <c r="K2584" s="275"/>
      <c r="L2584" s="82"/>
      <c r="M2584" s="672"/>
      <c r="N2584" s="242"/>
      <c r="O2584" s="242"/>
      <c r="P2584" s="242"/>
      <c r="Q2584" s="242"/>
      <c r="R2584" s="539"/>
      <c r="S2584" s="540"/>
      <c r="T2584" s="543"/>
      <c r="U2584" s="673" t="b">
        <v>0</v>
      </c>
      <c r="Z2584" t="b">
        <v>0</v>
      </c>
      <c r="AA2584" t="b">
        <v>0</v>
      </c>
      <c r="AC2584" s="82"/>
      <c r="AD2584" t="str">
        <f t="shared" si="71"/>
        <v/>
      </c>
      <c r="AE2584" t="str">
        <f t="shared" si="72"/>
        <v/>
      </c>
    </row>
    <row r="2585">
      <c r="D2585" s="226"/>
      <c r="H2585" s="474"/>
      <c r="I2585" s="474"/>
      <c r="J2585" s="475"/>
      <c r="K2585" s="275"/>
      <c r="L2585" s="82"/>
      <c r="M2585" s="672"/>
      <c r="N2585" s="242"/>
      <c r="O2585" s="242"/>
      <c r="P2585" s="242"/>
      <c r="Q2585" s="242"/>
      <c r="R2585" s="539"/>
      <c r="S2585" s="540"/>
      <c r="T2585" s="543"/>
      <c r="U2585" s="673" t="b">
        <v>0</v>
      </c>
      <c r="Z2585" t="b">
        <v>0</v>
      </c>
      <c r="AA2585" t="b">
        <v>0</v>
      </c>
      <c r="AC2585" s="82"/>
      <c r="AD2585" t="str">
        <f t="shared" si="71"/>
        <v/>
      </c>
      <c r="AE2585" t="str">
        <f t="shared" si="72"/>
        <v/>
      </c>
    </row>
    <row r="2586">
      <c r="D2586" s="226"/>
      <c r="H2586" s="474"/>
      <c r="I2586" s="474"/>
      <c r="J2586" s="475"/>
      <c r="K2586" s="275"/>
      <c r="L2586" s="82"/>
      <c r="M2586" s="672"/>
      <c r="N2586" s="242"/>
      <c r="O2586" s="242"/>
      <c r="P2586" s="242"/>
      <c r="Q2586" s="242"/>
      <c r="R2586" s="539"/>
      <c r="S2586" s="540"/>
      <c r="T2586" s="543"/>
      <c r="U2586" s="673" t="b">
        <v>0</v>
      </c>
      <c r="Z2586" t="b">
        <v>0</v>
      </c>
      <c r="AA2586" t="b">
        <v>0</v>
      </c>
      <c r="AC2586" s="82"/>
      <c r="AD2586" t="str">
        <f t="shared" si="71"/>
        <v/>
      </c>
      <c r="AE2586" t="str">
        <f t="shared" si="72"/>
        <v/>
      </c>
    </row>
    <row r="2587">
      <c r="D2587" s="226"/>
      <c r="H2587" s="474"/>
      <c r="I2587" s="474"/>
      <c r="J2587" s="475"/>
      <c r="K2587" s="275"/>
      <c r="L2587" s="82"/>
      <c r="M2587" s="672"/>
      <c r="N2587" s="242"/>
      <c r="O2587" s="242"/>
      <c r="P2587" s="242"/>
      <c r="Q2587" s="242"/>
      <c r="R2587" s="539"/>
      <c r="S2587" s="540"/>
      <c r="T2587" s="543"/>
      <c r="U2587" s="673" t="b">
        <v>0</v>
      </c>
      <c r="Z2587" t="b">
        <v>0</v>
      </c>
      <c r="AA2587" t="b">
        <v>0</v>
      </c>
      <c r="AC2587" s="82"/>
      <c r="AD2587" t="str">
        <f t="shared" si="71"/>
        <v/>
      </c>
      <c r="AE2587" t="str">
        <f t="shared" si="72"/>
        <v/>
      </c>
    </row>
    <row r="2588">
      <c r="D2588" s="226"/>
      <c r="H2588" s="474"/>
      <c r="I2588" s="474"/>
      <c r="J2588" s="475"/>
      <c r="K2588" s="275"/>
      <c r="L2588" s="82"/>
      <c r="M2588" s="672"/>
      <c r="N2588" s="242"/>
      <c r="O2588" s="242"/>
      <c r="P2588" s="242"/>
      <c r="Q2588" s="242"/>
      <c r="R2588" s="539"/>
      <c r="S2588" s="540"/>
      <c r="T2588" s="543"/>
      <c r="U2588" s="673" t="b">
        <v>0</v>
      </c>
      <c r="Z2588" t="b">
        <v>0</v>
      </c>
      <c r="AA2588" t="b">
        <v>0</v>
      </c>
      <c r="AC2588" s="82"/>
      <c r="AD2588" t="str">
        <f t="shared" si="71"/>
        <v/>
      </c>
      <c r="AE2588" t="str">
        <f t="shared" si="72"/>
        <v/>
      </c>
    </row>
    <row r="2589">
      <c r="D2589" s="226"/>
      <c r="H2589" s="474"/>
      <c r="I2589" s="474"/>
      <c r="J2589" s="475"/>
      <c r="K2589" s="275"/>
      <c r="L2589" s="82"/>
      <c r="M2589" s="672"/>
      <c r="N2589" s="242"/>
      <c r="O2589" s="242"/>
      <c r="P2589" s="242"/>
      <c r="Q2589" s="242"/>
      <c r="R2589" s="539"/>
      <c r="S2589" s="540"/>
      <c r="T2589" s="543"/>
      <c r="U2589" s="673" t="b">
        <v>0</v>
      </c>
      <c r="Z2589" t="b">
        <v>0</v>
      </c>
      <c r="AA2589" t="b">
        <v>0</v>
      </c>
      <c r="AC2589" s="82"/>
      <c r="AD2589" t="str">
        <f t="shared" si="71"/>
        <v/>
      </c>
      <c r="AE2589" t="str">
        <f t="shared" si="72"/>
        <v/>
      </c>
    </row>
    <row r="2590">
      <c r="D2590" s="226"/>
      <c r="H2590" s="474"/>
      <c r="I2590" s="474"/>
      <c r="J2590" s="475"/>
      <c r="K2590" s="275"/>
      <c r="L2590" s="82"/>
      <c r="M2590" s="672"/>
      <c r="N2590" s="242"/>
      <c r="O2590" s="242"/>
      <c r="P2590" s="242"/>
      <c r="Q2590" s="242"/>
      <c r="R2590" s="539"/>
      <c r="S2590" s="540"/>
      <c r="T2590" s="543"/>
      <c r="U2590" s="673" t="b">
        <v>0</v>
      </c>
      <c r="Z2590" t="b">
        <v>0</v>
      </c>
      <c r="AA2590" t="b">
        <v>0</v>
      </c>
      <c r="AC2590" s="82"/>
      <c r="AD2590" t="str">
        <f t="shared" si="71"/>
        <v/>
      </c>
      <c r="AE2590" t="str">
        <f t="shared" si="72"/>
        <v/>
      </c>
    </row>
    <row r="2591">
      <c r="D2591" s="226"/>
      <c r="H2591" s="474"/>
      <c r="I2591" s="474"/>
      <c r="J2591" s="475"/>
      <c r="K2591" s="275"/>
      <c r="L2591" s="82"/>
      <c r="M2591" s="672"/>
      <c r="N2591" s="242"/>
      <c r="O2591" s="242"/>
      <c r="P2591" s="242"/>
      <c r="Q2591" s="242"/>
      <c r="R2591" s="539"/>
      <c r="S2591" s="540"/>
      <c r="T2591" s="543"/>
      <c r="U2591" s="673" t="b">
        <v>0</v>
      </c>
      <c r="Z2591" t="b">
        <v>0</v>
      </c>
      <c r="AA2591" t="b">
        <v>0</v>
      </c>
      <c r="AC2591" s="82"/>
      <c r="AD2591" t="str">
        <f t="shared" si="71"/>
        <v/>
      </c>
      <c r="AE2591" t="str">
        <f t="shared" si="72"/>
        <v/>
      </c>
    </row>
    <row r="2592">
      <c r="D2592" s="226"/>
      <c r="H2592" s="474"/>
      <c r="I2592" s="474"/>
      <c r="J2592" s="475"/>
      <c r="K2592" s="275"/>
      <c r="L2592" s="82"/>
      <c r="M2592" s="672"/>
      <c r="N2592" s="242"/>
      <c r="O2592" s="242"/>
      <c r="P2592" s="242"/>
      <c r="Q2592" s="242"/>
      <c r="R2592" s="539"/>
      <c r="S2592" s="540"/>
      <c r="T2592" s="543"/>
      <c r="U2592" s="673" t="b">
        <v>0</v>
      </c>
      <c r="Z2592" t="b">
        <v>0</v>
      </c>
      <c r="AA2592" t="b">
        <v>0</v>
      </c>
      <c r="AC2592" s="82"/>
      <c r="AD2592" t="str">
        <f t="shared" si="71"/>
        <v/>
      </c>
      <c r="AE2592" t="str">
        <f t="shared" si="72"/>
        <v/>
      </c>
    </row>
    <row r="2593">
      <c r="D2593" s="226"/>
      <c r="H2593" s="474"/>
      <c r="I2593" s="474"/>
      <c r="J2593" s="475"/>
      <c r="K2593" s="275"/>
      <c r="L2593" s="82"/>
      <c r="M2593" s="672"/>
      <c r="N2593" s="242"/>
      <c r="O2593" s="242"/>
      <c r="P2593" s="242"/>
      <c r="Q2593" s="242"/>
      <c r="R2593" s="539"/>
      <c r="S2593" s="540"/>
      <c r="T2593" s="543"/>
      <c r="U2593" s="673" t="b">
        <v>0</v>
      </c>
      <c r="Z2593" t="b">
        <v>0</v>
      </c>
      <c r="AA2593" t="b">
        <v>0</v>
      </c>
      <c r="AC2593" s="82"/>
      <c r="AD2593" t="str">
        <f t="shared" si="71"/>
        <v/>
      </c>
      <c r="AE2593" t="str">
        <f t="shared" si="72"/>
        <v/>
      </c>
    </row>
    <row r="2594">
      <c r="D2594" s="226"/>
      <c r="H2594" s="474"/>
      <c r="I2594" s="474"/>
      <c r="J2594" s="475"/>
      <c r="K2594" s="275"/>
      <c r="L2594" s="82"/>
      <c r="M2594" s="672"/>
      <c r="N2594" s="242"/>
      <c r="O2594" s="242"/>
      <c r="P2594" s="242"/>
      <c r="Q2594" s="242"/>
      <c r="R2594" s="539"/>
      <c r="S2594" s="540"/>
      <c r="T2594" s="543"/>
      <c r="U2594" s="673" t="b">
        <v>0</v>
      </c>
      <c r="Z2594" t="b">
        <v>0</v>
      </c>
      <c r="AA2594" t="b">
        <v>0</v>
      </c>
      <c r="AC2594" s="82"/>
      <c r="AD2594" t="str">
        <f t="shared" si="71"/>
        <v/>
      </c>
      <c r="AE2594" t="str">
        <f t="shared" si="72"/>
        <v/>
      </c>
    </row>
    <row r="2595">
      <c r="D2595" s="226"/>
      <c r="H2595" s="474"/>
      <c r="I2595" s="474"/>
      <c r="J2595" s="475"/>
      <c r="K2595" s="275"/>
      <c r="L2595" s="82"/>
      <c r="M2595" s="672"/>
      <c r="N2595" s="242"/>
      <c r="O2595" s="242"/>
      <c r="P2595" s="242"/>
      <c r="Q2595" s="242"/>
      <c r="R2595" s="539"/>
      <c r="S2595" s="540"/>
      <c r="T2595" s="543"/>
      <c r="U2595" s="673" t="b">
        <v>0</v>
      </c>
      <c r="Z2595" t="b">
        <v>0</v>
      </c>
      <c r="AA2595" t="b">
        <v>0</v>
      </c>
      <c r="AC2595" s="82"/>
      <c r="AD2595" t="str">
        <f t="shared" si="71"/>
        <v/>
      </c>
      <c r="AE2595" t="str">
        <f t="shared" si="72"/>
        <v/>
      </c>
    </row>
    <row r="2596">
      <c r="D2596" s="226"/>
      <c r="H2596" s="474"/>
      <c r="I2596" s="474"/>
      <c r="J2596" s="475"/>
      <c r="K2596" s="275"/>
      <c r="L2596" s="82"/>
      <c r="M2596" s="672"/>
      <c r="N2596" s="242"/>
      <c r="O2596" s="242"/>
      <c r="P2596" s="242"/>
      <c r="Q2596" s="242"/>
      <c r="R2596" s="539"/>
      <c r="S2596" s="540"/>
      <c r="T2596" s="543"/>
      <c r="U2596" s="673" t="b">
        <v>0</v>
      </c>
      <c r="Z2596" t="b">
        <v>0</v>
      </c>
      <c r="AA2596" t="b">
        <v>0</v>
      </c>
      <c r="AC2596" s="82"/>
      <c r="AD2596" t="str">
        <f t="shared" si="71"/>
        <v/>
      </c>
      <c r="AE2596" t="str">
        <f t="shared" si="72"/>
        <v/>
      </c>
    </row>
    <row r="2597">
      <c r="D2597" s="226"/>
      <c r="H2597" s="474"/>
      <c r="I2597" s="474"/>
      <c r="J2597" s="475"/>
      <c r="K2597" s="275"/>
      <c r="L2597" s="82"/>
      <c r="M2597" s="672"/>
      <c r="N2597" s="242"/>
      <c r="O2597" s="242"/>
      <c r="P2597" s="242"/>
      <c r="Q2597" s="242"/>
      <c r="R2597" s="539"/>
      <c r="S2597" s="540"/>
      <c r="T2597" s="543"/>
      <c r="U2597" s="673" t="b">
        <v>0</v>
      </c>
      <c r="Z2597" t="b">
        <v>0</v>
      </c>
      <c r="AA2597" t="b">
        <v>0</v>
      </c>
      <c r="AC2597" s="82"/>
      <c r="AD2597" t="str">
        <f t="shared" si="71"/>
        <v/>
      </c>
      <c r="AE2597" t="str">
        <f t="shared" si="72"/>
        <v/>
      </c>
    </row>
    <row r="2598">
      <c r="D2598" s="226"/>
      <c r="H2598" s="474"/>
      <c r="I2598" s="474"/>
      <c r="J2598" s="475"/>
      <c r="K2598" s="275"/>
      <c r="L2598" s="82"/>
      <c r="M2598" s="672"/>
      <c r="N2598" s="242"/>
      <c r="O2598" s="242"/>
      <c r="P2598" s="242"/>
      <c r="Q2598" s="242"/>
      <c r="R2598" s="539"/>
      <c r="S2598" s="540"/>
      <c r="T2598" s="543"/>
      <c r="U2598" s="673" t="b">
        <v>0</v>
      </c>
      <c r="Z2598" t="b">
        <v>0</v>
      </c>
      <c r="AA2598" t="b">
        <v>0</v>
      </c>
      <c r="AC2598" s="82"/>
      <c r="AD2598" t="str">
        <f t="shared" si="71"/>
        <v/>
      </c>
      <c r="AE2598" t="str">
        <f t="shared" si="72"/>
        <v/>
      </c>
    </row>
    <row r="2599">
      <c r="D2599" s="226"/>
      <c r="H2599" s="474"/>
      <c r="I2599" s="474"/>
      <c r="J2599" s="475"/>
      <c r="K2599" s="275"/>
      <c r="L2599" s="82"/>
      <c r="M2599" s="672"/>
      <c r="N2599" s="242"/>
      <c r="O2599" s="242"/>
      <c r="P2599" s="242"/>
      <c r="Q2599" s="242"/>
      <c r="R2599" s="539"/>
      <c r="S2599" s="540"/>
      <c r="T2599" s="543"/>
      <c r="U2599" s="673" t="b">
        <v>0</v>
      </c>
      <c r="Z2599" t="b">
        <v>0</v>
      </c>
      <c r="AA2599" t="b">
        <v>0</v>
      </c>
      <c r="AC2599" s="82"/>
      <c r="AD2599" t="str">
        <f t="shared" si="71"/>
        <v/>
      </c>
      <c r="AE2599" t="str">
        <f t="shared" si="72"/>
        <v/>
      </c>
    </row>
    <row r="2600">
      <c r="D2600" s="226"/>
      <c r="H2600" s="474"/>
      <c r="I2600" s="474"/>
      <c r="J2600" s="475"/>
      <c r="K2600" s="275"/>
      <c r="L2600" s="82"/>
      <c r="M2600" s="672"/>
      <c r="N2600" s="242"/>
      <c r="O2600" s="242"/>
      <c r="P2600" s="242"/>
      <c r="Q2600" s="242"/>
      <c r="R2600" s="539"/>
      <c r="S2600" s="540"/>
      <c r="T2600" s="543"/>
      <c r="U2600" s="673" t="b">
        <v>0</v>
      </c>
      <c r="Z2600" t="b">
        <v>0</v>
      </c>
      <c r="AA2600" t="b">
        <v>0</v>
      </c>
      <c r="AC2600" s="82"/>
      <c r="AD2600" t="str">
        <f t="shared" si="71"/>
        <v/>
      </c>
      <c r="AE2600" t="str">
        <f t="shared" si="72"/>
        <v/>
      </c>
    </row>
    <row r="2601">
      <c r="D2601" s="226"/>
      <c r="H2601" s="474"/>
      <c r="I2601" s="474"/>
      <c r="J2601" s="475"/>
      <c r="K2601" s="275"/>
      <c r="L2601" s="82"/>
      <c r="M2601" s="672"/>
      <c r="N2601" s="242"/>
      <c r="O2601" s="242"/>
      <c r="P2601" s="242"/>
      <c r="Q2601" s="242"/>
      <c r="R2601" s="539"/>
      <c r="S2601" s="540"/>
      <c r="T2601" s="543"/>
      <c r="U2601" s="673" t="b">
        <v>0</v>
      </c>
      <c r="Z2601" t="b">
        <v>0</v>
      </c>
      <c r="AA2601" t="b">
        <v>0</v>
      </c>
      <c r="AC2601" s="82"/>
      <c r="AD2601" t="str">
        <f t="shared" si="71"/>
        <v/>
      </c>
      <c r="AE2601" t="str">
        <f t="shared" si="72"/>
        <v/>
      </c>
    </row>
    <row r="2602">
      <c r="D2602" s="226"/>
      <c r="H2602" s="474"/>
      <c r="I2602" s="474"/>
      <c r="J2602" s="475"/>
      <c r="K2602" s="275"/>
      <c r="L2602" s="82"/>
      <c r="M2602" s="672"/>
      <c r="N2602" s="242"/>
      <c r="O2602" s="242"/>
      <c r="P2602" s="242"/>
      <c r="Q2602" s="242"/>
      <c r="R2602" s="539"/>
      <c r="S2602" s="540"/>
      <c r="T2602" s="543"/>
      <c r="U2602" s="673" t="b">
        <v>0</v>
      </c>
      <c r="Z2602" t="b">
        <v>0</v>
      </c>
      <c r="AA2602" t="b">
        <v>0</v>
      </c>
      <c r="AC2602" s="82"/>
      <c r="AD2602" t="str">
        <f t="shared" si="71"/>
        <v/>
      </c>
      <c r="AE2602" t="str">
        <f t="shared" si="72"/>
        <v/>
      </c>
    </row>
    <row r="2603">
      <c r="D2603" s="226"/>
      <c r="H2603" s="474"/>
      <c r="I2603" s="474"/>
      <c r="J2603" s="475"/>
      <c r="K2603" s="275"/>
      <c r="L2603" s="82"/>
      <c r="M2603" s="672"/>
      <c r="N2603" s="242"/>
      <c r="O2603" s="242"/>
      <c r="P2603" s="242"/>
      <c r="Q2603" s="242"/>
      <c r="R2603" s="539"/>
      <c r="S2603" s="540"/>
      <c r="T2603" s="543"/>
      <c r="U2603" s="673" t="b">
        <v>0</v>
      </c>
      <c r="Z2603" t="b">
        <v>0</v>
      </c>
      <c r="AA2603" t="b">
        <v>0</v>
      </c>
      <c r="AC2603" s="82"/>
      <c r="AD2603" t="str">
        <f t="shared" si="71"/>
        <v/>
      </c>
      <c r="AE2603" t="str">
        <f t="shared" si="72"/>
        <v/>
      </c>
    </row>
    <row r="2604">
      <c r="D2604" s="226"/>
      <c r="H2604" s="474"/>
      <c r="I2604" s="474"/>
      <c r="J2604" s="475"/>
      <c r="K2604" s="275"/>
      <c r="L2604" s="82"/>
      <c r="M2604" s="672"/>
      <c r="N2604" s="242"/>
      <c r="O2604" s="242"/>
      <c r="P2604" s="242"/>
      <c r="Q2604" s="242"/>
      <c r="R2604" s="539"/>
      <c r="S2604" s="540"/>
      <c r="T2604" s="543"/>
      <c r="U2604" s="673" t="b">
        <v>0</v>
      </c>
      <c r="Z2604" t="b">
        <v>0</v>
      </c>
      <c r="AA2604" t="b">
        <v>0</v>
      </c>
      <c r="AC2604" s="82"/>
      <c r="AD2604" t="str">
        <f t="shared" si="71"/>
        <v/>
      </c>
      <c r="AE2604" t="str">
        <f t="shared" si="72"/>
        <v/>
      </c>
    </row>
    <row r="2605">
      <c r="D2605" s="226"/>
      <c r="H2605" s="474"/>
      <c r="I2605" s="474"/>
      <c r="J2605" s="475"/>
      <c r="K2605" s="275"/>
      <c r="L2605" s="82"/>
      <c r="M2605" s="672"/>
      <c r="N2605" s="242"/>
      <c r="O2605" s="242"/>
      <c r="P2605" s="242"/>
      <c r="Q2605" s="242"/>
      <c r="R2605" s="539"/>
      <c r="S2605" s="540"/>
      <c r="T2605" s="543"/>
      <c r="U2605" s="673" t="b">
        <v>0</v>
      </c>
      <c r="Z2605" t="b">
        <v>0</v>
      </c>
      <c r="AA2605" t="b">
        <v>0</v>
      </c>
      <c r="AC2605" s="82"/>
      <c r="AD2605" t="str">
        <f t="shared" si="71"/>
        <v/>
      </c>
      <c r="AE2605" t="str">
        <f t="shared" si="72"/>
        <v/>
      </c>
    </row>
    <row r="2606">
      <c r="D2606" s="226"/>
      <c r="H2606" s="474"/>
      <c r="I2606" s="474"/>
      <c r="J2606" s="475"/>
      <c r="K2606" s="275"/>
      <c r="L2606" s="82"/>
      <c r="M2606" s="672"/>
      <c r="N2606" s="242"/>
      <c r="O2606" s="242"/>
      <c r="P2606" s="242"/>
      <c r="Q2606" s="242"/>
      <c r="R2606" s="539"/>
      <c r="S2606" s="540"/>
      <c r="T2606" s="543"/>
      <c r="U2606" s="673" t="b">
        <v>0</v>
      </c>
      <c r="Z2606" t="b">
        <v>0</v>
      </c>
      <c r="AA2606" t="b">
        <v>0</v>
      </c>
      <c r="AC2606" s="82"/>
      <c r="AD2606" t="str">
        <f t="shared" si="71"/>
        <v/>
      </c>
      <c r="AE2606" t="str">
        <f t="shared" si="72"/>
        <v/>
      </c>
    </row>
    <row r="2607">
      <c r="D2607" s="226"/>
      <c r="H2607" s="474"/>
      <c r="I2607" s="474"/>
      <c r="J2607" s="475"/>
      <c r="K2607" s="275"/>
      <c r="L2607" s="82"/>
      <c r="M2607" s="672"/>
      <c r="N2607" s="242"/>
      <c r="O2607" s="242"/>
      <c r="P2607" s="242"/>
      <c r="Q2607" s="242"/>
      <c r="R2607" s="539"/>
      <c r="S2607" s="540"/>
      <c r="T2607" s="543"/>
      <c r="U2607" s="673" t="b">
        <v>0</v>
      </c>
      <c r="Z2607" t="b">
        <v>0</v>
      </c>
      <c r="AA2607" t="b">
        <v>0</v>
      </c>
      <c r="AC2607" s="82"/>
      <c r="AD2607" t="str">
        <f t="shared" si="71"/>
        <v/>
      </c>
      <c r="AE2607" t="str">
        <f t="shared" si="72"/>
        <v/>
      </c>
    </row>
    <row r="2608">
      <c r="D2608" s="226"/>
      <c r="H2608" s="474"/>
      <c r="I2608" s="474"/>
      <c r="J2608" s="475"/>
      <c r="K2608" s="275"/>
      <c r="L2608" s="82"/>
      <c r="M2608" s="672"/>
      <c r="N2608" s="242"/>
      <c r="O2608" s="242"/>
      <c r="P2608" s="242"/>
      <c r="Q2608" s="242"/>
      <c r="R2608" s="539"/>
      <c r="S2608" s="540"/>
      <c r="T2608" s="543"/>
      <c r="U2608" s="673" t="b">
        <v>0</v>
      </c>
      <c r="Z2608" t="b">
        <v>0</v>
      </c>
      <c r="AA2608" t="b">
        <v>0</v>
      </c>
      <c r="AC2608" s="82"/>
      <c r="AD2608" t="str">
        <f t="shared" si="71"/>
        <v/>
      </c>
      <c r="AE2608" t="str">
        <f t="shared" si="72"/>
        <v/>
      </c>
    </row>
    <row r="2609">
      <c r="D2609" s="226"/>
      <c r="H2609" s="474"/>
      <c r="I2609" s="474"/>
      <c r="J2609" s="475"/>
      <c r="K2609" s="275"/>
      <c r="L2609" s="82"/>
      <c r="M2609" s="672"/>
      <c r="N2609" s="242"/>
      <c r="O2609" s="242"/>
      <c r="P2609" s="242"/>
      <c r="Q2609" s="242"/>
      <c r="R2609" s="539"/>
      <c r="S2609" s="540"/>
      <c r="T2609" s="543"/>
      <c r="U2609" s="673" t="b">
        <v>0</v>
      </c>
      <c r="Z2609" t="b">
        <v>0</v>
      </c>
      <c r="AA2609" t="b">
        <v>0</v>
      </c>
      <c r="AC2609" s="82"/>
      <c r="AD2609" t="str">
        <f t="shared" si="71"/>
        <v/>
      </c>
      <c r="AE2609" t="str">
        <f t="shared" si="72"/>
        <v/>
      </c>
    </row>
    <row r="2610">
      <c r="D2610" s="226"/>
      <c r="H2610" s="474"/>
      <c r="I2610" s="474"/>
      <c r="J2610" s="475"/>
      <c r="K2610" s="275"/>
      <c r="L2610" s="82"/>
      <c r="M2610" s="672"/>
      <c r="N2610" s="242"/>
      <c r="O2610" s="242"/>
      <c r="P2610" s="242"/>
      <c r="Q2610" s="242"/>
      <c r="R2610" s="539"/>
      <c r="S2610" s="540"/>
      <c r="T2610" s="543"/>
      <c r="U2610" s="673" t="b">
        <v>0</v>
      </c>
      <c r="Z2610" t="b">
        <v>0</v>
      </c>
      <c r="AA2610" t="b">
        <v>0</v>
      </c>
      <c r="AC2610" s="82"/>
      <c r="AD2610" t="str">
        <f t="shared" si="71"/>
        <v/>
      </c>
      <c r="AE2610" t="str">
        <f t="shared" si="72"/>
        <v/>
      </c>
    </row>
    <row r="2611">
      <c r="D2611" s="226"/>
      <c r="H2611" s="474"/>
      <c r="I2611" s="474"/>
      <c r="J2611" s="475"/>
      <c r="K2611" s="275"/>
      <c r="L2611" s="82"/>
      <c r="M2611" s="672"/>
      <c r="N2611" s="242"/>
      <c r="O2611" s="242"/>
      <c r="P2611" s="242"/>
      <c r="Q2611" s="242"/>
      <c r="R2611" s="539"/>
      <c r="S2611" s="540"/>
      <c r="T2611" s="543"/>
      <c r="U2611" s="673" t="b">
        <v>0</v>
      </c>
      <c r="Z2611" t="b">
        <v>0</v>
      </c>
      <c r="AA2611" t="b">
        <v>0</v>
      </c>
      <c r="AC2611" s="82"/>
      <c r="AD2611" t="str">
        <f t="shared" si="71"/>
        <v/>
      </c>
      <c r="AE2611" t="str">
        <f t="shared" si="72"/>
        <v/>
      </c>
    </row>
    <row r="2612">
      <c r="D2612" s="226"/>
      <c r="H2612" s="474"/>
      <c r="I2612" s="474"/>
      <c r="J2612" s="475"/>
      <c r="K2612" s="275"/>
      <c r="L2612" s="82"/>
      <c r="M2612" s="672"/>
      <c r="N2612" s="242"/>
      <c r="O2612" s="242"/>
      <c r="P2612" s="242"/>
      <c r="Q2612" s="242"/>
      <c r="R2612" s="539"/>
      <c r="S2612" s="540"/>
      <c r="T2612" s="543"/>
      <c r="U2612" s="673" t="b">
        <v>0</v>
      </c>
      <c r="Z2612" t="b">
        <v>0</v>
      </c>
      <c r="AA2612" t="b">
        <v>0</v>
      </c>
      <c r="AC2612" s="82"/>
      <c r="AD2612" t="str">
        <f t="shared" si="71"/>
        <v/>
      </c>
      <c r="AE2612" t="str">
        <f t="shared" si="72"/>
        <v/>
      </c>
    </row>
    <row r="2613">
      <c r="D2613" s="226"/>
      <c r="H2613" s="474"/>
      <c r="I2613" s="474"/>
      <c r="J2613" s="475"/>
      <c r="K2613" s="275"/>
      <c r="L2613" s="82"/>
      <c r="M2613" s="672"/>
      <c r="N2613" s="242"/>
      <c r="O2613" s="242"/>
      <c r="P2613" s="242"/>
      <c r="Q2613" s="242"/>
      <c r="R2613" s="539"/>
      <c r="S2613" s="540"/>
      <c r="T2613" s="543"/>
      <c r="U2613" s="673" t="b">
        <v>0</v>
      </c>
      <c r="Z2613" t="b">
        <v>0</v>
      </c>
      <c r="AA2613" t="b">
        <v>0</v>
      </c>
      <c r="AC2613" s="82"/>
      <c r="AD2613" t="str">
        <f t="shared" si="71"/>
        <v/>
      </c>
      <c r="AE2613" t="str">
        <f t="shared" si="72"/>
        <v/>
      </c>
    </row>
    <row r="2614">
      <c r="D2614" s="226"/>
      <c r="H2614" s="474"/>
      <c r="I2614" s="474"/>
      <c r="J2614" s="475"/>
      <c r="K2614" s="275"/>
      <c r="L2614" s="82"/>
      <c r="M2614" s="672"/>
      <c r="N2614" s="242"/>
      <c r="O2614" s="242"/>
      <c r="P2614" s="242"/>
      <c r="Q2614" s="242"/>
      <c r="R2614" s="539"/>
      <c r="S2614" s="540"/>
      <c r="T2614" s="543"/>
      <c r="U2614" s="673" t="b">
        <v>0</v>
      </c>
      <c r="Z2614" t="b">
        <v>0</v>
      </c>
      <c r="AA2614" t="b">
        <v>0</v>
      </c>
      <c r="AC2614" s="82"/>
      <c r="AD2614" t="str">
        <f t="shared" si="71"/>
        <v/>
      </c>
      <c r="AE2614" t="str">
        <f t="shared" si="72"/>
        <v/>
      </c>
    </row>
    <row r="2615">
      <c r="D2615" s="226"/>
      <c r="H2615" s="474"/>
      <c r="I2615" s="474"/>
      <c r="J2615" s="475"/>
      <c r="K2615" s="275"/>
      <c r="L2615" s="82"/>
      <c r="M2615" s="672"/>
      <c r="N2615" s="242"/>
      <c r="O2615" s="242"/>
      <c r="P2615" s="242"/>
      <c r="Q2615" s="242"/>
      <c r="R2615" s="539"/>
      <c r="S2615" s="540"/>
      <c r="T2615" s="543"/>
      <c r="U2615" s="673" t="b">
        <v>0</v>
      </c>
      <c r="Z2615" t="b">
        <v>0</v>
      </c>
      <c r="AA2615" t="b">
        <v>0</v>
      </c>
      <c r="AC2615" s="82"/>
      <c r="AD2615" t="str">
        <f t="shared" si="71"/>
        <v/>
      </c>
      <c r="AE2615" t="str">
        <f t="shared" si="72"/>
        <v/>
      </c>
    </row>
    <row r="2616">
      <c r="D2616" s="226"/>
      <c r="H2616" s="474"/>
      <c r="I2616" s="474"/>
      <c r="J2616" s="475"/>
      <c r="K2616" s="275"/>
      <c r="L2616" s="82"/>
      <c r="M2616" s="672"/>
      <c r="N2616" s="242"/>
      <c r="O2616" s="242"/>
      <c r="P2616" s="242"/>
      <c r="Q2616" s="242"/>
      <c r="R2616" s="539"/>
      <c r="S2616" s="540"/>
      <c r="T2616" s="543"/>
      <c r="U2616" s="673" t="b">
        <v>0</v>
      </c>
      <c r="Z2616" t="b">
        <v>0</v>
      </c>
      <c r="AA2616" t="b">
        <v>0</v>
      </c>
      <c r="AC2616" s="82"/>
      <c r="AD2616" t="str">
        <f t="shared" si="71"/>
        <v/>
      </c>
      <c r="AE2616" t="str">
        <f t="shared" si="72"/>
        <v/>
      </c>
    </row>
    <row r="2617">
      <c r="D2617" s="226"/>
      <c r="H2617" s="474"/>
      <c r="I2617" s="474"/>
      <c r="J2617" s="475"/>
      <c r="K2617" s="275"/>
      <c r="L2617" s="82"/>
      <c r="M2617" s="672"/>
      <c r="N2617" s="242"/>
      <c r="O2617" s="242"/>
      <c r="P2617" s="242"/>
      <c r="Q2617" s="242"/>
      <c r="R2617" s="539"/>
      <c r="S2617" s="540"/>
      <c r="T2617" s="543"/>
      <c r="U2617" s="673" t="b">
        <v>0</v>
      </c>
      <c r="Z2617" t="b">
        <v>0</v>
      </c>
      <c r="AA2617" t="b">
        <v>0</v>
      </c>
      <c r="AC2617" s="82"/>
      <c r="AD2617" t="str">
        <f t="shared" si="71"/>
        <v/>
      </c>
      <c r="AE2617" t="str">
        <f t="shared" si="72"/>
        <v/>
      </c>
    </row>
    <row r="2618">
      <c r="D2618" s="226"/>
      <c r="H2618" s="474"/>
      <c r="I2618" s="474"/>
      <c r="J2618" s="475"/>
      <c r="K2618" s="275"/>
      <c r="L2618" s="82"/>
      <c r="M2618" s="672"/>
      <c r="N2618" s="242"/>
      <c r="O2618" s="242"/>
      <c r="P2618" s="242"/>
      <c r="Q2618" s="242"/>
      <c r="R2618" s="539"/>
      <c r="S2618" s="540"/>
      <c r="T2618" s="543"/>
      <c r="U2618" s="673" t="b">
        <v>0</v>
      </c>
      <c r="Z2618" t="b">
        <v>0</v>
      </c>
      <c r="AA2618" t="b">
        <v>0</v>
      </c>
      <c r="AC2618" s="82"/>
      <c r="AD2618" t="str">
        <f t="shared" si="71"/>
        <v/>
      </c>
      <c r="AE2618" t="str">
        <f t="shared" si="72"/>
        <v/>
      </c>
    </row>
    <row r="2619">
      <c r="D2619" s="226"/>
      <c r="H2619" s="474"/>
      <c r="I2619" s="474"/>
      <c r="J2619" s="475"/>
      <c r="K2619" s="275"/>
      <c r="L2619" s="82"/>
      <c r="M2619" s="672"/>
      <c r="N2619" s="242"/>
      <c r="O2619" s="242"/>
      <c r="P2619" s="242"/>
      <c r="Q2619" s="242"/>
      <c r="R2619" s="539"/>
      <c r="S2619" s="540"/>
      <c r="T2619" s="543"/>
      <c r="U2619" s="673" t="b">
        <v>0</v>
      </c>
      <c r="Z2619" t="b">
        <v>0</v>
      </c>
      <c r="AA2619" t="b">
        <v>0</v>
      </c>
      <c r="AC2619" s="82"/>
      <c r="AD2619" t="str">
        <f t="shared" si="71"/>
        <v/>
      </c>
      <c r="AE2619" t="str">
        <f t="shared" si="72"/>
        <v/>
      </c>
    </row>
    <row r="2620">
      <c r="D2620" s="226"/>
      <c r="H2620" s="474"/>
      <c r="I2620" s="474"/>
      <c r="J2620" s="475"/>
      <c r="K2620" s="275"/>
      <c r="L2620" s="82"/>
      <c r="M2620" s="672"/>
      <c r="N2620" s="242"/>
      <c r="O2620" s="242"/>
      <c r="P2620" s="242"/>
      <c r="Q2620" s="242"/>
      <c r="R2620" s="539"/>
      <c r="S2620" s="540"/>
      <c r="T2620" s="543"/>
      <c r="U2620" s="673" t="b">
        <v>0</v>
      </c>
      <c r="Z2620" t="b">
        <v>0</v>
      </c>
      <c r="AA2620" t="b">
        <v>0</v>
      </c>
      <c r="AC2620" s="82"/>
      <c r="AD2620" t="str">
        <f t="shared" si="71"/>
        <v/>
      </c>
      <c r="AE2620" t="str">
        <f t="shared" si="72"/>
        <v/>
      </c>
    </row>
    <row r="2621">
      <c r="D2621" s="226"/>
      <c r="H2621" s="474"/>
      <c r="I2621" s="474"/>
      <c r="J2621" s="475"/>
      <c r="K2621" s="275"/>
      <c r="L2621" s="82"/>
      <c r="M2621" s="672"/>
      <c r="N2621" s="242"/>
      <c r="O2621" s="242"/>
      <c r="P2621" s="242"/>
      <c r="Q2621" s="242"/>
      <c r="R2621" s="539"/>
      <c r="S2621" s="540"/>
      <c r="T2621" s="543"/>
      <c r="U2621" s="673" t="b">
        <v>0</v>
      </c>
      <c r="Z2621" t="b">
        <v>0</v>
      </c>
      <c r="AA2621" t="b">
        <v>0</v>
      </c>
      <c r="AC2621" s="82"/>
      <c r="AD2621" t="str">
        <f t="shared" si="71"/>
        <v/>
      </c>
      <c r="AE2621" t="str">
        <f t="shared" si="72"/>
        <v/>
      </c>
    </row>
    <row r="2622">
      <c r="D2622" s="226"/>
      <c r="H2622" s="474"/>
      <c r="I2622" s="474"/>
      <c r="J2622" s="475"/>
      <c r="K2622" s="275"/>
      <c r="L2622" s="82"/>
      <c r="M2622" s="672"/>
      <c r="N2622" s="242"/>
      <c r="O2622" s="242"/>
      <c r="P2622" s="242"/>
      <c r="Q2622" s="242"/>
      <c r="R2622" s="539"/>
      <c r="S2622" s="540"/>
      <c r="T2622" s="543"/>
      <c r="U2622" s="673" t="b">
        <v>0</v>
      </c>
      <c r="Z2622" t="b">
        <v>0</v>
      </c>
      <c r="AA2622" t="b">
        <v>0</v>
      </c>
      <c r="AC2622" s="82"/>
      <c r="AD2622" t="str">
        <f t="shared" si="71"/>
        <v/>
      </c>
      <c r="AE2622" t="str">
        <f t="shared" si="72"/>
        <v/>
      </c>
    </row>
    <row r="2623">
      <c r="D2623" s="226"/>
      <c r="H2623" s="474"/>
      <c r="I2623" s="474"/>
      <c r="J2623" s="475"/>
      <c r="K2623" s="275"/>
      <c r="L2623" s="82"/>
      <c r="M2623" s="672"/>
      <c r="N2623" s="242"/>
      <c r="O2623" s="242"/>
      <c r="P2623" s="242"/>
      <c r="Q2623" s="242"/>
      <c r="R2623" s="539"/>
      <c r="S2623" s="540"/>
      <c r="T2623" s="543"/>
      <c r="U2623" s="673" t="b">
        <v>0</v>
      </c>
      <c r="Z2623" t="b">
        <v>0</v>
      </c>
      <c r="AA2623" t="b">
        <v>0</v>
      </c>
      <c r="AC2623" s="82"/>
      <c r="AD2623" t="str">
        <f t="shared" si="71"/>
        <v/>
      </c>
      <c r="AE2623" t="str">
        <f t="shared" si="72"/>
        <v/>
      </c>
    </row>
    <row r="2624">
      <c r="D2624" s="226"/>
      <c r="H2624" s="474"/>
      <c r="I2624" s="474"/>
      <c r="J2624" s="475"/>
      <c r="K2624" s="275"/>
      <c r="L2624" s="82"/>
      <c r="M2624" s="672"/>
      <c r="N2624" s="242"/>
      <c r="O2624" s="242"/>
      <c r="P2624" s="242"/>
      <c r="Q2624" s="242"/>
      <c r="R2624" s="539"/>
      <c r="S2624" s="540"/>
      <c r="T2624" s="543"/>
      <c r="U2624" s="673" t="b">
        <v>0</v>
      </c>
      <c r="Z2624" t="b">
        <v>0</v>
      </c>
      <c r="AA2624" t="b">
        <v>0</v>
      </c>
      <c r="AC2624" s="82"/>
      <c r="AD2624" t="str">
        <f t="shared" si="71"/>
        <v/>
      </c>
      <c r="AE2624" t="str">
        <f t="shared" si="72"/>
        <v/>
      </c>
    </row>
    <row r="2625">
      <c r="D2625" s="226"/>
      <c r="H2625" s="474"/>
      <c r="I2625" s="474"/>
      <c r="J2625" s="475"/>
      <c r="K2625" s="275"/>
      <c r="L2625" s="82"/>
      <c r="M2625" s="672"/>
      <c r="N2625" s="242"/>
      <c r="O2625" s="242"/>
      <c r="P2625" s="242"/>
      <c r="Q2625" s="242"/>
      <c r="R2625" s="539"/>
      <c r="S2625" s="540"/>
      <c r="T2625" s="543"/>
      <c r="U2625" s="673" t="b">
        <v>0</v>
      </c>
      <c r="Z2625" t="b">
        <v>0</v>
      </c>
      <c r="AA2625" t="b">
        <v>0</v>
      </c>
      <c r="AC2625" s="82"/>
      <c r="AD2625" t="str">
        <f t="shared" si="71"/>
        <v/>
      </c>
      <c r="AE2625" t="str">
        <f t="shared" si="72"/>
        <v/>
      </c>
    </row>
    <row r="2626">
      <c r="D2626" s="226"/>
      <c r="H2626" s="474"/>
      <c r="I2626" s="474"/>
      <c r="J2626" s="475"/>
      <c r="K2626" s="275"/>
      <c r="L2626" s="82"/>
      <c r="M2626" s="672"/>
      <c r="N2626" s="242"/>
      <c r="O2626" s="242"/>
      <c r="P2626" s="242"/>
      <c r="Q2626" s="242"/>
      <c r="R2626" s="539"/>
      <c r="S2626" s="540"/>
      <c r="T2626" s="543"/>
      <c r="U2626" s="673" t="b">
        <v>0</v>
      </c>
      <c r="Z2626" t="b">
        <v>0</v>
      </c>
      <c r="AA2626" t="b">
        <v>0</v>
      </c>
      <c r="AC2626" s="82"/>
      <c r="AD2626" t="str">
        <f t="shared" si="71"/>
        <v/>
      </c>
      <c r="AE2626" t="str">
        <f t="shared" si="72"/>
        <v/>
      </c>
    </row>
    <row r="2627">
      <c r="D2627" s="226"/>
      <c r="H2627" s="474"/>
      <c r="I2627" s="474"/>
      <c r="J2627" s="475"/>
      <c r="K2627" s="275"/>
      <c r="L2627" s="82"/>
      <c r="M2627" s="672"/>
      <c r="N2627" s="242"/>
      <c r="O2627" s="242"/>
      <c r="P2627" s="242"/>
      <c r="Q2627" s="242"/>
      <c r="R2627" s="539"/>
      <c r="S2627" s="540"/>
      <c r="T2627" s="543"/>
      <c r="U2627" s="673" t="b">
        <v>0</v>
      </c>
      <c r="Z2627" t="b">
        <v>0</v>
      </c>
      <c r="AA2627" t="b">
        <v>0</v>
      </c>
      <c r="AC2627" s="82"/>
      <c r="AD2627" t="str">
        <f t="shared" si="71"/>
        <v/>
      </c>
      <c r="AE2627" t="str">
        <f t="shared" si="72"/>
        <v/>
      </c>
    </row>
    <row r="2628">
      <c r="D2628" s="226"/>
      <c r="H2628" s="474"/>
      <c r="I2628" s="474"/>
      <c r="J2628" s="475"/>
      <c r="K2628" s="275"/>
      <c r="L2628" s="82"/>
      <c r="M2628" s="672"/>
      <c r="N2628" s="242"/>
      <c r="O2628" s="242"/>
      <c r="P2628" s="242"/>
      <c r="Q2628" s="242"/>
      <c r="R2628" s="539"/>
      <c r="S2628" s="540"/>
      <c r="T2628" s="543"/>
      <c r="U2628" s="673" t="b">
        <v>0</v>
      </c>
      <c r="Z2628" t="b">
        <v>0</v>
      </c>
      <c r="AA2628" t="b">
        <v>0</v>
      </c>
      <c r="AC2628" s="82"/>
      <c r="AD2628" t="str">
        <f t="shared" si="71"/>
        <v/>
      </c>
      <c r="AE2628" t="str">
        <f t="shared" si="72"/>
        <v/>
      </c>
    </row>
    <row r="2629">
      <c r="D2629" s="226"/>
      <c r="H2629" s="474"/>
      <c r="I2629" s="474"/>
      <c r="J2629" s="475"/>
      <c r="K2629" s="275"/>
      <c r="L2629" s="82"/>
      <c r="M2629" s="672"/>
      <c r="N2629" s="242"/>
      <c r="O2629" s="242"/>
      <c r="P2629" s="242"/>
      <c r="Q2629" s="242"/>
      <c r="R2629" s="539"/>
      <c r="S2629" s="540"/>
      <c r="T2629" s="543"/>
      <c r="U2629" s="673" t="b">
        <v>0</v>
      </c>
      <c r="Z2629" t="b">
        <v>0</v>
      </c>
      <c r="AA2629" t="b">
        <v>0</v>
      </c>
      <c r="AC2629" s="82"/>
      <c r="AD2629" t="str">
        <f t="shared" si="71"/>
        <v/>
      </c>
      <c r="AE2629" t="str">
        <f t="shared" si="72"/>
        <v/>
      </c>
    </row>
    <row r="2630">
      <c r="D2630" s="226"/>
      <c r="H2630" s="474"/>
      <c r="I2630" s="474"/>
      <c r="J2630" s="475"/>
      <c r="K2630" s="275"/>
      <c r="L2630" s="82"/>
      <c r="M2630" s="672"/>
      <c r="N2630" s="242"/>
      <c r="O2630" s="242"/>
      <c r="P2630" s="242"/>
      <c r="Q2630" s="242"/>
      <c r="R2630" s="539"/>
      <c r="S2630" s="540"/>
      <c r="T2630" s="543"/>
      <c r="U2630" s="673" t="b">
        <v>0</v>
      </c>
      <c r="Z2630" t="b">
        <v>0</v>
      </c>
      <c r="AA2630" t="b">
        <v>0</v>
      </c>
      <c r="AC2630" s="82"/>
      <c r="AD2630" t="str">
        <f t="shared" si="71"/>
        <v/>
      </c>
      <c r="AE2630" t="str">
        <f t="shared" si="72"/>
        <v/>
      </c>
    </row>
    <row r="2631">
      <c r="D2631" s="226"/>
      <c r="H2631" s="474"/>
      <c r="I2631" s="474"/>
      <c r="J2631" s="475"/>
      <c r="K2631" s="275"/>
      <c r="L2631" s="82"/>
      <c r="M2631" s="672"/>
      <c r="N2631" s="242"/>
      <c r="O2631" s="242"/>
      <c r="P2631" s="242"/>
      <c r="Q2631" s="242"/>
      <c r="R2631" s="539"/>
      <c r="S2631" s="540"/>
      <c r="T2631" s="543"/>
      <c r="U2631" s="673" t="b">
        <v>0</v>
      </c>
      <c r="Z2631" t="b">
        <v>0</v>
      </c>
      <c r="AA2631" t="b">
        <v>0</v>
      </c>
      <c r="AC2631" s="82"/>
      <c r="AD2631" t="str">
        <f t="shared" si="71"/>
        <v/>
      </c>
      <c r="AE2631" t="str">
        <f t="shared" si="72"/>
        <v/>
      </c>
    </row>
    <row r="2632">
      <c r="D2632" s="226"/>
      <c r="H2632" s="474"/>
      <c r="I2632" s="474"/>
      <c r="J2632" s="475"/>
      <c r="K2632" s="275"/>
      <c r="L2632" s="82"/>
      <c r="M2632" s="672"/>
      <c r="N2632" s="242"/>
      <c r="O2632" s="242"/>
      <c r="P2632" s="242"/>
      <c r="Q2632" s="242"/>
      <c r="R2632" s="539"/>
      <c r="S2632" s="540"/>
      <c r="T2632" s="543"/>
      <c r="U2632" s="673" t="b">
        <v>0</v>
      </c>
      <c r="Z2632" t="b">
        <v>0</v>
      </c>
      <c r="AA2632" t="b">
        <v>0</v>
      </c>
      <c r="AC2632" s="82"/>
      <c r="AD2632" t="str">
        <f t="shared" si="71"/>
        <v/>
      </c>
      <c r="AE2632" t="str">
        <f t="shared" si="72"/>
        <v/>
      </c>
    </row>
    <row r="2633">
      <c r="D2633" s="226"/>
      <c r="H2633" s="474"/>
      <c r="I2633" s="474"/>
      <c r="J2633" s="475"/>
      <c r="K2633" s="275"/>
      <c r="L2633" s="82"/>
      <c r="M2633" s="672"/>
      <c r="N2633" s="242"/>
      <c r="O2633" s="242"/>
      <c r="P2633" s="242"/>
      <c r="Q2633" s="242"/>
      <c r="R2633" s="539"/>
      <c r="S2633" s="540"/>
      <c r="T2633" s="543"/>
      <c r="U2633" s="673" t="b">
        <v>0</v>
      </c>
      <c r="Z2633" t="b">
        <v>0</v>
      </c>
      <c r="AA2633" t="b">
        <v>0</v>
      </c>
      <c r="AC2633" s="82"/>
      <c r="AD2633" t="str">
        <f t="shared" si="71"/>
        <v/>
      </c>
      <c r="AE2633" t="str">
        <f t="shared" si="72"/>
        <v/>
      </c>
    </row>
    <row r="2634">
      <c r="D2634" s="226"/>
      <c r="H2634" s="474"/>
      <c r="I2634" s="474"/>
      <c r="J2634" s="475"/>
      <c r="K2634" s="275"/>
      <c r="L2634" s="82"/>
      <c r="M2634" s="672"/>
      <c r="N2634" s="242"/>
      <c r="O2634" s="242"/>
      <c r="P2634" s="242"/>
      <c r="Q2634" s="242"/>
      <c r="R2634" s="539"/>
      <c r="S2634" s="540"/>
      <c r="T2634" s="543"/>
      <c r="U2634" s="673" t="b">
        <v>0</v>
      </c>
      <c r="Z2634" t="b">
        <v>0</v>
      </c>
      <c r="AA2634" t="b">
        <v>0</v>
      </c>
      <c r="AC2634" s="82"/>
      <c r="AD2634" t="str">
        <f t="shared" si="71"/>
        <v/>
      </c>
      <c r="AE2634" t="str">
        <f t="shared" si="72"/>
        <v/>
      </c>
    </row>
    <row r="2635">
      <c r="D2635" s="226"/>
      <c r="H2635" s="474"/>
      <c r="I2635" s="474"/>
      <c r="J2635" s="475"/>
      <c r="K2635" s="275"/>
      <c r="L2635" s="82"/>
      <c r="M2635" s="672"/>
      <c r="N2635" s="242"/>
      <c r="O2635" s="242"/>
      <c r="P2635" s="242"/>
      <c r="Q2635" s="242"/>
      <c r="R2635" s="539"/>
      <c r="S2635" s="540"/>
      <c r="T2635" s="543"/>
      <c r="U2635" s="673" t="b">
        <v>0</v>
      </c>
      <c r="Z2635" t="b">
        <v>0</v>
      </c>
      <c r="AA2635" t="b">
        <v>0</v>
      </c>
      <c r="AC2635" s="82"/>
      <c r="AD2635" t="str">
        <f t="shared" si="71"/>
        <v/>
      </c>
      <c r="AE2635" t="str">
        <f t="shared" si="72"/>
        <v/>
      </c>
    </row>
    <row r="2636">
      <c r="D2636" s="226"/>
      <c r="H2636" s="474"/>
      <c r="I2636" s="474"/>
      <c r="J2636" s="475"/>
      <c r="K2636" s="275"/>
      <c r="L2636" s="82"/>
      <c r="M2636" s="672"/>
      <c r="N2636" s="242"/>
      <c r="O2636" s="242"/>
      <c r="P2636" s="242"/>
      <c r="Q2636" s="242"/>
      <c r="R2636" s="539"/>
      <c r="S2636" s="540"/>
      <c r="T2636" s="543"/>
      <c r="U2636" s="673" t="b">
        <v>0</v>
      </c>
      <c r="Z2636" t="b">
        <v>0</v>
      </c>
      <c r="AA2636" t="b">
        <v>0</v>
      </c>
      <c r="AC2636" s="82"/>
      <c r="AD2636" t="str">
        <f t="shared" si="71"/>
        <v/>
      </c>
      <c r="AE2636" t="str">
        <f t="shared" si="72"/>
        <v/>
      </c>
    </row>
    <row r="2637">
      <c r="D2637" s="226"/>
      <c r="H2637" s="474"/>
      <c r="I2637" s="474"/>
      <c r="J2637" s="475"/>
      <c r="K2637" s="275"/>
      <c r="L2637" s="82"/>
      <c r="M2637" s="672"/>
      <c r="N2637" s="242"/>
      <c r="O2637" s="242"/>
      <c r="P2637" s="242"/>
      <c r="Q2637" s="242"/>
      <c r="R2637" s="539"/>
      <c r="S2637" s="540"/>
      <c r="T2637" s="543"/>
      <c r="U2637" s="673" t="b">
        <v>0</v>
      </c>
      <c r="Z2637" t="b">
        <v>0</v>
      </c>
      <c r="AA2637" t="b">
        <v>0</v>
      </c>
      <c r="AC2637" s="82"/>
      <c r="AD2637" t="str">
        <f t="shared" si="71"/>
        <v/>
      </c>
      <c r="AE2637" t="str">
        <f t="shared" si="72"/>
        <v/>
      </c>
    </row>
    <row r="2638">
      <c r="D2638" s="226"/>
      <c r="H2638" s="474"/>
      <c r="I2638" s="474"/>
      <c r="J2638" s="475"/>
      <c r="K2638" s="275"/>
      <c r="L2638" s="82"/>
      <c r="M2638" s="672"/>
      <c r="N2638" s="242"/>
      <c r="O2638" s="242"/>
      <c r="P2638" s="242"/>
      <c r="Q2638" s="242"/>
      <c r="R2638" s="539"/>
      <c r="S2638" s="540"/>
      <c r="T2638" s="543"/>
      <c r="U2638" s="673" t="b">
        <v>0</v>
      </c>
      <c r="Z2638" t="b">
        <v>0</v>
      </c>
      <c r="AA2638" t="b">
        <v>0</v>
      </c>
      <c r="AC2638" s="82"/>
      <c r="AD2638" t="str">
        <f t="shared" si="71"/>
        <v/>
      </c>
      <c r="AE2638" t="str">
        <f t="shared" si="72"/>
        <v/>
      </c>
    </row>
    <row r="2639">
      <c r="D2639" s="226"/>
      <c r="H2639" s="474"/>
      <c r="I2639" s="474"/>
      <c r="J2639" s="475"/>
      <c r="K2639" s="275"/>
      <c r="L2639" s="82"/>
      <c r="M2639" s="672"/>
      <c r="N2639" s="242"/>
      <c r="O2639" s="242"/>
      <c r="P2639" s="242"/>
      <c r="Q2639" s="242"/>
      <c r="R2639" s="539"/>
      <c r="S2639" s="540"/>
      <c r="T2639" s="543"/>
      <c r="U2639" s="673" t="b">
        <v>0</v>
      </c>
      <c r="Z2639" t="b">
        <v>0</v>
      </c>
      <c r="AA2639" t="b">
        <v>0</v>
      </c>
      <c r="AC2639" s="82"/>
      <c r="AD2639" t="str">
        <f t="shared" si="71"/>
        <v/>
      </c>
      <c r="AE2639" t="str">
        <f t="shared" si="72"/>
        <v/>
      </c>
    </row>
    <row r="2640">
      <c r="D2640" s="226"/>
      <c r="H2640" s="474"/>
      <c r="I2640" s="474"/>
      <c r="J2640" s="475"/>
      <c r="K2640" s="275"/>
      <c r="L2640" s="82"/>
      <c r="M2640" s="672"/>
      <c r="N2640" s="242"/>
      <c r="O2640" s="242"/>
      <c r="P2640" s="242"/>
      <c r="Q2640" s="242"/>
      <c r="R2640" s="539"/>
      <c r="S2640" s="540"/>
      <c r="T2640" s="543"/>
      <c r="U2640" s="673" t="b">
        <v>0</v>
      </c>
      <c r="Z2640" t="b">
        <v>0</v>
      </c>
      <c r="AA2640" t="b">
        <v>0</v>
      </c>
      <c r="AC2640" s="82"/>
      <c r="AD2640" t="str">
        <f t="shared" si="71"/>
        <v/>
      </c>
      <c r="AE2640" t="str">
        <f t="shared" si="72"/>
        <v/>
      </c>
    </row>
    <row r="2641">
      <c r="D2641" s="226"/>
      <c r="H2641" s="474"/>
      <c r="I2641" s="474"/>
      <c r="J2641" s="475"/>
      <c r="K2641" s="275"/>
      <c r="L2641" s="82"/>
      <c r="M2641" s="672"/>
      <c r="N2641" s="242"/>
      <c r="O2641" s="242"/>
      <c r="P2641" s="242"/>
      <c r="Q2641" s="242"/>
      <c r="R2641" s="539"/>
      <c r="S2641" s="540"/>
      <c r="T2641" s="543"/>
      <c r="U2641" s="673" t="b">
        <v>0</v>
      </c>
      <c r="Z2641" t="b">
        <v>0</v>
      </c>
      <c r="AA2641" t="b">
        <v>0</v>
      </c>
      <c r="AC2641" s="82"/>
      <c r="AD2641" t="str">
        <f t="shared" si="71"/>
        <v/>
      </c>
      <c r="AE2641" t="str">
        <f t="shared" si="72"/>
        <v/>
      </c>
    </row>
    <row r="2642">
      <c r="D2642" s="226"/>
      <c r="H2642" s="474"/>
      <c r="I2642" s="474"/>
      <c r="J2642" s="475"/>
      <c r="K2642" s="275"/>
      <c r="L2642" s="82"/>
      <c r="M2642" s="672"/>
      <c r="N2642" s="242"/>
      <c r="O2642" s="242"/>
      <c r="P2642" s="242"/>
      <c r="Q2642" s="242"/>
      <c r="R2642" s="539"/>
      <c r="S2642" s="540"/>
      <c r="T2642" s="543"/>
      <c r="U2642" s="673" t="b">
        <v>0</v>
      </c>
      <c r="Z2642" t="b">
        <v>0</v>
      </c>
      <c r="AA2642" t="b">
        <v>0</v>
      </c>
      <c r="AC2642" s="82"/>
      <c r="AD2642" t="str">
        <f t="shared" si="71"/>
        <v/>
      </c>
      <c r="AE2642" t="str">
        <f t="shared" si="72"/>
        <v/>
      </c>
    </row>
    <row r="2643">
      <c r="D2643" s="226"/>
      <c r="H2643" s="474"/>
      <c r="I2643" s="474"/>
      <c r="J2643" s="475"/>
      <c r="K2643" s="275"/>
      <c r="L2643" s="82"/>
      <c r="M2643" s="672"/>
      <c r="N2643" s="242"/>
      <c r="O2643" s="242"/>
      <c r="P2643" s="242"/>
      <c r="Q2643" s="242"/>
      <c r="R2643" s="539"/>
      <c r="S2643" s="540"/>
      <c r="T2643" s="543"/>
      <c r="U2643" s="673" t="b">
        <v>0</v>
      </c>
      <c r="Z2643" t="b">
        <v>0</v>
      </c>
      <c r="AA2643" t="b">
        <v>0</v>
      </c>
      <c r="AC2643" s="82"/>
      <c r="AD2643" t="str">
        <f t="shared" si="71"/>
        <v/>
      </c>
      <c r="AE2643" t="str">
        <f t="shared" si="72"/>
        <v/>
      </c>
    </row>
    <row r="2644">
      <c r="D2644" s="226"/>
      <c r="H2644" s="474"/>
      <c r="I2644" s="474"/>
      <c r="J2644" s="475"/>
      <c r="K2644" s="275"/>
      <c r="L2644" s="82"/>
      <c r="M2644" s="672"/>
      <c r="N2644" s="242"/>
      <c r="O2644" s="242"/>
      <c r="P2644" s="242"/>
      <c r="Q2644" s="242"/>
      <c r="R2644" s="539"/>
      <c r="S2644" s="540"/>
      <c r="T2644" s="543"/>
      <c r="U2644" s="673" t="b">
        <v>0</v>
      </c>
      <c r="Z2644" t="b">
        <v>0</v>
      </c>
      <c r="AA2644" t="b">
        <v>0</v>
      </c>
      <c r="AC2644" s="82"/>
      <c r="AD2644" t="str">
        <f t="shared" si="71"/>
        <v/>
      </c>
      <c r="AE2644" t="str">
        <f t="shared" si="72"/>
        <v/>
      </c>
    </row>
    <row r="2645">
      <c r="D2645" s="226"/>
      <c r="H2645" s="474"/>
      <c r="I2645" s="474"/>
      <c r="J2645" s="475"/>
      <c r="K2645" s="275"/>
      <c r="L2645" s="82"/>
      <c r="M2645" s="672"/>
      <c r="N2645" s="242"/>
      <c r="O2645" s="242"/>
      <c r="P2645" s="242"/>
      <c r="Q2645" s="242"/>
      <c r="R2645" s="539"/>
      <c r="S2645" s="540"/>
      <c r="T2645" s="543"/>
      <c r="U2645" s="673" t="b">
        <v>0</v>
      </c>
      <c r="Z2645" t="b">
        <v>0</v>
      </c>
      <c r="AA2645" t="b">
        <v>0</v>
      </c>
      <c r="AC2645" s="82"/>
      <c r="AD2645" t="str">
        <f t="shared" si="71"/>
        <v/>
      </c>
      <c r="AE2645" t="str">
        <f t="shared" si="72"/>
        <v/>
      </c>
    </row>
    <row r="2646">
      <c r="D2646" s="226"/>
      <c r="H2646" s="474"/>
      <c r="I2646" s="474"/>
      <c r="J2646" s="475"/>
      <c r="K2646" s="275"/>
      <c r="L2646" s="82"/>
      <c r="M2646" s="672"/>
      <c r="N2646" s="242"/>
      <c r="O2646" s="242"/>
      <c r="P2646" s="242"/>
      <c r="Q2646" s="242"/>
      <c r="R2646" s="539"/>
      <c r="S2646" s="540"/>
      <c r="T2646" s="543"/>
      <c r="U2646" s="673" t="b">
        <v>0</v>
      </c>
      <c r="Z2646" t="b">
        <v>0</v>
      </c>
      <c r="AA2646" t="b">
        <v>0</v>
      </c>
      <c r="AC2646" s="82"/>
      <c r="AD2646" t="str">
        <f t="shared" si="71"/>
        <v/>
      </c>
      <c r="AE2646" t="str">
        <f t="shared" si="72"/>
        <v/>
      </c>
    </row>
    <row r="2647">
      <c r="D2647" s="226"/>
      <c r="H2647" s="474"/>
      <c r="I2647" s="474"/>
      <c r="J2647" s="475"/>
      <c r="K2647" s="275"/>
      <c r="L2647" s="82"/>
      <c r="M2647" s="672"/>
      <c r="N2647" s="242"/>
      <c r="O2647" s="242"/>
      <c r="P2647" s="242"/>
      <c r="Q2647" s="242"/>
      <c r="R2647" s="539"/>
      <c r="S2647" s="540"/>
      <c r="T2647" s="543"/>
      <c r="U2647" s="673" t="b">
        <v>0</v>
      </c>
      <c r="Z2647" t="b">
        <v>0</v>
      </c>
      <c r="AA2647" t="b">
        <v>0</v>
      </c>
      <c r="AC2647" s="82"/>
      <c r="AD2647" t="str">
        <f t="shared" si="71"/>
        <v/>
      </c>
      <c r="AE2647" t="str">
        <f t="shared" si="72"/>
        <v/>
      </c>
    </row>
    <row r="2648">
      <c r="D2648" s="226"/>
      <c r="H2648" s="474"/>
      <c r="I2648" s="474"/>
      <c r="J2648" s="475"/>
      <c r="K2648" s="275"/>
      <c r="L2648" s="82"/>
      <c r="M2648" s="672"/>
      <c r="N2648" s="242"/>
      <c r="O2648" s="242"/>
      <c r="P2648" s="242"/>
      <c r="Q2648" s="242"/>
      <c r="R2648" s="539"/>
      <c r="S2648" s="540"/>
      <c r="T2648" s="543"/>
      <c r="U2648" s="673" t="b">
        <v>0</v>
      </c>
      <c r="Z2648" t="b">
        <v>0</v>
      </c>
      <c r="AA2648" t="b">
        <v>0</v>
      </c>
      <c r="AC2648" s="82"/>
      <c r="AD2648" t="str">
        <f t="shared" si="71"/>
        <v/>
      </c>
      <c r="AE2648" t="str">
        <f t="shared" si="72"/>
        <v/>
      </c>
    </row>
    <row r="2649">
      <c r="D2649" s="226"/>
      <c r="H2649" s="474"/>
      <c r="I2649" s="474"/>
      <c r="J2649" s="475"/>
      <c r="K2649" s="275"/>
      <c r="L2649" s="82"/>
      <c r="M2649" s="672"/>
      <c r="N2649" s="242"/>
      <c r="O2649" s="242"/>
      <c r="P2649" s="242"/>
      <c r="Q2649" s="242"/>
      <c r="R2649" s="539"/>
      <c r="S2649" s="540"/>
      <c r="T2649" s="543"/>
      <c r="U2649" s="673" t="b">
        <v>0</v>
      </c>
      <c r="Z2649" t="b">
        <v>0</v>
      </c>
      <c r="AA2649" t="b">
        <v>0</v>
      </c>
      <c r="AC2649" s="82"/>
      <c r="AD2649" t="str">
        <f t="shared" si="71"/>
        <v/>
      </c>
      <c r="AE2649" t="str">
        <f t="shared" si="72"/>
        <v/>
      </c>
    </row>
    <row r="2650">
      <c r="D2650" s="226"/>
      <c r="H2650" s="474"/>
      <c r="I2650" s="474"/>
      <c r="J2650" s="475"/>
      <c r="K2650" s="275"/>
      <c r="L2650" s="82"/>
      <c r="M2650" s="672"/>
      <c r="N2650" s="242"/>
      <c r="O2650" s="242"/>
      <c r="P2650" s="242"/>
      <c r="Q2650" s="242"/>
      <c r="R2650" s="539"/>
      <c r="S2650" s="540"/>
      <c r="T2650" s="543"/>
      <c r="U2650" s="673" t="b">
        <v>0</v>
      </c>
      <c r="Z2650" t="b">
        <v>0</v>
      </c>
      <c r="AA2650" t="b">
        <v>0</v>
      </c>
      <c r="AC2650" s="82"/>
      <c r="AD2650" t="str">
        <f t="shared" si="71"/>
        <v/>
      </c>
      <c r="AE2650" t="str">
        <f t="shared" si="72"/>
        <v/>
      </c>
    </row>
    <row r="2651">
      <c r="D2651" s="226"/>
      <c r="H2651" s="474"/>
      <c r="I2651" s="474"/>
      <c r="J2651" s="475"/>
      <c r="K2651" s="275"/>
      <c r="L2651" s="82"/>
      <c r="M2651" s="672"/>
      <c r="N2651" s="242"/>
      <c r="O2651" s="242"/>
      <c r="P2651" s="242"/>
      <c r="Q2651" s="242"/>
      <c r="R2651" s="539"/>
      <c r="S2651" s="540"/>
      <c r="T2651" s="543"/>
      <c r="U2651" s="673" t="b">
        <v>0</v>
      </c>
      <c r="Z2651" t="b">
        <v>0</v>
      </c>
      <c r="AA2651" t="b">
        <v>0</v>
      </c>
      <c r="AC2651" s="82"/>
      <c r="AD2651" t="str">
        <f t="shared" si="71"/>
        <v/>
      </c>
      <c r="AE2651" t="str">
        <f t="shared" si="72"/>
        <v/>
      </c>
    </row>
    <row r="2652">
      <c r="D2652" s="226"/>
      <c r="H2652" s="474"/>
      <c r="I2652" s="474"/>
      <c r="J2652" s="475"/>
      <c r="K2652" s="275"/>
      <c r="L2652" s="82"/>
      <c r="M2652" s="672"/>
      <c r="N2652" s="242"/>
      <c r="O2652" s="242"/>
      <c r="P2652" s="242"/>
      <c r="Q2652" s="242"/>
      <c r="R2652" s="539"/>
      <c r="S2652" s="540"/>
      <c r="T2652" s="543"/>
      <c r="U2652" s="673" t="b">
        <v>0</v>
      </c>
      <c r="Z2652" t="b">
        <v>0</v>
      </c>
      <c r="AA2652" t="b">
        <v>0</v>
      </c>
      <c r="AC2652" s="82"/>
      <c r="AD2652" t="str">
        <f t="shared" si="71"/>
        <v/>
      </c>
      <c r="AE2652" t="str">
        <f t="shared" si="72"/>
        <v/>
      </c>
    </row>
    <row r="2653">
      <c r="D2653" s="226"/>
      <c r="H2653" s="474"/>
      <c r="I2653" s="474"/>
      <c r="J2653" s="475"/>
      <c r="K2653" s="275"/>
      <c r="L2653" s="82"/>
      <c r="M2653" s="672"/>
      <c r="N2653" s="242"/>
      <c r="O2653" s="242"/>
      <c r="P2653" s="242"/>
      <c r="Q2653" s="242"/>
      <c r="R2653" s="539"/>
      <c r="S2653" s="540"/>
      <c r="T2653" s="543"/>
      <c r="U2653" s="673" t="b">
        <v>0</v>
      </c>
      <c r="Z2653" t="b">
        <v>0</v>
      </c>
      <c r="AA2653" t="b">
        <v>0</v>
      </c>
      <c r="AC2653" s="82"/>
      <c r="AD2653" t="str">
        <f t="shared" si="71"/>
        <v/>
      </c>
      <c r="AE2653" t="str">
        <f t="shared" si="72"/>
        <v/>
      </c>
    </row>
    <row r="2654">
      <c r="D2654" s="226"/>
      <c r="H2654" s="474"/>
      <c r="I2654" s="474"/>
      <c r="J2654" s="475"/>
      <c r="K2654" s="275"/>
      <c r="L2654" s="82"/>
      <c r="M2654" s="672"/>
      <c r="N2654" s="242"/>
      <c r="O2654" s="242"/>
      <c r="P2654" s="242"/>
      <c r="Q2654" s="242"/>
      <c r="R2654" s="539"/>
      <c r="S2654" s="540"/>
      <c r="T2654" s="543"/>
      <c r="U2654" s="673" t="b">
        <v>0</v>
      </c>
      <c r="Z2654" t="b">
        <v>0</v>
      </c>
      <c r="AA2654" t="b">
        <v>0</v>
      </c>
      <c r="AC2654" s="82"/>
      <c r="AD2654" t="str">
        <f t="shared" si="71"/>
        <v/>
      </c>
      <c r="AE2654" t="str">
        <f t="shared" si="72"/>
        <v/>
      </c>
    </row>
    <row r="2655">
      <c r="D2655" s="226"/>
      <c r="H2655" s="474"/>
      <c r="I2655" s="474"/>
      <c r="J2655" s="475"/>
      <c r="K2655" s="275"/>
      <c r="L2655" s="82"/>
      <c r="M2655" s="672"/>
      <c r="N2655" s="242"/>
      <c r="O2655" s="242"/>
      <c r="P2655" s="242"/>
      <c r="Q2655" s="242"/>
      <c r="R2655" s="539"/>
      <c r="S2655" s="540"/>
      <c r="T2655" s="543"/>
      <c r="U2655" s="673" t="b">
        <v>0</v>
      </c>
      <c r="Z2655" t="b">
        <v>0</v>
      </c>
      <c r="AA2655" t="b">
        <v>0</v>
      </c>
      <c r="AC2655" s="82"/>
      <c r="AD2655" t="str">
        <f t="shared" si="71"/>
        <v/>
      </c>
      <c r="AE2655" t="str">
        <f t="shared" si="72"/>
        <v/>
      </c>
    </row>
    <row r="2656">
      <c r="D2656" s="226"/>
      <c r="H2656" s="474"/>
      <c r="I2656" s="474"/>
      <c r="J2656" s="475"/>
      <c r="K2656" s="275"/>
      <c r="L2656" s="82"/>
      <c r="M2656" s="672"/>
      <c r="N2656" s="242"/>
      <c r="O2656" s="242"/>
      <c r="P2656" s="242"/>
      <c r="Q2656" s="242"/>
      <c r="R2656" s="539"/>
      <c r="S2656" s="540"/>
      <c r="T2656" s="543"/>
      <c r="U2656" s="673" t="b">
        <v>0</v>
      </c>
      <c r="Z2656" t="b">
        <v>0</v>
      </c>
      <c r="AA2656" t="b">
        <v>0</v>
      </c>
      <c r="AC2656" s="82"/>
      <c r="AD2656" t="str">
        <f t="shared" si="71"/>
        <v/>
      </c>
      <c r="AE2656" t="str">
        <f t="shared" si="72"/>
        <v/>
      </c>
    </row>
    <row r="2657">
      <c r="D2657" s="226"/>
      <c r="H2657" s="474"/>
      <c r="I2657" s="474"/>
      <c r="J2657" s="475"/>
      <c r="K2657" s="275"/>
      <c r="L2657" s="82"/>
      <c r="M2657" s="672"/>
      <c r="N2657" s="242"/>
      <c r="O2657" s="242"/>
      <c r="P2657" s="242"/>
      <c r="Q2657" s="242"/>
      <c r="R2657" s="539"/>
      <c r="S2657" s="540"/>
      <c r="T2657" s="543"/>
      <c r="U2657" s="673" t="b">
        <v>0</v>
      </c>
      <c r="Z2657" t="b">
        <v>0</v>
      </c>
      <c r="AA2657" t="b">
        <v>0</v>
      </c>
      <c r="AC2657" s="82"/>
      <c r="AD2657" t="str">
        <f t="shared" si="71"/>
        <v/>
      </c>
      <c r="AE2657" t="str">
        <f t="shared" si="72"/>
        <v/>
      </c>
    </row>
    <row r="2658">
      <c r="D2658" s="226"/>
      <c r="H2658" s="474"/>
      <c r="I2658" s="474"/>
      <c r="J2658" s="475"/>
      <c r="K2658" s="275"/>
      <c r="L2658" s="82"/>
      <c r="M2658" s="672"/>
      <c r="N2658" s="242"/>
      <c r="O2658" s="242"/>
      <c r="P2658" s="242"/>
      <c r="Q2658" s="242"/>
      <c r="R2658" s="539"/>
      <c r="S2658" s="540"/>
      <c r="T2658" s="543"/>
      <c r="U2658" s="673" t="b">
        <v>0</v>
      </c>
      <c r="Z2658" t="b">
        <v>0</v>
      </c>
      <c r="AA2658" t="b">
        <v>0</v>
      </c>
      <c r="AC2658" s="82"/>
      <c r="AD2658" t="str">
        <f t="shared" si="71"/>
        <v/>
      </c>
      <c r="AE2658" t="str">
        <f t="shared" si="72"/>
        <v/>
      </c>
    </row>
    <row r="2659">
      <c r="D2659" s="226"/>
      <c r="H2659" s="474"/>
      <c r="I2659" s="474"/>
      <c r="J2659" s="475"/>
      <c r="K2659" s="275"/>
      <c r="L2659" s="82"/>
      <c r="M2659" s="672"/>
      <c r="N2659" s="242"/>
      <c r="O2659" s="242"/>
      <c r="P2659" s="242"/>
      <c r="Q2659" s="242"/>
      <c r="R2659" s="539"/>
      <c r="S2659" s="540"/>
      <c r="T2659" s="543"/>
      <c r="U2659" s="673" t="b">
        <v>0</v>
      </c>
      <c r="Z2659" t="b">
        <v>0</v>
      </c>
      <c r="AA2659" t="b">
        <v>0</v>
      </c>
      <c r="AC2659" s="82"/>
      <c r="AD2659" t="str">
        <f t="shared" si="71"/>
        <v/>
      </c>
      <c r="AE2659" t="str">
        <f t="shared" si="72"/>
        <v/>
      </c>
    </row>
    <row r="2660">
      <c r="D2660" s="226"/>
      <c r="H2660" s="474"/>
      <c r="I2660" s="474"/>
      <c r="J2660" s="475"/>
      <c r="K2660" s="275"/>
      <c r="L2660" s="82"/>
      <c r="M2660" s="672"/>
      <c r="N2660" s="242"/>
      <c r="O2660" s="242"/>
      <c r="P2660" s="242"/>
      <c r="Q2660" s="242"/>
      <c r="R2660" s="539"/>
      <c r="S2660" s="540"/>
      <c r="T2660" s="543"/>
      <c r="U2660" s="673" t="b">
        <v>0</v>
      </c>
      <c r="Z2660" t="b">
        <v>0</v>
      </c>
      <c r="AA2660" t="b">
        <v>0</v>
      </c>
      <c r="AC2660" s="82"/>
      <c r="AD2660" t="str">
        <f t="shared" si="71"/>
        <v/>
      </c>
      <c r="AE2660" t="str">
        <f t="shared" si="72"/>
        <v/>
      </c>
    </row>
    <row r="2661">
      <c r="D2661" s="226"/>
      <c r="H2661" s="474"/>
      <c r="I2661" s="474"/>
      <c r="J2661" s="475"/>
      <c r="K2661" s="275"/>
      <c r="L2661" s="82"/>
      <c r="M2661" s="672"/>
      <c r="N2661" s="242"/>
      <c r="O2661" s="242"/>
      <c r="P2661" s="242"/>
      <c r="Q2661" s="242"/>
      <c r="R2661" s="539"/>
      <c r="S2661" s="540"/>
      <c r="T2661" s="543"/>
      <c r="U2661" s="673" t="b">
        <v>0</v>
      </c>
      <c r="Z2661" t="b">
        <v>0</v>
      </c>
      <c r="AA2661" t="b">
        <v>0</v>
      </c>
      <c r="AC2661" s="82"/>
      <c r="AD2661" t="str">
        <f t="shared" si="71"/>
        <v/>
      </c>
      <c r="AE2661" t="str">
        <f t="shared" si="72"/>
        <v/>
      </c>
    </row>
    <row r="2662">
      <c r="D2662" s="226"/>
      <c r="H2662" s="474"/>
      <c r="I2662" s="474"/>
      <c r="J2662" s="475"/>
      <c r="K2662" s="275"/>
      <c r="L2662" s="82"/>
      <c r="M2662" s="672"/>
      <c r="N2662" s="242"/>
      <c r="O2662" s="242"/>
      <c r="P2662" s="242"/>
      <c r="Q2662" s="242"/>
      <c r="R2662" s="539"/>
      <c r="S2662" s="540"/>
      <c r="T2662" s="543"/>
      <c r="U2662" s="673" t="b">
        <v>0</v>
      </c>
      <c r="Z2662" t="b">
        <v>0</v>
      </c>
      <c r="AA2662" t="b">
        <v>0</v>
      </c>
      <c r="AC2662" s="82"/>
      <c r="AD2662" t="str">
        <f t="shared" si="71"/>
        <v/>
      </c>
      <c r="AE2662" t="str">
        <f t="shared" si="72"/>
        <v/>
      </c>
    </row>
    <row r="2663">
      <c r="D2663" s="226"/>
      <c r="H2663" s="474"/>
      <c r="I2663" s="474"/>
      <c r="J2663" s="475"/>
      <c r="K2663" s="275"/>
      <c r="L2663" s="82"/>
      <c r="M2663" s="672"/>
      <c r="N2663" s="242"/>
      <c r="O2663" s="242"/>
      <c r="P2663" s="242"/>
      <c r="Q2663" s="242"/>
      <c r="R2663" s="539"/>
      <c r="S2663" s="540"/>
      <c r="T2663" s="543"/>
      <c r="U2663" s="673" t="b">
        <v>0</v>
      </c>
      <c r="Z2663" t="b">
        <v>0</v>
      </c>
      <c r="AA2663" t="b">
        <v>0</v>
      </c>
      <c r="AC2663" s="82"/>
      <c r="AD2663" t="str">
        <f t="shared" si="71"/>
        <v/>
      </c>
      <c r="AE2663" t="str">
        <f t="shared" si="72"/>
        <v/>
      </c>
    </row>
    <row r="2664">
      <c r="D2664" s="226"/>
      <c r="H2664" s="474"/>
      <c r="I2664" s="474"/>
      <c r="J2664" s="475"/>
      <c r="K2664" s="275"/>
      <c r="L2664" s="82"/>
      <c r="M2664" s="672"/>
      <c r="N2664" s="242"/>
      <c r="O2664" s="242"/>
      <c r="P2664" s="242"/>
      <c r="Q2664" s="242"/>
      <c r="R2664" s="539"/>
      <c r="S2664" s="540"/>
      <c r="T2664" s="543"/>
      <c r="U2664" s="673" t="b">
        <v>0</v>
      </c>
      <c r="Z2664" t="b">
        <v>0</v>
      </c>
      <c r="AA2664" t="b">
        <v>0</v>
      </c>
      <c r="AC2664" s="82"/>
      <c r="AD2664" t="str">
        <f t="shared" si="71"/>
        <v/>
      </c>
      <c r="AE2664" t="str">
        <f t="shared" si="72"/>
        <v/>
      </c>
    </row>
    <row r="2665">
      <c r="D2665" s="226"/>
      <c r="H2665" s="474"/>
      <c r="I2665" s="474"/>
      <c r="J2665" s="475"/>
      <c r="K2665" s="275"/>
      <c r="L2665" s="82"/>
      <c r="M2665" s="672"/>
      <c r="N2665" s="242"/>
      <c r="O2665" s="242"/>
      <c r="P2665" s="242"/>
      <c r="Q2665" s="242"/>
      <c r="R2665" s="539"/>
      <c r="S2665" s="540"/>
      <c r="T2665" s="543"/>
      <c r="U2665" s="673" t="b">
        <v>0</v>
      </c>
      <c r="Z2665" t="b">
        <v>0</v>
      </c>
      <c r="AA2665" t="b">
        <v>0</v>
      </c>
      <c r="AC2665" s="82"/>
      <c r="AD2665" t="str">
        <f t="shared" si="71"/>
        <v/>
      </c>
      <c r="AE2665" t="str">
        <f t="shared" si="72"/>
        <v/>
      </c>
    </row>
    <row r="2666">
      <c r="D2666" s="226"/>
      <c r="H2666" s="474"/>
      <c r="I2666" s="474"/>
      <c r="J2666" s="475"/>
      <c r="K2666" s="275"/>
      <c r="L2666" s="82"/>
      <c r="M2666" s="672"/>
      <c r="N2666" s="242"/>
      <c r="O2666" s="242"/>
      <c r="P2666" s="242"/>
      <c r="Q2666" s="242"/>
      <c r="R2666" s="539"/>
      <c r="S2666" s="540"/>
      <c r="T2666" s="543"/>
      <c r="U2666" s="673" t="b">
        <v>0</v>
      </c>
      <c r="Z2666" t="b">
        <v>0</v>
      </c>
      <c r="AA2666" t="b">
        <v>0</v>
      </c>
      <c r="AC2666" s="82"/>
      <c r="AD2666" t="str">
        <f t="shared" si="71"/>
        <v/>
      </c>
      <c r="AE2666" t="str">
        <f t="shared" si="72"/>
        <v/>
      </c>
    </row>
    <row r="2667">
      <c r="D2667" s="226"/>
      <c r="H2667" s="474"/>
      <c r="I2667" s="474"/>
      <c r="J2667" s="475"/>
      <c r="K2667" s="275"/>
      <c r="L2667" s="82"/>
      <c r="M2667" s="672"/>
      <c r="N2667" s="242"/>
      <c r="O2667" s="242"/>
      <c r="P2667" s="242"/>
      <c r="Q2667" s="242"/>
      <c r="R2667" s="539"/>
      <c r="S2667" s="540"/>
      <c r="T2667" s="543"/>
      <c r="U2667" s="673" t="b">
        <v>0</v>
      </c>
      <c r="Z2667" t="b">
        <v>0</v>
      </c>
      <c r="AA2667" t="b">
        <v>0</v>
      </c>
      <c r="AC2667" s="82"/>
      <c r="AD2667" t="str">
        <f t="shared" si="71"/>
        <v/>
      </c>
      <c r="AE2667" t="str">
        <f t="shared" si="72"/>
        <v/>
      </c>
    </row>
    <row r="2668">
      <c r="D2668" s="226"/>
      <c r="H2668" s="474"/>
      <c r="I2668" s="474"/>
      <c r="J2668" s="475"/>
      <c r="K2668" s="275"/>
      <c r="L2668" s="82"/>
      <c r="M2668" s="672"/>
      <c r="N2668" s="242"/>
      <c r="O2668" s="242"/>
      <c r="P2668" s="242"/>
      <c r="Q2668" s="242"/>
      <c r="R2668" s="539"/>
      <c r="S2668" s="540"/>
      <c r="T2668" s="543"/>
      <c r="U2668" s="673" t="b">
        <v>0</v>
      </c>
      <c r="Z2668" t="b">
        <v>0</v>
      </c>
      <c r="AA2668" t="b">
        <v>0</v>
      </c>
      <c r="AC2668" s="82"/>
      <c r="AD2668" t="str">
        <f t="shared" si="71"/>
        <v/>
      </c>
      <c r="AE2668" t="str">
        <f t="shared" si="72"/>
        <v/>
      </c>
    </row>
    <row r="2669">
      <c r="D2669" s="226"/>
      <c r="H2669" s="474"/>
      <c r="I2669" s="474"/>
      <c r="J2669" s="475"/>
      <c r="K2669" s="275"/>
      <c r="L2669" s="82"/>
      <c r="M2669" s="672"/>
      <c r="N2669" s="242"/>
      <c r="O2669" s="242"/>
      <c r="P2669" s="242"/>
      <c r="Q2669" s="242"/>
      <c r="R2669" s="539"/>
      <c r="S2669" s="540"/>
      <c r="T2669" s="543"/>
      <c r="U2669" s="673" t="b">
        <v>0</v>
      </c>
      <c r="Z2669" t="b">
        <v>0</v>
      </c>
      <c r="AA2669" t="b">
        <v>0</v>
      </c>
      <c r="AC2669" s="82"/>
      <c r="AD2669" t="str">
        <f t="shared" si="71"/>
        <v/>
      </c>
      <c r="AE2669" t="str">
        <f t="shared" si="72"/>
        <v/>
      </c>
    </row>
    <row r="2670">
      <c r="D2670" s="226"/>
      <c r="H2670" s="474"/>
      <c r="I2670" s="474"/>
      <c r="J2670" s="475"/>
      <c r="K2670" s="275"/>
      <c r="L2670" s="82"/>
      <c r="M2670" s="672"/>
      <c r="N2670" s="242"/>
      <c r="O2670" s="242"/>
      <c r="P2670" s="242"/>
      <c r="Q2670" s="242"/>
      <c r="R2670" s="539"/>
      <c r="S2670" s="540"/>
      <c r="T2670" s="543"/>
      <c r="U2670" s="673" t="b">
        <v>0</v>
      </c>
      <c r="Z2670" t="b">
        <v>0</v>
      </c>
      <c r="AA2670" t="b">
        <v>0</v>
      </c>
      <c r="AC2670" s="82"/>
      <c r="AD2670" t="str">
        <f t="shared" si="71"/>
        <v/>
      </c>
      <c r="AE2670" t="str">
        <f t="shared" si="72"/>
        <v/>
      </c>
    </row>
    <row r="2671">
      <c r="D2671" s="226"/>
      <c r="H2671" s="474"/>
      <c r="I2671" s="474"/>
      <c r="J2671" s="475"/>
      <c r="K2671" s="275"/>
      <c r="L2671" s="82"/>
      <c r="M2671" s="672"/>
      <c r="N2671" s="242"/>
      <c r="O2671" s="242"/>
      <c r="P2671" s="242"/>
      <c r="Q2671" s="242"/>
      <c r="R2671" s="539"/>
      <c r="S2671" s="540"/>
      <c r="T2671" s="543"/>
      <c r="U2671" s="673" t="b">
        <v>0</v>
      </c>
      <c r="Z2671" t="b">
        <v>0</v>
      </c>
      <c r="AA2671" t="b">
        <v>0</v>
      </c>
      <c r="AC2671" s="82"/>
      <c r="AD2671" t="str">
        <f t="shared" si="71"/>
        <v/>
      </c>
      <c r="AE2671" t="str">
        <f t="shared" si="72"/>
        <v/>
      </c>
    </row>
    <row r="2672">
      <c r="D2672" s="226"/>
      <c r="H2672" s="474"/>
      <c r="I2672" s="474"/>
      <c r="J2672" s="475"/>
      <c r="K2672" s="275"/>
      <c r="L2672" s="82"/>
      <c r="M2672" s="672"/>
      <c r="N2672" s="242"/>
      <c r="O2672" s="242"/>
      <c r="P2672" s="242"/>
      <c r="Q2672" s="242"/>
      <c r="R2672" s="539"/>
      <c r="S2672" s="540"/>
      <c r="T2672" s="543"/>
      <c r="U2672" s="673" t="b">
        <v>0</v>
      </c>
      <c r="Z2672" t="b">
        <v>0</v>
      </c>
      <c r="AA2672" t="b">
        <v>0</v>
      </c>
      <c r="AC2672" s="82"/>
      <c r="AD2672" t="str">
        <f t="shared" si="71"/>
        <v/>
      </c>
      <c r="AE2672" t="str">
        <f t="shared" si="72"/>
        <v/>
      </c>
    </row>
    <row r="2673">
      <c r="D2673" s="226"/>
      <c r="H2673" s="474"/>
      <c r="I2673" s="474"/>
      <c r="J2673" s="475"/>
      <c r="K2673" s="275"/>
      <c r="L2673" s="82"/>
      <c r="M2673" s="672"/>
      <c r="N2673" s="242"/>
      <c r="O2673" s="242"/>
      <c r="P2673" s="242"/>
      <c r="Q2673" s="242"/>
      <c r="R2673" s="539"/>
      <c r="S2673" s="540"/>
      <c r="T2673" s="543"/>
      <c r="U2673" s="673" t="b">
        <v>0</v>
      </c>
      <c r="Z2673" t="b">
        <v>0</v>
      </c>
      <c r="AA2673" t="b">
        <v>0</v>
      </c>
      <c r="AC2673" s="82"/>
      <c r="AD2673" t="str">
        <f t="shared" si="71"/>
        <v/>
      </c>
      <c r="AE2673" t="str">
        <f t="shared" si="72"/>
        <v/>
      </c>
    </row>
    <row r="2674">
      <c r="D2674" s="226"/>
      <c r="H2674" s="474"/>
      <c r="I2674" s="474"/>
      <c r="J2674" s="475"/>
      <c r="K2674" s="275"/>
      <c r="L2674" s="82"/>
      <c r="M2674" s="672"/>
      <c r="N2674" s="242"/>
      <c r="O2674" s="242"/>
      <c r="P2674" s="242"/>
      <c r="Q2674" s="242"/>
      <c r="R2674" s="539"/>
      <c r="S2674" s="540"/>
      <c r="T2674" s="543"/>
      <c r="U2674" s="673" t="b">
        <v>0</v>
      </c>
      <c r="Z2674" t="b">
        <v>0</v>
      </c>
      <c r="AA2674" t="b">
        <v>0</v>
      </c>
      <c r="AC2674" s="82"/>
      <c r="AD2674" t="str">
        <f t="shared" si="71"/>
        <v/>
      </c>
      <c r="AE2674" t="str">
        <f t="shared" si="72"/>
        <v/>
      </c>
    </row>
    <row r="2675">
      <c r="D2675" s="226"/>
      <c r="H2675" s="474"/>
      <c r="I2675" s="474"/>
      <c r="J2675" s="475"/>
      <c r="K2675" s="275"/>
      <c r="L2675" s="82"/>
      <c r="M2675" s="672"/>
      <c r="N2675" s="242"/>
      <c r="O2675" s="242"/>
      <c r="P2675" s="242"/>
      <c r="Q2675" s="242"/>
      <c r="R2675" s="539"/>
      <c r="S2675" s="540"/>
      <c r="T2675" s="543"/>
      <c r="U2675" s="673" t="b">
        <v>0</v>
      </c>
      <c r="Z2675" t="b">
        <v>0</v>
      </c>
      <c r="AA2675" t="b">
        <v>0</v>
      </c>
      <c r="AC2675" s="82"/>
      <c r="AD2675" t="str">
        <f t="shared" si="71"/>
        <v/>
      </c>
      <c r="AE2675" t="str">
        <f t="shared" si="72"/>
        <v/>
      </c>
    </row>
    <row r="2676">
      <c r="D2676" s="226"/>
      <c r="H2676" s="474"/>
      <c r="I2676" s="474"/>
      <c r="J2676" s="475"/>
      <c r="K2676" s="275"/>
      <c r="L2676" s="82"/>
      <c r="M2676" s="672"/>
      <c r="N2676" s="242"/>
      <c r="O2676" s="242"/>
      <c r="P2676" s="242"/>
      <c r="Q2676" s="242"/>
      <c r="R2676" s="539"/>
      <c r="S2676" s="540"/>
      <c r="T2676" s="543"/>
      <c r="U2676" s="673" t="b">
        <v>0</v>
      </c>
      <c r="Z2676" t="b">
        <v>0</v>
      </c>
      <c r="AA2676" t="b">
        <v>0</v>
      </c>
      <c r="AC2676" s="82"/>
      <c r="AD2676" t="str">
        <f t="shared" si="71"/>
        <v/>
      </c>
      <c r="AE2676" t="str">
        <f t="shared" si="72"/>
        <v/>
      </c>
    </row>
    <row r="2677">
      <c r="D2677" s="226"/>
      <c r="H2677" s="474"/>
      <c r="I2677" s="474"/>
      <c r="J2677" s="475"/>
      <c r="K2677" s="275"/>
      <c r="L2677" s="82"/>
      <c r="M2677" s="672"/>
      <c r="N2677" s="242"/>
      <c r="O2677" s="242"/>
      <c r="P2677" s="242"/>
      <c r="Q2677" s="242"/>
      <c r="R2677" s="539"/>
      <c r="S2677" s="540"/>
      <c r="T2677" s="543"/>
      <c r="U2677" s="673" t="b">
        <v>0</v>
      </c>
      <c r="Z2677" t="b">
        <v>0</v>
      </c>
      <c r="AA2677" t="b">
        <v>0</v>
      </c>
      <c r="AC2677" s="82"/>
      <c r="AD2677" t="str">
        <f t="shared" si="71"/>
        <v/>
      </c>
      <c r="AE2677" t="str">
        <f t="shared" si="72"/>
        <v/>
      </c>
    </row>
    <row r="2678">
      <c r="D2678" s="226"/>
      <c r="H2678" s="474"/>
      <c r="I2678" s="474"/>
      <c r="J2678" s="475"/>
      <c r="K2678" s="275"/>
      <c r="L2678" s="82"/>
      <c r="M2678" s="672"/>
      <c r="N2678" s="242"/>
      <c r="O2678" s="242"/>
      <c r="P2678" s="242"/>
      <c r="Q2678" s="242"/>
      <c r="R2678" s="539"/>
      <c r="S2678" s="540"/>
      <c r="T2678" s="543"/>
      <c r="U2678" s="673" t="b">
        <v>0</v>
      </c>
      <c r="Z2678" t="b">
        <v>0</v>
      </c>
      <c r="AA2678" t="b">
        <v>0</v>
      </c>
      <c r="AC2678" s="82"/>
      <c r="AD2678" t="str">
        <f t="shared" si="71"/>
        <v/>
      </c>
      <c r="AE2678" t="str">
        <f t="shared" si="72"/>
        <v/>
      </c>
    </row>
    <row r="2679">
      <c r="D2679" s="226"/>
      <c r="H2679" s="474"/>
      <c r="I2679" s="474"/>
      <c r="J2679" s="475"/>
      <c r="K2679" s="275"/>
      <c r="L2679" s="82"/>
      <c r="M2679" s="672"/>
      <c r="N2679" s="242"/>
      <c r="O2679" s="242"/>
      <c r="P2679" s="242"/>
      <c r="Q2679" s="242"/>
      <c r="R2679" s="539"/>
      <c r="S2679" s="540"/>
      <c r="T2679" s="543"/>
      <c r="U2679" s="673" t="b">
        <v>0</v>
      </c>
      <c r="Z2679" t="b">
        <v>0</v>
      </c>
      <c r="AA2679" t="b">
        <v>0</v>
      </c>
      <c r="AC2679" s="82"/>
      <c r="AD2679" t="str">
        <f t="shared" si="71"/>
        <v/>
      </c>
      <c r="AE2679" t="str">
        <f t="shared" si="72"/>
        <v/>
      </c>
    </row>
    <row r="2680">
      <c r="D2680" s="226"/>
      <c r="H2680" s="474"/>
      <c r="I2680" s="474"/>
      <c r="J2680" s="475"/>
      <c r="K2680" s="275"/>
      <c r="L2680" s="82"/>
      <c r="M2680" s="672"/>
      <c r="N2680" s="242"/>
      <c r="O2680" s="242"/>
      <c r="P2680" s="242"/>
      <c r="Q2680" s="242"/>
      <c r="R2680" s="539"/>
      <c r="S2680" s="540"/>
      <c r="T2680" s="543"/>
      <c r="U2680" s="673" t="b">
        <v>0</v>
      </c>
      <c r="Z2680" t="b">
        <v>0</v>
      </c>
      <c r="AA2680" t="b">
        <v>0</v>
      </c>
      <c r="AC2680" s="82"/>
      <c r="AD2680" t="str">
        <f t="shared" si="71"/>
        <v/>
      </c>
      <c r="AE2680" t="str">
        <f t="shared" si="72"/>
        <v/>
      </c>
    </row>
    <row r="2681">
      <c r="D2681" s="226"/>
      <c r="H2681" s="474"/>
      <c r="I2681" s="474"/>
      <c r="J2681" s="475"/>
      <c r="K2681" s="275"/>
      <c r="L2681" s="82"/>
      <c r="M2681" s="672"/>
      <c r="N2681" s="242"/>
      <c r="O2681" s="242"/>
      <c r="P2681" s="242"/>
      <c r="Q2681" s="242"/>
      <c r="R2681" s="539"/>
      <c r="S2681" s="540"/>
      <c r="T2681" s="543"/>
      <c r="U2681" s="673" t="b">
        <v>0</v>
      </c>
      <c r="Z2681" t="b">
        <v>0</v>
      </c>
      <c r="AA2681" t="b">
        <v>0</v>
      </c>
      <c r="AC2681" s="82"/>
      <c r="AD2681" t="str">
        <f t="shared" si="71"/>
        <v/>
      </c>
      <c r="AE2681" t="str">
        <f t="shared" si="72"/>
        <v/>
      </c>
    </row>
    <row r="2682">
      <c r="D2682" s="226"/>
      <c r="H2682" s="474"/>
      <c r="I2682" s="474"/>
      <c r="J2682" s="475"/>
      <c r="K2682" s="275"/>
      <c r="L2682" s="82"/>
      <c r="M2682" s="672"/>
      <c r="N2682" s="242"/>
      <c r="O2682" s="242"/>
      <c r="P2682" s="242"/>
      <c r="Q2682" s="242"/>
      <c r="R2682" s="539"/>
      <c r="S2682" s="540"/>
      <c r="T2682" s="543"/>
      <c r="U2682" s="673" t="b">
        <v>0</v>
      </c>
      <c r="Z2682" t="b">
        <v>0</v>
      </c>
      <c r="AA2682" t="b">
        <v>0</v>
      </c>
      <c r="AC2682" s="82"/>
      <c r="AD2682" t="str">
        <f t="shared" si="71"/>
        <v/>
      </c>
      <c r="AE2682" t="str">
        <f t="shared" si="72"/>
        <v/>
      </c>
    </row>
    <row r="2683">
      <c r="D2683" s="226"/>
      <c r="H2683" s="474"/>
      <c r="I2683" s="474"/>
      <c r="J2683" s="475"/>
      <c r="K2683" s="275"/>
      <c r="L2683" s="82"/>
      <c r="M2683" s="672"/>
      <c r="N2683" s="242"/>
      <c r="O2683" s="242"/>
      <c r="P2683" s="242"/>
      <c r="Q2683" s="242"/>
      <c r="R2683" s="539"/>
      <c r="S2683" s="540"/>
      <c r="T2683" s="543"/>
      <c r="U2683" s="673" t="b">
        <v>0</v>
      </c>
      <c r="Z2683" t="b">
        <v>0</v>
      </c>
      <c r="AA2683" t="b">
        <v>0</v>
      </c>
      <c r="AC2683" s="82"/>
      <c r="AD2683" t="str">
        <f t="shared" si="71"/>
        <v/>
      </c>
      <c r="AE2683" t="str">
        <f t="shared" si="72"/>
        <v/>
      </c>
    </row>
    <row r="2684">
      <c r="D2684" s="226"/>
      <c r="H2684" s="474"/>
      <c r="I2684" s="474"/>
      <c r="J2684" s="475"/>
      <c r="K2684" s="275"/>
      <c r="L2684" s="82"/>
      <c r="M2684" s="672"/>
      <c r="N2684" s="242"/>
      <c r="O2684" s="242"/>
      <c r="P2684" s="242"/>
      <c r="Q2684" s="242"/>
      <c r="R2684" s="539"/>
      <c r="S2684" s="540"/>
      <c r="T2684" s="543"/>
      <c r="U2684" s="673" t="b">
        <v>0</v>
      </c>
      <c r="Z2684" t="b">
        <v>0</v>
      </c>
      <c r="AA2684" t="b">
        <v>0</v>
      </c>
      <c r="AC2684" s="82"/>
      <c r="AD2684" t="str">
        <f t="shared" si="71"/>
        <v/>
      </c>
      <c r="AE2684" t="str">
        <f t="shared" si="72"/>
        <v/>
      </c>
    </row>
    <row r="2685">
      <c r="D2685" s="226"/>
      <c r="H2685" s="474"/>
      <c r="I2685" s="474"/>
      <c r="J2685" s="475"/>
      <c r="K2685" s="275"/>
      <c r="L2685" s="82"/>
      <c r="M2685" s="672"/>
      <c r="N2685" s="242"/>
      <c r="O2685" s="242"/>
      <c r="P2685" s="242"/>
      <c r="Q2685" s="242"/>
      <c r="R2685" s="539"/>
      <c r="S2685" s="540"/>
      <c r="T2685" s="543"/>
      <c r="U2685" s="673" t="b">
        <v>0</v>
      </c>
      <c r="Z2685" t="b">
        <v>0</v>
      </c>
      <c r="AA2685" t="b">
        <v>0</v>
      </c>
      <c r="AC2685" s="82"/>
      <c r="AD2685" t="str">
        <f t="shared" si="71"/>
        <v/>
      </c>
      <c r="AE2685" t="str">
        <f t="shared" si="72"/>
        <v/>
      </c>
    </row>
    <row r="2686">
      <c r="D2686" s="226"/>
      <c r="H2686" s="474"/>
      <c r="I2686" s="474"/>
      <c r="J2686" s="475"/>
      <c r="K2686" s="275"/>
      <c r="L2686" s="82"/>
      <c r="M2686" s="672"/>
      <c r="N2686" s="242"/>
      <c r="O2686" s="242"/>
      <c r="P2686" s="242"/>
      <c r="Q2686" s="242"/>
      <c r="R2686" s="539"/>
      <c r="S2686" s="540"/>
      <c r="T2686" s="543"/>
      <c r="U2686" s="673" t="b">
        <v>0</v>
      </c>
      <c r="Z2686" t="b">
        <v>0</v>
      </c>
      <c r="AA2686" t="b">
        <v>0</v>
      </c>
      <c r="AC2686" s="82"/>
      <c r="AD2686" t="str">
        <f t="shared" si="71"/>
        <v/>
      </c>
      <c r="AE2686" t="str">
        <f t="shared" si="72"/>
        <v/>
      </c>
    </row>
    <row r="2687">
      <c r="D2687" s="226"/>
      <c r="H2687" s="474"/>
      <c r="I2687" s="474"/>
      <c r="J2687" s="475"/>
      <c r="K2687" s="275"/>
      <c r="L2687" s="82"/>
      <c r="M2687" s="672"/>
      <c r="N2687" s="242"/>
      <c r="O2687" s="242"/>
      <c r="P2687" s="242"/>
      <c r="Q2687" s="242"/>
      <c r="R2687" s="539"/>
      <c r="S2687" s="540"/>
      <c r="T2687" s="543"/>
      <c r="U2687" s="673" t="b">
        <v>0</v>
      </c>
      <c r="Z2687" t="b">
        <v>0</v>
      </c>
      <c r="AA2687" t="b">
        <v>0</v>
      </c>
      <c r="AC2687" s="82"/>
      <c r="AD2687" t="str">
        <f t="shared" si="71"/>
        <v/>
      </c>
      <c r="AE2687" t="str">
        <f t="shared" si="72"/>
        <v/>
      </c>
    </row>
    <row r="2688">
      <c r="D2688" s="226"/>
      <c r="H2688" s="474"/>
      <c r="I2688" s="474"/>
      <c r="J2688" s="475"/>
      <c r="K2688" s="275"/>
      <c r="L2688" s="82"/>
      <c r="M2688" s="672"/>
      <c r="N2688" s="242"/>
      <c r="O2688" s="242"/>
      <c r="P2688" s="242"/>
      <c r="Q2688" s="242"/>
      <c r="R2688" s="539"/>
      <c r="S2688" s="540"/>
      <c r="T2688" s="543"/>
      <c r="U2688" s="673" t="b">
        <v>0</v>
      </c>
      <c r="Z2688" t="b">
        <v>0</v>
      </c>
      <c r="AA2688" t="b">
        <v>0</v>
      </c>
      <c r="AC2688" s="82"/>
      <c r="AD2688" t="str">
        <f t="shared" si="71"/>
        <v/>
      </c>
      <c r="AE2688" t="str">
        <f t="shared" si="72"/>
        <v/>
      </c>
    </row>
    <row r="2689">
      <c r="D2689" s="226"/>
      <c r="H2689" s="474"/>
      <c r="I2689" s="474"/>
      <c r="J2689" s="475"/>
      <c r="K2689" s="275"/>
      <c r="L2689" s="82"/>
      <c r="M2689" s="672"/>
      <c r="N2689" s="242"/>
      <c r="O2689" s="242"/>
      <c r="P2689" s="242"/>
      <c r="Q2689" s="242"/>
      <c r="R2689" s="539"/>
      <c r="S2689" s="540"/>
      <c r="T2689" s="543"/>
      <c r="U2689" s="673" t="b">
        <v>0</v>
      </c>
      <c r="Z2689" t="b">
        <v>0</v>
      </c>
      <c r="AA2689" t="b">
        <v>0</v>
      </c>
      <c r="AC2689" s="82"/>
      <c r="AD2689" t="str">
        <f t="shared" si="71"/>
        <v/>
      </c>
      <c r="AE2689" t="str">
        <f t="shared" si="72"/>
        <v/>
      </c>
    </row>
    <row r="2690">
      <c r="D2690" s="226"/>
      <c r="H2690" s="474"/>
      <c r="I2690" s="474"/>
      <c r="J2690" s="475"/>
      <c r="K2690" s="275"/>
      <c r="L2690" s="82"/>
      <c r="M2690" s="672"/>
      <c r="N2690" s="242"/>
      <c r="O2690" s="242"/>
      <c r="P2690" s="242"/>
      <c r="Q2690" s="242"/>
      <c r="R2690" s="539"/>
      <c r="S2690" s="540"/>
      <c r="T2690" s="543"/>
      <c r="U2690" s="673" t="b">
        <v>0</v>
      </c>
      <c r="Z2690" t="b">
        <v>0</v>
      </c>
      <c r="AA2690" t="b">
        <v>0</v>
      </c>
      <c r="AC2690" s="82"/>
      <c r="AD2690" t="str">
        <f t="shared" si="71"/>
        <v/>
      </c>
      <c r="AE2690" t="str">
        <f t="shared" si="72"/>
        <v/>
      </c>
    </row>
    <row r="2691">
      <c r="D2691" s="226"/>
      <c r="H2691" s="474"/>
      <c r="I2691" s="474"/>
      <c r="J2691" s="475"/>
      <c r="K2691" s="275"/>
      <c r="L2691" s="82"/>
      <c r="M2691" s="672"/>
      <c r="N2691" s="242"/>
      <c r="O2691" s="242"/>
      <c r="P2691" s="242"/>
      <c r="Q2691" s="242"/>
      <c r="R2691" s="539"/>
      <c r="S2691" s="540"/>
      <c r="T2691" s="543"/>
      <c r="U2691" s="673" t="b">
        <v>0</v>
      </c>
      <c r="Z2691" t="b">
        <v>0</v>
      </c>
      <c r="AA2691" t="b">
        <v>0</v>
      </c>
      <c r="AC2691" s="82"/>
      <c r="AD2691" t="str">
        <f t="shared" si="71"/>
        <v/>
      </c>
      <c r="AE2691" t="str">
        <f t="shared" si="72"/>
        <v/>
      </c>
    </row>
    <row r="2692">
      <c r="D2692" s="226"/>
      <c r="H2692" s="474"/>
      <c r="I2692" s="474"/>
      <c r="J2692" s="475"/>
      <c r="K2692" s="275"/>
      <c r="L2692" s="82"/>
      <c r="M2692" s="672"/>
      <c r="N2692" s="242"/>
      <c r="O2692" s="242"/>
      <c r="P2692" s="242"/>
      <c r="Q2692" s="242"/>
      <c r="R2692" s="539"/>
      <c r="S2692" s="540"/>
      <c r="T2692" s="543"/>
      <c r="U2692" s="673" t="b">
        <v>0</v>
      </c>
      <c r="Z2692" t="b">
        <v>0</v>
      </c>
      <c r="AA2692" t="b">
        <v>0</v>
      </c>
      <c r="AC2692" s="82"/>
      <c r="AD2692" t="str">
        <f t="shared" si="71"/>
        <v/>
      </c>
      <c r="AE2692" t="str">
        <f t="shared" si="72"/>
        <v/>
      </c>
    </row>
    <row r="2693">
      <c r="D2693" s="226"/>
      <c r="H2693" s="474"/>
      <c r="I2693" s="474"/>
      <c r="J2693" s="475"/>
      <c r="K2693" s="275"/>
      <c r="L2693" s="82"/>
      <c r="M2693" s="672"/>
      <c r="N2693" s="242"/>
      <c r="O2693" s="242"/>
      <c r="P2693" s="242"/>
      <c r="Q2693" s="242"/>
      <c r="R2693" s="539"/>
      <c r="S2693" s="540"/>
      <c r="T2693" s="543"/>
      <c r="U2693" s="673" t="b">
        <v>0</v>
      </c>
      <c r="Z2693" t="b">
        <v>0</v>
      </c>
      <c r="AA2693" t="b">
        <v>0</v>
      </c>
      <c r="AC2693" s="82"/>
      <c r="AD2693" t="str">
        <f t="shared" si="71"/>
        <v/>
      </c>
      <c r="AE2693" t="str">
        <f t="shared" si="72"/>
        <v/>
      </c>
    </row>
    <row r="2694">
      <c r="D2694" s="226"/>
      <c r="H2694" s="474"/>
      <c r="I2694" s="474"/>
      <c r="J2694" s="475"/>
      <c r="K2694" s="275"/>
      <c r="L2694" s="82"/>
      <c r="M2694" s="672"/>
      <c r="N2694" s="242"/>
      <c r="O2694" s="242"/>
      <c r="P2694" s="242"/>
      <c r="Q2694" s="242"/>
      <c r="R2694" s="539"/>
      <c r="S2694" s="540"/>
      <c r="T2694" s="543"/>
      <c r="U2694" s="673" t="b">
        <v>0</v>
      </c>
      <c r="Z2694" t="b">
        <v>0</v>
      </c>
      <c r="AA2694" t="b">
        <v>0</v>
      </c>
      <c r="AC2694" s="82"/>
      <c r="AD2694" t="str">
        <f t="shared" si="71"/>
        <v/>
      </c>
      <c r="AE2694" t="str">
        <f t="shared" si="72"/>
        <v/>
      </c>
    </row>
    <row r="2695">
      <c r="D2695" s="226"/>
      <c r="H2695" s="474"/>
      <c r="I2695" s="474"/>
      <c r="J2695" s="475"/>
      <c r="K2695" s="275"/>
      <c r="L2695" s="82"/>
      <c r="M2695" s="672"/>
      <c r="N2695" s="242"/>
      <c r="O2695" s="242"/>
      <c r="P2695" s="242"/>
      <c r="Q2695" s="242"/>
      <c r="R2695" s="539"/>
      <c r="S2695" s="540"/>
      <c r="T2695" s="543"/>
      <c r="U2695" s="673" t="b">
        <v>0</v>
      </c>
      <c r="Z2695" t="b">
        <v>0</v>
      </c>
      <c r="AA2695" t="b">
        <v>0</v>
      </c>
      <c r="AC2695" s="82"/>
      <c r="AD2695" t="str">
        <f t="shared" si="71"/>
        <v/>
      </c>
      <c r="AE2695" t="str">
        <f t="shared" si="72"/>
        <v/>
      </c>
    </row>
    <row r="2696">
      <c r="D2696" s="226"/>
      <c r="H2696" s="474"/>
      <c r="I2696" s="474"/>
      <c r="J2696" s="475"/>
      <c r="K2696" s="275"/>
      <c r="L2696" s="82"/>
      <c r="M2696" s="672"/>
      <c r="N2696" s="242"/>
      <c r="O2696" s="242"/>
      <c r="P2696" s="242"/>
      <c r="Q2696" s="242"/>
      <c r="R2696" s="539"/>
      <c r="S2696" s="540"/>
      <c r="T2696" s="543"/>
      <c r="U2696" s="673" t="b">
        <v>0</v>
      </c>
      <c r="Z2696" t="b">
        <v>0</v>
      </c>
      <c r="AA2696" t="b">
        <v>0</v>
      </c>
      <c r="AC2696" s="82"/>
      <c r="AD2696" t="str">
        <f t="shared" si="71"/>
        <v/>
      </c>
      <c r="AE2696" t="str">
        <f t="shared" si="72"/>
        <v/>
      </c>
    </row>
    <row r="2697">
      <c r="D2697" s="226"/>
      <c r="H2697" s="474"/>
      <c r="I2697" s="474"/>
      <c r="J2697" s="475"/>
      <c r="K2697" s="275"/>
      <c r="L2697" s="82"/>
      <c r="M2697" s="672"/>
      <c r="N2697" s="242"/>
      <c r="O2697" s="242"/>
      <c r="P2697" s="242"/>
      <c r="Q2697" s="242"/>
      <c r="R2697" s="539"/>
      <c r="S2697" s="540"/>
      <c r="T2697" s="543"/>
      <c r="U2697" s="673" t="b">
        <v>0</v>
      </c>
      <c r="Z2697" t="b">
        <v>0</v>
      </c>
      <c r="AA2697" t="b">
        <v>0</v>
      </c>
      <c r="AC2697" s="82"/>
      <c r="AD2697" t="str">
        <f t="shared" si="71"/>
        <v/>
      </c>
      <c r="AE2697" t="str">
        <f t="shared" si="72"/>
        <v/>
      </c>
    </row>
    <row r="2698">
      <c r="D2698" s="226"/>
      <c r="H2698" s="474"/>
      <c r="I2698" s="474"/>
      <c r="J2698" s="475"/>
      <c r="K2698" s="275"/>
      <c r="L2698" s="82"/>
      <c r="M2698" s="672"/>
      <c r="N2698" s="242"/>
      <c r="O2698" s="242"/>
      <c r="P2698" s="242"/>
      <c r="Q2698" s="242"/>
      <c r="R2698" s="539"/>
      <c r="S2698" s="540"/>
      <c r="T2698" s="543"/>
      <c r="U2698" s="673" t="b">
        <v>0</v>
      </c>
      <c r="Z2698" t="b">
        <v>0</v>
      </c>
      <c r="AA2698" t="b">
        <v>0</v>
      </c>
      <c r="AC2698" s="82"/>
      <c r="AD2698" t="str">
        <f t="shared" si="71"/>
        <v/>
      </c>
      <c r="AE2698" t="str">
        <f t="shared" si="72"/>
        <v/>
      </c>
    </row>
    <row r="2699">
      <c r="D2699" s="226"/>
      <c r="H2699" s="474"/>
      <c r="I2699" s="474"/>
      <c r="J2699" s="475"/>
      <c r="K2699" s="275"/>
      <c r="L2699" s="82"/>
      <c r="M2699" s="672"/>
      <c r="N2699" s="242"/>
      <c r="O2699" s="242"/>
      <c r="P2699" s="242"/>
      <c r="Q2699" s="242"/>
      <c r="R2699" s="539"/>
      <c r="S2699" s="540"/>
      <c r="T2699" s="543"/>
      <c r="U2699" s="673" t="b">
        <v>0</v>
      </c>
      <c r="Z2699" t="b">
        <v>0</v>
      </c>
      <c r="AA2699" t="b">
        <v>0</v>
      </c>
      <c r="AC2699" s="82"/>
      <c r="AD2699" t="str">
        <f t="shared" si="71"/>
        <v/>
      </c>
      <c r="AE2699" t="str">
        <f t="shared" si="72"/>
        <v/>
      </c>
    </row>
    <row r="2700">
      <c r="D2700" s="226"/>
      <c r="H2700" s="474"/>
      <c r="I2700" s="474"/>
      <c r="J2700" s="475"/>
      <c r="K2700" s="275"/>
      <c r="L2700" s="82"/>
      <c r="M2700" s="672"/>
      <c r="N2700" s="242"/>
      <c r="O2700" s="242"/>
      <c r="P2700" s="242"/>
      <c r="Q2700" s="242"/>
      <c r="R2700" s="539"/>
      <c r="S2700" s="540"/>
      <c r="T2700" s="543"/>
      <c r="U2700" s="673" t="b">
        <v>0</v>
      </c>
      <c r="Z2700" t="b">
        <v>0</v>
      </c>
      <c r="AA2700" t="b">
        <v>0</v>
      </c>
      <c r="AC2700" s="82"/>
      <c r="AD2700" t="str">
        <f t="shared" si="71"/>
        <v/>
      </c>
      <c r="AE2700" t="str">
        <f t="shared" si="72"/>
        <v/>
      </c>
    </row>
    <row r="2701">
      <c r="D2701" s="226"/>
      <c r="H2701" s="474"/>
      <c r="I2701" s="474"/>
      <c r="J2701" s="475"/>
      <c r="K2701" s="275"/>
      <c r="L2701" s="82"/>
      <c r="M2701" s="672"/>
      <c r="N2701" s="242"/>
      <c r="O2701" s="242"/>
      <c r="P2701" s="242"/>
      <c r="Q2701" s="242"/>
      <c r="R2701" s="539"/>
      <c r="S2701" s="540"/>
      <c r="T2701" s="543"/>
      <c r="U2701" s="673" t="b">
        <v>0</v>
      </c>
      <c r="Z2701" t="b">
        <v>0</v>
      </c>
      <c r="AA2701" t="b">
        <v>0</v>
      </c>
      <c r="AC2701" s="82"/>
      <c r="AD2701" t="str">
        <f t="shared" si="71"/>
        <v/>
      </c>
      <c r="AE2701" t="str">
        <f t="shared" si="72"/>
        <v/>
      </c>
    </row>
    <row r="2702">
      <c r="D2702" s="226"/>
      <c r="H2702" s="474"/>
      <c r="I2702" s="474"/>
      <c r="J2702" s="475"/>
      <c r="K2702" s="275"/>
      <c r="L2702" s="82"/>
      <c r="M2702" s="672"/>
      <c r="N2702" s="242"/>
      <c r="O2702" s="242"/>
      <c r="P2702" s="242"/>
      <c r="Q2702" s="242"/>
      <c r="R2702" s="539"/>
      <c r="S2702" s="540"/>
      <c r="T2702" s="543"/>
      <c r="U2702" s="673" t="b">
        <v>0</v>
      </c>
      <c r="Z2702" t="b">
        <v>0</v>
      </c>
      <c r="AA2702" t="b">
        <v>0</v>
      </c>
      <c r="AC2702" s="82"/>
      <c r="AD2702" t="str">
        <f t="shared" si="71"/>
        <v/>
      </c>
      <c r="AE2702" t="str">
        <f t="shared" si="72"/>
        <v/>
      </c>
    </row>
    <row r="2703">
      <c r="D2703" s="226"/>
      <c r="H2703" s="474"/>
      <c r="I2703" s="474"/>
      <c r="J2703" s="475"/>
      <c r="K2703" s="275"/>
      <c r="L2703" s="82"/>
      <c r="M2703" s="672"/>
      <c r="N2703" s="242"/>
      <c r="O2703" s="242"/>
      <c r="P2703" s="242"/>
      <c r="Q2703" s="242"/>
      <c r="R2703" s="539"/>
      <c r="S2703" s="540"/>
      <c r="T2703" s="543"/>
      <c r="U2703" s="673" t="b">
        <v>0</v>
      </c>
      <c r="Z2703" t="b">
        <v>0</v>
      </c>
      <c r="AA2703" t="b">
        <v>0</v>
      </c>
      <c r="AC2703" s="82"/>
      <c r="AD2703" t="str">
        <f t="shared" si="71"/>
        <v/>
      </c>
      <c r="AE2703" t="str">
        <f t="shared" si="72"/>
        <v/>
      </c>
    </row>
    <row r="2704">
      <c r="D2704" s="226"/>
      <c r="H2704" s="474"/>
      <c r="I2704" s="474"/>
      <c r="J2704" s="475"/>
      <c r="K2704" s="275"/>
      <c r="L2704" s="82"/>
      <c r="M2704" s="672"/>
      <c r="N2704" s="242"/>
      <c r="O2704" s="242"/>
      <c r="P2704" s="242"/>
      <c r="Q2704" s="242"/>
      <c r="R2704" s="539"/>
      <c r="S2704" s="540"/>
      <c r="T2704" s="543"/>
      <c r="U2704" s="673" t="b">
        <v>0</v>
      </c>
      <c r="Z2704" t="b">
        <v>0</v>
      </c>
      <c r="AA2704" t="b">
        <v>0</v>
      </c>
      <c r="AC2704" s="82"/>
      <c r="AD2704" t="str">
        <f t="shared" si="71"/>
        <v/>
      </c>
      <c r="AE2704" t="str">
        <f t="shared" si="72"/>
        <v/>
      </c>
    </row>
    <row r="2705">
      <c r="D2705" s="226"/>
      <c r="H2705" s="474"/>
      <c r="I2705" s="474"/>
      <c r="J2705" s="475"/>
      <c r="K2705" s="275"/>
      <c r="L2705" s="82"/>
      <c r="M2705" s="672"/>
      <c r="N2705" s="242"/>
      <c r="O2705" s="242"/>
      <c r="P2705" s="242"/>
      <c r="Q2705" s="242"/>
      <c r="R2705" s="539"/>
      <c r="S2705" s="540"/>
      <c r="T2705" s="543"/>
      <c r="U2705" s="673" t="b">
        <v>0</v>
      </c>
      <c r="Z2705" t="b">
        <v>0</v>
      </c>
      <c r="AA2705" t="b">
        <v>0</v>
      </c>
      <c r="AC2705" s="82"/>
      <c r="AD2705" t="str">
        <f t="shared" si="71"/>
        <v/>
      </c>
      <c r="AE2705" t="str">
        <f t="shared" si="72"/>
        <v/>
      </c>
    </row>
    <row r="2706">
      <c r="D2706" s="226"/>
      <c r="H2706" s="474"/>
      <c r="I2706" s="474"/>
      <c r="J2706" s="475"/>
      <c r="K2706" s="275"/>
      <c r="L2706" s="82"/>
      <c r="M2706" s="672"/>
      <c r="N2706" s="242"/>
      <c r="O2706" s="242"/>
      <c r="P2706" s="242"/>
      <c r="Q2706" s="242"/>
      <c r="R2706" s="539"/>
      <c r="S2706" s="540"/>
      <c r="T2706" s="543"/>
      <c r="U2706" s="673" t="b">
        <v>0</v>
      </c>
      <c r="Z2706" t="b">
        <v>0</v>
      </c>
      <c r="AA2706" t="b">
        <v>0</v>
      </c>
      <c r="AC2706" s="82"/>
      <c r="AD2706" t="str">
        <f t="shared" si="71"/>
        <v/>
      </c>
      <c r="AE2706" t="str">
        <f t="shared" si="72"/>
        <v/>
      </c>
    </row>
    <row r="2707">
      <c r="D2707" s="226"/>
      <c r="H2707" s="474"/>
      <c r="I2707" s="474"/>
      <c r="J2707" s="475"/>
      <c r="K2707" s="275"/>
      <c r="L2707" s="82"/>
      <c r="M2707" s="672"/>
      <c r="N2707" s="242"/>
      <c r="O2707" s="242"/>
      <c r="P2707" s="242"/>
      <c r="Q2707" s="242"/>
      <c r="R2707" s="539"/>
      <c r="S2707" s="540"/>
      <c r="T2707" s="543"/>
      <c r="U2707" s="673" t="b">
        <v>0</v>
      </c>
      <c r="Z2707" t="b">
        <v>0</v>
      </c>
      <c r="AA2707" t="b">
        <v>0</v>
      </c>
      <c r="AC2707" s="82"/>
      <c r="AD2707" t="str">
        <f t="shared" si="71"/>
        <v/>
      </c>
      <c r="AE2707" t="str">
        <f t="shared" si="72"/>
        <v/>
      </c>
    </row>
    <row r="2708">
      <c r="D2708" s="226"/>
      <c r="H2708" s="474"/>
      <c r="I2708" s="474"/>
      <c r="J2708" s="475"/>
      <c r="K2708" s="275"/>
      <c r="L2708" s="82"/>
      <c r="M2708" s="672"/>
      <c r="N2708" s="242"/>
      <c r="O2708" s="242"/>
      <c r="P2708" s="242"/>
      <c r="Q2708" s="242"/>
      <c r="R2708" s="539"/>
      <c r="S2708" s="540"/>
      <c r="T2708" s="543"/>
      <c r="U2708" s="673" t="b">
        <v>0</v>
      </c>
      <c r="Z2708" t="b">
        <v>0</v>
      </c>
      <c r="AA2708" t="b">
        <v>0</v>
      </c>
      <c r="AC2708" s="82"/>
      <c r="AD2708" t="str">
        <f t="shared" si="71"/>
        <v/>
      </c>
      <c r="AE2708" t="str">
        <f t="shared" si="72"/>
        <v/>
      </c>
    </row>
    <row r="2709">
      <c r="D2709" s="226"/>
      <c r="H2709" s="474"/>
      <c r="I2709" s="474"/>
      <c r="J2709" s="475"/>
      <c r="K2709" s="275"/>
      <c r="L2709" s="82"/>
      <c r="M2709" s="672"/>
      <c r="N2709" s="242"/>
      <c r="O2709" s="242"/>
      <c r="P2709" s="242"/>
      <c r="Q2709" s="242"/>
      <c r="R2709" s="539"/>
      <c r="S2709" s="540"/>
      <c r="T2709" s="543"/>
      <c r="U2709" s="673" t="b">
        <v>0</v>
      </c>
      <c r="Z2709" t="b">
        <v>0</v>
      </c>
      <c r="AA2709" t="b">
        <v>0</v>
      </c>
      <c r="AC2709" s="82"/>
      <c r="AD2709" t="str">
        <f t="shared" si="71"/>
        <v/>
      </c>
      <c r="AE2709" t="str">
        <f t="shared" si="72"/>
        <v/>
      </c>
    </row>
    <row r="2710">
      <c r="D2710" s="226"/>
      <c r="H2710" s="474"/>
      <c r="I2710" s="474"/>
      <c r="J2710" s="475"/>
      <c r="K2710" s="275"/>
      <c r="L2710" s="82"/>
      <c r="M2710" s="672"/>
      <c r="N2710" s="242"/>
      <c r="O2710" s="242"/>
      <c r="P2710" s="242"/>
      <c r="Q2710" s="242"/>
      <c r="R2710" s="539"/>
      <c r="S2710" s="540"/>
      <c r="T2710" s="543"/>
      <c r="U2710" s="673" t="b">
        <v>0</v>
      </c>
      <c r="Z2710" t="b">
        <v>0</v>
      </c>
      <c r="AA2710" t="b">
        <v>0</v>
      </c>
      <c r="AC2710" s="82"/>
      <c r="AD2710" t="str">
        <f t="shared" si="71"/>
        <v/>
      </c>
      <c r="AE2710" t="str">
        <f t="shared" si="72"/>
        <v/>
      </c>
    </row>
    <row r="2711">
      <c r="D2711" s="226"/>
      <c r="H2711" s="474"/>
      <c r="I2711" s="474"/>
      <c r="J2711" s="475"/>
      <c r="K2711" s="275"/>
      <c r="L2711" s="82"/>
      <c r="M2711" s="672"/>
      <c r="N2711" s="242"/>
      <c r="O2711" s="242"/>
      <c r="P2711" s="242"/>
      <c r="Q2711" s="242"/>
      <c r="R2711" s="539"/>
      <c r="S2711" s="540"/>
      <c r="T2711" s="543"/>
      <c r="U2711" s="673" t="b">
        <v>0</v>
      </c>
      <c r="Z2711" t="b">
        <v>0</v>
      </c>
      <c r="AA2711" t="b">
        <v>0</v>
      </c>
      <c r="AC2711" s="82"/>
      <c r="AD2711" t="str">
        <f t="shared" si="71"/>
        <v/>
      </c>
      <c r="AE2711" t="str">
        <f t="shared" si="72"/>
        <v/>
      </c>
    </row>
    <row r="2712">
      <c r="D2712" s="226"/>
      <c r="H2712" s="474"/>
      <c r="I2712" s="474"/>
      <c r="J2712" s="475"/>
      <c r="K2712" s="275"/>
      <c r="L2712" s="82"/>
      <c r="M2712" s="672"/>
      <c r="N2712" s="242"/>
      <c r="O2712" s="242"/>
      <c r="P2712" s="242"/>
      <c r="Q2712" s="242"/>
      <c r="R2712" s="539"/>
      <c r="S2712" s="540"/>
      <c r="T2712" s="543"/>
      <c r="U2712" s="673" t="b">
        <v>0</v>
      </c>
      <c r="Z2712" t="b">
        <v>0</v>
      </c>
      <c r="AA2712" t="b">
        <v>0</v>
      </c>
      <c r="AC2712" s="82"/>
      <c r="AD2712" t="str">
        <f t="shared" si="71"/>
        <v/>
      </c>
      <c r="AE2712" t="str">
        <f t="shared" si="72"/>
        <v/>
      </c>
    </row>
    <row r="2713">
      <c r="D2713" s="226"/>
      <c r="H2713" s="474"/>
      <c r="I2713" s="474"/>
      <c r="J2713" s="475"/>
      <c r="K2713" s="275"/>
      <c r="L2713" s="82"/>
      <c r="M2713" s="672"/>
      <c r="N2713" s="242"/>
      <c r="O2713" s="242"/>
      <c r="P2713" s="242"/>
      <c r="Q2713" s="242"/>
      <c r="R2713" s="539"/>
      <c r="S2713" s="540"/>
      <c r="T2713" s="543"/>
      <c r="U2713" s="673" t="b">
        <v>0</v>
      </c>
      <c r="Z2713" t="b">
        <v>0</v>
      </c>
      <c r="AA2713" t="b">
        <v>0</v>
      </c>
      <c r="AC2713" s="82"/>
      <c r="AD2713" t="str">
        <f t="shared" si="71"/>
        <v/>
      </c>
      <c r="AE2713" t="str">
        <f t="shared" si="72"/>
        <v/>
      </c>
    </row>
    <row r="2714">
      <c r="D2714" s="226"/>
      <c r="H2714" s="474"/>
      <c r="I2714" s="474"/>
      <c r="J2714" s="475"/>
      <c r="K2714" s="275"/>
      <c r="L2714" s="82"/>
      <c r="M2714" s="672"/>
      <c r="N2714" s="242"/>
      <c r="O2714" s="242"/>
      <c r="P2714" s="242"/>
      <c r="Q2714" s="242"/>
      <c r="R2714" s="539"/>
      <c r="S2714" s="540"/>
      <c r="T2714" s="543"/>
      <c r="U2714" s="673" t="b">
        <v>0</v>
      </c>
      <c r="Z2714" t="b">
        <v>0</v>
      </c>
      <c r="AA2714" t="b">
        <v>0</v>
      </c>
      <c r="AC2714" s="82"/>
      <c r="AD2714" t="str">
        <f t="shared" si="71"/>
        <v/>
      </c>
      <c r="AE2714" t="str">
        <f t="shared" si="72"/>
        <v/>
      </c>
    </row>
    <row r="2715">
      <c r="D2715" s="226"/>
      <c r="H2715" s="474"/>
      <c r="I2715" s="474"/>
      <c r="J2715" s="475"/>
      <c r="K2715" s="275"/>
      <c r="L2715" s="82"/>
      <c r="M2715" s="672"/>
      <c r="N2715" s="242"/>
      <c r="O2715" s="242"/>
      <c r="P2715" s="242"/>
      <c r="Q2715" s="242"/>
      <c r="R2715" s="539"/>
      <c r="S2715" s="540"/>
      <c r="T2715" s="543"/>
      <c r="U2715" s="673" t="b">
        <v>0</v>
      </c>
      <c r="Z2715" t="b">
        <v>0</v>
      </c>
      <c r="AA2715" t="b">
        <v>0</v>
      </c>
      <c r="AC2715" s="82"/>
      <c r="AD2715" t="str">
        <f t="shared" si="71"/>
        <v/>
      </c>
      <c r="AE2715" t="str">
        <f t="shared" si="72"/>
        <v/>
      </c>
    </row>
    <row r="2716">
      <c r="D2716" s="226"/>
      <c r="H2716" s="474"/>
      <c r="I2716" s="474"/>
      <c r="J2716" s="475"/>
      <c r="K2716" s="275"/>
      <c r="L2716" s="82"/>
      <c r="M2716" s="672"/>
      <c r="N2716" s="242"/>
      <c r="O2716" s="242"/>
      <c r="P2716" s="242"/>
      <c r="Q2716" s="242"/>
      <c r="R2716" s="539"/>
      <c r="S2716" s="540"/>
      <c r="T2716" s="543"/>
      <c r="U2716" s="673" t="b">
        <v>0</v>
      </c>
      <c r="Z2716" t="b">
        <v>0</v>
      </c>
      <c r="AA2716" t="b">
        <v>0</v>
      </c>
      <c r="AC2716" s="82"/>
      <c r="AD2716" t="str">
        <f t="shared" si="71"/>
        <v/>
      </c>
      <c r="AE2716" t="str">
        <f t="shared" si="72"/>
        <v/>
      </c>
    </row>
    <row r="2717">
      <c r="D2717" s="226"/>
      <c r="H2717" s="474"/>
      <c r="I2717" s="474"/>
      <c r="J2717" s="475"/>
      <c r="K2717" s="275"/>
      <c r="L2717" s="82"/>
      <c r="M2717" s="672"/>
      <c r="N2717" s="242"/>
      <c r="O2717" s="242"/>
      <c r="P2717" s="242"/>
      <c r="Q2717" s="242"/>
      <c r="R2717" s="539"/>
      <c r="S2717" s="540"/>
      <c r="T2717" s="543"/>
      <c r="U2717" s="673" t="b">
        <v>0</v>
      </c>
      <c r="Z2717" t="b">
        <v>0</v>
      </c>
      <c r="AA2717" t="b">
        <v>0</v>
      </c>
      <c r="AC2717" s="82"/>
      <c r="AD2717" t="str">
        <f t="shared" si="71"/>
        <v/>
      </c>
      <c r="AE2717" t="str">
        <f t="shared" si="72"/>
        <v/>
      </c>
    </row>
    <row r="2718">
      <c r="D2718" s="226"/>
      <c r="H2718" s="474"/>
      <c r="I2718" s="474"/>
      <c r="J2718" s="475"/>
      <c r="K2718" s="275"/>
      <c r="L2718" s="82"/>
      <c r="M2718" s="672"/>
      <c r="N2718" s="242"/>
      <c r="O2718" s="242"/>
      <c r="P2718" s="242"/>
      <c r="Q2718" s="242"/>
      <c r="R2718" s="539"/>
      <c r="S2718" s="540"/>
      <c r="T2718" s="543"/>
      <c r="U2718" s="673" t="b">
        <v>0</v>
      </c>
      <c r="Z2718" t="b">
        <v>0</v>
      </c>
      <c r="AA2718" t="b">
        <v>0</v>
      </c>
      <c r="AC2718" s="82"/>
      <c r="AD2718" t="str">
        <f t="shared" si="71"/>
        <v/>
      </c>
      <c r="AE2718" t="str">
        <f t="shared" si="72"/>
        <v/>
      </c>
    </row>
    <row r="2719">
      <c r="D2719" s="226"/>
      <c r="H2719" s="474"/>
      <c r="I2719" s="474"/>
      <c r="J2719" s="475"/>
      <c r="K2719" s="275"/>
      <c r="L2719" s="82"/>
      <c r="M2719" s="672"/>
      <c r="N2719" s="242"/>
      <c r="O2719" s="242"/>
      <c r="P2719" s="242"/>
      <c r="Q2719" s="242"/>
      <c r="R2719" s="539"/>
      <c r="S2719" s="540"/>
      <c r="T2719" s="543"/>
      <c r="U2719" s="673" t="b">
        <v>0</v>
      </c>
      <c r="Z2719" t="b">
        <v>0</v>
      </c>
      <c r="AA2719" t="b">
        <v>0</v>
      </c>
      <c r="AC2719" s="82"/>
      <c r="AD2719" t="str">
        <f t="shared" si="71"/>
        <v/>
      </c>
      <c r="AE2719" t="str">
        <f t="shared" si="72"/>
        <v/>
      </c>
    </row>
    <row r="2720">
      <c r="D2720" s="226"/>
      <c r="H2720" s="474"/>
      <c r="I2720" s="474"/>
      <c r="J2720" s="475"/>
      <c r="K2720" s="275"/>
      <c r="L2720" s="82"/>
      <c r="M2720" s="672"/>
      <c r="N2720" s="242"/>
      <c r="O2720" s="242"/>
      <c r="P2720" s="242"/>
      <c r="Q2720" s="242"/>
      <c r="R2720" s="539"/>
      <c r="S2720" s="540"/>
      <c r="T2720" s="543"/>
      <c r="U2720" s="673" t="b">
        <v>0</v>
      </c>
      <c r="Z2720" t="b">
        <v>0</v>
      </c>
      <c r="AA2720" t="b">
        <v>0</v>
      </c>
      <c r="AC2720" s="82"/>
      <c r="AD2720" t="str">
        <f t="shared" si="71"/>
        <v/>
      </c>
      <c r="AE2720" t="str">
        <f t="shared" si="72"/>
        <v/>
      </c>
    </row>
    <row r="2721">
      <c r="D2721" s="226"/>
      <c r="H2721" s="474"/>
      <c r="I2721" s="474"/>
      <c r="J2721" s="475"/>
      <c r="K2721" s="275"/>
      <c r="L2721" s="82"/>
      <c r="M2721" s="672"/>
      <c r="N2721" s="242"/>
      <c r="O2721" s="242"/>
      <c r="P2721" s="242"/>
      <c r="Q2721" s="242"/>
      <c r="R2721" s="539"/>
      <c r="S2721" s="540"/>
      <c r="T2721" s="543"/>
      <c r="U2721" s="673" t="b">
        <v>0</v>
      </c>
      <c r="Z2721" t="b">
        <v>0</v>
      </c>
      <c r="AA2721" t="b">
        <v>0</v>
      </c>
      <c r="AC2721" s="82"/>
      <c r="AD2721" t="str">
        <f t="shared" si="71"/>
        <v/>
      </c>
      <c r="AE2721" t="str">
        <f t="shared" si="72"/>
        <v/>
      </c>
    </row>
    <row r="2722">
      <c r="D2722" s="226"/>
      <c r="H2722" s="474"/>
      <c r="I2722" s="474"/>
      <c r="J2722" s="475"/>
      <c r="K2722" s="275"/>
      <c r="L2722" s="82"/>
      <c r="M2722" s="672"/>
      <c r="N2722" s="242"/>
      <c r="O2722" s="242"/>
      <c r="P2722" s="242"/>
      <c r="Q2722" s="242"/>
      <c r="R2722" s="539"/>
      <c r="S2722" s="540"/>
      <c r="T2722" s="543"/>
      <c r="U2722" s="673" t="b">
        <v>0</v>
      </c>
      <c r="Z2722" t="b">
        <v>0</v>
      </c>
      <c r="AA2722" t="b">
        <v>0</v>
      </c>
      <c r="AC2722" s="82"/>
      <c r="AD2722" t="str">
        <f t="shared" si="71"/>
        <v/>
      </c>
      <c r="AE2722" t="str">
        <f t="shared" si="72"/>
        <v/>
      </c>
    </row>
    <row r="2723">
      <c r="D2723" s="226"/>
      <c r="H2723" s="474"/>
      <c r="I2723" s="474"/>
      <c r="J2723" s="475"/>
      <c r="K2723" s="275"/>
      <c r="L2723" s="82"/>
      <c r="M2723" s="672"/>
      <c r="N2723" s="242"/>
      <c r="O2723" s="242"/>
      <c r="P2723" s="242"/>
      <c r="Q2723" s="242"/>
      <c r="R2723" s="539"/>
      <c r="S2723" s="540"/>
      <c r="T2723" s="543"/>
      <c r="U2723" s="673" t="b">
        <v>0</v>
      </c>
      <c r="Z2723" t="b">
        <v>0</v>
      </c>
      <c r="AA2723" t="b">
        <v>0</v>
      </c>
      <c r="AC2723" s="82"/>
      <c r="AD2723" t="str">
        <f t="shared" si="71"/>
        <v/>
      </c>
      <c r="AE2723" t="str">
        <f t="shared" si="72"/>
        <v/>
      </c>
    </row>
    <row r="2724">
      <c r="D2724" s="226"/>
      <c r="H2724" s="474"/>
      <c r="I2724" s="474"/>
      <c r="J2724" s="475"/>
      <c r="K2724" s="275"/>
      <c r="L2724" s="82"/>
      <c r="M2724" s="672"/>
      <c r="N2724" s="242"/>
      <c r="O2724" s="242"/>
      <c r="P2724" s="242"/>
      <c r="Q2724" s="242"/>
      <c r="R2724" s="539"/>
      <c r="S2724" s="540"/>
      <c r="T2724" s="543"/>
      <c r="U2724" s="673" t="b">
        <v>0</v>
      </c>
      <c r="Z2724" t="b">
        <v>0</v>
      </c>
      <c r="AA2724" t="b">
        <v>0</v>
      </c>
      <c r="AC2724" s="82"/>
      <c r="AD2724" t="str">
        <f t="shared" si="71"/>
        <v/>
      </c>
      <c r="AE2724" t="str">
        <f t="shared" si="72"/>
        <v/>
      </c>
    </row>
    <row r="2725">
      <c r="D2725" s="226"/>
      <c r="H2725" s="474"/>
      <c r="I2725" s="474"/>
      <c r="J2725" s="475"/>
      <c r="K2725" s="275"/>
      <c r="L2725" s="82"/>
      <c r="M2725" s="672"/>
      <c r="N2725" s="242"/>
      <c r="O2725" s="242"/>
      <c r="P2725" s="242"/>
      <c r="Q2725" s="242"/>
      <c r="R2725" s="539"/>
      <c r="S2725" s="540"/>
      <c r="T2725" s="543"/>
      <c r="U2725" s="673" t="b">
        <v>0</v>
      </c>
      <c r="Z2725" t="b">
        <v>0</v>
      </c>
      <c r="AA2725" t="b">
        <v>0</v>
      </c>
      <c r="AC2725" s="82"/>
      <c r="AD2725" t="str">
        <f t="shared" si="71"/>
        <v/>
      </c>
      <c r="AE2725" t="str">
        <f t="shared" si="72"/>
        <v/>
      </c>
    </row>
    <row r="2726">
      <c r="D2726" s="226"/>
      <c r="H2726" s="474"/>
      <c r="I2726" s="474"/>
      <c r="J2726" s="475"/>
      <c r="K2726" s="275"/>
      <c r="L2726" s="82"/>
      <c r="M2726" s="672"/>
      <c r="N2726" s="242"/>
      <c r="O2726" s="242"/>
      <c r="P2726" s="242"/>
      <c r="Q2726" s="242"/>
      <c r="R2726" s="539"/>
      <c r="S2726" s="540"/>
      <c r="T2726" s="543"/>
      <c r="U2726" s="673" t="b">
        <v>0</v>
      </c>
      <c r="Z2726" t="b">
        <v>0</v>
      </c>
      <c r="AA2726" t="b">
        <v>0</v>
      </c>
      <c r="AC2726" s="82"/>
      <c r="AD2726" t="str">
        <f t="shared" si="71"/>
        <v/>
      </c>
      <c r="AE2726" t="str">
        <f t="shared" si="72"/>
        <v/>
      </c>
    </row>
    <row r="2727">
      <c r="D2727" s="226"/>
      <c r="H2727" s="474"/>
      <c r="I2727" s="474"/>
      <c r="J2727" s="475"/>
      <c r="K2727" s="275"/>
      <c r="L2727" s="82"/>
      <c r="M2727" s="672"/>
      <c r="N2727" s="242"/>
      <c r="O2727" s="242"/>
      <c r="P2727" s="242"/>
      <c r="Q2727" s="242"/>
      <c r="R2727" s="539"/>
      <c r="S2727" s="540"/>
      <c r="T2727" s="543"/>
      <c r="U2727" s="673" t="b">
        <v>0</v>
      </c>
      <c r="Z2727" t="b">
        <v>0</v>
      </c>
      <c r="AA2727" t="b">
        <v>0</v>
      </c>
      <c r="AC2727" s="82"/>
      <c r="AD2727" t="str">
        <f t="shared" si="71"/>
        <v/>
      </c>
      <c r="AE2727" t="str">
        <f t="shared" si="72"/>
        <v/>
      </c>
    </row>
    <row r="2728">
      <c r="D2728" s="226"/>
      <c r="H2728" s="474"/>
      <c r="I2728" s="474"/>
      <c r="J2728" s="475"/>
      <c r="K2728" s="275"/>
      <c r="L2728" s="82"/>
      <c r="M2728" s="672"/>
      <c r="N2728" s="242"/>
      <c r="O2728" s="242"/>
      <c r="P2728" s="242"/>
      <c r="Q2728" s="242"/>
      <c r="R2728" s="539"/>
      <c r="S2728" s="540"/>
      <c r="T2728" s="543"/>
      <c r="U2728" s="673" t="b">
        <v>0</v>
      </c>
      <c r="Z2728" t="b">
        <v>0</v>
      </c>
      <c r="AA2728" t="b">
        <v>0</v>
      </c>
      <c r="AC2728" s="82"/>
      <c r="AD2728" t="str">
        <f t="shared" si="71"/>
        <v/>
      </c>
      <c r="AE2728" t="str">
        <f t="shared" si="72"/>
        <v/>
      </c>
    </row>
    <row r="2729">
      <c r="D2729" s="226"/>
      <c r="H2729" s="474"/>
      <c r="I2729" s="474"/>
      <c r="J2729" s="475"/>
      <c r="K2729" s="275"/>
      <c r="L2729" s="82"/>
      <c r="M2729" s="672"/>
      <c r="N2729" s="242"/>
      <c r="O2729" s="242"/>
      <c r="P2729" s="242"/>
      <c r="Q2729" s="242"/>
      <c r="R2729" s="539"/>
      <c r="S2729" s="540"/>
      <c r="T2729" s="543"/>
      <c r="U2729" s="673" t="b">
        <v>0</v>
      </c>
      <c r="Z2729" t="b">
        <v>0</v>
      </c>
      <c r="AA2729" t="b">
        <v>0</v>
      </c>
      <c r="AC2729" s="82"/>
      <c r="AD2729" t="str">
        <f t="shared" si="71"/>
        <v/>
      </c>
      <c r="AE2729" t="str">
        <f t="shared" si="72"/>
        <v/>
      </c>
    </row>
    <row r="2730">
      <c r="D2730" s="226"/>
      <c r="H2730" s="474"/>
      <c r="I2730" s="474"/>
      <c r="J2730" s="475"/>
      <c r="K2730" s="275"/>
      <c r="L2730" s="82"/>
      <c r="M2730" s="672"/>
      <c r="N2730" s="242"/>
      <c r="O2730" s="242"/>
      <c r="P2730" s="242"/>
      <c r="Q2730" s="242"/>
      <c r="R2730" s="539"/>
      <c r="S2730" s="540"/>
      <c r="T2730" s="543"/>
      <c r="U2730" s="673" t="b">
        <v>0</v>
      </c>
      <c r="Z2730" t="b">
        <v>0</v>
      </c>
      <c r="AA2730" t="b">
        <v>0</v>
      </c>
      <c r="AC2730" s="82"/>
      <c r="AD2730" t="str">
        <f t="shared" si="71"/>
        <v/>
      </c>
      <c r="AE2730" t="str">
        <f t="shared" si="72"/>
        <v/>
      </c>
    </row>
    <row r="2731">
      <c r="D2731" s="226"/>
      <c r="H2731" s="474"/>
      <c r="I2731" s="474"/>
      <c r="J2731" s="475"/>
      <c r="K2731" s="275"/>
      <c r="L2731" s="82"/>
      <c r="M2731" s="672"/>
      <c r="N2731" s="242"/>
      <c r="O2731" s="242"/>
      <c r="P2731" s="242"/>
      <c r="Q2731" s="242"/>
      <c r="R2731" s="539"/>
      <c r="S2731" s="540"/>
      <c r="T2731" s="543"/>
      <c r="U2731" s="673" t="b">
        <v>0</v>
      </c>
      <c r="Z2731" t="b">
        <v>0</v>
      </c>
      <c r="AA2731" t="b">
        <v>0</v>
      </c>
      <c r="AC2731" s="82"/>
      <c r="AD2731" t="str">
        <f t="shared" si="71"/>
        <v/>
      </c>
      <c r="AE2731" t="str">
        <f t="shared" si="72"/>
        <v/>
      </c>
    </row>
    <row r="2732">
      <c r="D2732" s="226"/>
      <c r="H2732" s="474"/>
      <c r="I2732" s="474"/>
      <c r="J2732" s="475"/>
      <c r="K2732" s="275"/>
      <c r="L2732" s="82"/>
      <c r="M2732" s="672"/>
      <c r="N2732" s="242"/>
      <c r="O2732" s="242"/>
      <c r="P2732" s="242"/>
      <c r="Q2732" s="242"/>
      <c r="R2732" s="539"/>
      <c r="S2732" s="540"/>
      <c r="T2732" s="543"/>
      <c r="U2732" s="673" t="b">
        <v>0</v>
      </c>
      <c r="Z2732" t="b">
        <v>0</v>
      </c>
      <c r="AA2732" t="b">
        <v>0</v>
      </c>
      <c r="AC2732" s="82"/>
      <c r="AD2732" t="str">
        <f t="shared" si="71"/>
        <v/>
      </c>
      <c r="AE2732" t="str">
        <f t="shared" si="72"/>
        <v/>
      </c>
    </row>
    <row r="2733">
      <c r="D2733" s="226"/>
      <c r="H2733" s="474"/>
      <c r="I2733" s="474"/>
      <c r="J2733" s="475"/>
      <c r="K2733" s="275"/>
      <c r="L2733" s="82"/>
      <c r="M2733" s="672"/>
      <c r="N2733" s="242"/>
      <c r="O2733" s="242"/>
      <c r="P2733" s="242"/>
      <c r="Q2733" s="242"/>
      <c r="R2733" s="539"/>
      <c r="S2733" s="540"/>
      <c r="T2733" s="543"/>
      <c r="U2733" s="673" t="b">
        <v>0</v>
      </c>
      <c r="Z2733" t="b">
        <v>0</v>
      </c>
      <c r="AA2733" t="b">
        <v>0</v>
      </c>
      <c r="AC2733" s="82"/>
      <c r="AD2733" t="str">
        <f t="shared" si="71"/>
        <v/>
      </c>
      <c r="AE2733" t="str">
        <f t="shared" si="72"/>
        <v/>
      </c>
    </row>
    <row r="2734">
      <c r="D2734" s="226"/>
      <c r="H2734" s="474"/>
      <c r="I2734" s="474"/>
      <c r="J2734" s="475"/>
      <c r="K2734" s="275"/>
      <c r="L2734" s="82"/>
      <c r="M2734" s="672"/>
      <c r="N2734" s="242"/>
      <c r="O2734" s="242"/>
      <c r="P2734" s="242"/>
      <c r="Q2734" s="242"/>
      <c r="R2734" s="539"/>
      <c r="S2734" s="540"/>
      <c r="T2734" s="543"/>
      <c r="U2734" s="673" t="b">
        <v>0</v>
      </c>
      <c r="Z2734" t="b">
        <v>0</v>
      </c>
      <c r="AA2734" t="b">
        <v>0</v>
      </c>
      <c r="AC2734" s="82"/>
      <c r="AD2734" t="str">
        <f t="shared" si="71"/>
        <v/>
      </c>
      <c r="AE2734" t="str">
        <f t="shared" si="72"/>
        <v/>
      </c>
    </row>
    <row r="2735">
      <c r="D2735" s="226"/>
      <c r="H2735" s="474"/>
      <c r="I2735" s="474"/>
      <c r="J2735" s="475"/>
      <c r="K2735" s="275"/>
      <c r="L2735" s="82"/>
      <c r="M2735" s="672"/>
      <c r="N2735" s="242"/>
      <c r="O2735" s="242"/>
      <c r="P2735" s="242"/>
      <c r="Q2735" s="242"/>
      <c r="R2735" s="539"/>
      <c r="S2735" s="540"/>
      <c r="T2735" s="543"/>
      <c r="U2735" s="673" t="b">
        <v>0</v>
      </c>
      <c r="Z2735" t="b">
        <v>0</v>
      </c>
      <c r="AA2735" t="b">
        <v>0</v>
      </c>
      <c r="AC2735" s="82"/>
      <c r="AD2735" t="str">
        <f t="shared" si="71"/>
        <v/>
      </c>
      <c r="AE2735" t="str">
        <f t="shared" si="72"/>
        <v/>
      </c>
    </row>
    <row r="2736">
      <c r="D2736" s="226"/>
      <c r="H2736" s="474"/>
      <c r="I2736" s="474"/>
      <c r="J2736" s="475"/>
      <c r="K2736" s="275"/>
      <c r="L2736" s="82"/>
      <c r="M2736" s="672"/>
      <c r="N2736" s="242"/>
      <c r="O2736" s="242"/>
      <c r="P2736" s="242"/>
      <c r="Q2736" s="242"/>
      <c r="R2736" s="539"/>
      <c r="S2736" s="540"/>
      <c r="T2736" s="543"/>
      <c r="U2736" s="673" t="b">
        <v>0</v>
      </c>
      <c r="Z2736" t="b">
        <v>0</v>
      </c>
      <c r="AA2736" t="b">
        <v>0</v>
      </c>
      <c r="AC2736" s="82"/>
      <c r="AD2736" t="str">
        <f t="shared" si="71"/>
        <v/>
      </c>
      <c r="AE2736" t="str">
        <f t="shared" si="72"/>
        <v/>
      </c>
    </row>
    <row r="2737">
      <c r="D2737" s="226"/>
      <c r="H2737" s="474"/>
      <c r="I2737" s="474"/>
      <c r="J2737" s="475"/>
      <c r="K2737" s="275"/>
      <c r="L2737" s="82"/>
      <c r="M2737" s="672"/>
      <c r="N2737" s="242"/>
      <c r="O2737" s="242"/>
      <c r="P2737" s="242"/>
      <c r="Q2737" s="242"/>
      <c r="R2737" s="539"/>
      <c r="S2737" s="540"/>
      <c r="T2737" s="543"/>
      <c r="U2737" s="673" t="b">
        <v>0</v>
      </c>
      <c r="Z2737" t="b">
        <v>0</v>
      </c>
      <c r="AA2737" t="b">
        <v>0</v>
      </c>
      <c r="AC2737" s="82"/>
      <c r="AD2737" t="str">
        <f t="shared" si="71"/>
        <v/>
      </c>
      <c r="AE2737" t="str">
        <f t="shared" si="72"/>
        <v/>
      </c>
    </row>
    <row r="2738">
      <c r="D2738" s="226"/>
      <c r="H2738" s="474"/>
      <c r="I2738" s="474"/>
      <c r="J2738" s="475"/>
      <c r="K2738" s="275"/>
      <c r="L2738" s="82"/>
      <c r="M2738" s="672"/>
      <c r="N2738" s="242"/>
      <c r="O2738" s="242"/>
      <c r="P2738" s="242"/>
      <c r="Q2738" s="242"/>
      <c r="R2738" s="539"/>
      <c r="S2738" s="540"/>
      <c r="T2738" s="543"/>
      <c r="U2738" s="673" t="b">
        <v>0</v>
      </c>
      <c r="Z2738" t="b">
        <v>0</v>
      </c>
      <c r="AA2738" t="b">
        <v>0</v>
      </c>
      <c r="AC2738" s="82"/>
      <c r="AD2738" t="str">
        <f t="shared" si="71"/>
        <v/>
      </c>
      <c r="AE2738" t="str">
        <f t="shared" si="72"/>
        <v/>
      </c>
    </row>
    <row r="2739">
      <c r="D2739" s="226"/>
      <c r="H2739" s="474"/>
      <c r="I2739" s="474"/>
      <c r="J2739" s="475"/>
      <c r="K2739" s="275"/>
      <c r="L2739" s="82"/>
      <c r="M2739" s="672"/>
      <c r="N2739" s="242"/>
      <c r="O2739" s="242"/>
      <c r="P2739" s="242"/>
      <c r="Q2739" s="242"/>
      <c r="R2739" s="539"/>
      <c r="S2739" s="540"/>
      <c r="T2739" s="543"/>
      <c r="U2739" s="673" t="b">
        <v>0</v>
      </c>
      <c r="Z2739" t="b">
        <v>0</v>
      </c>
      <c r="AA2739" t="b">
        <v>0</v>
      </c>
      <c r="AC2739" s="82"/>
      <c r="AD2739" t="str">
        <f t="shared" si="71"/>
        <v/>
      </c>
      <c r="AE2739" t="str">
        <f t="shared" si="72"/>
        <v/>
      </c>
    </row>
    <row r="2740">
      <c r="D2740" s="226"/>
      <c r="H2740" s="474"/>
      <c r="I2740" s="474"/>
      <c r="J2740" s="475"/>
      <c r="K2740" s="275"/>
      <c r="L2740" s="82"/>
      <c r="M2740" s="672"/>
      <c r="N2740" s="242"/>
      <c r="O2740" s="242"/>
      <c r="P2740" s="242"/>
      <c r="Q2740" s="242"/>
      <c r="R2740" s="539"/>
      <c r="S2740" s="540"/>
      <c r="T2740" s="543"/>
      <c r="U2740" s="673" t="b">
        <v>0</v>
      </c>
      <c r="Z2740" t="b">
        <v>0</v>
      </c>
      <c r="AA2740" t="b">
        <v>0</v>
      </c>
      <c r="AC2740" s="82"/>
      <c r="AD2740" t="str">
        <f t="shared" si="71"/>
        <v/>
      </c>
      <c r="AE2740" t="str">
        <f t="shared" si="72"/>
        <v/>
      </c>
    </row>
    <row r="2741">
      <c r="D2741" s="226"/>
      <c r="H2741" s="474"/>
      <c r="I2741" s="474"/>
      <c r="J2741" s="475"/>
      <c r="K2741" s="275"/>
      <c r="L2741" s="82"/>
      <c r="M2741" s="672"/>
      <c r="N2741" s="242"/>
      <c r="O2741" s="242"/>
      <c r="P2741" s="242"/>
      <c r="Q2741" s="242"/>
      <c r="R2741" s="539"/>
      <c r="S2741" s="540"/>
      <c r="T2741" s="543"/>
      <c r="U2741" s="673" t="b">
        <v>0</v>
      </c>
      <c r="Z2741" t="b">
        <v>0</v>
      </c>
      <c r="AA2741" t="b">
        <v>0</v>
      </c>
      <c r="AC2741" s="82"/>
      <c r="AD2741" t="str">
        <f t="shared" si="71"/>
        <v/>
      </c>
      <c r="AE2741" t="str">
        <f t="shared" si="72"/>
        <v/>
      </c>
    </row>
    <row r="2742">
      <c r="D2742" s="226"/>
      <c r="H2742" s="474"/>
      <c r="I2742" s="474"/>
      <c r="J2742" s="475"/>
      <c r="K2742" s="275"/>
      <c r="L2742" s="82"/>
      <c r="M2742" s="672"/>
      <c r="N2742" s="242"/>
      <c r="O2742" s="242"/>
      <c r="P2742" s="242"/>
      <c r="Q2742" s="242"/>
      <c r="R2742" s="539"/>
      <c r="S2742" s="540"/>
      <c r="T2742" s="543"/>
      <c r="U2742" s="673" t="b">
        <v>0</v>
      </c>
      <c r="Z2742" t="b">
        <v>0</v>
      </c>
      <c r="AA2742" t="b">
        <v>0</v>
      </c>
      <c r="AC2742" s="82"/>
      <c r="AD2742" t="str">
        <f t="shared" si="71"/>
        <v/>
      </c>
      <c r="AE2742" t="str">
        <f t="shared" si="72"/>
        <v/>
      </c>
    </row>
    <row r="2743">
      <c r="D2743" s="226"/>
      <c r="H2743" s="474"/>
      <c r="I2743" s="474"/>
      <c r="J2743" s="475"/>
      <c r="K2743" s="275"/>
      <c r="L2743" s="82"/>
      <c r="M2743" s="672"/>
      <c r="N2743" s="242"/>
      <c r="O2743" s="242"/>
      <c r="P2743" s="242"/>
      <c r="Q2743" s="242"/>
      <c r="R2743" s="539"/>
      <c r="S2743" s="540"/>
      <c r="T2743" s="543"/>
      <c r="U2743" s="673" t="b">
        <v>0</v>
      </c>
      <c r="Z2743" t="b">
        <v>0</v>
      </c>
      <c r="AA2743" t="b">
        <v>0</v>
      </c>
      <c r="AC2743" s="82"/>
      <c r="AD2743" t="str">
        <f t="shared" si="71"/>
        <v/>
      </c>
      <c r="AE2743" t="str">
        <f t="shared" si="72"/>
        <v/>
      </c>
    </row>
    <row r="2744">
      <c r="D2744" s="226"/>
      <c r="H2744" s="474"/>
      <c r="I2744" s="474"/>
      <c r="J2744" s="475"/>
      <c r="K2744" s="275"/>
      <c r="L2744" s="82"/>
      <c r="M2744" s="672"/>
      <c r="N2744" s="242"/>
      <c r="O2744" s="242"/>
      <c r="P2744" s="242"/>
      <c r="Q2744" s="242"/>
      <c r="R2744" s="539"/>
      <c r="S2744" s="540"/>
      <c r="T2744" s="543"/>
      <c r="U2744" s="673" t="b">
        <v>0</v>
      </c>
      <c r="Z2744" t="b">
        <v>0</v>
      </c>
      <c r="AA2744" t="b">
        <v>0</v>
      </c>
      <c r="AC2744" s="82"/>
      <c r="AD2744" t="str">
        <f t="shared" si="71"/>
        <v/>
      </c>
      <c r="AE2744" t="str">
        <f t="shared" si="72"/>
        <v/>
      </c>
    </row>
    <row r="2745">
      <c r="D2745" s="226"/>
      <c r="H2745" s="474"/>
      <c r="I2745" s="474"/>
      <c r="J2745" s="475"/>
      <c r="K2745" s="275"/>
      <c r="L2745" s="82"/>
      <c r="M2745" s="672"/>
      <c r="N2745" s="242"/>
      <c r="O2745" s="242"/>
      <c r="P2745" s="242"/>
      <c r="Q2745" s="242"/>
      <c r="R2745" s="539"/>
      <c r="S2745" s="540"/>
      <c r="T2745" s="543"/>
      <c r="U2745" s="673" t="b">
        <v>0</v>
      </c>
      <c r="Z2745" t="b">
        <v>0</v>
      </c>
      <c r="AA2745" t="b">
        <v>0</v>
      </c>
      <c r="AC2745" s="82"/>
      <c r="AD2745" t="str">
        <f t="shared" si="71"/>
        <v/>
      </c>
      <c r="AE2745" t="str">
        <f t="shared" si="72"/>
        <v/>
      </c>
    </row>
    <row r="2746">
      <c r="D2746" s="226"/>
      <c r="H2746" s="474"/>
      <c r="I2746" s="474"/>
      <c r="J2746" s="475"/>
      <c r="K2746" s="275"/>
      <c r="L2746" s="82"/>
      <c r="M2746" s="672"/>
      <c r="N2746" s="242"/>
      <c r="O2746" s="242"/>
      <c r="P2746" s="242"/>
      <c r="Q2746" s="242"/>
      <c r="R2746" s="539"/>
      <c r="S2746" s="540"/>
      <c r="T2746" s="543"/>
      <c r="U2746" s="673" t="b">
        <v>0</v>
      </c>
      <c r="Z2746" t="b">
        <v>0</v>
      </c>
      <c r="AA2746" t="b">
        <v>0</v>
      </c>
      <c r="AC2746" s="82"/>
      <c r="AD2746" t="str">
        <f t="shared" si="71"/>
        <v/>
      </c>
      <c r="AE2746" t="str">
        <f t="shared" si="72"/>
        <v/>
      </c>
    </row>
    <row r="2747">
      <c r="D2747" s="226"/>
      <c r="H2747" s="474"/>
      <c r="I2747" s="474"/>
      <c r="J2747" s="475"/>
      <c r="K2747" s="275"/>
      <c r="L2747" s="82"/>
      <c r="M2747" s="672"/>
      <c r="N2747" s="242"/>
      <c r="O2747" s="242"/>
      <c r="P2747" s="242"/>
      <c r="Q2747" s="242"/>
      <c r="R2747" s="539"/>
      <c r="S2747" s="540"/>
      <c r="T2747" s="543"/>
      <c r="U2747" s="673" t="b">
        <v>0</v>
      </c>
      <c r="Z2747" t="b">
        <v>0</v>
      </c>
      <c r="AA2747" t="b">
        <v>0</v>
      </c>
      <c r="AC2747" s="82"/>
      <c r="AD2747" t="str">
        <f t="shared" si="71"/>
        <v/>
      </c>
      <c r="AE2747" t="str">
        <f t="shared" si="72"/>
        <v/>
      </c>
    </row>
    <row r="2748">
      <c r="D2748" s="226"/>
      <c r="H2748" s="474"/>
      <c r="I2748" s="474"/>
      <c r="J2748" s="475"/>
      <c r="K2748" s="275"/>
      <c r="L2748" s="82"/>
      <c r="M2748" s="672"/>
      <c r="N2748" s="242"/>
      <c r="O2748" s="242"/>
      <c r="P2748" s="242"/>
      <c r="Q2748" s="242"/>
      <c r="R2748" s="539"/>
      <c r="S2748" s="540"/>
      <c r="T2748" s="543"/>
      <c r="U2748" s="673" t="b">
        <v>0</v>
      </c>
      <c r="Z2748" t="b">
        <v>0</v>
      </c>
      <c r="AA2748" t="b">
        <v>0</v>
      </c>
      <c r="AC2748" s="82"/>
      <c r="AD2748" t="str">
        <f t="shared" si="71"/>
        <v/>
      </c>
      <c r="AE2748" t="str">
        <f t="shared" si="72"/>
        <v/>
      </c>
    </row>
    <row r="2749">
      <c r="D2749" s="226"/>
      <c r="H2749" s="474"/>
      <c r="I2749" s="474"/>
      <c r="J2749" s="475"/>
      <c r="K2749" s="275"/>
      <c r="L2749" s="82"/>
      <c r="M2749" s="672"/>
      <c r="N2749" s="242"/>
      <c r="O2749" s="242"/>
      <c r="P2749" s="242"/>
      <c r="Q2749" s="242"/>
      <c r="R2749" s="539"/>
      <c r="S2749" s="540"/>
      <c r="T2749" s="543"/>
      <c r="U2749" s="673" t="b">
        <v>0</v>
      </c>
      <c r="Z2749" t="b">
        <v>0</v>
      </c>
      <c r="AA2749" t="b">
        <v>0</v>
      </c>
      <c r="AC2749" s="82"/>
      <c r="AD2749" t="str">
        <f t="shared" si="71"/>
        <v/>
      </c>
      <c r="AE2749" t="str">
        <f t="shared" si="72"/>
        <v/>
      </c>
    </row>
    <row r="2750">
      <c r="D2750" s="226"/>
      <c r="H2750" s="474"/>
      <c r="I2750" s="474"/>
      <c r="J2750" s="475"/>
      <c r="K2750" s="275"/>
      <c r="L2750" s="82"/>
      <c r="M2750" s="672"/>
      <c r="N2750" s="242"/>
      <c r="O2750" s="242"/>
      <c r="P2750" s="242"/>
      <c r="Q2750" s="242"/>
      <c r="R2750" s="539"/>
      <c r="S2750" s="540"/>
      <c r="T2750" s="543"/>
      <c r="U2750" s="673" t="b">
        <v>0</v>
      </c>
      <c r="Z2750" t="b">
        <v>0</v>
      </c>
      <c r="AA2750" t="b">
        <v>0</v>
      </c>
      <c r="AC2750" s="82"/>
      <c r="AD2750" t="str">
        <f t="shared" si="71"/>
        <v/>
      </c>
      <c r="AE2750" t="str">
        <f t="shared" si="72"/>
        <v/>
      </c>
    </row>
    <row r="2751">
      <c r="D2751" s="226"/>
      <c r="H2751" s="474"/>
      <c r="I2751" s="474"/>
      <c r="J2751" s="475"/>
      <c r="K2751" s="275"/>
      <c r="L2751" s="82"/>
      <c r="M2751" s="672"/>
      <c r="N2751" s="242"/>
      <c r="O2751" s="242"/>
      <c r="P2751" s="242"/>
      <c r="Q2751" s="242"/>
      <c r="R2751" s="539"/>
      <c r="S2751" s="540"/>
      <c r="T2751" s="543"/>
      <c r="U2751" s="673" t="b">
        <v>0</v>
      </c>
      <c r="Z2751" t="b">
        <v>0</v>
      </c>
      <c r="AA2751" t="b">
        <v>0</v>
      </c>
      <c r="AC2751" s="82"/>
      <c r="AD2751" t="str">
        <f t="shared" si="71"/>
        <v/>
      </c>
      <c r="AE2751" t="str">
        <f t="shared" si="72"/>
        <v/>
      </c>
    </row>
    <row r="2752">
      <c r="D2752" s="226"/>
      <c r="H2752" s="474"/>
      <c r="I2752" s="474"/>
      <c r="J2752" s="475"/>
      <c r="K2752" s="275"/>
      <c r="L2752" s="82"/>
      <c r="M2752" s="672"/>
      <c r="N2752" s="242"/>
      <c r="O2752" s="242"/>
      <c r="P2752" s="242"/>
      <c r="Q2752" s="242"/>
      <c r="R2752" s="539"/>
      <c r="S2752" s="540"/>
      <c r="T2752" s="543"/>
      <c r="U2752" s="673" t="b">
        <v>0</v>
      </c>
      <c r="Z2752" t="b">
        <v>0</v>
      </c>
      <c r="AA2752" t="b">
        <v>0</v>
      </c>
      <c r="AC2752" s="82"/>
      <c r="AD2752" t="str">
        <f t="shared" si="71"/>
        <v/>
      </c>
      <c r="AE2752" t="str">
        <f t="shared" si="72"/>
        <v/>
      </c>
    </row>
    <row r="2753">
      <c r="D2753" s="226"/>
      <c r="H2753" s="474"/>
      <c r="I2753" s="474"/>
      <c r="J2753" s="475"/>
      <c r="K2753" s="275"/>
      <c r="L2753" s="82"/>
      <c r="M2753" s="672"/>
      <c r="N2753" s="242"/>
      <c r="O2753" s="242"/>
      <c r="P2753" s="242"/>
      <c r="Q2753" s="242"/>
      <c r="R2753" s="539"/>
      <c r="S2753" s="540"/>
      <c r="T2753" s="543"/>
      <c r="U2753" s="673" t="b">
        <v>0</v>
      </c>
      <c r="Z2753" t="b">
        <v>0</v>
      </c>
      <c r="AA2753" t="b">
        <v>0</v>
      </c>
      <c r="AC2753" s="82"/>
      <c r="AD2753" t="str">
        <f t="shared" si="71"/>
        <v/>
      </c>
      <c r="AE2753" t="str">
        <f t="shared" si="72"/>
        <v/>
      </c>
    </row>
    <row r="2754">
      <c r="D2754" s="226"/>
      <c r="H2754" s="474"/>
      <c r="I2754" s="474"/>
      <c r="J2754" s="475"/>
      <c r="K2754" s="275"/>
      <c r="L2754" s="82"/>
      <c r="M2754" s="672"/>
      <c r="N2754" s="242"/>
      <c r="O2754" s="242"/>
      <c r="P2754" s="242"/>
      <c r="Q2754" s="242"/>
      <c r="R2754" s="539"/>
      <c r="S2754" s="540"/>
      <c r="T2754" s="543"/>
      <c r="U2754" s="673" t="b">
        <v>0</v>
      </c>
      <c r="Z2754" t="b">
        <v>0</v>
      </c>
      <c r="AA2754" t="b">
        <v>0</v>
      </c>
      <c r="AC2754" s="82"/>
      <c r="AD2754" t="str">
        <f t="shared" si="71"/>
        <v/>
      </c>
      <c r="AE2754" t="str">
        <f t="shared" si="72"/>
        <v/>
      </c>
    </row>
    <row r="2755">
      <c r="D2755" s="226"/>
      <c r="H2755" s="474"/>
      <c r="I2755" s="474"/>
      <c r="J2755" s="475"/>
      <c r="K2755" s="275"/>
      <c r="L2755" s="82"/>
      <c r="M2755" s="672"/>
      <c r="N2755" s="242"/>
      <c r="O2755" s="242"/>
      <c r="P2755" s="242"/>
      <c r="Q2755" s="242"/>
      <c r="R2755" s="539"/>
      <c r="S2755" s="540"/>
      <c r="T2755" s="543"/>
      <c r="U2755" s="673" t="b">
        <v>0</v>
      </c>
      <c r="Z2755" t="b">
        <v>0</v>
      </c>
      <c r="AA2755" t="b">
        <v>0</v>
      </c>
      <c r="AC2755" s="82"/>
      <c r="AD2755" t="str">
        <f t="shared" si="71"/>
        <v/>
      </c>
      <c r="AE2755" t="str">
        <f t="shared" si="72"/>
        <v/>
      </c>
    </row>
    <row r="2756">
      <c r="D2756" s="226"/>
      <c r="H2756" s="474"/>
      <c r="I2756" s="474"/>
      <c r="J2756" s="475"/>
      <c r="K2756" s="275"/>
      <c r="L2756" s="82"/>
      <c r="M2756" s="672"/>
      <c r="N2756" s="242"/>
      <c r="O2756" s="242"/>
      <c r="P2756" s="242"/>
      <c r="Q2756" s="242"/>
      <c r="R2756" s="539"/>
      <c r="S2756" s="540"/>
      <c r="T2756" s="543"/>
      <c r="U2756" s="673" t="b">
        <v>0</v>
      </c>
      <c r="Z2756" t="b">
        <v>0</v>
      </c>
      <c r="AA2756" t="b">
        <v>0</v>
      </c>
      <c r="AC2756" s="82"/>
      <c r="AD2756" t="str">
        <f t="shared" si="71"/>
        <v/>
      </c>
      <c r="AE2756" t="str">
        <f t="shared" si="72"/>
        <v/>
      </c>
    </row>
    <row r="2757">
      <c r="D2757" s="226"/>
      <c r="H2757" s="474"/>
      <c r="I2757" s="474"/>
      <c r="J2757" s="475"/>
      <c r="K2757" s="275"/>
      <c r="L2757" s="82"/>
      <c r="M2757" s="672"/>
      <c r="N2757" s="242"/>
      <c r="O2757" s="242"/>
      <c r="P2757" s="242"/>
      <c r="Q2757" s="242"/>
      <c r="R2757" s="539"/>
      <c r="S2757" s="540"/>
      <c r="T2757" s="543"/>
      <c r="U2757" s="673" t="b">
        <v>0</v>
      </c>
      <c r="Z2757" t="b">
        <v>0</v>
      </c>
      <c r="AA2757" t="b">
        <v>0</v>
      </c>
      <c r="AC2757" s="82"/>
      <c r="AD2757" t="str">
        <f t="shared" si="71"/>
        <v/>
      </c>
      <c r="AE2757" t="str">
        <f t="shared" si="72"/>
        <v/>
      </c>
    </row>
    <row r="2758">
      <c r="D2758" s="226"/>
      <c r="H2758" s="474"/>
      <c r="I2758" s="474"/>
      <c r="J2758" s="475"/>
      <c r="K2758" s="275"/>
      <c r="L2758" s="82"/>
      <c r="M2758" s="672"/>
      <c r="N2758" s="242"/>
      <c r="O2758" s="242"/>
      <c r="P2758" s="242"/>
      <c r="Q2758" s="242"/>
      <c r="R2758" s="539"/>
      <c r="S2758" s="540"/>
      <c r="T2758" s="543"/>
      <c r="U2758" s="673" t="b">
        <v>0</v>
      </c>
      <c r="Z2758" t="b">
        <v>0</v>
      </c>
      <c r="AA2758" t="b">
        <v>0</v>
      </c>
      <c r="AC2758" s="82"/>
      <c r="AD2758" t="str">
        <f t="shared" si="71"/>
        <v/>
      </c>
      <c r="AE2758" t="str">
        <f t="shared" si="72"/>
        <v/>
      </c>
    </row>
    <row r="2759">
      <c r="D2759" s="226"/>
      <c r="H2759" s="474"/>
      <c r="I2759" s="474"/>
      <c r="J2759" s="475"/>
      <c r="K2759" s="275"/>
      <c r="L2759" s="82"/>
      <c r="M2759" s="672"/>
      <c r="N2759" s="242"/>
      <c r="O2759" s="242"/>
      <c r="P2759" s="242"/>
      <c r="Q2759" s="242"/>
      <c r="R2759" s="539"/>
      <c r="S2759" s="540"/>
      <c r="T2759" s="543"/>
      <c r="U2759" s="673" t="b">
        <v>0</v>
      </c>
      <c r="Z2759" t="b">
        <v>0</v>
      </c>
      <c r="AA2759" t="b">
        <v>0</v>
      </c>
      <c r="AC2759" s="82"/>
      <c r="AD2759" t="str">
        <f t="shared" si="71"/>
        <v/>
      </c>
      <c r="AE2759" t="str">
        <f t="shared" si="72"/>
        <v/>
      </c>
    </row>
    <row r="2760">
      <c r="D2760" s="226"/>
      <c r="H2760" s="474"/>
      <c r="I2760" s="474"/>
      <c r="J2760" s="475"/>
      <c r="K2760" s="275"/>
      <c r="L2760" s="82"/>
      <c r="M2760" s="672"/>
      <c r="N2760" s="242"/>
      <c r="O2760" s="242"/>
      <c r="P2760" s="242"/>
      <c r="Q2760" s="242"/>
      <c r="R2760" s="539"/>
      <c r="S2760" s="540"/>
      <c r="T2760" s="543"/>
      <c r="U2760" s="673" t="b">
        <v>0</v>
      </c>
      <c r="Z2760" t="b">
        <v>0</v>
      </c>
      <c r="AA2760" t="b">
        <v>0</v>
      </c>
      <c r="AC2760" s="82"/>
      <c r="AD2760" t="str">
        <f t="shared" si="71"/>
        <v/>
      </c>
      <c r="AE2760" t="str">
        <f t="shared" si="72"/>
        <v/>
      </c>
    </row>
    <row r="2761">
      <c r="D2761" s="226"/>
      <c r="H2761" s="474"/>
      <c r="I2761" s="474"/>
      <c r="J2761" s="475"/>
      <c r="K2761" s="275"/>
      <c r="L2761" s="82"/>
      <c r="M2761" s="672"/>
      <c r="N2761" s="242"/>
      <c r="O2761" s="242"/>
      <c r="P2761" s="242"/>
      <c r="Q2761" s="242"/>
      <c r="R2761" s="539"/>
      <c r="S2761" s="540"/>
      <c r="T2761" s="543"/>
      <c r="U2761" s="673" t="b">
        <v>0</v>
      </c>
      <c r="Z2761" t="b">
        <v>0</v>
      </c>
      <c r="AA2761" t="b">
        <v>0</v>
      </c>
      <c r="AC2761" s="82"/>
      <c r="AD2761" t="str">
        <f t="shared" si="71"/>
        <v/>
      </c>
      <c r="AE2761" t="str">
        <f t="shared" si="72"/>
        <v/>
      </c>
    </row>
    <row r="2762">
      <c r="D2762" s="226"/>
      <c r="H2762" s="474"/>
      <c r="I2762" s="474"/>
      <c r="J2762" s="475"/>
      <c r="K2762" s="275"/>
      <c r="L2762" s="82"/>
      <c r="M2762" s="672"/>
      <c r="N2762" s="242"/>
      <c r="O2762" s="242"/>
      <c r="P2762" s="242"/>
      <c r="Q2762" s="242"/>
      <c r="R2762" s="539"/>
      <c r="S2762" s="540"/>
      <c r="T2762" s="543"/>
      <c r="U2762" s="673" t="b">
        <v>0</v>
      </c>
      <c r="Z2762" t="b">
        <v>0</v>
      </c>
      <c r="AA2762" t="b">
        <v>0</v>
      </c>
      <c r="AC2762" s="82"/>
      <c r="AD2762" t="str">
        <f t="shared" si="71"/>
        <v/>
      </c>
      <c r="AE2762" t="str">
        <f t="shared" si="72"/>
        <v/>
      </c>
    </row>
    <row r="2763">
      <c r="D2763" s="226"/>
      <c r="H2763" s="474"/>
      <c r="I2763" s="474"/>
      <c r="J2763" s="475"/>
      <c r="K2763" s="275"/>
      <c r="L2763" s="82"/>
      <c r="M2763" s="672"/>
      <c r="N2763" s="242"/>
      <c r="O2763" s="242"/>
      <c r="P2763" s="242"/>
      <c r="Q2763" s="242"/>
      <c r="R2763" s="539"/>
      <c r="S2763" s="540"/>
      <c r="T2763" s="543"/>
      <c r="U2763" s="673" t="b">
        <v>0</v>
      </c>
      <c r="Z2763" t="b">
        <v>0</v>
      </c>
      <c r="AA2763" t="b">
        <v>0</v>
      </c>
      <c r="AC2763" s="82"/>
      <c r="AD2763" t="str">
        <f t="shared" si="71"/>
        <v/>
      </c>
      <c r="AE2763" t="str">
        <f t="shared" si="72"/>
        <v/>
      </c>
    </row>
    <row r="2764">
      <c r="D2764" s="226"/>
      <c r="H2764" s="474"/>
      <c r="I2764" s="474"/>
      <c r="J2764" s="475"/>
      <c r="K2764" s="275"/>
      <c r="L2764" s="82"/>
      <c r="M2764" s="672"/>
      <c r="N2764" s="242"/>
      <c r="O2764" s="242"/>
      <c r="P2764" s="242"/>
      <c r="Q2764" s="242"/>
      <c r="R2764" s="539"/>
      <c r="S2764" s="540"/>
      <c r="T2764" s="543"/>
      <c r="U2764" s="673" t="b">
        <v>0</v>
      </c>
      <c r="Z2764" t="b">
        <v>0</v>
      </c>
      <c r="AA2764" t="b">
        <v>0</v>
      </c>
      <c r="AC2764" s="82"/>
      <c r="AD2764" t="str">
        <f t="shared" si="71"/>
        <v/>
      </c>
      <c r="AE2764" t="str">
        <f t="shared" si="72"/>
        <v/>
      </c>
    </row>
    <row r="2765">
      <c r="D2765" s="226"/>
      <c r="H2765" s="474"/>
      <c r="I2765" s="474"/>
      <c r="J2765" s="475"/>
      <c r="K2765" s="275"/>
      <c r="L2765" s="82"/>
      <c r="M2765" s="672"/>
      <c r="N2765" s="242"/>
      <c r="O2765" s="242"/>
      <c r="P2765" s="242"/>
      <c r="Q2765" s="242"/>
      <c r="R2765" s="539"/>
      <c r="S2765" s="540"/>
      <c r="T2765" s="543"/>
      <c r="U2765" s="673" t="b">
        <v>0</v>
      </c>
      <c r="Z2765" t="b">
        <v>0</v>
      </c>
      <c r="AA2765" t="b">
        <v>0</v>
      </c>
      <c r="AC2765" s="82"/>
      <c r="AD2765" t="str">
        <f t="shared" si="71"/>
        <v/>
      </c>
      <c r="AE2765" t="str">
        <f t="shared" si="72"/>
        <v/>
      </c>
    </row>
    <row r="2766">
      <c r="D2766" s="226"/>
      <c r="H2766" s="474"/>
      <c r="I2766" s="474"/>
      <c r="J2766" s="475"/>
      <c r="K2766" s="275"/>
      <c r="L2766" s="82"/>
      <c r="M2766" s="672"/>
      <c r="N2766" s="242"/>
      <c r="O2766" s="242"/>
      <c r="P2766" s="242"/>
      <c r="Q2766" s="242"/>
      <c r="R2766" s="539"/>
      <c r="S2766" s="540"/>
      <c r="T2766" s="543"/>
      <c r="U2766" s="673" t="b">
        <v>0</v>
      </c>
      <c r="Z2766" t="b">
        <v>0</v>
      </c>
      <c r="AA2766" t="b">
        <v>0</v>
      </c>
      <c r="AC2766" s="82"/>
      <c r="AD2766" t="str">
        <f t="shared" si="71"/>
        <v/>
      </c>
      <c r="AE2766" t="str">
        <f t="shared" si="72"/>
        <v/>
      </c>
    </row>
    <row r="2767">
      <c r="D2767" s="226"/>
      <c r="H2767" s="474"/>
      <c r="I2767" s="474"/>
      <c r="J2767" s="475"/>
      <c r="K2767" s="275"/>
      <c r="L2767" s="82"/>
      <c r="M2767" s="672"/>
      <c r="N2767" s="242"/>
      <c r="O2767" s="242"/>
      <c r="P2767" s="242"/>
      <c r="Q2767" s="242"/>
      <c r="R2767" s="539"/>
      <c r="S2767" s="540"/>
      <c r="T2767" s="543"/>
      <c r="U2767" s="673" t="b">
        <v>0</v>
      </c>
      <c r="Z2767" t="b">
        <v>0</v>
      </c>
      <c r="AA2767" t="b">
        <v>0</v>
      </c>
      <c r="AC2767" s="82"/>
      <c r="AD2767" t="str">
        <f t="shared" si="71"/>
        <v/>
      </c>
      <c r="AE2767" t="str">
        <f t="shared" si="72"/>
        <v/>
      </c>
    </row>
    <row r="2768">
      <c r="D2768" s="226"/>
      <c r="H2768" s="474"/>
      <c r="I2768" s="474"/>
      <c r="J2768" s="475"/>
      <c r="K2768" s="275"/>
      <c r="L2768" s="82"/>
      <c r="M2768" s="672"/>
      <c r="N2768" s="242"/>
      <c r="O2768" s="242"/>
      <c r="P2768" s="242"/>
      <c r="Q2768" s="242"/>
      <c r="R2768" s="539"/>
      <c r="S2768" s="540"/>
      <c r="T2768" s="543"/>
      <c r="U2768" s="673" t="b">
        <v>0</v>
      </c>
      <c r="Z2768" t="b">
        <v>0</v>
      </c>
      <c r="AA2768" t="b">
        <v>0</v>
      </c>
      <c r="AC2768" s="82"/>
      <c r="AD2768" t="str">
        <f t="shared" si="71"/>
        <v/>
      </c>
      <c r="AE2768" t="str">
        <f t="shared" si="72"/>
        <v/>
      </c>
    </row>
    <row r="2769">
      <c r="D2769" s="226"/>
      <c r="H2769" s="474"/>
      <c r="I2769" s="474"/>
      <c r="J2769" s="475"/>
      <c r="K2769" s="275"/>
      <c r="L2769" s="82"/>
      <c r="M2769" s="672"/>
      <c r="N2769" s="242"/>
      <c r="O2769" s="242"/>
      <c r="P2769" s="242"/>
      <c r="Q2769" s="242"/>
      <c r="R2769" s="539"/>
      <c r="S2769" s="540"/>
      <c r="T2769" s="543"/>
      <c r="U2769" s="673" t="b">
        <v>0</v>
      </c>
      <c r="Z2769" t="b">
        <v>0</v>
      </c>
      <c r="AA2769" t="b">
        <v>0</v>
      </c>
      <c r="AC2769" s="82"/>
      <c r="AD2769" t="str">
        <f t="shared" si="71"/>
        <v/>
      </c>
      <c r="AE2769" t="str">
        <f t="shared" si="72"/>
        <v/>
      </c>
    </row>
    <row r="2770">
      <c r="D2770" s="226"/>
      <c r="H2770" s="474"/>
      <c r="I2770" s="474"/>
      <c r="J2770" s="475"/>
      <c r="K2770" s="275"/>
      <c r="L2770" s="82"/>
      <c r="M2770" s="672"/>
      <c r="N2770" s="242"/>
      <c r="O2770" s="242"/>
      <c r="P2770" s="242"/>
      <c r="Q2770" s="242"/>
      <c r="R2770" s="539"/>
      <c r="S2770" s="540"/>
      <c r="T2770" s="543"/>
      <c r="U2770" s="673" t="b">
        <v>0</v>
      </c>
      <c r="Z2770" t="b">
        <v>0</v>
      </c>
      <c r="AA2770" t="b">
        <v>0</v>
      </c>
      <c r="AC2770" s="82"/>
      <c r="AD2770" t="str">
        <f t="shared" si="71"/>
        <v/>
      </c>
      <c r="AE2770" t="str">
        <f t="shared" si="72"/>
        <v/>
      </c>
    </row>
    <row r="2771">
      <c r="D2771" s="226"/>
      <c r="H2771" s="474"/>
      <c r="I2771" s="474"/>
      <c r="J2771" s="475"/>
      <c r="K2771" s="275"/>
      <c r="L2771" s="82"/>
      <c r="M2771" s="672"/>
      <c r="N2771" s="242"/>
      <c r="O2771" s="242"/>
      <c r="P2771" s="242"/>
      <c r="Q2771" s="242"/>
      <c r="R2771" s="539"/>
      <c r="S2771" s="540"/>
      <c r="T2771" s="543"/>
      <c r="U2771" s="673" t="b">
        <v>0</v>
      </c>
      <c r="Z2771" t="b">
        <v>0</v>
      </c>
      <c r="AA2771" t="b">
        <v>0</v>
      </c>
      <c r="AC2771" s="82"/>
      <c r="AD2771" t="str">
        <f t="shared" si="71"/>
        <v/>
      </c>
      <c r="AE2771" t="str">
        <f t="shared" si="72"/>
        <v/>
      </c>
    </row>
    <row r="2772">
      <c r="D2772" s="226"/>
      <c r="H2772" s="474"/>
      <c r="I2772" s="474"/>
      <c r="J2772" s="475"/>
      <c r="K2772" s="275"/>
      <c r="L2772" s="82"/>
      <c r="M2772" s="672"/>
      <c r="N2772" s="242"/>
      <c r="O2772" s="242"/>
      <c r="P2772" s="242"/>
      <c r="Q2772" s="242"/>
      <c r="R2772" s="539"/>
      <c r="S2772" s="540"/>
      <c r="T2772" s="543"/>
      <c r="U2772" s="673" t="b">
        <v>0</v>
      </c>
      <c r="Z2772" t="b">
        <v>0</v>
      </c>
      <c r="AA2772" t="b">
        <v>0</v>
      </c>
      <c r="AC2772" s="82"/>
      <c r="AD2772" t="str">
        <f t="shared" si="71"/>
        <v/>
      </c>
      <c r="AE2772" t="str">
        <f t="shared" si="72"/>
        <v/>
      </c>
    </row>
    <row r="2773">
      <c r="D2773" s="226"/>
      <c r="H2773" s="474"/>
      <c r="I2773" s="474"/>
      <c r="J2773" s="475"/>
      <c r="K2773" s="275"/>
      <c r="L2773" s="82"/>
      <c r="M2773" s="672"/>
      <c r="N2773" s="242"/>
      <c r="O2773" s="242"/>
      <c r="P2773" s="242"/>
      <c r="Q2773" s="242"/>
      <c r="R2773" s="539"/>
      <c r="S2773" s="540"/>
      <c r="T2773" s="543"/>
      <c r="U2773" s="673" t="b">
        <v>0</v>
      </c>
      <c r="Z2773" t="b">
        <v>0</v>
      </c>
      <c r="AA2773" t="b">
        <v>0</v>
      </c>
      <c r="AC2773" s="82"/>
      <c r="AD2773" t="str">
        <f t="shared" si="71"/>
        <v/>
      </c>
      <c r="AE2773" t="str">
        <f t="shared" si="72"/>
        <v/>
      </c>
    </row>
    <row r="2774">
      <c r="D2774" s="226"/>
      <c r="H2774" s="474"/>
      <c r="I2774" s="474"/>
      <c r="J2774" s="475"/>
      <c r="K2774" s="275"/>
      <c r="L2774" s="82"/>
      <c r="M2774" s="672"/>
      <c r="N2774" s="242"/>
      <c r="O2774" s="242"/>
      <c r="P2774" s="242"/>
      <c r="Q2774" s="242"/>
      <c r="R2774" s="539"/>
      <c r="S2774" s="540"/>
      <c r="T2774" s="543"/>
      <c r="U2774" s="673" t="b">
        <v>0</v>
      </c>
      <c r="Z2774" t="b">
        <v>0</v>
      </c>
      <c r="AA2774" t="b">
        <v>0</v>
      </c>
      <c r="AC2774" s="82"/>
      <c r="AD2774" t="str">
        <f t="shared" si="71"/>
        <v/>
      </c>
      <c r="AE2774" t="str">
        <f t="shared" si="72"/>
        <v/>
      </c>
    </row>
    <row r="2775">
      <c r="D2775" s="226"/>
      <c r="H2775" s="474"/>
      <c r="I2775" s="474"/>
      <c r="J2775" s="475"/>
      <c r="K2775" s="275"/>
      <c r="L2775" s="82"/>
      <c r="M2775" s="672"/>
      <c r="N2775" s="242"/>
      <c r="O2775" s="242"/>
      <c r="P2775" s="242"/>
      <c r="Q2775" s="242"/>
      <c r="R2775" s="539"/>
      <c r="S2775" s="540"/>
      <c r="T2775" s="543"/>
      <c r="U2775" s="673" t="b">
        <v>0</v>
      </c>
      <c r="Z2775" t="b">
        <v>0</v>
      </c>
      <c r="AA2775" t="b">
        <v>0</v>
      </c>
      <c r="AC2775" s="82"/>
      <c r="AD2775" t="str">
        <f t="shared" si="71"/>
        <v/>
      </c>
      <c r="AE2775" t="str">
        <f t="shared" si="72"/>
        <v/>
      </c>
    </row>
    <row r="2776">
      <c r="D2776" s="226"/>
      <c r="H2776" s="474"/>
      <c r="I2776" s="474"/>
      <c r="J2776" s="475"/>
      <c r="K2776" s="275"/>
      <c r="L2776" s="82"/>
      <c r="M2776" s="672"/>
      <c r="N2776" s="242"/>
      <c r="O2776" s="242"/>
      <c r="P2776" s="242"/>
      <c r="Q2776" s="242"/>
      <c r="R2776" s="539"/>
      <c r="S2776" s="540"/>
      <c r="T2776" s="543"/>
      <c r="U2776" s="673" t="b">
        <v>0</v>
      </c>
      <c r="Z2776" t="b">
        <v>0</v>
      </c>
      <c r="AA2776" t="b">
        <v>0</v>
      </c>
      <c r="AC2776" s="82"/>
      <c r="AD2776" t="str">
        <f t="shared" si="71"/>
        <v/>
      </c>
      <c r="AE2776" t="str">
        <f t="shared" si="72"/>
        <v/>
      </c>
    </row>
    <row r="2777">
      <c r="D2777" s="226"/>
      <c r="H2777" s="474"/>
      <c r="I2777" s="474"/>
      <c r="J2777" s="475"/>
      <c r="K2777" s="275"/>
      <c r="L2777" s="82"/>
      <c r="M2777" s="672"/>
      <c r="N2777" s="242"/>
      <c r="O2777" s="242"/>
      <c r="P2777" s="242"/>
      <c r="Q2777" s="242"/>
      <c r="R2777" s="539"/>
      <c r="S2777" s="540"/>
      <c r="T2777" s="543"/>
      <c r="U2777" s="673" t="b">
        <v>0</v>
      </c>
      <c r="Z2777" t="b">
        <v>0</v>
      </c>
      <c r="AA2777" t="b">
        <v>0</v>
      </c>
      <c r="AC2777" s="82"/>
      <c r="AD2777" t="str">
        <f t="shared" si="71"/>
        <v/>
      </c>
      <c r="AE2777" t="str">
        <f t="shared" si="72"/>
        <v/>
      </c>
    </row>
    <row r="2778">
      <c r="D2778" s="226"/>
      <c r="H2778" s="474"/>
      <c r="I2778" s="474"/>
      <c r="J2778" s="475"/>
      <c r="K2778" s="275"/>
      <c r="L2778" s="82"/>
      <c r="M2778" s="672"/>
      <c r="N2778" s="242"/>
      <c r="O2778" s="242"/>
      <c r="P2778" s="242"/>
      <c r="Q2778" s="242"/>
      <c r="R2778" s="539"/>
      <c r="S2778" s="540"/>
      <c r="T2778" s="543"/>
      <c r="U2778" s="673" t="b">
        <v>0</v>
      </c>
      <c r="Z2778" t="b">
        <v>0</v>
      </c>
      <c r="AA2778" t="b">
        <v>0</v>
      </c>
      <c r="AC2778" s="82"/>
      <c r="AD2778" t="str">
        <f t="shared" si="71"/>
        <v/>
      </c>
      <c r="AE2778" t="str">
        <f t="shared" si="72"/>
        <v/>
      </c>
    </row>
    <row r="2779">
      <c r="D2779" s="226"/>
      <c r="H2779" s="474"/>
      <c r="I2779" s="474"/>
      <c r="J2779" s="475"/>
      <c r="K2779" s="275"/>
      <c r="L2779" s="82"/>
      <c r="M2779" s="672"/>
      <c r="N2779" s="242"/>
      <c r="O2779" s="242"/>
      <c r="P2779" s="242"/>
      <c r="Q2779" s="242"/>
      <c r="R2779" s="539"/>
      <c r="S2779" s="540"/>
      <c r="T2779" s="543"/>
      <c r="U2779" s="673" t="b">
        <v>0</v>
      </c>
      <c r="Z2779" t="b">
        <v>0</v>
      </c>
      <c r="AA2779" t="b">
        <v>0</v>
      </c>
      <c r="AC2779" s="82"/>
      <c r="AD2779" t="str">
        <f t="shared" si="71"/>
        <v/>
      </c>
      <c r="AE2779" t="str">
        <f t="shared" si="72"/>
        <v/>
      </c>
    </row>
    <row r="2780">
      <c r="D2780" s="226"/>
      <c r="H2780" s="474"/>
      <c r="I2780" s="474"/>
      <c r="J2780" s="475"/>
      <c r="K2780" s="275"/>
      <c r="L2780" s="82"/>
      <c r="M2780" s="672"/>
      <c r="N2780" s="242"/>
      <c r="O2780" s="242"/>
      <c r="P2780" s="242"/>
      <c r="Q2780" s="242"/>
      <c r="R2780" s="539"/>
      <c r="S2780" s="540"/>
      <c r="T2780" s="543"/>
      <c r="U2780" s="673" t="b">
        <v>0</v>
      </c>
      <c r="Z2780" t="b">
        <v>0</v>
      </c>
      <c r="AA2780" t="b">
        <v>0</v>
      </c>
      <c r="AC2780" s="82"/>
      <c r="AD2780" t="str">
        <f t="shared" si="71"/>
        <v/>
      </c>
      <c r="AE2780" t="str">
        <f t="shared" si="72"/>
        <v/>
      </c>
    </row>
    <row r="2781">
      <c r="D2781" s="226"/>
      <c r="H2781" s="474"/>
      <c r="I2781" s="474"/>
      <c r="J2781" s="475"/>
      <c r="K2781" s="275"/>
      <c r="L2781" s="82"/>
      <c r="M2781" s="672"/>
      <c r="N2781" s="242"/>
      <c r="O2781" s="242"/>
      <c r="P2781" s="242"/>
      <c r="Q2781" s="242"/>
      <c r="R2781" s="539"/>
      <c r="S2781" s="540"/>
      <c r="T2781" s="543"/>
      <c r="U2781" s="673" t="b">
        <v>0</v>
      </c>
      <c r="Z2781" t="b">
        <v>0</v>
      </c>
      <c r="AA2781" t="b">
        <v>0</v>
      </c>
      <c r="AC2781" s="82"/>
      <c r="AD2781" t="str">
        <f t="shared" si="71"/>
        <v/>
      </c>
      <c r="AE2781" t="str">
        <f t="shared" si="72"/>
        <v/>
      </c>
    </row>
    <row r="2782">
      <c r="D2782" s="226"/>
      <c r="H2782" s="474"/>
      <c r="I2782" s="474"/>
      <c r="J2782" s="475"/>
      <c r="K2782" s="275"/>
      <c r="L2782" s="82"/>
      <c r="M2782" s="672"/>
      <c r="N2782" s="242"/>
      <c r="O2782" s="242"/>
      <c r="P2782" s="242"/>
      <c r="Q2782" s="242"/>
      <c r="R2782" s="539"/>
      <c r="S2782" s="540"/>
      <c r="T2782" s="543"/>
      <c r="U2782" s="673" t="b">
        <v>0</v>
      </c>
      <c r="Z2782" t="b">
        <v>0</v>
      </c>
      <c r="AA2782" t="b">
        <v>0</v>
      </c>
      <c r="AC2782" s="82"/>
      <c r="AD2782" t="str">
        <f t="shared" si="71"/>
        <v/>
      </c>
      <c r="AE2782" t="str">
        <f t="shared" si="72"/>
        <v/>
      </c>
    </row>
    <row r="2783">
      <c r="D2783" s="226"/>
      <c r="H2783" s="474"/>
      <c r="I2783" s="474"/>
      <c r="J2783" s="475"/>
      <c r="K2783" s="275"/>
      <c r="L2783" s="82"/>
      <c r="M2783" s="672"/>
      <c r="N2783" s="242"/>
      <c r="O2783" s="242"/>
      <c r="P2783" s="242"/>
      <c r="Q2783" s="242"/>
      <c r="R2783" s="539"/>
      <c r="S2783" s="540"/>
      <c r="T2783" s="543"/>
      <c r="U2783" s="673" t="b">
        <v>0</v>
      </c>
      <c r="Z2783" t="b">
        <v>0</v>
      </c>
      <c r="AA2783" t="b">
        <v>0</v>
      </c>
      <c r="AC2783" s="82"/>
      <c r="AD2783" t="str">
        <f t="shared" si="71"/>
        <v/>
      </c>
      <c r="AE2783" t="str">
        <f t="shared" si="72"/>
        <v/>
      </c>
    </row>
    <row r="2784">
      <c r="D2784" s="226"/>
      <c r="H2784" s="474"/>
      <c r="I2784" s="474"/>
      <c r="J2784" s="475"/>
      <c r="K2784" s="275"/>
      <c r="L2784" s="82"/>
      <c r="M2784" s="672"/>
      <c r="N2784" s="242"/>
      <c r="O2784" s="242"/>
      <c r="P2784" s="242"/>
      <c r="Q2784" s="242"/>
      <c r="R2784" s="539"/>
      <c r="S2784" s="540"/>
      <c r="T2784" s="543"/>
      <c r="U2784" s="673" t="b">
        <v>0</v>
      </c>
      <c r="Z2784" t="b">
        <v>0</v>
      </c>
      <c r="AA2784" t="b">
        <v>0</v>
      </c>
      <c r="AC2784" s="82"/>
      <c r="AD2784" t="str">
        <f t="shared" si="71"/>
        <v/>
      </c>
      <c r="AE2784" t="str">
        <f t="shared" si="72"/>
        <v/>
      </c>
    </row>
    <row r="2785">
      <c r="D2785" s="226"/>
      <c r="H2785" s="474"/>
      <c r="I2785" s="474"/>
      <c r="J2785" s="475"/>
      <c r="K2785" s="275"/>
      <c r="L2785" s="82"/>
      <c r="M2785" s="672"/>
      <c r="N2785" s="242"/>
      <c r="O2785" s="242"/>
      <c r="P2785" s="242"/>
      <c r="Q2785" s="242"/>
      <c r="R2785" s="539"/>
      <c r="S2785" s="540"/>
      <c r="T2785" s="543"/>
      <c r="U2785" s="673" t="b">
        <v>0</v>
      </c>
      <c r="Z2785" t="b">
        <v>0</v>
      </c>
      <c r="AA2785" t="b">
        <v>0</v>
      </c>
      <c r="AC2785" s="82"/>
      <c r="AD2785" t="str">
        <f t="shared" si="71"/>
        <v/>
      </c>
      <c r="AE2785" t="str">
        <f t="shared" si="72"/>
        <v/>
      </c>
    </row>
    <row r="2786">
      <c r="D2786" s="226"/>
      <c r="H2786" s="474"/>
      <c r="I2786" s="474"/>
      <c r="J2786" s="475"/>
      <c r="K2786" s="275"/>
      <c r="L2786" s="82"/>
      <c r="M2786" s="672"/>
      <c r="N2786" s="242"/>
      <c r="O2786" s="242"/>
      <c r="P2786" s="242"/>
      <c r="Q2786" s="242"/>
      <c r="R2786" s="539"/>
      <c r="S2786" s="540"/>
      <c r="T2786" s="543"/>
      <c r="U2786" s="673" t="b">
        <v>0</v>
      </c>
      <c r="Z2786" t="b">
        <v>0</v>
      </c>
      <c r="AA2786" t="b">
        <v>0</v>
      </c>
      <c r="AC2786" s="82"/>
      <c r="AD2786" t="str">
        <f t="shared" si="71"/>
        <v/>
      </c>
      <c r="AE2786" t="str">
        <f t="shared" si="72"/>
        <v/>
      </c>
    </row>
    <row r="2787">
      <c r="D2787" s="226"/>
      <c r="H2787" s="474"/>
      <c r="I2787" s="474"/>
      <c r="J2787" s="475"/>
      <c r="K2787" s="275"/>
      <c r="L2787" s="82"/>
      <c r="M2787" s="672"/>
      <c r="N2787" s="242"/>
      <c r="O2787" s="242"/>
      <c r="P2787" s="242"/>
      <c r="Q2787" s="242"/>
      <c r="R2787" s="539"/>
      <c r="S2787" s="540"/>
      <c r="T2787" s="543"/>
      <c r="U2787" s="673" t="b">
        <v>0</v>
      </c>
      <c r="Z2787" t="b">
        <v>0</v>
      </c>
      <c r="AA2787" t="b">
        <v>0</v>
      </c>
      <c r="AC2787" s="82"/>
      <c r="AD2787" t="str">
        <f t="shared" si="71"/>
        <v/>
      </c>
      <c r="AE2787" t="str">
        <f t="shared" si="72"/>
        <v/>
      </c>
    </row>
    <row r="2788">
      <c r="D2788" s="226"/>
      <c r="H2788" s="474"/>
      <c r="I2788" s="474"/>
      <c r="J2788" s="475"/>
      <c r="K2788" s="275"/>
      <c r="L2788" s="82"/>
      <c r="M2788" s="672"/>
      <c r="N2788" s="242"/>
      <c r="O2788" s="242"/>
      <c r="P2788" s="242"/>
      <c r="Q2788" s="242"/>
      <c r="R2788" s="539"/>
      <c r="S2788" s="540"/>
      <c r="T2788" s="543"/>
      <c r="U2788" s="673" t="b">
        <v>0</v>
      </c>
      <c r="Z2788" t="b">
        <v>0</v>
      </c>
      <c r="AA2788" t="b">
        <v>0</v>
      </c>
      <c r="AC2788" s="82"/>
      <c r="AD2788" t="str">
        <f t="shared" si="71"/>
        <v/>
      </c>
      <c r="AE2788" t="str">
        <f t="shared" si="72"/>
        <v/>
      </c>
    </row>
    <row r="2789">
      <c r="D2789" s="226"/>
      <c r="H2789" s="474"/>
      <c r="I2789" s="474"/>
      <c r="J2789" s="475"/>
      <c r="K2789" s="275"/>
      <c r="L2789" s="82"/>
      <c r="M2789" s="672"/>
      <c r="N2789" s="242"/>
      <c r="O2789" s="242"/>
      <c r="P2789" s="242"/>
      <c r="Q2789" s="242"/>
      <c r="R2789" s="539"/>
      <c r="S2789" s="540"/>
      <c r="T2789" s="543"/>
      <c r="U2789" s="673" t="b">
        <v>0</v>
      </c>
      <c r="Z2789" t="b">
        <v>0</v>
      </c>
      <c r="AA2789" t="b">
        <v>0</v>
      </c>
      <c r="AC2789" s="82"/>
      <c r="AD2789" t="str">
        <f t="shared" si="71"/>
        <v/>
      </c>
      <c r="AE2789" t="str">
        <f t="shared" si="72"/>
        <v/>
      </c>
    </row>
    <row r="2790">
      <c r="D2790" s="226"/>
      <c r="H2790" s="474"/>
      <c r="I2790" s="474"/>
      <c r="J2790" s="475"/>
      <c r="K2790" s="275"/>
      <c r="L2790" s="82"/>
      <c r="M2790" s="672"/>
      <c r="N2790" s="242"/>
      <c r="O2790" s="242"/>
      <c r="P2790" s="242"/>
      <c r="Q2790" s="242"/>
      <c r="R2790" s="539"/>
      <c r="S2790" s="540"/>
      <c r="T2790" s="543"/>
      <c r="U2790" s="673" t="b">
        <v>0</v>
      </c>
      <c r="Z2790" t="b">
        <v>0</v>
      </c>
      <c r="AA2790" t="b">
        <v>0</v>
      </c>
      <c r="AC2790" s="82"/>
      <c r="AD2790" t="str">
        <f t="shared" si="71"/>
        <v/>
      </c>
      <c r="AE2790" t="str">
        <f t="shared" si="72"/>
        <v/>
      </c>
    </row>
    <row r="2791">
      <c r="D2791" s="226"/>
      <c r="H2791" s="474"/>
      <c r="I2791" s="474"/>
      <c r="J2791" s="475"/>
      <c r="K2791" s="275"/>
      <c r="L2791" s="82"/>
      <c r="M2791" s="672"/>
      <c r="N2791" s="242"/>
      <c r="O2791" s="242"/>
      <c r="P2791" s="242"/>
      <c r="Q2791" s="242"/>
      <c r="R2791" s="539"/>
      <c r="S2791" s="540"/>
      <c r="T2791" s="543"/>
      <c r="U2791" s="673" t="b">
        <v>0</v>
      </c>
      <c r="Z2791" t="b">
        <v>0</v>
      </c>
      <c r="AA2791" t="b">
        <v>0</v>
      </c>
      <c r="AC2791" s="82"/>
      <c r="AD2791" t="str">
        <f t="shared" si="71"/>
        <v/>
      </c>
      <c r="AE2791" t="str">
        <f t="shared" si="72"/>
        <v/>
      </c>
    </row>
    <row r="2792">
      <c r="D2792" s="226"/>
      <c r="H2792" s="474"/>
      <c r="I2792" s="474"/>
      <c r="J2792" s="475"/>
      <c r="K2792" s="275"/>
      <c r="L2792" s="82"/>
      <c r="M2792" s="672"/>
      <c r="N2792" s="242"/>
      <c r="O2792" s="242"/>
      <c r="P2792" s="242"/>
      <c r="Q2792" s="242"/>
      <c r="R2792" s="539"/>
      <c r="S2792" s="540"/>
      <c r="T2792" s="543"/>
      <c r="U2792" s="673" t="b">
        <v>0</v>
      </c>
      <c r="Z2792" t="b">
        <v>0</v>
      </c>
      <c r="AA2792" t="b">
        <v>0</v>
      </c>
      <c r="AC2792" s="82"/>
      <c r="AD2792" t="str">
        <f t="shared" si="71"/>
        <v/>
      </c>
      <c r="AE2792" t="str">
        <f t="shared" si="72"/>
        <v/>
      </c>
    </row>
    <row r="2793">
      <c r="D2793" s="226"/>
      <c r="H2793" s="474"/>
      <c r="I2793" s="474"/>
      <c r="J2793" s="475"/>
      <c r="K2793" s="275"/>
      <c r="L2793" s="82"/>
      <c r="M2793" s="672"/>
      <c r="N2793" s="242"/>
      <c r="O2793" s="242"/>
      <c r="P2793" s="242"/>
      <c r="Q2793" s="242"/>
      <c r="R2793" s="539"/>
      <c r="S2793" s="540"/>
      <c r="T2793" s="543"/>
      <c r="U2793" s="673" t="b">
        <v>0</v>
      </c>
      <c r="Z2793" t="b">
        <v>0</v>
      </c>
      <c r="AA2793" t="b">
        <v>0</v>
      </c>
      <c r="AC2793" s="82"/>
      <c r="AD2793" t="str">
        <f t="shared" si="71"/>
        <v/>
      </c>
      <c r="AE2793" t="str">
        <f t="shared" si="72"/>
        <v/>
      </c>
    </row>
    <row r="2794">
      <c r="D2794" s="226"/>
      <c r="H2794" s="474"/>
      <c r="I2794" s="474"/>
      <c r="J2794" s="475"/>
      <c r="K2794" s="275"/>
      <c r="L2794" s="82"/>
      <c r="M2794" s="672"/>
      <c r="N2794" s="242"/>
      <c r="O2794" s="242"/>
      <c r="P2794" s="242"/>
      <c r="Q2794" s="242"/>
      <c r="R2794" s="539"/>
      <c r="S2794" s="540"/>
      <c r="T2794" s="543"/>
      <c r="U2794" s="673" t="b">
        <v>0</v>
      </c>
      <c r="Z2794" t="b">
        <v>0</v>
      </c>
      <c r="AA2794" t="b">
        <v>0</v>
      </c>
      <c r="AC2794" s="82"/>
      <c r="AD2794" t="str">
        <f t="shared" si="71"/>
        <v/>
      </c>
      <c r="AE2794" t="str">
        <f t="shared" si="72"/>
        <v/>
      </c>
    </row>
    <row r="2795">
      <c r="D2795" s="226"/>
      <c r="H2795" s="474"/>
      <c r="I2795" s="474"/>
      <c r="J2795" s="475"/>
      <c r="K2795" s="275"/>
      <c r="L2795" s="82"/>
      <c r="M2795" s="672"/>
      <c r="N2795" s="242"/>
      <c r="O2795" s="242"/>
      <c r="P2795" s="242"/>
      <c r="Q2795" s="242"/>
      <c r="R2795" s="539"/>
      <c r="S2795" s="540"/>
      <c r="T2795" s="543"/>
      <c r="U2795" s="673" t="b">
        <v>0</v>
      </c>
      <c r="Z2795" t="b">
        <v>0</v>
      </c>
      <c r="AA2795" t="b">
        <v>0</v>
      </c>
      <c r="AC2795" s="82"/>
      <c r="AD2795" t="str">
        <f t="shared" si="71"/>
        <v/>
      </c>
      <c r="AE2795" t="str">
        <f t="shared" si="72"/>
        <v/>
      </c>
    </row>
    <row r="2796">
      <c r="D2796" s="226"/>
      <c r="H2796" s="474"/>
      <c r="I2796" s="474"/>
      <c r="J2796" s="475"/>
      <c r="K2796" s="275"/>
      <c r="L2796" s="82"/>
      <c r="M2796" s="672"/>
      <c r="N2796" s="242"/>
      <c r="O2796" s="242"/>
      <c r="P2796" s="242"/>
      <c r="Q2796" s="242"/>
      <c r="R2796" s="539"/>
      <c r="S2796" s="540"/>
      <c r="T2796" s="543"/>
      <c r="U2796" s="673" t="b">
        <v>0</v>
      </c>
      <c r="Z2796" t="b">
        <v>0</v>
      </c>
      <c r="AA2796" t="b">
        <v>0</v>
      </c>
      <c r="AC2796" s="82"/>
      <c r="AD2796" t="str">
        <f t="shared" si="71"/>
        <v/>
      </c>
      <c r="AE2796" t="str">
        <f t="shared" si="72"/>
        <v/>
      </c>
    </row>
    <row r="2797">
      <c r="D2797" s="226"/>
      <c r="H2797" s="474"/>
      <c r="I2797" s="474"/>
      <c r="J2797" s="475"/>
      <c r="K2797" s="275"/>
      <c r="L2797" s="82"/>
      <c r="M2797" s="672"/>
      <c r="N2797" s="242"/>
      <c r="O2797" s="242"/>
      <c r="P2797" s="242"/>
      <c r="Q2797" s="242"/>
      <c r="R2797" s="539"/>
      <c r="S2797" s="540"/>
      <c r="T2797" s="543"/>
      <c r="U2797" s="673" t="b">
        <v>0</v>
      </c>
      <c r="Z2797" t="b">
        <v>0</v>
      </c>
      <c r="AA2797" t="b">
        <v>0</v>
      </c>
      <c r="AC2797" s="82"/>
      <c r="AD2797" t="str">
        <f t="shared" si="71"/>
        <v/>
      </c>
      <c r="AE2797" t="str">
        <f t="shared" si="72"/>
        <v/>
      </c>
    </row>
    <row r="2798">
      <c r="D2798" s="226"/>
      <c r="H2798" s="474"/>
      <c r="I2798" s="474"/>
      <c r="J2798" s="475"/>
      <c r="K2798" s="275"/>
      <c r="L2798" s="82"/>
      <c r="M2798" s="672"/>
      <c r="N2798" s="242"/>
      <c r="O2798" s="242"/>
      <c r="P2798" s="242"/>
      <c r="Q2798" s="242"/>
      <c r="R2798" s="539"/>
      <c r="S2798" s="540"/>
      <c r="T2798" s="543"/>
      <c r="U2798" s="673" t="b">
        <v>0</v>
      </c>
      <c r="Z2798" t="b">
        <v>0</v>
      </c>
      <c r="AA2798" t="b">
        <v>0</v>
      </c>
      <c r="AC2798" s="82"/>
      <c r="AD2798" t="str">
        <f t="shared" si="71"/>
        <v/>
      </c>
      <c r="AE2798" t="str">
        <f t="shared" si="72"/>
        <v/>
      </c>
    </row>
    <row r="2799">
      <c r="D2799" s="226"/>
      <c r="H2799" s="474"/>
      <c r="I2799" s="474"/>
      <c r="J2799" s="475"/>
      <c r="K2799" s="275"/>
      <c r="L2799" s="82"/>
      <c r="M2799" s="672"/>
      <c r="N2799" s="242"/>
      <c r="O2799" s="242"/>
      <c r="P2799" s="242"/>
      <c r="Q2799" s="242"/>
      <c r="R2799" s="539"/>
      <c r="S2799" s="540"/>
      <c r="T2799" s="543"/>
      <c r="U2799" s="673" t="b">
        <v>0</v>
      </c>
      <c r="Z2799" t="b">
        <v>0</v>
      </c>
      <c r="AA2799" t="b">
        <v>0</v>
      </c>
      <c r="AC2799" s="82"/>
      <c r="AD2799" t="str">
        <f t="shared" si="71"/>
        <v/>
      </c>
      <c r="AE2799" t="str">
        <f t="shared" si="72"/>
        <v/>
      </c>
    </row>
    <row r="2800">
      <c r="D2800" s="226"/>
      <c r="H2800" s="474"/>
      <c r="I2800" s="474"/>
      <c r="J2800" s="475"/>
      <c r="K2800" s="275"/>
      <c r="L2800" s="82"/>
      <c r="M2800" s="672"/>
      <c r="N2800" s="242"/>
      <c r="O2800" s="242"/>
      <c r="P2800" s="242"/>
      <c r="Q2800" s="242"/>
      <c r="R2800" s="539"/>
      <c r="S2800" s="540"/>
      <c r="T2800" s="543"/>
      <c r="U2800" s="673" t="b">
        <v>0</v>
      </c>
      <c r="Z2800" t="b">
        <v>0</v>
      </c>
      <c r="AA2800" t="b">
        <v>0</v>
      </c>
      <c r="AC2800" s="82"/>
      <c r="AD2800" t="str">
        <f t="shared" si="71"/>
        <v/>
      </c>
      <c r="AE2800" t="str">
        <f t="shared" si="72"/>
        <v/>
      </c>
    </row>
    <row r="2801">
      <c r="D2801" s="226"/>
      <c r="H2801" s="474"/>
      <c r="I2801" s="474"/>
      <c r="J2801" s="475"/>
      <c r="K2801" s="275"/>
      <c r="L2801" s="82"/>
      <c r="M2801" s="672"/>
      <c r="N2801" s="242"/>
      <c r="O2801" s="242"/>
      <c r="P2801" s="242"/>
      <c r="Q2801" s="242"/>
      <c r="R2801" s="539"/>
      <c r="S2801" s="540"/>
      <c r="T2801" s="543"/>
      <c r="U2801" s="673" t="b">
        <v>0</v>
      </c>
      <c r="Z2801" t="b">
        <v>0</v>
      </c>
      <c r="AA2801" t="b">
        <v>0</v>
      </c>
      <c r="AC2801" s="82"/>
      <c r="AD2801" t="str">
        <f t="shared" si="71"/>
        <v/>
      </c>
      <c r="AE2801" t="str">
        <f t="shared" si="72"/>
        <v/>
      </c>
    </row>
    <row r="2802">
      <c r="D2802" s="226"/>
      <c r="H2802" s="474"/>
      <c r="I2802" s="474"/>
      <c r="J2802" s="475"/>
      <c r="K2802" s="275"/>
      <c r="L2802" s="82"/>
      <c r="M2802" s="672"/>
      <c r="N2802" s="242"/>
      <c r="O2802" s="242"/>
      <c r="P2802" s="242"/>
      <c r="Q2802" s="242"/>
      <c r="R2802" s="539"/>
      <c r="S2802" s="540"/>
      <c r="T2802" s="543"/>
      <c r="U2802" s="673" t="b">
        <v>0</v>
      </c>
      <c r="Z2802" t="b">
        <v>0</v>
      </c>
      <c r="AA2802" t="b">
        <v>0</v>
      </c>
      <c r="AC2802" s="82"/>
      <c r="AD2802" t="str">
        <f t="shared" si="71"/>
        <v/>
      </c>
      <c r="AE2802" t="str">
        <f t="shared" si="72"/>
        <v/>
      </c>
    </row>
    <row r="2803">
      <c r="D2803" s="226"/>
      <c r="H2803" s="474"/>
      <c r="I2803" s="474"/>
      <c r="J2803" s="475"/>
      <c r="K2803" s="275"/>
      <c r="L2803" s="82"/>
      <c r="M2803" s="672"/>
      <c r="N2803" s="242"/>
      <c r="O2803" s="242"/>
      <c r="P2803" s="242"/>
      <c r="Q2803" s="242"/>
      <c r="R2803" s="539"/>
      <c r="S2803" s="540"/>
      <c r="T2803" s="543"/>
      <c r="U2803" s="673" t="b">
        <v>0</v>
      </c>
      <c r="Z2803" t="b">
        <v>0</v>
      </c>
      <c r="AA2803" t="b">
        <v>0</v>
      </c>
      <c r="AC2803" s="82"/>
      <c r="AD2803" t="str">
        <f t="shared" si="71"/>
        <v/>
      </c>
      <c r="AE2803" t="str">
        <f t="shared" si="72"/>
        <v/>
      </c>
    </row>
    <row r="2804">
      <c r="D2804" s="226"/>
      <c r="H2804" s="474"/>
      <c r="I2804" s="474"/>
      <c r="J2804" s="475"/>
      <c r="K2804" s="275"/>
      <c r="L2804" s="82"/>
      <c r="M2804" s="672"/>
      <c r="N2804" s="242"/>
      <c r="O2804" s="242"/>
      <c r="P2804" s="242"/>
      <c r="Q2804" s="242"/>
      <c r="R2804" s="539"/>
      <c r="S2804" s="540"/>
      <c r="T2804" s="543"/>
      <c r="U2804" s="673" t="b">
        <v>0</v>
      </c>
      <c r="Z2804" t="b">
        <v>0</v>
      </c>
      <c r="AA2804" t="b">
        <v>0</v>
      </c>
      <c r="AC2804" s="82"/>
      <c r="AD2804" t="str">
        <f t="shared" si="71"/>
        <v/>
      </c>
      <c r="AE2804" t="str">
        <f t="shared" si="72"/>
        <v/>
      </c>
    </row>
    <row r="2805">
      <c r="D2805" s="226"/>
      <c r="H2805" s="474"/>
      <c r="I2805" s="474"/>
      <c r="J2805" s="475"/>
      <c r="K2805" s="275"/>
      <c r="L2805" s="82"/>
      <c r="M2805" s="672"/>
      <c r="N2805" s="242"/>
      <c r="O2805" s="242"/>
      <c r="P2805" s="242"/>
      <c r="Q2805" s="242"/>
      <c r="R2805" s="539"/>
      <c r="S2805" s="540"/>
      <c r="T2805" s="543"/>
      <c r="U2805" s="673" t="b">
        <v>0</v>
      </c>
      <c r="Z2805" t="b">
        <v>0</v>
      </c>
      <c r="AA2805" t="b">
        <v>0</v>
      </c>
      <c r="AC2805" s="82"/>
      <c r="AD2805" t="str">
        <f t="shared" si="71"/>
        <v/>
      </c>
      <c r="AE2805" t="str">
        <f t="shared" si="72"/>
        <v/>
      </c>
    </row>
    <row r="2806">
      <c r="D2806" s="226"/>
      <c r="H2806" s="474"/>
      <c r="I2806" s="474"/>
      <c r="J2806" s="475"/>
      <c r="K2806" s="275"/>
      <c r="L2806" s="82"/>
      <c r="M2806" s="672"/>
      <c r="N2806" s="242"/>
      <c r="O2806" s="242"/>
      <c r="P2806" s="242"/>
      <c r="Q2806" s="242"/>
      <c r="R2806" s="539"/>
      <c r="S2806" s="540"/>
      <c r="T2806" s="543"/>
      <c r="U2806" s="673" t="b">
        <v>0</v>
      </c>
      <c r="Z2806" t="b">
        <v>0</v>
      </c>
      <c r="AA2806" t="b">
        <v>0</v>
      </c>
      <c r="AC2806" s="82"/>
      <c r="AD2806" t="str">
        <f t="shared" si="71"/>
        <v/>
      </c>
      <c r="AE2806" t="str">
        <f t="shared" si="72"/>
        <v/>
      </c>
    </row>
    <row r="2807">
      <c r="D2807" s="226"/>
      <c r="H2807" s="474"/>
      <c r="I2807" s="474"/>
      <c r="J2807" s="475"/>
      <c r="K2807" s="275"/>
      <c r="L2807" s="82"/>
      <c r="M2807" s="672"/>
      <c r="N2807" s="242"/>
      <c r="O2807" s="242"/>
      <c r="P2807" s="242"/>
      <c r="Q2807" s="242"/>
      <c r="R2807" s="539"/>
      <c r="S2807" s="540"/>
      <c r="T2807" s="543"/>
      <c r="U2807" s="673" t="b">
        <v>0</v>
      </c>
      <c r="Z2807" t="b">
        <v>0</v>
      </c>
      <c r="AA2807" t="b">
        <v>0</v>
      </c>
      <c r="AC2807" s="82"/>
      <c r="AD2807" t="str">
        <f t="shared" si="71"/>
        <v/>
      </c>
      <c r="AE2807" t="str">
        <f t="shared" si="72"/>
        <v/>
      </c>
    </row>
    <row r="2808">
      <c r="D2808" s="226"/>
      <c r="H2808" s="474"/>
      <c r="I2808" s="474"/>
      <c r="J2808" s="475"/>
      <c r="K2808" s="275"/>
      <c r="L2808" s="82"/>
      <c r="M2808" s="672"/>
      <c r="N2808" s="242"/>
      <c r="O2808" s="242"/>
      <c r="P2808" s="242"/>
      <c r="Q2808" s="242"/>
      <c r="R2808" s="539"/>
      <c r="S2808" s="540"/>
      <c r="T2808" s="543"/>
      <c r="U2808" s="673" t="b">
        <v>0</v>
      </c>
      <c r="Z2808" t="b">
        <v>0</v>
      </c>
      <c r="AA2808" t="b">
        <v>0</v>
      </c>
      <c r="AC2808" s="82"/>
      <c r="AD2808" t="str">
        <f t="shared" si="71"/>
        <v/>
      </c>
      <c r="AE2808" t="str">
        <f t="shared" si="72"/>
        <v/>
      </c>
    </row>
    <row r="2809">
      <c r="D2809" s="226"/>
      <c r="H2809" s="474"/>
      <c r="I2809" s="474"/>
      <c r="J2809" s="475"/>
      <c r="K2809" s="275"/>
      <c r="L2809" s="82"/>
      <c r="M2809" s="672"/>
      <c r="N2809" s="242"/>
      <c r="O2809" s="242"/>
      <c r="P2809" s="242"/>
      <c r="Q2809" s="242"/>
      <c r="R2809" s="539"/>
      <c r="S2809" s="540"/>
      <c r="T2809" s="543"/>
      <c r="U2809" s="673" t="b">
        <v>0</v>
      </c>
      <c r="Z2809" t="b">
        <v>0</v>
      </c>
      <c r="AA2809" t="b">
        <v>0</v>
      </c>
      <c r="AC2809" s="82"/>
      <c r="AD2809" t="str">
        <f t="shared" si="71"/>
        <v/>
      </c>
      <c r="AE2809" t="str">
        <f t="shared" si="72"/>
        <v/>
      </c>
    </row>
    <row r="2810">
      <c r="D2810" s="226"/>
      <c r="H2810" s="474"/>
      <c r="I2810" s="474"/>
      <c r="J2810" s="475"/>
      <c r="K2810" s="275"/>
      <c r="L2810" s="82"/>
      <c r="M2810" s="672"/>
      <c r="N2810" s="242"/>
      <c r="O2810" s="242"/>
      <c r="P2810" s="242"/>
      <c r="Q2810" s="242"/>
      <c r="R2810" s="539"/>
      <c r="S2810" s="540"/>
      <c r="T2810" s="543"/>
      <c r="U2810" s="673" t="b">
        <v>0</v>
      </c>
      <c r="Z2810" t="b">
        <v>0</v>
      </c>
      <c r="AA2810" t="b">
        <v>0</v>
      </c>
      <c r="AC2810" s="82"/>
      <c r="AD2810" t="str">
        <f t="shared" si="71"/>
        <v/>
      </c>
      <c r="AE2810" t="str">
        <f t="shared" si="72"/>
        <v/>
      </c>
    </row>
    <row r="2811">
      <c r="D2811" s="226"/>
      <c r="H2811" s="474"/>
      <c r="I2811" s="474"/>
      <c r="J2811" s="475"/>
      <c r="K2811" s="275"/>
      <c r="L2811" s="82"/>
      <c r="M2811" s="672"/>
      <c r="N2811" s="242"/>
      <c r="O2811" s="242"/>
      <c r="P2811" s="242"/>
      <c r="Q2811" s="242"/>
      <c r="R2811" s="539"/>
      <c r="S2811" s="540"/>
      <c r="T2811" s="543"/>
      <c r="U2811" s="673" t="b">
        <v>0</v>
      </c>
      <c r="Z2811" t="b">
        <v>0</v>
      </c>
      <c r="AA2811" t="b">
        <v>0</v>
      </c>
      <c r="AC2811" s="82"/>
      <c r="AD2811" t="str">
        <f t="shared" si="71"/>
        <v/>
      </c>
      <c r="AE2811" t="str">
        <f t="shared" si="72"/>
        <v/>
      </c>
    </row>
    <row r="2812">
      <c r="D2812" s="226"/>
      <c r="H2812" s="474"/>
      <c r="I2812" s="474"/>
      <c r="J2812" s="475"/>
      <c r="K2812" s="275"/>
      <c r="L2812" s="82"/>
      <c r="M2812" s="672"/>
      <c r="N2812" s="242"/>
      <c r="O2812" s="242"/>
      <c r="P2812" s="242"/>
      <c r="Q2812" s="242"/>
      <c r="R2812" s="539"/>
      <c r="S2812" s="540"/>
      <c r="T2812" s="543"/>
      <c r="U2812" s="673" t="b">
        <v>0</v>
      </c>
      <c r="Z2812" t="b">
        <v>0</v>
      </c>
      <c r="AA2812" t="b">
        <v>0</v>
      </c>
      <c r="AC2812" s="82"/>
      <c r="AD2812" t="str">
        <f t="shared" si="71"/>
        <v/>
      </c>
      <c r="AE2812" t="str">
        <f t="shared" si="72"/>
        <v/>
      </c>
    </row>
    <row r="2813">
      <c r="D2813" s="226"/>
      <c r="H2813" s="474"/>
      <c r="I2813" s="474"/>
      <c r="J2813" s="475"/>
      <c r="K2813" s="275"/>
      <c r="L2813" s="82"/>
      <c r="M2813" s="672"/>
      <c r="N2813" s="242"/>
      <c r="O2813" s="242"/>
      <c r="P2813" s="242"/>
      <c r="Q2813" s="242"/>
      <c r="R2813" s="539"/>
      <c r="S2813" s="540"/>
      <c r="T2813" s="543"/>
      <c r="U2813" s="673" t="b">
        <v>0</v>
      </c>
      <c r="Z2813" t="b">
        <v>0</v>
      </c>
      <c r="AA2813" t="b">
        <v>0</v>
      </c>
      <c r="AC2813" s="82"/>
      <c r="AD2813" t="str">
        <f t="shared" si="71"/>
        <v/>
      </c>
      <c r="AE2813" t="str">
        <f t="shared" si="72"/>
        <v/>
      </c>
    </row>
    <row r="2814">
      <c r="D2814" s="226"/>
      <c r="H2814" s="474"/>
      <c r="I2814" s="474"/>
      <c r="J2814" s="475"/>
      <c r="K2814" s="275"/>
      <c r="L2814" s="82"/>
      <c r="M2814" s="672"/>
      <c r="N2814" s="242"/>
      <c r="O2814" s="242"/>
      <c r="P2814" s="242"/>
      <c r="Q2814" s="242"/>
      <c r="R2814" s="539"/>
      <c r="S2814" s="540"/>
      <c r="T2814" s="543"/>
      <c r="U2814" s="673" t="b">
        <v>0</v>
      </c>
      <c r="Z2814" t="b">
        <v>0</v>
      </c>
      <c r="AA2814" t="b">
        <v>0</v>
      </c>
      <c r="AC2814" s="82"/>
      <c r="AD2814" t="str">
        <f t="shared" si="71"/>
        <v/>
      </c>
      <c r="AE2814" t="str">
        <f t="shared" si="72"/>
        <v/>
      </c>
    </row>
    <row r="2815">
      <c r="D2815" s="226"/>
      <c r="H2815" s="474"/>
      <c r="I2815" s="474"/>
      <c r="J2815" s="475"/>
      <c r="K2815" s="275"/>
      <c r="L2815" s="82"/>
      <c r="M2815" s="672"/>
      <c r="N2815" s="242"/>
      <c r="O2815" s="242"/>
      <c r="P2815" s="242"/>
      <c r="Q2815" s="242"/>
      <c r="R2815" s="539"/>
      <c r="S2815" s="540"/>
      <c r="T2815" s="543"/>
      <c r="U2815" s="673" t="b">
        <v>0</v>
      </c>
      <c r="Z2815" t="b">
        <v>0</v>
      </c>
      <c r="AA2815" t="b">
        <v>0</v>
      </c>
      <c r="AC2815" s="82"/>
      <c r="AD2815" t="str">
        <f t="shared" si="71"/>
        <v/>
      </c>
      <c r="AE2815" t="str">
        <f t="shared" si="72"/>
        <v/>
      </c>
    </row>
    <row r="2816">
      <c r="D2816" s="226"/>
      <c r="H2816" s="474"/>
      <c r="I2816" s="474"/>
      <c r="J2816" s="475"/>
      <c r="K2816" s="275"/>
      <c r="L2816" s="82"/>
      <c r="M2816" s="672"/>
      <c r="N2816" s="242"/>
      <c r="O2816" s="242"/>
      <c r="P2816" s="242"/>
      <c r="Q2816" s="242"/>
      <c r="R2816" s="539"/>
      <c r="S2816" s="540"/>
      <c r="T2816" s="543"/>
      <c r="U2816" s="673" t="b">
        <v>0</v>
      </c>
      <c r="Z2816" t="b">
        <v>0</v>
      </c>
      <c r="AA2816" t="b">
        <v>0</v>
      </c>
      <c r="AC2816" s="82"/>
      <c r="AD2816" t="str">
        <f t="shared" si="71"/>
        <v/>
      </c>
      <c r="AE2816" t="str">
        <f t="shared" si="72"/>
        <v/>
      </c>
    </row>
    <row r="2817">
      <c r="D2817" s="226"/>
      <c r="H2817" s="474"/>
      <c r="I2817" s="474"/>
      <c r="J2817" s="475"/>
      <c r="K2817" s="275"/>
      <c r="L2817" s="82"/>
      <c r="M2817" s="672"/>
      <c r="N2817" s="242"/>
      <c r="O2817" s="242"/>
      <c r="P2817" s="242"/>
      <c r="Q2817" s="242"/>
      <c r="R2817" s="539"/>
      <c r="S2817" s="540"/>
      <c r="T2817" s="543"/>
      <c r="U2817" s="673" t="b">
        <v>0</v>
      </c>
      <c r="Z2817" t="b">
        <v>0</v>
      </c>
      <c r="AA2817" t="b">
        <v>0</v>
      </c>
      <c r="AC2817" s="82"/>
      <c r="AD2817" t="str">
        <f t="shared" si="71"/>
        <v/>
      </c>
      <c r="AE2817" t="str">
        <f t="shared" si="72"/>
        <v/>
      </c>
    </row>
    <row r="2818">
      <c r="D2818" s="226"/>
      <c r="H2818" s="474"/>
      <c r="I2818" s="474"/>
      <c r="J2818" s="475"/>
      <c r="K2818" s="275"/>
      <c r="L2818" s="82"/>
      <c r="M2818" s="672"/>
      <c r="N2818" s="242"/>
      <c r="O2818" s="242"/>
      <c r="P2818" s="242"/>
      <c r="Q2818" s="242"/>
      <c r="R2818" s="539"/>
      <c r="S2818" s="540"/>
      <c r="T2818" s="543"/>
      <c r="U2818" s="673" t="b">
        <v>0</v>
      </c>
      <c r="Z2818" t="b">
        <v>0</v>
      </c>
      <c r="AA2818" t="b">
        <v>0</v>
      </c>
      <c r="AC2818" s="82"/>
      <c r="AD2818" t="str">
        <f t="shared" si="71"/>
        <v/>
      </c>
      <c r="AE2818" t="str">
        <f t="shared" si="72"/>
        <v/>
      </c>
    </row>
    <row r="2819">
      <c r="D2819" s="226"/>
      <c r="H2819" s="474"/>
      <c r="I2819" s="474"/>
      <c r="J2819" s="475"/>
      <c r="K2819" s="275"/>
      <c r="L2819" s="82"/>
      <c r="M2819" s="672"/>
      <c r="N2819" s="242"/>
      <c r="O2819" s="242"/>
      <c r="P2819" s="242"/>
      <c r="Q2819" s="242"/>
      <c r="R2819" s="539"/>
      <c r="S2819" s="540"/>
      <c r="T2819" s="543"/>
      <c r="U2819" s="673" t="b">
        <v>0</v>
      </c>
      <c r="Z2819" t="b">
        <v>0</v>
      </c>
      <c r="AA2819" t="b">
        <v>0</v>
      </c>
      <c r="AC2819" s="82"/>
      <c r="AD2819" t="str">
        <f t="shared" si="71"/>
        <v/>
      </c>
      <c r="AE2819" t="str">
        <f t="shared" si="72"/>
        <v/>
      </c>
    </row>
    <row r="2820">
      <c r="D2820" s="226"/>
      <c r="H2820" s="474"/>
      <c r="I2820" s="474"/>
      <c r="J2820" s="475"/>
      <c r="K2820" s="275"/>
      <c r="L2820" s="82"/>
      <c r="M2820" s="672"/>
      <c r="N2820" s="242"/>
      <c r="O2820" s="242"/>
      <c r="P2820" s="242"/>
      <c r="Q2820" s="242"/>
      <c r="R2820" s="539"/>
      <c r="S2820" s="540"/>
      <c r="T2820" s="543"/>
      <c r="U2820" s="673" t="b">
        <v>0</v>
      </c>
      <c r="Z2820" t="b">
        <v>0</v>
      </c>
      <c r="AA2820" t="b">
        <v>0</v>
      </c>
      <c r="AC2820" s="82"/>
      <c r="AD2820" t="str">
        <f t="shared" si="71"/>
        <v/>
      </c>
      <c r="AE2820" t="str">
        <f t="shared" si="72"/>
        <v/>
      </c>
    </row>
    <row r="2821">
      <c r="D2821" s="226"/>
      <c r="H2821" s="474"/>
      <c r="I2821" s="474"/>
      <c r="J2821" s="475"/>
      <c r="K2821" s="275"/>
      <c r="L2821" s="82"/>
      <c r="M2821" s="672"/>
      <c r="N2821" s="242"/>
      <c r="O2821" s="242"/>
      <c r="P2821" s="242"/>
      <c r="Q2821" s="242"/>
      <c r="R2821" s="539"/>
      <c r="S2821" s="540"/>
      <c r="T2821" s="543"/>
      <c r="U2821" s="673" t="b">
        <v>0</v>
      </c>
      <c r="Z2821" t="b">
        <v>0</v>
      </c>
      <c r="AA2821" t="b">
        <v>0</v>
      </c>
      <c r="AC2821" s="82"/>
      <c r="AD2821" t="str">
        <f t="shared" si="71"/>
        <v/>
      </c>
      <c r="AE2821" t="str">
        <f t="shared" si="72"/>
        <v/>
      </c>
    </row>
    <row r="2822">
      <c r="D2822" s="226"/>
      <c r="H2822" s="474"/>
      <c r="I2822" s="474"/>
      <c r="J2822" s="475"/>
      <c r="K2822" s="275"/>
      <c r="L2822" s="82"/>
      <c r="M2822" s="672"/>
      <c r="N2822" s="242"/>
      <c r="O2822" s="242"/>
      <c r="P2822" s="242"/>
      <c r="Q2822" s="242"/>
      <c r="R2822" s="539"/>
      <c r="S2822" s="540"/>
      <c r="T2822" s="543"/>
      <c r="U2822" s="673" t="b">
        <v>0</v>
      </c>
      <c r="Z2822" t="b">
        <v>0</v>
      </c>
      <c r="AA2822" t="b">
        <v>0</v>
      </c>
      <c r="AC2822" s="82"/>
      <c r="AD2822" t="str">
        <f t="shared" si="71"/>
        <v/>
      </c>
      <c r="AE2822" t="str">
        <f t="shared" si="72"/>
        <v/>
      </c>
    </row>
    <row r="2823">
      <c r="D2823" s="226"/>
      <c r="H2823" s="474"/>
      <c r="I2823" s="474"/>
      <c r="J2823" s="475"/>
      <c r="K2823" s="275"/>
      <c r="L2823" s="82"/>
      <c r="M2823" s="672"/>
      <c r="N2823" s="242"/>
      <c r="O2823" s="242"/>
      <c r="P2823" s="242"/>
      <c r="Q2823" s="242"/>
      <c r="R2823" s="539"/>
      <c r="S2823" s="540"/>
      <c r="T2823" s="543"/>
      <c r="U2823" s="673" t="b">
        <v>0</v>
      </c>
      <c r="Z2823" t="b">
        <v>0</v>
      </c>
      <c r="AA2823" t="b">
        <v>0</v>
      </c>
      <c r="AC2823" s="82"/>
      <c r="AD2823" t="str">
        <f t="shared" si="71"/>
        <v/>
      </c>
      <c r="AE2823" t="str">
        <f t="shared" si="72"/>
        <v/>
      </c>
    </row>
    <row r="2824">
      <c r="D2824" s="226"/>
      <c r="H2824" s="474"/>
      <c r="I2824" s="474"/>
      <c r="J2824" s="475"/>
      <c r="K2824" s="275"/>
      <c r="L2824" s="82"/>
      <c r="M2824" s="672"/>
      <c r="N2824" s="242"/>
      <c r="O2824" s="242"/>
      <c r="P2824" s="242"/>
      <c r="Q2824" s="242"/>
      <c r="R2824" s="539"/>
      <c r="S2824" s="540"/>
      <c r="T2824" s="543"/>
      <c r="U2824" s="673" t="b">
        <v>0</v>
      </c>
      <c r="Z2824" t="b">
        <v>0</v>
      </c>
      <c r="AA2824" t="b">
        <v>0</v>
      </c>
      <c r="AC2824" s="82"/>
      <c r="AD2824" t="str">
        <f t="shared" si="71"/>
        <v/>
      </c>
      <c r="AE2824" t="str">
        <f t="shared" si="72"/>
        <v/>
      </c>
    </row>
    <row r="2825">
      <c r="D2825" s="226"/>
      <c r="H2825" s="474"/>
      <c r="I2825" s="474"/>
      <c r="J2825" s="475"/>
      <c r="K2825" s="275"/>
      <c r="L2825" s="82"/>
      <c r="M2825" s="672"/>
      <c r="N2825" s="242"/>
      <c r="O2825" s="242"/>
      <c r="P2825" s="242"/>
      <c r="Q2825" s="242"/>
      <c r="R2825" s="539"/>
      <c r="S2825" s="540"/>
      <c r="T2825" s="543"/>
      <c r="U2825" s="673" t="b">
        <v>0</v>
      </c>
      <c r="Z2825" t="b">
        <v>0</v>
      </c>
      <c r="AA2825" t="b">
        <v>0</v>
      </c>
      <c r="AC2825" s="82"/>
      <c r="AD2825" t="str">
        <f t="shared" si="71"/>
        <v/>
      </c>
      <c r="AE2825" t="str">
        <f t="shared" si="72"/>
        <v/>
      </c>
    </row>
    <row r="2826">
      <c r="D2826" s="226"/>
      <c r="H2826" s="474"/>
      <c r="I2826" s="474"/>
      <c r="J2826" s="475"/>
      <c r="K2826" s="275"/>
      <c r="L2826" s="82"/>
      <c r="M2826" s="672"/>
      <c r="N2826" s="242"/>
      <c r="O2826" s="242"/>
      <c r="P2826" s="242"/>
      <c r="Q2826" s="242"/>
      <c r="R2826" s="539"/>
      <c r="S2826" s="540"/>
      <c r="T2826" s="543"/>
      <c r="U2826" s="673" t="b">
        <v>0</v>
      </c>
      <c r="Z2826" t="b">
        <v>0</v>
      </c>
      <c r="AA2826" t="b">
        <v>0</v>
      </c>
      <c r="AC2826" s="82"/>
      <c r="AD2826" t="str">
        <f t="shared" si="71"/>
        <v/>
      </c>
      <c r="AE2826" t="str">
        <f t="shared" si="72"/>
        <v/>
      </c>
    </row>
    <row r="2827">
      <c r="D2827" s="226"/>
      <c r="H2827" s="474"/>
      <c r="I2827" s="474"/>
      <c r="J2827" s="475"/>
      <c r="K2827" s="275"/>
      <c r="L2827" s="82"/>
      <c r="M2827" s="672"/>
      <c r="N2827" s="242"/>
      <c r="O2827" s="242"/>
      <c r="P2827" s="242"/>
      <c r="Q2827" s="242"/>
      <c r="R2827" s="539"/>
      <c r="S2827" s="540"/>
      <c r="T2827" s="543"/>
      <c r="U2827" s="673" t="b">
        <v>0</v>
      </c>
      <c r="Z2827" t="b">
        <v>0</v>
      </c>
      <c r="AA2827" t="b">
        <v>0</v>
      </c>
      <c r="AC2827" s="82"/>
      <c r="AD2827" t="str">
        <f t="shared" si="71"/>
        <v/>
      </c>
      <c r="AE2827" t="str">
        <f t="shared" si="72"/>
        <v/>
      </c>
    </row>
    <row r="2828">
      <c r="D2828" s="226"/>
      <c r="H2828" s="474"/>
      <c r="I2828" s="474"/>
      <c r="J2828" s="475"/>
      <c r="K2828" s="275"/>
      <c r="L2828" s="82"/>
      <c r="M2828" s="672"/>
      <c r="N2828" s="242"/>
      <c r="O2828" s="242"/>
      <c r="P2828" s="242"/>
      <c r="Q2828" s="242"/>
      <c r="R2828" s="539"/>
      <c r="S2828" s="540"/>
      <c r="T2828" s="543"/>
      <c r="U2828" s="673" t="b">
        <v>0</v>
      </c>
      <c r="Z2828" t="b">
        <v>0</v>
      </c>
      <c r="AA2828" t="b">
        <v>0</v>
      </c>
      <c r="AC2828" s="82"/>
      <c r="AD2828" t="str">
        <f t="shared" si="71"/>
        <v/>
      </c>
      <c r="AE2828" t="str">
        <f t="shared" si="72"/>
        <v/>
      </c>
    </row>
    <row r="2829">
      <c r="D2829" s="226"/>
      <c r="H2829" s="474"/>
      <c r="I2829" s="474"/>
      <c r="J2829" s="475"/>
      <c r="K2829" s="275"/>
      <c r="L2829" s="82"/>
      <c r="M2829" s="672"/>
      <c r="N2829" s="242"/>
      <c r="O2829" s="242"/>
      <c r="P2829" s="242"/>
      <c r="Q2829" s="242"/>
      <c r="R2829" s="539"/>
      <c r="S2829" s="540"/>
      <c r="T2829" s="543"/>
      <c r="U2829" s="673" t="b">
        <v>0</v>
      </c>
      <c r="Z2829" t="b">
        <v>0</v>
      </c>
      <c r="AA2829" t="b">
        <v>0</v>
      </c>
      <c r="AC2829" s="82"/>
      <c r="AD2829" t="str">
        <f t="shared" si="71"/>
        <v/>
      </c>
      <c r="AE2829" t="str">
        <f t="shared" si="72"/>
        <v/>
      </c>
    </row>
    <row r="2830">
      <c r="D2830" s="226"/>
      <c r="H2830" s="474"/>
      <c r="I2830" s="474"/>
      <c r="J2830" s="475"/>
      <c r="K2830" s="275"/>
      <c r="L2830" s="82"/>
      <c r="M2830" s="672"/>
      <c r="N2830" s="242"/>
      <c r="O2830" s="242"/>
      <c r="P2830" s="242"/>
      <c r="Q2830" s="242"/>
      <c r="R2830" s="539"/>
      <c r="S2830" s="540"/>
      <c r="T2830" s="543"/>
      <c r="U2830" s="673" t="b">
        <v>0</v>
      </c>
      <c r="Z2830" t="b">
        <v>0</v>
      </c>
      <c r="AA2830" t="b">
        <v>0</v>
      </c>
      <c r="AC2830" s="82"/>
      <c r="AD2830" t="str">
        <f t="shared" si="71"/>
        <v/>
      </c>
      <c r="AE2830" t="str">
        <f t="shared" si="72"/>
        <v/>
      </c>
    </row>
    <row r="2831">
      <c r="D2831" s="226"/>
      <c r="H2831" s="474"/>
      <c r="I2831" s="474"/>
      <c r="J2831" s="475"/>
      <c r="K2831" s="275"/>
      <c r="L2831" s="82"/>
      <c r="M2831" s="672"/>
      <c r="N2831" s="242"/>
      <c r="O2831" s="242"/>
      <c r="P2831" s="242"/>
      <c r="Q2831" s="242"/>
      <c r="R2831" s="539"/>
      <c r="S2831" s="540"/>
      <c r="T2831" s="543"/>
      <c r="U2831" s="673" t="b">
        <v>0</v>
      </c>
      <c r="Z2831" t="b">
        <v>0</v>
      </c>
      <c r="AA2831" t="b">
        <v>0</v>
      </c>
      <c r="AC2831" s="82"/>
      <c r="AD2831" t="str">
        <f t="shared" si="71"/>
        <v/>
      </c>
      <c r="AE2831" t="str">
        <f t="shared" si="72"/>
        <v/>
      </c>
    </row>
    <row r="2832">
      <c r="D2832" s="226"/>
      <c r="H2832" s="474"/>
      <c r="I2832" s="474"/>
      <c r="J2832" s="475"/>
      <c r="K2832" s="275"/>
      <c r="L2832" s="82"/>
      <c r="M2832" s="672"/>
      <c r="N2832" s="242"/>
      <c r="O2832" s="242"/>
      <c r="P2832" s="242"/>
      <c r="Q2832" s="242"/>
      <c r="R2832" s="539"/>
      <c r="S2832" s="540"/>
      <c r="T2832" s="543"/>
      <c r="U2832" s="673" t="b">
        <v>0</v>
      </c>
      <c r="Z2832" t="b">
        <v>0</v>
      </c>
      <c r="AA2832" t="b">
        <v>0</v>
      </c>
      <c r="AC2832" s="82"/>
      <c r="AD2832" t="str">
        <f t="shared" si="71"/>
        <v/>
      </c>
      <c r="AE2832" t="str">
        <f t="shared" si="72"/>
        <v/>
      </c>
    </row>
    <row r="2833">
      <c r="D2833" s="226"/>
      <c r="H2833" s="474"/>
      <c r="I2833" s="474"/>
      <c r="J2833" s="475"/>
      <c r="K2833" s="275"/>
      <c r="L2833" s="82"/>
      <c r="M2833" s="672"/>
      <c r="N2833" s="242"/>
      <c r="O2833" s="242"/>
      <c r="P2833" s="242"/>
      <c r="Q2833" s="242"/>
      <c r="R2833" s="539"/>
      <c r="S2833" s="540"/>
      <c r="T2833" s="543"/>
      <c r="U2833" s="673" t="b">
        <v>0</v>
      </c>
      <c r="Z2833" t="b">
        <v>0</v>
      </c>
      <c r="AA2833" t="b">
        <v>0</v>
      </c>
      <c r="AC2833" s="82"/>
      <c r="AD2833" t="str">
        <f t="shared" si="71"/>
        <v/>
      </c>
      <c r="AE2833" t="str">
        <f t="shared" si="72"/>
        <v/>
      </c>
    </row>
    <row r="2834">
      <c r="D2834" s="226"/>
      <c r="H2834" s="474"/>
      <c r="I2834" s="474"/>
      <c r="J2834" s="475"/>
      <c r="K2834" s="275"/>
      <c r="L2834" s="82"/>
      <c r="M2834" s="672"/>
      <c r="N2834" s="242"/>
      <c r="O2834" s="242"/>
      <c r="P2834" s="242"/>
      <c r="Q2834" s="242"/>
      <c r="R2834" s="539"/>
      <c r="S2834" s="540"/>
      <c r="T2834" s="543"/>
      <c r="U2834" s="673" t="b">
        <v>0</v>
      </c>
      <c r="Z2834" t="b">
        <v>0</v>
      </c>
      <c r="AA2834" t="b">
        <v>0</v>
      </c>
      <c r="AC2834" s="82"/>
      <c r="AD2834" t="str">
        <f t="shared" si="71"/>
        <v/>
      </c>
      <c r="AE2834" t="str">
        <f t="shared" si="72"/>
        <v/>
      </c>
    </row>
    <row r="2835">
      <c r="D2835" s="226"/>
      <c r="H2835" s="474"/>
      <c r="I2835" s="474"/>
      <c r="J2835" s="475"/>
      <c r="K2835" s="275"/>
      <c r="L2835" s="82"/>
      <c r="M2835" s="672"/>
      <c r="N2835" s="242"/>
      <c r="O2835" s="242"/>
      <c r="P2835" s="242"/>
      <c r="Q2835" s="242"/>
      <c r="R2835" s="539"/>
      <c r="S2835" s="540"/>
      <c r="T2835" s="543"/>
      <c r="U2835" s="673" t="b">
        <v>0</v>
      </c>
      <c r="Z2835" t="b">
        <v>0</v>
      </c>
      <c r="AA2835" t="b">
        <v>0</v>
      </c>
      <c r="AC2835" s="82"/>
      <c r="AD2835" t="str">
        <f t="shared" si="71"/>
        <v/>
      </c>
      <c r="AE2835" t="str">
        <f t="shared" si="72"/>
        <v/>
      </c>
    </row>
    <row r="2836">
      <c r="D2836" s="226"/>
      <c r="H2836" s="474"/>
      <c r="I2836" s="474"/>
      <c r="J2836" s="475"/>
      <c r="K2836" s="275"/>
      <c r="L2836" s="82"/>
      <c r="M2836" s="672"/>
      <c r="N2836" s="242"/>
      <c r="O2836" s="242"/>
      <c r="P2836" s="242"/>
      <c r="Q2836" s="242"/>
      <c r="R2836" s="539"/>
      <c r="S2836" s="540"/>
      <c r="T2836" s="543"/>
      <c r="U2836" s="673" t="b">
        <v>0</v>
      </c>
      <c r="Z2836" t="b">
        <v>0</v>
      </c>
      <c r="AA2836" t="b">
        <v>0</v>
      </c>
      <c r="AC2836" s="82"/>
      <c r="AD2836" t="str">
        <f t="shared" si="71"/>
        <v/>
      </c>
      <c r="AE2836" t="str">
        <f t="shared" si="72"/>
        <v/>
      </c>
    </row>
    <row r="2837">
      <c r="D2837" s="226"/>
      <c r="H2837" s="474"/>
      <c r="I2837" s="474"/>
      <c r="J2837" s="475"/>
      <c r="K2837" s="275"/>
      <c r="L2837" s="82"/>
      <c r="M2837" s="672"/>
      <c r="N2837" s="242"/>
      <c r="O2837" s="242"/>
      <c r="P2837" s="242"/>
      <c r="Q2837" s="242"/>
      <c r="R2837" s="539"/>
      <c r="S2837" s="540"/>
      <c r="T2837" s="543"/>
      <c r="U2837" s="673" t="b">
        <v>0</v>
      </c>
      <c r="Z2837" t="b">
        <v>0</v>
      </c>
      <c r="AA2837" t="b">
        <v>0</v>
      </c>
      <c r="AC2837" s="82"/>
      <c r="AD2837" t="str">
        <f t="shared" si="71"/>
        <v/>
      </c>
      <c r="AE2837" t="str">
        <f t="shared" si="72"/>
        <v/>
      </c>
    </row>
    <row r="2838">
      <c r="D2838" s="226"/>
      <c r="H2838" s="474"/>
      <c r="I2838" s="474"/>
      <c r="J2838" s="475"/>
      <c r="K2838" s="275"/>
      <c r="L2838" s="82"/>
      <c r="M2838" s="672"/>
      <c r="N2838" s="242"/>
      <c r="O2838" s="242"/>
      <c r="P2838" s="242"/>
      <c r="Q2838" s="242"/>
      <c r="R2838" s="539"/>
      <c r="S2838" s="540"/>
      <c r="T2838" s="543"/>
      <c r="U2838" s="673" t="b">
        <v>0</v>
      </c>
      <c r="Z2838" t="b">
        <v>0</v>
      </c>
      <c r="AA2838" t="b">
        <v>0</v>
      </c>
      <c r="AC2838" s="82"/>
      <c r="AD2838" t="str">
        <f t="shared" si="71"/>
        <v/>
      </c>
      <c r="AE2838" t="str">
        <f t="shared" si="72"/>
        <v/>
      </c>
    </row>
    <row r="2839">
      <c r="D2839" s="226"/>
      <c r="H2839" s="474"/>
      <c r="I2839" s="474"/>
      <c r="J2839" s="475"/>
      <c r="K2839" s="275"/>
      <c r="L2839" s="82"/>
      <c r="M2839" s="672"/>
      <c r="N2839" s="242"/>
      <c r="O2839" s="242"/>
      <c r="P2839" s="242"/>
      <c r="Q2839" s="242"/>
      <c r="R2839" s="539"/>
      <c r="S2839" s="540"/>
      <c r="T2839" s="543"/>
      <c r="U2839" s="673" t="b">
        <v>0</v>
      </c>
      <c r="Z2839" t="b">
        <v>0</v>
      </c>
      <c r="AA2839" t="b">
        <v>0</v>
      </c>
      <c r="AC2839" s="82"/>
      <c r="AD2839" t="str">
        <f t="shared" si="71"/>
        <v/>
      </c>
      <c r="AE2839" t="str">
        <f t="shared" si="72"/>
        <v/>
      </c>
    </row>
    <row r="2840">
      <c r="D2840" s="226"/>
      <c r="H2840" s="474"/>
      <c r="I2840" s="474"/>
      <c r="J2840" s="475"/>
      <c r="K2840" s="275"/>
      <c r="L2840" s="82"/>
      <c r="M2840" s="672"/>
      <c r="N2840" s="242"/>
      <c r="O2840" s="242"/>
      <c r="P2840" s="242"/>
      <c r="Q2840" s="242"/>
      <c r="R2840" s="539"/>
      <c r="S2840" s="540"/>
      <c r="T2840" s="543"/>
      <c r="U2840" s="673" t="b">
        <v>0</v>
      </c>
      <c r="Z2840" t="b">
        <v>0</v>
      </c>
      <c r="AA2840" t="b">
        <v>0</v>
      </c>
      <c r="AC2840" s="82"/>
      <c r="AD2840" t="str">
        <f t="shared" si="71"/>
        <v/>
      </c>
      <c r="AE2840" t="str">
        <f t="shared" si="72"/>
        <v/>
      </c>
    </row>
    <row r="2841">
      <c r="D2841" s="226"/>
      <c r="H2841" s="474"/>
      <c r="I2841" s="474"/>
      <c r="J2841" s="475"/>
      <c r="K2841" s="275"/>
      <c r="L2841" s="82"/>
      <c r="M2841" s="672"/>
      <c r="N2841" s="242"/>
      <c r="O2841" s="242"/>
      <c r="P2841" s="242"/>
      <c r="Q2841" s="242"/>
      <c r="R2841" s="539"/>
      <c r="S2841" s="540"/>
      <c r="T2841" s="543"/>
      <c r="U2841" s="673" t="b">
        <v>0</v>
      </c>
      <c r="Z2841" t="b">
        <v>0</v>
      </c>
      <c r="AA2841" t="b">
        <v>0</v>
      </c>
      <c r="AC2841" s="82"/>
      <c r="AD2841" t="str">
        <f t="shared" si="71"/>
        <v/>
      </c>
      <c r="AE2841" t="str">
        <f t="shared" si="72"/>
        <v/>
      </c>
    </row>
    <row r="2842">
      <c r="D2842" s="226"/>
      <c r="H2842" s="474"/>
      <c r="I2842" s="474"/>
      <c r="J2842" s="475"/>
      <c r="K2842" s="275"/>
      <c r="L2842" s="82"/>
      <c r="M2842" s="672"/>
      <c r="N2842" s="242"/>
      <c r="O2842" s="242"/>
      <c r="P2842" s="242"/>
      <c r="Q2842" s="242"/>
      <c r="R2842" s="539"/>
      <c r="S2842" s="540"/>
      <c r="T2842" s="543"/>
      <c r="U2842" s="673" t="b">
        <v>0</v>
      </c>
      <c r="Z2842" t="b">
        <v>0</v>
      </c>
      <c r="AA2842" t="b">
        <v>0</v>
      </c>
      <c r="AC2842" s="82"/>
      <c r="AD2842" t="str">
        <f t="shared" si="71"/>
        <v/>
      </c>
      <c r="AE2842" t="str">
        <f t="shared" si="72"/>
        <v/>
      </c>
    </row>
    <row r="2843">
      <c r="D2843" s="226"/>
      <c r="H2843" s="474"/>
      <c r="I2843" s="474"/>
      <c r="J2843" s="475"/>
      <c r="K2843" s="275"/>
      <c r="L2843" s="82"/>
      <c r="M2843" s="672"/>
      <c r="N2843" s="242"/>
      <c r="O2843" s="242"/>
      <c r="P2843" s="242"/>
      <c r="Q2843" s="242"/>
      <c r="R2843" s="539"/>
      <c r="S2843" s="540"/>
      <c r="T2843" s="543"/>
      <c r="U2843" s="673" t="b">
        <v>0</v>
      </c>
      <c r="Z2843" t="b">
        <v>0</v>
      </c>
      <c r="AA2843" t="b">
        <v>0</v>
      </c>
      <c r="AC2843" s="82"/>
      <c r="AD2843" t="str">
        <f t="shared" si="71"/>
        <v/>
      </c>
      <c r="AE2843" t="str">
        <f t="shared" si="72"/>
        <v/>
      </c>
    </row>
    <row r="2844">
      <c r="D2844" s="226"/>
      <c r="H2844" s="474"/>
      <c r="I2844" s="474"/>
      <c r="J2844" s="475"/>
      <c r="K2844" s="275"/>
      <c r="L2844" s="82"/>
      <c r="M2844" s="672"/>
      <c r="N2844" s="242"/>
      <c r="O2844" s="242"/>
      <c r="P2844" s="242"/>
      <c r="Q2844" s="242"/>
      <c r="R2844" s="539"/>
      <c r="S2844" s="540"/>
      <c r="T2844" s="543"/>
      <c r="U2844" s="673" t="b">
        <v>0</v>
      </c>
      <c r="Z2844" t="b">
        <v>0</v>
      </c>
      <c r="AA2844" t="b">
        <v>0</v>
      </c>
      <c r="AC2844" s="82"/>
      <c r="AD2844" t="str">
        <f t="shared" si="71"/>
        <v/>
      </c>
      <c r="AE2844" t="str">
        <f t="shared" si="72"/>
        <v/>
      </c>
    </row>
    <row r="2845">
      <c r="D2845" s="226"/>
      <c r="H2845" s="474"/>
      <c r="I2845" s="474"/>
      <c r="J2845" s="475"/>
      <c r="K2845" s="275"/>
      <c r="L2845" s="82"/>
      <c r="M2845" s="672"/>
      <c r="N2845" s="242"/>
      <c r="O2845" s="242"/>
      <c r="P2845" s="242"/>
      <c r="Q2845" s="242"/>
      <c r="R2845" s="539"/>
      <c r="S2845" s="540"/>
      <c r="T2845" s="543"/>
      <c r="U2845" s="673" t="b">
        <v>0</v>
      </c>
      <c r="Z2845" t="b">
        <v>0</v>
      </c>
      <c r="AA2845" t="b">
        <v>0</v>
      </c>
      <c r="AC2845" s="82"/>
      <c r="AD2845" t="str">
        <f t="shared" si="71"/>
        <v/>
      </c>
      <c r="AE2845" t="str">
        <f t="shared" si="72"/>
        <v/>
      </c>
    </row>
    <row r="2846">
      <c r="D2846" s="226"/>
      <c r="H2846" s="474"/>
      <c r="I2846" s="474"/>
      <c r="J2846" s="475"/>
      <c r="K2846" s="275"/>
      <c r="L2846" s="82"/>
      <c r="M2846" s="672"/>
      <c r="N2846" s="242"/>
      <c r="O2846" s="242"/>
      <c r="P2846" s="242"/>
      <c r="Q2846" s="242"/>
      <c r="R2846" s="539"/>
      <c r="S2846" s="540"/>
      <c r="T2846" s="543"/>
      <c r="U2846" s="673" t="b">
        <v>0</v>
      </c>
      <c r="Z2846" t="b">
        <v>0</v>
      </c>
      <c r="AA2846" t="b">
        <v>0</v>
      </c>
      <c r="AC2846" s="82"/>
      <c r="AD2846" t="str">
        <f t="shared" si="71"/>
        <v/>
      </c>
      <c r="AE2846" t="str">
        <f t="shared" si="72"/>
        <v/>
      </c>
    </row>
    <row r="2847">
      <c r="D2847" s="226"/>
      <c r="H2847" s="474"/>
      <c r="I2847" s="474"/>
      <c r="J2847" s="475"/>
      <c r="K2847" s="275"/>
      <c r="L2847" s="82"/>
      <c r="M2847" s="672"/>
      <c r="N2847" s="242"/>
      <c r="O2847" s="242"/>
      <c r="P2847" s="242"/>
      <c r="Q2847" s="242"/>
      <c r="R2847" s="539"/>
      <c r="S2847" s="540"/>
      <c r="T2847" s="543"/>
      <c r="U2847" s="673" t="b">
        <v>0</v>
      </c>
      <c r="Z2847" t="b">
        <v>0</v>
      </c>
      <c r="AA2847" t="b">
        <v>0</v>
      </c>
      <c r="AC2847" s="82"/>
      <c r="AD2847" t="str">
        <f t="shared" si="71"/>
        <v/>
      </c>
      <c r="AE2847" t="str">
        <f t="shared" si="72"/>
        <v/>
      </c>
    </row>
    <row r="2848">
      <c r="D2848" s="226"/>
      <c r="H2848" s="474"/>
      <c r="I2848" s="474"/>
      <c r="J2848" s="475"/>
      <c r="K2848" s="275"/>
      <c r="L2848" s="82"/>
      <c r="M2848" s="672"/>
      <c r="N2848" s="242"/>
      <c r="O2848" s="242"/>
      <c r="P2848" s="242"/>
      <c r="Q2848" s="242"/>
      <c r="R2848" s="539"/>
      <c r="S2848" s="540"/>
      <c r="T2848" s="543"/>
      <c r="U2848" s="673" t="b">
        <v>0</v>
      </c>
      <c r="Z2848" t="b">
        <v>0</v>
      </c>
      <c r="AA2848" t="b">
        <v>0</v>
      </c>
      <c r="AC2848" s="82"/>
      <c r="AD2848" t="str">
        <f t="shared" si="71"/>
        <v/>
      </c>
      <c r="AE2848" t="str">
        <f t="shared" si="72"/>
        <v/>
      </c>
    </row>
    <row r="2849">
      <c r="D2849" s="226"/>
      <c r="H2849" s="474"/>
      <c r="I2849" s="474"/>
      <c r="J2849" s="475"/>
      <c r="K2849" s="275"/>
      <c r="L2849" s="82"/>
      <c r="M2849" s="672"/>
      <c r="N2849" s="242"/>
      <c r="O2849" s="242"/>
      <c r="P2849" s="242"/>
      <c r="Q2849" s="242"/>
      <c r="R2849" s="539"/>
      <c r="S2849" s="540"/>
      <c r="T2849" s="543"/>
      <c r="U2849" s="673" t="b">
        <v>0</v>
      </c>
      <c r="Z2849" t="b">
        <v>0</v>
      </c>
      <c r="AA2849" t="b">
        <v>0</v>
      </c>
      <c r="AC2849" s="82"/>
      <c r="AD2849" t="str">
        <f t="shared" si="71"/>
        <v/>
      </c>
      <c r="AE2849" t="str">
        <f t="shared" si="72"/>
        <v/>
      </c>
    </row>
    <row r="2850">
      <c r="D2850" s="226"/>
      <c r="H2850" s="474"/>
      <c r="I2850" s="474"/>
      <c r="J2850" s="475"/>
      <c r="K2850" s="275"/>
      <c r="L2850" s="82"/>
      <c r="M2850" s="672"/>
      <c r="N2850" s="242"/>
      <c r="O2850" s="242"/>
      <c r="P2850" s="242"/>
      <c r="Q2850" s="242"/>
      <c r="R2850" s="539"/>
      <c r="S2850" s="540"/>
      <c r="T2850" s="543"/>
      <c r="U2850" s="673" t="b">
        <v>0</v>
      </c>
      <c r="Z2850" t="b">
        <v>0</v>
      </c>
      <c r="AA2850" t="b">
        <v>0</v>
      </c>
      <c r="AC2850" s="82"/>
      <c r="AD2850" t="str">
        <f t="shared" si="71"/>
        <v/>
      </c>
      <c r="AE2850" t="str">
        <f t="shared" si="72"/>
        <v/>
      </c>
    </row>
    <row r="2851">
      <c r="D2851" s="226"/>
      <c r="H2851" s="474"/>
      <c r="I2851" s="474"/>
      <c r="J2851" s="475"/>
      <c r="K2851" s="275"/>
      <c r="L2851" s="82"/>
      <c r="M2851" s="672"/>
      <c r="N2851" s="242"/>
      <c r="O2851" s="242"/>
      <c r="P2851" s="242"/>
      <c r="Q2851" s="242"/>
      <c r="R2851" s="539"/>
      <c r="S2851" s="540"/>
      <c r="T2851" s="543"/>
      <c r="U2851" s="673" t="b">
        <v>0</v>
      </c>
      <c r="Z2851" t="b">
        <v>0</v>
      </c>
      <c r="AA2851" t="b">
        <v>0</v>
      </c>
      <c r="AC2851" s="82"/>
      <c r="AD2851" t="str">
        <f t="shared" si="71"/>
        <v/>
      </c>
      <c r="AE2851" t="str">
        <f t="shared" si="72"/>
        <v/>
      </c>
    </row>
    <row r="2852">
      <c r="D2852" s="226"/>
      <c r="H2852" s="474"/>
      <c r="I2852" s="474"/>
      <c r="J2852" s="475"/>
      <c r="K2852" s="275"/>
      <c r="L2852" s="82"/>
      <c r="M2852" s="672"/>
      <c r="N2852" s="242"/>
      <c r="O2852" s="242"/>
      <c r="P2852" s="242"/>
      <c r="Q2852" s="242"/>
      <c r="R2852" s="539"/>
      <c r="S2852" s="540"/>
      <c r="T2852" s="543"/>
      <c r="U2852" s="673" t="b">
        <v>0</v>
      </c>
      <c r="Z2852" t="b">
        <v>0</v>
      </c>
      <c r="AA2852" t="b">
        <v>0</v>
      </c>
      <c r="AC2852" s="82"/>
      <c r="AD2852" t="str">
        <f t="shared" si="71"/>
        <v/>
      </c>
      <c r="AE2852" t="str">
        <f t="shared" si="72"/>
        <v/>
      </c>
    </row>
    <row r="2853">
      <c r="D2853" s="226"/>
      <c r="H2853" s="474"/>
      <c r="I2853" s="474"/>
      <c r="J2853" s="475"/>
      <c r="K2853" s="275"/>
      <c r="L2853" s="82"/>
      <c r="M2853" s="672"/>
      <c r="N2853" s="242"/>
      <c r="O2853" s="242"/>
      <c r="P2853" s="242"/>
      <c r="Q2853" s="242"/>
      <c r="R2853" s="539"/>
      <c r="S2853" s="540"/>
      <c r="T2853" s="543"/>
      <c r="U2853" s="673" t="b">
        <v>0</v>
      </c>
      <c r="Z2853" t="b">
        <v>0</v>
      </c>
      <c r="AA2853" t="b">
        <v>0</v>
      </c>
      <c r="AC2853" s="82"/>
      <c r="AD2853" t="str">
        <f t="shared" si="71"/>
        <v/>
      </c>
      <c r="AE2853" t="str">
        <f t="shared" si="72"/>
        <v/>
      </c>
    </row>
    <row r="2854">
      <c r="D2854" s="226"/>
      <c r="H2854" s="474"/>
      <c r="I2854" s="474"/>
      <c r="J2854" s="475"/>
      <c r="K2854" s="275"/>
      <c r="L2854" s="82"/>
      <c r="M2854" s="672"/>
      <c r="N2854" s="242"/>
      <c r="O2854" s="242"/>
      <c r="P2854" s="242"/>
      <c r="Q2854" s="242"/>
      <c r="R2854" s="539"/>
      <c r="S2854" s="540"/>
      <c r="T2854" s="543"/>
      <c r="U2854" s="673" t="b">
        <v>0</v>
      </c>
      <c r="Z2854" t="b">
        <v>0</v>
      </c>
      <c r="AA2854" t="b">
        <v>0</v>
      </c>
      <c r="AC2854" s="82"/>
      <c r="AD2854" t="str">
        <f t="shared" si="71"/>
        <v/>
      </c>
      <c r="AE2854" t="str">
        <f t="shared" si="72"/>
        <v/>
      </c>
    </row>
    <row r="2855">
      <c r="D2855" s="226"/>
      <c r="H2855" s="474"/>
      <c r="I2855" s="474"/>
      <c r="J2855" s="475"/>
      <c r="K2855" s="275"/>
      <c r="L2855" s="82"/>
      <c r="M2855" s="672"/>
      <c r="N2855" s="242"/>
      <c r="O2855" s="242"/>
      <c r="P2855" s="242"/>
      <c r="Q2855" s="242"/>
      <c r="R2855" s="539"/>
      <c r="S2855" s="540"/>
      <c r="T2855" s="543"/>
      <c r="U2855" s="673" t="b">
        <v>0</v>
      </c>
      <c r="Z2855" t="b">
        <v>0</v>
      </c>
      <c r="AA2855" t="b">
        <v>0</v>
      </c>
      <c r="AC2855" s="82"/>
      <c r="AD2855" t="str">
        <f t="shared" si="71"/>
        <v/>
      </c>
      <c r="AE2855" t="str">
        <f t="shared" si="72"/>
        <v/>
      </c>
    </row>
    <row r="2856">
      <c r="D2856" s="226"/>
      <c r="H2856" s="474"/>
      <c r="I2856" s="474"/>
      <c r="J2856" s="475"/>
      <c r="K2856" s="275"/>
      <c r="L2856" s="82"/>
      <c r="M2856" s="672"/>
      <c r="N2856" s="242"/>
      <c r="O2856" s="242"/>
      <c r="P2856" s="242"/>
      <c r="Q2856" s="242"/>
      <c r="R2856" s="539"/>
      <c r="S2856" s="540"/>
      <c r="T2856" s="543"/>
      <c r="U2856" s="673" t="b">
        <v>0</v>
      </c>
      <c r="Z2856" t="b">
        <v>0</v>
      </c>
      <c r="AA2856" t="b">
        <v>0</v>
      </c>
      <c r="AC2856" s="82"/>
      <c r="AD2856" t="str">
        <f t="shared" si="71"/>
        <v/>
      </c>
      <c r="AE2856" t="str">
        <f t="shared" si="72"/>
        <v/>
      </c>
    </row>
    <row r="2857">
      <c r="D2857" s="226"/>
      <c r="H2857" s="474"/>
      <c r="I2857" s="474"/>
      <c r="J2857" s="475"/>
      <c r="K2857" s="275"/>
      <c r="L2857" s="82"/>
      <c r="M2857" s="672"/>
      <c r="N2857" s="242"/>
      <c r="O2857" s="242"/>
      <c r="P2857" s="242"/>
      <c r="Q2857" s="242"/>
      <c r="R2857" s="539"/>
      <c r="S2857" s="540"/>
      <c r="T2857" s="543"/>
      <c r="U2857" s="673" t="b">
        <v>0</v>
      </c>
      <c r="Z2857" t="b">
        <v>0</v>
      </c>
      <c r="AA2857" t="b">
        <v>0</v>
      </c>
      <c r="AC2857" s="82"/>
      <c r="AD2857" t="str">
        <f t="shared" si="71"/>
        <v/>
      </c>
      <c r="AE2857" t="str">
        <f t="shared" si="72"/>
        <v/>
      </c>
    </row>
    <row r="2858">
      <c r="D2858" s="226"/>
      <c r="H2858" s="474"/>
      <c r="I2858" s="474"/>
      <c r="J2858" s="475"/>
      <c r="K2858" s="275"/>
      <c r="L2858" s="82"/>
      <c r="M2858" s="672"/>
      <c r="N2858" s="242"/>
      <c r="O2858" s="242"/>
      <c r="P2858" s="242"/>
      <c r="Q2858" s="242"/>
      <c r="R2858" s="539"/>
      <c r="S2858" s="540"/>
      <c r="T2858" s="543"/>
      <c r="U2858" s="673" t="b">
        <v>0</v>
      </c>
      <c r="Z2858" t="b">
        <v>0</v>
      </c>
      <c r="AA2858" t="b">
        <v>0</v>
      </c>
      <c r="AC2858" s="82"/>
      <c r="AD2858" t="str">
        <f t="shared" si="71"/>
        <v/>
      </c>
      <c r="AE2858" t="str">
        <f t="shared" si="72"/>
        <v/>
      </c>
    </row>
    <row r="2859">
      <c r="D2859" s="226"/>
      <c r="H2859" s="474"/>
      <c r="I2859" s="474"/>
      <c r="J2859" s="475"/>
      <c r="K2859" s="275"/>
      <c r="L2859" s="82"/>
      <c r="M2859" s="672"/>
      <c r="N2859" s="242"/>
      <c r="O2859" s="242"/>
      <c r="P2859" s="242"/>
      <c r="Q2859" s="242"/>
      <c r="R2859" s="539"/>
      <c r="S2859" s="540"/>
      <c r="T2859" s="543"/>
      <c r="U2859" s="673" t="b">
        <v>0</v>
      </c>
      <c r="Z2859" t="b">
        <v>0</v>
      </c>
      <c r="AA2859" t="b">
        <v>0</v>
      </c>
      <c r="AC2859" s="82"/>
      <c r="AD2859" t="str">
        <f t="shared" si="71"/>
        <v/>
      </c>
      <c r="AE2859" t="str">
        <f t="shared" si="72"/>
        <v/>
      </c>
    </row>
    <row r="2860">
      <c r="D2860" s="226"/>
      <c r="H2860" s="474"/>
      <c r="I2860" s="474"/>
      <c r="J2860" s="475"/>
      <c r="K2860" s="275"/>
      <c r="L2860" s="82"/>
      <c r="M2860" s="672"/>
      <c r="N2860" s="242"/>
      <c r="O2860" s="242"/>
      <c r="P2860" s="242"/>
      <c r="Q2860" s="242"/>
      <c r="R2860" s="539"/>
      <c r="S2860" s="540"/>
      <c r="T2860" s="543"/>
      <c r="U2860" s="673" t="b">
        <v>0</v>
      </c>
      <c r="Z2860" t="b">
        <v>0</v>
      </c>
      <c r="AA2860" t="b">
        <v>0</v>
      </c>
      <c r="AC2860" s="82"/>
      <c r="AD2860" t="str">
        <f t="shared" si="71"/>
        <v/>
      </c>
      <c r="AE2860" t="str">
        <f t="shared" si="72"/>
        <v/>
      </c>
    </row>
    <row r="2861">
      <c r="D2861" s="226"/>
      <c r="H2861" s="474"/>
      <c r="I2861" s="474"/>
      <c r="J2861" s="475"/>
      <c r="K2861" s="275"/>
      <c r="L2861" s="82"/>
      <c r="M2861" s="672"/>
      <c r="N2861" s="242"/>
      <c r="O2861" s="242"/>
      <c r="P2861" s="242"/>
      <c r="Q2861" s="242"/>
      <c r="R2861" s="539"/>
      <c r="S2861" s="540"/>
      <c r="T2861" s="543"/>
      <c r="U2861" s="673" t="b">
        <v>0</v>
      </c>
      <c r="Z2861" t="b">
        <v>0</v>
      </c>
      <c r="AA2861" t="b">
        <v>0</v>
      </c>
      <c r="AC2861" s="82"/>
      <c r="AD2861" t="str">
        <f t="shared" si="71"/>
        <v/>
      </c>
      <c r="AE2861" t="str">
        <f t="shared" si="72"/>
        <v/>
      </c>
    </row>
    <row r="2862">
      <c r="D2862" s="226"/>
      <c r="H2862" s="474"/>
      <c r="I2862" s="474"/>
      <c r="J2862" s="475"/>
      <c r="K2862" s="275"/>
      <c r="L2862" s="82"/>
      <c r="M2862" s="672"/>
      <c r="N2862" s="242"/>
      <c r="O2862" s="242"/>
      <c r="P2862" s="242"/>
      <c r="Q2862" s="242"/>
      <c r="R2862" s="539"/>
      <c r="S2862" s="540"/>
      <c r="T2862" s="543"/>
      <c r="U2862" s="673" t="b">
        <v>0</v>
      </c>
      <c r="Z2862" t="b">
        <v>0</v>
      </c>
      <c r="AA2862" t="b">
        <v>0</v>
      </c>
      <c r="AC2862" s="82"/>
      <c r="AD2862" t="str">
        <f t="shared" si="71"/>
        <v/>
      </c>
      <c r="AE2862" t="str">
        <f t="shared" si="72"/>
        <v/>
      </c>
    </row>
    <row r="2863">
      <c r="D2863" s="226"/>
      <c r="H2863" s="474"/>
      <c r="I2863" s="474"/>
      <c r="J2863" s="475"/>
      <c r="K2863" s="275"/>
      <c r="L2863" s="82"/>
      <c r="M2863" s="672"/>
      <c r="N2863" s="242"/>
      <c r="O2863" s="242"/>
      <c r="P2863" s="242"/>
      <c r="Q2863" s="242"/>
      <c r="R2863" s="539"/>
      <c r="S2863" s="540"/>
      <c r="T2863" s="543"/>
      <c r="U2863" s="673" t="b">
        <v>0</v>
      </c>
      <c r="Z2863" t="b">
        <v>0</v>
      </c>
      <c r="AA2863" t="b">
        <v>0</v>
      </c>
      <c r="AC2863" s="82"/>
      <c r="AD2863" t="str">
        <f t="shared" si="71"/>
        <v/>
      </c>
      <c r="AE2863" t="str">
        <f t="shared" si="72"/>
        <v/>
      </c>
    </row>
    <row r="2864">
      <c r="D2864" s="226"/>
      <c r="H2864" s="474"/>
      <c r="I2864" s="474"/>
      <c r="J2864" s="475"/>
      <c r="K2864" s="275"/>
      <c r="L2864" s="82"/>
      <c r="M2864" s="672"/>
      <c r="N2864" s="242"/>
      <c r="O2864" s="242"/>
      <c r="P2864" s="242"/>
      <c r="Q2864" s="242"/>
      <c r="R2864" s="539"/>
      <c r="S2864" s="540"/>
      <c r="T2864" s="543"/>
      <c r="U2864" s="673" t="b">
        <v>0</v>
      </c>
      <c r="Z2864" t="b">
        <v>0</v>
      </c>
      <c r="AA2864" t="b">
        <v>0</v>
      </c>
      <c r="AC2864" s="82"/>
      <c r="AD2864" t="str">
        <f t="shared" si="71"/>
        <v/>
      </c>
      <c r="AE2864" t="str">
        <f t="shared" si="72"/>
        <v/>
      </c>
    </row>
    <row r="2865">
      <c r="D2865" s="226"/>
      <c r="H2865" s="474"/>
      <c r="I2865" s="474"/>
      <c r="J2865" s="475"/>
      <c r="K2865" s="275"/>
      <c r="L2865" s="82"/>
      <c r="M2865" s="672"/>
      <c r="N2865" s="242"/>
      <c r="O2865" s="242"/>
      <c r="P2865" s="242"/>
      <c r="Q2865" s="242"/>
      <c r="R2865" s="539"/>
      <c r="S2865" s="540"/>
      <c r="T2865" s="543"/>
      <c r="U2865" s="673" t="b">
        <v>0</v>
      </c>
      <c r="Z2865" t="b">
        <v>0</v>
      </c>
      <c r="AA2865" t="b">
        <v>0</v>
      </c>
      <c r="AC2865" s="82"/>
      <c r="AD2865" t="str">
        <f t="shared" si="71"/>
        <v/>
      </c>
      <c r="AE2865" t="str">
        <f t="shared" si="72"/>
        <v/>
      </c>
    </row>
    <row r="2866">
      <c r="D2866" s="226"/>
      <c r="H2866" s="474"/>
      <c r="I2866" s="474"/>
      <c r="J2866" s="475"/>
      <c r="K2866" s="275"/>
      <c r="L2866" s="82"/>
      <c r="M2866" s="672"/>
      <c r="N2866" s="242"/>
      <c r="O2866" s="242"/>
      <c r="P2866" s="242"/>
      <c r="Q2866" s="242"/>
      <c r="R2866" s="539"/>
      <c r="S2866" s="540"/>
      <c r="T2866" s="543"/>
      <c r="U2866" s="673" t="b">
        <v>0</v>
      </c>
      <c r="Z2866" t="b">
        <v>0</v>
      </c>
      <c r="AA2866" t="b">
        <v>0</v>
      </c>
      <c r="AC2866" s="82"/>
      <c r="AD2866" t="str">
        <f t="shared" si="71"/>
        <v/>
      </c>
      <c r="AE2866" t="str">
        <f t="shared" si="72"/>
        <v/>
      </c>
    </row>
    <row r="2867">
      <c r="D2867" s="226"/>
      <c r="H2867" s="474"/>
      <c r="I2867" s="474"/>
      <c r="J2867" s="475"/>
      <c r="K2867" s="275"/>
      <c r="L2867" s="82"/>
      <c r="M2867" s="672"/>
      <c r="N2867" s="242"/>
      <c r="O2867" s="242"/>
      <c r="P2867" s="242"/>
      <c r="Q2867" s="242"/>
      <c r="R2867" s="539"/>
      <c r="S2867" s="540"/>
      <c r="T2867" s="543"/>
      <c r="U2867" s="673" t="b">
        <v>0</v>
      </c>
      <c r="Z2867" t="b">
        <v>0</v>
      </c>
      <c r="AA2867" t="b">
        <v>0</v>
      </c>
      <c r="AC2867" s="82"/>
      <c r="AD2867" t="str">
        <f t="shared" si="71"/>
        <v/>
      </c>
      <c r="AE2867" t="str">
        <f t="shared" si="72"/>
        <v/>
      </c>
    </row>
    <row r="2868">
      <c r="D2868" s="226"/>
      <c r="H2868" s="474"/>
      <c r="I2868" s="474"/>
      <c r="J2868" s="475"/>
      <c r="K2868" s="275"/>
      <c r="L2868" s="82"/>
      <c r="M2868" s="672"/>
      <c r="N2868" s="242"/>
      <c r="O2868" s="242"/>
      <c r="P2868" s="242"/>
      <c r="Q2868" s="242"/>
      <c r="R2868" s="539"/>
      <c r="S2868" s="540"/>
      <c r="T2868" s="543"/>
      <c r="U2868" s="673" t="b">
        <v>0</v>
      </c>
      <c r="Z2868" t="b">
        <v>0</v>
      </c>
      <c r="AA2868" t="b">
        <v>0</v>
      </c>
      <c r="AC2868" s="82"/>
      <c r="AD2868" t="str">
        <f t="shared" si="71"/>
        <v/>
      </c>
      <c r="AE2868" t="str">
        <f t="shared" si="72"/>
        <v/>
      </c>
    </row>
    <row r="2869">
      <c r="D2869" s="226"/>
      <c r="H2869" s="474"/>
      <c r="I2869" s="474"/>
      <c r="J2869" s="475"/>
      <c r="K2869" s="275"/>
      <c r="L2869" s="82"/>
      <c r="M2869" s="672"/>
      <c r="N2869" s="242"/>
      <c r="O2869" s="242"/>
      <c r="P2869" s="242"/>
      <c r="Q2869" s="242"/>
      <c r="R2869" s="539"/>
      <c r="S2869" s="540"/>
      <c r="T2869" s="543"/>
      <c r="U2869" s="673" t="b">
        <v>0</v>
      </c>
      <c r="Z2869" t="b">
        <v>0</v>
      </c>
      <c r="AA2869" t="b">
        <v>0</v>
      </c>
      <c r="AC2869" s="82"/>
      <c r="AD2869" t="str">
        <f t="shared" si="71"/>
        <v/>
      </c>
      <c r="AE2869" t="str">
        <f t="shared" si="72"/>
        <v/>
      </c>
    </row>
    <row r="2870">
      <c r="D2870" s="226"/>
      <c r="H2870" s="474"/>
      <c r="I2870" s="474"/>
      <c r="J2870" s="475"/>
      <c r="K2870" s="275"/>
      <c r="L2870" s="82"/>
      <c r="M2870" s="672"/>
      <c r="N2870" s="242"/>
      <c r="O2870" s="242"/>
      <c r="P2870" s="242"/>
      <c r="Q2870" s="242"/>
      <c r="R2870" s="539"/>
      <c r="S2870" s="540"/>
      <c r="T2870" s="543"/>
      <c r="U2870" s="673" t="b">
        <v>0</v>
      </c>
      <c r="Z2870" t="b">
        <v>0</v>
      </c>
      <c r="AA2870" t="b">
        <v>0</v>
      </c>
      <c r="AC2870" s="82"/>
      <c r="AD2870" t="str">
        <f t="shared" si="71"/>
        <v/>
      </c>
      <c r="AE2870" t="str">
        <f t="shared" si="72"/>
        <v/>
      </c>
    </row>
    <row r="2871">
      <c r="D2871" s="226"/>
      <c r="H2871" s="474"/>
      <c r="I2871" s="474"/>
      <c r="J2871" s="475"/>
      <c r="K2871" s="275"/>
      <c r="L2871" s="82"/>
      <c r="M2871" s="672"/>
      <c r="N2871" s="242"/>
      <c r="O2871" s="242"/>
      <c r="P2871" s="242"/>
      <c r="Q2871" s="242"/>
      <c r="R2871" s="539"/>
      <c r="S2871" s="540"/>
      <c r="T2871" s="543"/>
      <c r="U2871" s="673" t="b">
        <v>0</v>
      </c>
      <c r="Z2871" t="b">
        <v>0</v>
      </c>
      <c r="AA2871" t="b">
        <v>0</v>
      </c>
      <c r="AC2871" s="82"/>
      <c r="AD2871" t="str">
        <f t="shared" si="71"/>
        <v/>
      </c>
      <c r="AE2871" t="str">
        <f t="shared" si="72"/>
        <v/>
      </c>
    </row>
    <row r="2872">
      <c r="D2872" s="226"/>
      <c r="H2872" s="474"/>
      <c r="I2872" s="474"/>
      <c r="J2872" s="475"/>
      <c r="K2872" s="275"/>
      <c r="L2872" s="82"/>
      <c r="M2872" s="672"/>
      <c r="N2872" s="242"/>
      <c r="O2872" s="242"/>
      <c r="P2872" s="242"/>
      <c r="Q2872" s="242"/>
      <c r="R2872" s="539"/>
      <c r="S2872" s="540"/>
      <c r="T2872" s="543"/>
      <c r="U2872" s="673" t="b">
        <v>0</v>
      </c>
      <c r="Z2872" t="b">
        <v>0</v>
      </c>
      <c r="AA2872" t="b">
        <v>0</v>
      </c>
      <c r="AC2872" s="82"/>
      <c r="AD2872" t="str">
        <f t="shared" si="71"/>
        <v/>
      </c>
      <c r="AE2872" t="str">
        <f t="shared" si="72"/>
        <v/>
      </c>
    </row>
    <row r="2873">
      <c r="D2873" s="226"/>
      <c r="H2873" s="474"/>
      <c r="I2873" s="474"/>
      <c r="J2873" s="475"/>
      <c r="K2873" s="275"/>
      <c r="L2873" s="82"/>
      <c r="M2873" s="672"/>
      <c r="N2873" s="242"/>
      <c r="O2873" s="242"/>
      <c r="P2873" s="242"/>
      <c r="Q2873" s="242"/>
      <c r="R2873" s="539"/>
      <c r="S2873" s="540"/>
      <c r="T2873" s="543"/>
      <c r="U2873" s="673" t="b">
        <v>0</v>
      </c>
      <c r="Z2873" t="b">
        <v>0</v>
      </c>
      <c r="AA2873" t="b">
        <v>0</v>
      </c>
      <c r="AC2873" s="82"/>
      <c r="AD2873" t="str">
        <f t="shared" si="71"/>
        <v/>
      </c>
      <c r="AE2873" t="str">
        <f t="shared" si="72"/>
        <v/>
      </c>
    </row>
    <row r="2874">
      <c r="D2874" s="226"/>
      <c r="H2874" s="474"/>
      <c r="I2874" s="474"/>
      <c r="J2874" s="475"/>
      <c r="K2874" s="275"/>
      <c r="L2874" s="82"/>
      <c r="M2874" s="672"/>
      <c r="N2874" s="242"/>
      <c r="O2874" s="242"/>
      <c r="P2874" s="242"/>
      <c r="Q2874" s="242"/>
      <c r="R2874" s="539"/>
      <c r="S2874" s="540"/>
      <c r="T2874" s="543"/>
      <c r="U2874" s="673" t="b">
        <v>0</v>
      </c>
      <c r="Z2874" t="b">
        <v>0</v>
      </c>
      <c r="AA2874" t="b">
        <v>0</v>
      </c>
      <c r="AC2874" s="82"/>
      <c r="AD2874" t="str">
        <f t="shared" si="71"/>
        <v/>
      </c>
      <c r="AE2874" t="str">
        <f t="shared" si="72"/>
        <v/>
      </c>
    </row>
    <row r="2875">
      <c r="D2875" s="226"/>
      <c r="H2875" s="474"/>
      <c r="I2875" s="474"/>
      <c r="J2875" s="475"/>
      <c r="K2875" s="275"/>
      <c r="L2875" s="82"/>
      <c r="M2875" s="672"/>
      <c r="N2875" s="242"/>
      <c r="O2875" s="242"/>
      <c r="P2875" s="242"/>
      <c r="Q2875" s="242"/>
      <c r="R2875" s="539"/>
      <c r="S2875" s="540"/>
      <c r="T2875" s="543"/>
      <c r="U2875" s="673" t="b">
        <v>0</v>
      </c>
      <c r="Z2875" t="b">
        <v>0</v>
      </c>
      <c r="AA2875" t="b">
        <v>0</v>
      </c>
      <c r="AC2875" s="82"/>
      <c r="AD2875" t="str">
        <f t="shared" si="71"/>
        <v/>
      </c>
      <c r="AE2875" t="str">
        <f t="shared" si="72"/>
        <v/>
      </c>
    </row>
    <row r="2876">
      <c r="D2876" s="226"/>
      <c r="H2876" s="474"/>
      <c r="I2876" s="474"/>
      <c r="J2876" s="475"/>
      <c r="K2876" s="275"/>
      <c r="L2876" s="82"/>
      <c r="M2876" s="672"/>
      <c r="N2876" s="242"/>
      <c r="O2876" s="242"/>
      <c r="P2876" s="242"/>
      <c r="Q2876" s="242"/>
      <c r="R2876" s="539"/>
      <c r="S2876" s="540"/>
      <c r="T2876" s="543"/>
      <c r="U2876" s="673" t="b">
        <v>0</v>
      </c>
      <c r="Z2876" t="b">
        <v>0</v>
      </c>
      <c r="AA2876" t="b">
        <v>0</v>
      </c>
      <c r="AC2876" s="82"/>
      <c r="AD2876" t="str">
        <f t="shared" si="71"/>
        <v/>
      </c>
      <c r="AE2876" t="str">
        <f t="shared" si="72"/>
        <v/>
      </c>
    </row>
    <row r="2877">
      <c r="D2877" s="226"/>
      <c r="H2877" s="474"/>
      <c r="I2877" s="474"/>
      <c r="J2877" s="475"/>
      <c r="K2877" s="275"/>
      <c r="L2877" s="82"/>
      <c r="M2877" s="672"/>
      <c r="N2877" s="242"/>
      <c r="O2877" s="242"/>
      <c r="P2877" s="242"/>
      <c r="Q2877" s="242"/>
      <c r="R2877" s="539"/>
      <c r="S2877" s="540"/>
      <c r="T2877" s="543"/>
      <c r="U2877" s="673" t="b">
        <v>0</v>
      </c>
      <c r="Z2877" t="b">
        <v>0</v>
      </c>
      <c r="AA2877" t="b">
        <v>0</v>
      </c>
      <c r="AC2877" s="82"/>
      <c r="AD2877" t="str">
        <f t="shared" si="71"/>
        <v/>
      </c>
      <c r="AE2877" t="str">
        <f t="shared" si="72"/>
        <v/>
      </c>
    </row>
    <row r="2878">
      <c r="D2878" s="226"/>
      <c r="H2878" s="474"/>
      <c r="I2878" s="474"/>
      <c r="J2878" s="475"/>
      <c r="K2878" s="275"/>
      <c r="L2878" s="82"/>
      <c r="M2878" s="672"/>
      <c r="N2878" s="242"/>
      <c r="O2878" s="242"/>
      <c r="P2878" s="242"/>
      <c r="Q2878" s="242"/>
      <c r="R2878" s="539"/>
      <c r="S2878" s="540"/>
      <c r="T2878" s="543"/>
      <c r="U2878" s="673" t="b">
        <v>0</v>
      </c>
      <c r="Z2878" t="b">
        <v>0</v>
      </c>
      <c r="AA2878" t="b">
        <v>0</v>
      </c>
      <c r="AC2878" s="82"/>
      <c r="AD2878" t="str">
        <f t="shared" si="71"/>
        <v/>
      </c>
      <c r="AE2878" t="str">
        <f t="shared" si="72"/>
        <v/>
      </c>
    </row>
    <row r="2879">
      <c r="D2879" s="226"/>
      <c r="H2879" s="474"/>
      <c r="I2879" s="474"/>
      <c r="J2879" s="475"/>
      <c r="K2879" s="275"/>
      <c r="L2879" s="82"/>
      <c r="M2879" s="672"/>
      <c r="N2879" s="242"/>
      <c r="O2879" s="242"/>
      <c r="P2879" s="242"/>
      <c r="Q2879" s="242"/>
      <c r="R2879" s="539"/>
      <c r="S2879" s="540"/>
      <c r="T2879" s="543"/>
      <c r="U2879" s="673" t="b">
        <v>0</v>
      </c>
      <c r="Z2879" t="b">
        <v>0</v>
      </c>
      <c r="AA2879" t="b">
        <v>0</v>
      </c>
      <c r="AC2879" s="82"/>
      <c r="AD2879" t="str">
        <f t="shared" si="71"/>
        <v/>
      </c>
      <c r="AE2879" t="str">
        <f t="shared" si="72"/>
        <v/>
      </c>
    </row>
    <row r="2880">
      <c r="D2880" s="226"/>
      <c r="H2880" s="474"/>
      <c r="I2880" s="474"/>
      <c r="J2880" s="475"/>
      <c r="K2880" s="275"/>
      <c r="L2880" s="82"/>
      <c r="M2880" s="672"/>
      <c r="N2880" s="242"/>
      <c r="O2880" s="242"/>
      <c r="P2880" s="242"/>
      <c r="Q2880" s="242"/>
      <c r="R2880" s="539"/>
      <c r="S2880" s="540"/>
      <c r="T2880" s="543"/>
      <c r="U2880" s="673" t="b">
        <v>0</v>
      </c>
      <c r="Z2880" t="b">
        <v>0</v>
      </c>
      <c r="AA2880" t="b">
        <v>0</v>
      </c>
      <c r="AC2880" s="82"/>
      <c r="AD2880" t="str">
        <f t="shared" si="71"/>
        <v/>
      </c>
      <c r="AE2880" t="str">
        <f t="shared" si="72"/>
        <v/>
      </c>
    </row>
    <row r="2881">
      <c r="D2881" s="226"/>
      <c r="H2881" s="474"/>
      <c r="I2881" s="474"/>
      <c r="J2881" s="475"/>
      <c r="K2881" s="275"/>
      <c r="L2881" s="82"/>
      <c r="M2881" s="672"/>
      <c r="N2881" s="242"/>
      <c r="O2881" s="242"/>
      <c r="P2881" s="242"/>
      <c r="Q2881" s="242"/>
      <c r="R2881" s="539"/>
      <c r="S2881" s="540"/>
      <c r="T2881" s="543"/>
      <c r="U2881" s="673" t="b">
        <v>0</v>
      </c>
      <c r="Z2881" t="b">
        <v>0</v>
      </c>
      <c r="AA2881" t="b">
        <v>0</v>
      </c>
      <c r="AC2881" s="82"/>
      <c r="AD2881" t="str">
        <f t="shared" si="71"/>
        <v/>
      </c>
      <c r="AE2881" t="str">
        <f t="shared" si="72"/>
        <v/>
      </c>
    </row>
    <row r="2882">
      <c r="D2882" s="226"/>
      <c r="H2882" s="474"/>
      <c r="I2882" s="474"/>
      <c r="J2882" s="475"/>
      <c r="K2882" s="275"/>
      <c r="L2882" s="82"/>
      <c r="M2882" s="672"/>
      <c r="N2882" s="242"/>
      <c r="O2882" s="242"/>
      <c r="P2882" s="242"/>
      <c r="Q2882" s="242"/>
      <c r="R2882" s="539"/>
      <c r="S2882" s="540"/>
      <c r="T2882" s="543"/>
      <c r="U2882" s="673" t="b">
        <v>0</v>
      </c>
      <c r="Z2882" t="b">
        <v>0</v>
      </c>
      <c r="AA2882" t="b">
        <v>0</v>
      </c>
      <c r="AC2882" s="82"/>
      <c r="AD2882" t="str">
        <f t="shared" si="71"/>
        <v/>
      </c>
      <c r="AE2882" t="str">
        <f t="shared" si="72"/>
        <v/>
      </c>
    </row>
    <row r="2883">
      <c r="D2883" s="226"/>
      <c r="H2883" s="474"/>
      <c r="I2883" s="474"/>
      <c r="J2883" s="475"/>
      <c r="K2883" s="275"/>
      <c r="L2883" s="82"/>
      <c r="M2883" s="672"/>
      <c r="N2883" s="242"/>
      <c r="O2883" s="242"/>
      <c r="P2883" s="242"/>
      <c r="Q2883" s="242"/>
      <c r="R2883" s="539"/>
      <c r="S2883" s="540"/>
      <c r="T2883" s="543"/>
      <c r="U2883" s="673" t="b">
        <v>0</v>
      </c>
      <c r="Z2883" t="b">
        <v>0</v>
      </c>
      <c r="AA2883" t="b">
        <v>0</v>
      </c>
      <c r="AC2883" s="82"/>
      <c r="AD2883" t="str">
        <f t="shared" si="71"/>
        <v/>
      </c>
      <c r="AE2883" t="str">
        <f t="shared" si="72"/>
        <v/>
      </c>
    </row>
    <row r="2884">
      <c r="D2884" s="226"/>
      <c r="H2884" s="474"/>
      <c r="I2884" s="474"/>
      <c r="J2884" s="475"/>
      <c r="K2884" s="275"/>
      <c r="L2884" s="82"/>
      <c r="M2884" s="672"/>
      <c r="N2884" s="242"/>
      <c r="O2884" s="242"/>
      <c r="P2884" s="242"/>
      <c r="Q2884" s="242"/>
      <c r="R2884" s="539"/>
      <c r="S2884" s="540"/>
      <c r="T2884" s="543"/>
      <c r="U2884" s="673" t="b">
        <v>0</v>
      </c>
      <c r="Z2884" t="b">
        <v>0</v>
      </c>
      <c r="AA2884" t="b">
        <v>0</v>
      </c>
      <c r="AC2884" s="82"/>
      <c r="AD2884" t="str">
        <f t="shared" si="71"/>
        <v/>
      </c>
      <c r="AE2884" t="str">
        <f t="shared" si="72"/>
        <v/>
      </c>
    </row>
    <row r="2885">
      <c r="D2885" s="226"/>
      <c r="H2885" s="474"/>
      <c r="I2885" s="474"/>
      <c r="J2885" s="475"/>
      <c r="K2885" s="275"/>
      <c r="L2885" s="82"/>
      <c r="M2885" s="672"/>
      <c r="N2885" s="242"/>
      <c r="O2885" s="242"/>
      <c r="P2885" s="242"/>
      <c r="Q2885" s="242"/>
      <c r="R2885" s="539"/>
      <c r="S2885" s="540"/>
      <c r="T2885" s="543"/>
      <c r="U2885" s="673" t="b">
        <v>0</v>
      </c>
      <c r="Z2885" t="b">
        <v>0</v>
      </c>
      <c r="AA2885" t="b">
        <v>0</v>
      </c>
      <c r="AC2885" s="82"/>
      <c r="AD2885" t="str">
        <f t="shared" si="71"/>
        <v/>
      </c>
      <c r="AE2885" t="str">
        <f t="shared" si="72"/>
        <v/>
      </c>
    </row>
    <row r="2886">
      <c r="D2886" s="226"/>
      <c r="H2886" s="474"/>
      <c r="I2886" s="474"/>
      <c r="J2886" s="475"/>
      <c r="K2886" s="275"/>
      <c r="L2886" s="82"/>
      <c r="M2886" s="672"/>
      <c r="N2886" s="242"/>
      <c r="O2886" s="242"/>
      <c r="P2886" s="242"/>
      <c r="Q2886" s="242"/>
      <c r="R2886" s="539"/>
      <c r="S2886" s="540"/>
      <c r="T2886" s="543"/>
      <c r="U2886" s="673" t="b">
        <v>0</v>
      </c>
      <c r="Z2886" t="b">
        <v>0</v>
      </c>
      <c r="AA2886" t="b">
        <v>0</v>
      </c>
      <c r="AC2886" s="82"/>
      <c r="AD2886" t="str">
        <f t="shared" si="71"/>
        <v/>
      </c>
      <c r="AE2886" t="str">
        <f t="shared" si="72"/>
        <v/>
      </c>
    </row>
    <row r="2887">
      <c r="D2887" s="226"/>
      <c r="H2887" s="474"/>
      <c r="I2887" s="474"/>
      <c r="J2887" s="475"/>
      <c r="K2887" s="275"/>
      <c r="L2887" s="82"/>
      <c r="M2887" s="672"/>
      <c r="N2887" s="242"/>
      <c r="O2887" s="242"/>
      <c r="P2887" s="242"/>
      <c r="Q2887" s="242"/>
      <c r="R2887" s="539"/>
      <c r="S2887" s="540"/>
      <c r="T2887" s="543"/>
      <c r="U2887" s="673" t="b">
        <v>0</v>
      </c>
      <c r="Z2887" t="b">
        <v>0</v>
      </c>
      <c r="AA2887" t="b">
        <v>0</v>
      </c>
      <c r="AC2887" s="82"/>
      <c r="AD2887" t="str">
        <f t="shared" si="71"/>
        <v/>
      </c>
      <c r="AE2887" t="str">
        <f t="shared" si="72"/>
        <v/>
      </c>
    </row>
    <row r="2888">
      <c r="D2888" s="226"/>
      <c r="H2888" s="474"/>
      <c r="I2888" s="474"/>
      <c r="J2888" s="475"/>
      <c r="K2888" s="275"/>
      <c r="L2888" s="82"/>
      <c r="M2888" s="672"/>
      <c r="N2888" s="242"/>
      <c r="O2888" s="242"/>
      <c r="P2888" s="242"/>
      <c r="Q2888" s="242"/>
      <c r="R2888" s="539"/>
      <c r="S2888" s="540"/>
      <c r="T2888" s="543"/>
      <c r="U2888" s="673" t="b">
        <v>0</v>
      </c>
      <c r="Z2888" t="b">
        <v>0</v>
      </c>
      <c r="AA2888" t="b">
        <v>0</v>
      </c>
      <c r="AC2888" s="82"/>
      <c r="AD2888" t="str">
        <f t="shared" si="71"/>
        <v/>
      </c>
      <c r="AE2888" t="str">
        <f t="shared" si="72"/>
        <v/>
      </c>
    </row>
    <row r="2889">
      <c r="D2889" s="226"/>
      <c r="H2889" s="474"/>
      <c r="I2889" s="474"/>
      <c r="J2889" s="475"/>
      <c r="K2889" s="275"/>
      <c r="L2889" s="82"/>
      <c r="M2889" s="672"/>
      <c r="N2889" s="242"/>
      <c r="O2889" s="242"/>
      <c r="P2889" s="242"/>
      <c r="Q2889" s="242"/>
      <c r="R2889" s="539"/>
      <c r="S2889" s="540"/>
      <c r="T2889" s="543"/>
      <c r="U2889" s="673" t="b">
        <v>0</v>
      </c>
      <c r="Z2889" t="b">
        <v>0</v>
      </c>
      <c r="AA2889" t="b">
        <v>0</v>
      </c>
      <c r="AC2889" s="82"/>
      <c r="AD2889" t="str">
        <f t="shared" si="71"/>
        <v/>
      </c>
      <c r="AE2889" t="str">
        <f t="shared" si="72"/>
        <v/>
      </c>
    </row>
    <row r="2890">
      <c r="D2890" s="226"/>
      <c r="H2890" s="474"/>
      <c r="I2890" s="474"/>
      <c r="J2890" s="475"/>
      <c r="K2890" s="275"/>
      <c r="L2890" s="82"/>
      <c r="M2890" s="672"/>
      <c r="N2890" s="242"/>
      <c r="O2890" s="242"/>
      <c r="P2890" s="242"/>
      <c r="Q2890" s="242"/>
      <c r="R2890" s="539"/>
      <c r="S2890" s="540"/>
      <c r="T2890" s="543"/>
      <c r="U2890" s="673" t="b">
        <v>0</v>
      </c>
      <c r="Z2890" t="b">
        <v>0</v>
      </c>
      <c r="AA2890" t="b">
        <v>0</v>
      </c>
      <c r="AC2890" s="82"/>
      <c r="AD2890" t="str">
        <f t="shared" si="71"/>
        <v/>
      </c>
      <c r="AE2890" t="str">
        <f t="shared" si="72"/>
        <v/>
      </c>
    </row>
    <row r="2891">
      <c r="D2891" s="226"/>
      <c r="H2891" s="474"/>
      <c r="I2891" s="474"/>
      <c r="J2891" s="475"/>
      <c r="K2891" s="275"/>
      <c r="L2891" s="82"/>
      <c r="M2891" s="672"/>
      <c r="N2891" s="242"/>
      <c r="O2891" s="242"/>
      <c r="P2891" s="242"/>
      <c r="Q2891" s="242"/>
      <c r="R2891" s="539"/>
      <c r="S2891" s="540"/>
      <c r="T2891" s="543"/>
      <c r="U2891" s="673" t="b">
        <v>0</v>
      </c>
      <c r="Z2891" t="b">
        <v>0</v>
      </c>
      <c r="AA2891" t="b">
        <v>0</v>
      </c>
      <c r="AC2891" s="82"/>
      <c r="AD2891" t="str">
        <f t="shared" si="71"/>
        <v/>
      </c>
      <c r="AE2891" t="str">
        <f t="shared" si="72"/>
        <v/>
      </c>
    </row>
    <row r="2892">
      <c r="D2892" s="226"/>
      <c r="H2892" s="474"/>
      <c r="I2892" s="474"/>
      <c r="J2892" s="475"/>
      <c r="K2892" s="275"/>
      <c r="L2892" s="82"/>
      <c r="M2892" s="672"/>
      <c r="N2892" s="242"/>
      <c r="O2892" s="242"/>
      <c r="P2892" s="242"/>
      <c r="Q2892" s="242"/>
      <c r="R2892" s="539"/>
      <c r="S2892" s="540"/>
      <c r="T2892" s="543"/>
      <c r="U2892" s="673" t="b">
        <v>0</v>
      </c>
      <c r="Z2892" t="b">
        <v>0</v>
      </c>
      <c r="AA2892" t="b">
        <v>0</v>
      </c>
      <c r="AC2892" s="82"/>
      <c r="AD2892" t="str">
        <f t="shared" si="71"/>
        <v/>
      </c>
      <c r="AE2892" t="str">
        <f t="shared" si="72"/>
        <v/>
      </c>
    </row>
    <row r="2893">
      <c r="D2893" s="226"/>
      <c r="H2893" s="474"/>
      <c r="I2893" s="474"/>
      <c r="J2893" s="475"/>
      <c r="K2893" s="275"/>
      <c r="L2893" s="82"/>
      <c r="M2893" s="672"/>
      <c r="N2893" s="242"/>
      <c r="O2893" s="242"/>
      <c r="P2893" s="242"/>
      <c r="Q2893" s="242"/>
      <c r="R2893" s="539"/>
      <c r="S2893" s="540"/>
      <c r="T2893" s="543"/>
      <c r="U2893" s="673" t="b">
        <v>0</v>
      </c>
      <c r="Z2893" t="b">
        <v>0</v>
      </c>
      <c r="AA2893" t="b">
        <v>0</v>
      </c>
      <c r="AC2893" s="82"/>
      <c r="AD2893" t="str">
        <f t="shared" si="71"/>
        <v/>
      </c>
      <c r="AE2893" t="str">
        <f t="shared" si="72"/>
        <v/>
      </c>
    </row>
    <row r="2894">
      <c r="D2894" s="226"/>
      <c r="H2894" s="474"/>
      <c r="I2894" s="474"/>
      <c r="J2894" s="475"/>
      <c r="K2894" s="275"/>
      <c r="L2894" s="82"/>
      <c r="M2894" s="672"/>
      <c r="N2894" s="242"/>
      <c r="O2894" s="242"/>
      <c r="P2894" s="242"/>
      <c r="Q2894" s="242"/>
      <c r="R2894" s="539"/>
      <c r="S2894" s="540"/>
      <c r="T2894" s="543"/>
      <c r="U2894" s="673" t="b">
        <v>0</v>
      </c>
      <c r="Z2894" t="b">
        <v>0</v>
      </c>
      <c r="AA2894" t="b">
        <v>0</v>
      </c>
      <c r="AC2894" s="82"/>
      <c r="AD2894" t="str">
        <f t="shared" si="71"/>
        <v/>
      </c>
      <c r="AE2894" t="str">
        <f t="shared" si="72"/>
        <v/>
      </c>
    </row>
    <row r="2895">
      <c r="D2895" s="226"/>
      <c r="H2895" s="474"/>
      <c r="I2895" s="474"/>
      <c r="J2895" s="475"/>
      <c r="K2895" s="275"/>
      <c r="L2895" s="82"/>
      <c r="M2895" s="672"/>
      <c r="N2895" s="242"/>
      <c r="O2895" s="242"/>
      <c r="P2895" s="242"/>
      <c r="Q2895" s="242"/>
      <c r="R2895" s="539"/>
      <c r="S2895" s="540"/>
      <c r="T2895" s="543"/>
      <c r="U2895" s="673" t="b">
        <v>0</v>
      </c>
      <c r="Z2895" t="b">
        <v>0</v>
      </c>
      <c r="AA2895" t="b">
        <v>0</v>
      </c>
      <c r="AC2895" s="82"/>
      <c r="AD2895" t="str">
        <f t="shared" si="71"/>
        <v/>
      </c>
      <c r="AE2895" t="str">
        <f t="shared" si="72"/>
        <v/>
      </c>
    </row>
    <row r="2896">
      <c r="D2896" s="226"/>
      <c r="H2896" s="474"/>
      <c r="I2896" s="474"/>
      <c r="J2896" s="475"/>
      <c r="K2896" s="275"/>
      <c r="L2896" s="82"/>
      <c r="M2896" s="672"/>
      <c r="N2896" s="242"/>
      <c r="O2896" s="242"/>
      <c r="P2896" s="242"/>
      <c r="Q2896" s="242"/>
      <c r="R2896" s="539"/>
      <c r="S2896" s="540"/>
      <c r="T2896" s="543"/>
      <c r="U2896" s="673" t="b">
        <v>0</v>
      </c>
      <c r="Z2896" t="b">
        <v>0</v>
      </c>
      <c r="AA2896" t="b">
        <v>0</v>
      </c>
      <c r="AC2896" s="82"/>
      <c r="AD2896" t="str">
        <f t="shared" si="71"/>
        <v/>
      </c>
      <c r="AE2896" t="str">
        <f t="shared" si="72"/>
        <v/>
      </c>
    </row>
    <row r="2897">
      <c r="D2897" s="226"/>
      <c r="H2897" s="474"/>
      <c r="I2897" s="474"/>
      <c r="J2897" s="475"/>
      <c r="K2897" s="275"/>
      <c r="L2897" s="82"/>
      <c r="M2897" s="672"/>
      <c r="N2897" s="242"/>
      <c r="O2897" s="242"/>
      <c r="P2897" s="242"/>
      <c r="Q2897" s="242"/>
      <c r="R2897" s="539"/>
      <c r="S2897" s="540"/>
      <c r="T2897" s="543"/>
      <c r="U2897" s="673" t="b">
        <v>0</v>
      </c>
      <c r="Z2897" t="b">
        <v>0</v>
      </c>
      <c r="AA2897" t="b">
        <v>0</v>
      </c>
      <c r="AC2897" s="82"/>
      <c r="AD2897" t="str">
        <f t="shared" si="71"/>
        <v/>
      </c>
      <c r="AE2897" t="str">
        <f t="shared" si="72"/>
        <v/>
      </c>
    </row>
    <row r="2898">
      <c r="D2898" s="226"/>
      <c r="H2898" s="474"/>
      <c r="I2898" s="474"/>
      <c r="J2898" s="475"/>
      <c r="K2898" s="275"/>
      <c r="L2898" s="82"/>
      <c r="M2898" s="672"/>
      <c r="N2898" s="242"/>
      <c r="O2898" s="242"/>
      <c r="P2898" s="242"/>
      <c r="Q2898" s="242"/>
      <c r="R2898" s="539"/>
      <c r="S2898" s="540"/>
      <c r="T2898" s="543"/>
      <c r="U2898" s="673" t="b">
        <v>0</v>
      </c>
      <c r="Z2898" t="b">
        <v>0</v>
      </c>
      <c r="AA2898" t="b">
        <v>0</v>
      </c>
      <c r="AC2898" s="82"/>
      <c r="AD2898" t="str">
        <f t="shared" si="71"/>
        <v/>
      </c>
      <c r="AE2898" t="str">
        <f t="shared" si="72"/>
        <v/>
      </c>
    </row>
    <row r="2899">
      <c r="D2899" s="226"/>
      <c r="H2899" s="474"/>
      <c r="I2899" s="474"/>
      <c r="J2899" s="475"/>
      <c r="K2899" s="275"/>
      <c r="L2899" s="82"/>
      <c r="M2899" s="672"/>
      <c r="N2899" s="242"/>
      <c r="O2899" s="242"/>
      <c r="P2899" s="242"/>
      <c r="Q2899" s="242"/>
      <c r="R2899" s="539"/>
      <c r="S2899" s="540"/>
      <c r="T2899" s="543"/>
      <c r="U2899" s="673" t="b">
        <v>0</v>
      </c>
      <c r="Z2899" t="b">
        <v>0</v>
      </c>
      <c r="AA2899" t="b">
        <v>0</v>
      </c>
      <c r="AC2899" s="82"/>
      <c r="AD2899" t="str">
        <f t="shared" si="71"/>
        <v/>
      </c>
      <c r="AE2899" t="str">
        <f t="shared" si="72"/>
        <v/>
      </c>
    </row>
    <row r="2900">
      <c r="D2900" s="226"/>
      <c r="H2900" s="474"/>
      <c r="I2900" s="474"/>
      <c r="J2900" s="475"/>
      <c r="K2900" s="275"/>
      <c r="L2900" s="82"/>
      <c r="M2900" s="672"/>
      <c r="N2900" s="242"/>
      <c r="O2900" s="242"/>
      <c r="P2900" s="242"/>
      <c r="Q2900" s="242"/>
      <c r="R2900" s="539"/>
      <c r="S2900" s="540"/>
      <c r="T2900" s="543"/>
      <c r="U2900" s="673" t="b">
        <v>0</v>
      </c>
      <c r="Z2900" t="b">
        <v>0</v>
      </c>
      <c r="AA2900" t="b">
        <v>0</v>
      </c>
      <c r="AC2900" s="82"/>
      <c r="AD2900" t="str">
        <f t="shared" si="71"/>
        <v/>
      </c>
      <c r="AE2900" t="str">
        <f t="shared" si="72"/>
        <v/>
      </c>
    </row>
    <row r="2901">
      <c r="D2901" s="226"/>
      <c r="H2901" s="474"/>
      <c r="I2901" s="474"/>
      <c r="J2901" s="475"/>
      <c r="K2901" s="275"/>
      <c r="L2901" s="82"/>
      <c r="M2901" s="672"/>
      <c r="N2901" s="242"/>
      <c r="O2901" s="242"/>
      <c r="P2901" s="242"/>
      <c r="Q2901" s="242"/>
      <c r="R2901" s="539"/>
      <c r="S2901" s="540"/>
      <c r="T2901" s="543"/>
      <c r="U2901" s="673" t="b">
        <v>0</v>
      </c>
      <c r="Z2901" t="b">
        <v>0</v>
      </c>
      <c r="AA2901" t="b">
        <v>0</v>
      </c>
      <c r="AC2901" s="82"/>
      <c r="AD2901" t="str">
        <f t="shared" si="71"/>
        <v/>
      </c>
      <c r="AE2901" t="str">
        <f t="shared" si="72"/>
        <v/>
      </c>
    </row>
    <row r="2902">
      <c r="D2902" s="226"/>
      <c r="H2902" s="474"/>
      <c r="I2902" s="474"/>
      <c r="J2902" s="475"/>
      <c r="K2902" s="275"/>
      <c r="L2902" s="82"/>
      <c r="M2902" s="672"/>
      <c r="N2902" s="242"/>
      <c r="O2902" s="242"/>
      <c r="P2902" s="242"/>
      <c r="Q2902" s="242"/>
      <c r="R2902" s="539"/>
      <c r="S2902" s="540"/>
      <c r="T2902" s="543"/>
      <c r="U2902" s="673" t="b">
        <v>0</v>
      </c>
      <c r="Z2902" t="b">
        <v>0</v>
      </c>
      <c r="AA2902" t="b">
        <v>0</v>
      </c>
      <c r="AC2902" s="82"/>
      <c r="AD2902" t="str">
        <f t="shared" si="71"/>
        <v/>
      </c>
      <c r="AE2902" t="str">
        <f t="shared" si="72"/>
        <v/>
      </c>
    </row>
    <row r="2903">
      <c r="D2903" s="226"/>
      <c r="H2903" s="474"/>
      <c r="I2903" s="474"/>
      <c r="J2903" s="475"/>
      <c r="K2903" s="275"/>
      <c r="L2903" s="82"/>
      <c r="M2903" s="672"/>
      <c r="N2903" s="242"/>
      <c r="O2903" s="242"/>
      <c r="P2903" s="242"/>
      <c r="Q2903" s="242"/>
      <c r="R2903" s="539"/>
      <c r="S2903" s="540"/>
      <c r="T2903" s="543"/>
      <c r="U2903" s="673" t="b">
        <v>0</v>
      </c>
      <c r="Z2903" t="b">
        <v>0</v>
      </c>
      <c r="AA2903" t="b">
        <v>0</v>
      </c>
      <c r="AC2903" s="82"/>
      <c r="AD2903" t="str">
        <f t="shared" si="71"/>
        <v/>
      </c>
      <c r="AE2903" t="str">
        <f t="shared" si="72"/>
        <v/>
      </c>
    </row>
    <row r="2904">
      <c r="D2904" s="226"/>
      <c r="H2904" s="474"/>
      <c r="I2904" s="474"/>
      <c r="J2904" s="475"/>
      <c r="K2904" s="275"/>
      <c r="L2904" s="82"/>
      <c r="M2904" s="672"/>
      <c r="N2904" s="242"/>
      <c r="O2904" s="242"/>
      <c r="P2904" s="242"/>
      <c r="Q2904" s="242"/>
      <c r="R2904" s="539"/>
      <c r="S2904" s="540"/>
      <c r="T2904" s="543"/>
      <c r="U2904" s="673" t="b">
        <v>0</v>
      </c>
      <c r="Z2904" t="b">
        <v>0</v>
      </c>
      <c r="AA2904" t="b">
        <v>0</v>
      </c>
      <c r="AC2904" s="82"/>
      <c r="AD2904" t="str">
        <f t="shared" si="71"/>
        <v/>
      </c>
      <c r="AE2904" t="str">
        <f t="shared" si="72"/>
        <v/>
      </c>
    </row>
    <row r="2905">
      <c r="D2905" s="226"/>
      <c r="H2905" s="474"/>
      <c r="I2905" s="474"/>
      <c r="J2905" s="475"/>
      <c r="K2905" s="275"/>
      <c r="L2905" s="82"/>
      <c r="M2905" s="672"/>
      <c r="N2905" s="242"/>
      <c r="O2905" s="242"/>
      <c r="P2905" s="242"/>
      <c r="Q2905" s="242"/>
      <c r="R2905" s="539"/>
      <c r="S2905" s="540"/>
      <c r="T2905" s="543"/>
      <c r="U2905" s="673" t="b">
        <v>0</v>
      </c>
      <c r="Z2905" t="b">
        <v>0</v>
      </c>
      <c r="AA2905" t="b">
        <v>0</v>
      </c>
      <c r="AC2905" s="82"/>
      <c r="AD2905" t="str">
        <f t="shared" si="71"/>
        <v/>
      </c>
      <c r="AE2905" t="str">
        <f t="shared" si="72"/>
        <v/>
      </c>
    </row>
    <row r="2906">
      <c r="D2906" s="226"/>
      <c r="H2906" s="474"/>
      <c r="I2906" s="474"/>
      <c r="J2906" s="475"/>
      <c r="K2906" s="275"/>
      <c r="L2906" s="82"/>
      <c r="M2906" s="672"/>
      <c r="N2906" s="242"/>
      <c r="O2906" s="242"/>
      <c r="P2906" s="242"/>
      <c r="Q2906" s="242"/>
      <c r="R2906" s="539"/>
      <c r="S2906" s="540"/>
      <c r="T2906" s="543"/>
      <c r="U2906" s="673" t="b">
        <v>0</v>
      </c>
      <c r="Z2906" t="b">
        <v>0</v>
      </c>
      <c r="AA2906" t="b">
        <v>0</v>
      </c>
      <c r="AC2906" s="82"/>
      <c r="AD2906" t="str">
        <f t="shared" si="71"/>
        <v/>
      </c>
      <c r="AE2906" t="str">
        <f t="shared" si="72"/>
        <v/>
      </c>
    </row>
    <row r="2907">
      <c r="D2907" s="226"/>
      <c r="H2907" s="474"/>
      <c r="I2907" s="474"/>
      <c r="J2907" s="475"/>
      <c r="K2907" s="275"/>
      <c r="L2907" s="82"/>
      <c r="M2907" s="672"/>
      <c r="N2907" s="242"/>
      <c r="O2907" s="242"/>
      <c r="P2907" s="242"/>
      <c r="Q2907" s="242"/>
      <c r="R2907" s="539"/>
      <c r="S2907" s="540"/>
      <c r="T2907" s="543"/>
      <c r="U2907" s="673" t="b">
        <v>0</v>
      </c>
      <c r="Z2907" t="b">
        <v>0</v>
      </c>
      <c r="AA2907" t="b">
        <v>0</v>
      </c>
      <c r="AC2907" s="82"/>
      <c r="AD2907" t="str">
        <f t="shared" si="71"/>
        <v/>
      </c>
      <c r="AE2907" t="str">
        <f t="shared" si="72"/>
        <v/>
      </c>
    </row>
    <row r="2908">
      <c r="D2908" s="226"/>
      <c r="H2908" s="474"/>
      <c r="I2908" s="474"/>
      <c r="J2908" s="475"/>
      <c r="K2908" s="275"/>
      <c r="L2908" s="82"/>
      <c r="M2908" s="672"/>
      <c r="N2908" s="242"/>
      <c r="O2908" s="242"/>
      <c r="P2908" s="242"/>
      <c r="Q2908" s="242"/>
      <c r="R2908" s="539"/>
      <c r="S2908" s="540"/>
      <c r="T2908" s="543"/>
      <c r="U2908" s="673" t="b">
        <v>0</v>
      </c>
      <c r="Z2908" t="b">
        <v>0</v>
      </c>
      <c r="AA2908" t="b">
        <v>0</v>
      </c>
      <c r="AC2908" s="82"/>
      <c r="AD2908" t="str">
        <f t="shared" si="71"/>
        <v/>
      </c>
      <c r="AE2908" t="str">
        <f t="shared" si="72"/>
        <v/>
      </c>
    </row>
    <row r="2909">
      <c r="D2909" s="226"/>
      <c r="H2909" s="474"/>
      <c r="I2909" s="474"/>
      <c r="J2909" s="475"/>
      <c r="K2909" s="275"/>
      <c r="L2909" s="82"/>
      <c r="M2909" s="672"/>
      <c r="N2909" s="242"/>
      <c r="O2909" s="242"/>
      <c r="P2909" s="242"/>
      <c r="Q2909" s="242"/>
      <c r="R2909" s="539"/>
      <c r="S2909" s="540"/>
      <c r="T2909" s="543"/>
      <c r="U2909" s="673" t="b">
        <v>0</v>
      </c>
      <c r="Z2909" t="b">
        <v>0</v>
      </c>
      <c r="AA2909" t="b">
        <v>0</v>
      </c>
      <c r="AC2909" s="82"/>
      <c r="AD2909" t="str">
        <f t="shared" si="71"/>
        <v/>
      </c>
      <c r="AE2909" t="str">
        <f t="shared" si="72"/>
        <v/>
      </c>
    </row>
    <row r="2910">
      <c r="D2910" s="226"/>
      <c r="H2910" s="474"/>
      <c r="I2910" s="474"/>
      <c r="J2910" s="475"/>
      <c r="K2910" s="275"/>
      <c r="L2910" s="82"/>
      <c r="M2910" s="672"/>
      <c r="N2910" s="242"/>
      <c r="O2910" s="242"/>
      <c r="P2910" s="242"/>
      <c r="Q2910" s="242"/>
      <c r="R2910" s="539"/>
      <c r="S2910" s="540"/>
      <c r="T2910" s="543"/>
      <c r="U2910" s="673" t="b">
        <v>0</v>
      </c>
      <c r="Z2910" t="b">
        <v>0</v>
      </c>
      <c r="AA2910" t="b">
        <v>0</v>
      </c>
      <c r="AC2910" s="82"/>
      <c r="AD2910" t="str">
        <f t="shared" si="71"/>
        <v/>
      </c>
      <c r="AE2910" t="str">
        <f t="shared" si="72"/>
        <v/>
      </c>
    </row>
    <row r="2911">
      <c r="D2911" s="226"/>
      <c r="H2911" s="474"/>
      <c r="I2911" s="474"/>
      <c r="J2911" s="475"/>
      <c r="K2911" s="275"/>
      <c r="L2911" s="82"/>
      <c r="M2911" s="672"/>
      <c r="N2911" s="242"/>
      <c r="O2911" s="242"/>
      <c r="P2911" s="242"/>
      <c r="Q2911" s="242"/>
      <c r="R2911" s="539"/>
      <c r="S2911" s="540"/>
      <c r="T2911" s="543"/>
      <c r="U2911" s="673" t="b">
        <v>0</v>
      </c>
      <c r="Z2911" t="b">
        <v>0</v>
      </c>
      <c r="AA2911" t="b">
        <v>0</v>
      </c>
      <c r="AC2911" s="82"/>
      <c r="AD2911" t="str">
        <f t="shared" si="71"/>
        <v/>
      </c>
      <c r="AE2911" t="str">
        <f t="shared" si="72"/>
        <v/>
      </c>
    </row>
    <row r="2912">
      <c r="D2912" s="226"/>
      <c r="H2912" s="474"/>
      <c r="I2912" s="474"/>
      <c r="J2912" s="475"/>
      <c r="K2912" s="275"/>
      <c r="L2912" s="82"/>
      <c r="M2912" s="672"/>
      <c r="N2912" s="242"/>
      <c r="O2912" s="242"/>
      <c r="P2912" s="242"/>
      <c r="Q2912" s="242"/>
      <c r="R2912" s="539"/>
      <c r="S2912" s="540"/>
      <c r="T2912" s="543"/>
      <c r="U2912" s="673" t="b">
        <v>0</v>
      </c>
      <c r="Z2912" t="b">
        <v>0</v>
      </c>
      <c r="AA2912" t="b">
        <v>0</v>
      </c>
      <c r="AC2912" s="82"/>
      <c r="AD2912" t="str">
        <f t="shared" si="71"/>
        <v/>
      </c>
      <c r="AE2912" t="str">
        <f t="shared" si="72"/>
        <v/>
      </c>
    </row>
    <row r="2913">
      <c r="D2913" s="226"/>
      <c r="H2913" s="474"/>
      <c r="I2913" s="474"/>
      <c r="J2913" s="475"/>
      <c r="K2913" s="275"/>
      <c r="L2913" s="82"/>
      <c r="M2913" s="672"/>
      <c r="N2913" s="242"/>
      <c r="O2913" s="242"/>
      <c r="P2913" s="242"/>
      <c r="Q2913" s="242"/>
      <c r="R2913" s="539"/>
      <c r="S2913" s="540"/>
      <c r="T2913" s="543"/>
      <c r="U2913" s="673" t="b">
        <v>0</v>
      </c>
      <c r="Z2913" t="b">
        <v>0</v>
      </c>
      <c r="AA2913" t="b">
        <v>0</v>
      </c>
      <c r="AC2913" s="82"/>
      <c r="AD2913" t="str">
        <f t="shared" si="71"/>
        <v/>
      </c>
      <c r="AE2913" t="str">
        <f t="shared" si="72"/>
        <v/>
      </c>
    </row>
    <row r="2914">
      <c r="D2914" s="226"/>
      <c r="H2914" s="474"/>
      <c r="I2914" s="474"/>
      <c r="J2914" s="475"/>
      <c r="K2914" s="275"/>
      <c r="L2914" s="82"/>
      <c r="M2914" s="672"/>
      <c r="N2914" s="242"/>
      <c r="O2914" s="242"/>
      <c r="P2914" s="242"/>
      <c r="Q2914" s="242"/>
      <c r="R2914" s="539"/>
      <c r="S2914" s="540"/>
      <c r="T2914" s="543"/>
      <c r="U2914" s="673" t="b">
        <v>0</v>
      </c>
      <c r="Z2914" t="b">
        <v>0</v>
      </c>
      <c r="AA2914" t="b">
        <v>0</v>
      </c>
      <c r="AC2914" s="82"/>
      <c r="AD2914" t="str">
        <f t="shared" si="71"/>
        <v/>
      </c>
      <c r="AE2914" t="str">
        <f t="shared" si="72"/>
        <v/>
      </c>
    </row>
    <row r="2915">
      <c r="D2915" s="226"/>
      <c r="H2915" s="474"/>
      <c r="I2915" s="474"/>
      <c r="J2915" s="475"/>
      <c r="K2915" s="275"/>
      <c r="L2915" s="82"/>
      <c r="M2915" s="672"/>
      <c r="N2915" s="242"/>
      <c r="O2915" s="242"/>
      <c r="P2915" s="242"/>
      <c r="Q2915" s="242"/>
      <c r="R2915" s="539"/>
      <c r="S2915" s="540"/>
      <c r="T2915" s="543"/>
      <c r="U2915" s="673" t="b">
        <v>0</v>
      </c>
      <c r="Z2915" t="b">
        <v>0</v>
      </c>
      <c r="AA2915" t="b">
        <v>0</v>
      </c>
      <c r="AC2915" s="82"/>
      <c r="AD2915" t="str">
        <f t="shared" si="71"/>
        <v/>
      </c>
      <c r="AE2915" t="str">
        <f t="shared" si="72"/>
        <v/>
      </c>
    </row>
    <row r="2916">
      <c r="D2916" s="226"/>
      <c r="H2916" s="474"/>
      <c r="I2916" s="474"/>
      <c r="J2916" s="475"/>
      <c r="K2916" s="275"/>
      <c r="L2916" s="82"/>
      <c r="M2916" s="672"/>
      <c r="N2916" s="242"/>
      <c r="O2916" s="242"/>
      <c r="P2916" s="242"/>
      <c r="Q2916" s="242"/>
      <c r="R2916" s="539"/>
      <c r="S2916" s="540"/>
      <c r="T2916" s="543"/>
      <c r="U2916" s="673" t="b">
        <v>0</v>
      </c>
      <c r="Z2916" t="b">
        <v>0</v>
      </c>
      <c r="AA2916" t="b">
        <v>0</v>
      </c>
      <c r="AC2916" s="82"/>
      <c r="AD2916" t="str">
        <f t="shared" si="71"/>
        <v/>
      </c>
      <c r="AE2916" t="str">
        <f t="shared" si="72"/>
        <v/>
      </c>
    </row>
    <row r="2917">
      <c r="D2917" s="226"/>
      <c r="H2917" s="474"/>
      <c r="I2917" s="474"/>
      <c r="J2917" s="475"/>
      <c r="K2917" s="275"/>
      <c r="L2917" s="82"/>
      <c r="M2917" s="672"/>
      <c r="N2917" s="242"/>
      <c r="O2917" s="242"/>
      <c r="P2917" s="242"/>
      <c r="Q2917" s="242"/>
      <c r="R2917" s="539"/>
      <c r="S2917" s="540"/>
      <c r="T2917" s="543"/>
      <c r="U2917" s="673" t="b">
        <v>0</v>
      </c>
      <c r="Z2917" t="b">
        <v>0</v>
      </c>
      <c r="AA2917" t="b">
        <v>0</v>
      </c>
      <c r="AC2917" s="82"/>
      <c r="AD2917" t="str">
        <f t="shared" si="71"/>
        <v/>
      </c>
      <c r="AE2917" t="str">
        <f t="shared" si="72"/>
        <v/>
      </c>
    </row>
    <row r="2918">
      <c r="D2918" s="226"/>
      <c r="H2918" s="474"/>
      <c r="I2918" s="474"/>
      <c r="J2918" s="475"/>
      <c r="K2918" s="275"/>
      <c r="L2918" s="82"/>
      <c r="M2918" s="672"/>
      <c r="N2918" s="242"/>
      <c r="O2918" s="242"/>
      <c r="P2918" s="242"/>
      <c r="Q2918" s="242"/>
      <c r="R2918" s="539"/>
      <c r="S2918" s="540"/>
      <c r="T2918" s="543"/>
      <c r="U2918" s="673" t="b">
        <v>0</v>
      </c>
      <c r="Z2918" t="b">
        <v>0</v>
      </c>
      <c r="AA2918" t="b">
        <v>0</v>
      </c>
      <c r="AC2918" s="82"/>
      <c r="AD2918" t="str">
        <f t="shared" si="71"/>
        <v/>
      </c>
      <c r="AE2918" t="str">
        <f t="shared" si="72"/>
        <v/>
      </c>
    </row>
    <row r="2919">
      <c r="D2919" s="226"/>
      <c r="H2919" s="474"/>
      <c r="I2919" s="474"/>
      <c r="J2919" s="475"/>
      <c r="K2919" s="275"/>
      <c r="L2919" s="82"/>
      <c r="M2919" s="672"/>
      <c r="N2919" s="242"/>
      <c r="O2919" s="242"/>
      <c r="P2919" s="242"/>
      <c r="Q2919" s="242"/>
      <c r="R2919" s="539"/>
      <c r="S2919" s="540"/>
      <c r="T2919" s="543"/>
      <c r="U2919" s="673" t="b">
        <v>0</v>
      </c>
      <c r="Z2919" t="b">
        <v>0</v>
      </c>
      <c r="AA2919" t="b">
        <v>0</v>
      </c>
      <c r="AC2919" s="82"/>
      <c r="AD2919" t="str">
        <f t="shared" si="71"/>
        <v/>
      </c>
      <c r="AE2919" t="str">
        <f t="shared" si="72"/>
        <v/>
      </c>
    </row>
    <row r="2920">
      <c r="D2920" s="226"/>
      <c r="H2920" s="474"/>
      <c r="I2920" s="474"/>
      <c r="J2920" s="475"/>
      <c r="K2920" s="275"/>
      <c r="L2920" s="82"/>
      <c r="M2920" s="672"/>
      <c r="N2920" s="242"/>
      <c r="O2920" s="242"/>
      <c r="P2920" s="242"/>
      <c r="Q2920" s="242"/>
      <c r="R2920" s="539"/>
      <c r="S2920" s="540"/>
      <c r="T2920" s="543"/>
      <c r="U2920" s="673" t="b">
        <v>0</v>
      </c>
      <c r="Z2920" t="b">
        <v>0</v>
      </c>
      <c r="AA2920" t="b">
        <v>0</v>
      </c>
      <c r="AC2920" s="82"/>
      <c r="AD2920" t="str">
        <f t="shared" si="71"/>
        <v/>
      </c>
      <c r="AE2920" t="str">
        <f t="shared" si="72"/>
        <v/>
      </c>
    </row>
    <row r="2921">
      <c r="D2921" s="226"/>
      <c r="H2921" s="474"/>
      <c r="I2921" s="474"/>
      <c r="J2921" s="475"/>
      <c r="K2921" s="275"/>
      <c r="L2921" s="82"/>
      <c r="M2921" s="672"/>
      <c r="N2921" s="242"/>
      <c r="O2921" s="242"/>
      <c r="P2921" s="242"/>
      <c r="Q2921" s="242"/>
      <c r="R2921" s="539"/>
      <c r="S2921" s="540"/>
      <c r="T2921" s="543"/>
      <c r="U2921" s="673" t="b">
        <v>0</v>
      </c>
      <c r="Z2921" t="b">
        <v>0</v>
      </c>
      <c r="AA2921" t="b">
        <v>0</v>
      </c>
      <c r="AC2921" s="82"/>
      <c r="AD2921" t="str">
        <f t="shared" si="71"/>
        <v/>
      </c>
      <c r="AE2921" t="str">
        <f t="shared" si="72"/>
        <v/>
      </c>
    </row>
    <row r="2922">
      <c r="D2922" s="226"/>
      <c r="H2922" s="474"/>
      <c r="I2922" s="474"/>
      <c r="J2922" s="475"/>
      <c r="K2922" s="275"/>
      <c r="L2922" s="82"/>
      <c r="M2922" s="672"/>
      <c r="N2922" s="242"/>
      <c r="O2922" s="242"/>
      <c r="P2922" s="242"/>
      <c r="Q2922" s="242"/>
      <c r="R2922" s="539"/>
      <c r="S2922" s="540"/>
      <c r="T2922" s="543"/>
      <c r="U2922" s="673" t="b">
        <v>0</v>
      </c>
      <c r="Z2922" t="b">
        <v>0</v>
      </c>
      <c r="AA2922" t="b">
        <v>0</v>
      </c>
      <c r="AC2922" s="82"/>
      <c r="AD2922" t="str">
        <f t="shared" si="71"/>
        <v/>
      </c>
      <c r="AE2922" t="str">
        <f t="shared" si="72"/>
        <v/>
      </c>
    </row>
    <row r="2923">
      <c r="D2923" s="226"/>
      <c r="H2923" s="474"/>
      <c r="I2923" s="474"/>
      <c r="J2923" s="475"/>
      <c r="K2923" s="275"/>
      <c r="L2923" s="82"/>
      <c r="M2923" s="672"/>
      <c r="N2923" s="242"/>
      <c r="O2923" s="242"/>
      <c r="P2923" s="242"/>
      <c r="Q2923" s="242"/>
      <c r="R2923" s="539"/>
      <c r="S2923" s="540"/>
      <c r="T2923" s="543"/>
      <c r="U2923" s="673" t="b">
        <v>0</v>
      </c>
      <c r="Z2923" t="b">
        <v>0</v>
      </c>
      <c r="AA2923" t="b">
        <v>0</v>
      </c>
      <c r="AC2923" s="82"/>
      <c r="AD2923" t="str">
        <f t="shared" si="71"/>
        <v/>
      </c>
      <c r="AE2923" t="str">
        <f t="shared" si="72"/>
        <v/>
      </c>
    </row>
    <row r="2924">
      <c r="D2924" s="226"/>
      <c r="H2924" s="474"/>
      <c r="I2924" s="474"/>
      <c r="J2924" s="475"/>
      <c r="K2924" s="275"/>
      <c r="L2924" s="82"/>
      <c r="M2924" s="672"/>
      <c r="N2924" s="242"/>
      <c r="O2924" s="242"/>
      <c r="P2924" s="242"/>
      <c r="Q2924" s="242"/>
      <c r="R2924" s="539"/>
      <c r="S2924" s="540"/>
      <c r="T2924" s="543"/>
      <c r="U2924" s="673" t="b">
        <v>0</v>
      </c>
      <c r="Z2924" t="b">
        <v>0</v>
      </c>
      <c r="AA2924" t="b">
        <v>0</v>
      </c>
      <c r="AC2924" s="82"/>
      <c r="AD2924" t="str">
        <f t="shared" si="71"/>
        <v/>
      </c>
      <c r="AE2924" t="str">
        <f t="shared" si="72"/>
        <v/>
      </c>
    </row>
    <row r="2925">
      <c r="D2925" s="226"/>
      <c r="H2925" s="474"/>
      <c r="I2925" s="474"/>
      <c r="J2925" s="475"/>
      <c r="K2925" s="275"/>
      <c r="L2925" s="82"/>
      <c r="M2925" s="672"/>
      <c r="N2925" s="242"/>
      <c r="O2925" s="242"/>
      <c r="P2925" s="242"/>
      <c r="Q2925" s="242"/>
      <c r="R2925" s="539"/>
      <c r="S2925" s="540"/>
      <c r="T2925" s="543"/>
      <c r="U2925" s="673" t="b">
        <v>0</v>
      </c>
      <c r="Z2925" t="b">
        <v>0</v>
      </c>
      <c r="AA2925" t="b">
        <v>0</v>
      </c>
      <c r="AC2925" s="82"/>
      <c r="AD2925" t="str">
        <f t="shared" si="71"/>
        <v/>
      </c>
      <c r="AE2925" t="str">
        <f t="shared" si="72"/>
        <v/>
      </c>
    </row>
    <row r="2926">
      <c r="D2926" s="226"/>
      <c r="H2926" s="474"/>
      <c r="I2926" s="474"/>
      <c r="J2926" s="475"/>
      <c r="K2926" s="275"/>
      <c r="L2926" s="82"/>
      <c r="M2926" s="672"/>
      <c r="N2926" s="242"/>
      <c r="O2926" s="242"/>
      <c r="P2926" s="242"/>
      <c r="Q2926" s="242"/>
      <c r="R2926" s="539"/>
      <c r="S2926" s="540"/>
      <c r="T2926" s="543"/>
      <c r="U2926" s="673" t="b">
        <v>0</v>
      </c>
      <c r="Z2926" t="b">
        <v>0</v>
      </c>
      <c r="AA2926" t="b">
        <v>0</v>
      </c>
      <c r="AC2926" s="82"/>
      <c r="AD2926" t="str">
        <f t="shared" si="71"/>
        <v/>
      </c>
      <c r="AE2926" t="str">
        <f t="shared" si="72"/>
        <v/>
      </c>
    </row>
    <row r="2927">
      <c r="D2927" s="226"/>
      <c r="H2927" s="474"/>
      <c r="I2927" s="474"/>
      <c r="J2927" s="475"/>
      <c r="K2927" s="275"/>
      <c r="L2927" s="82"/>
      <c r="M2927" s="672"/>
      <c r="N2927" s="242"/>
      <c r="O2927" s="242"/>
      <c r="P2927" s="242"/>
      <c r="Q2927" s="242"/>
      <c r="R2927" s="539"/>
      <c r="S2927" s="540"/>
      <c r="T2927" s="543"/>
      <c r="U2927" s="673" t="b">
        <v>0</v>
      </c>
      <c r="Z2927" t="b">
        <v>0</v>
      </c>
      <c r="AA2927" t="b">
        <v>0</v>
      </c>
      <c r="AC2927" s="82"/>
      <c r="AD2927" t="str">
        <f t="shared" si="71"/>
        <v/>
      </c>
      <c r="AE2927" t="str">
        <f t="shared" si="72"/>
        <v/>
      </c>
    </row>
    <row r="2928">
      <c r="D2928" s="226"/>
      <c r="H2928" s="474"/>
      <c r="I2928" s="474"/>
      <c r="J2928" s="475"/>
      <c r="K2928" s="275"/>
      <c r="L2928" s="82"/>
      <c r="M2928" s="672"/>
      <c r="N2928" s="242"/>
      <c r="O2928" s="242"/>
      <c r="P2928" s="242"/>
      <c r="Q2928" s="242"/>
      <c r="R2928" s="539"/>
      <c r="S2928" s="540"/>
      <c r="T2928" s="543"/>
      <c r="U2928" s="673" t="b">
        <v>0</v>
      </c>
      <c r="Z2928" t="b">
        <v>0</v>
      </c>
      <c r="AA2928" t="b">
        <v>0</v>
      </c>
      <c r="AC2928" s="82"/>
      <c r="AD2928" t="str">
        <f t="shared" si="71"/>
        <v/>
      </c>
      <c r="AE2928" t="str">
        <f t="shared" si="72"/>
        <v/>
      </c>
    </row>
    <row r="2929">
      <c r="D2929" s="226"/>
      <c r="H2929" s="474"/>
      <c r="I2929" s="474"/>
      <c r="J2929" s="475"/>
      <c r="K2929" s="275"/>
      <c r="L2929" s="82"/>
      <c r="M2929" s="672"/>
      <c r="N2929" s="242"/>
      <c r="O2929" s="242"/>
      <c r="P2929" s="242"/>
      <c r="Q2929" s="242"/>
      <c r="R2929" s="539"/>
      <c r="S2929" s="540"/>
      <c r="T2929" s="543"/>
      <c r="U2929" s="673" t="b">
        <v>0</v>
      </c>
      <c r="Z2929" t="b">
        <v>0</v>
      </c>
      <c r="AA2929" t="b">
        <v>0</v>
      </c>
      <c r="AC2929" s="82"/>
      <c r="AD2929" t="str">
        <f t="shared" si="71"/>
        <v/>
      </c>
      <c r="AE2929" t="str">
        <f t="shared" si="72"/>
        <v/>
      </c>
    </row>
    <row r="2930">
      <c r="D2930" s="226"/>
      <c r="H2930" s="474"/>
      <c r="I2930" s="474"/>
      <c r="J2930" s="475"/>
      <c r="K2930" s="275"/>
      <c r="L2930" s="82"/>
      <c r="M2930" s="672"/>
      <c r="N2930" s="242"/>
      <c r="O2930" s="242"/>
      <c r="P2930" s="242"/>
      <c r="Q2930" s="242"/>
      <c r="R2930" s="539"/>
      <c r="S2930" s="540"/>
      <c r="T2930" s="543"/>
      <c r="U2930" s="673" t="b">
        <v>0</v>
      </c>
      <c r="Z2930" t="b">
        <v>0</v>
      </c>
      <c r="AA2930" t="b">
        <v>0</v>
      </c>
      <c r="AC2930" s="82"/>
      <c r="AD2930" t="str">
        <f t="shared" si="71"/>
        <v/>
      </c>
      <c r="AE2930" t="str">
        <f t="shared" si="72"/>
        <v/>
      </c>
    </row>
    <row r="2931">
      <c r="D2931" s="226"/>
      <c r="H2931" s="474"/>
      <c r="I2931" s="474"/>
      <c r="J2931" s="475"/>
      <c r="K2931" s="275"/>
      <c r="L2931" s="82"/>
      <c r="M2931" s="672"/>
      <c r="N2931" s="242"/>
      <c r="O2931" s="242"/>
      <c r="P2931" s="242"/>
      <c r="Q2931" s="242"/>
      <c r="R2931" s="539"/>
      <c r="S2931" s="540"/>
      <c r="T2931" s="543"/>
      <c r="U2931" s="673" t="b">
        <v>0</v>
      </c>
      <c r="Z2931" t="b">
        <v>0</v>
      </c>
      <c r="AA2931" t="b">
        <v>0</v>
      </c>
      <c r="AC2931" s="82"/>
      <c r="AD2931" t="str">
        <f t="shared" si="71"/>
        <v/>
      </c>
      <c r="AE2931" t="str">
        <f t="shared" si="72"/>
        <v/>
      </c>
    </row>
    <row r="2932">
      <c r="D2932" s="226"/>
      <c r="H2932" s="474"/>
      <c r="I2932" s="474"/>
      <c r="J2932" s="475"/>
      <c r="K2932" s="275"/>
      <c r="L2932" s="82"/>
      <c r="M2932" s="672"/>
      <c r="N2932" s="242"/>
      <c r="O2932" s="242"/>
      <c r="P2932" s="242"/>
      <c r="Q2932" s="242"/>
      <c r="R2932" s="539"/>
      <c r="S2932" s="540"/>
      <c r="T2932" s="543"/>
      <c r="U2932" s="673" t="b">
        <v>0</v>
      </c>
      <c r="Z2932" t="b">
        <v>0</v>
      </c>
      <c r="AA2932" t="b">
        <v>0</v>
      </c>
      <c r="AC2932" s="82"/>
      <c r="AD2932" t="str">
        <f t="shared" si="71"/>
        <v/>
      </c>
      <c r="AE2932" t="str">
        <f t="shared" si="72"/>
        <v/>
      </c>
    </row>
    <row r="2933">
      <c r="D2933" s="226"/>
      <c r="H2933" s="474"/>
      <c r="I2933" s="474"/>
      <c r="J2933" s="475"/>
      <c r="K2933" s="275"/>
      <c r="L2933" s="82"/>
      <c r="M2933" s="672"/>
      <c r="N2933" s="242"/>
      <c r="O2933" s="242"/>
      <c r="P2933" s="242"/>
      <c r="Q2933" s="242"/>
      <c r="R2933" s="539"/>
      <c r="S2933" s="540"/>
      <c r="T2933" s="543"/>
      <c r="U2933" s="673" t="b">
        <v>0</v>
      </c>
      <c r="Z2933" t="b">
        <v>0</v>
      </c>
      <c r="AA2933" t="b">
        <v>0</v>
      </c>
      <c r="AC2933" s="82"/>
      <c r="AD2933" t="str">
        <f t="shared" si="71"/>
        <v/>
      </c>
      <c r="AE2933" t="str">
        <f t="shared" si="72"/>
        <v/>
      </c>
    </row>
    <row r="2934">
      <c r="D2934" s="226"/>
      <c r="H2934" s="474"/>
      <c r="I2934" s="474"/>
      <c r="J2934" s="475"/>
      <c r="K2934" s="275"/>
      <c r="L2934" s="82"/>
      <c r="M2934" s="672"/>
      <c r="N2934" s="242"/>
      <c r="O2934" s="242"/>
      <c r="P2934" s="242"/>
      <c r="Q2934" s="242"/>
      <c r="R2934" s="539"/>
      <c r="S2934" s="540"/>
      <c r="T2934" s="543"/>
      <c r="U2934" s="673" t="b">
        <v>0</v>
      </c>
      <c r="Z2934" t="b">
        <v>0</v>
      </c>
      <c r="AA2934" t="b">
        <v>0</v>
      </c>
      <c r="AC2934" s="82"/>
      <c r="AD2934" t="str">
        <f t="shared" si="71"/>
        <v/>
      </c>
      <c r="AE2934" t="str">
        <f t="shared" si="72"/>
        <v/>
      </c>
    </row>
    <row r="2935">
      <c r="D2935" s="226"/>
      <c r="H2935" s="474"/>
      <c r="I2935" s="474"/>
      <c r="J2935" s="475"/>
      <c r="K2935" s="275"/>
      <c r="L2935" s="82"/>
      <c r="M2935" s="672"/>
      <c r="N2935" s="242"/>
      <c r="O2935" s="242"/>
      <c r="P2935" s="242"/>
      <c r="Q2935" s="242"/>
      <c r="R2935" s="539"/>
      <c r="S2935" s="540"/>
      <c r="T2935" s="543"/>
      <c r="U2935" s="673" t="b">
        <v>0</v>
      </c>
      <c r="Z2935" t="b">
        <v>0</v>
      </c>
      <c r="AA2935" t="b">
        <v>0</v>
      </c>
      <c r="AC2935" s="82"/>
      <c r="AD2935" t="str">
        <f t="shared" si="71"/>
        <v/>
      </c>
      <c r="AE2935" t="str">
        <f t="shared" si="72"/>
        <v/>
      </c>
    </row>
    <row r="2936">
      <c r="D2936" s="226"/>
      <c r="H2936" s="474"/>
      <c r="I2936" s="474"/>
      <c r="J2936" s="475"/>
      <c r="K2936" s="275"/>
      <c r="L2936" s="82"/>
      <c r="M2936" s="672"/>
      <c r="N2936" s="242"/>
      <c r="O2936" s="242"/>
      <c r="P2936" s="242"/>
      <c r="Q2936" s="242"/>
      <c r="R2936" s="539"/>
      <c r="S2936" s="540"/>
      <c r="T2936" s="543"/>
      <c r="U2936" s="673" t="b">
        <v>0</v>
      </c>
      <c r="Z2936" t="b">
        <v>0</v>
      </c>
      <c r="AA2936" t="b">
        <v>0</v>
      </c>
      <c r="AC2936" s="82"/>
      <c r="AD2936" t="str">
        <f t="shared" si="71"/>
        <v/>
      </c>
      <c r="AE2936" t="str">
        <f t="shared" si="72"/>
        <v/>
      </c>
    </row>
    <row r="2937">
      <c r="D2937" s="226"/>
      <c r="H2937" s="474"/>
      <c r="I2937" s="474"/>
      <c r="J2937" s="475"/>
      <c r="K2937" s="275"/>
      <c r="L2937" s="82"/>
      <c r="M2937" s="672"/>
      <c r="N2937" s="242"/>
      <c r="O2937" s="242"/>
      <c r="P2937" s="242"/>
      <c r="Q2937" s="242"/>
      <c r="R2937" s="539"/>
      <c r="S2937" s="540"/>
      <c r="T2937" s="543"/>
      <c r="U2937" s="673" t="b">
        <v>0</v>
      </c>
      <c r="Z2937" t="b">
        <v>0</v>
      </c>
      <c r="AA2937" t="b">
        <v>0</v>
      </c>
      <c r="AC2937" s="82"/>
      <c r="AD2937" t="str">
        <f t="shared" si="71"/>
        <v/>
      </c>
      <c r="AE2937" t="str">
        <f t="shared" si="72"/>
        <v/>
      </c>
    </row>
    <row r="2938">
      <c r="D2938" s="226"/>
      <c r="H2938" s="474"/>
      <c r="I2938" s="474"/>
      <c r="J2938" s="475"/>
      <c r="K2938" s="275"/>
      <c r="L2938" s="82"/>
      <c r="M2938" s="672"/>
      <c r="N2938" s="242"/>
      <c r="O2938" s="242"/>
      <c r="P2938" s="242"/>
      <c r="Q2938" s="242"/>
      <c r="R2938" s="539"/>
      <c r="S2938" s="540"/>
      <c r="T2938" s="543"/>
      <c r="U2938" s="673" t="b">
        <v>0</v>
      </c>
      <c r="Z2938" t="b">
        <v>0</v>
      </c>
      <c r="AA2938" t="b">
        <v>0</v>
      </c>
      <c r="AC2938" s="82"/>
      <c r="AD2938" t="str">
        <f t="shared" si="71"/>
        <v/>
      </c>
      <c r="AE2938" t="str">
        <f t="shared" si="72"/>
        <v/>
      </c>
    </row>
    <row r="2939">
      <c r="D2939" s="226"/>
      <c r="H2939" s="474"/>
      <c r="I2939" s="474"/>
      <c r="J2939" s="475"/>
      <c r="K2939" s="275"/>
      <c r="L2939" s="82"/>
      <c r="M2939" s="672"/>
      <c r="N2939" s="242"/>
      <c r="O2939" s="242"/>
      <c r="P2939" s="242"/>
      <c r="Q2939" s="242"/>
      <c r="R2939" s="539"/>
      <c r="S2939" s="540"/>
      <c r="T2939" s="543"/>
      <c r="U2939" s="673" t="b">
        <v>0</v>
      </c>
      <c r="Z2939" t="b">
        <v>0</v>
      </c>
      <c r="AA2939" t="b">
        <v>0</v>
      </c>
      <c r="AC2939" s="82"/>
      <c r="AD2939" t="str">
        <f t="shared" si="71"/>
        <v/>
      </c>
      <c r="AE2939" t="str">
        <f t="shared" si="72"/>
        <v/>
      </c>
    </row>
    <row r="2940">
      <c r="D2940" s="226"/>
      <c r="H2940" s="474"/>
      <c r="I2940" s="474"/>
      <c r="J2940" s="475"/>
      <c r="K2940" s="275"/>
      <c r="L2940" s="82"/>
      <c r="M2940" s="672"/>
      <c r="N2940" s="242"/>
      <c r="O2940" s="242"/>
      <c r="P2940" s="242"/>
      <c r="Q2940" s="242"/>
      <c r="R2940" s="539"/>
      <c r="S2940" s="540"/>
      <c r="T2940" s="543"/>
      <c r="U2940" s="673" t="b">
        <v>0</v>
      </c>
      <c r="Z2940" t="b">
        <v>0</v>
      </c>
      <c r="AA2940" t="b">
        <v>0</v>
      </c>
      <c r="AC2940" s="82"/>
      <c r="AD2940" t="str">
        <f t="shared" si="71"/>
        <v/>
      </c>
      <c r="AE2940" t="str">
        <f t="shared" si="72"/>
        <v/>
      </c>
    </row>
    <row r="2941">
      <c r="D2941" s="226"/>
      <c r="H2941" s="474"/>
      <c r="I2941" s="474"/>
      <c r="J2941" s="475"/>
      <c r="K2941" s="275"/>
      <c r="L2941" s="82"/>
      <c r="M2941" s="672"/>
      <c r="N2941" s="242"/>
      <c r="O2941" s="242"/>
      <c r="P2941" s="242"/>
      <c r="Q2941" s="242"/>
      <c r="R2941" s="539"/>
      <c r="S2941" s="540"/>
      <c r="T2941" s="543"/>
      <c r="U2941" s="673" t="b">
        <v>0</v>
      </c>
      <c r="Z2941" t="b">
        <v>0</v>
      </c>
      <c r="AA2941" t="b">
        <v>0</v>
      </c>
      <c r="AC2941" s="82"/>
      <c r="AD2941" t="str">
        <f t="shared" si="71"/>
        <v/>
      </c>
      <c r="AE2941" t="str">
        <f t="shared" si="72"/>
        <v/>
      </c>
    </row>
    <row r="2942">
      <c r="D2942" s="226"/>
      <c r="H2942" s="474"/>
      <c r="I2942" s="474"/>
      <c r="J2942" s="475"/>
      <c r="K2942" s="275"/>
      <c r="L2942" s="82"/>
      <c r="M2942" s="672"/>
      <c r="N2942" s="242"/>
      <c r="O2942" s="242"/>
      <c r="P2942" s="242"/>
      <c r="Q2942" s="242"/>
      <c r="R2942" s="539"/>
      <c r="S2942" s="540"/>
      <c r="T2942" s="543"/>
      <c r="U2942" s="673" t="b">
        <v>0</v>
      </c>
      <c r="Z2942" t="b">
        <v>0</v>
      </c>
      <c r="AA2942" t="b">
        <v>0</v>
      </c>
      <c r="AC2942" s="82"/>
      <c r="AD2942" t="str">
        <f t="shared" si="71"/>
        <v/>
      </c>
      <c r="AE2942" t="str">
        <f t="shared" si="72"/>
        <v/>
      </c>
    </row>
    <row r="2943">
      <c r="D2943" s="226"/>
      <c r="H2943" s="474"/>
      <c r="I2943" s="474"/>
      <c r="J2943" s="475"/>
      <c r="K2943" s="275"/>
      <c r="L2943" s="82"/>
      <c r="M2943" s="672"/>
      <c r="N2943" s="242"/>
      <c r="O2943" s="242"/>
      <c r="P2943" s="242"/>
      <c r="Q2943" s="242"/>
      <c r="R2943" s="539"/>
      <c r="S2943" s="540"/>
      <c r="T2943" s="543"/>
      <c r="U2943" s="673" t="b">
        <v>0</v>
      </c>
      <c r="Z2943" t="b">
        <v>0</v>
      </c>
      <c r="AA2943" t="b">
        <v>0</v>
      </c>
      <c r="AC2943" s="82"/>
      <c r="AD2943" t="str">
        <f t="shared" si="71"/>
        <v/>
      </c>
      <c r="AE2943" t="str">
        <f t="shared" si="72"/>
        <v/>
      </c>
    </row>
    <row r="2944">
      <c r="D2944" s="226"/>
      <c r="H2944" s="474"/>
      <c r="I2944" s="474"/>
      <c r="J2944" s="475"/>
      <c r="K2944" s="275"/>
      <c r="L2944" s="82"/>
      <c r="M2944" s="672"/>
      <c r="N2944" s="242"/>
      <c r="O2944" s="242"/>
      <c r="P2944" s="242"/>
      <c r="Q2944" s="242"/>
      <c r="R2944" s="539"/>
      <c r="S2944" s="540"/>
      <c r="T2944" s="543"/>
      <c r="U2944" s="673" t="b">
        <v>0</v>
      </c>
      <c r="Z2944" t="b">
        <v>0</v>
      </c>
      <c r="AA2944" t="b">
        <v>0</v>
      </c>
      <c r="AC2944" s="82"/>
      <c r="AD2944" t="str">
        <f t="shared" si="71"/>
        <v/>
      </c>
      <c r="AE2944" t="str">
        <f t="shared" si="72"/>
        <v/>
      </c>
    </row>
    <row r="2945">
      <c r="D2945" s="226"/>
      <c r="H2945" s="474"/>
      <c r="I2945" s="474"/>
      <c r="J2945" s="475"/>
      <c r="K2945" s="275"/>
      <c r="L2945" s="82"/>
      <c r="M2945" s="672"/>
      <c r="N2945" s="242"/>
      <c r="O2945" s="242"/>
      <c r="P2945" s="242"/>
      <c r="Q2945" s="242"/>
      <c r="R2945" s="539"/>
      <c r="S2945" s="540"/>
      <c r="T2945" s="543"/>
      <c r="U2945" s="673" t="b">
        <v>0</v>
      </c>
      <c r="Z2945" t="b">
        <v>0</v>
      </c>
      <c r="AA2945" t="b">
        <v>0</v>
      </c>
      <c r="AC2945" s="82"/>
      <c r="AD2945" t="str">
        <f t="shared" si="71"/>
        <v/>
      </c>
      <c r="AE2945" t="str">
        <f t="shared" si="72"/>
        <v/>
      </c>
    </row>
    <row r="2946">
      <c r="D2946" s="226"/>
      <c r="H2946" s="474"/>
      <c r="I2946" s="474"/>
      <c r="J2946" s="475"/>
      <c r="K2946" s="275"/>
      <c r="L2946" s="82"/>
      <c r="M2946" s="672"/>
      <c r="N2946" s="242"/>
      <c r="O2946" s="242"/>
      <c r="P2946" s="242"/>
      <c r="Q2946" s="242"/>
      <c r="R2946" s="539"/>
      <c r="S2946" s="540"/>
      <c r="T2946" s="543"/>
      <c r="U2946" s="673" t="b">
        <v>0</v>
      </c>
      <c r="Z2946" t="b">
        <v>0</v>
      </c>
      <c r="AA2946" t="b">
        <v>0</v>
      </c>
      <c r="AC2946" s="82"/>
      <c r="AD2946" t="str">
        <f t="shared" si="71"/>
        <v/>
      </c>
      <c r="AE2946" t="str">
        <f t="shared" si="72"/>
        <v/>
      </c>
    </row>
    <row r="2947">
      <c r="D2947" s="226"/>
      <c r="H2947" s="474"/>
      <c r="I2947" s="474"/>
      <c r="J2947" s="475"/>
      <c r="K2947" s="275"/>
      <c r="L2947" s="82"/>
      <c r="M2947" s="672"/>
      <c r="N2947" s="242"/>
      <c r="O2947" s="242"/>
      <c r="P2947" s="242"/>
      <c r="Q2947" s="242"/>
      <c r="R2947" s="539"/>
      <c r="S2947" s="540"/>
      <c r="T2947" s="543"/>
      <c r="U2947" s="673" t="b">
        <v>0</v>
      </c>
      <c r="Z2947" t="b">
        <v>0</v>
      </c>
      <c r="AA2947" t="b">
        <v>0</v>
      </c>
      <c r="AC2947" s="82"/>
      <c r="AD2947" t="str">
        <f t="shared" si="71"/>
        <v/>
      </c>
      <c r="AE2947" t="str">
        <f t="shared" si="72"/>
        <v/>
      </c>
    </row>
    <row r="2948">
      <c r="D2948" s="226"/>
      <c r="H2948" s="474"/>
      <c r="I2948" s="474"/>
      <c r="J2948" s="475"/>
      <c r="K2948" s="275"/>
      <c r="L2948" s="82"/>
      <c r="M2948" s="672"/>
      <c r="N2948" s="242"/>
      <c r="O2948" s="242"/>
      <c r="P2948" s="242"/>
      <c r="Q2948" s="242"/>
      <c r="R2948" s="539"/>
      <c r="S2948" s="540"/>
      <c r="T2948" s="543"/>
      <c r="U2948" s="673" t="b">
        <v>0</v>
      </c>
      <c r="Z2948" t="b">
        <v>0</v>
      </c>
      <c r="AA2948" t="b">
        <v>0</v>
      </c>
      <c r="AC2948" s="82"/>
      <c r="AD2948" t="str">
        <f t="shared" si="71"/>
        <v/>
      </c>
      <c r="AE2948" t="str">
        <f t="shared" si="72"/>
        <v/>
      </c>
    </row>
    <row r="2949">
      <c r="D2949" s="226"/>
      <c r="H2949" s="474"/>
      <c r="I2949" s="474"/>
      <c r="J2949" s="475"/>
      <c r="K2949" s="275"/>
      <c r="L2949" s="82"/>
      <c r="M2949" s="672"/>
      <c r="N2949" s="242"/>
      <c r="O2949" s="242"/>
      <c r="P2949" s="242"/>
      <c r="Q2949" s="242"/>
      <c r="R2949" s="539"/>
      <c r="S2949" s="540"/>
      <c r="T2949" s="543"/>
      <c r="U2949" s="673" t="b">
        <v>0</v>
      </c>
      <c r="Z2949" t="b">
        <v>0</v>
      </c>
      <c r="AA2949" t="b">
        <v>0</v>
      </c>
      <c r="AC2949" s="82"/>
      <c r="AD2949" t="str">
        <f t="shared" si="71"/>
        <v/>
      </c>
      <c r="AE2949" t="str">
        <f t="shared" si="72"/>
        <v/>
      </c>
    </row>
    <row r="2950">
      <c r="D2950" s="226"/>
      <c r="H2950" s="474"/>
      <c r="I2950" s="474"/>
      <c r="J2950" s="475"/>
      <c r="K2950" s="275"/>
      <c r="L2950" s="82"/>
      <c r="M2950" s="672"/>
      <c r="N2950" s="242"/>
      <c r="O2950" s="242"/>
      <c r="P2950" s="242"/>
      <c r="Q2950" s="242"/>
      <c r="R2950" s="539"/>
      <c r="S2950" s="540"/>
      <c r="T2950" s="543"/>
      <c r="U2950" s="673" t="b">
        <v>0</v>
      </c>
      <c r="Z2950" t="b">
        <v>0</v>
      </c>
      <c r="AA2950" t="b">
        <v>0</v>
      </c>
      <c r="AC2950" s="82"/>
      <c r="AD2950" t="str">
        <f t="shared" si="71"/>
        <v/>
      </c>
      <c r="AE2950" t="str">
        <f t="shared" si="72"/>
        <v/>
      </c>
    </row>
    <row r="2951">
      <c r="D2951" s="226"/>
      <c r="H2951" s="474"/>
      <c r="I2951" s="474"/>
      <c r="J2951" s="475"/>
      <c r="K2951" s="275"/>
      <c r="L2951" s="82"/>
      <c r="M2951" s="672"/>
      <c r="N2951" s="242"/>
      <c r="O2951" s="242"/>
      <c r="P2951" s="242"/>
      <c r="Q2951" s="242"/>
      <c r="R2951" s="539"/>
      <c r="S2951" s="540"/>
      <c r="T2951" s="543"/>
      <c r="U2951" s="673" t="b">
        <v>0</v>
      </c>
      <c r="Z2951" t="b">
        <v>0</v>
      </c>
      <c r="AA2951" t="b">
        <v>0</v>
      </c>
      <c r="AC2951" s="82"/>
      <c r="AD2951" t="str">
        <f t="shared" si="71"/>
        <v/>
      </c>
      <c r="AE2951" t="str">
        <f t="shared" si="72"/>
        <v/>
      </c>
    </row>
    <row r="2952">
      <c r="D2952" s="226"/>
      <c r="H2952" s="474"/>
      <c r="I2952" s="474"/>
      <c r="J2952" s="475"/>
      <c r="K2952" s="275"/>
      <c r="L2952" s="82"/>
      <c r="M2952" s="672"/>
      <c r="N2952" s="242"/>
      <c r="O2952" s="242"/>
      <c r="P2952" s="242"/>
      <c r="Q2952" s="242"/>
      <c r="R2952" s="539"/>
      <c r="S2952" s="540"/>
      <c r="T2952" s="543"/>
      <c r="U2952" s="673" t="b">
        <v>0</v>
      </c>
      <c r="Z2952" t="b">
        <v>0</v>
      </c>
      <c r="AA2952" t="b">
        <v>0</v>
      </c>
      <c r="AC2952" s="82"/>
      <c r="AD2952" t="str">
        <f t="shared" si="71"/>
        <v/>
      </c>
      <c r="AE2952" t="str">
        <f t="shared" si="72"/>
        <v/>
      </c>
    </row>
    <row r="2953">
      <c r="D2953" s="226"/>
      <c r="H2953" s="474"/>
      <c r="I2953" s="474"/>
      <c r="J2953" s="475"/>
      <c r="K2953" s="275"/>
      <c r="L2953" s="82"/>
      <c r="M2953" s="672"/>
      <c r="N2953" s="242"/>
      <c r="O2953" s="242"/>
      <c r="P2953" s="242"/>
      <c r="Q2953" s="242"/>
      <c r="R2953" s="539"/>
      <c r="S2953" s="540"/>
      <c r="T2953" s="543"/>
      <c r="U2953" s="673" t="b">
        <v>0</v>
      </c>
      <c r="Z2953" t="b">
        <v>0</v>
      </c>
      <c r="AA2953" t="b">
        <v>0</v>
      </c>
      <c r="AC2953" s="82"/>
      <c r="AD2953" t="str">
        <f t="shared" si="71"/>
        <v/>
      </c>
      <c r="AE2953" t="str">
        <f t="shared" si="72"/>
        <v/>
      </c>
    </row>
    <row r="2954">
      <c r="D2954" s="226"/>
      <c r="H2954" s="474"/>
      <c r="I2954" s="474"/>
      <c r="J2954" s="475"/>
      <c r="K2954" s="275"/>
      <c r="L2954" s="82"/>
      <c r="M2954" s="672"/>
      <c r="N2954" s="242"/>
      <c r="O2954" s="242"/>
      <c r="P2954" s="242"/>
      <c r="Q2954" s="242"/>
      <c r="R2954" s="539"/>
      <c r="S2954" s="540"/>
      <c r="T2954" s="543"/>
      <c r="U2954" s="673" t="b">
        <v>0</v>
      </c>
      <c r="Z2954" t="b">
        <v>0</v>
      </c>
      <c r="AA2954" t="b">
        <v>0</v>
      </c>
      <c r="AC2954" s="82"/>
      <c r="AD2954" t="str">
        <f t="shared" si="71"/>
        <v/>
      </c>
      <c r="AE2954" t="str">
        <f t="shared" si="72"/>
        <v/>
      </c>
    </row>
    <row r="2955">
      <c r="D2955" s="226"/>
      <c r="H2955" s="474"/>
      <c r="I2955" s="474"/>
      <c r="J2955" s="475"/>
      <c r="K2955" s="275"/>
      <c r="L2955" s="82"/>
      <c r="M2955" s="672"/>
      <c r="N2955" s="242"/>
      <c r="O2955" s="242"/>
      <c r="P2955" s="242"/>
      <c r="Q2955" s="242"/>
      <c r="R2955" s="539"/>
      <c r="S2955" s="540"/>
      <c r="T2955" s="543"/>
      <c r="U2955" s="673" t="b">
        <v>0</v>
      </c>
      <c r="Z2955" t="b">
        <v>0</v>
      </c>
      <c r="AA2955" t="b">
        <v>0</v>
      </c>
      <c r="AC2955" s="82"/>
      <c r="AD2955" t="str">
        <f t="shared" si="71"/>
        <v/>
      </c>
      <c r="AE2955" t="str">
        <f t="shared" si="72"/>
        <v/>
      </c>
    </row>
    <row r="2956">
      <c r="D2956" s="226"/>
      <c r="H2956" s="474"/>
      <c r="I2956" s="474"/>
      <c r="J2956" s="475"/>
      <c r="K2956" s="275"/>
      <c r="L2956" s="82"/>
      <c r="M2956" s="672"/>
      <c r="N2956" s="242"/>
      <c r="O2956" s="242"/>
      <c r="P2956" s="242"/>
      <c r="Q2956" s="242"/>
      <c r="R2956" s="539"/>
      <c r="S2956" s="540"/>
      <c r="T2956" s="543"/>
      <c r="U2956" s="673" t="b">
        <v>0</v>
      </c>
      <c r="Z2956" t="b">
        <v>0</v>
      </c>
      <c r="AA2956" t="b">
        <v>0</v>
      </c>
      <c r="AC2956" s="82"/>
      <c r="AD2956" t="str">
        <f t="shared" si="71"/>
        <v/>
      </c>
      <c r="AE2956" t="str">
        <f t="shared" si="72"/>
        <v/>
      </c>
    </row>
    <row r="2957">
      <c r="D2957" s="226"/>
      <c r="H2957" s="474"/>
      <c r="I2957" s="474"/>
      <c r="J2957" s="475"/>
      <c r="K2957" s="275"/>
      <c r="L2957" s="82"/>
      <c r="M2957" s="672"/>
      <c r="N2957" s="242"/>
      <c r="O2957" s="242"/>
      <c r="P2957" s="242"/>
      <c r="Q2957" s="242"/>
      <c r="R2957" s="539"/>
      <c r="S2957" s="540"/>
      <c r="T2957" s="543"/>
      <c r="U2957" s="673" t="b">
        <v>0</v>
      </c>
      <c r="Z2957" t="b">
        <v>0</v>
      </c>
      <c r="AA2957" t="b">
        <v>0</v>
      </c>
      <c r="AC2957" s="82"/>
      <c r="AD2957" t="str">
        <f t="shared" si="71"/>
        <v/>
      </c>
      <c r="AE2957" t="str">
        <f t="shared" si="72"/>
        <v/>
      </c>
    </row>
    <row r="2958">
      <c r="D2958" s="226"/>
      <c r="H2958" s="474"/>
      <c r="I2958" s="474"/>
      <c r="J2958" s="475"/>
      <c r="K2958" s="275"/>
      <c r="L2958" s="82"/>
      <c r="M2958" s="672"/>
      <c r="N2958" s="242"/>
      <c r="O2958" s="242"/>
      <c r="P2958" s="242"/>
      <c r="Q2958" s="242"/>
      <c r="R2958" s="539"/>
      <c r="S2958" s="540"/>
      <c r="T2958" s="543"/>
      <c r="U2958" s="673" t="b">
        <v>0</v>
      </c>
      <c r="Z2958" t="b">
        <v>0</v>
      </c>
      <c r="AA2958" t="b">
        <v>0</v>
      </c>
      <c r="AC2958" s="82"/>
      <c r="AD2958" t="str">
        <f t="shared" si="71"/>
        <v/>
      </c>
      <c r="AE2958" t="str">
        <f t="shared" si="72"/>
        <v/>
      </c>
    </row>
    <row r="2959">
      <c r="D2959" s="226"/>
      <c r="H2959" s="474"/>
      <c r="I2959" s="474"/>
      <c r="J2959" s="475"/>
      <c r="K2959" s="275"/>
      <c r="L2959" s="82"/>
      <c r="M2959" s="672"/>
      <c r="N2959" s="242"/>
      <c r="O2959" s="242"/>
      <c r="P2959" s="242"/>
      <c r="Q2959" s="242"/>
      <c r="R2959" s="539"/>
      <c r="S2959" s="540"/>
      <c r="T2959" s="543"/>
      <c r="U2959" s="673" t="b">
        <v>0</v>
      </c>
      <c r="Z2959" t="b">
        <v>0</v>
      </c>
      <c r="AA2959" t="b">
        <v>0</v>
      </c>
      <c r="AC2959" s="82"/>
      <c r="AD2959" t="str">
        <f t="shared" si="71"/>
        <v/>
      </c>
      <c r="AE2959" t="str">
        <f t="shared" si="72"/>
        <v/>
      </c>
    </row>
    <row r="2960">
      <c r="D2960" s="226"/>
      <c r="H2960" s="474"/>
      <c r="I2960" s="474"/>
      <c r="J2960" s="475"/>
      <c r="K2960" s="275"/>
      <c r="L2960" s="82"/>
      <c r="M2960" s="672"/>
      <c r="N2960" s="242"/>
      <c r="O2960" s="242"/>
      <c r="P2960" s="242"/>
      <c r="Q2960" s="242"/>
      <c r="R2960" s="539"/>
      <c r="S2960" s="540"/>
      <c r="T2960" s="543"/>
      <c r="U2960" s="673" t="b">
        <v>0</v>
      </c>
      <c r="Z2960" t="b">
        <v>0</v>
      </c>
      <c r="AA2960" t="b">
        <v>0</v>
      </c>
      <c r="AC2960" s="82"/>
      <c r="AD2960" t="str">
        <f t="shared" si="71"/>
        <v/>
      </c>
      <c r="AE2960" t="str">
        <f t="shared" si="72"/>
        <v/>
      </c>
    </row>
    <row r="2961">
      <c r="D2961" s="226"/>
      <c r="H2961" s="474"/>
      <c r="I2961" s="474"/>
      <c r="J2961" s="475"/>
      <c r="K2961" s="275"/>
      <c r="L2961" s="82"/>
      <c r="M2961" s="672"/>
      <c r="N2961" s="242"/>
      <c r="O2961" s="242"/>
      <c r="P2961" s="242"/>
      <c r="Q2961" s="242"/>
      <c r="R2961" s="539"/>
      <c r="S2961" s="540"/>
      <c r="T2961" s="543"/>
      <c r="U2961" s="673" t="b">
        <v>0</v>
      </c>
      <c r="Z2961" t="b">
        <v>0</v>
      </c>
      <c r="AA2961" t="b">
        <v>0</v>
      </c>
      <c r="AC2961" s="82"/>
      <c r="AD2961" t="str">
        <f t="shared" si="71"/>
        <v/>
      </c>
      <c r="AE2961" t="str">
        <f t="shared" si="72"/>
        <v/>
      </c>
    </row>
    <row r="2962">
      <c r="D2962" s="226"/>
      <c r="H2962" s="474"/>
      <c r="I2962" s="474"/>
      <c r="J2962" s="475"/>
      <c r="K2962" s="275"/>
      <c r="L2962" s="82"/>
      <c r="M2962" s="672"/>
      <c r="N2962" s="242"/>
      <c r="O2962" s="242"/>
      <c r="P2962" s="242"/>
      <c r="Q2962" s="242"/>
      <c r="R2962" s="539"/>
      <c r="S2962" s="540"/>
      <c r="T2962" s="543"/>
      <c r="U2962" s="673" t="b">
        <v>0</v>
      </c>
      <c r="Z2962" t="b">
        <v>0</v>
      </c>
      <c r="AA2962" t="b">
        <v>0</v>
      </c>
      <c r="AC2962" s="82"/>
      <c r="AD2962" t="str">
        <f t="shared" si="71"/>
        <v/>
      </c>
      <c r="AE2962" t="str">
        <f t="shared" si="72"/>
        <v/>
      </c>
    </row>
    <row r="2963">
      <c r="D2963" s="226"/>
      <c r="H2963" s="474"/>
      <c r="I2963" s="474"/>
      <c r="J2963" s="475"/>
      <c r="K2963" s="275"/>
      <c r="L2963" s="82"/>
      <c r="M2963" s="672"/>
      <c r="N2963" s="242"/>
      <c r="O2963" s="242"/>
      <c r="P2963" s="242"/>
      <c r="Q2963" s="242"/>
      <c r="R2963" s="539"/>
      <c r="S2963" s="540"/>
      <c r="T2963" s="543"/>
      <c r="U2963" s="673" t="b">
        <v>0</v>
      </c>
      <c r="Z2963" t="b">
        <v>0</v>
      </c>
      <c r="AA2963" t="b">
        <v>0</v>
      </c>
      <c r="AC2963" s="82"/>
      <c r="AD2963" t="str">
        <f t="shared" si="71"/>
        <v/>
      </c>
      <c r="AE2963" t="str">
        <f t="shared" si="72"/>
        <v/>
      </c>
    </row>
    <row r="2964">
      <c r="D2964" s="226"/>
      <c r="H2964" s="474"/>
      <c r="I2964" s="474"/>
      <c r="J2964" s="475"/>
      <c r="K2964" s="275"/>
      <c r="L2964" s="82"/>
      <c r="M2964" s="672"/>
      <c r="N2964" s="242"/>
      <c r="O2964" s="242"/>
      <c r="P2964" s="242"/>
      <c r="Q2964" s="242"/>
      <c r="R2964" s="539"/>
      <c r="S2964" s="540"/>
      <c r="T2964" s="543"/>
      <c r="U2964" s="673" t="b">
        <v>0</v>
      </c>
      <c r="Z2964" t="b">
        <v>0</v>
      </c>
      <c r="AA2964" t="b">
        <v>0</v>
      </c>
      <c r="AC2964" s="82"/>
      <c r="AD2964" t="str">
        <f t="shared" si="71"/>
        <v/>
      </c>
      <c r="AE2964" t="str">
        <f t="shared" si="72"/>
        <v/>
      </c>
    </row>
    <row r="2965">
      <c r="D2965" s="226"/>
      <c r="H2965" s="474"/>
      <c r="I2965" s="474"/>
      <c r="J2965" s="475"/>
      <c r="K2965" s="275"/>
      <c r="L2965" s="82"/>
      <c r="M2965" s="672"/>
      <c r="N2965" s="242"/>
      <c r="O2965" s="242"/>
      <c r="P2965" s="242"/>
      <c r="Q2965" s="242"/>
      <c r="R2965" s="539"/>
      <c r="S2965" s="540"/>
      <c r="T2965" s="543"/>
      <c r="U2965" s="673" t="b">
        <v>0</v>
      </c>
      <c r="Z2965" t="b">
        <v>0</v>
      </c>
      <c r="AA2965" t="b">
        <v>0</v>
      </c>
      <c r="AC2965" s="82"/>
      <c r="AD2965" t="str">
        <f t="shared" si="71"/>
        <v/>
      </c>
      <c r="AE2965" t="str">
        <f t="shared" si="72"/>
        <v/>
      </c>
    </row>
    <row r="2966">
      <c r="D2966" s="226"/>
      <c r="H2966" s="474"/>
      <c r="I2966" s="474"/>
      <c r="J2966" s="475"/>
      <c r="K2966" s="275"/>
      <c r="L2966" s="82"/>
      <c r="M2966" s="672"/>
      <c r="N2966" s="242"/>
      <c r="O2966" s="242"/>
      <c r="P2966" s="242"/>
      <c r="Q2966" s="242"/>
      <c r="R2966" s="539"/>
      <c r="S2966" s="540"/>
      <c r="T2966" s="543"/>
      <c r="U2966" s="673" t="b">
        <v>0</v>
      </c>
      <c r="Z2966" t="b">
        <v>0</v>
      </c>
      <c r="AA2966" t="b">
        <v>0</v>
      </c>
      <c r="AC2966" s="82"/>
      <c r="AD2966" t="str">
        <f t="shared" si="71"/>
        <v/>
      </c>
      <c r="AE2966" t="str">
        <f t="shared" si="72"/>
        <v/>
      </c>
    </row>
    <row r="2967">
      <c r="D2967" s="226"/>
      <c r="H2967" s="474"/>
      <c r="I2967" s="474"/>
      <c r="J2967" s="475"/>
      <c r="K2967" s="275"/>
      <c r="L2967" s="82"/>
      <c r="M2967" s="672"/>
      <c r="N2967" s="242"/>
      <c r="O2967" s="242"/>
      <c r="P2967" s="242"/>
      <c r="Q2967" s="242"/>
      <c r="R2967" s="539"/>
      <c r="S2967" s="540"/>
      <c r="T2967" s="543"/>
      <c r="U2967" s="673" t="b">
        <v>0</v>
      </c>
      <c r="Z2967" t="b">
        <v>0</v>
      </c>
      <c r="AA2967" t="b">
        <v>0</v>
      </c>
      <c r="AC2967" s="82"/>
      <c r="AD2967" t="str">
        <f t="shared" si="71"/>
        <v/>
      </c>
      <c r="AE2967" t="str">
        <f t="shared" si="72"/>
        <v/>
      </c>
    </row>
    <row r="2968">
      <c r="D2968" s="226"/>
      <c r="H2968" s="474"/>
      <c r="I2968" s="474"/>
      <c r="J2968" s="475"/>
      <c r="K2968" s="275"/>
      <c r="L2968" s="82"/>
      <c r="M2968" s="672"/>
      <c r="N2968" s="242"/>
      <c r="O2968" s="242"/>
      <c r="P2968" s="242"/>
      <c r="Q2968" s="242"/>
      <c r="R2968" s="539"/>
      <c r="S2968" s="540"/>
      <c r="T2968" s="543"/>
      <c r="U2968" s="673" t="b">
        <v>0</v>
      </c>
      <c r="Z2968" t="b">
        <v>0</v>
      </c>
      <c r="AA2968" t="b">
        <v>0</v>
      </c>
      <c r="AC2968" s="82"/>
      <c r="AD2968" t="str">
        <f t="shared" si="71"/>
        <v/>
      </c>
      <c r="AE2968" t="str">
        <f t="shared" si="72"/>
        <v/>
      </c>
    </row>
    <row r="2969">
      <c r="D2969" s="226"/>
      <c r="H2969" s="474"/>
      <c r="I2969" s="474"/>
      <c r="J2969" s="475"/>
      <c r="K2969" s="275"/>
      <c r="L2969" s="82"/>
      <c r="M2969" s="672"/>
      <c r="N2969" s="242"/>
      <c r="O2969" s="242"/>
      <c r="P2969" s="242"/>
      <c r="Q2969" s="242"/>
      <c r="R2969" s="539"/>
      <c r="S2969" s="540"/>
      <c r="T2969" s="543"/>
      <c r="U2969" s="673" t="b">
        <v>0</v>
      </c>
      <c r="Z2969" t="b">
        <v>0</v>
      </c>
      <c r="AA2969" t="b">
        <v>0</v>
      </c>
      <c r="AC2969" s="82"/>
      <c r="AD2969" t="str">
        <f t="shared" si="71"/>
        <v/>
      </c>
      <c r="AE2969" t="str">
        <f t="shared" si="72"/>
        <v/>
      </c>
    </row>
    <row r="2970">
      <c r="D2970" s="226"/>
      <c r="H2970" s="474"/>
      <c r="I2970" s="474"/>
      <c r="J2970" s="475"/>
      <c r="K2970" s="275"/>
      <c r="L2970" s="82"/>
      <c r="M2970" s="672"/>
      <c r="N2970" s="242"/>
      <c r="O2970" s="242"/>
      <c r="P2970" s="242"/>
      <c r="Q2970" s="242"/>
      <c r="R2970" s="539"/>
      <c r="S2970" s="540"/>
      <c r="T2970" s="543"/>
      <c r="U2970" s="673" t="b">
        <v>0</v>
      </c>
      <c r="Z2970" t="b">
        <v>0</v>
      </c>
      <c r="AA2970" t="b">
        <v>0</v>
      </c>
      <c r="AC2970" s="82"/>
      <c r="AD2970" t="str">
        <f t="shared" si="71"/>
        <v/>
      </c>
      <c r="AE2970" t="str">
        <f t="shared" si="72"/>
        <v/>
      </c>
    </row>
    <row r="2971">
      <c r="D2971" s="226"/>
      <c r="H2971" s="474"/>
      <c r="I2971" s="474"/>
      <c r="J2971" s="475"/>
      <c r="K2971" s="275"/>
      <c r="L2971" s="82"/>
      <c r="M2971" s="672"/>
      <c r="N2971" s="242"/>
      <c r="O2971" s="242"/>
      <c r="P2971" s="242"/>
      <c r="Q2971" s="242"/>
      <c r="R2971" s="539"/>
      <c r="S2971" s="540"/>
      <c r="T2971" s="543"/>
      <c r="U2971" s="673" t="b">
        <v>0</v>
      </c>
      <c r="Z2971" t="b">
        <v>0</v>
      </c>
      <c r="AA2971" t="b">
        <v>0</v>
      </c>
      <c r="AC2971" s="82"/>
      <c r="AD2971" t="str">
        <f t="shared" si="71"/>
        <v/>
      </c>
      <c r="AE2971" t="str">
        <f t="shared" si="72"/>
        <v/>
      </c>
    </row>
    <row r="2972">
      <c r="D2972" s="226"/>
      <c r="H2972" s="474"/>
      <c r="I2972" s="474"/>
      <c r="J2972" s="475"/>
      <c r="K2972" s="275"/>
      <c r="L2972" s="82"/>
      <c r="M2972" s="672"/>
      <c r="N2972" s="242"/>
      <c r="O2972" s="242"/>
      <c r="P2972" s="242"/>
      <c r="Q2972" s="242"/>
      <c r="R2972" s="539"/>
      <c r="S2972" s="540"/>
      <c r="T2972" s="543"/>
      <c r="U2972" s="673" t="b">
        <v>0</v>
      </c>
      <c r="Z2972" t="b">
        <v>0</v>
      </c>
      <c r="AA2972" t="b">
        <v>0</v>
      </c>
      <c r="AC2972" s="82"/>
      <c r="AD2972" t="str">
        <f t="shared" si="71"/>
        <v/>
      </c>
      <c r="AE2972" t="str">
        <f t="shared" si="72"/>
        <v/>
      </c>
    </row>
    <row r="2973">
      <c r="D2973" s="226"/>
      <c r="H2973" s="474"/>
      <c r="I2973" s="474"/>
      <c r="J2973" s="475"/>
      <c r="K2973" s="275"/>
      <c r="L2973" s="82"/>
      <c r="M2973" s="672"/>
      <c r="N2973" s="242"/>
      <c r="O2973" s="242"/>
      <c r="P2973" s="242"/>
      <c r="Q2973" s="242"/>
      <c r="R2973" s="539"/>
      <c r="S2973" s="540"/>
      <c r="T2973" s="543"/>
      <c r="U2973" s="673" t="b">
        <v>0</v>
      </c>
      <c r="Z2973" t="b">
        <v>0</v>
      </c>
      <c r="AA2973" t="b">
        <v>0</v>
      </c>
      <c r="AC2973" s="82"/>
      <c r="AD2973" t="str">
        <f t="shared" si="71"/>
        <v/>
      </c>
      <c r="AE2973" t="str">
        <f t="shared" si="72"/>
        <v/>
      </c>
    </row>
    <row r="2974">
      <c r="D2974" s="226"/>
      <c r="H2974" s="474"/>
      <c r="I2974" s="474"/>
      <c r="J2974" s="475"/>
      <c r="K2974" s="275"/>
      <c r="L2974" s="82"/>
      <c r="M2974" s="672"/>
      <c r="N2974" s="242"/>
      <c r="O2974" s="242"/>
      <c r="P2974" s="242"/>
      <c r="Q2974" s="242"/>
      <c r="R2974" s="539"/>
      <c r="S2974" s="540"/>
      <c r="T2974" s="543"/>
      <c r="U2974" s="673" t="b">
        <v>0</v>
      </c>
      <c r="Z2974" t="b">
        <v>0</v>
      </c>
      <c r="AA2974" t="b">
        <v>0</v>
      </c>
      <c r="AC2974" s="82"/>
      <c r="AD2974" t="str">
        <f t="shared" si="71"/>
        <v/>
      </c>
      <c r="AE2974" t="str">
        <f t="shared" si="72"/>
        <v/>
      </c>
    </row>
    <row r="2975">
      <c r="D2975" s="226"/>
      <c r="H2975" s="474"/>
      <c r="I2975" s="474"/>
      <c r="J2975" s="475"/>
      <c r="K2975" s="275"/>
      <c r="L2975" s="82"/>
      <c r="M2975" s="672"/>
      <c r="N2975" s="242"/>
      <c r="O2975" s="242"/>
      <c r="P2975" s="242"/>
      <c r="Q2975" s="242"/>
      <c r="R2975" s="539"/>
      <c r="S2975" s="540"/>
      <c r="T2975" s="543"/>
      <c r="U2975" s="673" t="b">
        <v>0</v>
      </c>
      <c r="Z2975" t="b">
        <v>0</v>
      </c>
      <c r="AA2975" t="b">
        <v>0</v>
      </c>
      <c r="AC2975" s="82"/>
      <c r="AD2975" t="str">
        <f t="shared" si="71"/>
        <v/>
      </c>
      <c r="AE2975" t="str">
        <f t="shared" si="72"/>
        <v/>
      </c>
    </row>
    <row r="2976">
      <c r="D2976" s="226"/>
      <c r="H2976" s="474"/>
      <c r="I2976" s="474"/>
      <c r="J2976" s="475"/>
      <c r="K2976" s="275"/>
      <c r="L2976" s="82"/>
      <c r="M2976" s="672"/>
      <c r="N2976" s="242"/>
      <c r="O2976" s="242"/>
      <c r="P2976" s="242"/>
      <c r="Q2976" s="242"/>
      <c r="R2976" s="539"/>
      <c r="S2976" s="540"/>
      <c r="T2976" s="543"/>
      <c r="U2976" s="673" t="b">
        <v>0</v>
      </c>
      <c r="Z2976" t="b">
        <v>0</v>
      </c>
      <c r="AA2976" t="b">
        <v>0</v>
      </c>
      <c r="AC2976" s="82"/>
      <c r="AD2976" t="str">
        <f t="shared" si="71"/>
        <v/>
      </c>
      <c r="AE2976" t="str">
        <f t="shared" si="72"/>
        <v/>
      </c>
    </row>
    <row r="2977">
      <c r="D2977" s="226"/>
      <c r="H2977" s="474"/>
      <c r="I2977" s="474"/>
      <c r="J2977" s="475"/>
      <c r="K2977" s="275"/>
      <c r="L2977" s="82"/>
      <c r="M2977" s="672"/>
      <c r="N2977" s="242"/>
      <c r="O2977" s="242"/>
      <c r="P2977" s="242"/>
      <c r="Q2977" s="242"/>
      <c r="R2977" s="539"/>
      <c r="S2977" s="540"/>
      <c r="T2977" s="543"/>
      <c r="U2977" s="673" t="b">
        <v>0</v>
      </c>
      <c r="Z2977" t="b">
        <v>0</v>
      </c>
      <c r="AA2977" t="b">
        <v>0</v>
      </c>
      <c r="AC2977" s="82"/>
      <c r="AD2977" t="str">
        <f t="shared" si="71"/>
        <v/>
      </c>
      <c r="AE2977" t="str">
        <f t="shared" si="72"/>
        <v/>
      </c>
    </row>
    <row r="2978">
      <c r="D2978" s="226"/>
      <c r="H2978" s="474"/>
      <c r="I2978" s="474"/>
      <c r="J2978" s="475"/>
      <c r="K2978" s="275"/>
      <c r="L2978" s="82"/>
      <c r="M2978" s="672"/>
      <c r="N2978" s="242"/>
      <c r="O2978" s="242"/>
      <c r="P2978" s="242"/>
      <c r="Q2978" s="242"/>
      <c r="R2978" s="539"/>
      <c r="S2978" s="540"/>
      <c r="T2978" s="543"/>
      <c r="U2978" s="673" t="b">
        <v>0</v>
      </c>
      <c r="Z2978" t="b">
        <v>0</v>
      </c>
      <c r="AA2978" t="b">
        <v>0</v>
      </c>
      <c r="AC2978" s="82"/>
      <c r="AD2978" t="str">
        <f t="shared" si="71"/>
        <v/>
      </c>
      <c r="AE2978" t="str">
        <f t="shared" si="72"/>
        <v/>
      </c>
    </row>
    <row r="2979">
      <c r="D2979" s="226"/>
      <c r="H2979" s="474"/>
      <c r="I2979" s="474"/>
      <c r="J2979" s="475"/>
      <c r="K2979" s="275"/>
      <c r="L2979" s="82"/>
      <c r="M2979" s="672"/>
      <c r="N2979" s="242"/>
      <c r="O2979" s="242"/>
      <c r="P2979" s="242"/>
      <c r="Q2979" s="242"/>
      <c r="R2979" s="539"/>
      <c r="S2979" s="540"/>
      <c r="T2979" s="543"/>
      <c r="U2979" s="673" t="b">
        <v>0</v>
      </c>
      <c r="Z2979" t="b">
        <v>0</v>
      </c>
      <c r="AA2979" t="b">
        <v>0</v>
      </c>
      <c r="AC2979" s="82"/>
      <c r="AD2979" t="str">
        <f t="shared" si="71"/>
        <v/>
      </c>
      <c r="AE2979" t="str">
        <f t="shared" si="72"/>
        <v/>
      </c>
    </row>
    <row r="2980">
      <c r="D2980" s="226"/>
      <c r="H2980" s="474"/>
      <c r="I2980" s="474"/>
      <c r="J2980" s="475"/>
      <c r="K2980" s="275"/>
      <c r="L2980" s="82"/>
      <c r="M2980" s="672"/>
      <c r="N2980" s="242"/>
      <c r="O2980" s="242"/>
      <c r="P2980" s="242"/>
      <c r="Q2980" s="242"/>
      <c r="R2980" s="539"/>
      <c r="S2980" s="540"/>
      <c r="T2980" s="543"/>
      <c r="U2980" s="673" t="b">
        <v>0</v>
      </c>
      <c r="Z2980" t="b">
        <v>0</v>
      </c>
      <c r="AA2980" t="b">
        <v>0</v>
      </c>
      <c r="AC2980" s="82"/>
      <c r="AD2980" t="str">
        <f t="shared" si="71"/>
        <v/>
      </c>
      <c r="AE2980" t="str">
        <f t="shared" si="72"/>
        <v/>
      </c>
    </row>
    <row r="2981">
      <c r="D2981" s="226"/>
      <c r="H2981" s="474"/>
      <c r="I2981" s="474"/>
      <c r="J2981" s="475"/>
      <c r="K2981" s="275"/>
      <c r="L2981" s="82"/>
      <c r="M2981" s="672"/>
      <c r="N2981" s="242"/>
      <c r="O2981" s="242"/>
      <c r="P2981" s="242"/>
      <c r="Q2981" s="242"/>
      <c r="R2981" s="539"/>
      <c r="S2981" s="540"/>
      <c r="T2981" s="543"/>
      <c r="U2981" s="673" t="b">
        <v>0</v>
      </c>
      <c r="Z2981" t="b">
        <v>0</v>
      </c>
      <c r="AA2981" t="b">
        <v>0</v>
      </c>
      <c r="AC2981" s="82"/>
      <c r="AD2981" t="str">
        <f t="shared" si="71"/>
        <v/>
      </c>
      <c r="AE2981" t="str">
        <f t="shared" si="72"/>
        <v/>
      </c>
    </row>
    <row r="2982">
      <c r="D2982" s="226"/>
      <c r="H2982" s="474"/>
      <c r="I2982" s="474"/>
      <c r="J2982" s="475"/>
      <c r="K2982" s="275"/>
      <c r="L2982" s="82"/>
      <c r="M2982" s="672"/>
      <c r="N2982" s="242"/>
      <c r="O2982" s="242"/>
      <c r="P2982" s="242"/>
      <c r="Q2982" s="242"/>
      <c r="R2982" s="539"/>
      <c r="S2982" s="540"/>
      <c r="T2982" s="543"/>
      <c r="U2982" s="673" t="b">
        <v>0</v>
      </c>
      <c r="Z2982" t="b">
        <v>0</v>
      </c>
      <c r="AA2982" t="b">
        <v>0</v>
      </c>
      <c r="AC2982" s="82"/>
      <c r="AD2982" t="str">
        <f t="shared" si="71"/>
        <v/>
      </c>
      <c r="AE2982" t="str">
        <f t="shared" si="72"/>
        <v/>
      </c>
    </row>
    <row r="2983">
      <c r="D2983" s="226"/>
      <c r="H2983" s="474"/>
      <c r="I2983" s="474"/>
      <c r="J2983" s="475"/>
      <c r="K2983" s="275"/>
      <c r="L2983" s="82"/>
      <c r="M2983" s="672"/>
      <c r="N2983" s="242"/>
      <c r="O2983" s="242"/>
      <c r="P2983" s="242"/>
      <c r="Q2983" s="242"/>
      <c r="R2983" s="539"/>
      <c r="S2983" s="540"/>
      <c r="T2983" s="543"/>
      <c r="U2983" s="673" t="b">
        <v>0</v>
      </c>
      <c r="Z2983" t="b">
        <v>0</v>
      </c>
      <c r="AA2983" t="b">
        <v>0</v>
      </c>
      <c r="AC2983" s="82"/>
      <c r="AD2983" t="str">
        <f t="shared" si="71"/>
        <v/>
      </c>
      <c r="AE2983" t="str">
        <f t="shared" si="72"/>
        <v/>
      </c>
    </row>
    <row r="2984">
      <c r="D2984" s="226"/>
      <c r="H2984" s="474"/>
      <c r="I2984" s="474"/>
      <c r="J2984" s="475"/>
      <c r="K2984" s="275"/>
      <c r="L2984" s="82"/>
      <c r="M2984" s="672"/>
      <c r="N2984" s="242"/>
      <c r="O2984" s="242"/>
      <c r="P2984" s="242"/>
      <c r="Q2984" s="242"/>
      <c r="R2984" s="539"/>
      <c r="S2984" s="540"/>
      <c r="T2984" s="543"/>
      <c r="U2984" s="673" t="b">
        <v>0</v>
      </c>
      <c r="Z2984" t="b">
        <v>0</v>
      </c>
      <c r="AA2984" t="b">
        <v>0</v>
      </c>
      <c r="AC2984" s="82"/>
      <c r="AD2984" t="str">
        <f t="shared" si="71"/>
        <v/>
      </c>
      <c r="AE2984" t="str">
        <f t="shared" si="72"/>
        <v/>
      </c>
    </row>
    <row r="2985">
      <c r="D2985" s="226"/>
      <c r="H2985" s="474"/>
      <c r="I2985" s="474"/>
      <c r="J2985" s="475"/>
      <c r="K2985" s="275"/>
      <c r="L2985" s="82"/>
      <c r="M2985" s="672"/>
      <c r="N2985" s="242"/>
      <c r="O2985" s="242"/>
      <c r="P2985" s="242"/>
      <c r="Q2985" s="242"/>
      <c r="R2985" s="539"/>
      <c r="S2985" s="540"/>
      <c r="T2985" s="543"/>
      <c r="U2985" s="673" t="b">
        <v>0</v>
      </c>
      <c r="Z2985" t="b">
        <v>0</v>
      </c>
      <c r="AA2985" t="b">
        <v>0</v>
      </c>
      <c r="AC2985" s="82"/>
      <c r="AD2985" t="str">
        <f t="shared" si="71"/>
        <v/>
      </c>
      <c r="AE2985" t="str">
        <f t="shared" si="72"/>
        <v/>
      </c>
    </row>
    <row r="2986">
      <c r="D2986" s="226"/>
      <c r="H2986" s="474"/>
      <c r="I2986" s="474"/>
      <c r="J2986" s="475"/>
      <c r="K2986" s="275"/>
      <c r="L2986" s="82"/>
      <c r="M2986" s="672"/>
      <c r="N2986" s="242"/>
      <c r="O2986" s="242"/>
      <c r="P2986" s="242"/>
      <c r="Q2986" s="242"/>
      <c r="R2986" s="539"/>
      <c r="S2986" s="540"/>
      <c r="T2986" s="543"/>
      <c r="U2986" s="673" t="b">
        <v>0</v>
      </c>
      <c r="Z2986" t="b">
        <v>0</v>
      </c>
      <c r="AA2986" t="b">
        <v>0</v>
      </c>
      <c r="AC2986" s="82"/>
      <c r="AD2986" t="str">
        <f t="shared" si="71"/>
        <v/>
      </c>
      <c r="AE2986" t="str">
        <f t="shared" si="72"/>
        <v/>
      </c>
    </row>
    <row r="2987">
      <c r="D2987" s="226"/>
      <c r="H2987" s="474"/>
      <c r="I2987" s="474"/>
      <c r="J2987" s="475"/>
      <c r="K2987" s="275"/>
      <c r="L2987" s="82"/>
      <c r="M2987" s="672"/>
      <c r="N2987" s="242"/>
      <c r="O2987" s="242"/>
      <c r="P2987" s="242"/>
      <c r="Q2987" s="242"/>
      <c r="R2987" s="539"/>
      <c r="S2987" s="540"/>
      <c r="T2987" s="543"/>
      <c r="U2987" s="673" t="b">
        <v>0</v>
      </c>
      <c r="Z2987" t="b">
        <v>0</v>
      </c>
      <c r="AA2987" t="b">
        <v>0</v>
      </c>
      <c r="AC2987" s="82"/>
      <c r="AD2987" t="str">
        <f t="shared" si="71"/>
        <v/>
      </c>
      <c r="AE2987" t="str">
        <f t="shared" si="72"/>
        <v/>
      </c>
    </row>
    <row r="2988">
      <c r="D2988" s="226"/>
      <c r="H2988" s="474"/>
      <c r="I2988" s="474"/>
      <c r="J2988" s="475"/>
      <c r="K2988" s="275"/>
      <c r="L2988" s="82"/>
      <c r="M2988" s="672"/>
      <c r="N2988" s="242"/>
      <c r="O2988" s="242"/>
      <c r="P2988" s="242"/>
      <c r="Q2988" s="242"/>
      <c r="R2988" s="539"/>
      <c r="S2988" s="540"/>
      <c r="T2988" s="543"/>
      <c r="U2988" s="673" t="b">
        <v>0</v>
      </c>
      <c r="Z2988" t="b">
        <v>0</v>
      </c>
      <c r="AA2988" t="b">
        <v>0</v>
      </c>
      <c r="AC2988" s="82"/>
      <c r="AD2988" t="str">
        <f t="shared" si="71"/>
        <v/>
      </c>
      <c r="AE2988" t="str">
        <f t="shared" si="72"/>
        <v/>
      </c>
    </row>
    <row r="2989">
      <c r="D2989" s="226"/>
      <c r="H2989" s="474"/>
      <c r="I2989" s="474"/>
      <c r="J2989" s="475"/>
      <c r="K2989" s="275"/>
      <c r="L2989" s="82"/>
      <c r="M2989" s="672"/>
      <c r="N2989" s="242"/>
      <c r="O2989" s="242"/>
      <c r="P2989" s="242"/>
      <c r="Q2989" s="242"/>
      <c r="R2989" s="539"/>
      <c r="S2989" s="540"/>
      <c r="T2989" s="543"/>
      <c r="U2989" s="673" t="b">
        <v>0</v>
      </c>
      <c r="Z2989" t="b">
        <v>0</v>
      </c>
      <c r="AA2989" t="b">
        <v>0</v>
      </c>
      <c r="AC2989" s="82"/>
      <c r="AD2989" t="str">
        <f t="shared" si="71"/>
        <v/>
      </c>
      <c r="AE2989" t="str">
        <f t="shared" si="72"/>
        <v/>
      </c>
    </row>
    <row r="2990">
      <c r="D2990" s="226"/>
      <c r="H2990" s="474"/>
      <c r="I2990" s="474"/>
      <c r="J2990" s="475"/>
      <c r="K2990" s="275"/>
      <c r="L2990" s="82"/>
      <c r="M2990" s="672"/>
      <c r="N2990" s="242"/>
      <c r="O2990" s="242"/>
      <c r="P2990" s="242"/>
      <c r="Q2990" s="242"/>
      <c r="R2990" s="539"/>
      <c r="S2990" s="540"/>
      <c r="T2990" s="543"/>
      <c r="U2990" s="673" t="b">
        <v>0</v>
      </c>
      <c r="Z2990" t="b">
        <v>0</v>
      </c>
      <c r="AA2990" t="b">
        <v>0</v>
      </c>
      <c r="AC2990" s="82"/>
      <c r="AD2990" t="str">
        <f t="shared" si="71"/>
        <v/>
      </c>
      <c r="AE2990" t="str">
        <f t="shared" si="72"/>
        <v/>
      </c>
    </row>
    <row r="2991">
      <c r="D2991" s="226"/>
      <c r="H2991" s="474"/>
      <c r="I2991" s="474"/>
      <c r="J2991" s="475"/>
      <c r="K2991" s="275"/>
      <c r="L2991" s="82"/>
      <c r="M2991" s="672"/>
      <c r="N2991" s="242"/>
      <c r="O2991" s="242"/>
      <c r="P2991" s="242"/>
      <c r="Q2991" s="242"/>
      <c r="R2991" s="539"/>
      <c r="S2991" s="540"/>
      <c r="T2991" s="543"/>
      <c r="U2991" s="673" t="b">
        <v>0</v>
      </c>
      <c r="Z2991" t="b">
        <v>0</v>
      </c>
      <c r="AA2991" t="b">
        <v>0</v>
      </c>
      <c r="AC2991" s="82"/>
      <c r="AD2991" t="str">
        <f t="shared" si="71"/>
        <v/>
      </c>
      <c r="AE2991" t="str">
        <f t="shared" si="72"/>
        <v/>
      </c>
    </row>
    <row r="2992">
      <c r="D2992" s="226"/>
      <c r="H2992" s="474"/>
      <c r="I2992" s="474"/>
      <c r="J2992" s="475"/>
      <c r="K2992" s="275"/>
      <c r="L2992" s="82"/>
      <c r="M2992" s="672"/>
      <c r="N2992" s="242"/>
      <c r="O2992" s="242"/>
      <c r="P2992" s="242"/>
      <c r="Q2992" s="242"/>
      <c r="R2992" s="539"/>
      <c r="S2992" s="540"/>
      <c r="T2992" s="543"/>
      <c r="U2992" s="673" t="b">
        <v>0</v>
      </c>
      <c r="Z2992" t="b">
        <v>0</v>
      </c>
      <c r="AA2992" t="b">
        <v>0</v>
      </c>
      <c r="AC2992" s="82"/>
      <c r="AD2992" t="str">
        <f t="shared" si="71"/>
        <v/>
      </c>
      <c r="AE2992" t="str">
        <f t="shared" si="72"/>
        <v/>
      </c>
    </row>
    <row r="2993">
      <c r="D2993" s="226"/>
      <c r="H2993" s="474"/>
      <c r="I2993" s="474"/>
      <c r="J2993" s="475"/>
      <c r="K2993" s="275"/>
      <c r="L2993" s="82"/>
      <c r="M2993" s="672"/>
      <c r="N2993" s="242"/>
      <c r="O2993" s="242"/>
      <c r="P2993" s="242"/>
      <c r="Q2993" s="242"/>
      <c r="R2993" s="539"/>
      <c r="S2993" s="540"/>
      <c r="T2993" s="543"/>
      <c r="U2993" s="673" t="b">
        <v>0</v>
      </c>
      <c r="Z2993" t="b">
        <v>0</v>
      </c>
      <c r="AA2993" t="b">
        <v>0</v>
      </c>
      <c r="AC2993" s="82"/>
      <c r="AD2993" t="str">
        <f t="shared" si="71"/>
        <v/>
      </c>
      <c r="AE2993" t="str">
        <f t="shared" si="72"/>
        <v/>
      </c>
    </row>
    <row r="2994">
      <c r="D2994" s="226"/>
      <c r="H2994" s="474"/>
      <c r="I2994" s="474"/>
      <c r="J2994" s="475"/>
      <c r="K2994" s="275"/>
      <c r="L2994" s="82"/>
      <c r="M2994" s="672"/>
      <c r="N2994" s="242"/>
      <c r="O2994" s="242"/>
      <c r="P2994" s="242"/>
      <c r="Q2994" s="242"/>
      <c r="R2994" s="539"/>
      <c r="S2994" s="540"/>
      <c r="T2994" s="543"/>
      <c r="U2994" s="673" t="b">
        <v>0</v>
      </c>
      <c r="Z2994" t="b">
        <v>0</v>
      </c>
      <c r="AA2994" t="b">
        <v>0</v>
      </c>
      <c r="AC2994" s="82"/>
      <c r="AD2994" t="str">
        <f t="shared" si="71"/>
        <v/>
      </c>
      <c r="AE2994" t="str">
        <f t="shared" si="72"/>
        <v/>
      </c>
    </row>
    <row r="2995">
      <c r="D2995" s="226"/>
      <c r="H2995" s="474"/>
      <c r="I2995" s="474"/>
      <c r="J2995" s="475"/>
      <c r="K2995" s="275"/>
      <c r="L2995" s="82"/>
      <c r="M2995" s="672"/>
      <c r="N2995" s="242"/>
      <c r="O2995" s="242"/>
      <c r="P2995" s="242"/>
      <c r="Q2995" s="242"/>
      <c r="R2995" s="539"/>
      <c r="S2995" s="540"/>
      <c r="T2995" s="543"/>
      <c r="U2995" s="673" t="b">
        <v>0</v>
      </c>
      <c r="Z2995" t="b">
        <v>0</v>
      </c>
      <c r="AA2995" t="b">
        <v>0</v>
      </c>
      <c r="AC2995" s="82"/>
      <c r="AD2995" t="str">
        <f t="shared" si="71"/>
        <v/>
      </c>
      <c r="AE2995" t="str">
        <f t="shared" si="72"/>
        <v/>
      </c>
    </row>
    <row r="2996">
      <c r="D2996" s="226"/>
      <c r="H2996" s="474"/>
      <c r="I2996" s="474"/>
      <c r="J2996" s="475"/>
      <c r="K2996" s="275"/>
      <c r="L2996" s="82"/>
      <c r="M2996" s="672"/>
      <c r="N2996" s="242"/>
      <c r="O2996" s="242"/>
      <c r="P2996" s="242"/>
      <c r="Q2996" s="242"/>
      <c r="R2996" s="539"/>
      <c r="S2996" s="540"/>
      <c r="T2996" s="543"/>
      <c r="U2996" s="673" t="b">
        <v>0</v>
      </c>
      <c r="Z2996" t="b">
        <v>0</v>
      </c>
      <c r="AA2996" t="b">
        <v>0</v>
      </c>
      <c r="AC2996" s="82"/>
      <c r="AD2996" t="str">
        <f t="shared" si="71"/>
        <v/>
      </c>
      <c r="AE2996" t="str">
        <f t="shared" si="72"/>
        <v/>
      </c>
    </row>
    <row r="2997">
      <c r="D2997" s="226"/>
      <c r="H2997" s="474"/>
      <c r="I2997" s="474"/>
      <c r="J2997" s="475"/>
      <c r="K2997" s="275"/>
      <c r="L2997" s="82"/>
      <c r="M2997" s="672"/>
      <c r="N2997" s="242"/>
      <c r="O2997" s="242"/>
      <c r="P2997" s="242"/>
      <c r="Q2997" s="242"/>
      <c r="R2997" s="539"/>
      <c r="S2997" s="540"/>
      <c r="T2997" s="543"/>
      <c r="U2997" s="673" t="b">
        <v>0</v>
      </c>
      <c r="Z2997" t="b">
        <v>0</v>
      </c>
      <c r="AA2997" t="b">
        <v>0</v>
      </c>
      <c r="AC2997" s="82"/>
      <c r="AD2997" t="str">
        <f t="shared" si="71"/>
        <v/>
      </c>
      <c r="AE2997" t="str">
        <f t="shared" si="72"/>
        <v/>
      </c>
    </row>
    <row r="2998">
      <c r="D2998" s="226"/>
      <c r="H2998" s="474"/>
      <c r="I2998" s="474"/>
      <c r="J2998" s="475"/>
      <c r="K2998" s="275"/>
      <c r="L2998" s="82"/>
      <c r="M2998" s="672"/>
      <c r="N2998" s="242"/>
      <c r="O2998" s="242"/>
      <c r="P2998" s="242"/>
      <c r="Q2998" s="242"/>
      <c r="R2998" s="539"/>
      <c r="S2998" s="540"/>
      <c r="T2998" s="543"/>
      <c r="U2998" s="673" t="b">
        <v>0</v>
      </c>
      <c r="Z2998" t="b">
        <v>0</v>
      </c>
      <c r="AA2998" t="b">
        <v>0</v>
      </c>
      <c r="AC2998" s="82"/>
      <c r="AD2998" t="str">
        <f t="shared" si="71"/>
        <v/>
      </c>
      <c r="AE2998" t="str">
        <f t="shared" si="72"/>
        <v/>
      </c>
    </row>
    <row r="2999">
      <c r="D2999" s="226"/>
      <c r="H2999" s="474"/>
      <c r="I2999" s="474"/>
      <c r="J2999" s="475"/>
      <c r="K2999" s="275"/>
      <c r="L2999" s="82"/>
      <c r="M2999" s="672"/>
      <c r="N2999" s="242"/>
      <c r="O2999" s="242"/>
      <c r="P2999" s="242"/>
      <c r="Q2999" s="242"/>
      <c r="R2999" s="539"/>
      <c r="S2999" s="540"/>
      <c r="T2999" s="543"/>
      <c r="U2999" s="673" t="b">
        <v>0</v>
      </c>
      <c r="Z2999" t="b">
        <v>0</v>
      </c>
      <c r="AA2999" t="b">
        <v>0</v>
      </c>
      <c r="AC2999" s="82"/>
      <c r="AD2999" t="str">
        <f t="shared" si="71"/>
        <v/>
      </c>
      <c r="AE2999" t="str">
        <f t="shared" si="72"/>
        <v/>
      </c>
    </row>
    <row r="3000">
      <c r="D3000" s="226"/>
      <c r="H3000" s="474"/>
      <c r="I3000" s="474"/>
      <c r="J3000" s="475"/>
      <c r="K3000" s="275"/>
      <c r="L3000" s="82"/>
      <c r="M3000" s="672"/>
      <c r="N3000" s="242"/>
      <c r="O3000" s="242"/>
      <c r="P3000" s="242"/>
      <c r="Q3000" s="242"/>
      <c r="R3000" s="539"/>
      <c r="S3000" s="540"/>
      <c r="T3000" s="543"/>
      <c r="U3000" s="673" t="b">
        <v>0</v>
      </c>
      <c r="Z3000" t="b">
        <v>0</v>
      </c>
      <c r="AA3000" t="b">
        <v>0</v>
      </c>
      <c r="AC3000" s="82"/>
      <c r="AD3000" t="str">
        <f t="shared" si="71"/>
        <v/>
      </c>
      <c r="AE3000" t="str">
        <f t="shared" si="72"/>
        <v/>
      </c>
    </row>
    <row r="3001">
      <c r="D3001" s="226"/>
      <c r="H3001" s="474"/>
      <c r="I3001" s="474"/>
      <c r="J3001" s="475"/>
      <c r="K3001" s="275"/>
      <c r="L3001" s="82"/>
      <c r="M3001" s="672"/>
      <c r="N3001" s="242"/>
      <c r="O3001" s="242"/>
      <c r="P3001" s="242"/>
      <c r="Q3001" s="242"/>
      <c r="R3001" s="539"/>
      <c r="S3001" s="540"/>
      <c r="T3001" s="543"/>
      <c r="U3001" s="673" t="b">
        <v>0</v>
      </c>
      <c r="Z3001" t="b">
        <v>0</v>
      </c>
      <c r="AA3001" t="b">
        <v>0</v>
      </c>
      <c r="AC3001" s="82"/>
      <c r="AD3001" t="str">
        <f t="shared" si="71"/>
        <v/>
      </c>
      <c r="AE3001" t="str">
        <f t="shared" si="72"/>
        <v/>
      </c>
    </row>
    <row r="3002">
      <c r="D3002" s="226"/>
      <c r="H3002" s="474"/>
      <c r="I3002" s="474"/>
      <c r="J3002" s="475"/>
      <c r="K3002" s="275"/>
      <c r="L3002" s="82"/>
      <c r="M3002" s="672"/>
      <c r="N3002" s="242"/>
      <c r="O3002" s="242"/>
      <c r="P3002" s="242"/>
      <c r="Q3002" s="242"/>
      <c r="R3002" s="539"/>
      <c r="S3002" s="540"/>
      <c r="T3002" s="543"/>
      <c r="U3002" s="673" t="b">
        <v>0</v>
      </c>
      <c r="Z3002" t="b">
        <v>0</v>
      </c>
      <c r="AA3002" t="b">
        <v>0</v>
      </c>
      <c r="AC3002" s="82"/>
      <c r="AD3002" t="str">
        <f t="shared" si="71"/>
        <v/>
      </c>
      <c r="AE3002" t="str">
        <f t="shared" si="72"/>
        <v/>
      </c>
    </row>
    <row r="3003">
      <c r="D3003" s="226"/>
      <c r="H3003" s="474"/>
      <c r="I3003" s="474"/>
      <c r="J3003" s="475"/>
      <c r="K3003" s="275"/>
      <c r="L3003" s="82"/>
      <c r="M3003" s="672"/>
      <c r="N3003" s="242"/>
      <c r="O3003" s="242"/>
      <c r="P3003" s="242"/>
      <c r="Q3003" s="242"/>
      <c r="R3003" s="539"/>
      <c r="S3003" s="540"/>
      <c r="T3003" s="543"/>
      <c r="U3003" s="673" t="b">
        <v>0</v>
      </c>
      <c r="Z3003" t="b">
        <v>0</v>
      </c>
      <c r="AA3003" t="b">
        <v>0</v>
      </c>
      <c r="AC3003" s="82"/>
      <c r="AD3003" t="str">
        <f t="shared" si="71"/>
        <v/>
      </c>
      <c r="AE3003" t="str">
        <f t="shared" si="72"/>
        <v/>
      </c>
    </row>
    <row r="3004">
      <c r="D3004" s="226"/>
      <c r="H3004" s="474"/>
      <c r="I3004" s="474"/>
      <c r="J3004" s="475"/>
      <c r="K3004" s="275"/>
      <c r="L3004" s="82"/>
      <c r="M3004" s="672"/>
      <c r="N3004" s="242"/>
      <c r="O3004" s="242"/>
      <c r="P3004" s="242"/>
      <c r="Q3004" s="242"/>
      <c r="R3004" s="539"/>
      <c r="S3004" s="540"/>
      <c r="T3004" s="543"/>
      <c r="U3004" s="673" t="b">
        <v>0</v>
      </c>
      <c r="Z3004" t="b">
        <v>0</v>
      </c>
      <c r="AA3004" t="b">
        <v>0</v>
      </c>
      <c r="AC3004" s="82"/>
      <c r="AD3004" t="str">
        <f t="shared" si="71"/>
        <v/>
      </c>
      <c r="AE3004" t="str">
        <f t="shared" si="72"/>
        <v/>
      </c>
    </row>
    <row r="3005">
      <c r="D3005" s="226"/>
      <c r="H3005" s="474"/>
      <c r="I3005" s="474"/>
      <c r="J3005" s="475"/>
      <c r="K3005" s="275"/>
      <c r="L3005" s="82"/>
      <c r="M3005" s="672"/>
      <c r="N3005" s="242"/>
      <c r="O3005" s="242"/>
      <c r="P3005" s="242"/>
      <c r="Q3005" s="242"/>
      <c r="R3005" s="539"/>
      <c r="S3005" s="540"/>
      <c r="T3005" s="543"/>
      <c r="U3005" s="673" t="b">
        <v>0</v>
      </c>
      <c r="Z3005" t="b">
        <v>0</v>
      </c>
      <c r="AA3005" t="b">
        <v>0</v>
      </c>
      <c r="AC3005" s="82"/>
      <c r="AD3005" t="str">
        <f t="shared" si="71"/>
        <v/>
      </c>
      <c r="AE3005" t="str">
        <f t="shared" si="72"/>
        <v/>
      </c>
    </row>
    <row r="3006">
      <c r="D3006" s="226"/>
      <c r="H3006" s="474"/>
      <c r="I3006" s="474"/>
      <c r="J3006" s="475"/>
      <c r="K3006" s="275"/>
      <c r="L3006" s="82"/>
      <c r="M3006" s="672"/>
      <c r="N3006" s="242"/>
      <c r="O3006" s="242"/>
      <c r="P3006" s="242"/>
      <c r="Q3006" s="242"/>
      <c r="R3006" s="539"/>
      <c r="S3006" s="540"/>
      <c r="T3006" s="543"/>
      <c r="U3006" s="673" t="b">
        <v>0</v>
      </c>
      <c r="Z3006" t="b">
        <v>0</v>
      </c>
      <c r="AA3006" t="b">
        <v>0</v>
      </c>
      <c r="AC3006" s="82"/>
      <c r="AD3006" t="str">
        <f t="shared" si="71"/>
        <v/>
      </c>
      <c r="AE3006" t="str">
        <f t="shared" si="72"/>
        <v/>
      </c>
    </row>
    <row r="3007">
      <c r="D3007" s="226"/>
      <c r="H3007" s="474"/>
      <c r="I3007" s="474"/>
      <c r="J3007" s="475"/>
      <c r="K3007" s="275"/>
      <c r="L3007" s="82"/>
      <c r="M3007" s="672"/>
      <c r="N3007" s="242"/>
      <c r="O3007" s="242"/>
      <c r="P3007" s="242"/>
      <c r="Q3007" s="242"/>
      <c r="R3007" s="539"/>
      <c r="S3007" s="540"/>
      <c r="T3007" s="543"/>
      <c r="U3007" s="673" t="b">
        <v>0</v>
      </c>
      <c r="Z3007" t="b">
        <v>0</v>
      </c>
      <c r="AA3007" t="b">
        <v>0</v>
      </c>
      <c r="AC3007" s="82"/>
      <c r="AD3007" t="str">
        <f t="shared" si="71"/>
        <v/>
      </c>
      <c r="AE3007" t="str">
        <f t="shared" si="72"/>
        <v/>
      </c>
    </row>
    <row r="3008">
      <c r="D3008" s="226"/>
      <c r="H3008" s="474"/>
      <c r="I3008" s="474"/>
      <c r="J3008" s="475"/>
      <c r="K3008" s="275"/>
      <c r="L3008" s="82"/>
      <c r="M3008" s="672"/>
      <c r="N3008" s="242"/>
      <c r="O3008" s="242"/>
      <c r="P3008" s="242"/>
      <c r="Q3008" s="242"/>
      <c r="R3008" s="539"/>
      <c r="S3008" s="540"/>
      <c r="T3008" s="543"/>
      <c r="U3008" s="673" t="b">
        <v>0</v>
      </c>
      <c r="Z3008" t="b">
        <v>0</v>
      </c>
      <c r="AA3008" t="b">
        <v>0</v>
      </c>
      <c r="AC3008" s="82"/>
      <c r="AD3008" t="str">
        <f t="shared" si="71"/>
        <v/>
      </c>
      <c r="AE3008" t="str">
        <f t="shared" si="72"/>
        <v/>
      </c>
    </row>
    <row r="3009">
      <c r="D3009" s="226"/>
      <c r="H3009" s="474"/>
      <c r="I3009" s="474"/>
      <c r="J3009" s="475"/>
      <c r="K3009" s="275"/>
      <c r="L3009" s="82"/>
      <c r="M3009" s="672"/>
      <c r="N3009" s="242"/>
      <c r="O3009" s="242"/>
      <c r="P3009" s="242"/>
      <c r="Q3009" s="242"/>
      <c r="R3009" s="539"/>
      <c r="S3009" s="540"/>
      <c r="T3009" s="543"/>
      <c r="U3009" s="673" t="b">
        <v>0</v>
      </c>
      <c r="Z3009" t="b">
        <v>0</v>
      </c>
      <c r="AA3009" t="b">
        <v>0</v>
      </c>
      <c r="AC3009" s="82"/>
      <c r="AD3009" t="str">
        <f t="shared" si="71"/>
        <v/>
      </c>
      <c r="AE3009" t="str">
        <f t="shared" si="72"/>
        <v/>
      </c>
    </row>
    <row r="3010">
      <c r="D3010" s="226"/>
      <c r="H3010" s="474"/>
      <c r="I3010" s="474"/>
      <c r="J3010" s="475"/>
      <c r="K3010" s="275"/>
      <c r="L3010" s="82"/>
      <c r="M3010" s="672"/>
      <c r="N3010" s="242"/>
      <c r="O3010" s="242"/>
      <c r="P3010" s="242"/>
      <c r="Q3010" s="242"/>
      <c r="R3010" s="539"/>
      <c r="S3010" s="540"/>
      <c r="T3010" s="543"/>
      <c r="U3010" s="673" t="b">
        <v>0</v>
      </c>
      <c r="Z3010" t="b">
        <v>0</v>
      </c>
      <c r="AA3010" t="b">
        <v>0</v>
      </c>
      <c r="AC3010" s="82"/>
      <c r="AD3010" t="str">
        <f t="shared" si="71"/>
        <v/>
      </c>
      <c r="AE3010" t="str">
        <f t="shared" si="72"/>
        <v/>
      </c>
    </row>
    <row r="3011">
      <c r="D3011" s="226"/>
      <c r="H3011" s="474"/>
      <c r="I3011" s="474"/>
      <c r="J3011" s="475"/>
      <c r="K3011" s="275"/>
      <c r="L3011" s="82"/>
      <c r="M3011" s="672"/>
      <c r="N3011" s="242"/>
      <c r="O3011" s="242"/>
      <c r="P3011" s="242"/>
      <c r="Q3011" s="242"/>
      <c r="R3011" s="539"/>
      <c r="S3011" s="540"/>
      <c r="T3011" s="543"/>
      <c r="U3011" s="673" t="b">
        <v>0</v>
      </c>
      <c r="Z3011" t="b">
        <v>0</v>
      </c>
      <c r="AA3011" t="b">
        <v>0</v>
      </c>
      <c r="AC3011" s="82"/>
      <c r="AD3011" t="str">
        <f t="shared" si="71"/>
        <v/>
      </c>
      <c r="AE3011" t="str">
        <f t="shared" si="72"/>
        <v/>
      </c>
    </row>
    <row r="3012">
      <c r="D3012" s="226"/>
      <c r="H3012" s="474"/>
      <c r="I3012" s="474"/>
      <c r="J3012" s="475"/>
      <c r="K3012" s="275"/>
      <c r="L3012" s="82"/>
      <c r="M3012" s="672"/>
      <c r="N3012" s="242"/>
      <c r="O3012" s="242"/>
      <c r="P3012" s="242"/>
      <c r="Q3012" s="242"/>
      <c r="R3012" s="539"/>
      <c r="S3012" s="540"/>
      <c r="T3012" s="543"/>
      <c r="U3012" s="673" t="b">
        <v>0</v>
      </c>
      <c r="Z3012" t="b">
        <v>0</v>
      </c>
      <c r="AA3012" t="b">
        <v>0</v>
      </c>
      <c r="AC3012" s="82"/>
      <c r="AD3012" t="str">
        <f t="shared" si="71"/>
        <v/>
      </c>
      <c r="AE3012" t="str">
        <f t="shared" si="72"/>
        <v/>
      </c>
    </row>
    <row r="3013">
      <c r="D3013" s="226"/>
      <c r="H3013" s="474"/>
      <c r="I3013" s="474"/>
      <c r="J3013" s="475"/>
      <c r="K3013" s="275"/>
      <c r="L3013" s="82"/>
      <c r="M3013" s="672"/>
      <c r="N3013" s="242"/>
      <c r="O3013" s="242"/>
      <c r="P3013" s="242"/>
      <c r="Q3013" s="242"/>
      <c r="R3013" s="539"/>
      <c r="S3013" s="540"/>
      <c r="T3013" s="543"/>
      <c r="U3013" s="673" t="b">
        <v>0</v>
      </c>
      <c r="Z3013" t="b">
        <v>0</v>
      </c>
      <c r="AA3013" t="b">
        <v>0</v>
      </c>
      <c r="AC3013" s="82"/>
      <c r="AD3013" t="str">
        <f t="shared" si="71"/>
        <v/>
      </c>
      <c r="AE3013" t="str">
        <f t="shared" si="72"/>
        <v/>
      </c>
    </row>
    <row r="3014">
      <c r="D3014" s="226"/>
      <c r="H3014" s="474"/>
      <c r="I3014" s="474"/>
      <c r="J3014" s="475"/>
      <c r="K3014" s="275"/>
      <c r="L3014" s="82"/>
      <c r="M3014" s="672"/>
      <c r="N3014" s="242"/>
      <c r="O3014" s="242"/>
      <c r="P3014" s="242"/>
      <c r="Q3014" s="242"/>
      <c r="R3014" s="539"/>
      <c r="S3014" s="540"/>
      <c r="T3014" s="543"/>
      <c r="U3014" s="673" t="b">
        <v>0</v>
      </c>
      <c r="Z3014" t="b">
        <v>0</v>
      </c>
      <c r="AA3014" t="b">
        <v>0</v>
      </c>
      <c r="AC3014" s="82"/>
      <c r="AD3014" t="str">
        <f t="shared" si="71"/>
        <v/>
      </c>
      <c r="AE3014" t="str">
        <f t="shared" si="72"/>
        <v/>
      </c>
    </row>
    <row r="3015">
      <c r="D3015" s="226"/>
      <c r="H3015" s="474"/>
      <c r="I3015" s="474"/>
      <c r="J3015" s="475"/>
      <c r="K3015" s="275"/>
      <c r="L3015" s="82"/>
      <c r="M3015" s="672"/>
      <c r="N3015" s="242"/>
      <c r="O3015" s="242"/>
      <c r="P3015" s="242"/>
      <c r="Q3015" s="242"/>
      <c r="R3015" s="539"/>
      <c r="S3015" s="540"/>
      <c r="T3015" s="543"/>
      <c r="U3015" s="673" t="b">
        <v>0</v>
      </c>
      <c r="Z3015" t="b">
        <v>0</v>
      </c>
      <c r="AA3015" t="b">
        <v>0</v>
      </c>
      <c r="AC3015" s="82"/>
      <c r="AD3015" t="str">
        <f t="shared" si="71"/>
        <v/>
      </c>
      <c r="AE3015" t="str">
        <f t="shared" si="72"/>
        <v/>
      </c>
    </row>
    <row r="3016">
      <c r="D3016" s="226"/>
      <c r="H3016" s="474"/>
      <c r="I3016" s="474"/>
      <c r="J3016" s="475"/>
      <c r="K3016" s="275"/>
      <c r="L3016" s="82"/>
      <c r="M3016" s="672"/>
      <c r="N3016" s="242"/>
      <c r="O3016" s="242"/>
      <c r="P3016" s="242"/>
      <c r="Q3016" s="242"/>
      <c r="R3016" s="539"/>
      <c r="S3016" s="540"/>
      <c r="T3016" s="543"/>
      <c r="U3016" s="673" t="b">
        <v>0</v>
      </c>
      <c r="Z3016" t="b">
        <v>0</v>
      </c>
      <c r="AA3016" t="b">
        <v>0</v>
      </c>
      <c r="AC3016" s="82"/>
      <c r="AD3016" t="str">
        <f t="shared" si="71"/>
        <v/>
      </c>
      <c r="AE3016" t="str">
        <f t="shared" si="72"/>
        <v/>
      </c>
    </row>
    <row r="3017">
      <c r="D3017" s="226"/>
      <c r="H3017" s="474"/>
      <c r="I3017" s="474"/>
      <c r="J3017" s="475"/>
      <c r="K3017" s="275"/>
      <c r="L3017" s="82"/>
      <c r="M3017" s="672"/>
      <c r="N3017" s="242"/>
      <c r="O3017" s="242"/>
      <c r="P3017" s="242"/>
      <c r="Q3017" s="242"/>
      <c r="R3017" s="539"/>
      <c r="S3017" s="540"/>
      <c r="T3017" s="543"/>
      <c r="U3017" s="673" t="b">
        <v>0</v>
      </c>
      <c r="Z3017" t="b">
        <v>0</v>
      </c>
      <c r="AA3017" t="b">
        <v>0</v>
      </c>
      <c r="AC3017" s="82"/>
      <c r="AD3017" t="str">
        <f t="shared" si="71"/>
        <v/>
      </c>
      <c r="AE3017" t="str">
        <f t="shared" si="72"/>
        <v/>
      </c>
    </row>
    <row r="3018">
      <c r="D3018" s="226"/>
      <c r="H3018" s="474"/>
      <c r="I3018" s="474"/>
      <c r="J3018" s="475"/>
      <c r="K3018" s="275"/>
      <c r="L3018" s="82"/>
      <c r="M3018" s="672"/>
      <c r="N3018" s="242"/>
      <c r="O3018" s="242"/>
      <c r="P3018" s="242"/>
      <c r="Q3018" s="242"/>
      <c r="R3018" s="539"/>
      <c r="S3018" s="540"/>
      <c r="T3018" s="543"/>
      <c r="U3018" s="673" t="b">
        <v>0</v>
      </c>
      <c r="Z3018" t="b">
        <v>0</v>
      </c>
      <c r="AA3018" t="b">
        <v>0</v>
      </c>
      <c r="AC3018" s="82"/>
      <c r="AD3018" t="str">
        <f t="shared" si="71"/>
        <v/>
      </c>
      <c r="AE3018" t="str">
        <f t="shared" si="72"/>
        <v/>
      </c>
    </row>
    <row r="3019">
      <c r="D3019" s="226"/>
      <c r="H3019" s="474"/>
      <c r="I3019" s="474"/>
      <c r="J3019" s="475"/>
      <c r="K3019" s="275"/>
      <c r="L3019" s="82"/>
      <c r="M3019" s="672"/>
      <c r="N3019" s="242"/>
      <c r="O3019" s="242"/>
      <c r="P3019" s="242"/>
      <c r="Q3019" s="242"/>
      <c r="R3019" s="539"/>
      <c r="S3019" s="540"/>
      <c r="T3019" s="543"/>
      <c r="U3019" s="673" t="b">
        <v>0</v>
      </c>
      <c r="Z3019" t="b">
        <v>0</v>
      </c>
      <c r="AA3019" t="b">
        <v>0</v>
      </c>
      <c r="AC3019" s="82"/>
      <c r="AD3019" t="str">
        <f t="shared" si="71"/>
        <v/>
      </c>
      <c r="AE3019" t="str">
        <f t="shared" si="72"/>
        <v/>
      </c>
    </row>
    <row r="3020">
      <c r="D3020" s="226"/>
      <c r="H3020" s="474"/>
      <c r="I3020" s="474"/>
      <c r="J3020" s="475"/>
      <c r="K3020" s="275"/>
      <c r="L3020" s="82"/>
      <c r="M3020" s="672"/>
      <c r="N3020" s="242"/>
      <c r="O3020" s="242"/>
      <c r="P3020" s="242"/>
      <c r="Q3020" s="242"/>
      <c r="R3020" s="539"/>
      <c r="S3020" s="540"/>
      <c r="T3020" s="543"/>
      <c r="U3020" s="673" t="b">
        <v>0</v>
      </c>
      <c r="Z3020" t="b">
        <v>0</v>
      </c>
      <c r="AA3020" t="b">
        <v>0</v>
      </c>
      <c r="AC3020" s="82"/>
      <c r="AD3020" t="str">
        <f t="shared" si="71"/>
        <v/>
      </c>
      <c r="AE3020" t="str">
        <f t="shared" si="72"/>
        <v/>
      </c>
    </row>
    <row r="3021">
      <c r="D3021" s="226"/>
      <c r="H3021" s="474"/>
      <c r="I3021" s="474"/>
      <c r="J3021" s="475"/>
      <c r="K3021" s="275"/>
      <c r="L3021" s="82"/>
      <c r="M3021" s="672"/>
      <c r="N3021" s="242"/>
      <c r="O3021" s="242"/>
      <c r="P3021" s="242"/>
      <c r="Q3021" s="242"/>
      <c r="R3021" s="539"/>
      <c r="S3021" s="540"/>
      <c r="T3021" s="543"/>
      <c r="U3021" s="673" t="b">
        <v>0</v>
      </c>
      <c r="Z3021" t="b">
        <v>0</v>
      </c>
      <c r="AA3021" t="b">
        <v>0</v>
      </c>
      <c r="AC3021" s="82"/>
      <c r="AD3021" t="str">
        <f t="shared" si="71"/>
        <v/>
      </c>
      <c r="AE3021" t="str">
        <f t="shared" si="72"/>
        <v/>
      </c>
    </row>
    <row r="3022">
      <c r="D3022" s="226"/>
      <c r="H3022" s="474"/>
      <c r="I3022" s="474"/>
      <c r="J3022" s="475"/>
      <c r="K3022" s="275"/>
      <c r="L3022" s="82"/>
      <c r="M3022" s="672"/>
      <c r="N3022" s="242"/>
      <c r="O3022" s="242"/>
      <c r="P3022" s="242"/>
      <c r="Q3022" s="242"/>
      <c r="R3022" s="539"/>
      <c r="S3022" s="540"/>
      <c r="T3022" s="543"/>
      <c r="U3022" s="673" t="b">
        <v>0</v>
      </c>
      <c r="Z3022" t="b">
        <v>0</v>
      </c>
      <c r="AA3022" t="b">
        <v>0</v>
      </c>
      <c r="AC3022" s="82"/>
      <c r="AD3022" t="str">
        <f t="shared" si="71"/>
        <v/>
      </c>
      <c r="AE3022" t="str">
        <f t="shared" si="72"/>
        <v/>
      </c>
    </row>
    <row r="3023">
      <c r="D3023" s="226"/>
      <c r="H3023" s="474"/>
      <c r="I3023" s="474"/>
      <c r="J3023" s="475"/>
      <c r="K3023" s="275"/>
      <c r="L3023" s="82"/>
      <c r="M3023" s="672"/>
      <c r="N3023" s="242"/>
      <c r="O3023" s="242"/>
      <c r="P3023" s="242"/>
      <c r="Q3023" s="242"/>
      <c r="R3023" s="539"/>
      <c r="S3023" s="540"/>
      <c r="T3023" s="543"/>
      <c r="U3023" s="673" t="b">
        <v>0</v>
      </c>
      <c r="Z3023" t="b">
        <v>0</v>
      </c>
      <c r="AA3023" t="b">
        <v>0</v>
      </c>
      <c r="AC3023" s="82"/>
      <c r="AD3023" t="str">
        <f t="shared" si="71"/>
        <v/>
      </c>
      <c r="AE3023" t="str">
        <f t="shared" si="72"/>
        <v/>
      </c>
    </row>
    <row r="3024">
      <c r="D3024" s="226"/>
      <c r="H3024" s="474"/>
      <c r="I3024" s="474"/>
      <c r="J3024" s="475"/>
      <c r="K3024" s="275"/>
      <c r="L3024" s="82"/>
      <c r="M3024" s="672"/>
      <c r="N3024" s="242"/>
      <c r="O3024" s="242"/>
      <c r="P3024" s="242"/>
      <c r="Q3024" s="242"/>
      <c r="R3024" s="539"/>
      <c r="S3024" s="540"/>
      <c r="T3024" s="543"/>
      <c r="U3024" s="673" t="b">
        <v>0</v>
      </c>
      <c r="Z3024" t="b">
        <v>0</v>
      </c>
      <c r="AA3024" t="b">
        <v>0</v>
      </c>
      <c r="AC3024" s="82"/>
      <c r="AD3024" t="str">
        <f t="shared" si="71"/>
        <v/>
      </c>
      <c r="AE3024" t="str">
        <f t="shared" si="72"/>
        <v/>
      </c>
    </row>
    <row r="3025">
      <c r="D3025" s="226"/>
      <c r="H3025" s="474"/>
      <c r="I3025" s="474"/>
      <c r="J3025" s="475"/>
      <c r="K3025" s="275"/>
      <c r="L3025" s="82"/>
      <c r="M3025" s="672"/>
      <c r="N3025" s="242"/>
      <c r="O3025" s="242"/>
      <c r="P3025" s="242"/>
      <c r="Q3025" s="242"/>
      <c r="R3025" s="539"/>
      <c r="S3025" s="540"/>
      <c r="T3025" s="543"/>
      <c r="U3025" s="673" t="b">
        <v>0</v>
      </c>
      <c r="Z3025" t="b">
        <v>0</v>
      </c>
      <c r="AA3025" t="b">
        <v>0</v>
      </c>
      <c r="AC3025" s="82"/>
      <c r="AD3025" t="str">
        <f t="shared" si="71"/>
        <v/>
      </c>
      <c r="AE3025" t="str">
        <f t="shared" si="72"/>
        <v/>
      </c>
    </row>
    <row r="3026">
      <c r="D3026" s="226"/>
      <c r="H3026" s="474"/>
      <c r="I3026" s="474"/>
      <c r="J3026" s="475"/>
      <c r="K3026" s="275"/>
      <c r="L3026" s="82"/>
      <c r="M3026" s="672"/>
      <c r="N3026" s="242"/>
      <c r="O3026" s="242"/>
      <c r="P3026" s="242"/>
      <c r="Q3026" s="242"/>
      <c r="R3026" s="539"/>
      <c r="S3026" s="540"/>
      <c r="T3026" s="543"/>
      <c r="U3026" s="673" t="b">
        <v>0</v>
      </c>
      <c r="Z3026" t="b">
        <v>0</v>
      </c>
      <c r="AA3026" t="b">
        <v>0</v>
      </c>
      <c r="AC3026" s="82"/>
      <c r="AD3026" t="str">
        <f t="shared" si="71"/>
        <v/>
      </c>
      <c r="AE3026" t="str">
        <f t="shared" si="72"/>
        <v/>
      </c>
    </row>
    <row r="3027">
      <c r="D3027" s="226"/>
      <c r="H3027" s="474"/>
      <c r="I3027" s="474"/>
      <c r="J3027" s="475"/>
      <c r="K3027" s="275"/>
      <c r="L3027" s="82"/>
      <c r="M3027" s="672"/>
      <c r="N3027" s="242"/>
      <c r="O3027" s="242"/>
      <c r="P3027" s="242"/>
      <c r="Q3027" s="242"/>
      <c r="R3027" s="539"/>
      <c r="S3027" s="540"/>
      <c r="T3027" s="543"/>
      <c r="U3027" s="673" t="b">
        <v>0</v>
      </c>
      <c r="Z3027" t="b">
        <v>0</v>
      </c>
      <c r="AA3027" t="b">
        <v>0</v>
      </c>
      <c r="AC3027" s="82"/>
      <c r="AD3027" t="str">
        <f t="shared" si="71"/>
        <v/>
      </c>
      <c r="AE3027" t="str">
        <f t="shared" si="72"/>
        <v/>
      </c>
    </row>
    <row r="3028">
      <c r="D3028" s="226"/>
      <c r="H3028" s="474"/>
      <c r="I3028" s="474"/>
      <c r="J3028" s="475"/>
      <c r="K3028" s="275"/>
      <c r="L3028" s="82"/>
      <c r="M3028" s="672"/>
      <c r="N3028" s="242"/>
      <c r="O3028" s="242"/>
      <c r="P3028" s="242"/>
      <c r="Q3028" s="242"/>
      <c r="R3028" s="539"/>
      <c r="S3028" s="540"/>
      <c r="T3028" s="543"/>
      <c r="U3028" s="673" t="b">
        <v>0</v>
      </c>
      <c r="Z3028" t="b">
        <v>0</v>
      </c>
      <c r="AA3028" t="b">
        <v>0</v>
      </c>
      <c r="AC3028" s="82"/>
      <c r="AD3028" t="str">
        <f t="shared" si="71"/>
        <v/>
      </c>
      <c r="AE3028" t="str">
        <f t="shared" si="72"/>
        <v/>
      </c>
    </row>
    <row r="3029">
      <c r="D3029" s="226"/>
      <c r="H3029" s="474"/>
      <c r="I3029" s="474"/>
      <c r="J3029" s="475"/>
      <c r="K3029" s="275"/>
      <c r="L3029" s="82"/>
      <c r="M3029" s="672"/>
      <c r="N3029" s="242"/>
      <c r="O3029" s="242"/>
      <c r="P3029" s="242"/>
      <c r="Q3029" s="242"/>
      <c r="R3029" s="539"/>
      <c r="S3029" s="540"/>
      <c r="T3029" s="543"/>
      <c r="U3029" s="673" t="b">
        <v>0</v>
      </c>
      <c r="Z3029" t="b">
        <v>0</v>
      </c>
      <c r="AA3029" t="b">
        <v>0</v>
      </c>
      <c r="AC3029" s="82"/>
      <c r="AD3029" t="str">
        <f t="shared" si="71"/>
        <v/>
      </c>
      <c r="AE3029" t="str">
        <f t="shared" si="72"/>
        <v/>
      </c>
    </row>
    <row r="3030">
      <c r="D3030" s="226"/>
      <c r="H3030" s="474"/>
      <c r="I3030" s="474"/>
      <c r="J3030" s="475"/>
      <c r="K3030" s="275"/>
      <c r="L3030" s="82"/>
      <c r="M3030" s="672"/>
      <c r="N3030" s="242"/>
      <c r="O3030" s="242"/>
      <c r="P3030" s="242"/>
      <c r="Q3030" s="242"/>
      <c r="R3030" s="539"/>
      <c r="S3030" s="540"/>
      <c r="T3030" s="543"/>
      <c r="U3030" s="673" t="b">
        <v>0</v>
      </c>
      <c r="Z3030" t="b">
        <v>0</v>
      </c>
      <c r="AA3030" t="b">
        <v>0</v>
      </c>
      <c r="AC3030" s="82"/>
      <c r="AD3030" t="str">
        <f t="shared" si="71"/>
        <v/>
      </c>
      <c r="AE3030" t="str">
        <f t="shared" si="72"/>
        <v/>
      </c>
    </row>
    <row r="3031">
      <c r="D3031" s="226"/>
      <c r="H3031" s="474"/>
      <c r="I3031" s="474"/>
      <c r="J3031" s="475"/>
      <c r="K3031" s="275"/>
      <c r="L3031" s="82"/>
      <c r="M3031" s="672"/>
      <c r="N3031" s="242"/>
      <c r="O3031" s="242"/>
      <c r="P3031" s="242"/>
      <c r="Q3031" s="242"/>
      <c r="R3031" s="539"/>
      <c r="S3031" s="540"/>
      <c r="T3031" s="543"/>
      <c r="U3031" s="673" t="b">
        <v>0</v>
      </c>
      <c r="Z3031" t="b">
        <v>0</v>
      </c>
      <c r="AA3031" t="b">
        <v>0</v>
      </c>
      <c r="AC3031" s="82"/>
      <c r="AD3031" t="str">
        <f t="shared" si="71"/>
        <v/>
      </c>
      <c r="AE3031" t="str">
        <f t="shared" si="72"/>
        <v/>
      </c>
    </row>
    <row r="3032">
      <c r="D3032" s="226"/>
      <c r="H3032" s="474"/>
      <c r="I3032" s="474"/>
      <c r="J3032" s="475"/>
      <c r="K3032" s="275"/>
      <c r="L3032" s="82"/>
      <c r="M3032" s="672"/>
      <c r="N3032" s="242"/>
      <c r="O3032" s="242"/>
      <c r="P3032" s="242"/>
      <c r="Q3032" s="242"/>
      <c r="R3032" s="539"/>
      <c r="S3032" s="540"/>
      <c r="T3032" s="543"/>
      <c r="U3032" s="673" t="b">
        <v>0</v>
      </c>
      <c r="Z3032" t="b">
        <v>0</v>
      </c>
      <c r="AA3032" t="b">
        <v>0</v>
      </c>
      <c r="AC3032" s="82"/>
      <c r="AD3032" t="str">
        <f t="shared" si="71"/>
        <v/>
      </c>
      <c r="AE3032" t="str">
        <f t="shared" si="72"/>
        <v/>
      </c>
    </row>
    <row r="3033">
      <c r="D3033" s="226"/>
      <c r="H3033" s="474"/>
      <c r="I3033" s="474"/>
      <c r="J3033" s="475"/>
      <c r="K3033" s="275"/>
      <c r="L3033" s="82"/>
      <c r="M3033" s="672"/>
      <c r="N3033" s="242"/>
      <c r="O3033" s="242"/>
      <c r="P3033" s="242"/>
      <c r="Q3033" s="242"/>
      <c r="R3033" s="539"/>
      <c r="S3033" s="540"/>
      <c r="T3033" s="543"/>
      <c r="U3033" s="673" t="b">
        <v>0</v>
      </c>
      <c r="Z3033" t="b">
        <v>0</v>
      </c>
      <c r="AA3033" t="b">
        <v>0</v>
      </c>
      <c r="AC3033" s="82"/>
      <c r="AD3033" t="str">
        <f t="shared" si="71"/>
        <v/>
      </c>
      <c r="AE3033" t="str">
        <f t="shared" si="72"/>
        <v/>
      </c>
    </row>
    <row r="3034">
      <c r="D3034" s="226"/>
      <c r="H3034" s="474"/>
      <c r="I3034" s="474"/>
      <c r="J3034" s="475"/>
      <c r="K3034" s="275"/>
      <c r="L3034" s="82"/>
      <c r="M3034" s="672"/>
      <c r="N3034" s="242"/>
      <c r="O3034" s="242"/>
      <c r="P3034" s="242"/>
      <c r="Q3034" s="242"/>
      <c r="R3034" s="539"/>
      <c r="S3034" s="540"/>
      <c r="T3034" s="543"/>
      <c r="U3034" s="673" t="b">
        <v>0</v>
      </c>
      <c r="Z3034" t="b">
        <v>0</v>
      </c>
      <c r="AA3034" t="b">
        <v>0</v>
      </c>
      <c r="AC3034" s="82"/>
      <c r="AD3034" t="str">
        <f t="shared" si="71"/>
        <v/>
      </c>
      <c r="AE3034" t="str">
        <f t="shared" si="72"/>
        <v/>
      </c>
    </row>
    <row r="3035">
      <c r="D3035" s="226"/>
      <c r="H3035" s="474"/>
      <c r="I3035" s="474"/>
      <c r="J3035" s="475"/>
      <c r="K3035" s="275"/>
      <c r="L3035" s="82"/>
      <c r="M3035" s="672"/>
      <c r="N3035" s="242"/>
      <c r="O3035" s="242"/>
      <c r="P3035" s="242"/>
      <c r="Q3035" s="242"/>
      <c r="R3035" s="539"/>
      <c r="S3035" s="540"/>
      <c r="T3035" s="543"/>
      <c r="U3035" s="673" t="b">
        <v>0</v>
      </c>
      <c r="Z3035" t="b">
        <v>0</v>
      </c>
      <c r="AA3035" t="b">
        <v>0</v>
      </c>
      <c r="AC3035" s="82"/>
      <c r="AD3035" t="str">
        <f t="shared" si="71"/>
        <v/>
      </c>
      <c r="AE3035" t="str">
        <f t="shared" si="72"/>
        <v/>
      </c>
    </row>
    <row r="3036">
      <c r="D3036" s="226"/>
      <c r="H3036" s="474"/>
      <c r="I3036" s="474"/>
      <c r="J3036" s="475"/>
      <c r="K3036" s="275"/>
      <c r="L3036" s="82"/>
      <c r="M3036" s="672"/>
      <c r="N3036" s="242"/>
      <c r="O3036" s="242"/>
      <c r="P3036" s="242"/>
      <c r="Q3036" s="242"/>
      <c r="R3036" s="539"/>
      <c r="S3036" s="540"/>
      <c r="T3036" s="543"/>
      <c r="U3036" s="673" t="b">
        <v>0</v>
      </c>
      <c r="Z3036" t="b">
        <v>0</v>
      </c>
      <c r="AA3036" t="b">
        <v>0</v>
      </c>
      <c r="AC3036" s="82"/>
      <c r="AD3036" t="str">
        <f t="shared" si="71"/>
        <v/>
      </c>
      <c r="AE3036" t="str">
        <f t="shared" si="72"/>
        <v/>
      </c>
    </row>
    <row r="3037">
      <c r="D3037" s="226"/>
      <c r="H3037" s="474"/>
      <c r="I3037" s="474"/>
      <c r="J3037" s="475"/>
      <c r="K3037" s="275"/>
      <c r="L3037" s="82"/>
      <c r="M3037" s="672"/>
      <c r="N3037" s="242"/>
      <c r="O3037" s="242"/>
      <c r="P3037" s="242"/>
      <c r="Q3037" s="242"/>
      <c r="R3037" s="539"/>
      <c r="S3037" s="540"/>
      <c r="T3037" s="543"/>
      <c r="U3037" s="673" t="b">
        <v>0</v>
      </c>
      <c r="Z3037" t="b">
        <v>0</v>
      </c>
      <c r="AA3037" t="b">
        <v>0</v>
      </c>
      <c r="AC3037" s="82"/>
      <c r="AD3037" t="str">
        <f t="shared" si="71"/>
        <v/>
      </c>
      <c r="AE3037" t="str">
        <f t="shared" si="72"/>
        <v/>
      </c>
    </row>
    <row r="3038">
      <c r="D3038" s="226"/>
      <c r="H3038" s="474"/>
      <c r="I3038" s="474"/>
      <c r="J3038" s="475"/>
      <c r="K3038" s="275"/>
      <c r="L3038" s="82"/>
      <c r="M3038" s="672"/>
      <c r="N3038" s="242"/>
      <c r="O3038" s="242"/>
      <c r="P3038" s="242"/>
      <c r="Q3038" s="242"/>
      <c r="R3038" s="539"/>
      <c r="S3038" s="540"/>
      <c r="T3038" s="543"/>
      <c r="U3038" s="673" t="b">
        <v>0</v>
      </c>
      <c r="Z3038" t="b">
        <v>0</v>
      </c>
      <c r="AA3038" t="b">
        <v>0</v>
      </c>
      <c r="AC3038" s="82"/>
      <c r="AD3038" t="str">
        <f t="shared" si="71"/>
        <v/>
      </c>
      <c r="AE3038" t="str">
        <f t="shared" si="72"/>
        <v/>
      </c>
    </row>
    <row r="3039">
      <c r="D3039" s="226"/>
      <c r="H3039" s="474"/>
      <c r="I3039" s="474"/>
      <c r="J3039" s="475"/>
      <c r="K3039" s="275"/>
      <c r="L3039" s="82"/>
      <c r="M3039" s="672"/>
      <c r="N3039" s="242"/>
      <c r="O3039" s="242"/>
      <c r="P3039" s="242"/>
      <c r="Q3039" s="242"/>
      <c r="R3039" s="539"/>
      <c r="S3039" s="540"/>
      <c r="T3039" s="543"/>
      <c r="U3039" s="673" t="b">
        <v>0</v>
      </c>
      <c r="Z3039" t="b">
        <v>0</v>
      </c>
      <c r="AA3039" t="b">
        <v>0</v>
      </c>
      <c r="AC3039" s="82"/>
      <c r="AD3039" t="str">
        <f t="shared" si="71"/>
        <v/>
      </c>
      <c r="AE3039" t="str">
        <f t="shared" si="72"/>
        <v/>
      </c>
    </row>
    <row r="3040">
      <c r="D3040" s="226"/>
      <c r="H3040" s="474"/>
      <c r="I3040" s="474"/>
      <c r="J3040" s="475"/>
      <c r="K3040" s="275"/>
      <c r="L3040" s="82"/>
      <c r="M3040" s="672"/>
      <c r="N3040" s="242"/>
      <c r="O3040" s="242"/>
      <c r="P3040" s="242"/>
      <c r="Q3040" s="242"/>
      <c r="R3040" s="539"/>
      <c r="S3040" s="540"/>
      <c r="T3040" s="543"/>
      <c r="U3040" s="673" t="b">
        <v>0</v>
      </c>
      <c r="Z3040" t="b">
        <v>0</v>
      </c>
      <c r="AA3040" t="b">
        <v>0</v>
      </c>
      <c r="AC3040" s="82"/>
      <c r="AD3040" t="str">
        <f t="shared" si="71"/>
        <v/>
      </c>
      <c r="AE3040" t="str">
        <f t="shared" si="72"/>
        <v/>
      </c>
    </row>
    <row r="3041">
      <c r="D3041" s="226"/>
      <c r="H3041" s="474"/>
      <c r="I3041" s="474"/>
      <c r="J3041" s="475"/>
      <c r="K3041" s="275"/>
      <c r="L3041" s="82"/>
      <c r="M3041" s="672"/>
      <c r="N3041" s="242"/>
      <c r="O3041" s="242"/>
      <c r="P3041" s="242"/>
      <c r="Q3041" s="242"/>
      <c r="R3041" s="539"/>
      <c r="S3041" s="540"/>
      <c r="T3041" s="543"/>
      <c r="U3041" s="673" t="b">
        <v>0</v>
      </c>
      <c r="Z3041" t="b">
        <v>0</v>
      </c>
      <c r="AA3041" t="b">
        <v>0</v>
      </c>
      <c r="AC3041" s="82"/>
      <c r="AD3041" t="str">
        <f t="shared" si="71"/>
        <v/>
      </c>
      <c r="AE3041" t="str">
        <f t="shared" si="72"/>
        <v/>
      </c>
    </row>
    <row r="3042">
      <c r="D3042" s="226"/>
      <c r="H3042" s="474"/>
      <c r="I3042" s="474"/>
      <c r="J3042" s="475"/>
      <c r="K3042" s="275"/>
      <c r="L3042" s="82"/>
      <c r="M3042" s="672"/>
      <c r="N3042" s="242"/>
      <c r="O3042" s="242"/>
      <c r="P3042" s="242"/>
      <c r="Q3042" s="242"/>
      <c r="R3042" s="539"/>
      <c r="S3042" s="540"/>
      <c r="T3042" s="543"/>
      <c r="U3042" s="673" t="b">
        <v>0</v>
      </c>
      <c r="Z3042" t="b">
        <v>0</v>
      </c>
      <c r="AA3042" t="b">
        <v>0</v>
      </c>
      <c r="AC3042" s="82"/>
      <c r="AD3042" t="str">
        <f t="shared" si="71"/>
        <v/>
      </c>
      <c r="AE3042" t="str">
        <f t="shared" si="72"/>
        <v/>
      </c>
    </row>
    <row r="3043">
      <c r="D3043" s="226"/>
      <c r="H3043" s="474"/>
      <c r="I3043" s="474"/>
      <c r="J3043" s="475"/>
      <c r="K3043" s="275"/>
      <c r="L3043" s="82"/>
      <c r="M3043" s="672"/>
      <c r="N3043" s="242"/>
      <c r="O3043" s="242"/>
      <c r="P3043" s="242"/>
      <c r="Q3043" s="242"/>
      <c r="R3043" s="539"/>
      <c r="S3043" s="540"/>
      <c r="T3043" s="543"/>
      <c r="U3043" s="673" t="b">
        <v>0</v>
      </c>
      <c r="Z3043" t="b">
        <v>0</v>
      </c>
      <c r="AA3043" t="b">
        <v>0</v>
      </c>
      <c r="AC3043" s="82"/>
      <c r="AD3043" t="str">
        <f t="shared" si="71"/>
        <v/>
      </c>
      <c r="AE3043" t="str">
        <f t="shared" si="72"/>
        <v/>
      </c>
    </row>
    <row r="3044">
      <c r="D3044" s="226"/>
      <c r="H3044" s="474"/>
      <c r="I3044" s="474"/>
      <c r="J3044" s="475"/>
      <c r="K3044" s="275"/>
      <c r="L3044" s="82"/>
      <c r="M3044" s="672"/>
      <c r="N3044" s="242"/>
      <c r="O3044" s="242"/>
      <c r="P3044" s="242"/>
      <c r="Q3044" s="242"/>
      <c r="R3044" s="539"/>
      <c r="S3044" s="540"/>
      <c r="T3044" s="543"/>
      <c r="U3044" s="673" t="b">
        <v>0</v>
      </c>
      <c r="Z3044" t="b">
        <v>0</v>
      </c>
      <c r="AA3044" t="b">
        <v>0</v>
      </c>
      <c r="AC3044" s="82"/>
      <c r="AD3044" t="str">
        <f t="shared" si="71"/>
        <v/>
      </c>
      <c r="AE3044" t="str">
        <f t="shared" si="72"/>
        <v/>
      </c>
    </row>
    <row r="3045">
      <c r="D3045" s="226"/>
      <c r="H3045" s="474"/>
      <c r="I3045" s="474"/>
      <c r="J3045" s="475"/>
      <c r="K3045" s="275"/>
      <c r="L3045" s="82"/>
      <c r="M3045" s="672"/>
      <c r="N3045" s="242"/>
      <c r="O3045" s="242"/>
      <c r="P3045" s="242"/>
      <c r="Q3045" s="242"/>
      <c r="R3045" s="539"/>
      <c r="S3045" s="540"/>
      <c r="T3045" s="543"/>
      <c r="U3045" s="673" t="b">
        <v>0</v>
      </c>
      <c r="Z3045" t="b">
        <v>0</v>
      </c>
      <c r="AA3045" t="b">
        <v>0</v>
      </c>
      <c r="AC3045" s="82"/>
      <c r="AD3045" t="str">
        <f t="shared" si="71"/>
        <v/>
      </c>
      <c r="AE3045" t="str">
        <f t="shared" si="72"/>
        <v/>
      </c>
    </row>
    <row r="3046">
      <c r="D3046" s="226"/>
      <c r="H3046" s="474"/>
      <c r="I3046" s="474"/>
      <c r="J3046" s="475"/>
      <c r="K3046" s="275"/>
      <c r="L3046" s="82"/>
      <c r="M3046" s="672"/>
      <c r="N3046" s="242"/>
      <c r="O3046" s="242"/>
      <c r="P3046" s="242"/>
      <c r="Q3046" s="242"/>
      <c r="R3046" s="539"/>
      <c r="S3046" s="540"/>
      <c r="T3046" s="543"/>
      <c r="U3046" s="673" t="b">
        <v>0</v>
      </c>
      <c r="Z3046" t="b">
        <v>0</v>
      </c>
      <c r="AA3046" t="b">
        <v>0</v>
      </c>
      <c r="AC3046" s="82"/>
      <c r="AD3046" t="str">
        <f t="shared" si="71"/>
        <v/>
      </c>
      <c r="AE3046" t="str">
        <f t="shared" si="72"/>
        <v/>
      </c>
    </row>
    <row r="3047">
      <c r="D3047" s="226"/>
      <c r="H3047" s="474"/>
      <c r="I3047" s="474"/>
      <c r="J3047" s="475"/>
      <c r="K3047" s="275"/>
      <c r="L3047" s="82"/>
      <c r="M3047" s="672"/>
      <c r="N3047" s="242"/>
      <c r="O3047" s="242"/>
      <c r="P3047" s="242"/>
      <c r="Q3047" s="242"/>
      <c r="R3047" s="539"/>
      <c r="S3047" s="540"/>
      <c r="T3047" s="543"/>
      <c r="U3047" s="673" t="b">
        <v>0</v>
      </c>
      <c r="Z3047" t="b">
        <v>0</v>
      </c>
      <c r="AA3047" t="b">
        <v>0</v>
      </c>
      <c r="AC3047" s="82"/>
      <c r="AD3047" t="str">
        <f t="shared" si="71"/>
        <v/>
      </c>
      <c r="AE3047" t="str">
        <f t="shared" si="72"/>
        <v/>
      </c>
    </row>
    <row r="3048">
      <c r="D3048" s="226"/>
      <c r="H3048" s="474"/>
      <c r="I3048" s="474"/>
      <c r="J3048" s="475"/>
      <c r="K3048" s="275"/>
      <c r="L3048" s="82"/>
      <c r="M3048" s="672"/>
      <c r="N3048" s="242"/>
      <c r="O3048" s="242"/>
      <c r="P3048" s="242"/>
      <c r="Q3048" s="242"/>
      <c r="R3048" s="539"/>
      <c r="S3048" s="540"/>
      <c r="T3048" s="543"/>
      <c r="U3048" s="673" t="b">
        <v>0</v>
      </c>
      <c r="Z3048" t="b">
        <v>0</v>
      </c>
      <c r="AA3048" t="b">
        <v>0</v>
      </c>
      <c r="AC3048" s="82"/>
      <c r="AD3048" t="str">
        <f t="shared" si="71"/>
        <v/>
      </c>
      <c r="AE3048" t="str">
        <f t="shared" si="72"/>
        <v/>
      </c>
    </row>
    <row r="3049">
      <c r="D3049" s="226"/>
      <c r="H3049" s="474"/>
      <c r="I3049" s="474"/>
      <c r="J3049" s="475"/>
      <c r="K3049" s="275"/>
      <c r="L3049" s="82"/>
      <c r="M3049" s="672"/>
      <c r="N3049" s="242"/>
      <c r="O3049" s="242"/>
      <c r="P3049" s="242"/>
      <c r="Q3049" s="242"/>
      <c r="R3049" s="539"/>
      <c r="S3049" s="540"/>
      <c r="T3049" s="543"/>
      <c r="U3049" s="673" t="b">
        <v>0</v>
      </c>
      <c r="Z3049" t="b">
        <v>0</v>
      </c>
      <c r="AA3049" t="b">
        <v>0</v>
      </c>
      <c r="AC3049" s="82"/>
      <c r="AD3049" t="str">
        <f t="shared" si="71"/>
        <v/>
      </c>
      <c r="AE3049" t="str">
        <f t="shared" si="72"/>
        <v/>
      </c>
    </row>
    <row r="3050">
      <c r="D3050" s="226"/>
      <c r="H3050" s="474"/>
      <c r="I3050" s="474"/>
      <c r="J3050" s="475"/>
      <c r="K3050" s="275"/>
      <c r="L3050" s="82"/>
      <c r="M3050" s="672"/>
      <c r="N3050" s="242"/>
      <c r="O3050" s="242"/>
      <c r="P3050" s="242"/>
      <c r="Q3050" s="242"/>
      <c r="R3050" s="539"/>
      <c r="S3050" s="540"/>
      <c r="T3050" s="543"/>
      <c r="U3050" s="673" t="b">
        <v>0</v>
      </c>
      <c r="Z3050" t="b">
        <v>0</v>
      </c>
      <c r="AA3050" t="b">
        <v>0</v>
      </c>
      <c r="AC3050" s="82"/>
      <c r="AD3050" t="str">
        <f t="shared" si="71"/>
        <v/>
      </c>
      <c r="AE3050" t="str">
        <f t="shared" si="72"/>
        <v/>
      </c>
    </row>
    <row r="3051">
      <c r="D3051" s="226"/>
      <c r="H3051" s="474"/>
      <c r="I3051" s="474"/>
      <c r="J3051" s="475"/>
      <c r="K3051" s="275"/>
      <c r="L3051" s="82"/>
      <c r="M3051" s="672"/>
      <c r="N3051" s="242"/>
      <c r="O3051" s="242"/>
      <c r="P3051" s="242"/>
      <c r="Q3051" s="242"/>
      <c r="R3051" s="539"/>
      <c r="S3051" s="540"/>
      <c r="T3051" s="543"/>
      <c r="U3051" s="673" t="b">
        <v>0</v>
      </c>
      <c r="Z3051" t="b">
        <v>0</v>
      </c>
      <c r="AA3051" t="b">
        <v>0</v>
      </c>
      <c r="AC3051" s="82"/>
      <c r="AD3051" t="str">
        <f t="shared" si="71"/>
        <v/>
      </c>
      <c r="AE3051" t="str">
        <f t="shared" si="72"/>
        <v/>
      </c>
    </row>
    <row r="3052">
      <c r="D3052" s="226"/>
      <c r="H3052" s="474"/>
      <c r="I3052" s="474"/>
      <c r="J3052" s="475"/>
      <c r="K3052" s="275"/>
      <c r="L3052" s="82"/>
      <c r="M3052" s="672"/>
      <c r="N3052" s="242"/>
      <c r="O3052" s="242"/>
      <c r="P3052" s="242"/>
      <c r="Q3052" s="242"/>
      <c r="R3052" s="539"/>
      <c r="S3052" s="540"/>
      <c r="T3052" s="543"/>
      <c r="U3052" s="673" t="b">
        <v>0</v>
      </c>
      <c r="Z3052" t="b">
        <v>0</v>
      </c>
      <c r="AA3052" t="b">
        <v>0</v>
      </c>
      <c r="AC3052" s="82"/>
      <c r="AD3052" t="str">
        <f t="shared" si="71"/>
        <v/>
      </c>
      <c r="AE3052" t="str">
        <f t="shared" si="72"/>
        <v/>
      </c>
    </row>
    <row r="3053">
      <c r="D3053" s="226"/>
      <c r="H3053" s="474"/>
      <c r="I3053" s="474"/>
      <c r="J3053" s="475"/>
      <c r="K3053" s="275"/>
      <c r="L3053" s="82"/>
      <c r="M3053" s="672"/>
      <c r="N3053" s="242"/>
      <c r="O3053" s="242"/>
      <c r="P3053" s="242"/>
      <c r="Q3053" s="242"/>
      <c r="R3053" s="539"/>
      <c r="S3053" s="540"/>
      <c r="T3053" s="543"/>
      <c r="U3053" s="673" t="b">
        <v>0</v>
      </c>
      <c r="Z3053" t="b">
        <v>0</v>
      </c>
      <c r="AA3053" t="b">
        <v>0</v>
      </c>
      <c r="AC3053" s="82"/>
      <c r="AD3053" t="str">
        <f t="shared" si="71"/>
        <v/>
      </c>
      <c r="AE3053" t="str">
        <f t="shared" si="72"/>
        <v/>
      </c>
    </row>
    <row r="3054">
      <c r="D3054" s="226"/>
      <c r="H3054" s="474"/>
      <c r="I3054" s="474"/>
      <c r="J3054" s="475"/>
      <c r="K3054" s="275"/>
      <c r="L3054" s="82"/>
      <c r="M3054" s="672"/>
      <c r="N3054" s="242"/>
      <c r="O3054" s="242"/>
      <c r="P3054" s="242"/>
      <c r="Q3054" s="242"/>
      <c r="R3054" s="539"/>
      <c r="S3054" s="540"/>
      <c r="T3054" s="543"/>
      <c r="U3054" s="673" t="b">
        <v>0</v>
      </c>
      <c r="Z3054" t="b">
        <v>0</v>
      </c>
      <c r="AA3054" t="b">
        <v>0</v>
      </c>
      <c r="AC3054" s="82"/>
      <c r="AD3054" t="str">
        <f t="shared" si="71"/>
        <v/>
      </c>
      <c r="AE3054" t="str">
        <f t="shared" si="72"/>
        <v/>
      </c>
    </row>
    <row r="3055">
      <c r="D3055" s="226"/>
      <c r="H3055" s="474"/>
      <c r="I3055" s="474"/>
      <c r="J3055" s="475"/>
      <c r="K3055" s="275"/>
      <c r="L3055" s="82"/>
      <c r="M3055" s="672"/>
      <c r="N3055" s="242"/>
      <c r="O3055" s="242"/>
      <c r="P3055" s="242"/>
      <c r="Q3055" s="242"/>
      <c r="R3055" s="539"/>
      <c r="S3055" s="540"/>
      <c r="T3055" s="543"/>
      <c r="U3055" s="673" t="b">
        <v>0</v>
      </c>
      <c r="Z3055" t="b">
        <v>0</v>
      </c>
      <c r="AA3055" t="b">
        <v>0</v>
      </c>
      <c r="AC3055" s="82"/>
      <c r="AD3055" t="str">
        <f t="shared" si="71"/>
        <v/>
      </c>
      <c r="AE3055" t="str">
        <f t="shared" si="72"/>
        <v/>
      </c>
    </row>
    <row r="3056">
      <c r="D3056" s="226"/>
      <c r="H3056" s="474"/>
      <c r="I3056" s="474"/>
      <c r="J3056" s="475"/>
      <c r="K3056" s="275"/>
      <c r="L3056" s="82"/>
      <c r="M3056" s="672"/>
      <c r="N3056" s="242"/>
      <c r="O3056" s="242"/>
      <c r="P3056" s="242"/>
      <c r="Q3056" s="242"/>
      <c r="R3056" s="539"/>
      <c r="S3056" s="540"/>
      <c r="T3056" s="543"/>
      <c r="U3056" s="673" t="b">
        <v>0</v>
      </c>
      <c r="Z3056" t="b">
        <v>0</v>
      </c>
      <c r="AA3056" t="b">
        <v>0</v>
      </c>
      <c r="AC3056" s="82"/>
      <c r="AD3056" t="str">
        <f t="shared" si="71"/>
        <v/>
      </c>
      <c r="AE3056" t="str">
        <f t="shared" si="72"/>
        <v/>
      </c>
    </row>
    <row r="3057">
      <c r="D3057" s="226"/>
      <c r="H3057" s="474"/>
      <c r="I3057" s="474"/>
      <c r="J3057" s="475"/>
      <c r="K3057" s="275"/>
      <c r="L3057" s="82"/>
      <c r="M3057" s="672"/>
      <c r="N3057" s="242"/>
      <c r="O3057" s="242"/>
      <c r="P3057" s="242"/>
      <c r="Q3057" s="242"/>
      <c r="R3057" s="539"/>
      <c r="S3057" s="540"/>
      <c r="T3057" s="543"/>
      <c r="U3057" s="673" t="b">
        <v>0</v>
      </c>
      <c r="Z3057" t="b">
        <v>0</v>
      </c>
      <c r="AA3057" t="b">
        <v>0</v>
      </c>
      <c r="AC3057" s="82"/>
      <c r="AD3057" t="str">
        <f t="shared" si="71"/>
        <v/>
      </c>
      <c r="AE3057" t="str">
        <f t="shared" si="72"/>
        <v/>
      </c>
    </row>
    <row r="3058">
      <c r="D3058" s="226"/>
      <c r="H3058" s="474"/>
      <c r="I3058" s="474"/>
      <c r="J3058" s="475"/>
      <c r="K3058" s="275"/>
      <c r="L3058" s="82"/>
      <c r="M3058" s="672"/>
      <c r="N3058" s="242"/>
      <c r="O3058" s="242"/>
      <c r="P3058" s="242"/>
      <c r="Q3058" s="242"/>
      <c r="R3058" s="539"/>
      <c r="S3058" s="540"/>
      <c r="T3058" s="543"/>
      <c r="U3058" s="673" t="b">
        <v>0</v>
      </c>
      <c r="Z3058" t="b">
        <v>0</v>
      </c>
      <c r="AA3058" t="b">
        <v>0</v>
      </c>
      <c r="AC3058" s="82"/>
      <c r="AD3058" t="str">
        <f t="shared" si="71"/>
        <v/>
      </c>
      <c r="AE3058" t="str">
        <f t="shared" si="72"/>
        <v/>
      </c>
    </row>
    <row r="3059">
      <c r="D3059" s="226"/>
      <c r="H3059" s="474"/>
      <c r="I3059" s="474"/>
      <c r="J3059" s="475"/>
      <c r="K3059" s="275"/>
      <c r="L3059" s="82"/>
      <c r="M3059" s="672"/>
      <c r="N3059" s="242"/>
      <c r="O3059" s="242"/>
      <c r="P3059" s="242"/>
      <c r="Q3059" s="242"/>
      <c r="R3059" s="539"/>
      <c r="S3059" s="540"/>
      <c r="T3059" s="543"/>
      <c r="U3059" s="673" t="b">
        <v>0</v>
      </c>
      <c r="Z3059" t="b">
        <v>0</v>
      </c>
      <c r="AA3059" t="b">
        <v>0</v>
      </c>
      <c r="AC3059" s="82"/>
      <c r="AD3059" t="str">
        <f t="shared" si="71"/>
        <v/>
      </c>
      <c r="AE3059" t="str">
        <f t="shared" si="72"/>
        <v/>
      </c>
    </row>
    <row r="3060">
      <c r="D3060" s="226"/>
      <c r="H3060" s="474"/>
      <c r="I3060" s="474"/>
      <c r="J3060" s="475"/>
      <c r="K3060" s="275"/>
      <c r="L3060" s="82"/>
      <c r="M3060" s="672"/>
      <c r="N3060" s="242"/>
      <c r="O3060" s="242"/>
      <c r="P3060" s="242"/>
      <c r="Q3060" s="242"/>
      <c r="R3060" s="539"/>
      <c r="S3060" s="540"/>
      <c r="T3060" s="543"/>
      <c r="U3060" s="673" t="b">
        <v>0</v>
      </c>
      <c r="Z3060" t="b">
        <v>0</v>
      </c>
      <c r="AA3060" t="b">
        <v>0</v>
      </c>
      <c r="AC3060" s="82"/>
      <c r="AD3060" t="str">
        <f t="shared" si="71"/>
        <v/>
      </c>
      <c r="AE3060" t="str">
        <f t="shared" si="72"/>
        <v/>
      </c>
    </row>
    <row r="3061">
      <c r="D3061" s="226"/>
      <c r="H3061" s="474"/>
      <c r="I3061" s="474"/>
      <c r="J3061" s="475"/>
      <c r="K3061" s="275"/>
      <c r="L3061" s="82"/>
      <c r="M3061" s="672"/>
      <c r="N3061" s="242"/>
      <c r="O3061" s="242"/>
      <c r="P3061" s="242"/>
      <c r="Q3061" s="242"/>
      <c r="R3061" s="539"/>
      <c r="S3061" s="540"/>
      <c r="T3061" s="543"/>
      <c r="U3061" s="673" t="b">
        <v>0</v>
      </c>
      <c r="Z3061" t="b">
        <v>0</v>
      </c>
      <c r="AA3061" t="b">
        <v>0</v>
      </c>
      <c r="AC3061" s="82"/>
      <c r="AD3061" t="str">
        <f t="shared" si="71"/>
        <v/>
      </c>
      <c r="AE3061" t="str">
        <f t="shared" si="72"/>
        <v/>
      </c>
    </row>
    <row r="3062">
      <c r="D3062" s="226"/>
      <c r="H3062" s="474"/>
      <c r="I3062" s="474"/>
      <c r="J3062" s="475"/>
      <c r="K3062" s="275"/>
      <c r="L3062" s="82"/>
      <c r="M3062" s="672"/>
      <c r="N3062" s="242"/>
      <c r="O3062" s="242"/>
      <c r="P3062" s="242"/>
      <c r="Q3062" s="242"/>
      <c r="R3062" s="539"/>
      <c r="S3062" s="540"/>
      <c r="T3062" s="543"/>
      <c r="U3062" s="673" t="b">
        <v>0</v>
      </c>
      <c r="Z3062" t="b">
        <v>0</v>
      </c>
      <c r="AA3062" t="b">
        <v>0</v>
      </c>
      <c r="AC3062" s="82"/>
      <c r="AD3062" t="str">
        <f t="shared" si="71"/>
        <v/>
      </c>
      <c r="AE3062" t="str">
        <f t="shared" si="72"/>
        <v/>
      </c>
    </row>
    <row r="3063">
      <c r="D3063" s="226"/>
      <c r="H3063" s="474"/>
      <c r="I3063" s="474"/>
      <c r="J3063" s="475"/>
      <c r="K3063" s="275"/>
      <c r="L3063" s="82"/>
      <c r="M3063" s="672"/>
      <c r="N3063" s="242"/>
      <c r="O3063" s="242"/>
      <c r="P3063" s="242"/>
      <c r="Q3063" s="242"/>
      <c r="R3063" s="539"/>
      <c r="S3063" s="540"/>
      <c r="T3063" s="543"/>
      <c r="U3063" s="673" t="b">
        <v>0</v>
      </c>
      <c r="Z3063" t="b">
        <v>0</v>
      </c>
      <c r="AA3063" t="b">
        <v>0</v>
      </c>
      <c r="AC3063" s="82"/>
      <c r="AD3063" t="str">
        <f t="shared" si="71"/>
        <v/>
      </c>
      <c r="AE3063" t="str">
        <f t="shared" si="72"/>
        <v/>
      </c>
    </row>
    <row r="3064">
      <c r="D3064" s="226"/>
      <c r="H3064" s="474"/>
      <c r="I3064" s="474"/>
      <c r="J3064" s="475"/>
      <c r="K3064" s="275"/>
      <c r="L3064" s="82"/>
      <c r="M3064" s="672"/>
      <c r="N3064" s="242"/>
      <c r="O3064" s="242"/>
      <c r="P3064" s="242"/>
      <c r="Q3064" s="242"/>
      <c r="R3064" s="539"/>
      <c r="S3064" s="540"/>
      <c r="T3064" s="543"/>
      <c r="U3064" s="673" t="b">
        <v>0</v>
      </c>
      <c r="Z3064" t="b">
        <v>0</v>
      </c>
      <c r="AA3064" t="b">
        <v>0</v>
      </c>
      <c r="AC3064" s="82"/>
      <c r="AD3064" t="str">
        <f t="shared" si="71"/>
        <v/>
      </c>
      <c r="AE3064" t="str">
        <f t="shared" si="72"/>
        <v/>
      </c>
    </row>
    <row r="3065">
      <c r="D3065" s="226"/>
      <c r="H3065" s="474"/>
      <c r="I3065" s="474"/>
      <c r="J3065" s="475"/>
      <c r="K3065" s="275"/>
      <c r="L3065" s="82"/>
      <c r="M3065" s="672"/>
      <c r="N3065" s="242"/>
      <c r="O3065" s="242"/>
      <c r="P3065" s="242"/>
      <c r="Q3065" s="242"/>
      <c r="R3065" s="539"/>
      <c r="S3065" s="540"/>
      <c r="T3065" s="543"/>
      <c r="U3065" s="673" t="b">
        <v>0</v>
      </c>
      <c r="Z3065" t="b">
        <v>0</v>
      </c>
      <c r="AA3065" t="b">
        <v>0</v>
      </c>
      <c r="AC3065" s="82"/>
      <c r="AD3065" t="str">
        <f t="shared" si="71"/>
        <v/>
      </c>
      <c r="AE3065" t="str">
        <f t="shared" si="72"/>
        <v/>
      </c>
    </row>
    <row r="3066">
      <c r="D3066" s="226"/>
      <c r="H3066" s="474"/>
      <c r="I3066" s="474"/>
      <c r="J3066" s="475"/>
      <c r="K3066" s="275"/>
      <c r="L3066" s="82"/>
      <c r="M3066" s="672"/>
      <c r="N3066" s="242"/>
      <c r="O3066" s="242"/>
      <c r="P3066" s="242"/>
      <c r="Q3066" s="242"/>
      <c r="R3066" s="539"/>
      <c r="S3066" s="540"/>
      <c r="T3066" s="543"/>
      <c r="U3066" s="673" t="b">
        <v>0</v>
      </c>
      <c r="Z3066" t="b">
        <v>0</v>
      </c>
      <c r="AA3066" t="b">
        <v>0</v>
      </c>
      <c r="AC3066" s="82"/>
      <c r="AD3066" t="str">
        <f t="shared" si="71"/>
        <v/>
      </c>
      <c r="AE3066" t="str">
        <f t="shared" si="72"/>
        <v/>
      </c>
    </row>
    <row r="3067">
      <c r="D3067" s="226"/>
      <c r="H3067" s="474"/>
      <c r="I3067" s="474"/>
      <c r="J3067" s="475"/>
      <c r="K3067" s="275"/>
      <c r="L3067" s="82"/>
      <c r="M3067" s="672"/>
      <c r="N3067" s="242"/>
      <c r="O3067" s="242"/>
      <c r="P3067" s="242"/>
      <c r="Q3067" s="242"/>
      <c r="R3067" s="539"/>
      <c r="S3067" s="540"/>
      <c r="T3067" s="543"/>
      <c r="U3067" s="673" t="b">
        <v>0</v>
      </c>
      <c r="Z3067" t="b">
        <v>0</v>
      </c>
      <c r="AA3067" t="b">
        <v>0</v>
      </c>
      <c r="AC3067" s="82"/>
      <c r="AD3067" t="str">
        <f t="shared" si="71"/>
        <v/>
      </c>
      <c r="AE3067" t="str">
        <f t="shared" si="72"/>
        <v/>
      </c>
    </row>
    <row r="3068">
      <c r="D3068" s="226"/>
      <c r="H3068" s="474"/>
      <c r="I3068" s="474"/>
      <c r="J3068" s="475"/>
      <c r="K3068" s="275"/>
      <c r="L3068" s="82"/>
      <c r="M3068" s="672"/>
      <c r="N3068" s="242"/>
      <c r="O3068" s="242"/>
      <c r="P3068" s="242"/>
      <c r="Q3068" s="242"/>
      <c r="R3068" s="539"/>
      <c r="S3068" s="540"/>
      <c r="T3068" s="543"/>
      <c r="U3068" s="673" t="b">
        <v>0</v>
      </c>
      <c r="Z3068" t="b">
        <v>0</v>
      </c>
      <c r="AA3068" t="b">
        <v>0</v>
      </c>
      <c r="AC3068" s="82"/>
      <c r="AD3068" t="str">
        <f t="shared" si="71"/>
        <v/>
      </c>
      <c r="AE3068" t="str">
        <f t="shared" si="72"/>
        <v/>
      </c>
    </row>
    <row r="3069">
      <c r="D3069" s="226"/>
      <c r="H3069" s="474"/>
      <c r="I3069" s="474"/>
      <c r="J3069" s="475"/>
      <c r="K3069" s="275"/>
      <c r="L3069" s="82"/>
      <c r="M3069" s="672"/>
      <c r="N3069" s="242"/>
      <c r="O3069" s="242"/>
      <c r="P3069" s="242"/>
      <c r="Q3069" s="242"/>
      <c r="R3069" s="539"/>
      <c r="S3069" s="540"/>
      <c r="T3069" s="543"/>
      <c r="U3069" s="673" t="b">
        <v>0</v>
      </c>
      <c r="Z3069" t="b">
        <v>0</v>
      </c>
      <c r="AA3069" t="b">
        <v>0</v>
      </c>
      <c r="AC3069" s="82"/>
      <c r="AD3069" t="str">
        <f t="shared" si="71"/>
        <v/>
      </c>
      <c r="AE3069" t="str">
        <f t="shared" si="72"/>
        <v/>
      </c>
    </row>
    <row r="3070">
      <c r="D3070" s="226"/>
      <c r="H3070" s="474"/>
      <c r="I3070" s="474"/>
      <c r="J3070" s="475"/>
      <c r="K3070" s="275"/>
      <c r="L3070" s="82"/>
      <c r="M3070" s="672"/>
      <c r="N3070" s="242"/>
      <c r="O3070" s="242"/>
      <c r="P3070" s="242"/>
      <c r="Q3070" s="242"/>
      <c r="R3070" s="539"/>
      <c r="S3070" s="540"/>
      <c r="T3070" s="543"/>
      <c r="U3070" s="673" t="b">
        <v>0</v>
      </c>
      <c r="Z3070" t="b">
        <v>0</v>
      </c>
      <c r="AA3070" t="b">
        <v>0</v>
      </c>
      <c r="AC3070" s="82"/>
      <c r="AD3070" t="str">
        <f t="shared" si="71"/>
        <v/>
      </c>
      <c r="AE3070" t="str">
        <f t="shared" si="72"/>
        <v/>
      </c>
    </row>
    <row r="3071">
      <c r="D3071" s="226"/>
      <c r="H3071" s="474"/>
      <c r="I3071" s="474"/>
      <c r="J3071" s="475"/>
      <c r="K3071" s="275"/>
      <c r="L3071" s="82"/>
      <c r="M3071" s="672"/>
      <c r="N3071" s="242"/>
      <c r="O3071" s="242"/>
      <c r="P3071" s="242"/>
      <c r="Q3071" s="242"/>
      <c r="R3071" s="539"/>
      <c r="S3071" s="540"/>
      <c r="T3071" s="543"/>
      <c r="U3071" s="673" t="b">
        <v>0</v>
      </c>
      <c r="Z3071" t="b">
        <v>0</v>
      </c>
      <c r="AA3071" t="b">
        <v>0</v>
      </c>
      <c r="AC3071" s="82"/>
      <c r="AD3071" t="str">
        <f t="shared" si="71"/>
        <v/>
      </c>
      <c r="AE3071" t="str">
        <f t="shared" si="72"/>
        <v/>
      </c>
    </row>
    <row r="3072">
      <c r="D3072" s="226"/>
      <c r="H3072" s="474"/>
      <c r="I3072" s="474"/>
      <c r="J3072" s="475"/>
      <c r="K3072" s="275"/>
      <c r="L3072" s="82"/>
      <c r="M3072" s="672"/>
      <c r="N3072" s="242"/>
      <c r="O3072" s="242"/>
      <c r="P3072" s="242"/>
      <c r="Q3072" s="242"/>
      <c r="R3072" s="539"/>
      <c r="S3072" s="540"/>
      <c r="T3072" s="543"/>
      <c r="U3072" s="673" t="b">
        <v>0</v>
      </c>
      <c r="Z3072" t="b">
        <v>0</v>
      </c>
      <c r="AA3072" t="b">
        <v>0</v>
      </c>
      <c r="AC3072" s="82"/>
      <c r="AD3072" t="str">
        <f t="shared" si="71"/>
        <v/>
      </c>
      <c r="AE3072" t="str">
        <f t="shared" si="72"/>
        <v/>
      </c>
    </row>
    <row r="3073">
      <c r="D3073" s="226"/>
      <c r="H3073" s="474"/>
      <c r="I3073" s="474"/>
      <c r="J3073" s="475"/>
      <c r="K3073" s="275"/>
      <c r="L3073" s="82"/>
      <c r="M3073" s="672"/>
      <c r="N3073" s="242"/>
      <c r="O3073" s="242"/>
      <c r="P3073" s="242"/>
      <c r="Q3073" s="242"/>
      <c r="R3073" s="539"/>
      <c r="S3073" s="540"/>
      <c r="T3073" s="543"/>
      <c r="U3073" s="673" t="b">
        <v>0</v>
      </c>
      <c r="Z3073" t="b">
        <v>0</v>
      </c>
      <c r="AA3073" t="b">
        <v>0</v>
      </c>
      <c r="AC3073" s="82"/>
      <c r="AD3073" t="str">
        <f t="shared" si="71"/>
        <v/>
      </c>
      <c r="AE3073" t="str">
        <f t="shared" si="72"/>
        <v/>
      </c>
    </row>
    <row r="3074">
      <c r="D3074" s="226"/>
      <c r="H3074" s="474"/>
      <c r="I3074" s="474"/>
      <c r="J3074" s="475"/>
      <c r="K3074" s="275"/>
      <c r="L3074" s="82"/>
      <c r="M3074" s="672"/>
      <c r="N3074" s="242"/>
      <c r="O3074" s="242"/>
      <c r="P3074" s="242"/>
      <c r="Q3074" s="242"/>
      <c r="R3074" s="539"/>
      <c r="S3074" s="540"/>
      <c r="T3074" s="543"/>
      <c r="U3074" s="673" t="b">
        <v>0</v>
      </c>
      <c r="Z3074" t="b">
        <v>0</v>
      </c>
      <c r="AA3074" t="b">
        <v>0</v>
      </c>
      <c r="AC3074" s="82"/>
      <c r="AD3074" t="str">
        <f t="shared" si="71"/>
        <v/>
      </c>
      <c r="AE3074" t="str">
        <f t="shared" si="72"/>
        <v/>
      </c>
    </row>
    <row r="3075">
      <c r="D3075" s="226"/>
      <c r="H3075" s="474"/>
      <c r="I3075" s="474"/>
      <c r="J3075" s="475"/>
      <c r="K3075" s="275"/>
      <c r="L3075" s="82"/>
      <c r="M3075" s="672"/>
      <c r="N3075" s="242"/>
      <c r="O3075" s="242"/>
      <c r="P3075" s="242"/>
      <c r="Q3075" s="242"/>
      <c r="R3075" s="539"/>
      <c r="S3075" s="540"/>
      <c r="T3075" s="543"/>
      <c r="U3075" s="673" t="b">
        <v>0</v>
      </c>
      <c r="Z3075" t="b">
        <v>0</v>
      </c>
      <c r="AA3075" t="b">
        <v>0</v>
      </c>
      <c r="AC3075" s="82"/>
      <c r="AD3075" t="str">
        <f t="shared" si="71"/>
        <v/>
      </c>
      <c r="AE3075" t="str">
        <f t="shared" si="72"/>
        <v/>
      </c>
    </row>
    <row r="3076">
      <c r="D3076" s="226"/>
      <c r="H3076" s="474"/>
      <c r="I3076" s="474"/>
      <c r="J3076" s="475"/>
      <c r="K3076" s="275"/>
      <c r="L3076" s="82"/>
      <c r="M3076" s="672"/>
      <c r="N3076" s="242"/>
      <c r="O3076" s="242"/>
      <c r="P3076" s="242"/>
      <c r="Q3076" s="242"/>
      <c r="R3076" s="539"/>
      <c r="S3076" s="540"/>
      <c r="T3076" s="543"/>
      <c r="U3076" s="673" t="b">
        <v>0</v>
      </c>
      <c r="Z3076" t="b">
        <v>0</v>
      </c>
      <c r="AA3076" t="b">
        <v>0</v>
      </c>
      <c r="AC3076" s="82"/>
      <c r="AD3076" t="str">
        <f t="shared" si="71"/>
        <v/>
      </c>
      <c r="AE3076" t="str">
        <f t="shared" si="72"/>
        <v/>
      </c>
    </row>
    <row r="3077">
      <c r="D3077" s="226"/>
      <c r="H3077" s="474"/>
      <c r="I3077" s="474"/>
      <c r="J3077" s="475"/>
      <c r="K3077" s="275"/>
      <c r="L3077" s="82"/>
      <c r="M3077" s="672"/>
      <c r="N3077" s="242"/>
      <c r="O3077" s="242"/>
      <c r="P3077" s="242"/>
      <c r="Q3077" s="242"/>
      <c r="R3077" s="539"/>
      <c r="S3077" s="540"/>
      <c r="T3077" s="543"/>
      <c r="U3077" s="673" t="b">
        <v>0</v>
      </c>
      <c r="Z3077" t="b">
        <v>0</v>
      </c>
      <c r="AA3077" t="b">
        <v>0</v>
      </c>
      <c r="AC3077" s="82"/>
      <c r="AD3077" t="str">
        <f t="shared" si="71"/>
        <v/>
      </c>
      <c r="AE3077" t="str">
        <f t="shared" si="72"/>
        <v/>
      </c>
    </row>
    <row r="3078">
      <c r="D3078" s="226"/>
      <c r="H3078" s="474"/>
      <c r="I3078" s="474"/>
      <c r="J3078" s="475"/>
      <c r="K3078" s="275"/>
      <c r="L3078" s="82"/>
      <c r="M3078" s="672"/>
      <c r="N3078" s="242"/>
      <c r="O3078" s="242"/>
      <c r="P3078" s="242"/>
      <c r="Q3078" s="242"/>
      <c r="R3078" s="539"/>
      <c r="S3078" s="540"/>
      <c r="T3078" s="543"/>
      <c r="U3078" s="673" t="b">
        <v>0</v>
      </c>
      <c r="Z3078" t="b">
        <v>0</v>
      </c>
      <c r="AA3078" t="b">
        <v>0</v>
      </c>
      <c r="AC3078" s="82"/>
      <c r="AD3078" t="str">
        <f t="shared" si="71"/>
        <v/>
      </c>
      <c r="AE3078" t="str">
        <f t="shared" si="72"/>
        <v/>
      </c>
    </row>
    <row r="3079">
      <c r="D3079" s="226"/>
      <c r="H3079" s="474"/>
      <c r="I3079" s="474"/>
      <c r="J3079" s="475"/>
      <c r="K3079" s="275"/>
      <c r="L3079" s="82"/>
      <c r="M3079" s="672"/>
      <c r="N3079" s="242"/>
      <c r="O3079" s="242"/>
      <c r="P3079" s="242"/>
      <c r="Q3079" s="242"/>
      <c r="R3079" s="539"/>
      <c r="S3079" s="540"/>
      <c r="T3079" s="543"/>
      <c r="U3079" s="673" t="b">
        <v>0</v>
      </c>
      <c r="Z3079" t="b">
        <v>0</v>
      </c>
      <c r="AA3079" t="b">
        <v>0</v>
      </c>
      <c r="AC3079" s="82"/>
      <c r="AD3079" t="str">
        <f t="shared" si="71"/>
        <v/>
      </c>
      <c r="AE3079" t="str">
        <f t="shared" si="72"/>
        <v/>
      </c>
    </row>
    <row r="3080">
      <c r="D3080" s="226"/>
      <c r="H3080" s="474"/>
      <c r="I3080" s="474"/>
      <c r="J3080" s="475"/>
      <c r="K3080" s="275"/>
      <c r="L3080" s="82"/>
      <c r="M3080" s="672"/>
      <c r="N3080" s="242"/>
      <c r="O3080" s="242"/>
      <c r="P3080" s="242"/>
      <c r="Q3080" s="242"/>
      <c r="R3080" s="539"/>
      <c r="S3080" s="540"/>
      <c r="T3080" s="543"/>
      <c r="U3080" s="673" t="b">
        <v>0</v>
      </c>
      <c r="Z3080" t="b">
        <v>0</v>
      </c>
      <c r="AA3080" t="b">
        <v>0</v>
      </c>
      <c r="AC3080" s="82"/>
      <c r="AD3080" t="str">
        <f t="shared" si="71"/>
        <v/>
      </c>
      <c r="AE3080" t="str">
        <f t="shared" si="72"/>
        <v/>
      </c>
    </row>
    <row r="3081">
      <c r="D3081" s="226"/>
      <c r="H3081" s="474"/>
      <c r="I3081" s="474"/>
      <c r="J3081" s="475"/>
      <c r="K3081" s="275"/>
      <c r="L3081" s="82"/>
      <c r="M3081" s="672"/>
      <c r="N3081" s="242"/>
      <c r="O3081" s="242"/>
      <c r="P3081" s="242"/>
      <c r="Q3081" s="242"/>
      <c r="R3081" s="539"/>
      <c r="S3081" s="540"/>
      <c r="T3081" s="543"/>
      <c r="U3081" s="673" t="b">
        <v>0</v>
      </c>
      <c r="Z3081" t="b">
        <v>0</v>
      </c>
      <c r="AA3081" t="b">
        <v>0</v>
      </c>
      <c r="AC3081" s="82"/>
      <c r="AD3081" t="str">
        <f t="shared" si="71"/>
        <v/>
      </c>
      <c r="AE3081" t="str">
        <f t="shared" si="72"/>
        <v/>
      </c>
    </row>
    <row r="3082">
      <c r="D3082" s="226"/>
      <c r="H3082" s="474"/>
      <c r="I3082" s="474"/>
      <c r="J3082" s="475"/>
      <c r="K3082" s="275"/>
      <c r="L3082" s="82"/>
      <c r="M3082" s="672"/>
      <c r="N3082" s="242"/>
      <c r="O3082" s="242"/>
      <c r="P3082" s="242"/>
      <c r="Q3082" s="242"/>
      <c r="R3082" s="539"/>
      <c r="S3082" s="540"/>
      <c r="T3082" s="543"/>
      <c r="U3082" s="673" t="b">
        <v>0</v>
      </c>
      <c r="Z3082" t="b">
        <v>0</v>
      </c>
      <c r="AA3082" t="b">
        <v>0</v>
      </c>
      <c r="AC3082" s="82"/>
      <c r="AD3082" t="str">
        <f t="shared" si="71"/>
        <v/>
      </c>
      <c r="AE3082" t="str">
        <f t="shared" si="72"/>
        <v/>
      </c>
    </row>
    <row r="3083">
      <c r="D3083" s="226"/>
      <c r="H3083" s="474"/>
      <c r="I3083" s="474"/>
      <c r="J3083" s="475"/>
      <c r="K3083" s="275"/>
      <c r="L3083" s="82"/>
      <c r="M3083" s="672"/>
      <c r="N3083" s="242"/>
      <c r="O3083" s="242"/>
      <c r="P3083" s="242"/>
      <c r="Q3083" s="242"/>
      <c r="R3083" s="539"/>
      <c r="S3083" s="540"/>
      <c r="T3083" s="543"/>
      <c r="U3083" s="673" t="b">
        <v>0</v>
      </c>
      <c r="Z3083" t="b">
        <v>0</v>
      </c>
      <c r="AA3083" t="b">
        <v>0</v>
      </c>
      <c r="AC3083" s="82"/>
      <c r="AD3083" t="str">
        <f t="shared" si="71"/>
        <v/>
      </c>
      <c r="AE3083" t="str">
        <f t="shared" si="72"/>
        <v/>
      </c>
    </row>
    <row r="3084">
      <c r="D3084" s="226"/>
      <c r="H3084" s="474"/>
      <c r="I3084" s="474"/>
      <c r="J3084" s="475"/>
      <c r="K3084" s="275"/>
      <c r="L3084" s="82"/>
      <c r="M3084" s="672"/>
      <c r="N3084" s="242"/>
      <c r="O3084" s="242"/>
      <c r="P3084" s="242"/>
      <c r="Q3084" s="242"/>
      <c r="R3084" s="539"/>
      <c r="S3084" s="540"/>
      <c r="T3084" s="543"/>
      <c r="U3084" s="673" t="b">
        <v>0</v>
      </c>
      <c r="Z3084" t="b">
        <v>0</v>
      </c>
      <c r="AA3084" t="b">
        <v>0</v>
      </c>
      <c r="AC3084" s="82"/>
      <c r="AD3084" t="str">
        <f t="shared" si="71"/>
        <v/>
      </c>
      <c r="AE3084" t="str">
        <f t="shared" si="72"/>
        <v/>
      </c>
    </row>
    <row r="3085">
      <c r="D3085" s="226"/>
      <c r="H3085" s="474"/>
      <c r="I3085" s="474"/>
      <c r="J3085" s="475"/>
      <c r="K3085" s="275"/>
      <c r="L3085" s="82"/>
      <c r="M3085" s="672"/>
      <c r="N3085" s="242"/>
      <c r="O3085" s="242"/>
      <c r="P3085" s="242"/>
      <c r="Q3085" s="242"/>
      <c r="R3085" s="539"/>
      <c r="S3085" s="540"/>
      <c r="T3085" s="543"/>
      <c r="U3085" s="673" t="b">
        <v>0</v>
      </c>
      <c r="Z3085" t="b">
        <v>0</v>
      </c>
      <c r="AA3085" t="b">
        <v>0</v>
      </c>
      <c r="AC3085" s="82"/>
      <c r="AD3085" t="str">
        <f t="shared" si="71"/>
        <v/>
      </c>
      <c r="AE3085" t="str">
        <f t="shared" si="72"/>
        <v/>
      </c>
    </row>
    <row r="3086">
      <c r="D3086" s="226"/>
      <c r="H3086" s="474"/>
      <c r="I3086" s="474"/>
      <c r="J3086" s="475"/>
      <c r="K3086" s="275"/>
      <c r="L3086" s="82"/>
      <c r="M3086" s="672"/>
      <c r="N3086" s="242"/>
      <c r="O3086" s="242"/>
      <c r="P3086" s="242"/>
      <c r="Q3086" s="242"/>
      <c r="R3086" s="539"/>
      <c r="S3086" s="540"/>
      <c r="T3086" s="543"/>
      <c r="U3086" s="673" t="b">
        <v>0</v>
      </c>
      <c r="Z3086" t="b">
        <v>0</v>
      </c>
      <c r="AA3086" t="b">
        <v>0</v>
      </c>
      <c r="AC3086" s="82"/>
      <c r="AD3086" t="str">
        <f t="shared" si="71"/>
        <v/>
      </c>
      <c r="AE3086" t="str">
        <f t="shared" si="72"/>
        <v/>
      </c>
    </row>
    <row r="3087">
      <c r="D3087" s="226"/>
      <c r="H3087" s="474"/>
      <c r="I3087" s="474"/>
      <c r="J3087" s="475"/>
      <c r="K3087" s="275"/>
      <c r="L3087" s="82"/>
      <c r="M3087" s="672"/>
      <c r="N3087" s="242"/>
      <c r="O3087" s="242"/>
      <c r="P3087" s="242"/>
      <c r="Q3087" s="242"/>
      <c r="R3087" s="539"/>
      <c r="S3087" s="540"/>
      <c r="T3087" s="543"/>
      <c r="U3087" s="673" t="b">
        <v>0</v>
      </c>
      <c r="Z3087" t="b">
        <v>0</v>
      </c>
      <c r="AA3087" t="b">
        <v>0</v>
      </c>
      <c r="AC3087" s="82"/>
      <c r="AD3087" t="str">
        <f t="shared" si="71"/>
        <v/>
      </c>
      <c r="AE3087" t="str">
        <f t="shared" si="72"/>
        <v/>
      </c>
    </row>
    <row r="3088">
      <c r="D3088" s="226"/>
      <c r="H3088" s="474"/>
      <c r="I3088" s="474"/>
      <c r="J3088" s="475"/>
      <c r="K3088" s="275"/>
      <c r="L3088" s="82"/>
      <c r="M3088" s="672"/>
      <c r="N3088" s="242"/>
      <c r="O3088" s="242"/>
      <c r="P3088" s="242"/>
      <c r="Q3088" s="242"/>
      <c r="R3088" s="539"/>
      <c r="S3088" s="540"/>
      <c r="T3088" s="543"/>
      <c r="U3088" s="673" t="b">
        <v>0</v>
      </c>
      <c r="Z3088" t="b">
        <v>0</v>
      </c>
      <c r="AA3088" t="b">
        <v>0</v>
      </c>
      <c r="AC3088" s="82"/>
      <c r="AD3088" t="str">
        <f t="shared" si="71"/>
        <v/>
      </c>
      <c r="AE3088" t="str">
        <f t="shared" si="72"/>
        <v/>
      </c>
    </row>
    <row r="3089">
      <c r="D3089" s="226"/>
      <c r="H3089" s="474"/>
      <c r="I3089" s="474"/>
      <c r="J3089" s="475"/>
      <c r="K3089" s="275"/>
      <c r="L3089" s="82"/>
      <c r="M3089" s="672"/>
      <c r="N3089" s="242"/>
      <c r="O3089" s="242"/>
      <c r="P3089" s="242"/>
      <c r="Q3089" s="242"/>
      <c r="R3089" s="539"/>
      <c r="S3089" s="540"/>
      <c r="T3089" s="543"/>
      <c r="U3089" s="673" t="b">
        <v>0</v>
      </c>
      <c r="Z3089" t="b">
        <v>0</v>
      </c>
      <c r="AA3089" t="b">
        <v>0</v>
      </c>
      <c r="AC3089" s="82"/>
      <c r="AD3089" t="str">
        <f t="shared" si="71"/>
        <v/>
      </c>
      <c r="AE3089" t="str">
        <f t="shared" si="72"/>
        <v/>
      </c>
    </row>
    <row r="3090">
      <c r="D3090" s="226"/>
      <c r="H3090" s="474"/>
      <c r="I3090" s="474"/>
      <c r="J3090" s="475"/>
      <c r="K3090" s="275"/>
      <c r="L3090" s="82"/>
      <c r="M3090" s="672"/>
      <c r="N3090" s="242"/>
      <c r="O3090" s="242"/>
      <c r="P3090" s="242"/>
      <c r="Q3090" s="242"/>
      <c r="R3090" s="539"/>
      <c r="S3090" s="540"/>
      <c r="T3090" s="543"/>
      <c r="U3090" s="673" t="b">
        <v>0</v>
      </c>
      <c r="Z3090" t="b">
        <v>0</v>
      </c>
      <c r="AA3090" t="b">
        <v>0</v>
      </c>
      <c r="AC3090" s="82"/>
      <c r="AD3090" t="str">
        <f t="shared" si="71"/>
        <v/>
      </c>
      <c r="AE3090" t="str">
        <f t="shared" si="72"/>
        <v/>
      </c>
    </row>
    <row r="3091">
      <c r="D3091" s="226"/>
      <c r="H3091" s="474"/>
      <c r="I3091" s="474"/>
      <c r="J3091" s="475"/>
      <c r="K3091" s="275"/>
      <c r="L3091" s="82"/>
      <c r="M3091" s="672"/>
      <c r="N3091" s="242"/>
      <c r="O3091" s="242"/>
      <c r="P3091" s="242"/>
      <c r="Q3091" s="242"/>
      <c r="R3091" s="539"/>
      <c r="S3091" s="540"/>
      <c r="T3091" s="543"/>
      <c r="U3091" s="673" t="b">
        <v>0</v>
      </c>
      <c r="Z3091" t="b">
        <v>0</v>
      </c>
      <c r="AA3091" t="b">
        <v>0</v>
      </c>
      <c r="AC3091" s="82"/>
      <c r="AD3091" t="str">
        <f t="shared" si="71"/>
        <v/>
      </c>
      <c r="AE3091" t="str">
        <f t="shared" si="72"/>
        <v/>
      </c>
    </row>
    <row r="3092">
      <c r="D3092" s="226"/>
      <c r="H3092" s="474"/>
      <c r="I3092" s="474"/>
      <c r="J3092" s="475"/>
      <c r="K3092" s="275"/>
      <c r="L3092" s="82"/>
      <c r="M3092" s="672"/>
      <c r="N3092" s="242"/>
      <c r="O3092" s="242"/>
      <c r="P3092" s="242"/>
      <c r="Q3092" s="242"/>
      <c r="R3092" s="539"/>
      <c r="S3092" s="540"/>
      <c r="T3092" s="543"/>
      <c r="U3092" s="673" t="b">
        <v>0</v>
      </c>
      <c r="Z3092" t="b">
        <v>0</v>
      </c>
      <c r="AA3092" t="b">
        <v>0</v>
      </c>
      <c r="AC3092" s="82"/>
      <c r="AD3092" t="str">
        <f t="shared" si="71"/>
        <v/>
      </c>
      <c r="AE3092" t="str">
        <f t="shared" si="72"/>
        <v/>
      </c>
    </row>
    <row r="3093">
      <c r="D3093" s="226"/>
      <c r="H3093" s="474"/>
      <c r="I3093" s="474"/>
      <c r="J3093" s="475"/>
      <c r="K3093" s="275"/>
      <c r="L3093" s="82"/>
      <c r="M3093" s="672"/>
      <c r="N3093" s="242"/>
      <c r="O3093" s="242"/>
      <c r="P3093" s="242"/>
      <c r="Q3093" s="242"/>
      <c r="R3093" s="539"/>
      <c r="S3093" s="540"/>
      <c r="T3093" s="543"/>
      <c r="U3093" s="673" t="b">
        <v>0</v>
      </c>
      <c r="Z3093" t="b">
        <v>0</v>
      </c>
      <c r="AA3093" t="b">
        <v>0</v>
      </c>
      <c r="AC3093" s="82"/>
      <c r="AD3093" t="str">
        <f t="shared" si="71"/>
        <v/>
      </c>
      <c r="AE3093" t="str">
        <f t="shared" si="72"/>
        <v/>
      </c>
    </row>
    <row r="3094">
      <c r="D3094" s="226"/>
      <c r="H3094" s="474"/>
      <c r="I3094" s="474"/>
      <c r="J3094" s="475"/>
      <c r="K3094" s="275"/>
      <c r="L3094" s="82"/>
      <c r="M3094" s="672"/>
      <c r="N3094" s="242"/>
      <c r="O3094" s="242"/>
      <c r="P3094" s="242"/>
      <c r="Q3094" s="242"/>
      <c r="R3094" s="539"/>
      <c r="S3094" s="540"/>
      <c r="T3094" s="543"/>
      <c r="U3094" s="673" t="b">
        <v>0</v>
      </c>
      <c r="Z3094" t="b">
        <v>0</v>
      </c>
      <c r="AA3094" t="b">
        <v>0</v>
      </c>
      <c r="AC3094" s="82"/>
      <c r="AD3094" t="str">
        <f t="shared" si="71"/>
        <v/>
      </c>
      <c r="AE3094" t="str">
        <f t="shared" si="72"/>
        <v/>
      </c>
    </row>
    <row r="3095">
      <c r="D3095" s="226"/>
      <c r="H3095" s="474"/>
      <c r="I3095" s="474"/>
      <c r="J3095" s="475"/>
      <c r="K3095" s="275"/>
      <c r="L3095" s="82"/>
      <c r="M3095" s="672"/>
      <c r="N3095" s="242"/>
      <c r="O3095" s="242"/>
      <c r="P3095" s="242"/>
      <c r="Q3095" s="242"/>
      <c r="R3095" s="539"/>
      <c r="S3095" s="540"/>
      <c r="T3095" s="543"/>
      <c r="U3095" s="673" t="b">
        <v>0</v>
      </c>
      <c r="Z3095" t="b">
        <v>0</v>
      </c>
      <c r="AA3095" t="b">
        <v>0</v>
      </c>
      <c r="AC3095" s="82"/>
      <c r="AD3095" t="str">
        <f t="shared" si="71"/>
        <v/>
      </c>
      <c r="AE3095" t="str">
        <f t="shared" si="72"/>
        <v/>
      </c>
    </row>
    <row r="3096">
      <c r="D3096" s="226"/>
      <c r="H3096" s="474"/>
      <c r="I3096" s="474"/>
      <c r="J3096" s="475"/>
      <c r="K3096" s="275"/>
      <c r="L3096" s="82"/>
      <c r="M3096" s="672"/>
      <c r="N3096" s="242"/>
      <c r="O3096" s="242"/>
      <c r="P3096" s="242"/>
      <c r="Q3096" s="242"/>
      <c r="R3096" s="539"/>
      <c r="S3096" s="540"/>
      <c r="T3096" s="543"/>
      <c r="U3096" s="673" t="b">
        <v>0</v>
      </c>
      <c r="Z3096" t="b">
        <v>0</v>
      </c>
      <c r="AA3096" t="b">
        <v>0</v>
      </c>
      <c r="AC3096" s="82"/>
      <c r="AD3096" t="str">
        <f t="shared" si="71"/>
        <v/>
      </c>
      <c r="AE3096" t="str">
        <f t="shared" si="72"/>
        <v/>
      </c>
    </row>
    <row r="3097">
      <c r="D3097" s="226"/>
      <c r="H3097" s="474"/>
      <c r="I3097" s="474"/>
      <c r="J3097" s="475"/>
      <c r="K3097" s="275"/>
      <c r="L3097" s="82"/>
      <c r="M3097" s="672"/>
      <c r="N3097" s="242"/>
      <c r="O3097" s="242"/>
      <c r="P3097" s="242"/>
      <c r="Q3097" s="242"/>
      <c r="R3097" s="539"/>
      <c r="S3097" s="540"/>
      <c r="T3097" s="543"/>
      <c r="U3097" s="673" t="b">
        <v>0</v>
      </c>
      <c r="Z3097" t="b">
        <v>0</v>
      </c>
      <c r="AA3097" t="b">
        <v>0</v>
      </c>
      <c r="AC3097" s="82"/>
      <c r="AD3097" t="str">
        <f t="shared" si="71"/>
        <v/>
      </c>
      <c r="AE3097" t="str">
        <f t="shared" si="72"/>
        <v/>
      </c>
    </row>
    <row r="3098">
      <c r="D3098" s="226"/>
      <c r="H3098" s="474"/>
      <c r="I3098" s="474"/>
      <c r="J3098" s="475"/>
      <c r="K3098" s="275"/>
      <c r="L3098" s="82"/>
      <c r="M3098" s="672"/>
      <c r="N3098" s="242"/>
      <c r="O3098" s="242"/>
      <c r="P3098" s="242"/>
      <c r="Q3098" s="242"/>
      <c r="R3098" s="539"/>
      <c r="S3098" s="540"/>
      <c r="T3098" s="543"/>
      <c r="U3098" s="673" t="b">
        <v>0</v>
      </c>
      <c r="Z3098" t="b">
        <v>0</v>
      </c>
      <c r="AA3098" t="b">
        <v>0</v>
      </c>
      <c r="AC3098" s="82"/>
      <c r="AD3098" t="str">
        <f t="shared" si="71"/>
        <v/>
      </c>
      <c r="AE3098" t="str">
        <f t="shared" si="72"/>
        <v/>
      </c>
    </row>
    <row r="3099">
      <c r="D3099" s="226"/>
      <c r="H3099" s="474"/>
      <c r="I3099" s="474"/>
      <c r="J3099" s="475"/>
      <c r="K3099" s="275"/>
      <c r="L3099" s="82"/>
      <c r="M3099" s="672"/>
      <c r="N3099" s="242"/>
      <c r="O3099" s="242"/>
      <c r="P3099" s="242"/>
      <c r="Q3099" s="242"/>
      <c r="R3099" s="539"/>
      <c r="S3099" s="540"/>
      <c r="T3099" s="543"/>
      <c r="U3099" s="673" t="b">
        <v>0</v>
      </c>
      <c r="Z3099" t="b">
        <v>0</v>
      </c>
      <c r="AA3099" t="b">
        <v>0</v>
      </c>
      <c r="AC3099" s="82"/>
      <c r="AD3099" t="str">
        <f t="shared" si="71"/>
        <v/>
      </c>
      <c r="AE3099" t="str">
        <f t="shared" si="72"/>
        <v/>
      </c>
    </row>
    <row r="3100">
      <c r="D3100" s="226"/>
      <c r="H3100" s="474"/>
      <c r="I3100" s="474"/>
      <c r="J3100" s="475"/>
      <c r="K3100" s="275"/>
      <c r="L3100" s="82"/>
      <c r="M3100" s="672"/>
      <c r="N3100" s="242"/>
      <c r="O3100" s="242"/>
      <c r="P3100" s="242"/>
      <c r="Q3100" s="242"/>
      <c r="R3100" s="539"/>
      <c r="S3100" s="540"/>
      <c r="T3100" s="543"/>
      <c r="U3100" s="673" t="b">
        <v>0</v>
      </c>
      <c r="Z3100" t="b">
        <v>0</v>
      </c>
      <c r="AA3100" t="b">
        <v>0</v>
      </c>
      <c r="AC3100" s="82"/>
      <c r="AD3100" t="str">
        <f t="shared" si="71"/>
        <v/>
      </c>
      <c r="AE3100" t="str">
        <f t="shared" si="72"/>
        <v/>
      </c>
    </row>
    <row r="3101">
      <c r="D3101" s="226"/>
      <c r="H3101" s="474"/>
      <c r="I3101" s="474"/>
      <c r="J3101" s="475"/>
      <c r="K3101" s="275"/>
      <c r="L3101" s="82"/>
      <c r="M3101" s="672"/>
      <c r="N3101" s="242"/>
      <c r="O3101" s="242"/>
      <c r="P3101" s="242"/>
      <c r="Q3101" s="242"/>
      <c r="R3101" s="539"/>
      <c r="S3101" s="540"/>
      <c r="T3101" s="543"/>
      <c r="U3101" s="673" t="b">
        <v>0</v>
      </c>
      <c r="Z3101" t="b">
        <v>0</v>
      </c>
      <c r="AA3101" t="b">
        <v>0</v>
      </c>
      <c r="AC3101" s="82"/>
      <c r="AD3101" t="str">
        <f t="shared" si="71"/>
        <v/>
      </c>
      <c r="AE3101" t="str">
        <f t="shared" si="72"/>
        <v/>
      </c>
    </row>
    <row r="3102">
      <c r="D3102" s="226"/>
      <c r="H3102" s="474"/>
      <c r="I3102" s="474"/>
      <c r="J3102" s="475"/>
      <c r="K3102" s="275"/>
      <c r="L3102" s="82"/>
      <c r="M3102" s="672"/>
      <c r="N3102" s="242"/>
      <c r="O3102" s="242"/>
      <c r="P3102" s="242"/>
      <c r="Q3102" s="242"/>
      <c r="R3102" s="539"/>
      <c r="S3102" s="540"/>
      <c r="T3102" s="543"/>
      <c r="U3102" s="673" t="b">
        <v>0</v>
      </c>
      <c r="Z3102" t="b">
        <v>0</v>
      </c>
      <c r="AA3102" t="b">
        <v>0</v>
      </c>
      <c r="AC3102" s="82"/>
      <c r="AD3102" t="str">
        <f t="shared" si="71"/>
        <v/>
      </c>
      <c r="AE3102" t="str">
        <f t="shared" si="72"/>
        <v/>
      </c>
    </row>
    <row r="3103">
      <c r="D3103" s="226"/>
      <c r="H3103" s="474"/>
      <c r="I3103" s="474"/>
      <c r="J3103" s="475"/>
      <c r="K3103" s="275"/>
      <c r="L3103" s="82"/>
      <c r="M3103" s="672"/>
      <c r="N3103" s="242"/>
      <c r="O3103" s="242"/>
      <c r="P3103" s="242"/>
      <c r="Q3103" s="242"/>
      <c r="R3103" s="539"/>
      <c r="S3103" s="540"/>
      <c r="T3103" s="543"/>
      <c r="U3103" s="673" t="b">
        <v>0</v>
      </c>
      <c r="Z3103" t="b">
        <v>0</v>
      </c>
      <c r="AA3103" t="b">
        <v>0</v>
      </c>
      <c r="AC3103" s="82"/>
      <c r="AD3103" t="str">
        <f t="shared" si="71"/>
        <v/>
      </c>
      <c r="AE3103" t="str">
        <f t="shared" si="72"/>
        <v/>
      </c>
    </row>
    <row r="3104">
      <c r="D3104" s="226"/>
      <c r="H3104" s="474"/>
      <c r="I3104" s="474"/>
      <c r="J3104" s="475"/>
      <c r="K3104" s="275"/>
      <c r="L3104" s="82"/>
      <c r="M3104" s="672"/>
      <c r="N3104" s="242"/>
      <c r="O3104" s="242"/>
      <c r="P3104" s="242"/>
      <c r="Q3104" s="242"/>
      <c r="R3104" s="539"/>
      <c r="S3104" s="540"/>
      <c r="T3104" s="543"/>
      <c r="U3104" s="673" t="b">
        <v>0</v>
      </c>
      <c r="Z3104" t="b">
        <v>0</v>
      </c>
      <c r="AA3104" t="b">
        <v>0</v>
      </c>
      <c r="AC3104" s="82"/>
      <c r="AD3104" t="str">
        <f t="shared" si="71"/>
        <v/>
      </c>
      <c r="AE3104" t="str">
        <f t="shared" si="72"/>
        <v/>
      </c>
    </row>
    <row r="3105">
      <c r="D3105" s="226"/>
      <c r="H3105" s="474"/>
      <c r="I3105" s="474"/>
      <c r="J3105" s="475"/>
      <c r="K3105" s="275"/>
      <c r="L3105" s="82"/>
      <c r="M3105" s="672"/>
      <c r="N3105" s="242"/>
      <c r="O3105" s="242"/>
      <c r="P3105" s="242"/>
      <c r="Q3105" s="242"/>
      <c r="R3105" s="539"/>
      <c r="S3105" s="540"/>
      <c r="T3105" s="543"/>
      <c r="U3105" s="673" t="b">
        <v>0</v>
      </c>
      <c r="Z3105" t="b">
        <v>0</v>
      </c>
      <c r="AA3105" t="b">
        <v>0</v>
      </c>
      <c r="AC3105" s="82"/>
      <c r="AD3105" t="str">
        <f t="shared" si="71"/>
        <v/>
      </c>
      <c r="AE3105" t="str">
        <f t="shared" si="72"/>
        <v/>
      </c>
    </row>
    <row r="3106">
      <c r="D3106" s="226"/>
      <c r="H3106" s="474"/>
      <c r="I3106" s="474"/>
      <c r="J3106" s="475"/>
      <c r="K3106" s="275"/>
      <c r="L3106" s="82"/>
      <c r="M3106" s="672"/>
      <c r="N3106" s="242"/>
      <c r="O3106" s="242"/>
      <c r="P3106" s="242"/>
      <c r="Q3106" s="242"/>
      <c r="R3106" s="539"/>
      <c r="S3106" s="540"/>
      <c r="T3106" s="543"/>
      <c r="U3106" s="673" t="b">
        <v>0</v>
      </c>
      <c r="Z3106" t="b">
        <v>0</v>
      </c>
      <c r="AA3106" t="b">
        <v>0</v>
      </c>
      <c r="AC3106" s="82"/>
      <c r="AD3106" t="str">
        <f t="shared" si="71"/>
        <v/>
      </c>
      <c r="AE3106" t="str">
        <f t="shared" si="72"/>
        <v/>
      </c>
    </row>
    <row r="3107">
      <c r="D3107" s="226"/>
      <c r="H3107" s="474"/>
      <c r="I3107" s="474"/>
      <c r="J3107" s="475"/>
      <c r="K3107" s="275"/>
      <c r="L3107" s="82"/>
      <c r="M3107" s="672"/>
      <c r="N3107" s="242"/>
      <c r="O3107" s="242"/>
      <c r="P3107" s="242"/>
      <c r="Q3107" s="242"/>
      <c r="R3107" s="539"/>
      <c r="S3107" s="540"/>
      <c r="T3107" s="543"/>
      <c r="U3107" s="673" t="b">
        <v>0</v>
      </c>
      <c r="Z3107" t="b">
        <v>0</v>
      </c>
      <c r="AA3107" t="b">
        <v>0</v>
      </c>
      <c r="AC3107" s="82"/>
      <c r="AD3107" t="str">
        <f t="shared" si="71"/>
        <v/>
      </c>
      <c r="AE3107" t="str">
        <f t="shared" si="72"/>
        <v/>
      </c>
    </row>
    <row r="3108">
      <c r="D3108" s="226"/>
      <c r="H3108" s="474"/>
      <c r="I3108" s="474"/>
      <c r="J3108" s="475"/>
      <c r="K3108" s="275"/>
      <c r="L3108" s="82"/>
      <c r="M3108" s="672"/>
      <c r="N3108" s="242"/>
      <c r="O3108" s="242"/>
      <c r="P3108" s="242"/>
      <c r="Q3108" s="242"/>
      <c r="R3108" s="539"/>
      <c r="S3108" s="540"/>
      <c r="T3108" s="543"/>
      <c r="U3108" s="673" t="b">
        <v>0</v>
      </c>
      <c r="Z3108" t="b">
        <v>0</v>
      </c>
      <c r="AA3108" t="b">
        <v>0</v>
      </c>
      <c r="AC3108" s="82"/>
      <c r="AD3108" t="str">
        <f t="shared" si="71"/>
        <v/>
      </c>
      <c r="AE3108" t="str">
        <f t="shared" si="72"/>
        <v/>
      </c>
    </row>
    <row r="3109">
      <c r="D3109" s="226"/>
      <c r="H3109" s="474"/>
      <c r="I3109" s="474"/>
      <c r="J3109" s="475"/>
      <c r="K3109" s="275"/>
      <c r="L3109" s="82"/>
      <c r="M3109" s="672"/>
      <c r="N3109" s="242"/>
      <c r="O3109" s="242"/>
      <c r="P3109" s="242"/>
      <c r="Q3109" s="242"/>
      <c r="R3109" s="539"/>
      <c r="S3109" s="540"/>
      <c r="T3109" s="543"/>
      <c r="U3109" s="673" t="b">
        <v>0</v>
      </c>
      <c r="Z3109" t="b">
        <v>0</v>
      </c>
      <c r="AA3109" t="b">
        <v>0</v>
      </c>
      <c r="AC3109" s="82"/>
      <c r="AD3109" t="str">
        <f t="shared" si="71"/>
        <v/>
      </c>
      <c r="AE3109" t="str">
        <f t="shared" si="72"/>
        <v/>
      </c>
    </row>
    <row r="3110">
      <c r="D3110" s="226"/>
      <c r="H3110" s="474"/>
      <c r="I3110" s="474"/>
      <c r="J3110" s="475"/>
      <c r="K3110" s="275"/>
      <c r="L3110" s="82"/>
      <c r="M3110" s="672"/>
      <c r="N3110" s="242"/>
      <c r="O3110" s="242"/>
      <c r="P3110" s="242"/>
      <c r="Q3110" s="242"/>
      <c r="R3110" s="539"/>
      <c r="S3110" s="540"/>
      <c r="T3110" s="543"/>
      <c r="U3110" s="673" t="b">
        <v>0</v>
      </c>
      <c r="Z3110" t="b">
        <v>0</v>
      </c>
      <c r="AA3110" t="b">
        <v>0</v>
      </c>
      <c r="AC3110" s="82"/>
      <c r="AD3110" t="str">
        <f t="shared" si="71"/>
        <v/>
      </c>
      <c r="AE3110" t="str">
        <f t="shared" si="72"/>
        <v/>
      </c>
    </row>
    <row r="3111">
      <c r="D3111" s="226"/>
      <c r="H3111" s="474"/>
      <c r="I3111" s="474"/>
      <c r="J3111" s="475"/>
      <c r="K3111" s="275"/>
      <c r="L3111" s="82"/>
      <c r="M3111" s="672"/>
      <c r="N3111" s="242"/>
      <c r="O3111" s="242"/>
      <c r="P3111" s="242"/>
      <c r="Q3111" s="242"/>
      <c r="R3111" s="539"/>
      <c r="S3111" s="540"/>
      <c r="T3111" s="543"/>
      <c r="U3111" s="673" t="b">
        <v>0</v>
      </c>
      <c r="Z3111" t="b">
        <v>0</v>
      </c>
      <c r="AA3111" t="b">
        <v>0</v>
      </c>
      <c r="AC3111" s="82"/>
      <c r="AD3111" t="str">
        <f t="shared" si="71"/>
        <v/>
      </c>
      <c r="AE3111" t="str">
        <f t="shared" si="72"/>
        <v/>
      </c>
    </row>
    <row r="3112">
      <c r="D3112" s="226"/>
      <c r="H3112" s="474"/>
      <c r="I3112" s="474"/>
      <c r="J3112" s="475"/>
      <c r="K3112" s="275"/>
      <c r="L3112" s="82"/>
      <c r="M3112" s="672"/>
      <c r="N3112" s="242"/>
      <c r="O3112" s="242"/>
      <c r="P3112" s="242"/>
      <c r="Q3112" s="242"/>
      <c r="R3112" s="539"/>
      <c r="S3112" s="540"/>
      <c r="T3112" s="543"/>
      <c r="U3112" s="673" t="b">
        <v>0</v>
      </c>
      <c r="Z3112" t="b">
        <v>0</v>
      </c>
      <c r="AA3112" t="b">
        <v>0</v>
      </c>
      <c r="AC3112" s="82"/>
      <c r="AD3112" t="str">
        <f t="shared" si="71"/>
        <v/>
      </c>
      <c r="AE3112" t="str">
        <f t="shared" si="72"/>
        <v/>
      </c>
    </row>
    <row r="3113">
      <c r="D3113" s="226"/>
      <c r="H3113" s="474"/>
      <c r="I3113" s="474"/>
      <c r="J3113" s="475"/>
      <c r="K3113" s="275"/>
      <c r="L3113" s="82"/>
      <c r="M3113" s="672"/>
      <c r="N3113" s="242"/>
      <c r="O3113" s="242"/>
      <c r="P3113" s="242"/>
      <c r="Q3113" s="242"/>
      <c r="R3113" s="539"/>
      <c r="S3113" s="540"/>
      <c r="T3113" s="543"/>
      <c r="U3113" s="673" t="b">
        <v>0</v>
      </c>
      <c r="Z3113" t="b">
        <v>0</v>
      </c>
      <c r="AA3113" t="b">
        <v>0</v>
      </c>
      <c r="AC3113" s="82"/>
      <c r="AD3113" t="str">
        <f t="shared" si="71"/>
        <v/>
      </c>
      <c r="AE3113" t="str">
        <f t="shared" si="72"/>
        <v/>
      </c>
    </row>
    <row r="3114">
      <c r="D3114" s="226"/>
      <c r="H3114" s="474"/>
      <c r="I3114" s="474"/>
      <c r="J3114" s="475"/>
      <c r="K3114" s="275"/>
      <c r="L3114" s="82"/>
      <c r="M3114" s="672"/>
      <c r="N3114" s="242"/>
      <c r="O3114" s="242"/>
      <c r="P3114" s="242"/>
      <c r="Q3114" s="242"/>
      <c r="R3114" s="539"/>
      <c r="S3114" s="540"/>
      <c r="T3114" s="543"/>
      <c r="U3114" s="673" t="b">
        <v>0</v>
      </c>
      <c r="Z3114" t="b">
        <v>0</v>
      </c>
      <c r="AA3114" t="b">
        <v>0</v>
      </c>
      <c r="AC3114" s="82"/>
      <c r="AD3114" t="str">
        <f t="shared" si="71"/>
        <v/>
      </c>
      <c r="AE3114" t="str">
        <f t="shared" si="72"/>
        <v/>
      </c>
    </row>
    <row r="3115">
      <c r="D3115" s="226"/>
      <c r="H3115" s="474"/>
      <c r="I3115" s="474"/>
      <c r="J3115" s="475"/>
      <c r="K3115" s="275"/>
      <c r="L3115" s="82"/>
      <c r="M3115" s="672"/>
      <c r="N3115" s="242"/>
      <c r="O3115" s="242"/>
      <c r="P3115" s="242"/>
      <c r="Q3115" s="242"/>
      <c r="R3115" s="539"/>
      <c r="S3115" s="540"/>
      <c r="T3115" s="543"/>
      <c r="U3115" s="673" t="b">
        <v>0</v>
      </c>
      <c r="Z3115" t="b">
        <v>0</v>
      </c>
      <c r="AA3115" t="b">
        <v>0</v>
      </c>
      <c r="AC3115" s="82"/>
      <c r="AD3115" t="str">
        <f t="shared" si="71"/>
        <v/>
      </c>
      <c r="AE3115" t="str">
        <f t="shared" si="72"/>
        <v/>
      </c>
    </row>
    <row r="3116">
      <c r="D3116" s="226"/>
      <c r="H3116" s="474"/>
      <c r="I3116" s="474"/>
      <c r="J3116" s="475"/>
      <c r="K3116" s="275"/>
      <c r="L3116" s="82"/>
      <c r="M3116" s="672"/>
      <c r="N3116" s="242"/>
      <c r="O3116" s="242"/>
      <c r="P3116" s="242"/>
      <c r="Q3116" s="242"/>
      <c r="R3116" s="539"/>
      <c r="S3116" s="540"/>
      <c r="T3116" s="543"/>
      <c r="U3116" s="673" t="b">
        <v>0</v>
      </c>
      <c r="Z3116" t="b">
        <v>0</v>
      </c>
      <c r="AA3116" t="b">
        <v>0</v>
      </c>
      <c r="AC3116" s="82"/>
      <c r="AD3116" t="str">
        <f t="shared" si="71"/>
        <v/>
      </c>
      <c r="AE3116" t="str">
        <f t="shared" si="72"/>
        <v/>
      </c>
    </row>
    <row r="3117">
      <c r="D3117" s="226"/>
      <c r="H3117" s="474"/>
      <c r="I3117" s="474"/>
      <c r="J3117" s="475"/>
      <c r="K3117" s="275"/>
      <c r="L3117" s="82"/>
      <c r="M3117" s="672"/>
      <c r="N3117" s="242"/>
      <c r="O3117" s="242"/>
      <c r="P3117" s="242"/>
      <c r="Q3117" s="242"/>
      <c r="R3117" s="539"/>
      <c r="S3117" s="540"/>
      <c r="T3117" s="543"/>
      <c r="U3117" s="673" t="b">
        <v>0</v>
      </c>
      <c r="Z3117" t="b">
        <v>0</v>
      </c>
      <c r="AA3117" t="b">
        <v>0</v>
      </c>
      <c r="AC3117" s="82"/>
      <c r="AD3117" t="str">
        <f t="shared" si="71"/>
        <v/>
      </c>
      <c r="AE3117" t="str">
        <f t="shared" si="72"/>
        <v/>
      </c>
    </row>
    <row r="3118">
      <c r="D3118" s="226"/>
      <c r="H3118" s="474"/>
      <c r="I3118" s="474"/>
      <c r="J3118" s="475"/>
      <c r="K3118" s="275"/>
      <c r="L3118" s="82"/>
      <c r="M3118" s="672"/>
      <c r="N3118" s="242"/>
      <c r="O3118" s="242"/>
      <c r="P3118" s="242"/>
      <c r="Q3118" s="242"/>
      <c r="R3118" s="539"/>
      <c r="S3118" s="540"/>
      <c r="T3118" s="543"/>
      <c r="U3118" s="673" t="b">
        <v>0</v>
      </c>
      <c r="Z3118" t="b">
        <v>0</v>
      </c>
      <c r="AA3118" t="b">
        <v>0</v>
      </c>
      <c r="AC3118" s="82"/>
      <c r="AD3118" t="str">
        <f t="shared" si="71"/>
        <v/>
      </c>
      <c r="AE3118" t="str">
        <f t="shared" si="72"/>
        <v/>
      </c>
    </row>
    <row r="3119">
      <c r="D3119" s="226"/>
      <c r="H3119" s="474"/>
      <c r="I3119" s="474"/>
      <c r="J3119" s="475"/>
      <c r="K3119" s="275"/>
      <c r="L3119" s="82"/>
      <c r="M3119" s="672"/>
      <c r="N3119" s="242"/>
      <c r="O3119" s="242"/>
      <c r="P3119" s="242"/>
      <c r="Q3119" s="242"/>
      <c r="R3119" s="539"/>
      <c r="S3119" s="540"/>
      <c r="T3119" s="543"/>
      <c r="U3119" s="673" t="b">
        <v>0</v>
      </c>
      <c r="Z3119" t="b">
        <v>0</v>
      </c>
      <c r="AA3119" t="b">
        <v>0</v>
      </c>
      <c r="AC3119" s="82"/>
      <c r="AD3119" t="str">
        <f t="shared" si="71"/>
        <v/>
      </c>
      <c r="AE3119" t="str">
        <f t="shared" si="72"/>
        <v/>
      </c>
    </row>
    <row r="3120">
      <c r="D3120" s="226"/>
      <c r="H3120" s="474"/>
      <c r="I3120" s="474"/>
      <c r="J3120" s="475"/>
      <c r="K3120" s="275"/>
      <c r="L3120" s="82"/>
      <c r="M3120" s="672"/>
      <c r="N3120" s="242"/>
      <c r="O3120" s="242"/>
      <c r="P3120" s="242"/>
      <c r="Q3120" s="242"/>
      <c r="R3120" s="539"/>
      <c r="S3120" s="540"/>
      <c r="T3120" s="543"/>
      <c r="U3120" s="673" t="b">
        <v>0</v>
      </c>
      <c r="Z3120" t="b">
        <v>0</v>
      </c>
      <c r="AA3120" t="b">
        <v>0</v>
      </c>
      <c r="AC3120" s="82"/>
      <c r="AD3120" t="str">
        <f t="shared" si="71"/>
        <v/>
      </c>
      <c r="AE3120" t="str">
        <f t="shared" si="72"/>
        <v/>
      </c>
    </row>
    <row r="3121">
      <c r="D3121" s="226"/>
      <c r="H3121" s="474"/>
      <c r="I3121" s="474"/>
      <c r="J3121" s="475"/>
      <c r="K3121" s="275"/>
      <c r="L3121" s="82"/>
      <c r="M3121" s="672"/>
      <c r="N3121" s="242"/>
      <c r="O3121" s="242"/>
      <c r="P3121" s="242"/>
      <c r="Q3121" s="242"/>
      <c r="R3121" s="539"/>
      <c r="S3121" s="540"/>
      <c r="T3121" s="543"/>
      <c r="U3121" s="673" t="b">
        <v>0</v>
      </c>
      <c r="Z3121" t="b">
        <v>0</v>
      </c>
      <c r="AA3121" t="b">
        <v>0</v>
      </c>
      <c r="AC3121" s="82"/>
      <c r="AD3121" t="str">
        <f t="shared" si="71"/>
        <v/>
      </c>
      <c r="AE3121" t="str">
        <f t="shared" si="72"/>
        <v/>
      </c>
    </row>
    <row r="3122">
      <c r="D3122" s="226"/>
      <c r="H3122" s="474"/>
      <c r="I3122" s="474"/>
      <c r="J3122" s="475"/>
      <c r="K3122" s="275"/>
      <c r="L3122" s="82"/>
      <c r="M3122" s="672"/>
      <c r="N3122" s="242"/>
      <c r="O3122" s="242"/>
      <c r="P3122" s="242"/>
      <c r="Q3122" s="242"/>
      <c r="R3122" s="539"/>
      <c r="S3122" s="540"/>
      <c r="T3122" s="543"/>
      <c r="U3122" s="673" t="b">
        <v>0</v>
      </c>
      <c r="Z3122" t="b">
        <v>0</v>
      </c>
      <c r="AA3122" t="b">
        <v>0</v>
      </c>
      <c r="AC3122" s="82"/>
      <c r="AD3122" t="str">
        <f t="shared" si="71"/>
        <v/>
      </c>
      <c r="AE3122" t="str">
        <f t="shared" si="72"/>
        <v/>
      </c>
    </row>
    <row r="3123">
      <c r="D3123" s="226"/>
      <c r="H3123" s="474"/>
      <c r="I3123" s="474"/>
      <c r="J3123" s="475"/>
      <c r="K3123" s="275"/>
      <c r="L3123" s="82"/>
      <c r="M3123" s="672"/>
      <c r="N3123" s="242"/>
      <c r="O3123" s="242"/>
      <c r="P3123" s="242"/>
      <c r="Q3123" s="242"/>
      <c r="R3123" s="539"/>
      <c r="S3123" s="540"/>
      <c r="T3123" s="543"/>
      <c r="U3123" s="673" t="b">
        <v>0</v>
      </c>
      <c r="Z3123" t="b">
        <v>0</v>
      </c>
      <c r="AA3123" t="b">
        <v>0</v>
      </c>
      <c r="AC3123" s="82"/>
      <c r="AD3123" t="str">
        <f t="shared" si="71"/>
        <v/>
      </c>
      <c r="AE3123" t="str">
        <f t="shared" si="72"/>
        <v/>
      </c>
    </row>
    <row r="3124">
      <c r="D3124" s="226"/>
      <c r="H3124" s="474"/>
      <c r="I3124" s="474"/>
      <c r="J3124" s="475"/>
      <c r="K3124" s="275"/>
      <c r="L3124" s="82"/>
      <c r="M3124" s="672"/>
      <c r="N3124" s="242"/>
      <c r="O3124" s="242"/>
      <c r="P3124" s="242"/>
      <c r="Q3124" s="242"/>
      <c r="R3124" s="539"/>
      <c r="S3124" s="540"/>
      <c r="T3124" s="543"/>
      <c r="U3124" s="673" t="b">
        <v>0</v>
      </c>
      <c r="Z3124" t="b">
        <v>0</v>
      </c>
      <c r="AA3124" t="b">
        <v>0</v>
      </c>
      <c r="AC3124" s="82"/>
      <c r="AD3124" t="str">
        <f t="shared" si="71"/>
        <v/>
      </c>
      <c r="AE3124" t="str">
        <f t="shared" si="72"/>
        <v/>
      </c>
    </row>
    <row r="3125">
      <c r="D3125" s="226"/>
      <c r="H3125" s="474"/>
      <c r="I3125" s="474"/>
      <c r="J3125" s="475"/>
      <c r="K3125" s="275"/>
      <c r="L3125" s="82"/>
      <c r="M3125" s="672"/>
      <c r="N3125" s="242"/>
      <c r="O3125" s="242"/>
      <c r="P3125" s="242"/>
      <c r="Q3125" s="242"/>
      <c r="R3125" s="539"/>
      <c r="S3125" s="540"/>
      <c r="T3125" s="543"/>
      <c r="U3125" s="673" t="b">
        <v>0</v>
      </c>
      <c r="Z3125" t="b">
        <v>0</v>
      </c>
      <c r="AA3125" t="b">
        <v>0</v>
      </c>
      <c r="AC3125" s="82"/>
      <c r="AD3125" t="str">
        <f t="shared" si="71"/>
        <v/>
      </c>
      <c r="AE3125" t="str">
        <f t="shared" si="72"/>
        <v/>
      </c>
    </row>
    <row r="3126">
      <c r="D3126" s="226"/>
      <c r="H3126" s="474"/>
      <c r="I3126" s="474"/>
      <c r="J3126" s="475"/>
      <c r="K3126" s="275"/>
      <c r="L3126" s="82"/>
      <c r="M3126" s="672"/>
      <c r="N3126" s="242"/>
      <c r="O3126" s="242"/>
      <c r="P3126" s="242"/>
      <c r="Q3126" s="242"/>
      <c r="R3126" s="539"/>
      <c r="S3126" s="540"/>
      <c r="T3126" s="543"/>
      <c r="U3126" s="673" t="b">
        <v>0</v>
      </c>
      <c r="Z3126" t="b">
        <v>0</v>
      </c>
      <c r="AA3126" t="b">
        <v>0</v>
      </c>
      <c r="AC3126" s="82"/>
      <c r="AD3126" t="str">
        <f t="shared" si="71"/>
        <v/>
      </c>
      <c r="AE3126" t="str">
        <f t="shared" si="72"/>
        <v/>
      </c>
    </row>
    <row r="3127">
      <c r="D3127" s="226"/>
      <c r="H3127" s="474"/>
      <c r="I3127" s="474"/>
      <c r="J3127" s="475"/>
      <c r="K3127" s="275"/>
      <c r="L3127" s="82"/>
      <c r="M3127" s="672"/>
      <c r="N3127" s="242"/>
      <c r="O3127" s="242"/>
      <c r="P3127" s="242"/>
      <c r="Q3127" s="242"/>
      <c r="R3127" s="539"/>
      <c r="S3127" s="540"/>
      <c r="T3127" s="543"/>
      <c r="U3127" s="673" t="b">
        <v>0</v>
      </c>
      <c r="Z3127" t="b">
        <v>0</v>
      </c>
      <c r="AA3127" t="b">
        <v>0</v>
      </c>
      <c r="AC3127" s="82"/>
      <c r="AD3127" t="str">
        <f t="shared" si="71"/>
        <v/>
      </c>
      <c r="AE3127" t="str">
        <f t="shared" si="72"/>
        <v/>
      </c>
    </row>
    <row r="3128">
      <c r="D3128" s="226"/>
      <c r="H3128" s="474"/>
      <c r="I3128" s="474"/>
      <c r="J3128" s="475"/>
      <c r="K3128" s="275"/>
      <c r="L3128" s="82"/>
      <c r="M3128" s="672"/>
      <c r="N3128" s="242"/>
      <c r="O3128" s="242"/>
      <c r="P3128" s="242"/>
      <c r="Q3128" s="242"/>
      <c r="R3128" s="539"/>
      <c r="S3128" s="540"/>
      <c r="T3128" s="543"/>
      <c r="U3128" s="673" t="b">
        <v>0</v>
      </c>
      <c r="Z3128" t="b">
        <v>0</v>
      </c>
      <c r="AA3128" t="b">
        <v>0</v>
      </c>
      <c r="AC3128" s="82"/>
      <c r="AD3128" t="str">
        <f t="shared" si="71"/>
        <v/>
      </c>
      <c r="AE3128" t="str">
        <f t="shared" si="72"/>
        <v/>
      </c>
    </row>
    <row r="3129">
      <c r="D3129" s="226"/>
      <c r="H3129" s="474"/>
      <c r="I3129" s="474"/>
      <c r="J3129" s="475"/>
      <c r="K3129" s="275"/>
      <c r="L3129" s="82"/>
      <c r="M3129" s="672"/>
      <c r="N3129" s="242"/>
      <c r="O3129" s="242"/>
      <c r="P3129" s="242"/>
      <c r="Q3129" s="242"/>
      <c r="R3129" s="539"/>
      <c r="S3129" s="540"/>
      <c r="T3129" s="543"/>
      <c r="U3129" s="673" t="b">
        <v>0</v>
      </c>
      <c r="Z3129" t="b">
        <v>0</v>
      </c>
      <c r="AA3129" t="b">
        <v>0</v>
      </c>
      <c r="AC3129" s="82"/>
      <c r="AD3129" t="str">
        <f t="shared" si="71"/>
        <v/>
      </c>
      <c r="AE3129" t="str">
        <f t="shared" si="72"/>
        <v/>
      </c>
    </row>
    <row r="3130">
      <c r="D3130" s="226"/>
      <c r="H3130" s="474"/>
      <c r="I3130" s="474"/>
      <c r="J3130" s="475"/>
      <c r="K3130" s="275"/>
      <c r="L3130" s="82"/>
      <c r="M3130" s="672"/>
      <c r="N3130" s="242"/>
      <c r="O3130" s="242"/>
      <c r="P3130" s="242"/>
      <c r="Q3130" s="242"/>
      <c r="R3130" s="539"/>
      <c r="S3130" s="540"/>
      <c r="T3130" s="543"/>
      <c r="U3130" s="673" t="b">
        <v>0</v>
      </c>
      <c r="Z3130" t="b">
        <v>0</v>
      </c>
      <c r="AA3130" t="b">
        <v>0</v>
      </c>
      <c r="AC3130" s="82"/>
      <c r="AD3130" t="str">
        <f t="shared" si="71"/>
        <v/>
      </c>
      <c r="AE3130" t="str">
        <f t="shared" si="72"/>
        <v/>
      </c>
    </row>
    <row r="3131">
      <c r="D3131" s="226"/>
      <c r="H3131" s="474"/>
      <c r="I3131" s="474"/>
      <c r="J3131" s="475"/>
      <c r="K3131" s="275"/>
      <c r="L3131" s="82"/>
      <c r="M3131" s="672"/>
      <c r="N3131" s="242"/>
      <c r="O3131" s="242"/>
      <c r="P3131" s="242"/>
      <c r="Q3131" s="242"/>
      <c r="R3131" s="539"/>
      <c r="S3131" s="540"/>
      <c r="T3131" s="543"/>
      <c r="U3131" s="673" t="b">
        <v>0</v>
      </c>
      <c r="Z3131" t="b">
        <v>0</v>
      </c>
      <c r="AA3131" t="b">
        <v>0</v>
      </c>
      <c r="AC3131" s="82"/>
      <c r="AD3131" t="str">
        <f t="shared" si="71"/>
        <v/>
      </c>
      <c r="AE3131" t="str">
        <f t="shared" si="72"/>
        <v/>
      </c>
    </row>
    <row r="3132">
      <c r="D3132" s="226"/>
      <c r="H3132" s="474"/>
      <c r="I3132" s="474"/>
      <c r="J3132" s="475"/>
      <c r="K3132" s="275"/>
      <c r="L3132" s="82"/>
      <c r="M3132" s="672"/>
      <c r="N3132" s="242"/>
      <c r="O3132" s="242"/>
      <c r="P3132" s="242"/>
      <c r="Q3132" s="242"/>
      <c r="R3132" s="539"/>
      <c r="S3132" s="540"/>
      <c r="T3132" s="543"/>
      <c r="U3132" s="673" t="b">
        <v>0</v>
      </c>
      <c r="Z3132" t="b">
        <v>0</v>
      </c>
      <c r="AA3132" t="b">
        <v>0</v>
      </c>
      <c r="AC3132" s="82"/>
      <c r="AD3132" t="str">
        <f t="shared" si="71"/>
        <v/>
      </c>
      <c r="AE3132" t="str">
        <f t="shared" si="72"/>
        <v/>
      </c>
    </row>
    <row r="3133">
      <c r="D3133" s="226"/>
      <c r="H3133" s="474"/>
      <c r="I3133" s="474"/>
      <c r="J3133" s="475"/>
      <c r="K3133" s="275"/>
      <c r="L3133" s="82"/>
      <c r="M3133" s="672"/>
      <c r="N3133" s="242"/>
      <c r="O3133" s="242"/>
      <c r="P3133" s="242"/>
      <c r="Q3133" s="242"/>
      <c r="R3133" s="539"/>
      <c r="S3133" s="540"/>
      <c r="T3133" s="543"/>
      <c r="U3133" s="673" t="b">
        <v>0</v>
      </c>
      <c r="Z3133" t="b">
        <v>0</v>
      </c>
      <c r="AA3133" t="b">
        <v>0</v>
      </c>
      <c r="AC3133" s="82"/>
      <c r="AD3133" t="str">
        <f t="shared" si="71"/>
        <v/>
      </c>
      <c r="AE3133" t="str">
        <f t="shared" si="72"/>
        <v/>
      </c>
    </row>
    <row r="3134">
      <c r="D3134" s="226"/>
      <c r="H3134" s="474"/>
      <c r="I3134" s="474"/>
      <c r="J3134" s="475"/>
      <c r="K3134" s="275"/>
      <c r="L3134" s="82"/>
      <c r="M3134" s="672"/>
      <c r="N3134" s="242"/>
      <c r="O3134" s="242"/>
      <c r="P3134" s="242"/>
      <c r="Q3134" s="242"/>
      <c r="R3134" s="539"/>
      <c r="S3134" s="540"/>
      <c r="T3134" s="543"/>
      <c r="U3134" s="673" t="b">
        <v>0</v>
      </c>
      <c r="Z3134" t="b">
        <v>0</v>
      </c>
      <c r="AA3134" t="b">
        <v>0</v>
      </c>
      <c r="AC3134" s="82"/>
      <c r="AD3134" t="str">
        <f t="shared" si="71"/>
        <v/>
      </c>
      <c r="AE3134" t="str">
        <f t="shared" si="72"/>
        <v/>
      </c>
    </row>
    <row r="3135">
      <c r="D3135" s="226"/>
      <c r="H3135" s="474"/>
      <c r="I3135" s="474"/>
      <c r="J3135" s="475"/>
      <c r="K3135" s="275"/>
      <c r="L3135" s="82"/>
      <c r="M3135" s="672"/>
      <c r="N3135" s="242"/>
      <c r="O3135" s="242"/>
      <c r="P3135" s="242"/>
      <c r="Q3135" s="242"/>
      <c r="R3135" s="539"/>
      <c r="S3135" s="540"/>
      <c r="T3135" s="543"/>
      <c r="U3135" s="673" t="b">
        <v>0</v>
      </c>
      <c r="Z3135" t="b">
        <v>0</v>
      </c>
      <c r="AA3135" t="b">
        <v>0</v>
      </c>
      <c r="AC3135" s="82"/>
      <c r="AD3135" t="str">
        <f t="shared" si="71"/>
        <v/>
      </c>
      <c r="AE3135" t="str">
        <f t="shared" si="72"/>
        <v/>
      </c>
    </row>
    <row r="3136">
      <c r="D3136" s="226"/>
      <c r="H3136" s="474"/>
      <c r="I3136" s="474"/>
      <c r="J3136" s="475"/>
      <c r="K3136" s="275"/>
      <c r="L3136" s="82"/>
      <c r="M3136" s="672"/>
      <c r="N3136" s="242"/>
      <c r="O3136" s="242"/>
      <c r="P3136" s="242"/>
      <c r="Q3136" s="242"/>
      <c r="R3136" s="539"/>
      <c r="S3136" s="540"/>
      <c r="T3136" s="543"/>
      <c r="U3136" s="673" t="b">
        <v>0</v>
      </c>
      <c r="Z3136" t="b">
        <v>0</v>
      </c>
      <c r="AA3136" t="b">
        <v>0</v>
      </c>
      <c r="AC3136" s="82"/>
      <c r="AD3136" t="str">
        <f t="shared" si="71"/>
        <v/>
      </c>
      <c r="AE3136" t="str">
        <f t="shared" si="72"/>
        <v/>
      </c>
    </row>
    <row r="3137">
      <c r="D3137" s="226"/>
      <c r="H3137" s="474"/>
      <c r="I3137" s="474"/>
      <c r="J3137" s="475"/>
      <c r="K3137" s="275"/>
      <c r="L3137" s="82"/>
      <c r="M3137" s="672"/>
      <c r="N3137" s="242"/>
      <c r="O3137" s="242"/>
      <c r="P3137" s="242"/>
      <c r="Q3137" s="242"/>
      <c r="R3137" s="539"/>
      <c r="S3137" s="540"/>
      <c r="T3137" s="543"/>
      <c r="U3137" s="673" t="b">
        <v>0</v>
      </c>
      <c r="Z3137" t="b">
        <v>0</v>
      </c>
      <c r="AA3137" t="b">
        <v>0</v>
      </c>
      <c r="AC3137" s="82"/>
      <c r="AD3137" t="str">
        <f t="shared" si="71"/>
        <v/>
      </c>
      <c r="AE3137" t="str">
        <f t="shared" si="72"/>
        <v/>
      </c>
    </row>
    <row r="3138">
      <c r="D3138" s="226"/>
      <c r="H3138" s="474"/>
      <c r="I3138" s="474"/>
      <c r="J3138" s="475"/>
      <c r="K3138" s="275"/>
      <c r="L3138" s="82"/>
      <c r="M3138" s="672"/>
      <c r="N3138" s="242"/>
      <c r="O3138" s="242"/>
      <c r="P3138" s="242"/>
      <c r="Q3138" s="242"/>
      <c r="R3138" s="539"/>
      <c r="S3138" s="540"/>
      <c r="T3138" s="543"/>
      <c r="U3138" s="673" t="b">
        <v>0</v>
      </c>
      <c r="Z3138" t="b">
        <v>0</v>
      </c>
      <c r="AA3138" t="b">
        <v>0</v>
      </c>
      <c r="AC3138" s="82"/>
      <c r="AD3138" t="str">
        <f t="shared" si="71"/>
        <v/>
      </c>
      <c r="AE3138" t="str">
        <f t="shared" si="72"/>
        <v/>
      </c>
    </row>
    <row r="3139">
      <c r="D3139" s="226"/>
      <c r="H3139" s="474"/>
      <c r="I3139" s="474"/>
      <c r="J3139" s="475"/>
      <c r="K3139" s="275"/>
      <c r="L3139" s="82"/>
      <c r="M3139" s="672"/>
      <c r="N3139" s="242"/>
      <c r="O3139" s="242"/>
      <c r="P3139" s="242"/>
      <c r="Q3139" s="242"/>
      <c r="R3139" s="539"/>
      <c r="S3139" s="540"/>
      <c r="T3139" s="543"/>
      <c r="U3139" s="673" t="b">
        <v>0</v>
      </c>
      <c r="Z3139" t="b">
        <v>0</v>
      </c>
      <c r="AA3139" t="b">
        <v>0</v>
      </c>
      <c r="AC3139" s="82"/>
      <c r="AD3139" t="str">
        <f t="shared" si="71"/>
        <v/>
      </c>
      <c r="AE3139" t="str">
        <f t="shared" si="72"/>
        <v/>
      </c>
    </row>
    <row r="3140">
      <c r="D3140" s="226"/>
      <c r="H3140" s="474"/>
      <c r="I3140" s="474"/>
      <c r="J3140" s="475"/>
      <c r="K3140" s="275"/>
      <c r="L3140" s="82"/>
      <c r="M3140" s="672"/>
      <c r="N3140" s="242"/>
      <c r="O3140" s="242"/>
      <c r="P3140" s="242"/>
      <c r="Q3140" s="242"/>
      <c r="R3140" s="539"/>
      <c r="S3140" s="540"/>
      <c r="T3140" s="543"/>
      <c r="U3140" s="673" t="b">
        <v>0</v>
      </c>
      <c r="Z3140" t="b">
        <v>0</v>
      </c>
      <c r="AA3140" t="b">
        <v>0</v>
      </c>
      <c r="AC3140" s="82"/>
      <c r="AD3140" t="str">
        <f t="shared" si="71"/>
        <v/>
      </c>
      <c r="AE3140" t="str">
        <f t="shared" si="72"/>
        <v/>
      </c>
    </row>
    <row r="3141">
      <c r="D3141" s="226"/>
      <c r="H3141" s="474"/>
      <c r="I3141" s="474"/>
      <c r="J3141" s="475"/>
      <c r="K3141" s="275"/>
      <c r="L3141" s="82"/>
      <c r="M3141" s="672"/>
      <c r="N3141" s="242"/>
      <c r="O3141" s="242"/>
      <c r="P3141" s="242"/>
      <c r="Q3141" s="242"/>
      <c r="R3141" s="539"/>
      <c r="S3141" s="540"/>
      <c r="T3141" s="543"/>
      <c r="U3141" s="673" t="b">
        <v>0</v>
      </c>
      <c r="Z3141" t="b">
        <v>0</v>
      </c>
      <c r="AA3141" t="b">
        <v>0</v>
      </c>
      <c r="AC3141" s="82"/>
      <c r="AD3141" t="str">
        <f t="shared" si="71"/>
        <v/>
      </c>
      <c r="AE3141" t="str">
        <f t="shared" si="72"/>
        <v/>
      </c>
    </row>
    <row r="3142">
      <c r="D3142" s="226"/>
      <c r="H3142" s="474"/>
      <c r="I3142" s="474"/>
      <c r="J3142" s="475"/>
      <c r="K3142" s="275"/>
      <c r="L3142" s="82"/>
      <c r="M3142" s="672"/>
      <c r="N3142" s="242"/>
      <c r="O3142" s="242"/>
      <c r="P3142" s="242"/>
      <c r="Q3142" s="242"/>
      <c r="R3142" s="539"/>
      <c r="S3142" s="540"/>
      <c r="T3142" s="543"/>
      <c r="U3142" s="673" t="b">
        <v>0</v>
      </c>
      <c r="Z3142" t="b">
        <v>0</v>
      </c>
      <c r="AA3142" t="b">
        <v>0</v>
      </c>
      <c r="AC3142" s="82"/>
      <c r="AD3142" t="str">
        <f t="shared" si="71"/>
        <v/>
      </c>
      <c r="AE3142" t="str">
        <f t="shared" si="72"/>
        <v/>
      </c>
    </row>
    <row r="3143">
      <c r="D3143" s="226"/>
      <c r="H3143" s="474"/>
      <c r="I3143" s="474"/>
      <c r="J3143" s="475"/>
      <c r="K3143" s="275"/>
      <c r="L3143" s="82"/>
      <c r="M3143" s="672"/>
      <c r="N3143" s="242"/>
      <c r="O3143" s="242"/>
      <c r="P3143" s="242"/>
      <c r="Q3143" s="242"/>
      <c r="R3143" s="539"/>
      <c r="S3143" s="540"/>
      <c r="T3143" s="543"/>
      <c r="U3143" s="673" t="b">
        <v>0</v>
      </c>
      <c r="Z3143" t="b">
        <v>0</v>
      </c>
      <c r="AA3143" t="b">
        <v>0</v>
      </c>
      <c r="AC3143" s="82"/>
      <c r="AD3143" t="str">
        <f t="shared" si="71"/>
        <v/>
      </c>
      <c r="AE3143" t="str">
        <f t="shared" si="72"/>
        <v/>
      </c>
    </row>
    <row r="3144">
      <c r="D3144" s="226"/>
      <c r="H3144" s="474"/>
      <c r="I3144" s="474"/>
      <c r="J3144" s="475"/>
      <c r="K3144" s="275"/>
      <c r="L3144" s="82"/>
      <c r="M3144" s="672"/>
      <c r="N3144" s="242"/>
      <c r="O3144" s="242"/>
      <c r="P3144" s="242"/>
      <c r="Q3144" s="242"/>
      <c r="R3144" s="539"/>
      <c r="S3144" s="540"/>
      <c r="T3144" s="543"/>
      <c r="U3144" s="673" t="b">
        <v>0</v>
      </c>
      <c r="Z3144" t="b">
        <v>0</v>
      </c>
      <c r="AA3144" t="b">
        <v>0</v>
      </c>
      <c r="AC3144" s="82"/>
      <c r="AD3144" t="str">
        <f t="shared" si="71"/>
        <v/>
      </c>
      <c r="AE3144" t="str">
        <f t="shared" si="72"/>
        <v/>
      </c>
    </row>
    <row r="3145">
      <c r="D3145" s="226"/>
      <c r="H3145" s="474"/>
      <c r="I3145" s="474"/>
      <c r="J3145" s="475"/>
      <c r="K3145" s="275"/>
      <c r="L3145" s="82"/>
      <c r="M3145" s="672"/>
      <c r="N3145" s="242"/>
      <c r="O3145" s="242"/>
      <c r="P3145" s="242"/>
      <c r="Q3145" s="242"/>
      <c r="R3145" s="539"/>
      <c r="S3145" s="540"/>
      <c r="T3145" s="543"/>
      <c r="U3145" s="673" t="b">
        <v>0</v>
      </c>
      <c r="Z3145" t="b">
        <v>0</v>
      </c>
      <c r="AA3145" t="b">
        <v>0</v>
      </c>
      <c r="AC3145" s="82"/>
      <c r="AD3145" t="str">
        <f t="shared" si="71"/>
        <v/>
      </c>
      <c r="AE3145" t="str">
        <f t="shared" si="72"/>
        <v/>
      </c>
    </row>
    <row r="3146">
      <c r="D3146" s="226"/>
      <c r="H3146" s="474"/>
      <c r="I3146" s="474"/>
      <c r="J3146" s="475"/>
      <c r="K3146" s="275"/>
      <c r="L3146" s="82"/>
      <c r="M3146" s="672"/>
      <c r="N3146" s="242"/>
      <c r="O3146" s="242"/>
      <c r="P3146" s="242"/>
      <c r="Q3146" s="242"/>
      <c r="R3146" s="539"/>
      <c r="S3146" s="540"/>
      <c r="T3146" s="543"/>
      <c r="U3146" s="673" t="b">
        <v>0</v>
      </c>
      <c r="Z3146" t="b">
        <v>0</v>
      </c>
      <c r="AA3146" t="b">
        <v>0</v>
      </c>
      <c r="AC3146" s="82"/>
      <c r="AD3146" t="str">
        <f t="shared" si="71"/>
        <v/>
      </c>
      <c r="AE3146" t="str">
        <f t="shared" si="72"/>
        <v/>
      </c>
    </row>
    <row r="3147">
      <c r="D3147" s="226"/>
      <c r="H3147" s="474"/>
      <c r="I3147" s="474"/>
      <c r="J3147" s="475"/>
      <c r="K3147" s="275"/>
      <c r="L3147" s="82"/>
      <c r="M3147" s="672"/>
      <c r="N3147" s="242"/>
      <c r="O3147" s="242"/>
      <c r="P3147" s="242"/>
      <c r="Q3147" s="242"/>
      <c r="R3147" s="539"/>
      <c r="S3147" s="540"/>
      <c r="T3147" s="543"/>
      <c r="U3147" s="673" t="b">
        <v>0</v>
      </c>
      <c r="Z3147" t="b">
        <v>0</v>
      </c>
      <c r="AA3147" t="b">
        <v>0</v>
      </c>
      <c r="AC3147" s="82"/>
      <c r="AD3147" t="str">
        <f t="shared" si="71"/>
        <v/>
      </c>
      <c r="AE3147" t="str">
        <f t="shared" si="72"/>
        <v/>
      </c>
    </row>
    <row r="3148">
      <c r="D3148" s="226"/>
      <c r="H3148" s="474"/>
      <c r="I3148" s="474"/>
      <c r="J3148" s="475"/>
      <c r="K3148" s="275"/>
      <c r="L3148" s="82"/>
      <c r="M3148" s="672"/>
      <c r="N3148" s="242"/>
      <c r="O3148" s="242"/>
      <c r="P3148" s="242"/>
      <c r="Q3148" s="242"/>
      <c r="R3148" s="539"/>
      <c r="S3148" s="540"/>
      <c r="T3148" s="543"/>
      <c r="U3148" s="673" t="b">
        <v>0</v>
      </c>
      <c r="Z3148" t="b">
        <v>0</v>
      </c>
      <c r="AA3148" t="b">
        <v>0</v>
      </c>
      <c r="AC3148" s="82"/>
      <c r="AD3148" t="str">
        <f t="shared" si="71"/>
        <v/>
      </c>
      <c r="AE3148" t="str">
        <f t="shared" si="72"/>
        <v/>
      </c>
    </row>
    <row r="3149">
      <c r="D3149" s="226"/>
      <c r="H3149" s="474"/>
      <c r="I3149" s="474"/>
      <c r="J3149" s="475"/>
      <c r="K3149" s="275"/>
      <c r="L3149" s="82"/>
      <c r="M3149" s="672"/>
      <c r="N3149" s="242"/>
      <c r="O3149" s="242"/>
      <c r="P3149" s="242"/>
      <c r="Q3149" s="242"/>
      <c r="R3149" s="539"/>
      <c r="S3149" s="540"/>
      <c r="T3149" s="543"/>
      <c r="U3149" s="673" t="b">
        <v>0</v>
      </c>
      <c r="Z3149" t="b">
        <v>0</v>
      </c>
      <c r="AA3149" t="b">
        <v>0</v>
      </c>
      <c r="AC3149" s="82"/>
      <c r="AD3149" t="str">
        <f t="shared" si="71"/>
        <v/>
      </c>
      <c r="AE3149" t="str">
        <f t="shared" si="72"/>
        <v/>
      </c>
    </row>
    <row r="3150">
      <c r="D3150" s="226"/>
      <c r="H3150" s="474"/>
      <c r="I3150" s="474"/>
      <c r="J3150" s="475"/>
      <c r="K3150" s="275"/>
      <c r="L3150" s="82"/>
      <c r="M3150" s="672"/>
      <c r="N3150" s="242"/>
      <c r="O3150" s="242"/>
      <c r="P3150" s="242"/>
      <c r="Q3150" s="242"/>
      <c r="R3150" s="539"/>
      <c r="S3150" s="540"/>
      <c r="T3150" s="543"/>
      <c r="U3150" s="673" t="b">
        <v>0</v>
      </c>
      <c r="Z3150" t="b">
        <v>0</v>
      </c>
      <c r="AA3150" t="b">
        <v>0</v>
      </c>
      <c r="AC3150" s="82"/>
      <c r="AD3150" t="str">
        <f t="shared" si="71"/>
        <v/>
      </c>
      <c r="AE3150" t="str">
        <f t="shared" si="72"/>
        <v/>
      </c>
    </row>
    <row r="3151">
      <c r="D3151" s="226"/>
      <c r="H3151" s="474"/>
      <c r="I3151" s="474"/>
      <c r="J3151" s="475"/>
      <c r="K3151" s="275"/>
      <c r="L3151" s="82"/>
      <c r="M3151" s="672"/>
      <c r="N3151" s="242"/>
      <c r="O3151" s="242"/>
      <c r="P3151" s="242"/>
      <c r="Q3151" s="242"/>
      <c r="R3151" s="539"/>
      <c r="S3151" s="540"/>
      <c r="T3151" s="543"/>
      <c r="U3151" s="673" t="b">
        <v>0</v>
      </c>
      <c r="Z3151" t="b">
        <v>0</v>
      </c>
      <c r="AA3151" t="b">
        <v>0</v>
      </c>
      <c r="AC3151" s="82"/>
      <c r="AD3151" t="str">
        <f t="shared" si="71"/>
        <v/>
      </c>
      <c r="AE3151" t="str">
        <f t="shared" si="72"/>
        <v/>
      </c>
    </row>
    <row r="3152">
      <c r="D3152" s="226"/>
      <c r="H3152" s="474"/>
      <c r="I3152" s="474"/>
      <c r="J3152" s="475"/>
      <c r="K3152" s="275"/>
      <c r="L3152" s="82"/>
      <c r="M3152" s="672"/>
      <c r="N3152" s="242"/>
      <c r="O3152" s="242"/>
      <c r="P3152" s="242"/>
      <c r="Q3152" s="242"/>
      <c r="R3152" s="539"/>
      <c r="S3152" s="540"/>
      <c r="T3152" s="543"/>
      <c r="U3152" s="673" t="b">
        <v>0</v>
      </c>
      <c r="Z3152" t="b">
        <v>0</v>
      </c>
      <c r="AA3152" t="b">
        <v>0</v>
      </c>
      <c r="AC3152" s="82"/>
      <c r="AD3152" t="str">
        <f t="shared" si="71"/>
        <v/>
      </c>
      <c r="AE3152" t="str">
        <f t="shared" si="72"/>
        <v/>
      </c>
    </row>
    <row r="3153">
      <c r="D3153" s="226"/>
      <c r="H3153" s="474"/>
      <c r="I3153" s="474"/>
      <c r="J3153" s="475"/>
      <c r="K3153" s="275"/>
      <c r="L3153" s="82"/>
      <c r="M3153" s="672"/>
      <c r="N3153" s="242"/>
      <c r="O3153" s="242"/>
      <c r="P3153" s="242"/>
      <c r="Q3153" s="242"/>
      <c r="R3153" s="539"/>
      <c r="S3153" s="540"/>
      <c r="T3153" s="543"/>
      <c r="U3153" s="673" t="b">
        <v>0</v>
      </c>
      <c r="Z3153" t="b">
        <v>0</v>
      </c>
      <c r="AA3153" t="b">
        <v>0</v>
      </c>
      <c r="AC3153" s="82"/>
      <c r="AD3153" t="str">
        <f t="shared" si="71"/>
        <v/>
      </c>
      <c r="AE3153" t="str">
        <f t="shared" si="72"/>
        <v/>
      </c>
    </row>
    <row r="3154">
      <c r="D3154" s="226"/>
      <c r="H3154" s="474"/>
      <c r="I3154" s="474"/>
      <c r="J3154" s="475"/>
      <c r="K3154" s="275"/>
      <c r="L3154" s="82"/>
      <c r="M3154" s="672"/>
      <c r="N3154" s="242"/>
      <c r="O3154" s="242"/>
      <c r="P3154" s="242"/>
      <c r="Q3154" s="242"/>
      <c r="R3154" s="539"/>
      <c r="S3154" s="540"/>
      <c r="T3154" s="543"/>
      <c r="U3154" s="673" t="b">
        <v>0</v>
      </c>
      <c r="Z3154" t="b">
        <v>0</v>
      </c>
      <c r="AA3154" t="b">
        <v>0</v>
      </c>
      <c r="AC3154" s="82"/>
      <c r="AD3154" t="str">
        <f t="shared" si="71"/>
        <v/>
      </c>
      <c r="AE3154" t="str">
        <f t="shared" si="72"/>
        <v/>
      </c>
    </row>
    <row r="3155">
      <c r="D3155" s="226"/>
      <c r="H3155" s="474"/>
      <c r="I3155" s="474"/>
      <c r="J3155" s="475"/>
      <c r="K3155" s="275"/>
      <c r="L3155" s="82"/>
      <c r="M3155" s="672"/>
      <c r="N3155" s="242"/>
      <c r="O3155" s="242"/>
      <c r="P3155" s="242"/>
      <c r="Q3155" s="242"/>
      <c r="R3155" s="539"/>
      <c r="S3155" s="540"/>
      <c r="T3155" s="543"/>
      <c r="U3155" s="673" t="b">
        <v>0</v>
      </c>
      <c r="Z3155" t="b">
        <v>0</v>
      </c>
      <c r="AA3155" t="b">
        <v>0</v>
      </c>
      <c r="AC3155" s="82"/>
      <c r="AD3155" t="str">
        <f t="shared" si="71"/>
        <v/>
      </c>
      <c r="AE3155" t="str">
        <f t="shared" si="72"/>
        <v/>
      </c>
    </row>
    <row r="3156">
      <c r="D3156" s="226"/>
      <c r="H3156" s="474"/>
      <c r="I3156" s="474"/>
      <c r="J3156" s="475"/>
      <c r="K3156" s="275"/>
      <c r="L3156" s="82"/>
      <c r="M3156" s="672"/>
      <c r="N3156" s="242"/>
      <c r="O3156" s="242"/>
      <c r="P3156" s="242"/>
      <c r="Q3156" s="242"/>
      <c r="R3156" s="539"/>
      <c r="S3156" s="540"/>
      <c r="T3156" s="543"/>
      <c r="U3156" s="673" t="b">
        <v>0</v>
      </c>
      <c r="Z3156" t="b">
        <v>0</v>
      </c>
      <c r="AA3156" t="b">
        <v>0</v>
      </c>
      <c r="AC3156" s="82"/>
      <c r="AD3156" t="str">
        <f t="shared" si="71"/>
        <v/>
      </c>
      <c r="AE3156" t="str">
        <f t="shared" si="72"/>
        <v/>
      </c>
    </row>
    <row r="3157">
      <c r="D3157" s="226"/>
      <c r="H3157" s="474"/>
      <c r="I3157" s="474"/>
      <c r="J3157" s="475"/>
      <c r="K3157" s="275"/>
      <c r="L3157" s="82"/>
      <c r="M3157" s="672"/>
      <c r="N3157" s="242"/>
      <c r="O3157" s="242"/>
      <c r="P3157" s="242"/>
      <c r="Q3157" s="242"/>
      <c r="R3157" s="539"/>
      <c r="S3157" s="540"/>
      <c r="T3157" s="543"/>
      <c r="U3157" s="673" t="b">
        <v>0</v>
      </c>
      <c r="Z3157" t="b">
        <v>0</v>
      </c>
      <c r="AA3157" t="b">
        <v>0</v>
      </c>
      <c r="AC3157" s="82"/>
      <c r="AD3157" t="str">
        <f t="shared" si="71"/>
        <v/>
      </c>
      <c r="AE3157" t="str">
        <f t="shared" si="72"/>
        <v/>
      </c>
    </row>
    <row r="3158">
      <c r="D3158" s="226"/>
      <c r="H3158" s="474"/>
      <c r="I3158" s="474"/>
      <c r="J3158" s="475"/>
      <c r="K3158" s="275"/>
      <c r="L3158" s="82"/>
      <c r="M3158" s="672"/>
      <c r="N3158" s="242"/>
      <c r="O3158" s="242"/>
      <c r="P3158" s="242"/>
      <c r="Q3158" s="242"/>
      <c r="R3158" s="539"/>
      <c r="S3158" s="540"/>
      <c r="T3158" s="543"/>
      <c r="U3158" s="673" t="b">
        <v>0</v>
      </c>
      <c r="Z3158" t="b">
        <v>0</v>
      </c>
      <c r="AA3158" t="b">
        <v>0</v>
      </c>
      <c r="AC3158" s="82"/>
      <c r="AD3158" t="str">
        <f t="shared" si="71"/>
        <v/>
      </c>
      <c r="AE3158" t="str">
        <f t="shared" si="72"/>
        <v/>
      </c>
    </row>
    <row r="3159">
      <c r="D3159" s="226"/>
      <c r="H3159" s="474"/>
      <c r="I3159" s="474"/>
      <c r="J3159" s="475"/>
      <c r="K3159" s="275"/>
      <c r="L3159" s="82"/>
      <c r="M3159" s="672"/>
      <c r="N3159" s="242"/>
      <c r="O3159" s="242"/>
      <c r="P3159" s="242"/>
      <c r="Q3159" s="242"/>
      <c r="R3159" s="539"/>
      <c r="S3159" s="540"/>
      <c r="T3159" s="543"/>
      <c r="U3159" s="673" t="b">
        <v>0</v>
      </c>
      <c r="Z3159" t="b">
        <v>0</v>
      </c>
      <c r="AA3159" t="b">
        <v>0</v>
      </c>
      <c r="AC3159" s="82"/>
      <c r="AD3159" t="str">
        <f t="shared" si="71"/>
        <v/>
      </c>
      <c r="AE3159" t="str">
        <f t="shared" si="72"/>
        <v/>
      </c>
    </row>
    <row r="3160">
      <c r="D3160" s="226"/>
      <c r="H3160" s="474"/>
      <c r="I3160" s="474"/>
      <c r="J3160" s="475"/>
      <c r="K3160" s="275"/>
      <c r="L3160" s="82"/>
      <c r="M3160" s="672"/>
      <c r="N3160" s="242"/>
      <c r="O3160" s="242"/>
      <c r="P3160" s="242"/>
      <c r="Q3160" s="242"/>
      <c r="R3160" s="539"/>
      <c r="S3160" s="540"/>
      <c r="T3160" s="543"/>
      <c r="U3160" s="673" t="b">
        <v>0</v>
      </c>
      <c r="Z3160" t="b">
        <v>0</v>
      </c>
      <c r="AA3160" t="b">
        <v>0</v>
      </c>
      <c r="AC3160" s="82"/>
      <c r="AD3160" t="str">
        <f t="shared" si="71"/>
        <v/>
      </c>
      <c r="AE3160" t="str">
        <f t="shared" si="72"/>
        <v/>
      </c>
    </row>
    <row r="3161">
      <c r="D3161" s="226"/>
      <c r="H3161" s="474"/>
      <c r="I3161" s="474"/>
      <c r="J3161" s="475"/>
      <c r="K3161" s="275"/>
      <c r="L3161" s="82"/>
      <c r="M3161" s="672"/>
      <c r="N3161" s="242"/>
      <c r="O3161" s="242"/>
      <c r="P3161" s="242"/>
      <c r="Q3161" s="242"/>
      <c r="R3161" s="539"/>
      <c r="S3161" s="540"/>
      <c r="T3161" s="543"/>
      <c r="U3161" s="673" t="b">
        <v>0</v>
      </c>
      <c r="Z3161" t="b">
        <v>0</v>
      </c>
      <c r="AA3161" t="b">
        <v>0</v>
      </c>
      <c r="AC3161" s="82"/>
      <c r="AD3161" t="str">
        <f t="shared" si="71"/>
        <v/>
      </c>
      <c r="AE3161" t="str">
        <f t="shared" si="72"/>
        <v/>
      </c>
    </row>
    <row r="3162">
      <c r="D3162" s="226"/>
      <c r="H3162" s="474"/>
      <c r="I3162" s="474"/>
      <c r="J3162" s="475"/>
      <c r="K3162" s="275"/>
      <c r="L3162" s="82"/>
      <c r="M3162" s="672"/>
      <c r="N3162" s="242"/>
      <c r="O3162" s="242"/>
      <c r="P3162" s="242"/>
      <c r="Q3162" s="242"/>
      <c r="R3162" s="539"/>
      <c r="S3162" s="540"/>
      <c r="T3162" s="543"/>
      <c r="U3162" s="673" t="b">
        <v>0</v>
      </c>
      <c r="Z3162" t="b">
        <v>0</v>
      </c>
      <c r="AA3162" t="b">
        <v>0</v>
      </c>
      <c r="AC3162" s="82"/>
      <c r="AD3162" t="str">
        <f t="shared" si="71"/>
        <v/>
      </c>
      <c r="AE3162" t="str">
        <f t="shared" si="72"/>
        <v/>
      </c>
    </row>
    <row r="3163">
      <c r="D3163" s="226"/>
      <c r="H3163" s="474"/>
      <c r="I3163" s="474"/>
      <c r="J3163" s="475"/>
      <c r="K3163" s="275"/>
      <c r="L3163" s="82"/>
      <c r="M3163" s="672"/>
      <c r="N3163" s="242"/>
      <c r="O3163" s="242"/>
      <c r="P3163" s="242"/>
      <c r="Q3163" s="242"/>
      <c r="R3163" s="539"/>
      <c r="S3163" s="540"/>
      <c r="T3163" s="543"/>
      <c r="U3163" s="673" t="b">
        <v>0</v>
      </c>
      <c r="Z3163" t="b">
        <v>0</v>
      </c>
      <c r="AA3163" t="b">
        <v>0</v>
      </c>
      <c r="AC3163" s="82"/>
      <c r="AD3163" t="str">
        <f t="shared" si="71"/>
        <v/>
      </c>
      <c r="AE3163" t="str">
        <f t="shared" si="72"/>
        <v/>
      </c>
    </row>
    <row r="3164">
      <c r="D3164" s="226"/>
      <c r="H3164" s="474"/>
      <c r="I3164" s="474"/>
      <c r="J3164" s="475"/>
      <c r="K3164" s="275"/>
      <c r="L3164" s="82"/>
      <c r="M3164" s="672"/>
      <c r="N3164" s="242"/>
      <c r="O3164" s="242"/>
      <c r="P3164" s="242"/>
      <c r="Q3164" s="242"/>
      <c r="R3164" s="539"/>
      <c r="S3164" s="540"/>
      <c r="T3164" s="543"/>
      <c r="U3164" s="673" t="b">
        <v>0</v>
      </c>
      <c r="Z3164" t="b">
        <v>0</v>
      </c>
      <c r="AA3164" t="b">
        <v>0</v>
      </c>
      <c r="AC3164" s="82"/>
      <c r="AD3164" t="str">
        <f t="shared" si="71"/>
        <v/>
      </c>
      <c r="AE3164" t="str">
        <f t="shared" si="72"/>
        <v/>
      </c>
    </row>
    <row r="3165">
      <c r="D3165" s="226"/>
      <c r="H3165" s="474"/>
      <c r="I3165" s="474"/>
      <c r="J3165" s="475"/>
      <c r="K3165" s="275"/>
      <c r="L3165" s="82"/>
      <c r="M3165" s="672"/>
      <c r="N3165" s="242"/>
      <c r="O3165" s="242"/>
      <c r="P3165" s="242"/>
      <c r="Q3165" s="242"/>
      <c r="R3165" s="539"/>
      <c r="S3165" s="540"/>
      <c r="T3165" s="543"/>
      <c r="U3165" s="673" t="b">
        <v>0</v>
      </c>
      <c r="Z3165" t="b">
        <v>0</v>
      </c>
      <c r="AA3165" t="b">
        <v>0</v>
      </c>
      <c r="AC3165" s="82"/>
      <c r="AD3165" t="str">
        <f t="shared" si="71"/>
        <v/>
      </c>
      <c r="AE3165" t="str">
        <f t="shared" si="72"/>
        <v/>
      </c>
    </row>
    <row r="3166">
      <c r="D3166" s="226"/>
      <c r="H3166" s="474"/>
      <c r="I3166" s="474"/>
      <c r="J3166" s="475"/>
      <c r="K3166" s="275"/>
      <c r="L3166" s="82"/>
      <c r="M3166" s="672"/>
      <c r="N3166" s="242"/>
      <c r="O3166" s="242"/>
      <c r="P3166" s="242"/>
      <c r="Q3166" s="242"/>
      <c r="R3166" s="539"/>
      <c r="S3166" s="540"/>
      <c r="T3166" s="543"/>
      <c r="U3166" s="673" t="b">
        <v>0</v>
      </c>
      <c r="Z3166" t="b">
        <v>0</v>
      </c>
      <c r="AA3166" t="b">
        <v>0</v>
      </c>
      <c r="AC3166" s="82"/>
      <c r="AD3166" t="str">
        <f t="shared" si="71"/>
        <v/>
      </c>
      <c r="AE3166" t="str">
        <f t="shared" si="72"/>
        <v/>
      </c>
    </row>
    <row r="3167">
      <c r="D3167" s="226"/>
      <c r="H3167" s="474"/>
      <c r="I3167" s="474"/>
      <c r="J3167" s="475"/>
      <c r="K3167" s="275"/>
      <c r="L3167" s="82"/>
      <c r="M3167" s="672"/>
      <c r="N3167" s="242"/>
      <c r="O3167" s="242"/>
      <c r="P3167" s="242"/>
      <c r="Q3167" s="242"/>
      <c r="R3167" s="539"/>
      <c r="S3167" s="540"/>
      <c r="T3167" s="543"/>
      <c r="U3167" s="673" t="b">
        <v>0</v>
      </c>
      <c r="Z3167" t="b">
        <v>0</v>
      </c>
      <c r="AA3167" t="b">
        <v>0</v>
      </c>
      <c r="AC3167" s="82"/>
      <c r="AD3167" t="str">
        <f t="shared" si="71"/>
        <v/>
      </c>
      <c r="AE3167" t="str">
        <f t="shared" si="72"/>
        <v/>
      </c>
    </row>
    <row r="3168">
      <c r="D3168" s="226"/>
      <c r="H3168" s="474"/>
      <c r="I3168" s="474"/>
      <c r="J3168" s="475"/>
      <c r="K3168" s="275"/>
      <c r="L3168" s="82"/>
      <c r="M3168" s="672"/>
      <c r="N3168" s="242"/>
      <c r="O3168" s="242"/>
      <c r="P3168" s="242"/>
      <c r="Q3168" s="242"/>
      <c r="R3168" s="539"/>
      <c r="S3168" s="540"/>
      <c r="T3168" s="543"/>
      <c r="U3168" s="673" t="b">
        <v>0</v>
      </c>
      <c r="Z3168" t="b">
        <v>0</v>
      </c>
      <c r="AA3168" t="b">
        <v>0</v>
      </c>
      <c r="AC3168" s="82"/>
      <c r="AD3168" t="str">
        <f t="shared" si="71"/>
        <v/>
      </c>
      <c r="AE3168" t="str">
        <f t="shared" si="72"/>
        <v/>
      </c>
    </row>
    <row r="3169">
      <c r="D3169" s="226"/>
      <c r="H3169" s="474"/>
      <c r="I3169" s="474"/>
      <c r="J3169" s="475"/>
      <c r="K3169" s="275"/>
      <c r="L3169" s="82"/>
      <c r="M3169" s="672"/>
      <c r="N3169" s="242"/>
      <c r="O3169" s="242"/>
      <c r="P3169" s="242"/>
      <c r="Q3169" s="242"/>
      <c r="R3169" s="539"/>
      <c r="S3169" s="540"/>
      <c r="T3169" s="543"/>
      <c r="U3169" s="673" t="b">
        <v>0</v>
      </c>
      <c r="Z3169" t="b">
        <v>0</v>
      </c>
      <c r="AA3169" t="b">
        <v>0</v>
      </c>
      <c r="AC3169" s="82"/>
      <c r="AD3169" t="str">
        <f t="shared" si="71"/>
        <v/>
      </c>
      <c r="AE3169" t="str">
        <f t="shared" si="72"/>
        <v/>
      </c>
    </row>
    <row r="3170">
      <c r="D3170" s="226"/>
      <c r="H3170" s="474"/>
      <c r="I3170" s="474"/>
      <c r="J3170" s="475"/>
      <c r="K3170" s="275"/>
      <c r="L3170" s="82"/>
      <c r="M3170" s="672"/>
      <c r="N3170" s="242"/>
      <c r="O3170" s="242"/>
      <c r="P3170" s="242"/>
      <c r="Q3170" s="242"/>
      <c r="R3170" s="539"/>
      <c r="S3170" s="540"/>
      <c r="T3170" s="543"/>
      <c r="U3170" s="673" t="b">
        <v>0</v>
      </c>
      <c r="Z3170" t="b">
        <v>0</v>
      </c>
      <c r="AA3170" t="b">
        <v>0</v>
      </c>
      <c r="AC3170" s="82"/>
      <c r="AD3170" t="str">
        <f t="shared" si="71"/>
        <v/>
      </c>
      <c r="AE3170" t="str">
        <f t="shared" si="72"/>
        <v/>
      </c>
    </row>
    <row r="3171">
      <c r="D3171" s="226"/>
      <c r="H3171" s="474"/>
      <c r="I3171" s="474"/>
      <c r="J3171" s="475"/>
      <c r="K3171" s="275"/>
      <c r="L3171" s="82"/>
      <c r="M3171" s="672"/>
      <c r="N3171" s="242"/>
      <c r="O3171" s="242"/>
      <c r="P3171" s="242"/>
      <c r="Q3171" s="242"/>
      <c r="R3171" s="539"/>
      <c r="S3171" s="540"/>
      <c r="T3171" s="543"/>
      <c r="U3171" s="673" t="b">
        <v>0</v>
      </c>
      <c r="Z3171" t="b">
        <v>0</v>
      </c>
      <c r="AA3171" t="b">
        <v>0</v>
      </c>
      <c r="AC3171" s="82"/>
      <c r="AD3171" t="str">
        <f t="shared" si="71"/>
        <v/>
      </c>
      <c r="AE3171" t="str">
        <f t="shared" si="72"/>
        <v/>
      </c>
    </row>
    <row r="3172">
      <c r="D3172" s="226"/>
      <c r="H3172" s="474"/>
      <c r="I3172" s="474"/>
      <c r="J3172" s="475"/>
      <c r="K3172" s="275"/>
      <c r="L3172" s="82"/>
      <c r="M3172" s="672"/>
      <c r="N3172" s="242"/>
      <c r="O3172" s="242"/>
      <c r="P3172" s="242"/>
      <c r="Q3172" s="242"/>
      <c r="R3172" s="539"/>
      <c r="S3172" s="540"/>
      <c r="T3172" s="543"/>
      <c r="U3172" s="673" t="b">
        <v>0</v>
      </c>
      <c r="Z3172" t="b">
        <v>0</v>
      </c>
      <c r="AA3172" t="b">
        <v>0</v>
      </c>
      <c r="AC3172" s="82"/>
      <c r="AD3172" t="str">
        <f t="shared" si="71"/>
        <v/>
      </c>
      <c r="AE3172" t="str">
        <f t="shared" si="72"/>
        <v/>
      </c>
    </row>
    <row r="3173">
      <c r="D3173" s="226"/>
      <c r="H3173" s="474"/>
      <c r="I3173" s="474"/>
      <c r="J3173" s="475"/>
      <c r="K3173" s="275"/>
      <c r="L3173" s="82"/>
      <c r="M3173" s="672"/>
      <c r="N3173" s="242"/>
      <c r="O3173" s="242"/>
      <c r="P3173" s="242"/>
      <c r="Q3173" s="242"/>
      <c r="R3173" s="539"/>
      <c r="S3173" s="540"/>
      <c r="T3173" s="543"/>
      <c r="U3173" s="673" t="b">
        <v>0</v>
      </c>
      <c r="Z3173" t="b">
        <v>0</v>
      </c>
      <c r="AA3173" t="b">
        <v>0</v>
      </c>
      <c r="AC3173" s="82"/>
      <c r="AD3173" t="str">
        <f t="shared" si="71"/>
        <v/>
      </c>
      <c r="AE3173" t="str">
        <f t="shared" si="72"/>
        <v/>
      </c>
    </row>
    <row r="3174">
      <c r="D3174" s="226"/>
      <c r="H3174" s="474"/>
      <c r="I3174" s="474"/>
      <c r="J3174" s="475"/>
      <c r="K3174" s="275"/>
      <c r="L3174" s="82"/>
      <c r="M3174" s="672"/>
      <c r="N3174" s="242"/>
      <c r="O3174" s="242"/>
      <c r="P3174" s="242"/>
      <c r="Q3174" s="242"/>
      <c r="R3174" s="539"/>
      <c r="S3174" s="540"/>
      <c r="T3174" s="543"/>
      <c r="U3174" s="673" t="b">
        <v>0</v>
      </c>
      <c r="Z3174" t="b">
        <v>0</v>
      </c>
      <c r="AA3174" t="b">
        <v>0</v>
      </c>
      <c r="AC3174" s="82"/>
      <c r="AD3174" t="str">
        <f t="shared" si="71"/>
        <v/>
      </c>
      <c r="AE3174" t="str">
        <f t="shared" si="72"/>
        <v/>
      </c>
    </row>
    <row r="3175">
      <c r="D3175" s="226"/>
      <c r="H3175" s="474"/>
      <c r="I3175" s="474"/>
      <c r="J3175" s="475"/>
      <c r="K3175" s="275"/>
      <c r="L3175" s="82"/>
      <c r="M3175" s="672"/>
      <c r="N3175" s="242"/>
      <c r="O3175" s="242"/>
      <c r="P3175" s="242"/>
      <c r="Q3175" s="242"/>
      <c r="R3175" s="539"/>
      <c r="S3175" s="540"/>
      <c r="T3175" s="543"/>
      <c r="U3175" s="673" t="b">
        <v>0</v>
      </c>
      <c r="Z3175" t="b">
        <v>0</v>
      </c>
      <c r="AA3175" t="b">
        <v>0</v>
      </c>
      <c r="AC3175" s="82"/>
      <c r="AD3175" t="str">
        <f t="shared" si="71"/>
        <v/>
      </c>
      <c r="AE3175" t="str">
        <f t="shared" si="72"/>
        <v/>
      </c>
    </row>
    <row r="3176">
      <c r="D3176" s="226"/>
      <c r="H3176" s="474"/>
      <c r="I3176" s="474"/>
      <c r="J3176" s="475"/>
      <c r="K3176" s="275"/>
      <c r="L3176" s="82"/>
      <c r="M3176" s="672"/>
      <c r="N3176" s="242"/>
      <c r="O3176" s="242"/>
      <c r="P3176" s="242"/>
      <c r="Q3176" s="242"/>
      <c r="R3176" s="539"/>
      <c r="S3176" s="540"/>
      <c r="T3176" s="543"/>
      <c r="U3176" s="673" t="b">
        <v>0</v>
      </c>
      <c r="Z3176" t="b">
        <v>0</v>
      </c>
      <c r="AA3176" t="b">
        <v>0</v>
      </c>
      <c r="AC3176" s="82"/>
      <c r="AD3176" t="str">
        <f t="shared" si="71"/>
        <v/>
      </c>
      <c r="AE3176" t="str">
        <f t="shared" si="72"/>
        <v/>
      </c>
    </row>
    <row r="3177">
      <c r="D3177" s="226"/>
      <c r="H3177" s="474"/>
      <c r="I3177" s="474"/>
      <c r="J3177" s="475"/>
      <c r="K3177" s="275"/>
      <c r="L3177" s="82"/>
      <c r="M3177" s="672"/>
      <c r="N3177" s="242"/>
      <c r="O3177" s="242"/>
      <c r="P3177" s="242"/>
      <c r="Q3177" s="242"/>
      <c r="R3177" s="539"/>
      <c r="S3177" s="540"/>
      <c r="T3177" s="543"/>
      <c r="U3177" s="673" t="b">
        <v>0</v>
      </c>
      <c r="Z3177" t="b">
        <v>0</v>
      </c>
      <c r="AA3177" t="b">
        <v>0</v>
      </c>
      <c r="AC3177" s="82"/>
      <c r="AD3177" t="str">
        <f t="shared" si="71"/>
        <v/>
      </c>
      <c r="AE3177" t="str">
        <f t="shared" si="72"/>
        <v/>
      </c>
    </row>
    <row r="3178">
      <c r="D3178" s="226"/>
      <c r="H3178" s="474"/>
      <c r="I3178" s="474"/>
      <c r="J3178" s="475"/>
      <c r="K3178" s="275"/>
      <c r="L3178" s="82"/>
      <c r="M3178" s="672"/>
      <c r="N3178" s="242"/>
      <c r="O3178" s="242"/>
      <c r="P3178" s="242"/>
      <c r="Q3178" s="242"/>
      <c r="R3178" s="539"/>
      <c r="S3178" s="540"/>
      <c r="T3178" s="543"/>
      <c r="U3178" s="673" t="b">
        <v>0</v>
      </c>
      <c r="Z3178" t="b">
        <v>0</v>
      </c>
      <c r="AA3178" t="b">
        <v>0</v>
      </c>
      <c r="AC3178" s="82"/>
      <c r="AD3178" t="str">
        <f t="shared" si="71"/>
        <v/>
      </c>
      <c r="AE3178" t="str">
        <f t="shared" si="72"/>
        <v/>
      </c>
    </row>
    <row r="3179">
      <c r="D3179" s="226"/>
      <c r="H3179" s="474"/>
      <c r="I3179" s="474"/>
      <c r="J3179" s="475"/>
      <c r="K3179" s="275"/>
      <c r="L3179" s="82"/>
      <c r="M3179" s="672"/>
      <c r="N3179" s="242"/>
      <c r="O3179" s="242"/>
      <c r="P3179" s="242"/>
      <c r="Q3179" s="242"/>
      <c r="R3179" s="539"/>
      <c r="S3179" s="540"/>
      <c r="T3179" s="543"/>
      <c r="U3179" s="673" t="b">
        <v>0</v>
      </c>
      <c r="Z3179" t="b">
        <v>0</v>
      </c>
      <c r="AA3179" t="b">
        <v>0</v>
      </c>
      <c r="AC3179" s="82"/>
      <c r="AD3179" t="str">
        <f t="shared" si="71"/>
        <v/>
      </c>
      <c r="AE3179" t="str">
        <f t="shared" si="72"/>
        <v/>
      </c>
    </row>
    <row r="3180">
      <c r="D3180" s="226"/>
      <c r="H3180" s="474"/>
      <c r="I3180" s="474"/>
      <c r="J3180" s="475"/>
      <c r="K3180" s="275"/>
      <c r="L3180" s="82"/>
      <c r="M3180" s="672"/>
      <c r="N3180" s="242"/>
      <c r="O3180" s="242"/>
      <c r="P3180" s="242"/>
      <c r="Q3180" s="242"/>
      <c r="R3180" s="539"/>
      <c r="S3180" s="540"/>
      <c r="T3180" s="543"/>
      <c r="U3180" s="673" t="b">
        <v>0</v>
      </c>
      <c r="Z3180" t="b">
        <v>0</v>
      </c>
      <c r="AA3180" t="b">
        <v>0</v>
      </c>
      <c r="AC3180" s="82"/>
      <c r="AD3180" t="str">
        <f t="shared" si="71"/>
        <v/>
      </c>
      <c r="AE3180" t="str">
        <f t="shared" si="72"/>
        <v/>
      </c>
    </row>
    <row r="3181">
      <c r="D3181" s="226"/>
      <c r="H3181" s="474"/>
      <c r="I3181" s="474"/>
      <c r="J3181" s="475"/>
      <c r="K3181" s="275"/>
      <c r="L3181" s="82"/>
      <c r="M3181" s="672"/>
      <c r="N3181" s="242"/>
      <c r="O3181" s="242"/>
      <c r="P3181" s="242"/>
      <c r="Q3181" s="242"/>
      <c r="R3181" s="539"/>
      <c r="S3181" s="540"/>
      <c r="T3181" s="543"/>
      <c r="U3181" s="673" t="b">
        <v>0</v>
      </c>
      <c r="Z3181" t="b">
        <v>0</v>
      </c>
      <c r="AA3181" t="b">
        <v>0</v>
      </c>
      <c r="AC3181" s="82"/>
      <c r="AD3181" t="str">
        <f t="shared" si="71"/>
        <v/>
      </c>
      <c r="AE3181" t="str">
        <f t="shared" si="72"/>
        <v/>
      </c>
    </row>
    <row r="3182">
      <c r="D3182" s="226"/>
      <c r="H3182" s="474"/>
      <c r="I3182" s="474"/>
      <c r="J3182" s="475"/>
      <c r="K3182" s="275"/>
      <c r="L3182" s="82"/>
      <c r="M3182" s="672"/>
      <c r="N3182" s="242"/>
      <c r="O3182" s="242"/>
      <c r="P3182" s="242"/>
      <c r="Q3182" s="242"/>
      <c r="R3182" s="539"/>
      <c r="S3182" s="540"/>
      <c r="T3182" s="543"/>
      <c r="U3182" s="673" t="b">
        <v>0</v>
      </c>
      <c r="Z3182" t="b">
        <v>0</v>
      </c>
      <c r="AA3182" t="b">
        <v>0</v>
      </c>
      <c r="AC3182" s="82"/>
      <c r="AD3182" t="str">
        <f t="shared" si="71"/>
        <v/>
      </c>
      <c r="AE3182" t="str">
        <f t="shared" si="72"/>
        <v/>
      </c>
    </row>
    <row r="3183">
      <c r="D3183" s="226"/>
      <c r="H3183" s="474"/>
      <c r="I3183" s="474"/>
      <c r="J3183" s="475"/>
      <c r="K3183" s="275"/>
      <c r="L3183" s="82"/>
      <c r="M3183" s="672"/>
      <c r="N3183" s="242"/>
      <c r="O3183" s="242"/>
      <c r="P3183" s="242"/>
      <c r="Q3183" s="242"/>
      <c r="R3183" s="539"/>
      <c r="S3183" s="540"/>
      <c r="T3183" s="543"/>
      <c r="U3183" s="673" t="b">
        <v>0</v>
      </c>
      <c r="Z3183" t="b">
        <v>0</v>
      </c>
      <c r="AA3183" t="b">
        <v>0</v>
      </c>
      <c r="AC3183" s="82"/>
      <c r="AD3183" t="str">
        <f t="shared" si="71"/>
        <v/>
      </c>
      <c r="AE3183" t="str">
        <f t="shared" si="72"/>
        <v/>
      </c>
    </row>
    <row r="3184">
      <c r="D3184" s="226"/>
      <c r="H3184" s="474"/>
      <c r="I3184" s="474"/>
      <c r="J3184" s="475"/>
      <c r="K3184" s="275"/>
      <c r="L3184" s="82"/>
      <c r="M3184" s="672"/>
      <c r="N3184" s="242"/>
      <c r="O3184" s="242"/>
      <c r="P3184" s="242"/>
      <c r="Q3184" s="242"/>
      <c r="R3184" s="539"/>
      <c r="S3184" s="540"/>
      <c r="T3184" s="543"/>
      <c r="U3184" s="673" t="b">
        <v>0</v>
      </c>
      <c r="Z3184" t="b">
        <v>0</v>
      </c>
      <c r="AA3184" t="b">
        <v>0</v>
      </c>
      <c r="AC3184" s="82"/>
      <c r="AD3184" t="str">
        <f t="shared" si="71"/>
        <v/>
      </c>
      <c r="AE3184" t="str">
        <f t="shared" si="72"/>
        <v/>
      </c>
    </row>
    <row r="3185">
      <c r="D3185" s="226"/>
      <c r="H3185" s="474"/>
      <c r="I3185" s="474"/>
      <c r="J3185" s="475"/>
      <c r="K3185" s="275"/>
      <c r="L3185" s="82"/>
      <c r="M3185" s="672"/>
      <c r="N3185" s="242"/>
      <c r="O3185" s="242"/>
      <c r="P3185" s="242"/>
      <c r="Q3185" s="242"/>
      <c r="R3185" s="539"/>
      <c r="S3185" s="540"/>
      <c r="T3185" s="543"/>
      <c r="U3185" s="673" t="b">
        <v>0</v>
      </c>
      <c r="Z3185" t="b">
        <v>0</v>
      </c>
      <c r="AA3185" t="b">
        <v>0</v>
      </c>
      <c r="AC3185" s="82"/>
      <c r="AD3185" t="str">
        <f t="shared" si="71"/>
        <v/>
      </c>
      <c r="AE3185" t="str">
        <f t="shared" si="72"/>
        <v/>
      </c>
    </row>
    <row r="3186">
      <c r="D3186" s="226"/>
      <c r="H3186" s="474"/>
      <c r="I3186" s="474"/>
      <c r="J3186" s="475"/>
      <c r="K3186" s="275"/>
      <c r="L3186" s="82"/>
      <c r="M3186" s="672"/>
      <c r="N3186" s="242"/>
      <c r="O3186" s="242"/>
      <c r="P3186" s="242"/>
      <c r="Q3186" s="242"/>
      <c r="R3186" s="539"/>
      <c r="S3186" s="540"/>
      <c r="T3186" s="543"/>
      <c r="U3186" s="673" t="b">
        <v>0</v>
      </c>
      <c r="Z3186" t="b">
        <v>0</v>
      </c>
      <c r="AA3186" t="b">
        <v>0</v>
      </c>
      <c r="AC3186" s="82"/>
      <c r="AD3186" t="str">
        <f t="shared" si="71"/>
        <v/>
      </c>
      <c r="AE3186" t="str">
        <f t="shared" si="72"/>
        <v/>
      </c>
    </row>
    <row r="3187">
      <c r="D3187" s="226"/>
      <c r="H3187" s="474"/>
      <c r="I3187" s="474"/>
      <c r="J3187" s="475"/>
      <c r="K3187" s="275"/>
      <c r="L3187" s="82"/>
      <c r="M3187" s="672"/>
      <c r="N3187" s="242"/>
      <c r="O3187" s="242"/>
      <c r="P3187" s="242"/>
      <c r="Q3187" s="242"/>
      <c r="R3187" s="539"/>
      <c r="S3187" s="540"/>
      <c r="T3187" s="543"/>
      <c r="U3187" s="673" t="b">
        <v>0</v>
      </c>
      <c r="Z3187" t="b">
        <v>0</v>
      </c>
      <c r="AA3187" t="b">
        <v>0</v>
      </c>
      <c r="AC3187" s="82"/>
      <c r="AD3187" t="str">
        <f t="shared" si="71"/>
        <v/>
      </c>
      <c r="AE3187" t="str">
        <f t="shared" si="72"/>
        <v/>
      </c>
    </row>
    <row r="3188">
      <c r="D3188" s="226"/>
      <c r="H3188" s="474"/>
      <c r="I3188" s="474"/>
      <c r="J3188" s="475"/>
      <c r="K3188" s="275"/>
      <c r="L3188" s="82"/>
      <c r="M3188" s="672"/>
      <c r="N3188" s="242"/>
      <c r="O3188" s="242"/>
      <c r="P3188" s="242"/>
      <c r="Q3188" s="242"/>
      <c r="R3188" s="539"/>
      <c r="S3188" s="540"/>
      <c r="T3188" s="543"/>
      <c r="U3188" s="673" t="b">
        <v>0</v>
      </c>
      <c r="Z3188" t="b">
        <v>0</v>
      </c>
      <c r="AA3188" t="b">
        <v>0</v>
      </c>
      <c r="AC3188" s="82"/>
      <c r="AD3188" t="str">
        <f t="shared" si="71"/>
        <v/>
      </c>
      <c r="AE3188" t="str">
        <f t="shared" si="72"/>
        <v/>
      </c>
    </row>
    <row r="3189">
      <c r="D3189" s="226"/>
      <c r="H3189" s="474"/>
      <c r="I3189" s="474"/>
      <c r="J3189" s="475"/>
      <c r="K3189" s="275"/>
      <c r="L3189" s="82"/>
      <c r="M3189" s="672"/>
      <c r="N3189" s="242"/>
      <c r="O3189" s="242"/>
      <c r="P3189" s="242"/>
      <c r="Q3189" s="242"/>
      <c r="R3189" s="539"/>
      <c r="S3189" s="540"/>
      <c r="T3189" s="543"/>
      <c r="U3189" s="673" t="b">
        <v>0</v>
      </c>
      <c r="Z3189" t="b">
        <v>0</v>
      </c>
      <c r="AA3189" t="b">
        <v>0</v>
      </c>
      <c r="AC3189" s="82"/>
      <c r="AD3189" t="str">
        <f t="shared" si="71"/>
        <v/>
      </c>
      <c r="AE3189" t="str">
        <f t="shared" si="72"/>
        <v/>
      </c>
    </row>
    <row r="3190">
      <c r="D3190" s="226"/>
      <c r="H3190" s="474"/>
      <c r="I3190" s="474"/>
      <c r="J3190" s="475"/>
      <c r="K3190" s="275"/>
      <c r="L3190" s="82"/>
      <c r="M3190" s="672"/>
      <c r="N3190" s="242"/>
      <c r="O3190" s="242"/>
      <c r="P3190" s="242"/>
      <c r="Q3190" s="242"/>
      <c r="R3190" s="539"/>
      <c r="S3190" s="540"/>
      <c r="T3190" s="543"/>
      <c r="U3190" s="673" t="b">
        <v>0</v>
      </c>
      <c r="Z3190" t="b">
        <v>0</v>
      </c>
      <c r="AA3190" t="b">
        <v>0</v>
      </c>
      <c r="AC3190" s="82"/>
      <c r="AD3190" t="str">
        <f t="shared" si="71"/>
        <v/>
      </c>
      <c r="AE3190" t="str">
        <f t="shared" si="72"/>
        <v/>
      </c>
    </row>
    <row r="3191">
      <c r="D3191" s="226"/>
      <c r="H3191" s="474"/>
      <c r="I3191" s="474"/>
      <c r="J3191" s="475"/>
      <c r="K3191" s="275"/>
      <c r="L3191" s="82"/>
      <c r="M3191" s="672"/>
      <c r="N3191" s="242"/>
      <c r="O3191" s="242"/>
      <c r="P3191" s="242"/>
      <c r="Q3191" s="242"/>
      <c r="R3191" s="539"/>
      <c r="S3191" s="540"/>
      <c r="T3191" s="543"/>
      <c r="U3191" s="673" t="b">
        <v>0</v>
      </c>
      <c r="Z3191" t="b">
        <v>0</v>
      </c>
      <c r="AA3191" t="b">
        <v>0</v>
      </c>
      <c r="AC3191" s="82"/>
      <c r="AD3191" t="str">
        <f t="shared" si="71"/>
        <v/>
      </c>
      <c r="AE3191" t="str">
        <f t="shared" si="72"/>
        <v/>
      </c>
    </row>
    <row r="3192">
      <c r="D3192" s="226"/>
      <c r="H3192" s="474"/>
      <c r="I3192" s="474"/>
      <c r="J3192" s="475"/>
      <c r="K3192" s="275"/>
      <c r="L3192" s="82"/>
      <c r="M3192" s="672"/>
      <c r="N3192" s="242"/>
      <c r="O3192" s="242"/>
      <c r="P3192" s="242"/>
      <c r="Q3192" s="242"/>
      <c r="R3192" s="539"/>
      <c r="S3192" s="540"/>
      <c r="T3192" s="543"/>
      <c r="U3192" s="673" t="b">
        <v>0</v>
      </c>
      <c r="Z3192" t="b">
        <v>0</v>
      </c>
      <c r="AA3192" t="b">
        <v>0</v>
      </c>
      <c r="AC3192" s="82"/>
      <c r="AD3192" t="str">
        <f t="shared" si="71"/>
        <v/>
      </c>
      <c r="AE3192" t="str">
        <f t="shared" si="72"/>
        <v/>
      </c>
    </row>
    <row r="3193">
      <c r="D3193" s="226"/>
      <c r="H3193" s="474"/>
      <c r="I3193" s="474"/>
      <c r="J3193" s="475"/>
      <c r="K3193" s="275"/>
      <c r="L3193" s="82"/>
      <c r="M3193" s="672"/>
      <c r="N3193" s="242"/>
      <c r="O3193" s="242"/>
      <c r="P3193" s="242"/>
      <c r="Q3193" s="242"/>
      <c r="R3193" s="539"/>
      <c r="S3193" s="540"/>
      <c r="T3193" s="543"/>
      <c r="U3193" s="673" t="b">
        <v>0</v>
      </c>
      <c r="Z3193" t="b">
        <v>0</v>
      </c>
      <c r="AA3193" t="b">
        <v>0</v>
      </c>
      <c r="AC3193" s="82"/>
      <c r="AD3193" t="str">
        <f t="shared" si="71"/>
        <v/>
      </c>
      <c r="AE3193" t="str">
        <f t="shared" si="72"/>
        <v/>
      </c>
    </row>
    <row r="3194">
      <c r="D3194" s="226"/>
      <c r="H3194" s="474"/>
      <c r="I3194" s="474"/>
      <c r="J3194" s="475"/>
      <c r="K3194" s="275"/>
      <c r="L3194" s="82"/>
      <c r="M3194" s="672"/>
      <c r="N3194" s="242"/>
      <c r="O3194" s="242"/>
      <c r="P3194" s="242"/>
      <c r="Q3194" s="242"/>
      <c r="R3194" s="539"/>
      <c r="S3194" s="540"/>
      <c r="T3194" s="543"/>
      <c r="U3194" s="673" t="b">
        <v>0</v>
      </c>
      <c r="Z3194" t="b">
        <v>0</v>
      </c>
      <c r="AA3194" t="b">
        <v>0</v>
      </c>
      <c r="AC3194" s="82"/>
      <c r="AD3194" t="str">
        <f t="shared" si="71"/>
        <v/>
      </c>
      <c r="AE3194" t="str">
        <f t="shared" si="72"/>
        <v/>
      </c>
    </row>
    <row r="3195">
      <c r="D3195" s="226"/>
      <c r="H3195" s="474"/>
      <c r="I3195" s="474"/>
      <c r="J3195" s="475"/>
      <c r="K3195" s="275"/>
      <c r="L3195" s="82"/>
      <c r="M3195" s="672"/>
      <c r="N3195" s="242"/>
      <c r="O3195" s="242"/>
      <c r="P3195" s="242"/>
      <c r="Q3195" s="242"/>
      <c r="R3195" s="539"/>
      <c r="S3195" s="540"/>
      <c r="T3195" s="543"/>
      <c r="U3195" s="673" t="b">
        <v>0</v>
      </c>
      <c r="Z3195" t="b">
        <v>0</v>
      </c>
      <c r="AA3195" t="b">
        <v>0</v>
      </c>
      <c r="AC3195" s="82"/>
      <c r="AD3195" t="str">
        <f t="shared" si="71"/>
        <v/>
      </c>
      <c r="AE3195" t="str">
        <f t="shared" si="72"/>
        <v/>
      </c>
    </row>
    <row r="3196">
      <c r="D3196" s="226"/>
      <c r="H3196" s="474"/>
      <c r="I3196" s="474"/>
      <c r="J3196" s="475"/>
      <c r="K3196" s="275"/>
      <c r="L3196" s="82"/>
      <c r="M3196" s="672"/>
      <c r="N3196" s="242"/>
      <c r="O3196" s="242"/>
      <c r="P3196" s="242"/>
      <c r="Q3196" s="242"/>
      <c r="R3196" s="539"/>
      <c r="S3196" s="540"/>
      <c r="T3196" s="543"/>
      <c r="U3196" s="673" t="b">
        <v>0</v>
      </c>
      <c r="Z3196" t="b">
        <v>0</v>
      </c>
      <c r="AA3196" t="b">
        <v>0</v>
      </c>
      <c r="AC3196" s="82"/>
      <c r="AD3196" t="str">
        <f t="shared" si="71"/>
        <v/>
      </c>
      <c r="AE3196" t="str">
        <f t="shared" si="72"/>
        <v/>
      </c>
    </row>
    <row r="3197">
      <c r="D3197" s="226"/>
      <c r="H3197" s="474"/>
      <c r="I3197" s="474"/>
      <c r="J3197" s="475"/>
      <c r="K3197" s="275"/>
      <c r="L3197" s="82"/>
      <c r="M3197" s="672"/>
      <c r="N3197" s="242"/>
      <c r="O3197" s="242"/>
      <c r="P3197" s="242"/>
      <c r="Q3197" s="242"/>
      <c r="R3197" s="539"/>
      <c r="S3197" s="540"/>
      <c r="T3197" s="543"/>
      <c r="U3197" s="673" t="b">
        <v>0</v>
      </c>
      <c r="Z3197" t="b">
        <v>0</v>
      </c>
      <c r="AA3197" t="b">
        <v>0</v>
      </c>
      <c r="AC3197" s="82"/>
      <c r="AD3197" t="str">
        <f t="shared" si="71"/>
        <v/>
      </c>
      <c r="AE3197" t="str">
        <f t="shared" si="72"/>
        <v/>
      </c>
    </row>
    <row r="3198">
      <c r="D3198" s="226"/>
      <c r="H3198" s="474"/>
      <c r="I3198" s="474"/>
      <c r="J3198" s="475"/>
      <c r="K3198" s="275"/>
      <c r="L3198" s="82"/>
      <c r="M3198" s="672"/>
      <c r="N3198" s="242"/>
      <c r="O3198" s="242"/>
      <c r="P3198" s="242"/>
      <c r="Q3198" s="242"/>
      <c r="R3198" s="539"/>
      <c r="S3198" s="540"/>
      <c r="T3198" s="543"/>
      <c r="U3198" s="673" t="b">
        <v>0</v>
      </c>
      <c r="Z3198" t="b">
        <v>0</v>
      </c>
      <c r="AA3198" t="b">
        <v>0</v>
      </c>
      <c r="AC3198" s="82"/>
      <c r="AD3198" t="str">
        <f t="shared" si="71"/>
        <v/>
      </c>
      <c r="AE3198" t="str">
        <f t="shared" si="72"/>
        <v/>
      </c>
    </row>
    <row r="3199">
      <c r="D3199" s="226"/>
      <c r="H3199" s="474"/>
      <c r="I3199" s="474"/>
      <c r="J3199" s="475"/>
      <c r="K3199" s="275"/>
      <c r="L3199" s="82"/>
      <c r="M3199" s="672"/>
      <c r="N3199" s="242"/>
      <c r="O3199" s="242"/>
      <c r="P3199" s="242"/>
      <c r="Q3199" s="242"/>
      <c r="R3199" s="539"/>
      <c r="S3199" s="540"/>
      <c r="T3199" s="543"/>
      <c r="U3199" s="673" t="b">
        <v>0</v>
      </c>
      <c r="Z3199" t="b">
        <v>0</v>
      </c>
      <c r="AA3199" t="b">
        <v>0</v>
      </c>
      <c r="AC3199" s="82"/>
      <c r="AD3199" t="str">
        <f t="shared" si="71"/>
        <v/>
      </c>
      <c r="AE3199" t="str">
        <f t="shared" si="72"/>
        <v/>
      </c>
    </row>
    <row r="3200">
      <c r="D3200" s="226"/>
      <c r="H3200" s="474"/>
      <c r="I3200" s="474"/>
      <c r="J3200" s="475"/>
      <c r="K3200" s="275"/>
      <c r="L3200" s="82"/>
      <c r="M3200" s="672"/>
      <c r="N3200" s="242"/>
      <c r="O3200" s="242"/>
      <c r="P3200" s="242"/>
      <c r="Q3200" s="242"/>
      <c r="R3200" s="539"/>
      <c r="S3200" s="540"/>
      <c r="T3200" s="543"/>
      <c r="U3200" s="673" t="b">
        <v>0</v>
      </c>
      <c r="Z3200" t="b">
        <v>0</v>
      </c>
      <c r="AA3200" t="b">
        <v>0</v>
      </c>
      <c r="AC3200" s="82"/>
      <c r="AD3200" t="str">
        <f t="shared" si="71"/>
        <v/>
      </c>
      <c r="AE3200" t="str">
        <f t="shared" si="72"/>
        <v/>
      </c>
    </row>
    <row r="3201">
      <c r="D3201" s="226"/>
      <c r="H3201" s="474"/>
      <c r="I3201" s="474"/>
      <c r="J3201" s="475"/>
      <c r="K3201" s="275"/>
      <c r="L3201" s="82"/>
      <c r="M3201" s="672"/>
      <c r="N3201" s="242"/>
      <c r="O3201" s="242"/>
      <c r="P3201" s="242"/>
      <c r="Q3201" s="242"/>
      <c r="R3201" s="539"/>
      <c r="S3201" s="540"/>
      <c r="T3201" s="543"/>
      <c r="U3201" s="673" t="b">
        <v>0</v>
      </c>
      <c r="Z3201" t="b">
        <v>0</v>
      </c>
      <c r="AA3201" t="b">
        <v>0</v>
      </c>
      <c r="AC3201" s="82"/>
      <c r="AD3201" t="str">
        <f t="shared" si="71"/>
        <v/>
      </c>
      <c r="AE3201" t="str">
        <f t="shared" si="72"/>
        <v/>
      </c>
    </row>
    <row r="3202">
      <c r="D3202" s="226"/>
      <c r="H3202" s="474"/>
      <c r="I3202" s="474"/>
      <c r="J3202" s="475"/>
      <c r="K3202" s="275"/>
      <c r="L3202" s="82"/>
      <c r="M3202" s="672"/>
      <c r="N3202" s="242"/>
      <c r="O3202" s="242"/>
      <c r="P3202" s="242"/>
      <c r="Q3202" s="242"/>
      <c r="R3202" s="539"/>
      <c r="S3202" s="540"/>
      <c r="T3202" s="543"/>
      <c r="U3202" s="673" t="b">
        <v>0</v>
      </c>
      <c r="Z3202" t="b">
        <v>0</v>
      </c>
      <c r="AA3202" t="b">
        <v>0</v>
      </c>
      <c r="AC3202" s="82"/>
      <c r="AD3202" t="str">
        <f t="shared" si="71"/>
        <v/>
      </c>
      <c r="AE3202" t="str">
        <f t="shared" si="72"/>
        <v/>
      </c>
    </row>
    <row r="3203">
      <c r="D3203" s="226"/>
      <c r="H3203" s="474"/>
      <c r="I3203" s="474"/>
      <c r="J3203" s="475"/>
      <c r="K3203" s="275"/>
      <c r="L3203" s="82"/>
      <c r="M3203" s="672"/>
      <c r="N3203" s="242"/>
      <c r="O3203" s="242"/>
      <c r="P3203" s="242"/>
      <c r="Q3203" s="242"/>
      <c r="R3203" s="539"/>
      <c r="S3203" s="540"/>
      <c r="T3203" s="543"/>
      <c r="U3203" s="673" t="b">
        <v>0</v>
      </c>
      <c r="Z3203" t="b">
        <v>0</v>
      </c>
      <c r="AA3203" t="b">
        <v>0</v>
      </c>
      <c r="AC3203" s="82"/>
      <c r="AD3203" t="str">
        <f t="shared" si="71"/>
        <v/>
      </c>
      <c r="AE3203" t="str">
        <f t="shared" si="72"/>
        <v/>
      </c>
    </row>
    <row r="3204">
      <c r="D3204" s="226"/>
      <c r="H3204" s="474"/>
      <c r="I3204" s="474"/>
      <c r="J3204" s="475"/>
      <c r="K3204" s="275"/>
      <c r="L3204" s="82"/>
      <c r="M3204" s="672"/>
      <c r="N3204" s="242"/>
      <c r="O3204" s="242"/>
      <c r="P3204" s="242"/>
      <c r="Q3204" s="242"/>
      <c r="R3204" s="539"/>
      <c r="S3204" s="540"/>
      <c r="T3204" s="543"/>
      <c r="U3204" s="673" t="b">
        <v>0</v>
      </c>
      <c r="Z3204" t="b">
        <v>0</v>
      </c>
      <c r="AA3204" t="b">
        <v>0</v>
      </c>
      <c r="AC3204" s="82"/>
      <c r="AD3204" t="str">
        <f t="shared" si="71"/>
        <v/>
      </c>
      <c r="AE3204" t="str">
        <f t="shared" si="72"/>
        <v/>
      </c>
    </row>
    <row r="3205">
      <c r="D3205" s="226"/>
      <c r="H3205" s="474"/>
      <c r="I3205" s="474"/>
      <c r="J3205" s="475"/>
      <c r="K3205" s="275"/>
      <c r="L3205" s="82"/>
      <c r="M3205" s="672"/>
      <c r="N3205" s="242"/>
      <c r="O3205" s="242"/>
      <c r="P3205" s="242"/>
      <c r="Q3205" s="242"/>
      <c r="R3205" s="539"/>
      <c r="S3205" s="540"/>
      <c r="T3205" s="543"/>
      <c r="U3205" s="673" t="b">
        <v>0</v>
      </c>
      <c r="Z3205" t="b">
        <v>0</v>
      </c>
      <c r="AA3205" t="b">
        <v>0</v>
      </c>
      <c r="AC3205" s="82"/>
      <c r="AD3205" t="str">
        <f t="shared" si="71"/>
        <v/>
      </c>
      <c r="AE3205" t="str">
        <f t="shared" si="72"/>
        <v/>
      </c>
    </row>
    <row r="3206">
      <c r="D3206" s="226"/>
      <c r="H3206" s="474"/>
      <c r="I3206" s="474"/>
      <c r="J3206" s="475"/>
      <c r="K3206" s="275"/>
      <c r="L3206" s="82"/>
      <c r="M3206" s="672"/>
      <c r="N3206" s="242"/>
      <c r="O3206" s="242"/>
      <c r="P3206" s="242"/>
      <c r="Q3206" s="242"/>
      <c r="R3206" s="539"/>
      <c r="S3206" s="540"/>
      <c r="T3206" s="543"/>
      <c r="U3206" s="673" t="b">
        <v>0</v>
      </c>
      <c r="Z3206" t="b">
        <v>0</v>
      </c>
      <c r="AA3206" t="b">
        <v>0</v>
      </c>
      <c r="AC3206" s="82"/>
      <c r="AD3206" t="str">
        <f t="shared" si="71"/>
        <v/>
      </c>
      <c r="AE3206" t="str">
        <f t="shared" si="72"/>
        <v/>
      </c>
    </row>
    <row r="3207">
      <c r="D3207" s="226"/>
      <c r="H3207" s="474"/>
      <c r="I3207" s="474"/>
      <c r="J3207" s="475"/>
      <c r="K3207" s="275"/>
      <c r="L3207" s="82"/>
      <c r="M3207" s="672"/>
      <c r="N3207" s="242"/>
      <c r="O3207" s="242"/>
      <c r="P3207" s="242"/>
      <c r="Q3207" s="242"/>
      <c r="R3207" s="539"/>
      <c r="S3207" s="540"/>
      <c r="T3207" s="543"/>
      <c r="U3207" s="673" t="b">
        <v>0</v>
      </c>
      <c r="Z3207" t="b">
        <v>0</v>
      </c>
      <c r="AA3207" t="b">
        <v>0</v>
      </c>
      <c r="AC3207" s="82"/>
      <c r="AD3207" t="str">
        <f t="shared" si="71"/>
        <v/>
      </c>
      <c r="AE3207" t="str">
        <f t="shared" si="72"/>
        <v/>
      </c>
    </row>
    <row r="3208">
      <c r="D3208" s="226"/>
      <c r="H3208" s="474"/>
      <c r="I3208" s="474"/>
      <c r="J3208" s="475"/>
      <c r="K3208" s="275"/>
      <c r="L3208" s="82"/>
      <c r="M3208" s="672"/>
      <c r="N3208" s="242"/>
      <c r="O3208" s="242"/>
      <c r="P3208" s="242"/>
      <c r="Q3208" s="242"/>
      <c r="R3208" s="539"/>
      <c r="S3208" s="540"/>
      <c r="T3208" s="543"/>
      <c r="U3208" s="673" t="b">
        <v>0</v>
      </c>
      <c r="Z3208" t="b">
        <v>0</v>
      </c>
      <c r="AA3208" t="b">
        <v>0</v>
      </c>
      <c r="AC3208" s="82"/>
      <c r="AD3208" t="str">
        <f t="shared" si="71"/>
        <v/>
      </c>
      <c r="AE3208" t="str">
        <f t="shared" si="72"/>
        <v/>
      </c>
    </row>
    <row r="3209">
      <c r="D3209" s="226"/>
      <c r="H3209" s="474"/>
      <c r="I3209" s="474"/>
      <c r="J3209" s="475"/>
      <c r="K3209" s="275"/>
      <c r="L3209" s="82"/>
      <c r="M3209" s="672"/>
      <c r="N3209" s="242"/>
      <c r="O3209" s="242"/>
      <c r="P3209" s="242"/>
      <c r="Q3209" s="242"/>
      <c r="R3209" s="539"/>
      <c r="S3209" s="540"/>
      <c r="T3209" s="543"/>
      <c r="U3209" s="673" t="b">
        <v>0</v>
      </c>
      <c r="Z3209" t="b">
        <v>0</v>
      </c>
      <c r="AA3209" t="b">
        <v>0</v>
      </c>
      <c r="AC3209" s="82"/>
      <c r="AD3209" t="str">
        <f t="shared" si="71"/>
        <v/>
      </c>
      <c r="AE3209" t="str">
        <f t="shared" si="72"/>
        <v/>
      </c>
    </row>
    <row r="3210">
      <c r="D3210" s="226"/>
      <c r="H3210" s="474"/>
      <c r="I3210" s="474"/>
      <c r="J3210" s="475"/>
      <c r="K3210" s="275"/>
      <c r="L3210" s="82"/>
      <c r="M3210" s="672"/>
      <c r="N3210" s="242"/>
      <c r="O3210" s="242"/>
      <c r="P3210" s="242"/>
      <c r="Q3210" s="242"/>
      <c r="R3210" s="539"/>
      <c r="S3210" s="540"/>
      <c r="T3210" s="543"/>
      <c r="U3210" s="673" t="b">
        <v>0</v>
      </c>
      <c r="Z3210" t="b">
        <v>0</v>
      </c>
      <c r="AA3210" t="b">
        <v>0</v>
      </c>
      <c r="AC3210" s="82"/>
      <c r="AD3210" t="str">
        <f t="shared" si="71"/>
        <v/>
      </c>
      <c r="AE3210" t="str">
        <f t="shared" si="72"/>
        <v/>
      </c>
    </row>
    <row r="3211">
      <c r="D3211" s="226"/>
      <c r="H3211" s="474"/>
      <c r="I3211" s="474"/>
      <c r="J3211" s="475"/>
      <c r="K3211" s="275"/>
      <c r="L3211" s="82"/>
      <c r="M3211" s="672"/>
      <c r="N3211" s="242"/>
      <c r="O3211" s="242"/>
      <c r="P3211" s="242"/>
      <c r="Q3211" s="242"/>
      <c r="R3211" s="539"/>
      <c r="S3211" s="540"/>
      <c r="T3211" s="543"/>
      <c r="U3211" s="673" t="b">
        <v>0</v>
      </c>
      <c r="Z3211" t="b">
        <v>0</v>
      </c>
      <c r="AA3211" t="b">
        <v>0</v>
      </c>
      <c r="AC3211" s="82"/>
      <c r="AD3211" t="str">
        <f t="shared" si="71"/>
        <v/>
      </c>
      <c r="AE3211" t="str">
        <f t="shared" si="72"/>
        <v/>
      </c>
    </row>
    <row r="3212">
      <c r="D3212" s="226"/>
      <c r="H3212" s="474"/>
      <c r="I3212" s="474"/>
      <c r="J3212" s="475"/>
      <c r="K3212" s="275"/>
      <c r="L3212" s="82"/>
      <c r="M3212" s="672"/>
      <c r="N3212" s="242"/>
      <c r="O3212" s="242"/>
      <c r="P3212" s="242"/>
      <c r="Q3212" s="242"/>
      <c r="R3212" s="539"/>
      <c r="S3212" s="540"/>
      <c r="T3212" s="543"/>
      <c r="U3212" s="673" t="b">
        <v>0</v>
      </c>
      <c r="Z3212" t="b">
        <v>0</v>
      </c>
      <c r="AA3212" t="b">
        <v>0</v>
      </c>
      <c r="AC3212" s="82"/>
      <c r="AD3212" t="str">
        <f t="shared" si="71"/>
        <v/>
      </c>
      <c r="AE3212" t="str">
        <f t="shared" si="72"/>
        <v/>
      </c>
    </row>
    <row r="3213">
      <c r="D3213" s="226"/>
      <c r="H3213" s="474"/>
      <c r="I3213" s="474"/>
      <c r="J3213" s="475"/>
      <c r="K3213" s="275"/>
      <c r="L3213" s="82"/>
      <c r="M3213" s="672"/>
      <c r="N3213" s="242"/>
      <c r="O3213" s="242"/>
      <c r="P3213" s="242"/>
      <c r="Q3213" s="242"/>
      <c r="R3213" s="539"/>
      <c r="S3213" s="540"/>
      <c r="T3213" s="543"/>
      <c r="U3213" s="673" t="b">
        <v>0</v>
      </c>
      <c r="Z3213" t="b">
        <v>0</v>
      </c>
      <c r="AA3213" t="b">
        <v>0</v>
      </c>
      <c r="AC3213" s="82"/>
      <c r="AD3213" t="str">
        <f t="shared" si="71"/>
        <v/>
      </c>
      <c r="AE3213" t="str">
        <f t="shared" si="72"/>
        <v/>
      </c>
    </row>
    <row r="3214">
      <c r="D3214" s="226"/>
      <c r="H3214" s="474"/>
      <c r="I3214" s="474"/>
      <c r="J3214" s="475"/>
      <c r="K3214" s="275"/>
      <c r="L3214" s="82"/>
      <c r="M3214" s="672"/>
      <c r="N3214" s="242"/>
      <c r="O3214" s="242"/>
      <c r="P3214" s="242"/>
      <c r="Q3214" s="242"/>
      <c r="R3214" s="539"/>
      <c r="S3214" s="540"/>
      <c r="T3214" s="543"/>
      <c r="U3214" s="673" t="b">
        <v>0</v>
      </c>
      <c r="Z3214" t="b">
        <v>0</v>
      </c>
      <c r="AA3214" t="b">
        <v>0</v>
      </c>
      <c r="AC3214" s="82"/>
      <c r="AD3214" t="str">
        <f t="shared" si="71"/>
        <v/>
      </c>
      <c r="AE3214" t="str">
        <f t="shared" si="72"/>
        <v/>
      </c>
    </row>
    <row r="3215">
      <c r="D3215" s="226"/>
      <c r="H3215" s="474"/>
      <c r="I3215" s="474"/>
      <c r="J3215" s="475"/>
      <c r="K3215" s="275"/>
      <c r="L3215" s="82"/>
      <c r="M3215" s="672"/>
      <c r="N3215" s="242"/>
      <c r="O3215" s="242"/>
      <c r="P3215" s="242"/>
      <c r="Q3215" s="242"/>
      <c r="R3215" s="539"/>
      <c r="S3215" s="540"/>
      <c r="T3215" s="543"/>
      <c r="U3215" s="673" t="b">
        <v>0</v>
      </c>
      <c r="Z3215" t="b">
        <v>0</v>
      </c>
      <c r="AA3215" t="b">
        <v>0</v>
      </c>
      <c r="AC3215" s="82"/>
      <c r="AD3215" t="str">
        <f t="shared" si="71"/>
        <v/>
      </c>
      <c r="AE3215" t="str">
        <f t="shared" si="72"/>
        <v/>
      </c>
    </row>
    <row r="3216">
      <c r="D3216" s="226"/>
      <c r="H3216" s="474"/>
      <c r="I3216" s="474"/>
      <c r="J3216" s="475"/>
      <c r="K3216" s="275"/>
      <c r="L3216" s="82"/>
      <c r="M3216" s="672"/>
      <c r="N3216" s="242"/>
      <c r="O3216" s="242"/>
      <c r="P3216" s="242"/>
      <c r="Q3216" s="242"/>
      <c r="R3216" s="539"/>
      <c r="S3216" s="540"/>
      <c r="T3216" s="543"/>
      <c r="U3216" s="673" t="b">
        <v>0</v>
      </c>
      <c r="Z3216" t="b">
        <v>0</v>
      </c>
      <c r="AA3216" t="b">
        <v>0</v>
      </c>
      <c r="AC3216" s="82"/>
      <c r="AD3216" t="str">
        <f t="shared" si="71"/>
        <v/>
      </c>
      <c r="AE3216" t="str">
        <f t="shared" si="72"/>
        <v/>
      </c>
    </row>
    <row r="3217">
      <c r="D3217" s="226"/>
      <c r="H3217" s="474"/>
      <c r="I3217" s="474"/>
      <c r="J3217" s="475"/>
      <c r="K3217" s="275"/>
      <c r="L3217" s="82"/>
      <c r="M3217" s="672"/>
      <c r="N3217" s="242"/>
      <c r="O3217" s="242"/>
      <c r="P3217" s="242"/>
      <c r="Q3217" s="242"/>
      <c r="R3217" s="539"/>
      <c r="S3217" s="540"/>
      <c r="T3217" s="543"/>
      <c r="U3217" s="673" t="b">
        <v>0</v>
      </c>
      <c r="Z3217" t="b">
        <v>0</v>
      </c>
      <c r="AA3217" t="b">
        <v>0</v>
      </c>
      <c r="AC3217" s="82"/>
      <c r="AD3217" t="str">
        <f t="shared" si="71"/>
        <v/>
      </c>
      <c r="AE3217" t="str">
        <f t="shared" si="72"/>
        <v/>
      </c>
    </row>
    <row r="3218">
      <c r="D3218" s="226"/>
      <c r="H3218" s="474"/>
      <c r="I3218" s="474"/>
      <c r="J3218" s="475"/>
      <c r="K3218" s="275"/>
      <c r="L3218" s="82"/>
      <c r="M3218" s="672"/>
      <c r="N3218" s="242"/>
      <c r="O3218" s="242"/>
      <c r="P3218" s="242"/>
      <c r="Q3218" s="242"/>
      <c r="R3218" s="539"/>
      <c r="S3218" s="540"/>
      <c r="T3218" s="543"/>
      <c r="U3218" s="673" t="b">
        <v>0</v>
      </c>
      <c r="Z3218" t="b">
        <v>0</v>
      </c>
      <c r="AA3218" t="b">
        <v>0</v>
      </c>
      <c r="AC3218" s="82"/>
      <c r="AD3218" t="str">
        <f t="shared" si="71"/>
        <v/>
      </c>
      <c r="AE3218" t="str">
        <f t="shared" si="72"/>
        <v/>
      </c>
    </row>
    <row r="3219">
      <c r="D3219" s="226"/>
      <c r="H3219" s="474"/>
      <c r="I3219" s="474"/>
      <c r="J3219" s="475"/>
      <c r="K3219" s="275"/>
      <c r="L3219" s="82"/>
      <c r="M3219" s="672"/>
      <c r="N3219" s="242"/>
      <c r="O3219" s="242"/>
      <c r="P3219" s="242"/>
      <c r="Q3219" s="242"/>
      <c r="R3219" s="539"/>
      <c r="S3219" s="540"/>
      <c r="T3219" s="543"/>
      <c r="U3219" s="673" t="b">
        <v>0</v>
      </c>
      <c r="Z3219" t="b">
        <v>0</v>
      </c>
      <c r="AA3219" t="b">
        <v>0</v>
      </c>
      <c r="AC3219" s="82"/>
      <c r="AD3219" t="str">
        <f t="shared" si="71"/>
        <v/>
      </c>
      <c r="AE3219" t="str">
        <f t="shared" si="72"/>
        <v/>
      </c>
    </row>
    <row r="3220">
      <c r="D3220" s="226"/>
      <c r="H3220" s="474"/>
      <c r="I3220" s="474"/>
      <c r="J3220" s="475"/>
      <c r="K3220" s="275"/>
      <c r="L3220" s="82"/>
      <c r="M3220" s="672"/>
      <c r="N3220" s="242"/>
      <c r="O3220" s="242"/>
      <c r="P3220" s="242"/>
      <c r="Q3220" s="242"/>
      <c r="R3220" s="539"/>
      <c r="S3220" s="540"/>
      <c r="T3220" s="543"/>
      <c r="U3220" s="673" t="b">
        <v>0</v>
      </c>
      <c r="Z3220" t="b">
        <v>0</v>
      </c>
      <c r="AA3220" t="b">
        <v>0</v>
      </c>
      <c r="AC3220" s="82"/>
      <c r="AD3220" t="str">
        <f t="shared" si="71"/>
        <v/>
      </c>
      <c r="AE3220" t="str">
        <f t="shared" si="72"/>
        <v/>
      </c>
    </row>
    <row r="3221">
      <c r="D3221" s="226"/>
      <c r="H3221" s="474"/>
      <c r="I3221" s="474"/>
      <c r="J3221" s="475"/>
      <c r="K3221" s="275"/>
      <c r="L3221" s="82"/>
      <c r="M3221" s="672"/>
      <c r="N3221" s="242"/>
      <c r="O3221" s="242"/>
      <c r="P3221" s="242"/>
      <c r="Q3221" s="242"/>
      <c r="R3221" s="539"/>
      <c r="S3221" s="540"/>
      <c r="T3221" s="543"/>
      <c r="U3221" s="673" t="b">
        <v>0</v>
      </c>
      <c r="Z3221" t="b">
        <v>0</v>
      </c>
      <c r="AA3221" t="b">
        <v>0</v>
      </c>
      <c r="AC3221" s="82"/>
      <c r="AD3221" t="str">
        <f t="shared" si="71"/>
        <v/>
      </c>
      <c r="AE3221" t="str">
        <f t="shared" si="72"/>
        <v/>
      </c>
    </row>
    <row r="3222">
      <c r="D3222" s="226"/>
      <c r="H3222" s="474"/>
      <c r="I3222" s="474"/>
      <c r="J3222" s="475"/>
      <c r="K3222" s="275"/>
      <c r="L3222" s="82"/>
      <c r="M3222" s="672"/>
      <c r="N3222" s="242"/>
      <c r="O3222" s="242"/>
      <c r="P3222" s="242"/>
      <c r="Q3222" s="242"/>
      <c r="R3222" s="539"/>
      <c r="S3222" s="540"/>
      <c r="T3222" s="543"/>
      <c r="U3222" s="673" t="b">
        <v>0</v>
      </c>
      <c r="Z3222" t="b">
        <v>0</v>
      </c>
      <c r="AA3222" t="b">
        <v>0</v>
      </c>
      <c r="AC3222" s="82"/>
      <c r="AD3222" t="str">
        <f t="shared" si="71"/>
        <v/>
      </c>
      <c r="AE3222" t="str">
        <f t="shared" si="72"/>
        <v/>
      </c>
    </row>
    <row r="3223">
      <c r="D3223" s="226"/>
      <c r="H3223" s="474"/>
      <c r="I3223" s="474"/>
      <c r="J3223" s="475"/>
      <c r="K3223" s="275"/>
      <c r="L3223" s="82"/>
      <c r="M3223" s="672"/>
      <c r="N3223" s="242"/>
      <c r="O3223" s="242"/>
      <c r="P3223" s="242"/>
      <c r="Q3223" s="242"/>
      <c r="R3223" s="539"/>
      <c r="S3223" s="540"/>
      <c r="T3223" s="543"/>
      <c r="U3223" s="673" t="b">
        <v>0</v>
      </c>
      <c r="Z3223" t="b">
        <v>0</v>
      </c>
      <c r="AA3223" t="b">
        <v>0</v>
      </c>
      <c r="AC3223" s="82"/>
      <c r="AD3223" t="str">
        <f t="shared" si="71"/>
        <v/>
      </c>
      <c r="AE3223" t="str">
        <f t="shared" si="72"/>
        <v/>
      </c>
    </row>
    <row r="3224">
      <c r="D3224" s="226"/>
      <c r="H3224" s="474"/>
      <c r="I3224" s="474"/>
      <c r="J3224" s="475"/>
      <c r="K3224" s="275"/>
      <c r="L3224" s="82"/>
      <c r="M3224" s="672"/>
      <c r="N3224" s="242"/>
      <c r="O3224" s="242"/>
      <c r="P3224" s="242"/>
      <c r="Q3224" s="242"/>
      <c r="R3224" s="539"/>
      <c r="S3224" s="540"/>
      <c r="T3224" s="543"/>
      <c r="U3224" s="673" t="b">
        <v>0</v>
      </c>
      <c r="Z3224" t="b">
        <v>0</v>
      </c>
      <c r="AA3224" t="b">
        <v>0</v>
      </c>
      <c r="AC3224" s="82"/>
      <c r="AD3224" t="str">
        <f t="shared" si="71"/>
        <v/>
      </c>
      <c r="AE3224" t="str">
        <f t="shared" si="72"/>
        <v/>
      </c>
    </row>
    <row r="3225">
      <c r="D3225" s="226"/>
      <c r="H3225" s="474"/>
      <c r="I3225" s="474"/>
      <c r="J3225" s="475"/>
      <c r="K3225" s="275"/>
      <c r="L3225" s="82"/>
      <c r="M3225" s="672"/>
      <c r="N3225" s="242"/>
      <c r="O3225" s="242"/>
      <c r="P3225" s="242"/>
      <c r="Q3225" s="242"/>
      <c r="R3225" s="539"/>
      <c r="S3225" s="540"/>
      <c r="T3225" s="543"/>
      <c r="U3225" s="673" t="b">
        <v>0</v>
      </c>
      <c r="Z3225" t="b">
        <v>0</v>
      </c>
      <c r="AA3225" t="b">
        <v>0</v>
      </c>
      <c r="AC3225" s="82"/>
      <c r="AD3225" t="str">
        <f t="shared" si="71"/>
        <v/>
      </c>
      <c r="AE3225" t="str">
        <f t="shared" si="72"/>
        <v/>
      </c>
    </row>
    <row r="3226">
      <c r="D3226" s="226"/>
      <c r="H3226" s="474"/>
      <c r="I3226" s="474"/>
      <c r="J3226" s="475"/>
      <c r="K3226" s="275"/>
      <c r="L3226" s="82"/>
      <c r="M3226" s="672"/>
      <c r="N3226" s="242"/>
      <c r="O3226" s="242"/>
      <c r="P3226" s="242"/>
      <c r="Q3226" s="242"/>
      <c r="R3226" s="539"/>
      <c r="S3226" s="540"/>
      <c r="T3226" s="543"/>
      <c r="U3226" s="673" t="b">
        <v>0</v>
      </c>
      <c r="Z3226" t="b">
        <v>0</v>
      </c>
      <c r="AA3226" t="b">
        <v>0</v>
      </c>
      <c r="AC3226" s="82"/>
      <c r="AD3226" t="str">
        <f t="shared" si="71"/>
        <v/>
      </c>
      <c r="AE3226" t="str">
        <f t="shared" si="72"/>
        <v/>
      </c>
    </row>
    <row r="3227">
      <c r="D3227" s="226"/>
      <c r="H3227" s="474"/>
      <c r="I3227" s="474"/>
      <c r="J3227" s="475"/>
      <c r="K3227" s="275"/>
      <c r="L3227" s="82"/>
      <c r="M3227" s="672"/>
      <c r="N3227" s="242"/>
      <c r="O3227" s="242"/>
      <c r="P3227" s="242"/>
      <c r="Q3227" s="242"/>
      <c r="R3227" s="539"/>
      <c r="S3227" s="540"/>
      <c r="T3227" s="543"/>
      <c r="U3227" s="673" t="b">
        <v>0</v>
      </c>
      <c r="Z3227" t="b">
        <v>0</v>
      </c>
      <c r="AA3227" t="b">
        <v>0</v>
      </c>
      <c r="AC3227" s="82"/>
      <c r="AD3227" t="str">
        <f t="shared" si="71"/>
        <v/>
      </c>
      <c r="AE3227" t="str">
        <f t="shared" si="72"/>
        <v/>
      </c>
    </row>
    <row r="3228">
      <c r="D3228" s="226"/>
      <c r="H3228" s="474"/>
      <c r="I3228" s="474"/>
      <c r="J3228" s="475"/>
      <c r="K3228" s="275"/>
      <c r="L3228" s="82"/>
      <c r="M3228" s="672"/>
      <c r="N3228" s="242"/>
      <c r="O3228" s="242"/>
      <c r="P3228" s="242"/>
      <c r="Q3228" s="242"/>
      <c r="R3228" s="539"/>
      <c r="S3228" s="540"/>
      <c r="T3228" s="543"/>
      <c r="U3228" s="673" t="b">
        <v>0</v>
      </c>
      <c r="Z3228" t="b">
        <v>0</v>
      </c>
      <c r="AA3228" t="b">
        <v>0</v>
      </c>
      <c r="AC3228" s="82"/>
      <c r="AD3228" t="str">
        <f t="shared" si="71"/>
        <v/>
      </c>
      <c r="AE3228" t="str">
        <f t="shared" si="72"/>
        <v/>
      </c>
    </row>
    <row r="3229">
      <c r="D3229" s="226"/>
      <c r="H3229" s="474"/>
      <c r="I3229" s="474"/>
      <c r="J3229" s="475"/>
      <c r="K3229" s="275"/>
      <c r="L3229" s="82"/>
      <c r="M3229" s="672"/>
      <c r="N3229" s="242"/>
      <c r="O3229" s="242"/>
      <c r="P3229" s="242"/>
      <c r="Q3229" s="242"/>
      <c r="R3229" s="539"/>
      <c r="S3229" s="540"/>
      <c r="T3229" s="543"/>
      <c r="U3229" s="673" t="b">
        <v>0</v>
      </c>
      <c r="Z3229" t="b">
        <v>0</v>
      </c>
      <c r="AA3229" t="b">
        <v>0</v>
      </c>
      <c r="AC3229" s="82"/>
      <c r="AD3229" t="str">
        <f t="shared" si="71"/>
        <v/>
      </c>
      <c r="AE3229" t="str">
        <f t="shared" si="72"/>
        <v/>
      </c>
    </row>
    <row r="3230">
      <c r="D3230" s="226"/>
      <c r="H3230" s="474"/>
      <c r="I3230" s="474"/>
      <c r="J3230" s="475"/>
      <c r="K3230" s="275"/>
      <c r="L3230" s="82"/>
      <c r="M3230" s="672"/>
      <c r="N3230" s="242"/>
      <c r="O3230" s="242"/>
      <c r="P3230" s="242"/>
      <c r="Q3230" s="242"/>
      <c r="R3230" s="539"/>
      <c r="S3230" s="540"/>
      <c r="T3230" s="543"/>
      <c r="U3230" s="673" t="b">
        <v>0</v>
      </c>
      <c r="Z3230" t="b">
        <v>0</v>
      </c>
      <c r="AA3230" t="b">
        <v>0</v>
      </c>
      <c r="AC3230" s="82"/>
      <c r="AD3230" t="str">
        <f t="shared" si="71"/>
        <v/>
      </c>
      <c r="AE3230" t="str">
        <f t="shared" si="72"/>
        <v/>
      </c>
    </row>
    <row r="3231">
      <c r="D3231" s="226"/>
      <c r="H3231" s="474"/>
      <c r="I3231" s="474"/>
      <c r="J3231" s="475"/>
      <c r="K3231" s="275"/>
      <c r="L3231" s="82"/>
      <c r="M3231" s="672"/>
      <c r="N3231" s="242"/>
      <c r="O3231" s="242"/>
      <c r="P3231" s="242"/>
      <c r="Q3231" s="242"/>
      <c r="R3231" s="539"/>
      <c r="S3231" s="540"/>
      <c r="T3231" s="543"/>
      <c r="U3231" s="673" t="b">
        <v>0</v>
      </c>
      <c r="Z3231" t="b">
        <v>0</v>
      </c>
      <c r="AA3231" t="b">
        <v>0</v>
      </c>
      <c r="AC3231" s="82"/>
      <c r="AD3231" t="str">
        <f t="shared" si="71"/>
        <v/>
      </c>
      <c r="AE3231" t="str">
        <f t="shared" si="72"/>
        <v/>
      </c>
    </row>
    <row r="3232">
      <c r="D3232" s="226"/>
      <c r="H3232" s="474"/>
      <c r="I3232" s="474"/>
      <c r="J3232" s="475"/>
      <c r="K3232" s="275"/>
      <c r="L3232" s="82"/>
      <c r="M3232" s="672"/>
      <c r="N3232" s="242"/>
      <c r="O3232" s="242"/>
      <c r="P3232" s="242"/>
      <c r="Q3232" s="242"/>
      <c r="R3232" s="539"/>
      <c r="S3232" s="540"/>
      <c r="T3232" s="543"/>
      <c r="U3232" s="673" t="b">
        <v>0</v>
      </c>
      <c r="Z3232" t="b">
        <v>0</v>
      </c>
      <c r="AA3232" t="b">
        <v>0</v>
      </c>
      <c r="AC3232" s="82"/>
      <c r="AD3232" t="str">
        <f t="shared" si="71"/>
        <v/>
      </c>
      <c r="AE3232" t="str">
        <f t="shared" si="72"/>
        <v/>
      </c>
    </row>
    <row r="3233">
      <c r="D3233" s="226"/>
      <c r="H3233" s="474"/>
      <c r="I3233" s="474"/>
      <c r="J3233" s="475"/>
      <c r="K3233" s="275"/>
      <c r="L3233" s="82"/>
      <c r="M3233" s="672"/>
      <c r="N3233" s="242"/>
      <c r="O3233" s="242"/>
      <c r="P3233" s="242"/>
      <c r="Q3233" s="242"/>
      <c r="R3233" s="539"/>
      <c r="S3233" s="540"/>
      <c r="T3233" s="543"/>
      <c r="U3233" s="673" t="b">
        <v>0</v>
      </c>
      <c r="Z3233" t="b">
        <v>0</v>
      </c>
      <c r="AA3233" t="b">
        <v>0</v>
      </c>
      <c r="AC3233" s="82"/>
      <c r="AD3233" t="str">
        <f t="shared" si="71"/>
        <v/>
      </c>
      <c r="AE3233" t="str">
        <f t="shared" si="72"/>
        <v/>
      </c>
    </row>
    <row r="3234">
      <c r="D3234" s="226"/>
      <c r="H3234" s="474"/>
      <c r="I3234" s="474"/>
      <c r="J3234" s="475"/>
      <c r="K3234" s="275"/>
      <c r="L3234" s="82"/>
      <c r="M3234" s="672"/>
      <c r="N3234" s="242"/>
      <c r="O3234" s="242"/>
      <c r="P3234" s="242"/>
      <c r="Q3234" s="242"/>
      <c r="R3234" s="539"/>
      <c r="S3234" s="540"/>
      <c r="T3234" s="543"/>
      <c r="U3234" s="673" t="b">
        <v>0</v>
      </c>
      <c r="Z3234" t="b">
        <v>0</v>
      </c>
      <c r="AA3234" t="b">
        <v>0</v>
      </c>
      <c r="AC3234" s="82"/>
      <c r="AD3234" t="str">
        <f t="shared" si="71"/>
        <v/>
      </c>
      <c r="AE3234" t="str">
        <f t="shared" si="72"/>
        <v/>
      </c>
    </row>
    <row r="3235">
      <c r="D3235" s="226"/>
      <c r="H3235" s="474"/>
      <c r="I3235" s="474"/>
      <c r="J3235" s="475"/>
      <c r="K3235" s="275"/>
      <c r="L3235" s="82"/>
      <c r="M3235" s="672"/>
      <c r="N3235" s="242"/>
      <c r="O3235" s="242"/>
      <c r="P3235" s="242"/>
      <c r="Q3235" s="242"/>
      <c r="R3235" s="539"/>
      <c r="S3235" s="540"/>
      <c r="T3235" s="543"/>
      <c r="U3235" s="673" t="b">
        <v>0</v>
      </c>
      <c r="Z3235" t="b">
        <v>0</v>
      </c>
      <c r="AA3235" t="b">
        <v>0</v>
      </c>
      <c r="AC3235" s="82"/>
      <c r="AD3235" t="str">
        <f t="shared" si="71"/>
        <v/>
      </c>
      <c r="AE3235" t="str">
        <f t="shared" si="72"/>
        <v/>
      </c>
    </row>
    <row r="3236">
      <c r="D3236" s="226"/>
      <c r="H3236" s="474"/>
      <c r="I3236" s="474"/>
      <c r="J3236" s="475"/>
      <c r="K3236" s="275"/>
      <c r="L3236" s="82"/>
      <c r="M3236" s="672"/>
      <c r="N3236" s="242"/>
      <c r="O3236" s="242"/>
      <c r="P3236" s="242"/>
      <c r="Q3236" s="242"/>
      <c r="R3236" s="539"/>
      <c r="S3236" s="540"/>
      <c r="T3236" s="543"/>
      <c r="U3236" s="673" t="b">
        <v>0</v>
      </c>
      <c r="Z3236" t="b">
        <v>0</v>
      </c>
      <c r="AA3236" t="b">
        <v>0</v>
      </c>
      <c r="AC3236" s="82"/>
      <c r="AD3236" t="str">
        <f t="shared" si="71"/>
        <v/>
      </c>
      <c r="AE3236" t="str">
        <f t="shared" si="72"/>
        <v/>
      </c>
    </row>
    <row r="3237">
      <c r="D3237" s="226"/>
      <c r="H3237" s="474"/>
      <c r="I3237" s="474"/>
      <c r="J3237" s="475"/>
      <c r="K3237" s="275"/>
      <c r="L3237" s="82"/>
      <c r="M3237" s="672"/>
      <c r="N3237" s="242"/>
      <c r="O3237" s="242"/>
      <c r="P3237" s="242"/>
      <c r="Q3237" s="242"/>
      <c r="R3237" s="539"/>
      <c r="S3237" s="540"/>
      <c r="T3237" s="543"/>
      <c r="U3237" s="673" t="b">
        <v>0</v>
      </c>
      <c r="Z3237" t="b">
        <v>0</v>
      </c>
      <c r="AA3237" t="b">
        <v>0</v>
      </c>
      <c r="AC3237" s="82"/>
      <c r="AD3237" t="str">
        <f t="shared" si="71"/>
        <v/>
      </c>
      <c r="AE3237" t="str">
        <f t="shared" si="72"/>
        <v/>
      </c>
    </row>
    <row r="3238">
      <c r="D3238" s="226"/>
      <c r="H3238" s="474"/>
      <c r="I3238" s="474"/>
      <c r="J3238" s="475"/>
      <c r="K3238" s="275"/>
      <c r="L3238" s="82"/>
      <c r="M3238" s="672"/>
      <c r="N3238" s="242"/>
      <c r="O3238" s="242"/>
      <c r="P3238" s="242"/>
      <c r="Q3238" s="242"/>
      <c r="R3238" s="539"/>
      <c r="S3238" s="540"/>
      <c r="T3238" s="543"/>
      <c r="U3238" s="673" t="b">
        <v>0</v>
      </c>
      <c r="Z3238" t="b">
        <v>0</v>
      </c>
      <c r="AA3238" t="b">
        <v>0</v>
      </c>
      <c r="AC3238" s="82"/>
      <c r="AD3238" t="str">
        <f t="shared" si="71"/>
        <v/>
      </c>
      <c r="AE3238" t="str">
        <f t="shared" si="72"/>
        <v/>
      </c>
    </row>
    <row r="3239">
      <c r="D3239" s="226"/>
      <c r="H3239" s="474"/>
      <c r="I3239" s="474"/>
      <c r="J3239" s="475"/>
      <c r="K3239" s="275"/>
      <c r="L3239" s="82"/>
      <c r="M3239" s="672"/>
      <c r="N3239" s="242"/>
      <c r="O3239" s="242"/>
      <c r="P3239" s="242"/>
      <c r="Q3239" s="242"/>
      <c r="R3239" s="539"/>
      <c r="S3239" s="540"/>
      <c r="T3239" s="543"/>
      <c r="U3239" s="673" t="b">
        <v>0</v>
      </c>
      <c r="Z3239" t="b">
        <v>0</v>
      </c>
      <c r="AA3239" t="b">
        <v>0</v>
      </c>
      <c r="AC3239" s="82"/>
      <c r="AD3239" t="str">
        <f t="shared" si="71"/>
        <v/>
      </c>
      <c r="AE3239" t="str">
        <f t="shared" si="72"/>
        <v/>
      </c>
    </row>
    <row r="3240">
      <c r="D3240" s="226"/>
      <c r="H3240" s="474"/>
      <c r="I3240" s="474"/>
      <c r="J3240" s="475"/>
      <c r="K3240" s="275"/>
      <c r="L3240" s="82"/>
      <c r="M3240" s="672"/>
      <c r="N3240" s="242"/>
      <c r="O3240" s="242"/>
      <c r="P3240" s="242"/>
      <c r="Q3240" s="242"/>
      <c r="R3240" s="539"/>
      <c r="S3240" s="540"/>
      <c r="T3240" s="543"/>
      <c r="U3240" s="673" t="b">
        <v>0</v>
      </c>
      <c r="Z3240" t="b">
        <v>0</v>
      </c>
      <c r="AA3240" t="b">
        <v>0</v>
      </c>
      <c r="AC3240" s="82"/>
      <c r="AD3240" t="str">
        <f t="shared" si="71"/>
        <v/>
      </c>
      <c r="AE3240" t="str">
        <f t="shared" si="72"/>
        <v/>
      </c>
    </row>
    <row r="3241">
      <c r="D3241" s="226"/>
      <c r="H3241" s="474"/>
      <c r="I3241" s="474"/>
      <c r="J3241" s="475"/>
      <c r="K3241" s="275"/>
      <c r="L3241" s="82"/>
      <c r="M3241" s="672"/>
      <c r="N3241" s="242"/>
      <c r="O3241" s="242"/>
      <c r="P3241" s="242"/>
      <c r="Q3241" s="242"/>
      <c r="R3241" s="539"/>
      <c r="S3241" s="540"/>
      <c r="T3241" s="543"/>
      <c r="U3241" s="673" t="b">
        <v>0</v>
      </c>
      <c r="Z3241" t="b">
        <v>0</v>
      </c>
      <c r="AA3241" t="b">
        <v>0</v>
      </c>
      <c r="AC3241" s="82"/>
      <c r="AD3241" t="str">
        <f t="shared" si="71"/>
        <v/>
      </c>
      <c r="AE3241" t="str">
        <f t="shared" si="72"/>
        <v/>
      </c>
    </row>
    <row r="3242">
      <c r="D3242" s="226"/>
      <c r="H3242" s="474"/>
      <c r="I3242" s="474"/>
      <c r="J3242" s="475"/>
      <c r="K3242" s="275"/>
      <c r="L3242" s="82"/>
      <c r="M3242" s="672"/>
      <c r="N3242" s="242"/>
      <c r="O3242" s="242"/>
      <c r="P3242" s="242"/>
      <c r="Q3242" s="242"/>
      <c r="R3242" s="539"/>
      <c r="S3242" s="540"/>
      <c r="T3242" s="543"/>
      <c r="U3242" s="673" t="b">
        <v>0</v>
      </c>
      <c r="Z3242" t="b">
        <v>0</v>
      </c>
      <c r="AA3242" t="b">
        <v>0</v>
      </c>
      <c r="AC3242" s="82"/>
      <c r="AD3242" t="str">
        <f t="shared" si="71"/>
        <v/>
      </c>
      <c r="AE3242" t="str">
        <f t="shared" si="72"/>
        <v/>
      </c>
    </row>
    <row r="3243">
      <c r="D3243" s="226"/>
      <c r="H3243" s="474"/>
      <c r="I3243" s="474"/>
      <c r="J3243" s="475"/>
      <c r="K3243" s="275"/>
      <c r="L3243" s="82"/>
      <c r="M3243" s="672"/>
      <c r="N3243" s="242"/>
      <c r="O3243" s="242"/>
      <c r="P3243" s="242"/>
      <c r="Q3243" s="242"/>
      <c r="R3243" s="539"/>
      <c r="S3243" s="540"/>
      <c r="T3243" s="543"/>
      <c r="U3243" s="673" t="b">
        <v>0</v>
      </c>
      <c r="Z3243" t="b">
        <v>0</v>
      </c>
      <c r="AA3243" t="b">
        <v>0</v>
      </c>
      <c r="AC3243" s="82"/>
      <c r="AD3243" t="str">
        <f t="shared" si="71"/>
        <v/>
      </c>
      <c r="AE3243" t="str">
        <f t="shared" si="72"/>
        <v/>
      </c>
    </row>
    <row r="3244">
      <c r="D3244" s="226"/>
      <c r="H3244" s="474"/>
      <c r="I3244" s="474"/>
      <c r="J3244" s="475"/>
      <c r="K3244" s="275"/>
      <c r="L3244" s="82"/>
      <c r="M3244" s="672"/>
      <c r="N3244" s="242"/>
      <c r="O3244" s="242"/>
      <c r="P3244" s="242"/>
      <c r="Q3244" s="242"/>
      <c r="R3244" s="539"/>
      <c r="S3244" s="540"/>
      <c r="T3244" s="543"/>
      <c r="U3244" s="673" t="b">
        <v>0</v>
      </c>
      <c r="Z3244" t="b">
        <v>0</v>
      </c>
      <c r="AA3244" t="b">
        <v>0</v>
      </c>
      <c r="AC3244" s="82"/>
      <c r="AD3244" t="str">
        <f t="shared" si="71"/>
        <v/>
      </c>
      <c r="AE3244" t="str">
        <f t="shared" si="72"/>
        <v/>
      </c>
    </row>
    <row r="3245">
      <c r="D3245" s="226"/>
      <c r="H3245" s="474"/>
      <c r="I3245" s="474"/>
      <c r="J3245" s="475"/>
      <c r="K3245" s="275"/>
      <c r="L3245" s="82"/>
      <c r="M3245" s="672"/>
      <c r="N3245" s="242"/>
      <c r="O3245" s="242"/>
      <c r="P3245" s="242"/>
      <c r="Q3245" s="242"/>
      <c r="R3245" s="539"/>
      <c r="S3245" s="540"/>
      <c r="T3245" s="543"/>
      <c r="U3245" s="673" t="b">
        <v>0</v>
      </c>
      <c r="Z3245" t="b">
        <v>0</v>
      </c>
      <c r="AA3245" t="b">
        <v>0</v>
      </c>
      <c r="AC3245" s="82"/>
      <c r="AD3245" t="str">
        <f t="shared" si="71"/>
        <v/>
      </c>
      <c r="AE3245" t="str">
        <f t="shared" si="72"/>
        <v/>
      </c>
    </row>
    <row r="3246">
      <c r="D3246" s="226"/>
      <c r="H3246" s="474"/>
      <c r="I3246" s="474"/>
      <c r="J3246" s="475"/>
      <c r="K3246" s="275"/>
      <c r="L3246" s="82"/>
      <c r="M3246" s="672"/>
      <c r="N3246" s="242"/>
      <c r="O3246" s="242"/>
      <c r="P3246" s="242"/>
      <c r="Q3246" s="242"/>
      <c r="R3246" s="539"/>
      <c r="S3246" s="540"/>
      <c r="T3246" s="543"/>
      <c r="U3246" s="673" t="b">
        <v>0</v>
      </c>
      <c r="Z3246" t="b">
        <v>0</v>
      </c>
      <c r="AA3246" t="b">
        <v>0</v>
      </c>
      <c r="AC3246" s="82"/>
      <c r="AD3246" t="str">
        <f t="shared" si="71"/>
        <v/>
      </c>
      <c r="AE3246" t="str">
        <f t="shared" si="72"/>
        <v/>
      </c>
    </row>
    <row r="3247">
      <c r="D3247" s="226"/>
      <c r="H3247" s="474"/>
      <c r="I3247" s="474"/>
      <c r="J3247" s="475"/>
      <c r="K3247" s="275"/>
      <c r="L3247" s="82"/>
      <c r="M3247" s="672"/>
      <c r="N3247" s="242"/>
      <c r="O3247" s="242"/>
      <c r="P3247" s="242"/>
      <c r="Q3247" s="242"/>
      <c r="R3247" s="539"/>
      <c r="S3247" s="540"/>
      <c r="T3247" s="543"/>
      <c r="U3247" s="673" t="b">
        <v>0</v>
      </c>
      <c r="Z3247" t="b">
        <v>0</v>
      </c>
      <c r="AA3247" t="b">
        <v>0</v>
      </c>
      <c r="AC3247" s="82"/>
      <c r="AD3247" t="str">
        <f t="shared" si="71"/>
        <v/>
      </c>
      <c r="AE3247" t="str">
        <f t="shared" si="72"/>
        <v/>
      </c>
    </row>
    <row r="3248">
      <c r="D3248" s="226"/>
      <c r="H3248" s="474"/>
      <c r="I3248" s="474"/>
      <c r="J3248" s="475"/>
      <c r="K3248" s="275"/>
      <c r="L3248" s="82"/>
      <c r="M3248" s="672"/>
      <c r="N3248" s="242"/>
      <c r="O3248" s="242"/>
      <c r="P3248" s="242"/>
      <c r="Q3248" s="242"/>
      <c r="R3248" s="539"/>
      <c r="S3248" s="540"/>
      <c r="T3248" s="543"/>
      <c r="U3248" s="673" t="b">
        <v>0</v>
      </c>
      <c r="Z3248" t="b">
        <v>0</v>
      </c>
      <c r="AA3248" t="b">
        <v>0</v>
      </c>
      <c r="AC3248" s="82"/>
      <c r="AD3248" t="str">
        <f t="shared" si="71"/>
        <v/>
      </c>
      <c r="AE3248" t="str">
        <f t="shared" si="72"/>
        <v/>
      </c>
    </row>
    <row r="3249">
      <c r="D3249" s="226"/>
      <c r="H3249" s="474"/>
      <c r="I3249" s="474"/>
      <c r="J3249" s="475"/>
      <c r="K3249" s="275"/>
      <c r="L3249" s="82"/>
      <c r="M3249" s="672"/>
      <c r="N3249" s="242"/>
      <c r="O3249" s="242"/>
      <c r="P3249" s="242"/>
      <c r="Q3249" s="242"/>
      <c r="R3249" s="539"/>
      <c r="S3249" s="540"/>
      <c r="T3249" s="543"/>
      <c r="U3249" s="673" t="b">
        <v>0</v>
      </c>
      <c r="Z3249" t="b">
        <v>0</v>
      </c>
      <c r="AA3249" t="b">
        <v>0</v>
      </c>
      <c r="AC3249" s="82"/>
      <c r="AD3249" t="str">
        <f t="shared" si="71"/>
        <v/>
      </c>
      <c r="AE3249" t="str">
        <f t="shared" si="72"/>
        <v/>
      </c>
    </row>
    <row r="3250">
      <c r="D3250" s="226"/>
      <c r="H3250" s="474"/>
      <c r="I3250" s="474"/>
      <c r="J3250" s="475"/>
      <c r="K3250" s="275"/>
      <c r="L3250" s="82"/>
      <c r="M3250" s="672"/>
      <c r="N3250" s="242"/>
      <c r="O3250" s="242"/>
      <c r="P3250" s="242"/>
      <c r="Q3250" s="242"/>
      <c r="R3250" s="539"/>
      <c r="S3250" s="540"/>
      <c r="T3250" s="543"/>
      <c r="U3250" s="673" t="b">
        <v>0</v>
      </c>
      <c r="Z3250" t="b">
        <v>0</v>
      </c>
      <c r="AA3250" t="b">
        <v>0</v>
      </c>
      <c r="AC3250" s="82"/>
      <c r="AD3250" t="str">
        <f t="shared" si="71"/>
        <v/>
      </c>
      <c r="AE3250" t="str">
        <f t="shared" si="72"/>
        <v/>
      </c>
    </row>
    <row r="3251">
      <c r="D3251" s="226"/>
      <c r="H3251" s="474"/>
      <c r="I3251" s="474"/>
      <c r="J3251" s="475"/>
      <c r="K3251" s="275"/>
      <c r="L3251" s="82"/>
      <c r="M3251" s="672"/>
      <c r="N3251" s="242"/>
      <c r="O3251" s="242"/>
      <c r="P3251" s="242"/>
      <c r="Q3251" s="242"/>
      <c r="R3251" s="539"/>
      <c r="S3251" s="540"/>
      <c r="T3251" s="543"/>
      <c r="U3251" s="673" t="b">
        <v>0</v>
      </c>
      <c r="Z3251" t="b">
        <v>0</v>
      </c>
      <c r="AA3251" t="b">
        <v>0</v>
      </c>
      <c r="AC3251" s="82"/>
      <c r="AD3251" t="str">
        <f t="shared" si="71"/>
        <v/>
      </c>
      <c r="AE3251" t="str">
        <f t="shared" si="72"/>
        <v/>
      </c>
    </row>
    <row r="3252">
      <c r="D3252" s="226"/>
      <c r="H3252" s="474"/>
      <c r="I3252" s="474"/>
      <c r="J3252" s="475"/>
      <c r="K3252" s="275"/>
      <c r="L3252" s="82"/>
      <c r="M3252" s="672"/>
      <c r="N3252" s="242"/>
      <c r="O3252" s="242"/>
      <c r="P3252" s="242"/>
      <c r="Q3252" s="242"/>
      <c r="R3252" s="539"/>
      <c r="S3252" s="540"/>
      <c r="T3252" s="543"/>
      <c r="U3252" s="673" t="b">
        <v>0</v>
      </c>
      <c r="Z3252" t="b">
        <v>0</v>
      </c>
      <c r="AA3252" t="b">
        <v>0</v>
      </c>
      <c r="AC3252" s="82"/>
      <c r="AD3252" t="str">
        <f t="shared" si="71"/>
        <v/>
      </c>
      <c r="AE3252" t="str">
        <f t="shared" si="72"/>
        <v/>
      </c>
    </row>
    <row r="3253">
      <c r="D3253" s="226"/>
      <c r="H3253" s="474"/>
      <c r="I3253" s="474"/>
      <c r="J3253" s="475"/>
      <c r="K3253" s="275"/>
      <c r="L3253" s="82"/>
      <c r="M3253" s="672"/>
      <c r="N3253" s="242"/>
      <c r="O3253" s="242"/>
      <c r="P3253" s="242"/>
      <c r="Q3253" s="242"/>
      <c r="R3253" s="539"/>
      <c r="S3253" s="540"/>
      <c r="T3253" s="543"/>
      <c r="U3253" s="673" t="b">
        <v>0</v>
      </c>
      <c r="Z3253" t="b">
        <v>0</v>
      </c>
      <c r="AA3253" t="b">
        <v>0</v>
      </c>
      <c r="AC3253" s="82"/>
      <c r="AD3253" t="str">
        <f t="shared" si="71"/>
        <v/>
      </c>
      <c r="AE3253" t="str">
        <f t="shared" si="72"/>
        <v/>
      </c>
    </row>
    <row r="3254">
      <c r="D3254" s="226"/>
      <c r="H3254" s="474"/>
      <c r="I3254" s="474"/>
      <c r="J3254" s="475"/>
      <c r="K3254" s="275"/>
      <c r="L3254" s="82"/>
      <c r="M3254" s="672"/>
      <c r="N3254" s="242"/>
      <c r="O3254" s="242"/>
      <c r="P3254" s="242"/>
      <c r="Q3254" s="242"/>
      <c r="R3254" s="539"/>
      <c r="S3254" s="540"/>
      <c r="T3254" s="543"/>
      <c r="U3254" s="673" t="b">
        <v>0</v>
      </c>
      <c r="Z3254" t="b">
        <v>0</v>
      </c>
      <c r="AA3254" t="b">
        <v>0</v>
      </c>
      <c r="AC3254" s="82"/>
      <c r="AD3254" t="str">
        <f t="shared" si="71"/>
        <v/>
      </c>
      <c r="AE3254" t="str">
        <f t="shared" si="72"/>
        <v/>
      </c>
    </row>
    <row r="3255">
      <c r="D3255" s="226"/>
      <c r="H3255" s="474"/>
      <c r="I3255" s="474"/>
      <c r="J3255" s="475"/>
      <c r="K3255" s="275"/>
      <c r="L3255" s="82"/>
      <c r="M3255" s="672"/>
      <c r="N3255" s="242"/>
      <c r="O3255" s="242"/>
      <c r="P3255" s="242"/>
      <c r="Q3255" s="242"/>
      <c r="R3255" s="539"/>
      <c r="S3255" s="540"/>
      <c r="T3255" s="543"/>
      <c r="U3255" s="673" t="b">
        <v>0</v>
      </c>
      <c r="Z3255" t="b">
        <v>0</v>
      </c>
      <c r="AA3255" t="b">
        <v>0</v>
      </c>
      <c r="AC3255" s="82"/>
      <c r="AD3255" t="str">
        <f t="shared" si="71"/>
        <v/>
      </c>
      <c r="AE3255" t="str">
        <f t="shared" si="72"/>
        <v/>
      </c>
    </row>
    <row r="3256">
      <c r="D3256" s="226"/>
      <c r="H3256" s="474"/>
      <c r="I3256" s="474"/>
      <c r="J3256" s="475"/>
      <c r="K3256" s="275"/>
      <c r="L3256" s="82"/>
      <c r="M3256" s="672"/>
      <c r="N3256" s="242"/>
      <c r="O3256" s="242"/>
      <c r="P3256" s="242"/>
      <c r="Q3256" s="242"/>
      <c r="R3256" s="539"/>
      <c r="S3256" s="540"/>
      <c r="T3256" s="543"/>
      <c r="U3256" s="673" t="b">
        <v>0</v>
      </c>
      <c r="Z3256" t="b">
        <v>0</v>
      </c>
      <c r="AA3256" t="b">
        <v>0</v>
      </c>
      <c r="AC3256" s="82"/>
      <c r="AD3256" t="str">
        <f t="shared" si="71"/>
        <v/>
      </c>
      <c r="AE3256" t="str">
        <f t="shared" si="72"/>
        <v/>
      </c>
    </row>
    <row r="3257">
      <c r="D3257" s="226"/>
      <c r="H3257" s="474"/>
      <c r="I3257" s="474"/>
      <c r="J3257" s="475"/>
      <c r="K3257" s="275"/>
      <c r="L3257" s="82"/>
      <c r="M3257" s="672"/>
      <c r="N3257" s="242"/>
      <c r="O3257" s="242"/>
      <c r="P3257" s="242"/>
      <c r="Q3257" s="242"/>
      <c r="R3257" s="539"/>
      <c r="S3257" s="540"/>
      <c r="T3257" s="543"/>
      <c r="U3257" s="673" t="b">
        <v>0</v>
      </c>
      <c r="Z3257" t="b">
        <v>0</v>
      </c>
      <c r="AA3257" t="b">
        <v>0</v>
      </c>
      <c r="AC3257" s="82"/>
      <c r="AD3257" t="str">
        <f t="shared" si="71"/>
        <v/>
      </c>
      <c r="AE3257" t="str">
        <f t="shared" si="72"/>
        <v/>
      </c>
    </row>
    <row r="3258">
      <c r="D3258" s="226"/>
      <c r="H3258" s="474"/>
      <c r="I3258" s="474"/>
      <c r="J3258" s="475"/>
      <c r="K3258" s="275"/>
      <c r="L3258" s="82"/>
      <c r="M3258" s="672"/>
      <c r="N3258" s="242"/>
      <c r="O3258" s="242"/>
      <c r="P3258" s="242"/>
      <c r="Q3258" s="242"/>
      <c r="R3258" s="539"/>
      <c r="S3258" s="540"/>
      <c r="T3258" s="543"/>
      <c r="U3258" s="673" t="b">
        <v>0</v>
      </c>
      <c r="Z3258" t="b">
        <v>0</v>
      </c>
      <c r="AA3258" t="b">
        <v>0</v>
      </c>
      <c r="AC3258" s="82"/>
      <c r="AD3258" t="str">
        <f t="shared" si="71"/>
        <v/>
      </c>
      <c r="AE3258" t="str">
        <f t="shared" si="72"/>
        <v/>
      </c>
    </row>
    <row r="3259">
      <c r="D3259" s="226"/>
      <c r="H3259" s="474"/>
      <c r="I3259" s="474"/>
      <c r="J3259" s="475"/>
      <c r="K3259" s="275"/>
      <c r="L3259" s="82"/>
      <c r="M3259" s="672"/>
      <c r="N3259" s="242"/>
      <c r="O3259" s="242"/>
      <c r="P3259" s="242"/>
      <c r="Q3259" s="242"/>
      <c r="R3259" s="539"/>
      <c r="S3259" s="540"/>
      <c r="T3259" s="543"/>
      <c r="U3259" s="673" t="b">
        <v>0</v>
      </c>
      <c r="Z3259" t="b">
        <v>0</v>
      </c>
      <c r="AA3259" t="b">
        <v>0</v>
      </c>
      <c r="AC3259" s="82"/>
      <c r="AD3259" t="str">
        <f t="shared" si="71"/>
        <v/>
      </c>
      <c r="AE3259" t="str">
        <f t="shared" si="72"/>
        <v/>
      </c>
    </row>
    <row r="3260">
      <c r="D3260" s="226"/>
      <c r="H3260" s="474"/>
      <c r="I3260" s="474"/>
      <c r="J3260" s="475"/>
      <c r="K3260" s="275"/>
      <c r="L3260" s="82"/>
      <c r="M3260" s="672"/>
      <c r="N3260" s="242"/>
      <c r="O3260" s="242"/>
      <c r="P3260" s="242"/>
      <c r="Q3260" s="242"/>
      <c r="R3260" s="539"/>
      <c r="S3260" s="540"/>
      <c r="T3260" s="543"/>
      <c r="U3260" s="673" t="b">
        <v>0</v>
      </c>
      <c r="Z3260" t="b">
        <v>0</v>
      </c>
      <c r="AA3260" t="b">
        <v>0</v>
      </c>
      <c r="AC3260" s="82"/>
      <c r="AD3260" t="str">
        <f t="shared" si="71"/>
        <v/>
      </c>
      <c r="AE3260" t="str">
        <f t="shared" si="72"/>
        <v/>
      </c>
    </row>
    <row r="3261">
      <c r="D3261" s="226"/>
      <c r="H3261" s="474"/>
      <c r="I3261" s="474"/>
      <c r="J3261" s="475"/>
      <c r="K3261" s="275"/>
      <c r="L3261" s="82"/>
      <c r="M3261" s="672"/>
      <c r="N3261" s="242"/>
      <c r="O3261" s="242"/>
      <c r="P3261" s="242"/>
      <c r="Q3261" s="242"/>
      <c r="R3261" s="539"/>
      <c r="S3261" s="540"/>
      <c r="T3261" s="543"/>
      <c r="U3261" s="673" t="b">
        <v>0</v>
      </c>
      <c r="Z3261" t="b">
        <v>0</v>
      </c>
      <c r="AA3261" t="b">
        <v>0</v>
      </c>
      <c r="AC3261" s="82"/>
      <c r="AD3261" t="str">
        <f t="shared" si="71"/>
        <v/>
      </c>
      <c r="AE3261" t="str">
        <f t="shared" si="72"/>
        <v/>
      </c>
    </row>
    <row r="3262">
      <c r="D3262" s="226"/>
      <c r="H3262" s="474"/>
      <c r="I3262" s="474"/>
      <c r="J3262" s="475"/>
      <c r="K3262" s="275"/>
      <c r="L3262" s="82"/>
      <c r="M3262" s="672"/>
      <c r="N3262" s="242"/>
      <c r="O3262" s="242"/>
      <c r="P3262" s="242"/>
      <c r="Q3262" s="242"/>
      <c r="R3262" s="539"/>
      <c r="S3262" s="540"/>
      <c r="T3262" s="543"/>
      <c r="U3262" s="673" t="b">
        <v>0</v>
      </c>
      <c r="Z3262" t="b">
        <v>0</v>
      </c>
      <c r="AA3262" t="b">
        <v>0</v>
      </c>
      <c r="AC3262" s="82"/>
      <c r="AD3262" t="str">
        <f t="shared" si="71"/>
        <v/>
      </c>
      <c r="AE3262" t="str">
        <f t="shared" si="72"/>
        <v/>
      </c>
    </row>
    <row r="3263">
      <c r="D3263" s="226"/>
      <c r="H3263" s="474"/>
      <c r="I3263" s="474"/>
      <c r="J3263" s="475"/>
      <c r="K3263" s="275"/>
      <c r="L3263" s="82"/>
      <c r="M3263" s="672"/>
      <c r="N3263" s="242"/>
      <c r="O3263" s="242"/>
      <c r="P3263" s="242"/>
      <c r="Q3263" s="242"/>
      <c r="R3263" s="539"/>
      <c r="S3263" s="540"/>
      <c r="T3263" s="543"/>
      <c r="U3263" s="673" t="b">
        <v>0</v>
      </c>
      <c r="Z3263" t="b">
        <v>0</v>
      </c>
      <c r="AA3263" t="b">
        <v>0</v>
      </c>
      <c r="AC3263" s="82"/>
      <c r="AD3263" t="str">
        <f t="shared" si="71"/>
        <v/>
      </c>
      <c r="AE3263" t="str">
        <f t="shared" si="72"/>
        <v/>
      </c>
    </row>
    <row r="3264">
      <c r="D3264" s="226"/>
      <c r="H3264" s="474"/>
      <c r="I3264" s="474"/>
      <c r="J3264" s="475"/>
      <c r="K3264" s="275"/>
      <c r="L3264" s="82"/>
      <c r="M3264" s="672"/>
      <c r="N3264" s="242"/>
      <c r="O3264" s="242"/>
      <c r="P3264" s="242"/>
      <c r="Q3264" s="242"/>
      <c r="R3264" s="539"/>
      <c r="S3264" s="540"/>
      <c r="T3264" s="543"/>
      <c r="U3264" s="673" t="b">
        <v>0</v>
      </c>
      <c r="Z3264" t="b">
        <v>0</v>
      </c>
      <c r="AA3264" t="b">
        <v>0</v>
      </c>
      <c r="AC3264" s="82"/>
      <c r="AD3264" t="str">
        <f t="shared" si="71"/>
        <v/>
      </c>
      <c r="AE3264" t="str">
        <f t="shared" si="72"/>
        <v/>
      </c>
    </row>
    <row r="3265">
      <c r="D3265" s="226"/>
      <c r="H3265" s="474"/>
      <c r="I3265" s="474"/>
      <c r="J3265" s="475"/>
      <c r="K3265" s="275"/>
      <c r="L3265" s="82"/>
      <c r="M3265" s="672"/>
      <c r="N3265" s="242"/>
      <c r="O3265" s="242"/>
      <c r="P3265" s="242"/>
      <c r="Q3265" s="242"/>
      <c r="R3265" s="539"/>
      <c r="S3265" s="540"/>
      <c r="T3265" s="543"/>
      <c r="U3265" s="673" t="b">
        <v>0</v>
      </c>
      <c r="Z3265" t="b">
        <v>0</v>
      </c>
      <c r="AA3265" t="b">
        <v>0</v>
      </c>
      <c r="AC3265" s="82"/>
      <c r="AD3265" t="str">
        <f t="shared" si="71"/>
        <v/>
      </c>
      <c r="AE3265" t="str">
        <f t="shared" si="72"/>
        <v/>
      </c>
    </row>
    <row r="3266">
      <c r="D3266" s="226"/>
      <c r="H3266" s="474"/>
      <c r="I3266" s="474"/>
      <c r="J3266" s="475"/>
      <c r="K3266" s="275"/>
      <c r="L3266" s="82"/>
      <c r="M3266" s="672"/>
      <c r="N3266" s="242"/>
      <c r="O3266" s="242"/>
      <c r="P3266" s="242"/>
      <c r="Q3266" s="242"/>
      <c r="R3266" s="539"/>
      <c r="S3266" s="540"/>
      <c r="T3266" s="543"/>
      <c r="U3266" s="673" t="b">
        <v>0</v>
      </c>
      <c r="Z3266" t="b">
        <v>0</v>
      </c>
      <c r="AA3266" t="b">
        <v>0</v>
      </c>
      <c r="AC3266" s="82"/>
      <c r="AD3266" t="str">
        <f t="shared" si="71"/>
        <v/>
      </c>
      <c r="AE3266" t="str">
        <f t="shared" si="72"/>
        <v/>
      </c>
    </row>
    <row r="3267">
      <c r="D3267" s="226"/>
      <c r="H3267" s="474"/>
      <c r="I3267" s="474"/>
      <c r="J3267" s="475"/>
      <c r="K3267" s="275"/>
      <c r="L3267" s="82"/>
      <c r="M3267" s="672"/>
      <c r="N3267" s="242"/>
      <c r="O3267" s="242"/>
      <c r="P3267" s="242"/>
      <c r="Q3267" s="242"/>
      <c r="R3267" s="539"/>
      <c r="S3267" s="540"/>
      <c r="T3267" s="543"/>
      <c r="U3267" s="673" t="b">
        <v>0</v>
      </c>
      <c r="Z3267" t="b">
        <v>0</v>
      </c>
      <c r="AA3267" t="b">
        <v>0</v>
      </c>
      <c r="AC3267" s="82"/>
      <c r="AD3267" t="str">
        <f t="shared" si="71"/>
        <v/>
      </c>
      <c r="AE3267" t="str">
        <f t="shared" si="72"/>
        <v/>
      </c>
    </row>
    <row r="3268">
      <c r="D3268" s="226"/>
      <c r="H3268" s="474"/>
      <c r="I3268" s="474"/>
      <c r="J3268" s="475"/>
      <c r="K3268" s="275"/>
      <c r="L3268" s="82"/>
      <c r="M3268" s="672"/>
      <c r="N3268" s="242"/>
      <c r="O3268" s="242"/>
      <c r="P3268" s="242"/>
      <c r="Q3268" s="242"/>
      <c r="R3268" s="539"/>
      <c r="S3268" s="540"/>
      <c r="T3268" s="543"/>
      <c r="U3268" s="673" t="b">
        <v>0</v>
      </c>
      <c r="Z3268" t="b">
        <v>0</v>
      </c>
      <c r="AA3268" t="b">
        <v>0</v>
      </c>
      <c r="AC3268" s="82"/>
      <c r="AD3268" t="str">
        <f t="shared" si="71"/>
        <v/>
      </c>
      <c r="AE3268" t="str">
        <f t="shared" si="72"/>
        <v/>
      </c>
    </row>
    <row r="3269">
      <c r="D3269" s="226"/>
      <c r="H3269" s="474"/>
      <c r="I3269" s="474"/>
      <c r="J3269" s="475"/>
      <c r="K3269" s="275"/>
      <c r="L3269" s="82"/>
      <c r="M3269" s="672"/>
      <c r="N3269" s="242"/>
      <c r="O3269" s="242"/>
      <c r="P3269" s="242"/>
      <c r="Q3269" s="242"/>
      <c r="R3269" s="539"/>
      <c r="S3269" s="540"/>
      <c r="T3269" s="543"/>
      <c r="U3269" s="673" t="b">
        <v>0</v>
      </c>
      <c r="Z3269" t="b">
        <v>0</v>
      </c>
      <c r="AA3269" t="b">
        <v>0</v>
      </c>
      <c r="AC3269" s="82"/>
      <c r="AD3269" t="str">
        <f t="shared" si="71"/>
        <v/>
      </c>
      <c r="AE3269" t="str">
        <f t="shared" si="72"/>
        <v/>
      </c>
    </row>
    <row r="3270">
      <c r="D3270" s="226"/>
      <c r="H3270" s="474"/>
      <c r="I3270" s="474"/>
      <c r="J3270" s="475"/>
      <c r="K3270" s="275"/>
      <c r="L3270" s="82"/>
      <c r="M3270" s="672"/>
      <c r="N3270" s="242"/>
      <c r="O3270" s="242"/>
      <c r="P3270" s="242"/>
      <c r="Q3270" s="242"/>
      <c r="R3270" s="539"/>
      <c r="S3270" s="540"/>
      <c r="T3270" s="543"/>
      <c r="U3270" s="673" t="b">
        <v>0</v>
      </c>
      <c r="Z3270" t="b">
        <v>0</v>
      </c>
      <c r="AA3270" t="b">
        <v>0</v>
      </c>
      <c r="AC3270" s="82"/>
      <c r="AD3270" t="str">
        <f t="shared" si="71"/>
        <v/>
      </c>
      <c r="AE3270" t="str">
        <f t="shared" si="72"/>
        <v/>
      </c>
    </row>
    <row r="3271">
      <c r="D3271" s="226"/>
      <c r="H3271" s="474"/>
      <c r="I3271" s="474"/>
      <c r="J3271" s="475"/>
      <c r="K3271" s="275"/>
      <c r="L3271" s="82"/>
      <c r="M3271" s="672"/>
      <c r="N3271" s="242"/>
      <c r="O3271" s="242"/>
      <c r="P3271" s="242"/>
      <c r="Q3271" s="242"/>
      <c r="R3271" s="539"/>
      <c r="S3271" s="540"/>
      <c r="T3271" s="543"/>
      <c r="U3271" s="673" t="b">
        <v>0</v>
      </c>
      <c r="Z3271" t="b">
        <v>0</v>
      </c>
      <c r="AA3271" t="b">
        <v>0</v>
      </c>
      <c r="AC3271" s="82"/>
      <c r="AD3271" t="str">
        <f t="shared" si="71"/>
        <v/>
      </c>
      <c r="AE3271" t="str">
        <f t="shared" si="72"/>
        <v/>
      </c>
    </row>
    <row r="3272">
      <c r="D3272" s="226"/>
      <c r="H3272" s="474"/>
      <c r="I3272" s="474"/>
      <c r="J3272" s="475"/>
      <c r="K3272" s="275"/>
      <c r="L3272" s="82"/>
      <c r="M3272" s="672"/>
      <c r="N3272" s="242"/>
      <c r="O3272" s="242"/>
      <c r="P3272" s="242"/>
      <c r="Q3272" s="242"/>
      <c r="R3272" s="539"/>
      <c r="S3272" s="540"/>
      <c r="T3272" s="543"/>
      <c r="U3272" s="673" t="b">
        <v>0</v>
      </c>
      <c r="Z3272" t="b">
        <v>0</v>
      </c>
      <c r="AA3272" t="b">
        <v>0</v>
      </c>
      <c r="AC3272" s="82"/>
      <c r="AD3272" t="str">
        <f t="shared" si="71"/>
        <v/>
      </c>
      <c r="AE3272" t="str">
        <f t="shared" si="72"/>
        <v/>
      </c>
    </row>
    <row r="3273">
      <c r="D3273" s="226"/>
      <c r="H3273" s="474"/>
      <c r="I3273" s="474"/>
      <c r="J3273" s="475"/>
      <c r="K3273" s="275"/>
      <c r="L3273" s="82"/>
      <c r="M3273" s="672"/>
      <c r="N3273" s="242"/>
      <c r="O3273" s="242"/>
      <c r="P3273" s="242"/>
      <c r="Q3273" s="242"/>
      <c r="R3273" s="539"/>
      <c r="S3273" s="540"/>
      <c r="T3273" s="543"/>
      <c r="U3273" s="673" t="b">
        <v>0</v>
      </c>
      <c r="Z3273" t="b">
        <v>0</v>
      </c>
      <c r="AA3273" t="b">
        <v>0</v>
      </c>
      <c r="AC3273" s="82"/>
      <c r="AD3273" t="str">
        <f t="shared" si="71"/>
        <v/>
      </c>
      <c r="AE3273" t="str">
        <f t="shared" si="72"/>
        <v/>
      </c>
    </row>
    <row r="3274">
      <c r="D3274" s="226"/>
      <c r="H3274" s="474"/>
      <c r="I3274" s="474"/>
      <c r="J3274" s="475"/>
      <c r="K3274" s="275"/>
      <c r="L3274" s="82"/>
      <c r="M3274" s="672"/>
      <c r="N3274" s="242"/>
      <c r="O3274" s="242"/>
      <c r="P3274" s="242"/>
      <c r="Q3274" s="242"/>
      <c r="R3274" s="539"/>
      <c r="S3274" s="540"/>
      <c r="T3274" s="543"/>
      <c r="U3274" s="673" t="b">
        <v>0</v>
      </c>
      <c r="Z3274" t="b">
        <v>0</v>
      </c>
      <c r="AA3274" t="b">
        <v>0</v>
      </c>
      <c r="AC3274" s="82"/>
      <c r="AD3274" t="str">
        <f t="shared" si="71"/>
        <v/>
      </c>
      <c r="AE3274" t="str">
        <f t="shared" si="72"/>
        <v/>
      </c>
    </row>
    <row r="3275">
      <c r="D3275" s="226"/>
      <c r="H3275" s="474"/>
      <c r="I3275" s="474"/>
      <c r="J3275" s="475"/>
      <c r="K3275" s="275"/>
      <c r="L3275" s="82"/>
      <c r="M3275" s="672"/>
      <c r="N3275" s="242"/>
      <c r="O3275" s="242"/>
      <c r="P3275" s="242"/>
      <c r="Q3275" s="242"/>
      <c r="R3275" s="539"/>
      <c r="S3275" s="540"/>
      <c r="T3275" s="543"/>
      <c r="U3275" s="673" t="b">
        <v>0</v>
      </c>
      <c r="Z3275" t="b">
        <v>0</v>
      </c>
      <c r="AA3275" t="b">
        <v>0</v>
      </c>
      <c r="AC3275" s="82"/>
      <c r="AD3275" t="str">
        <f t="shared" si="71"/>
        <v/>
      </c>
      <c r="AE3275" t="str">
        <f t="shared" si="72"/>
        <v/>
      </c>
    </row>
    <row r="3276">
      <c r="D3276" s="226"/>
      <c r="H3276" s="474"/>
      <c r="I3276" s="474"/>
      <c r="J3276" s="475"/>
      <c r="K3276" s="275"/>
      <c r="L3276" s="82"/>
      <c r="M3276" s="672"/>
      <c r="N3276" s="242"/>
      <c r="O3276" s="242"/>
      <c r="P3276" s="242"/>
      <c r="Q3276" s="242"/>
      <c r="R3276" s="539"/>
      <c r="S3276" s="540"/>
      <c r="T3276" s="543"/>
      <c r="U3276" s="673" t="b">
        <v>0</v>
      </c>
      <c r="Z3276" t="b">
        <v>0</v>
      </c>
      <c r="AA3276" t="b">
        <v>0</v>
      </c>
      <c r="AC3276" s="82"/>
      <c r="AD3276" t="str">
        <f t="shared" si="71"/>
        <v/>
      </c>
      <c r="AE3276" t="str">
        <f t="shared" si="72"/>
        <v/>
      </c>
    </row>
    <row r="3277">
      <c r="D3277" s="226"/>
      <c r="H3277" s="474"/>
      <c r="I3277" s="474"/>
      <c r="J3277" s="475"/>
      <c r="K3277" s="275"/>
      <c r="L3277" s="82"/>
      <c r="M3277" s="672"/>
      <c r="N3277" s="242"/>
      <c r="O3277" s="242"/>
      <c r="P3277" s="242"/>
      <c r="Q3277" s="242"/>
      <c r="R3277" s="539"/>
      <c r="S3277" s="540"/>
      <c r="T3277" s="543"/>
      <c r="U3277" s="673" t="b">
        <v>0</v>
      </c>
      <c r="Z3277" t="b">
        <v>0</v>
      </c>
      <c r="AA3277" t="b">
        <v>0</v>
      </c>
      <c r="AC3277" s="82"/>
      <c r="AD3277" t="str">
        <f t="shared" si="71"/>
        <v/>
      </c>
      <c r="AE3277" t="str">
        <f t="shared" si="72"/>
        <v/>
      </c>
    </row>
    <row r="3278">
      <c r="D3278" s="226"/>
      <c r="H3278" s="474"/>
      <c r="I3278" s="474"/>
      <c r="J3278" s="475"/>
      <c r="K3278" s="275"/>
      <c r="L3278" s="82"/>
      <c r="M3278" s="672"/>
      <c r="N3278" s="242"/>
      <c r="O3278" s="242"/>
      <c r="P3278" s="242"/>
      <c r="Q3278" s="242"/>
      <c r="R3278" s="539"/>
      <c r="S3278" s="540"/>
      <c r="T3278" s="543"/>
      <c r="U3278" s="673" t="b">
        <v>0</v>
      </c>
      <c r="Z3278" t="b">
        <v>0</v>
      </c>
      <c r="AA3278" t="b">
        <v>0</v>
      </c>
      <c r="AC3278" s="82"/>
      <c r="AD3278" t="str">
        <f t="shared" si="71"/>
        <v/>
      </c>
      <c r="AE3278" t="str">
        <f t="shared" si="72"/>
        <v/>
      </c>
    </row>
    <row r="3279">
      <c r="D3279" s="226"/>
      <c r="H3279" s="474"/>
      <c r="I3279" s="474"/>
      <c r="J3279" s="475"/>
      <c r="K3279" s="275"/>
      <c r="L3279" s="82"/>
      <c r="M3279" s="672"/>
      <c r="N3279" s="242"/>
      <c r="O3279" s="242"/>
      <c r="P3279" s="242"/>
      <c r="Q3279" s="242"/>
      <c r="R3279" s="539"/>
      <c r="S3279" s="540"/>
      <c r="T3279" s="543"/>
      <c r="U3279" s="673" t="b">
        <v>0</v>
      </c>
      <c r="Z3279" t="b">
        <v>0</v>
      </c>
      <c r="AA3279" t="b">
        <v>0</v>
      </c>
      <c r="AC3279" s="82"/>
      <c r="AD3279" t="str">
        <f t="shared" si="71"/>
        <v/>
      </c>
      <c r="AE3279" t="str">
        <f t="shared" si="72"/>
        <v/>
      </c>
    </row>
    <row r="3280">
      <c r="D3280" s="226"/>
      <c r="H3280" s="474"/>
      <c r="I3280" s="474"/>
      <c r="J3280" s="475"/>
      <c r="K3280" s="275"/>
      <c r="L3280" s="82"/>
      <c r="M3280" s="672"/>
      <c r="N3280" s="242"/>
      <c r="O3280" s="242"/>
      <c r="P3280" s="242"/>
      <c r="Q3280" s="242"/>
      <c r="R3280" s="539"/>
      <c r="S3280" s="540"/>
      <c r="T3280" s="543"/>
      <c r="U3280" s="673" t="b">
        <v>0</v>
      </c>
      <c r="Z3280" t="b">
        <v>0</v>
      </c>
      <c r="AA3280" t="b">
        <v>0</v>
      </c>
      <c r="AC3280" s="82"/>
      <c r="AD3280" t="str">
        <f t="shared" si="71"/>
        <v/>
      </c>
      <c r="AE3280" t="str">
        <f t="shared" si="72"/>
        <v/>
      </c>
    </row>
    <row r="3281">
      <c r="D3281" s="226"/>
      <c r="H3281" s="474"/>
      <c r="I3281" s="474"/>
      <c r="J3281" s="475"/>
      <c r="K3281" s="275"/>
      <c r="L3281" s="82"/>
      <c r="M3281" s="672"/>
      <c r="N3281" s="242"/>
      <c r="O3281" s="242"/>
      <c r="P3281" s="242"/>
      <c r="Q3281" s="242"/>
      <c r="R3281" s="539"/>
      <c r="S3281" s="540"/>
      <c r="T3281" s="543"/>
      <c r="U3281" s="673" t="b">
        <v>0</v>
      </c>
      <c r="Z3281" t="b">
        <v>0</v>
      </c>
      <c r="AA3281" t="b">
        <v>0</v>
      </c>
      <c r="AC3281" s="82"/>
      <c r="AD3281" t="str">
        <f t="shared" si="71"/>
        <v/>
      </c>
      <c r="AE3281" t="str">
        <f t="shared" si="72"/>
        <v/>
      </c>
    </row>
    <row r="3282">
      <c r="D3282" s="226"/>
      <c r="H3282" s="474"/>
      <c r="I3282" s="474"/>
      <c r="J3282" s="475"/>
      <c r="K3282" s="275"/>
      <c r="L3282" s="82"/>
      <c r="M3282" s="672"/>
      <c r="N3282" s="242"/>
      <c r="O3282" s="242"/>
      <c r="P3282" s="242"/>
      <c r="Q3282" s="242"/>
      <c r="R3282" s="539"/>
      <c r="S3282" s="540"/>
      <c r="T3282" s="543"/>
      <c r="U3282" s="673" t="b">
        <v>0</v>
      </c>
      <c r="Z3282" t="b">
        <v>0</v>
      </c>
      <c r="AA3282" t="b">
        <v>0</v>
      </c>
      <c r="AC3282" s="82"/>
      <c r="AD3282" t="str">
        <f t="shared" si="71"/>
        <v/>
      </c>
      <c r="AE3282" t="str">
        <f t="shared" si="72"/>
        <v/>
      </c>
    </row>
    <row r="3283">
      <c r="D3283" s="226"/>
      <c r="H3283" s="474"/>
      <c r="I3283" s="474"/>
      <c r="J3283" s="475"/>
      <c r="K3283" s="275"/>
      <c r="L3283" s="82"/>
      <c r="M3283" s="672"/>
      <c r="N3283" s="242"/>
      <c r="O3283" s="242"/>
      <c r="P3283" s="242"/>
      <c r="Q3283" s="242"/>
      <c r="R3283" s="539"/>
      <c r="S3283" s="540"/>
      <c r="T3283" s="543"/>
      <c r="U3283" s="673" t="b">
        <v>0</v>
      </c>
      <c r="Z3283" t="b">
        <v>0</v>
      </c>
      <c r="AA3283" t="b">
        <v>0</v>
      </c>
      <c r="AC3283" s="82"/>
      <c r="AD3283" t="str">
        <f t="shared" si="71"/>
        <v/>
      </c>
      <c r="AE3283" t="str">
        <f t="shared" si="72"/>
        <v/>
      </c>
    </row>
    <row r="3284">
      <c r="D3284" s="226"/>
      <c r="H3284" s="474"/>
      <c r="I3284" s="474"/>
      <c r="J3284" s="475"/>
      <c r="K3284" s="275"/>
      <c r="L3284" s="82"/>
      <c r="M3284" s="672"/>
      <c r="N3284" s="242"/>
      <c r="O3284" s="242"/>
      <c r="P3284" s="242"/>
      <c r="Q3284" s="242"/>
      <c r="R3284" s="539"/>
      <c r="S3284" s="540"/>
      <c r="T3284" s="543"/>
      <c r="U3284" s="673" t="b">
        <v>0</v>
      </c>
      <c r="Z3284" t="b">
        <v>0</v>
      </c>
      <c r="AA3284" t="b">
        <v>0</v>
      </c>
      <c r="AC3284" s="82"/>
      <c r="AD3284" t="str">
        <f t="shared" si="71"/>
        <v/>
      </c>
      <c r="AE3284" t="str">
        <f t="shared" si="72"/>
        <v/>
      </c>
    </row>
    <row r="3285">
      <c r="D3285" s="226"/>
      <c r="H3285" s="474"/>
      <c r="I3285" s="474"/>
      <c r="J3285" s="475"/>
      <c r="K3285" s="275"/>
      <c r="L3285" s="82"/>
      <c r="M3285" s="672"/>
      <c r="N3285" s="242"/>
      <c r="O3285" s="242"/>
      <c r="P3285" s="242"/>
      <c r="Q3285" s="242"/>
      <c r="R3285" s="539"/>
      <c r="S3285" s="540"/>
      <c r="T3285" s="543"/>
      <c r="U3285" s="673" t="b">
        <v>0</v>
      </c>
      <c r="Z3285" t="b">
        <v>0</v>
      </c>
      <c r="AA3285" t="b">
        <v>0</v>
      </c>
      <c r="AC3285" s="82"/>
      <c r="AD3285" t="str">
        <f t="shared" si="71"/>
        <v/>
      </c>
      <c r="AE3285" t="str">
        <f t="shared" si="72"/>
        <v/>
      </c>
    </row>
    <row r="3286">
      <c r="D3286" s="226"/>
      <c r="H3286" s="474"/>
      <c r="I3286" s="474"/>
      <c r="J3286" s="475"/>
      <c r="K3286" s="275"/>
      <c r="L3286" s="82"/>
      <c r="M3286" s="672"/>
      <c r="N3286" s="242"/>
      <c r="O3286" s="242"/>
      <c r="P3286" s="242"/>
      <c r="Q3286" s="242"/>
      <c r="R3286" s="539"/>
      <c r="S3286" s="540"/>
      <c r="T3286" s="543"/>
      <c r="U3286" s="673" t="b">
        <v>0</v>
      </c>
      <c r="Z3286" t="b">
        <v>0</v>
      </c>
      <c r="AA3286" t="b">
        <v>0</v>
      </c>
      <c r="AC3286" s="82"/>
      <c r="AD3286" t="str">
        <f t="shared" si="71"/>
        <v/>
      </c>
      <c r="AE3286" t="str">
        <f t="shared" si="72"/>
        <v/>
      </c>
    </row>
    <row r="3287">
      <c r="D3287" s="226"/>
      <c r="H3287" s="474"/>
      <c r="I3287" s="474"/>
      <c r="J3287" s="475"/>
      <c r="K3287" s="275"/>
      <c r="L3287" s="82"/>
      <c r="M3287" s="672"/>
      <c r="N3287" s="242"/>
      <c r="O3287" s="242"/>
      <c r="P3287" s="242"/>
      <c r="Q3287" s="242"/>
      <c r="R3287" s="539"/>
      <c r="S3287" s="540"/>
      <c r="T3287" s="543"/>
      <c r="U3287" s="673" t="b">
        <v>0</v>
      </c>
      <c r="Z3287" t="b">
        <v>0</v>
      </c>
      <c r="AA3287" t="b">
        <v>0</v>
      </c>
      <c r="AC3287" s="82"/>
      <c r="AD3287" t="str">
        <f t="shared" si="71"/>
        <v/>
      </c>
      <c r="AE3287" t="str">
        <f t="shared" si="72"/>
        <v/>
      </c>
    </row>
    <row r="3288">
      <c r="D3288" s="226"/>
      <c r="H3288" s="474"/>
      <c r="I3288" s="474"/>
      <c r="J3288" s="475"/>
      <c r="K3288" s="275"/>
      <c r="L3288" s="82"/>
      <c r="M3288" s="672"/>
      <c r="N3288" s="242"/>
      <c r="O3288" s="242"/>
      <c r="P3288" s="242"/>
      <c r="Q3288" s="242"/>
      <c r="R3288" s="539"/>
      <c r="S3288" s="540"/>
      <c r="T3288" s="543"/>
      <c r="U3288" s="673" t="b">
        <v>0</v>
      </c>
      <c r="Z3288" t="b">
        <v>0</v>
      </c>
      <c r="AA3288" t="b">
        <v>0</v>
      </c>
      <c r="AC3288" s="82"/>
      <c r="AD3288" t="str">
        <f t="shared" si="71"/>
        <v/>
      </c>
      <c r="AE3288" t="str">
        <f t="shared" si="72"/>
        <v/>
      </c>
    </row>
    <row r="3289">
      <c r="D3289" s="226"/>
      <c r="H3289" s="474"/>
      <c r="I3289" s="474"/>
      <c r="J3289" s="475"/>
      <c r="K3289" s="275"/>
      <c r="L3289" s="82"/>
      <c r="M3289" s="672"/>
      <c r="N3289" s="242"/>
      <c r="O3289" s="242"/>
      <c r="P3289" s="242"/>
      <c r="Q3289" s="242"/>
      <c r="R3289" s="539"/>
      <c r="S3289" s="540"/>
      <c r="T3289" s="543"/>
      <c r="U3289" s="673" t="b">
        <v>0</v>
      </c>
      <c r="Z3289" t="b">
        <v>0</v>
      </c>
      <c r="AA3289" t="b">
        <v>0</v>
      </c>
      <c r="AC3289" s="82"/>
      <c r="AD3289" t="str">
        <f t="shared" si="71"/>
        <v/>
      </c>
      <c r="AE3289" t="str">
        <f t="shared" si="72"/>
        <v/>
      </c>
    </row>
    <row r="3290">
      <c r="D3290" s="226"/>
      <c r="H3290" s="474"/>
      <c r="I3290" s="474"/>
      <c r="J3290" s="475"/>
      <c r="K3290" s="275"/>
      <c r="L3290" s="82"/>
      <c r="M3290" s="672"/>
      <c r="N3290" s="242"/>
      <c r="O3290" s="242"/>
      <c r="P3290" s="242"/>
      <c r="Q3290" s="242"/>
      <c r="R3290" s="539"/>
      <c r="S3290" s="540"/>
      <c r="T3290" s="543"/>
      <c r="U3290" s="673" t="b">
        <v>0</v>
      </c>
      <c r="Z3290" t="b">
        <v>0</v>
      </c>
      <c r="AA3290" t="b">
        <v>0</v>
      </c>
      <c r="AC3290" s="82"/>
      <c r="AD3290" t="str">
        <f t="shared" si="71"/>
        <v/>
      </c>
      <c r="AE3290" t="str">
        <f t="shared" si="72"/>
        <v/>
      </c>
    </row>
    <row r="3291">
      <c r="D3291" s="226"/>
      <c r="H3291" s="474"/>
      <c r="I3291" s="474"/>
      <c r="J3291" s="475"/>
      <c r="K3291" s="275"/>
      <c r="L3291" s="82"/>
      <c r="M3291" s="672"/>
      <c r="N3291" s="242"/>
      <c r="O3291" s="242"/>
      <c r="P3291" s="242"/>
      <c r="Q3291" s="242"/>
      <c r="R3291" s="539"/>
      <c r="S3291" s="540"/>
      <c r="T3291" s="543"/>
      <c r="U3291" s="673" t="b">
        <v>0</v>
      </c>
      <c r="Z3291" t="b">
        <v>0</v>
      </c>
      <c r="AA3291" t="b">
        <v>0</v>
      </c>
      <c r="AC3291" s="82"/>
      <c r="AD3291" t="str">
        <f t="shared" si="71"/>
        <v/>
      </c>
      <c r="AE3291" t="str">
        <f t="shared" si="72"/>
        <v/>
      </c>
    </row>
    <row r="3292">
      <c r="D3292" s="226"/>
      <c r="H3292" s="474"/>
      <c r="I3292" s="474"/>
      <c r="J3292" s="475"/>
      <c r="K3292" s="275"/>
      <c r="L3292" s="82"/>
      <c r="M3292" s="672"/>
      <c r="N3292" s="242"/>
      <c r="O3292" s="242"/>
      <c r="P3292" s="242"/>
      <c r="Q3292" s="242"/>
      <c r="R3292" s="539"/>
      <c r="S3292" s="540"/>
      <c r="T3292" s="543"/>
      <c r="U3292" s="673" t="b">
        <v>0</v>
      </c>
      <c r="Z3292" t="b">
        <v>0</v>
      </c>
      <c r="AA3292" t="b">
        <v>0</v>
      </c>
      <c r="AC3292" s="82"/>
      <c r="AD3292" t="str">
        <f t="shared" si="71"/>
        <v/>
      </c>
      <c r="AE3292" t="str">
        <f t="shared" si="72"/>
        <v/>
      </c>
    </row>
    <row r="3293">
      <c r="D3293" s="226"/>
      <c r="H3293" s="474"/>
      <c r="I3293" s="474"/>
      <c r="J3293" s="475"/>
      <c r="K3293" s="275"/>
      <c r="L3293" s="82"/>
      <c r="M3293" s="672"/>
      <c r="N3293" s="242"/>
      <c r="O3293" s="242"/>
      <c r="P3293" s="242"/>
      <c r="Q3293" s="242"/>
      <c r="R3293" s="539"/>
      <c r="S3293" s="540"/>
      <c r="T3293" s="543"/>
      <c r="U3293" s="673" t="b">
        <v>0</v>
      </c>
      <c r="Z3293" t="b">
        <v>0</v>
      </c>
      <c r="AA3293" t="b">
        <v>0</v>
      </c>
      <c r="AC3293" s="82"/>
      <c r="AD3293" t="str">
        <f t="shared" si="71"/>
        <v/>
      </c>
      <c r="AE3293" t="str">
        <f t="shared" si="72"/>
        <v/>
      </c>
    </row>
    <row r="3294">
      <c r="D3294" s="226"/>
      <c r="H3294" s="474"/>
      <c r="I3294" s="474"/>
      <c r="J3294" s="475"/>
      <c r="K3294" s="275"/>
      <c r="L3294" s="82"/>
      <c r="M3294" s="672"/>
      <c r="N3294" s="242"/>
      <c r="O3294" s="242"/>
      <c r="P3294" s="242"/>
      <c r="Q3294" s="242"/>
      <c r="R3294" s="539"/>
      <c r="S3294" s="540"/>
      <c r="T3294" s="543"/>
      <c r="U3294" s="673" t="b">
        <v>0</v>
      </c>
      <c r="Z3294" t="b">
        <v>0</v>
      </c>
      <c r="AA3294" t="b">
        <v>0</v>
      </c>
      <c r="AC3294" s="82"/>
      <c r="AD3294" t="str">
        <f t="shared" si="71"/>
        <v/>
      </c>
      <c r="AE3294" t="str">
        <f t="shared" si="72"/>
        <v/>
      </c>
    </row>
    <row r="3295">
      <c r="D3295" s="226"/>
      <c r="H3295" s="474"/>
      <c r="I3295" s="474"/>
      <c r="J3295" s="475"/>
      <c r="K3295" s="275"/>
      <c r="L3295" s="82"/>
      <c r="M3295" s="672"/>
      <c r="N3295" s="242"/>
      <c r="O3295" s="242"/>
      <c r="P3295" s="242"/>
      <c r="Q3295" s="242"/>
      <c r="R3295" s="539"/>
      <c r="S3295" s="540"/>
      <c r="T3295" s="543"/>
      <c r="U3295" s="673" t="b">
        <v>0</v>
      </c>
      <c r="Z3295" t="b">
        <v>0</v>
      </c>
      <c r="AA3295" t="b">
        <v>0</v>
      </c>
      <c r="AC3295" s="82"/>
      <c r="AD3295" t="str">
        <f t="shared" si="71"/>
        <v/>
      </c>
      <c r="AE3295" t="str">
        <f t="shared" si="72"/>
        <v/>
      </c>
    </row>
    <row r="3296">
      <c r="D3296" s="226"/>
      <c r="H3296" s="474"/>
      <c r="I3296" s="474"/>
      <c r="J3296" s="475"/>
      <c r="K3296" s="275"/>
      <c r="L3296" s="82"/>
      <c r="M3296" s="672"/>
      <c r="N3296" s="242"/>
      <c r="O3296" s="242"/>
      <c r="P3296" s="242"/>
      <c r="Q3296" s="242"/>
      <c r="R3296" s="539"/>
      <c r="S3296" s="540"/>
      <c r="T3296" s="543"/>
      <c r="U3296" s="673" t="b">
        <v>0</v>
      </c>
      <c r="Z3296" t="b">
        <v>0</v>
      </c>
      <c r="AA3296" t="b">
        <v>0</v>
      </c>
      <c r="AC3296" s="82"/>
      <c r="AD3296" t="str">
        <f t="shared" si="71"/>
        <v/>
      </c>
      <c r="AE3296" t="str">
        <f t="shared" si="72"/>
        <v/>
      </c>
    </row>
    <row r="3297">
      <c r="D3297" s="226"/>
      <c r="H3297" s="474"/>
      <c r="I3297" s="474"/>
      <c r="J3297" s="475"/>
      <c r="K3297" s="275"/>
      <c r="L3297" s="82"/>
      <c r="M3297" s="672"/>
      <c r="N3297" s="242"/>
      <c r="O3297" s="242"/>
      <c r="P3297" s="242"/>
      <c r="Q3297" s="242"/>
      <c r="R3297" s="539"/>
      <c r="S3297" s="540"/>
      <c r="T3297" s="543"/>
      <c r="U3297" s="673" t="b">
        <v>0</v>
      </c>
      <c r="Z3297" t="b">
        <v>0</v>
      </c>
      <c r="AA3297" t="b">
        <v>0</v>
      </c>
      <c r="AC3297" s="82"/>
      <c r="AD3297" t="str">
        <f t="shared" si="71"/>
        <v/>
      </c>
      <c r="AE3297" t="str">
        <f t="shared" si="72"/>
        <v/>
      </c>
    </row>
    <row r="3298">
      <c r="D3298" s="226"/>
      <c r="H3298" s="474"/>
      <c r="I3298" s="474"/>
      <c r="J3298" s="475"/>
      <c r="K3298" s="275"/>
      <c r="L3298" s="82"/>
      <c r="M3298" s="672"/>
      <c r="N3298" s="242"/>
      <c r="O3298" s="242"/>
      <c r="P3298" s="242"/>
      <c r="Q3298" s="242"/>
      <c r="R3298" s="539"/>
      <c r="S3298" s="540"/>
      <c r="T3298" s="543"/>
      <c r="U3298" s="673" t="b">
        <v>0</v>
      </c>
      <c r="Z3298" t="b">
        <v>0</v>
      </c>
      <c r="AA3298" t="b">
        <v>0</v>
      </c>
      <c r="AC3298" s="82"/>
      <c r="AD3298" t="str">
        <f t="shared" si="71"/>
        <v/>
      </c>
      <c r="AE3298" t="str">
        <f t="shared" si="72"/>
        <v/>
      </c>
    </row>
    <row r="3299">
      <c r="D3299" s="226"/>
      <c r="H3299" s="474"/>
      <c r="I3299" s="474"/>
      <c r="J3299" s="475"/>
      <c r="K3299" s="275"/>
      <c r="L3299" s="82"/>
      <c r="M3299" s="672"/>
      <c r="N3299" s="242"/>
      <c r="O3299" s="242"/>
      <c r="P3299" s="242"/>
      <c r="Q3299" s="242"/>
      <c r="R3299" s="539"/>
      <c r="S3299" s="540"/>
      <c r="T3299" s="543"/>
      <c r="U3299" s="673" t="b">
        <v>0</v>
      </c>
      <c r="Z3299" t="b">
        <v>0</v>
      </c>
      <c r="AA3299" t="b">
        <v>0</v>
      </c>
      <c r="AC3299" s="82"/>
      <c r="AD3299" t="str">
        <f t="shared" si="71"/>
        <v/>
      </c>
      <c r="AE3299" t="str">
        <f t="shared" si="72"/>
        <v/>
      </c>
    </row>
    <row r="3300">
      <c r="D3300" s="226"/>
      <c r="H3300" s="474"/>
      <c r="I3300" s="474"/>
      <c r="J3300" s="475"/>
      <c r="K3300" s="275"/>
      <c r="L3300" s="82"/>
      <c r="M3300" s="672"/>
      <c r="N3300" s="242"/>
      <c r="O3300" s="242"/>
      <c r="P3300" s="242"/>
      <c r="Q3300" s="242"/>
      <c r="R3300" s="539"/>
      <c r="S3300" s="540"/>
      <c r="T3300" s="543"/>
      <c r="U3300" s="673" t="b">
        <v>0</v>
      </c>
      <c r="Z3300" t="b">
        <v>0</v>
      </c>
      <c r="AA3300" t="b">
        <v>0</v>
      </c>
      <c r="AC3300" s="82"/>
      <c r="AD3300" t="str">
        <f t="shared" si="71"/>
        <v/>
      </c>
      <c r="AE3300" t="str">
        <f t="shared" si="72"/>
        <v/>
      </c>
    </row>
    <row r="3301">
      <c r="D3301" s="226"/>
      <c r="H3301" s="474"/>
      <c r="I3301" s="474"/>
      <c r="J3301" s="475"/>
      <c r="K3301" s="275"/>
      <c r="L3301" s="82"/>
      <c r="M3301" s="672"/>
      <c r="N3301" s="242"/>
      <c r="O3301" s="242"/>
      <c r="P3301" s="242"/>
      <c r="Q3301" s="242"/>
      <c r="R3301" s="539"/>
      <c r="S3301" s="540"/>
      <c r="T3301" s="543"/>
      <c r="U3301" s="673" t="b">
        <v>0</v>
      </c>
      <c r="Z3301" t="b">
        <v>0</v>
      </c>
      <c r="AA3301" t="b">
        <v>0</v>
      </c>
      <c r="AC3301" s="82"/>
      <c r="AD3301" t="str">
        <f t="shared" si="71"/>
        <v/>
      </c>
      <c r="AE3301" t="str">
        <f t="shared" si="72"/>
        <v/>
      </c>
    </row>
    <row r="3302">
      <c r="D3302" s="226"/>
      <c r="H3302" s="474"/>
      <c r="I3302" s="474"/>
      <c r="J3302" s="475"/>
      <c r="K3302" s="275"/>
      <c r="L3302" s="82"/>
      <c r="M3302" s="672"/>
      <c r="N3302" s="242"/>
      <c r="O3302" s="242"/>
      <c r="P3302" s="242"/>
      <c r="Q3302" s="242"/>
      <c r="R3302" s="539"/>
      <c r="S3302" s="540"/>
      <c r="T3302" s="543"/>
      <c r="U3302" s="673" t="b">
        <v>0</v>
      </c>
      <c r="Z3302" t="b">
        <v>0</v>
      </c>
      <c r="AA3302" t="b">
        <v>0</v>
      </c>
      <c r="AC3302" s="82"/>
      <c r="AD3302" t="str">
        <f t="shared" si="71"/>
        <v/>
      </c>
      <c r="AE3302" t="str">
        <f t="shared" si="72"/>
        <v/>
      </c>
    </row>
    <row r="3303">
      <c r="D3303" s="226"/>
      <c r="H3303" s="474"/>
      <c r="I3303" s="474"/>
      <c r="J3303" s="475"/>
      <c r="K3303" s="275"/>
      <c r="L3303" s="82"/>
      <c r="M3303" s="672"/>
      <c r="N3303" s="242"/>
      <c r="O3303" s="242"/>
      <c r="P3303" s="242"/>
      <c r="Q3303" s="242"/>
      <c r="R3303" s="539"/>
      <c r="S3303" s="540"/>
      <c r="T3303" s="543"/>
      <c r="U3303" s="673" t="b">
        <v>0</v>
      </c>
      <c r="Z3303" t="b">
        <v>0</v>
      </c>
      <c r="AA3303" t="b">
        <v>0</v>
      </c>
      <c r="AC3303" s="82"/>
      <c r="AD3303" t="str">
        <f t="shared" si="71"/>
        <v/>
      </c>
      <c r="AE3303" t="str">
        <f t="shared" si="72"/>
        <v/>
      </c>
    </row>
    <row r="3304">
      <c r="D3304" s="226"/>
      <c r="H3304" s="474"/>
      <c r="I3304" s="474"/>
      <c r="J3304" s="475"/>
      <c r="K3304" s="275"/>
      <c r="L3304" s="82"/>
      <c r="M3304" s="672"/>
      <c r="N3304" s="242"/>
      <c r="O3304" s="242"/>
      <c r="P3304" s="242"/>
      <c r="Q3304" s="242"/>
      <c r="R3304" s="539"/>
      <c r="S3304" s="540"/>
      <c r="T3304" s="543"/>
      <c r="U3304" s="673" t="b">
        <v>0</v>
      </c>
      <c r="Z3304" t="b">
        <v>0</v>
      </c>
      <c r="AA3304" t="b">
        <v>0</v>
      </c>
      <c r="AC3304" s="82"/>
      <c r="AD3304" t="str">
        <f t="shared" si="71"/>
        <v/>
      </c>
      <c r="AE3304" t="str">
        <f t="shared" si="72"/>
        <v/>
      </c>
    </row>
    <row r="3305">
      <c r="D3305" s="226"/>
      <c r="H3305" s="474"/>
      <c r="I3305" s="474"/>
      <c r="J3305" s="475"/>
      <c r="K3305" s="275"/>
      <c r="L3305" s="82"/>
      <c r="M3305" s="672"/>
      <c r="N3305" s="242"/>
      <c r="O3305" s="242"/>
      <c r="P3305" s="242"/>
      <c r="Q3305" s="242"/>
      <c r="R3305" s="539"/>
      <c r="S3305" s="540"/>
      <c r="T3305" s="543"/>
      <c r="U3305" s="673" t="b">
        <v>0</v>
      </c>
      <c r="Z3305" t="b">
        <v>0</v>
      </c>
      <c r="AA3305" t="b">
        <v>0</v>
      </c>
      <c r="AC3305" s="82"/>
      <c r="AD3305" t="str">
        <f t="shared" si="71"/>
        <v/>
      </c>
      <c r="AE3305" t="str">
        <f t="shared" si="72"/>
        <v/>
      </c>
    </row>
    <row r="3306">
      <c r="D3306" s="226"/>
      <c r="H3306" s="474"/>
      <c r="I3306" s="474"/>
      <c r="J3306" s="475"/>
      <c r="K3306" s="275"/>
      <c r="L3306" s="82"/>
      <c r="M3306" s="672"/>
      <c r="N3306" s="242"/>
      <c r="O3306" s="242"/>
      <c r="P3306" s="242"/>
      <c r="Q3306" s="242"/>
      <c r="R3306" s="539"/>
      <c r="S3306" s="540"/>
      <c r="T3306" s="543"/>
      <c r="U3306" s="673" t="b">
        <v>0</v>
      </c>
      <c r="Z3306" t="b">
        <v>0</v>
      </c>
      <c r="AA3306" t="b">
        <v>0</v>
      </c>
      <c r="AC3306" s="82"/>
      <c r="AD3306" t="str">
        <f t="shared" si="71"/>
        <v/>
      </c>
      <c r="AE3306" t="str">
        <f t="shared" si="72"/>
        <v/>
      </c>
    </row>
    <row r="3307">
      <c r="D3307" s="226"/>
      <c r="H3307" s="474"/>
      <c r="I3307" s="474"/>
      <c r="J3307" s="475"/>
      <c r="K3307" s="275"/>
      <c r="L3307" s="82"/>
      <c r="M3307" s="672"/>
      <c r="N3307" s="242"/>
      <c r="O3307" s="242"/>
      <c r="P3307" s="242"/>
      <c r="Q3307" s="242"/>
      <c r="R3307" s="539"/>
      <c r="S3307" s="540"/>
      <c r="T3307" s="543"/>
      <c r="U3307" s="673" t="b">
        <v>0</v>
      </c>
      <c r="Z3307" t="b">
        <v>0</v>
      </c>
      <c r="AA3307" t="b">
        <v>0</v>
      </c>
      <c r="AC3307" s="82"/>
      <c r="AD3307" t="str">
        <f t="shared" si="71"/>
        <v/>
      </c>
      <c r="AE3307" t="str">
        <f t="shared" si="72"/>
        <v/>
      </c>
    </row>
    <row r="3308">
      <c r="D3308" s="226"/>
      <c r="H3308" s="474"/>
      <c r="I3308" s="474"/>
      <c r="J3308" s="475"/>
      <c r="K3308" s="275"/>
      <c r="L3308" s="82"/>
      <c r="M3308" s="672"/>
      <c r="N3308" s="242"/>
      <c r="O3308" s="242"/>
      <c r="P3308" s="242"/>
      <c r="Q3308" s="242"/>
      <c r="R3308" s="539"/>
      <c r="S3308" s="540"/>
      <c r="T3308" s="543"/>
      <c r="U3308" s="673" t="b">
        <v>0</v>
      </c>
      <c r="Z3308" t="b">
        <v>0</v>
      </c>
      <c r="AA3308" t="b">
        <v>0</v>
      </c>
      <c r="AC3308" s="82"/>
      <c r="AD3308" t="str">
        <f t="shared" si="71"/>
        <v/>
      </c>
      <c r="AE3308" t="str">
        <f t="shared" si="72"/>
        <v/>
      </c>
    </row>
    <row r="3309">
      <c r="D3309" s="226"/>
      <c r="H3309" s="474"/>
      <c r="I3309" s="474"/>
      <c r="J3309" s="475"/>
      <c r="K3309" s="275"/>
      <c r="L3309" s="82"/>
      <c r="M3309" s="672"/>
      <c r="N3309" s="242"/>
      <c r="O3309" s="242"/>
      <c r="P3309" s="242"/>
      <c r="Q3309" s="242"/>
      <c r="R3309" s="539"/>
      <c r="S3309" s="540"/>
      <c r="T3309" s="543"/>
      <c r="U3309" s="673" t="b">
        <v>0</v>
      </c>
      <c r="Z3309" t="b">
        <v>0</v>
      </c>
      <c r="AA3309" t="b">
        <v>0</v>
      </c>
      <c r="AC3309" s="82"/>
      <c r="AD3309" t="str">
        <f t="shared" si="71"/>
        <v/>
      </c>
      <c r="AE3309" t="str">
        <f t="shared" si="72"/>
        <v/>
      </c>
    </row>
    <row r="3310">
      <c r="D3310" s="226"/>
      <c r="H3310" s="474"/>
      <c r="I3310" s="474"/>
      <c r="J3310" s="475"/>
      <c r="K3310" s="275"/>
      <c r="L3310" s="82"/>
      <c r="M3310" s="672"/>
      <c r="N3310" s="242"/>
      <c r="O3310" s="242"/>
      <c r="P3310" s="242"/>
      <c r="Q3310" s="242"/>
      <c r="R3310" s="539"/>
      <c r="S3310" s="540"/>
      <c r="T3310" s="543"/>
      <c r="U3310" s="673" t="b">
        <v>0</v>
      </c>
      <c r="Z3310" t="b">
        <v>0</v>
      </c>
      <c r="AA3310" t="b">
        <v>0</v>
      </c>
      <c r="AC3310" s="82"/>
      <c r="AD3310" t="str">
        <f t="shared" si="71"/>
        <v/>
      </c>
      <c r="AE3310" t="str">
        <f t="shared" si="72"/>
        <v/>
      </c>
    </row>
    <row r="3311">
      <c r="D3311" s="226"/>
      <c r="H3311" s="474"/>
      <c r="I3311" s="474"/>
      <c r="J3311" s="475"/>
      <c r="K3311" s="275"/>
      <c r="L3311" s="82"/>
      <c r="M3311" s="672"/>
      <c r="N3311" s="242"/>
      <c r="O3311" s="242"/>
      <c r="P3311" s="242"/>
      <c r="Q3311" s="242"/>
      <c r="R3311" s="539"/>
      <c r="S3311" s="540"/>
      <c r="T3311" s="543"/>
      <c r="U3311" s="673" t="b">
        <v>0</v>
      </c>
      <c r="Z3311" t="b">
        <v>0</v>
      </c>
      <c r="AA3311" t="b">
        <v>0</v>
      </c>
      <c r="AC3311" s="82"/>
      <c r="AD3311" t="str">
        <f t="shared" si="71"/>
        <v/>
      </c>
      <c r="AE3311" t="str">
        <f t="shared" si="72"/>
        <v/>
      </c>
    </row>
    <row r="3312">
      <c r="D3312" s="226"/>
      <c r="H3312" s="474"/>
      <c r="I3312" s="474"/>
      <c r="J3312" s="475"/>
      <c r="K3312" s="275"/>
      <c r="L3312" s="82"/>
      <c r="M3312" s="672"/>
      <c r="N3312" s="242"/>
      <c r="O3312" s="242"/>
      <c r="P3312" s="242"/>
      <c r="Q3312" s="242"/>
      <c r="R3312" s="539"/>
      <c r="S3312" s="540"/>
      <c r="T3312" s="543"/>
      <c r="U3312" s="673" t="b">
        <v>0</v>
      </c>
      <c r="Z3312" t="b">
        <v>0</v>
      </c>
      <c r="AA3312" t="b">
        <v>0</v>
      </c>
      <c r="AC3312" s="82"/>
      <c r="AD3312" t="str">
        <f t="shared" si="71"/>
        <v/>
      </c>
      <c r="AE3312" t="str">
        <f t="shared" si="72"/>
        <v/>
      </c>
    </row>
    <row r="3313">
      <c r="D3313" s="226"/>
      <c r="H3313" s="474"/>
      <c r="I3313" s="474"/>
      <c r="J3313" s="475"/>
      <c r="K3313" s="275"/>
      <c r="L3313" s="82"/>
      <c r="M3313" s="672"/>
      <c r="N3313" s="242"/>
      <c r="O3313" s="242"/>
      <c r="P3313" s="242"/>
      <c r="Q3313" s="242"/>
      <c r="R3313" s="539"/>
      <c r="S3313" s="540"/>
      <c r="T3313" s="543"/>
      <c r="U3313" s="673" t="b">
        <v>0</v>
      </c>
      <c r="Z3313" t="b">
        <v>0</v>
      </c>
      <c r="AA3313" t="b">
        <v>0</v>
      </c>
      <c r="AC3313" s="82"/>
      <c r="AD3313" t="str">
        <f t="shared" si="71"/>
        <v/>
      </c>
      <c r="AE3313" t="str">
        <f t="shared" si="72"/>
        <v/>
      </c>
    </row>
    <row r="3314">
      <c r="D3314" s="226"/>
      <c r="H3314" s="474"/>
      <c r="I3314" s="474"/>
      <c r="J3314" s="475"/>
      <c r="K3314" s="275"/>
      <c r="L3314" s="82"/>
      <c r="M3314" s="672"/>
      <c r="N3314" s="242"/>
      <c r="O3314" s="242"/>
      <c r="P3314" s="242"/>
      <c r="Q3314" s="242"/>
      <c r="R3314" s="539"/>
      <c r="S3314" s="540"/>
      <c r="T3314" s="543"/>
      <c r="U3314" s="673" t="b">
        <v>0</v>
      </c>
      <c r="Z3314" t="b">
        <v>0</v>
      </c>
      <c r="AA3314" t="b">
        <v>0</v>
      </c>
      <c r="AC3314" s="82"/>
      <c r="AD3314" t="str">
        <f t="shared" si="71"/>
        <v/>
      </c>
      <c r="AE3314" t="str">
        <f t="shared" si="72"/>
        <v/>
      </c>
    </row>
    <row r="3315">
      <c r="D3315" s="226"/>
      <c r="H3315" s="474"/>
      <c r="I3315" s="474"/>
      <c r="J3315" s="475"/>
      <c r="K3315" s="275"/>
      <c r="L3315" s="82"/>
      <c r="M3315" s="672"/>
      <c r="N3315" s="242"/>
      <c r="O3315" s="242"/>
      <c r="P3315" s="242"/>
      <c r="Q3315" s="242"/>
      <c r="R3315" s="539"/>
      <c r="S3315" s="540"/>
      <c r="T3315" s="543"/>
      <c r="U3315" s="673" t="b">
        <v>0</v>
      </c>
      <c r="Z3315" t="b">
        <v>0</v>
      </c>
      <c r="AA3315" t="b">
        <v>0</v>
      </c>
      <c r="AC3315" s="82"/>
      <c r="AD3315" t="str">
        <f t="shared" si="71"/>
        <v/>
      </c>
      <c r="AE3315" t="str">
        <f t="shared" si="72"/>
        <v/>
      </c>
    </row>
    <row r="3316">
      <c r="D3316" s="226"/>
      <c r="H3316" s="474"/>
      <c r="I3316" s="474"/>
      <c r="J3316" s="475"/>
      <c r="K3316" s="275"/>
      <c r="L3316" s="82"/>
      <c r="M3316" s="672"/>
      <c r="N3316" s="242"/>
      <c r="O3316" s="242"/>
      <c r="P3316" s="242"/>
      <c r="Q3316" s="242"/>
      <c r="R3316" s="539"/>
      <c r="S3316" s="540"/>
      <c r="T3316" s="543"/>
      <c r="U3316" s="673" t="b">
        <v>0</v>
      </c>
      <c r="Z3316" t="b">
        <v>0</v>
      </c>
      <c r="AA3316" t="b">
        <v>0</v>
      </c>
      <c r="AC3316" s="82"/>
      <c r="AD3316" t="str">
        <f t="shared" si="71"/>
        <v/>
      </c>
      <c r="AE3316" t="str">
        <f t="shared" si="72"/>
        <v/>
      </c>
    </row>
    <row r="3317">
      <c r="D3317" s="226"/>
      <c r="H3317" s="474"/>
      <c r="I3317" s="474"/>
      <c r="J3317" s="475"/>
      <c r="K3317" s="275"/>
      <c r="L3317" s="82"/>
      <c r="M3317" s="672"/>
      <c r="N3317" s="242"/>
      <c r="O3317" s="242"/>
      <c r="P3317" s="242"/>
      <c r="Q3317" s="242"/>
      <c r="R3317" s="539"/>
      <c r="S3317" s="540"/>
      <c r="T3317" s="543"/>
      <c r="U3317" s="673" t="b">
        <v>0</v>
      </c>
      <c r="Z3317" t="b">
        <v>0</v>
      </c>
      <c r="AA3317" t="b">
        <v>0</v>
      </c>
      <c r="AC3317" s="82"/>
      <c r="AD3317" t="str">
        <f t="shared" si="71"/>
        <v/>
      </c>
      <c r="AE3317" t="str">
        <f t="shared" si="72"/>
        <v/>
      </c>
    </row>
    <row r="3318">
      <c r="D3318" s="226"/>
      <c r="H3318" s="474"/>
      <c r="I3318" s="474"/>
      <c r="J3318" s="475"/>
      <c r="K3318" s="275"/>
      <c r="L3318" s="82"/>
      <c r="M3318" s="672"/>
      <c r="N3318" s="242"/>
      <c r="O3318" s="242"/>
      <c r="P3318" s="242"/>
      <c r="Q3318" s="242"/>
      <c r="R3318" s="539"/>
      <c r="S3318" s="540"/>
      <c r="T3318" s="543"/>
      <c r="U3318" s="673" t="b">
        <v>0</v>
      </c>
      <c r="Z3318" t="b">
        <v>0</v>
      </c>
      <c r="AA3318" t="b">
        <v>0</v>
      </c>
      <c r="AC3318" s="82"/>
      <c r="AD3318" t="str">
        <f t="shared" si="71"/>
        <v/>
      </c>
      <c r="AE3318" t="str">
        <f t="shared" si="72"/>
        <v/>
      </c>
    </row>
    <row r="3319">
      <c r="D3319" s="226"/>
      <c r="H3319" s="474"/>
      <c r="I3319" s="474"/>
      <c r="J3319" s="475"/>
      <c r="K3319" s="275"/>
      <c r="L3319" s="82"/>
      <c r="M3319" s="672"/>
      <c r="N3319" s="242"/>
      <c r="O3319" s="242"/>
      <c r="P3319" s="242"/>
      <c r="Q3319" s="242"/>
      <c r="R3319" s="539"/>
      <c r="S3319" s="540"/>
      <c r="T3319" s="543"/>
      <c r="U3319" s="673" t="b">
        <v>0</v>
      </c>
      <c r="Z3319" t="b">
        <v>0</v>
      </c>
      <c r="AA3319" t="b">
        <v>0</v>
      </c>
      <c r="AC3319" s="82"/>
      <c r="AD3319" t="str">
        <f t="shared" si="71"/>
        <v/>
      </c>
      <c r="AE3319" t="str">
        <f t="shared" si="72"/>
        <v/>
      </c>
    </row>
    <row r="3320">
      <c r="D3320" s="226"/>
      <c r="H3320" s="474"/>
      <c r="I3320" s="474"/>
      <c r="J3320" s="475"/>
      <c r="K3320" s="275"/>
      <c r="L3320" s="82"/>
      <c r="M3320" s="672"/>
      <c r="N3320" s="242"/>
      <c r="O3320" s="242"/>
      <c r="P3320" s="242"/>
      <c r="Q3320" s="242"/>
      <c r="R3320" s="539"/>
      <c r="S3320" s="540"/>
      <c r="T3320" s="543"/>
      <c r="U3320" s="673" t="b">
        <v>0</v>
      </c>
      <c r="Z3320" t="b">
        <v>0</v>
      </c>
      <c r="AA3320" t="b">
        <v>0</v>
      </c>
      <c r="AC3320" s="82"/>
      <c r="AD3320" t="str">
        <f t="shared" si="71"/>
        <v/>
      </c>
      <c r="AE3320" t="str">
        <f t="shared" si="72"/>
        <v/>
      </c>
    </row>
    <row r="3321">
      <c r="D3321" s="226"/>
      <c r="H3321" s="474"/>
      <c r="I3321" s="474"/>
      <c r="J3321" s="475"/>
      <c r="K3321" s="275"/>
      <c r="L3321" s="82"/>
      <c r="M3321" s="672"/>
      <c r="N3321" s="242"/>
      <c r="O3321" s="242"/>
      <c r="P3321" s="242"/>
      <c r="Q3321" s="242"/>
      <c r="R3321" s="539"/>
      <c r="S3321" s="540"/>
      <c r="T3321" s="543"/>
      <c r="U3321" s="673" t="b">
        <v>0</v>
      </c>
      <c r="Z3321" t="b">
        <v>0</v>
      </c>
      <c r="AA3321" t="b">
        <v>0</v>
      </c>
      <c r="AC3321" s="82"/>
      <c r="AD3321" t="str">
        <f t="shared" si="71"/>
        <v/>
      </c>
      <c r="AE3321" t="str">
        <f t="shared" si="72"/>
        <v/>
      </c>
    </row>
    <row r="3322">
      <c r="D3322" s="226"/>
      <c r="H3322" s="474"/>
      <c r="I3322" s="474"/>
      <c r="J3322" s="475"/>
      <c r="K3322" s="275"/>
      <c r="L3322" s="82"/>
      <c r="M3322" s="672"/>
      <c r="N3322" s="242"/>
      <c r="O3322" s="242"/>
      <c r="P3322" s="242"/>
      <c r="Q3322" s="242"/>
      <c r="R3322" s="539"/>
      <c r="S3322" s="540"/>
      <c r="T3322" s="543"/>
      <c r="U3322" s="673" t="b">
        <v>0</v>
      </c>
      <c r="Z3322" t="b">
        <v>0</v>
      </c>
      <c r="AA3322" t="b">
        <v>0</v>
      </c>
      <c r="AC3322" s="82"/>
      <c r="AD3322" t="str">
        <f t="shared" si="71"/>
        <v/>
      </c>
      <c r="AE3322" t="str">
        <f t="shared" si="72"/>
        <v/>
      </c>
    </row>
    <row r="3323">
      <c r="D3323" s="226"/>
      <c r="H3323" s="474"/>
      <c r="I3323" s="474"/>
      <c r="J3323" s="475"/>
      <c r="K3323" s="275"/>
      <c r="L3323" s="82"/>
      <c r="M3323" s="672"/>
      <c r="N3323" s="242"/>
      <c r="O3323" s="242"/>
      <c r="P3323" s="242"/>
      <c r="Q3323" s="242"/>
      <c r="R3323" s="539"/>
      <c r="S3323" s="540"/>
      <c r="T3323" s="543"/>
      <c r="U3323" s="673" t="b">
        <v>0</v>
      </c>
      <c r="Z3323" t="b">
        <v>0</v>
      </c>
      <c r="AA3323" t="b">
        <v>0</v>
      </c>
      <c r="AC3323" s="82"/>
      <c r="AD3323" t="str">
        <f t="shared" si="71"/>
        <v/>
      </c>
      <c r="AE3323" t="str">
        <f t="shared" si="72"/>
        <v/>
      </c>
    </row>
    <row r="3324">
      <c r="D3324" s="226"/>
      <c r="H3324" s="474"/>
      <c r="I3324" s="474"/>
      <c r="J3324" s="475"/>
      <c r="K3324" s="275"/>
      <c r="L3324" s="82"/>
      <c r="M3324" s="672"/>
      <c r="N3324" s="242"/>
      <c r="O3324" s="242"/>
      <c r="P3324" s="242"/>
      <c r="Q3324" s="242"/>
      <c r="R3324" s="539"/>
      <c r="S3324" s="540"/>
      <c r="T3324" s="543"/>
      <c r="U3324" s="673" t="b">
        <v>0</v>
      </c>
      <c r="Z3324" t="b">
        <v>0</v>
      </c>
      <c r="AA3324" t="b">
        <v>0</v>
      </c>
      <c r="AC3324" s="82"/>
      <c r="AD3324" t="str">
        <f t="shared" si="71"/>
        <v/>
      </c>
      <c r="AE3324" t="str">
        <f t="shared" si="72"/>
        <v/>
      </c>
    </row>
    <row r="3325">
      <c r="D3325" s="226"/>
      <c r="H3325" s="474"/>
      <c r="I3325" s="474"/>
      <c r="J3325" s="475"/>
      <c r="K3325" s="275"/>
      <c r="L3325" s="82"/>
      <c r="M3325" s="672"/>
      <c r="N3325" s="242"/>
      <c r="O3325" s="242"/>
      <c r="P3325" s="242"/>
      <c r="Q3325" s="242"/>
      <c r="R3325" s="539"/>
      <c r="S3325" s="540"/>
      <c r="T3325" s="543"/>
      <c r="U3325" s="673" t="b">
        <v>0</v>
      </c>
      <c r="Z3325" t="b">
        <v>0</v>
      </c>
      <c r="AA3325" t="b">
        <v>0</v>
      </c>
      <c r="AC3325" s="82"/>
      <c r="AD3325" t="str">
        <f t="shared" si="71"/>
        <v/>
      </c>
      <c r="AE3325" t="str">
        <f t="shared" si="72"/>
        <v/>
      </c>
    </row>
    <row r="3326">
      <c r="D3326" s="226"/>
      <c r="H3326" s="474"/>
      <c r="I3326" s="474"/>
      <c r="J3326" s="475"/>
      <c r="K3326" s="275"/>
      <c r="L3326" s="82"/>
      <c r="M3326" s="672"/>
      <c r="N3326" s="242"/>
      <c r="O3326" s="242"/>
      <c r="P3326" s="242"/>
      <c r="Q3326" s="242"/>
      <c r="R3326" s="539"/>
      <c r="S3326" s="540"/>
      <c r="T3326" s="543"/>
      <c r="U3326" s="673" t="b">
        <v>0</v>
      </c>
      <c r="Z3326" t="b">
        <v>0</v>
      </c>
      <c r="AA3326" t="b">
        <v>0</v>
      </c>
      <c r="AC3326" s="82"/>
      <c r="AD3326" t="str">
        <f t="shared" si="71"/>
        <v/>
      </c>
      <c r="AE3326" t="str">
        <f t="shared" si="72"/>
        <v/>
      </c>
    </row>
    <row r="3327">
      <c r="D3327" s="226"/>
      <c r="H3327" s="474"/>
      <c r="I3327" s="474"/>
      <c r="J3327" s="475"/>
      <c r="K3327" s="275"/>
      <c r="L3327" s="82"/>
      <c r="M3327" s="672"/>
      <c r="N3327" s="242"/>
      <c r="O3327" s="242"/>
      <c r="P3327" s="242"/>
      <c r="Q3327" s="242"/>
      <c r="R3327" s="539"/>
      <c r="S3327" s="540"/>
      <c r="T3327" s="543"/>
      <c r="U3327" s="673" t="b">
        <v>0</v>
      </c>
      <c r="Z3327" t="b">
        <v>0</v>
      </c>
      <c r="AA3327" t="b">
        <v>0</v>
      </c>
      <c r="AC3327" s="82"/>
      <c r="AD3327" t="str">
        <f t="shared" si="71"/>
        <v/>
      </c>
      <c r="AE3327" t="str">
        <f t="shared" si="72"/>
        <v/>
      </c>
    </row>
    <row r="3328">
      <c r="D3328" s="226"/>
      <c r="H3328" s="474"/>
      <c r="I3328" s="474"/>
      <c r="J3328" s="475"/>
      <c r="K3328" s="275"/>
      <c r="L3328" s="82"/>
      <c r="M3328" s="672"/>
      <c r="N3328" s="242"/>
      <c r="O3328" s="242"/>
      <c r="P3328" s="242"/>
      <c r="Q3328" s="242"/>
      <c r="R3328" s="539"/>
      <c r="S3328" s="540"/>
      <c r="T3328" s="543"/>
      <c r="U3328" s="673" t="b">
        <v>0</v>
      </c>
      <c r="Z3328" t="b">
        <v>0</v>
      </c>
      <c r="AA3328" t="b">
        <v>0</v>
      </c>
      <c r="AC3328" s="82"/>
      <c r="AD3328" t="str">
        <f t="shared" si="71"/>
        <v/>
      </c>
      <c r="AE3328" t="str">
        <f t="shared" si="72"/>
        <v/>
      </c>
    </row>
    <row r="3329">
      <c r="D3329" s="226"/>
      <c r="H3329" s="474"/>
      <c r="I3329" s="474"/>
      <c r="J3329" s="475"/>
      <c r="K3329" s="275"/>
      <c r="L3329" s="82"/>
      <c r="M3329" s="672"/>
      <c r="N3329" s="242"/>
      <c r="O3329" s="242"/>
      <c r="P3329" s="242"/>
      <c r="Q3329" s="242"/>
      <c r="R3329" s="539"/>
      <c r="S3329" s="540"/>
      <c r="T3329" s="543"/>
      <c r="U3329" s="673" t="b">
        <v>0</v>
      </c>
      <c r="Z3329" t="b">
        <v>0</v>
      </c>
      <c r="AA3329" t="b">
        <v>0</v>
      </c>
      <c r="AC3329" s="82"/>
      <c r="AD3329" t="str">
        <f t="shared" si="71"/>
        <v/>
      </c>
      <c r="AE3329" t="str">
        <f t="shared" si="72"/>
        <v/>
      </c>
    </row>
    <row r="3330">
      <c r="D3330" s="226"/>
      <c r="H3330" s="474"/>
      <c r="I3330" s="474"/>
      <c r="J3330" s="475"/>
      <c r="K3330" s="275"/>
      <c r="L3330" s="82"/>
      <c r="M3330" s="672"/>
      <c r="N3330" s="242"/>
      <c r="O3330" s="242"/>
      <c r="P3330" s="242"/>
      <c r="Q3330" s="242"/>
      <c r="R3330" s="539"/>
      <c r="S3330" s="540"/>
      <c r="T3330" s="543"/>
      <c r="U3330" s="673" t="b">
        <v>0</v>
      </c>
      <c r="Z3330" t="b">
        <v>0</v>
      </c>
      <c r="AA3330" t="b">
        <v>0</v>
      </c>
      <c r="AC3330" s="82"/>
      <c r="AD3330" t="str">
        <f t="shared" si="71"/>
        <v/>
      </c>
      <c r="AE3330" t="str">
        <f t="shared" si="72"/>
        <v/>
      </c>
    </row>
    <row r="3331">
      <c r="D3331" s="226"/>
      <c r="H3331" s="474"/>
      <c r="I3331" s="474"/>
      <c r="J3331" s="475"/>
      <c r="K3331" s="275"/>
      <c r="L3331" s="82"/>
      <c r="M3331" s="672"/>
      <c r="N3331" s="242"/>
      <c r="O3331" s="242"/>
      <c r="P3331" s="242"/>
      <c r="Q3331" s="242"/>
      <c r="R3331" s="539"/>
      <c r="S3331" s="540"/>
      <c r="T3331" s="543"/>
      <c r="U3331" s="673" t="b">
        <v>0</v>
      </c>
      <c r="Z3331" t="b">
        <v>0</v>
      </c>
      <c r="AA3331" t="b">
        <v>0</v>
      </c>
      <c r="AC3331" s="82"/>
      <c r="AD3331" t="str">
        <f t="shared" si="71"/>
        <v/>
      </c>
      <c r="AE3331" t="str">
        <f t="shared" si="72"/>
        <v/>
      </c>
    </row>
    <row r="3332">
      <c r="D3332" s="226"/>
      <c r="H3332" s="474"/>
      <c r="I3332" s="474"/>
      <c r="J3332" s="475"/>
      <c r="K3332" s="275"/>
      <c r="L3332" s="82"/>
      <c r="M3332" s="672"/>
      <c r="N3332" s="242"/>
      <c r="O3332" s="242"/>
      <c r="P3332" s="242"/>
      <c r="Q3332" s="242"/>
      <c r="R3332" s="539"/>
      <c r="S3332" s="540"/>
      <c r="T3332" s="543"/>
      <c r="U3332" s="673" t="b">
        <v>0</v>
      </c>
      <c r="Z3332" t="b">
        <v>0</v>
      </c>
      <c r="AA3332" t="b">
        <v>0</v>
      </c>
      <c r="AC3332" s="82"/>
      <c r="AD3332" t="str">
        <f t="shared" si="71"/>
        <v/>
      </c>
      <c r="AE3332" t="str">
        <f t="shared" si="72"/>
        <v/>
      </c>
    </row>
    <row r="3333">
      <c r="D3333" s="226"/>
      <c r="H3333" s="474"/>
      <c r="I3333" s="474"/>
      <c r="J3333" s="475"/>
      <c r="K3333" s="275"/>
      <c r="L3333" s="82"/>
      <c r="M3333" s="672"/>
      <c r="N3333" s="242"/>
      <c r="O3333" s="242"/>
      <c r="P3333" s="242"/>
      <c r="Q3333" s="242"/>
      <c r="R3333" s="539"/>
      <c r="S3333" s="540"/>
      <c r="T3333" s="543"/>
      <c r="U3333" s="673" t="b">
        <v>0</v>
      </c>
      <c r="Z3333" t="b">
        <v>0</v>
      </c>
      <c r="AA3333" t="b">
        <v>0</v>
      </c>
      <c r="AC3333" s="82"/>
      <c r="AD3333" t="str">
        <f t="shared" si="71"/>
        <v/>
      </c>
      <c r="AE3333" t="str">
        <f t="shared" si="72"/>
        <v/>
      </c>
    </row>
    <row r="3334">
      <c r="D3334" s="226"/>
      <c r="H3334" s="474"/>
      <c r="I3334" s="474"/>
      <c r="J3334" s="475"/>
      <c r="K3334" s="275"/>
      <c r="L3334" s="82"/>
      <c r="M3334" s="672"/>
      <c r="N3334" s="242"/>
      <c r="O3334" s="242"/>
      <c r="P3334" s="242"/>
      <c r="Q3334" s="242"/>
      <c r="R3334" s="539"/>
      <c r="S3334" s="540"/>
      <c r="T3334" s="543"/>
      <c r="U3334" s="673" t="b">
        <v>0</v>
      </c>
      <c r="Z3334" t="b">
        <v>0</v>
      </c>
      <c r="AA3334" t="b">
        <v>0</v>
      </c>
      <c r="AC3334" s="82"/>
      <c r="AD3334" t="str">
        <f t="shared" si="71"/>
        <v/>
      </c>
      <c r="AE3334" t="str">
        <f t="shared" si="72"/>
        <v/>
      </c>
    </row>
    <row r="3335">
      <c r="D3335" s="226"/>
      <c r="H3335" s="474"/>
      <c r="I3335" s="474"/>
      <c r="J3335" s="475"/>
      <c r="K3335" s="275"/>
      <c r="L3335" s="82"/>
      <c r="M3335" s="672"/>
      <c r="N3335" s="242"/>
      <c r="O3335" s="242"/>
      <c r="P3335" s="242"/>
      <c r="Q3335" s="242"/>
      <c r="R3335" s="539"/>
      <c r="S3335" s="540"/>
      <c r="T3335" s="543"/>
      <c r="U3335" s="673" t="b">
        <v>0</v>
      </c>
      <c r="Z3335" t="b">
        <v>0</v>
      </c>
      <c r="AA3335" t="b">
        <v>0</v>
      </c>
      <c r="AC3335" s="82"/>
      <c r="AD3335" t="str">
        <f t="shared" si="71"/>
        <v/>
      </c>
      <c r="AE3335" t="str">
        <f t="shared" si="72"/>
        <v/>
      </c>
    </row>
    <row r="3336">
      <c r="D3336" s="226"/>
      <c r="H3336" s="474"/>
      <c r="I3336" s="474"/>
      <c r="J3336" s="475"/>
      <c r="K3336" s="275"/>
      <c r="L3336" s="82"/>
      <c r="M3336" s="672"/>
      <c r="N3336" s="242"/>
      <c r="O3336" s="242"/>
      <c r="P3336" s="242"/>
      <c r="Q3336" s="242"/>
      <c r="R3336" s="539"/>
      <c r="S3336" s="540"/>
      <c r="T3336" s="543"/>
      <c r="U3336" s="673" t="b">
        <v>0</v>
      </c>
      <c r="Z3336" t="b">
        <v>0</v>
      </c>
      <c r="AA3336" t="b">
        <v>0</v>
      </c>
      <c r="AC3336" s="82"/>
      <c r="AD3336" t="str">
        <f t="shared" si="71"/>
        <v/>
      </c>
      <c r="AE3336" t="str">
        <f t="shared" si="72"/>
        <v/>
      </c>
    </row>
    <row r="3337">
      <c r="D3337" s="226"/>
      <c r="H3337" s="474"/>
      <c r="I3337" s="474"/>
      <c r="J3337" s="475"/>
      <c r="K3337" s="275"/>
      <c r="L3337" s="82"/>
      <c r="M3337" s="672"/>
      <c r="N3337" s="242"/>
      <c r="O3337" s="242"/>
      <c r="P3337" s="242"/>
      <c r="Q3337" s="242"/>
      <c r="R3337" s="539"/>
      <c r="S3337" s="540"/>
      <c r="T3337" s="543"/>
      <c r="U3337" s="673" t="b">
        <v>0</v>
      </c>
      <c r="Z3337" t="b">
        <v>0</v>
      </c>
      <c r="AA3337" t="b">
        <v>0</v>
      </c>
      <c r="AC3337" s="82"/>
      <c r="AD3337" t="str">
        <f t="shared" si="71"/>
        <v/>
      </c>
      <c r="AE3337" t="str">
        <f t="shared" si="72"/>
        <v/>
      </c>
    </row>
    <row r="3338">
      <c r="D3338" s="226"/>
      <c r="H3338" s="474"/>
      <c r="I3338" s="474"/>
      <c r="J3338" s="475"/>
      <c r="K3338" s="275"/>
      <c r="L3338" s="82"/>
      <c r="M3338" s="672"/>
      <c r="N3338" s="242"/>
      <c r="O3338" s="242"/>
      <c r="P3338" s="242"/>
      <c r="Q3338" s="242"/>
      <c r="R3338" s="539"/>
      <c r="S3338" s="540"/>
      <c r="T3338" s="543"/>
      <c r="U3338" s="673" t="b">
        <v>0</v>
      </c>
      <c r="Z3338" t="b">
        <v>0</v>
      </c>
      <c r="AA3338" t="b">
        <v>0</v>
      </c>
      <c r="AC3338" s="82"/>
      <c r="AD3338" t="str">
        <f t="shared" si="71"/>
        <v/>
      </c>
      <c r="AE3338" t="str">
        <f t="shared" si="72"/>
        <v/>
      </c>
    </row>
    <row r="3339">
      <c r="D3339" s="226"/>
      <c r="H3339" s="474"/>
      <c r="I3339" s="474"/>
      <c r="J3339" s="475"/>
      <c r="K3339" s="275"/>
      <c r="L3339" s="82"/>
      <c r="M3339" s="672"/>
      <c r="N3339" s="242"/>
      <c r="O3339" s="242"/>
      <c r="P3339" s="242"/>
      <c r="Q3339" s="242"/>
      <c r="R3339" s="539"/>
      <c r="S3339" s="540"/>
      <c r="T3339" s="543"/>
      <c r="U3339" s="673" t="b">
        <v>0</v>
      </c>
      <c r="Z3339" t="b">
        <v>0</v>
      </c>
      <c r="AA3339" t="b">
        <v>0</v>
      </c>
      <c r="AC3339" s="82"/>
      <c r="AD3339" t="str">
        <f t="shared" si="71"/>
        <v/>
      </c>
      <c r="AE3339" t="str">
        <f t="shared" si="72"/>
        <v/>
      </c>
    </row>
    <row r="3340">
      <c r="D3340" s="226"/>
      <c r="H3340" s="474"/>
      <c r="I3340" s="474"/>
      <c r="J3340" s="475"/>
      <c r="K3340" s="275"/>
      <c r="L3340" s="82"/>
      <c r="M3340" s="672"/>
      <c r="N3340" s="242"/>
      <c r="O3340" s="242"/>
      <c r="P3340" s="242"/>
      <c r="Q3340" s="242"/>
      <c r="R3340" s="539"/>
      <c r="S3340" s="540"/>
      <c r="T3340" s="543"/>
      <c r="U3340" s="673" t="b">
        <v>0</v>
      </c>
      <c r="Z3340" t="b">
        <v>0</v>
      </c>
      <c r="AA3340" t="b">
        <v>0</v>
      </c>
      <c r="AC3340" s="82"/>
      <c r="AD3340" t="str">
        <f t="shared" si="71"/>
        <v/>
      </c>
      <c r="AE3340" t="str">
        <f t="shared" si="72"/>
        <v/>
      </c>
    </row>
    <row r="3341">
      <c r="D3341" s="226"/>
      <c r="H3341" s="474"/>
      <c r="I3341" s="474"/>
      <c r="J3341" s="475"/>
      <c r="K3341" s="275"/>
      <c r="L3341" s="82"/>
      <c r="M3341" s="672"/>
      <c r="N3341" s="242"/>
      <c r="O3341" s="242"/>
      <c r="P3341" s="242"/>
      <c r="Q3341" s="242"/>
      <c r="R3341" s="539"/>
      <c r="S3341" s="540"/>
      <c r="T3341" s="543"/>
      <c r="U3341" s="673" t="b">
        <v>0</v>
      </c>
      <c r="Z3341" t="b">
        <v>0</v>
      </c>
      <c r="AA3341" t="b">
        <v>0</v>
      </c>
      <c r="AC3341" s="82"/>
      <c r="AD3341" t="str">
        <f t="shared" si="71"/>
        <v/>
      </c>
      <c r="AE3341" t="str">
        <f t="shared" si="72"/>
        <v/>
      </c>
    </row>
    <row r="3342">
      <c r="D3342" s="226"/>
      <c r="H3342" s="474"/>
      <c r="I3342" s="474"/>
      <c r="J3342" s="475"/>
      <c r="K3342" s="275"/>
      <c r="L3342" s="82"/>
      <c r="M3342" s="672"/>
      <c r="N3342" s="242"/>
      <c r="O3342" s="242"/>
      <c r="P3342" s="242"/>
      <c r="Q3342" s="242"/>
      <c r="R3342" s="539"/>
      <c r="S3342" s="540"/>
      <c r="T3342" s="543"/>
      <c r="U3342" s="673" t="b">
        <v>0</v>
      </c>
      <c r="Z3342" t="b">
        <v>0</v>
      </c>
      <c r="AA3342" t="b">
        <v>0</v>
      </c>
      <c r="AC3342" s="82"/>
      <c r="AD3342" t="str">
        <f t="shared" si="71"/>
        <v/>
      </c>
      <c r="AE3342" t="str">
        <f t="shared" si="72"/>
        <v/>
      </c>
    </row>
    <row r="3343">
      <c r="D3343" s="226"/>
      <c r="H3343" s="474"/>
      <c r="I3343" s="474"/>
      <c r="J3343" s="475"/>
      <c r="K3343" s="275"/>
      <c r="L3343" s="82"/>
      <c r="M3343" s="672"/>
      <c r="N3343" s="242"/>
      <c r="O3343" s="242"/>
      <c r="P3343" s="242"/>
      <c r="Q3343" s="242"/>
      <c r="R3343" s="539"/>
      <c r="S3343" s="540"/>
      <c r="T3343" s="543"/>
      <c r="U3343" s="673" t="b">
        <v>0</v>
      </c>
      <c r="Z3343" t="b">
        <v>0</v>
      </c>
      <c r="AA3343" t="b">
        <v>0</v>
      </c>
      <c r="AC3343" s="82"/>
      <c r="AD3343" t="str">
        <f t="shared" si="71"/>
        <v/>
      </c>
      <c r="AE3343" t="str">
        <f t="shared" si="72"/>
        <v/>
      </c>
    </row>
    <row r="3344">
      <c r="D3344" s="226"/>
      <c r="H3344" s="474"/>
      <c r="I3344" s="474"/>
      <c r="J3344" s="475"/>
      <c r="K3344" s="275"/>
      <c r="L3344" s="82"/>
      <c r="M3344" s="672"/>
      <c r="N3344" s="242"/>
      <c r="O3344" s="242"/>
      <c r="P3344" s="242"/>
      <c r="Q3344" s="242"/>
      <c r="R3344" s="539"/>
      <c r="S3344" s="540"/>
      <c r="T3344" s="543"/>
      <c r="U3344" s="673" t="b">
        <v>0</v>
      </c>
      <c r="Z3344" t="b">
        <v>0</v>
      </c>
      <c r="AA3344" t="b">
        <v>0</v>
      </c>
      <c r="AC3344" s="82"/>
      <c r="AD3344" t="str">
        <f t="shared" si="71"/>
        <v/>
      </c>
      <c r="AE3344" t="str">
        <f t="shared" si="72"/>
        <v/>
      </c>
    </row>
    <row r="3345">
      <c r="D3345" s="226"/>
      <c r="H3345" s="474"/>
      <c r="I3345" s="474"/>
      <c r="J3345" s="475"/>
      <c r="K3345" s="275"/>
      <c r="L3345" s="82"/>
      <c r="M3345" s="672"/>
      <c r="N3345" s="242"/>
      <c r="O3345" s="242"/>
      <c r="P3345" s="242"/>
      <c r="Q3345" s="242"/>
      <c r="R3345" s="539"/>
      <c r="S3345" s="540"/>
      <c r="T3345" s="543"/>
      <c r="U3345" s="673" t="b">
        <v>0</v>
      </c>
      <c r="Z3345" t="b">
        <v>0</v>
      </c>
      <c r="AA3345" t="b">
        <v>0</v>
      </c>
      <c r="AC3345" s="82"/>
      <c r="AD3345" t="str">
        <f t="shared" si="71"/>
        <v/>
      </c>
      <c r="AE3345" t="str">
        <f t="shared" si="72"/>
        <v/>
      </c>
    </row>
    <row r="3346">
      <c r="D3346" s="226"/>
      <c r="H3346" s="474"/>
      <c r="I3346" s="474"/>
      <c r="J3346" s="475"/>
      <c r="K3346" s="275"/>
      <c r="L3346" s="82"/>
      <c r="M3346" s="672"/>
      <c r="N3346" s="242"/>
      <c r="O3346" s="242"/>
      <c r="P3346" s="242"/>
      <c r="Q3346" s="242"/>
      <c r="R3346" s="539"/>
      <c r="S3346" s="540"/>
      <c r="T3346" s="543"/>
      <c r="U3346" s="673" t="b">
        <v>0</v>
      </c>
      <c r="Z3346" t="b">
        <v>0</v>
      </c>
      <c r="AA3346" t="b">
        <v>0</v>
      </c>
      <c r="AC3346" s="82"/>
      <c r="AD3346" t="str">
        <f t="shared" si="71"/>
        <v/>
      </c>
      <c r="AE3346" t="str">
        <f t="shared" si="72"/>
        <v/>
      </c>
    </row>
    <row r="3347">
      <c r="D3347" s="226"/>
      <c r="H3347" s="474"/>
      <c r="I3347" s="474"/>
      <c r="J3347" s="475"/>
      <c r="K3347" s="275"/>
      <c r="L3347" s="82"/>
      <c r="M3347" s="672"/>
      <c r="N3347" s="242"/>
      <c r="O3347" s="242"/>
      <c r="P3347" s="242"/>
      <c r="Q3347" s="242"/>
      <c r="R3347" s="539"/>
      <c r="S3347" s="540"/>
      <c r="T3347" s="543"/>
      <c r="U3347" s="673" t="b">
        <v>0</v>
      </c>
      <c r="Z3347" t="b">
        <v>0</v>
      </c>
      <c r="AA3347" t="b">
        <v>0</v>
      </c>
      <c r="AC3347" s="82"/>
      <c r="AD3347" t="str">
        <f t="shared" si="71"/>
        <v/>
      </c>
      <c r="AE3347" t="str">
        <f t="shared" si="72"/>
        <v/>
      </c>
    </row>
    <row r="3348">
      <c r="D3348" s="226"/>
      <c r="H3348" s="474"/>
      <c r="I3348" s="474"/>
      <c r="J3348" s="475"/>
      <c r="K3348" s="275"/>
      <c r="L3348" s="82"/>
      <c r="M3348" s="672"/>
      <c r="N3348" s="242"/>
      <c r="O3348" s="242"/>
      <c r="P3348" s="242"/>
      <c r="Q3348" s="242"/>
      <c r="R3348" s="539"/>
      <c r="S3348" s="540"/>
      <c r="T3348" s="543"/>
      <c r="U3348" s="673" t="b">
        <v>0</v>
      </c>
      <c r="Z3348" t="b">
        <v>0</v>
      </c>
      <c r="AA3348" t="b">
        <v>0</v>
      </c>
      <c r="AC3348" s="82"/>
      <c r="AD3348" t="str">
        <f t="shared" si="71"/>
        <v/>
      </c>
      <c r="AE3348" t="str">
        <f t="shared" si="72"/>
        <v/>
      </c>
    </row>
    <row r="3349">
      <c r="D3349" s="226"/>
      <c r="H3349" s="474"/>
      <c r="I3349" s="474"/>
      <c r="J3349" s="475"/>
      <c r="K3349" s="275"/>
      <c r="L3349" s="82"/>
      <c r="M3349" s="672"/>
      <c r="N3349" s="242"/>
      <c r="O3349" s="242"/>
      <c r="P3349" s="242"/>
      <c r="Q3349" s="242"/>
      <c r="R3349" s="539"/>
      <c r="S3349" s="540"/>
      <c r="T3349" s="543"/>
      <c r="U3349" s="673" t="b">
        <v>0</v>
      </c>
      <c r="Z3349" t="b">
        <v>0</v>
      </c>
      <c r="AA3349" t="b">
        <v>0</v>
      </c>
      <c r="AC3349" s="82"/>
      <c r="AD3349" t="str">
        <f t="shared" si="71"/>
        <v/>
      </c>
      <c r="AE3349" t="str">
        <f t="shared" si="72"/>
        <v/>
      </c>
    </row>
    <row r="3350">
      <c r="D3350" s="226"/>
      <c r="H3350" s="474"/>
      <c r="I3350" s="474"/>
      <c r="J3350" s="475"/>
      <c r="K3350" s="275"/>
      <c r="L3350" s="82"/>
      <c r="M3350" s="672"/>
      <c r="N3350" s="242"/>
      <c r="O3350" s="242"/>
      <c r="P3350" s="242"/>
      <c r="Q3350" s="242"/>
      <c r="R3350" s="539"/>
      <c r="S3350" s="540"/>
      <c r="T3350" s="543"/>
      <c r="U3350" s="673" t="b">
        <v>0</v>
      </c>
      <c r="Z3350" t="b">
        <v>0</v>
      </c>
      <c r="AA3350" t="b">
        <v>0</v>
      </c>
      <c r="AC3350" s="82"/>
      <c r="AD3350" t="str">
        <f t="shared" si="71"/>
        <v/>
      </c>
      <c r="AE3350" t="str">
        <f t="shared" si="72"/>
        <v/>
      </c>
    </row>
    <row r="3351">
      <c r="D3351" s="226"/>
      <c r="H3351" s="474"/>
      <c r="I3351" s="474"/>
      <c r="J3351" s="475"/>
      <c r="K3351" s="275"/>
      <c r="L3351" s="82"/>
      <c r="M3351" s="672"/>
      <c r="N3351" s="242"/>
      <c r="O3351" s="242"/>
      <c r="P3351" s="242"/>
      <c r="Q3351" s="242"/>
      <c r="R3351" s="539"/>
      <c r="S3351" s="540"/>
      <c r="T3351" s="543"/>
      <c r="U3351" s="673" t="b">
        <v>0</v>
      </c>
      <c r="Z3351" t="b">
        <v>0</v>
      </c>
      <c r="AA3351" t="b">
        <v>0</v>
      </c>
      <c r="AC3351" s="82"/>
      <c r="AD3351" t="str">
        <f t="shared" si="71"/>
        <v/>
      </c>
      <c r="AE3351" t="str">
        <f t="shared" si="72"/>
        <v/>
      </c>
    </row>
    <row r="3352">
      <c r="D3352" s="226"/>
      <c r="H3352" s="474"/>
      <c r="I3352" s="474"/>
      <c r="J3352" s="475"/>
      <c r="K3352" s="275"/>
      <c r="L3352" s="82"/>
      <c r="M3352" s="672"/>
      <c r="N3352" s="242"/>
      <c r="O3352" s="242"/>
      <c r="P3352" s="242"/>
      <c r="Q3352" s="242"/>
      <c r="R3352" s="539"/>
      <c r="S3352" s="540"/>
      <c r="T3352" s="543"/>
      <c r="U3352" s="673" t="b">
        <v>0</v>
      </c>
      <c r="Z3352" t="b">
        <v>0</v>
      </c>
      <c r="AA3352" t="b">
        <v>0</v>
      </c>
      <c r="AC3352" s="82"/>
      <c r="AD3352" t="str">
        <f t="shared" si="71"/>
        <v/>
      </c>
      <c r="AE3352" t="str">
        <f t="shared" si="72"/>
        <v/>
      </c>
    </row>
    <row r="3353">
      <c r="D3353" s="226"/>
      <c r="H3353" s="474"/>
      <c r="I3353" s="474"/>
      <c r="J3353" s="475"/>
      <c r="K3353" s="275"/>
      <c r="L3353" s="82"/>
      <c r="M3353" s="672"/>
      <c r="N3353" s="242"/>
      <c r="O3353" s="242"/>
      <c r="P3353" s="242"/>
      <c r="Q3353" s="242"/>
      <c r="R3353" s="539"/>
      <c r="S3353" s="540"/>
      <c r="T3353" s="543"/>
      <c r="U3353" s="673" t="b">
        <v>0</v>
      </c>
      <c r="Z3353" t="b">
        <v>0</v>
      </c>
      <c r="AA3353" t="b">
        <v>0</v>
      </c>
      <c r="AC3353" s="82"/>
      <c r="AD3353" t="str">
        <f t="shared" si="71"/>
        <v/>
      </c>
      <c r="AE3353" t="str">
        <f t="shared" si="72"/>
        <v/>
      </c>
    </row>
    <row r="3354">
      <c r="D3354" s="226"/>
      <c r="H3354" s="474"/>
      <c r="I3354" s="474"/>
      <c r="J3354" s="475"/>
      <c r="K3354" s="275"/>
      <c r="L3354" s="82"/>
      <c r="M3354" s="672"/>
      <c r="N3354" s="242"/>
      <c r="O3354" s="242"/>
      <c r="P3354" s="242"/>
      <c r="Q3354" s="242"/>
      <c r="R3354" s="539"/>
      <c r="S3354" s="540"/>
      <c r="T3354" s="543"/>
      <c r="U3354" s="673" t="b">
        <v>0</v>
      </c>
      <c r="Z3354" t="b">
        <v>0</v>
      </c>
      <c r="AA3354" t="b">
        <v>0</v>
      </c>
      <c r="AC3354" s="82"/>
      <c r="AD3354" t="str">
        <f t="shared" si="71"/>
        <v/>
      </c>
      <c r="AE3354" t="str">
        <f t="shared" si="72"/>
        <v/>
      </c>
    </row>
    <row r="3355">
      <c r="D3355" s="226"/>
      <c r="H3355" s="474"/>
      <c r="I3355" s="474"/>
      <c r="J3355" s="475"/>
      <c r="K3355" s="275"/>
      <c r="L3355" s="82"/>
      <c r="M3355" s="672"/>
      <c r="N3355" s="242"/>
      <c r="O3355" s="242"/>
      <c r="P3355" s="242"/>
      <c r="Q3355" s="242"/>
      <c r="R3355" s="539"/>
      <c r="S3355" s="540"/>
      <c r="T3355" s="543"/>
      <c r="U3355" s="673" t="b">
        <v>0</v>
      </c>
      <c r="Z3355" t="b">
        <v>0</v>
      </c>
      <c r="AA3355" t="b">
        <v>0</v>
      </c>
      <c r="AC3355" s="82"/>
      <c r="AD3355" t="str">
        <f t="shared" si="71"/>
        <v/>
      </c>
      <c r="AE3355" t="str">
        <f t="shared" si="72"/>
        <v/>
      </c>
    </row>
    <row r="3356">
      <c r="D3356" s="226"/>
      <c r="H3356" s="474"/>
      <c r="I3356" s="474"/>
      <c r="J3356" s="475"/>
      <c r="K3356" s="275"/>
      <c r="L3356" s="82"/>
      <c r="M3356" s="672"/>
      <c r="N3356" s="242"/>
      <c r="O3356" s="242"/>
      <c r="P3356" s="242"/>
      <c r="Q3356" s="242"/>
      <c r="R3356" s="539"/>
      <c r="S3356" s="540"/>
      <c r="T3356" s="543"/>
      <c r="U3356" s="673" t="b">
        <v>0</v>
      </c>
      <c r="Z3356" t="b">
        <v>0</v>
      </c>
      <c r="AA3356" t="b">
        <v>0</v>
      </c>
      <c r="AC3356" s="82"/>
      <c r="AD3356" t="str">
        <f t="shared" si="71"/>
        <v/>
      </c>
      <c r="AE3356" t="str">
        <f t="shared" si="72"/>
        <v/>
      </c>
    </row>
    <row r="3357">
      <c r="D3357" s="226"/>
      <c r="H3357" s="474"/>
      <c r="I3357" s="474"/>
      <c r="J3357" s="475"/>
      <c r="K3357" s="275"/>
      <c r="L3357" s="82"/>
      <c r="M3357" s="672"/>
      <c r="N3357" s="242"/>
      <c r="O3357" s="242"/>
      <c r="P3357" s="242"/>
      <c r="Q3357" s="242"/>
      <c r="R3357" s="539"/>
      <c r="S3357" s="540"/>
      <c r="T3357" s="543"/>
      <c r="U3357" s="673" t="b">
        <v>0</v>
      </c>
      <c r="Z3357" t="b">
        <v>0</v>
      </c>
      <c r="AA3357" t="b">
        <v>0</v>
      </c>
      <c r="AC3357" s="82"/>
      <c r="AD3357" t="str">
        <f t="shared" si="71"/>
        <v/>
      </c>
      <c r="AE3357" t="str">
        <f t="shared" si="72"/>
        <v/>
      </c>
    </row>
    <row r="3358">
      <c r="D3358" s="226"/>
      <c r="H3358" s="474"/>
      <c r="I3358" s="474"/>
      <c r="J3358" s="475"/>
      <c r="K3358" s="275"/>
      <c r="L3358" s="82"/>
      <c r="M3358" s="672"/>
      <c r="N3358" s="242"/>
      <c r="O3358" s="242"/>
      <c r="P3358" s="242"/>
      <c r="Q3358" s="242"/>
      <c r="R3358" s="539"/>
      <c r="S3358" s="540"/>
      <c r="T3358" s="543"/>
      <c r="U3358" s="673" t="b">
        <v>0</v>
      </c>
      <c r="Z3358" t="b">
        <v>0</v>
      </c>
      <c r="AA3358" t="b">
        <v>0</v>
      </c>
      <c r="AC3358" s="82"/>
      <c r="AD3358" t="str">
        <f t="shared" si="71"/>
        <v/>
      </c>
      <c r="AE3358" t="str">
        <f t="shared" si="72"/>
        <v/>
      </c>
    </row>
    <row r="3359">
      <c r="D3359" s="226"/>
      <c r="H3359" s="474"/>
      <c r="I3359" s="474"/>
      <c r="J3359" s="475"/>
      <c r="K3359" s="275"/>
      <c r="L3359" s="82"/>
      <c r="M3359" s="672"/>
      <c r="N3359" s="242"/>
      <c r="O3359" s="242"/>
      <c r="P3359" s="242"/>
      <c r="Q3359" s="242"/>
      <c r="R3359" s="539"/>
      <c r="S3359" s="540"/>
      <c r="T3359" s="543"/>
      <c r="U3359" s="673" t="b">
        <v>0</v>
      </c>
      <c r="Z3359" t="b">
        <v>0</v>
      </c>
      <c r="AA3359" t="b">
        <v>0</v>
      </c>
      <c r="AC3359" s="82"/>
      <c r="AD3359" t="str">
        <f t="shared" si="71"/>
        <v/>
      </c>
      <c r="AE3359" t="str">
        <f t="shared" si="72"/>
        <v/>
      </c>
    </row>
    <row r="3360">
      <c r="D3360" s="226"/>
      <c r="H3360" s="474"/>
      <c r="I3360" s="474"/>
      <c r="J3360" s="475"/>
      <c r="K3360" s="275"/>
      <c r="L3360" s="82"/>
      <c r="M3360" s="672"/>
      <c r="N3360" s="242"/>
      <c r="O3360" s="242"/>
      <c r="P3360" s="242"/>
      <c r="Q3360" s="242"/>
      <c r="R3360" s="539"/>
      <c r="S3360" s="540"/>
      <c r="T3360" s="543"/>
      <c r="U3360" s="673" t="b">
        <v>0</v>
      </c>
      <c r="Z3360" t="b">
        <v>0</v>
      </c>
      <c r="AA3360" t="b">
        <v>0</v>
      </c>
      <c r="AC3360" s="82"/>
      <c r="AD3360" t="str">
        <f t="shared" si="71"/>
        <v/>
      </c>
      <c r="AE3360" t="str">
        <f t="shared" si="72"/>
        <v/>
      </c>
    </row>
    <row r="3361">
      <c r="D3361" s="226"/>
      <c r="H3361" s="474"/>
      <c r="I3361" s="474"/>
      <c r="J3361" s="475"/>
      <c r="K3361" s="275"/>
      <c r="L3361" s="82"/>
      <c r="M3361" s="672"/>
      <c r="N3361" s="242"/>
      <c r="O3361" s="242"/>
      <c r="P3361" s="242"/>
      <c r="Q3361" s="242"/>
      <c r="R3361" s="539"/>
      <c r="S3361" s="540"/>
      <c r="T3361" s="543"/>
      <c r="U3361" s="673" t="b">
        <v>0</v>
      </c>
      <c r="Z3361" t="b">
        <v>0</v>
      </c>
      <c r="AA3361" t="b">
        <v>0</v>
      </c>
      <c r="AC3361" s="82"/>
      <c r="AD3361" t="str">
        <f t="shared" si="71"/>
        <v/>
      </c>
      <c r="AE3361" t="str">
        <f t="shared" si="72"/>
        <v/>
      </c>
    </row>
    <row r="3362">
      <c r="D3362" s="226"/>
      <c r="H3362" s="474"/>
      <c r="I3362" s="474"/>
      <c r="J3362" s="475"/>
      <c r="K3362" s="275"/>
      <c r="L3362" s="82"/>
      <c r="M3362" s="672"/>
      <c r="N3362" s="242"/>
      <c r="O3362" s="242"/>
      <c r="P3362" s="242"/>
      <c r="Q3362" s="242"/>
      <c r="R3362" s="539"/>
      <c r="S3362" s="540"/>
      <c r="T3362" s="543"/>
      <c r="U3362" s="673" t="b">
        <v>0</v>
      </c>
      <c r="Z3362" t="b">
        <v>0</v>
      </c>
      <c r="AA3362" t="b">
        <v>0</v>
      </c>
      <c r="AC3362" s="82"/>
      <c r="AD3362" t="str">
        <f t="shared" si="71"/>
        <v/>
      </c>
      <c r="AE3362" t="str">
        <f t="shared" si="72"/>
        <v/>
      </c>
    </row>
    <row r="3363">
      <c r="D3363" s="226"/>
      <c r="H3363" s="474"/>
      <c r="I3363" s="474"/>
      <c r="J3363" s="475"/>
      <c r="K3363" s="275"/>
      <c r="L3363" s="82"/>
      <c r="M3363" s="672"/>
      <c r="N3363" s="242"/>
      <c r="O3363" s="242"/>
      <c r="P3363" s="242"/>
      <c r="Q3363" s="242"/>
      <c r="R3363" s="539"/>
      <c r="S3363" s="540"/>
      <c r="T3363" s="543"/>
      <c r="U3363" s="673" t="b">
        <v>0</v>
      </c>
      <c r="Z3363" t="b">
        <v>0</v>
      </c>
      <c r="AA3363" t="b">
        <v>0</v>
      </c>
      <c r="AC3363" s="82"/>
      <c r="AD3363" t="str">
        <f t="shared" si="71"/>
        <v/>
      </c>
      <c r="AE3363" t="str">
        <f t="shared" si="72"/>
        <v/>
      </c>
    </row>
    <row r="3364">
      <c r="D3364" s="226"/>
      <c r="H3364" s="474"/>
      <c r="I3364" s="474"/>
      <c r="J3364" s="475"/>
      <c r="K3364" s="275"/>
      <c r="L3364" s="82"/>
      <c r="M3364" s="672"/>
      <c r="N3364" s="242"/>
      <c r="O3364" s="242"/>
      <c r="P3364" s="242"/>
      <c r="Q3364" s="242"/>
      <c r="R3364" s="539"/>
      <c r="S3364" s="540"/>
      <c r="T3364" s="543"/>
      <c r="U3364" s="673" t="b">
        <v>0</v>
      </c>
      <c r="Z3364" t="b">
        <v>0</v>
      </c>
      <c r="AA3364" t="b">
        <v>0</v>
      </c>
      <c r="AC3364" s="82"/>
      <c r="AD3364" t="str">
        <f t="shared" si="71"/>
        <v/>
      </c>
      <c r="AE3364" t="str">
        <f t="shared" si="72"/>
        <v/>
      </c>
    </row>
    <row r="3365">
      <c r="D3365" s="226"/>
      <c r="H3365" s="474"/>
      <c r="I3365" s="474"/>
      <c r="J3365" s="475"/>
      <c r="K3365" s="275"/>
      <c r="L3365" s="82"/>
      <c r="M3365" s="672"/>
      <c r="N3365" s="242"/>
      <c r="O3365" s="242"/>
      <c r="P3365" s="242"/>
      <c r="Q3365" s="242"/>
      <c r="R3365" s="539"/>
      <c r="S3365" s="540"/>
      <c r="T3365" s="543"/>
      <c r="U3365" s="673" t="b">
        <v>0</v>
      </c>
      <c r="Z3365" t="b">
        <v>0</v>
      </c>
      <c r="AA3365" t="b">
        <v>0</v>
      </c>
      <c r="AC3365" s="82"/>
      <c r="AD3365" t="str">
        <f t="shared" si="71"/>
        <v/>
      </c>
      <c r="AE3365" t="str">
        <f t="shared" si="72"/>
        <v/>
      </c>
    </row>
    <row r="3366">
      <c r="D3366" s="226"/>
      <c r="H3366" s="474"/>
      <c r="I3366" s="474"/>
      <c r="J3366" s="475"/>
      <c r="K3366" s="275"/>
      <c r="L3366" s="82"/>
      <c r="M3366" s="672"/>
      <c r="N3366" s="242"/>
      <c r="O3366" s="242"/>
      <c r="P3366" s="242"/>
      <c r="Q3366" s="242"/>
      <c r="R3366" s="539"/>
      <c r="S3366" s="540"/>
      <c r="T3366" s="543"/>
      <c r="U3366" s="673" t="b">
        <v>0</v>
      </c>
      <c r="Z3366" t="b">
        <v>0</v>
      </c>
      <c r="AA3366" t="b">
        <v>0</v>
      </c>
      <c r="AC3366" s="82"/>
      <c r="AD3366" t="str">
        <f t="shared" si="71"/>
        <v/>
      </c>
      <c r="AE3366" t="str">
        <f t="shared" si="72"/>
        <v/>
      </c>
    </row>
    <row r="3367">
      <c r="D3367" s="226"/>
      <c r="H3367" s="474"/>
      <c r="I3367" s="474"/>
      <c r="J3367" s="475"/>
      <c r="K3367" s="275"/>
      <c r="L3367" s="82"/>
      <c r="M3367" s="672"/>
      <c r="N3367" s="242"/>
      <c r="O3367" s="242"/>
      <c r="P3367" s="242"/>
      <c r="Q3367" s="242"/>
      <c r="R3367" s="539"/>
      <c r="S3367" s="540"/>
      <c r="T3367" s="543"/>
      <c r="U3367" s="673" t="b">
        <v>0</v>
      </c>
      <c r="Z3367" t="b">
        <v>0</v>
      </c>
      <c r="AA3367" t="b">
        <v>0</v>
      </c>
      <c r="AC3367" s="82"/>
      <c r="AD3367" t="str">
        <f t="shared" si="71"/>
        <v/>
      </c>
      <c r="AE3367" t="str">
        <f t="shared" si="72"/>
        <v/>
      </c>
    </row>
    <row r="3368">
      <c r="D3368" s="226"/>
      <c r="H3368" s="474"/>
      <c r="I3368" s="474"/>
      <c r="J3368" s="475"/>
      <c r="K3368" s="275"/>
      <c r="L3368" s="82"/>
      <c r="M3368" s="672"/>
      <c r="N3368" s="242"/>
      <c r="O3368" s="242"/>
      <c r="P3368" s="242"/>
      <c r="Q3368" s="242"/>
      <c r="R3368" s="539"/>
      <c r="S3368" s="540"/>
      <c r="T3368" s="543"/>
      <c r="U3368" s="673" t="b">
        <v>0</v>
      </c>
      <c r="Z3368" t="b">
        <v>0</v>
      </c>
      <c r="AA3368" t="b">
        <v>0</v>
      </c>
      <c r="AC3368" s="82"/>
      <c r="AD3368" t="str">
        <f t="shared" si="71"/>
        <v/>
      </c>
      <c r="AE3368" t="str">
        <f t="shared" si="72"/>
        <v/>
      </c>
    </row>
    <row r="3369">
      <c r="D3369" s="226"/>
      <c r="H3369" s="474"/>
      <c r="I3369" s="474"/>
      <c r="J3369" s="475"/>
      <c r="K3369" s="275"/>
      <c r="L3369" s="82"/>
      <c r="M3369" s="672"/>
      <c r="N3369" s="242"/>
      <c r="O3369" s="242"/>
      <c r="P3369" s="242"/>
      <c r="Q3369" s="242"/>
      <c r="R3369" s="539"/>
      <c r="S3369" s="540"/>
      <c r="T3369" s="543"/>
      <c r="U3369" s="673" t="b">
        <v>0</v>
      </c>
      <c r="Z3369" t="b">
        <v>0</v>
      </c>
      <c r="AA3369" t="b">
        <v>0</v>
      </c>
      <c r="AC3369" s="82"/>
      <c r="AD3369" t="str">
        <f t="shared" si="71"/>
        <v/>
      </c>
      <c r="AE3369" t="str">
        <f t="shared" si="72"/>
        <v/>
      </c>
    </row>
    <row r="3370">
      <c r="D3370" s="226"/>
      <c r="H3370" s="474"/>
      <c r="I3370" s="474"/>
      <c r="J3370" s="475"/>
      <c r="K3370" s="275"/>
      <c r="L3370" s="82"/>
      <c r="M3370" s="672"/>
      <c r="N3370" s="242"/>
      <c r="O3370" s="242"/>
      <c r="P3370" s="242"/>
      <c r="Q3370" s="242"/>
      <c r="R3370" s="539"/>
      <c r="S3370" s="540"/>
      <c r="T3370" s="543"/>
      <c r="U3370" s="673" t="b">
        <v>0</v>
      </c>
      <c r="Z3370" t="b">
        <v>0</v>
      </c>
      <c r="AA3370" t="b">
        <v>0</v>
      </c>
      <c r="AC3370" s="82"/>
      <c r="AD3370" t="str">
        <f t="shared" si="71"/>
        <v/>
      </c>
      <c r="AE3370" t="str">
        <f t="shared" si="72"/>
        <v/>
      </c>
    </row>
    <row r="3371">
      <c r="D3371" s="226"/>
      <c r="H3371" s="474"/>
      <c r="I3371" s="474"/>
      <c r="J3371" s="475"/>
      <c r="K3371" s="275"/>
      <c r="L3371" s="82"/>
      <c r="M3371" s="672"/>
      <c r="N3371" s="242"/>
      <c r="O3371" s="242"/>
      <c r="P3371" s="242"/>
      <c r="Q3371" s="242"/>
      <c r="R3371" s="539"/>
      <c r="S3371" s="540"/>
      <c r="T3371" s="543"/>
      <c r="U3371" s="673" t="b">
        <v>0</v>
      </c>
      <c r="Z3371" t="b">
        <v>0</v>
      </c>
      <c r="AA3371" t="b">
        <v>0</v>
      </c>
      <c r="AC3371" s="82"/>
      <c r="AD3371" t="str">
        <f t="shared" si="71"/>
        <v/>
      </c>
      <c r="AE3371" t="str">
        <f t="shared" si="72"/>
        <v/>
      </c>
    </row>
    <row r="3372">
      <c r="D3372" s="226"/>
      <c r="H3372" s="474"/>
      <c r="I3372" s="474"/>
      <c r="J3372" s="475"/>
      <c r="K3372" s="275"/>
      <c r="L3372" s="82"/>
      <c r="M3372" s="672"/>
      <c r="N3372" s="242"/>
      <c r="O3372" s="242"/>
      <c r="P3372" s="242"/>
      <c r="Q3372" s="242"/>
      <c r="R3372" s="539"/>
      <c r="S3372" s="540"/>
      <c r="T3372" s="543"/>
      <c r="U3372" s="673" t="b">
        <v>0</v>
      </c>
      <c r="Z3372" t="b">
        <v>0</v>
      </c>
      <c r="AA3372" t="b">
        <v>0</v>
      </c>
      <c r="AC3372" s="82"/>
      <c r="AD3372" t="str">
        <f t="shared" si="71"/>
        <v/>
      </c>
      <c r="AE3372" t="str">
        <f t="shared" si="72"/>
        <v/>
      </c>
    </row>
    <row r="3373">
      <c r="D3373" s="226"/>
      <c r="H3373" s="474"/>
      <c r="I3373" s="474"/>
      <c r="J3373" s="475"/>
      <c r="K3373" s="275"/>
      <c r="L3373" s="82"/>
      <c r="M3373" s="672"/>
      <c r="N3373" s="242"/>
      <c r="O3373" s="242"/>
      <c r="P3373" s="242"/>
      <c r="Q3373" s="242"/>
      <c r="R3373" s="539"/>
      <c r="S3373" s="540"/>
      <c r="T3373" s="543"/>
      <c r="U3373" s="673" t="b">
        <v>0</v>
      </c>
      <c r="Z3373" t="b">
        <v>0</v>
      </c>
      <c r="AA3373" t="b">
        <v>0</v>
      </c>
      <c r="AC3373" s="82"/>
      <c r="AD3373" t="str">
        <f t="shared" si="71"/>
        <v/>
      </c>
      <c r="AE3373" t="str">
        <f t="shared" si="72"/>
        <v/>
      </c>
    </row>
    <row r="3374">
      <c r="D3374" s="226"/>
      <c r="H3374" s="474"/>
      <c r="I3374" s="474"/>
      <c r="J3374" s="475"/>
      <c r="K3374" s="275"/>
      <c r="L3374" s="82"/>
      <c r="M3374" s="672"/>
      <c r="N3374" s="242"/>
      <c r="O3374" s="242"/>
      <c r="P3374" s="242"/>
      <c r="Q3374" s="242"/>
      <c r="R3374" s="539"/>
      <c r="S3374" s="540"/>
      <c r="T3374" s="543"/>
      <c r="U3374" s="673" t="b">
        <v>0</v>
      </c>
      <c r="Z3374" t="b">
        <v>0</v>
      </c>
      <c r="AA3374" t="b">
        <v>0</v>
      </c>
      <c r="AC3374" s="82"/>
      <c r="AD3374" t="str">
        <f t="shared" si="71"/>
        <v/>
      </c>
      <c r="AE3374" t="str">
        <f t="shared" si="72"/>
        <v/>
      </c>
    </row>
    <row r="3375">
      <c r="D3375" s="226"/>
      <c r="H3375" s="474"/>
      <c r="I3375" s="474"/>
      <c r="J3375" s="475"/>
      <c r="K3375" s="275"/>
      <c r="L3375" s="82"/>
      <c r="M3375" s="672"/>
      <c r="N3375" s="242"/>
      <c r="O3375" s="242"/>
      <c r="P3375" s="242"/>
      <c r="Q3375" s="242"/>
      <c r="R3375" s="539"/>
      <c r="S3375" s="540"/>
      <c r="T3375" s="543"/>
      <c r="U3375" s="673" t="b">
        <v>0</v>
      </c>
      <c r="Z3375" t="b">
        <v>0</v>
      </c>
      <c r="AA3375" t="b">
        <v>0</v>
      </c>
      <c r="AC3375" s="82"/>
      <c r="AD3375" t="str">
        <f t="shared" si="71"/>
        <v/>
      </c>
      <c r="AE3375" t="str">
        <f t="shared" si="72"/>
        <v/>
      </c>
    </row>
    <row r="3376">
      <c r="D3376" s="226"/>
      <c r="H3376" s="474"/>
      <c r="I3376" s="474"/>
      <c r="J3376" s="475"/>
      <c r="K3376" s="275"/>
      <c r="L3376" s="82"/>
      <c r="M3376" s="672"/>
      <c r="N3376" s="242"/>
      <c r="O3376" s="242"/>
      <c r="P3376" s="242"/>
      <c r="Q3376" s="242"/>
      <c r="R3376" s="539"/>
      <c r="S3376" s="540"/>
      <c r="T3376" s="543"/>
      <c r="U3376" s="673" t="b">
        <v>0</v>
      </c>
      <c r="Z3376" t="b">
        <v>0</v>
      </c>
      <c r="AA3376" t="b">
        <v>0</v>
      </c>
      <c r="AC3376" s="82"/>
      <c r="AD3376" t="str">
        <f t="shared" si="71"/>
        <v/>
      </c>
      <c r="AE3376" t="str">
        <f t="shared" si="72"/>
        <v/>
      </c>
    </row>
    <row r="3377">
      <c r="D3377" s="226"/>
      <c r="H3377" s="474"/>
      <c r="I3377" s="474"/>
      <c r="J3377" s="475"/>
      <c r="K3377" s="275"/>
      <c r="L3377" s="82"/>
      <c r="M3377" s="672"/>
      <c r="N3377" s="242"/>
      <c r="O3377" s="242"/>
      <c r="P3377" s="242"/>
      <c r="Q3377" s="242"/>
      <c r="R3377" s="539"/>
      <c r="S3377" s="540"/>
      <c r="T3377" s="543"/>
      <c r="U3377" s="673" t="b">
        <v>0</v>
      </c>
      <c r="Z3377" t="b">
        <v>0</v>
      </c>
      <c r="AA3377" t="b">
        <v>0</v>
      </c>
      <c r="AC3377" s="82"/>
      <c r="AD3377" t="str">
        <f t="shared" si="71"/>
        <v/>
      </c>
      <c r="AE3377" t="str">
        <f t="shared" si="72"/>
        <v/>
      </c>
    </row>
    <row r="3378">
      <c r="D3378" s="226"/>
      <c r="H3378" s="474"/>
      <c r="I3378" s="474"/>
      <c r="J3378" s="475"/>
      <c r="K3378" s="275"/>
      <c r="L3378" s="82"/>
      <c r="M3378" s="672"/>
      <c r="N3378" s="242"/>
      <c r="O3378" s="242"/>
      <c r="P3378" s="242"/>
      <c r="Q3378" s="242"/>
      <c r="R3378" s="539"/>
      <c r="S3378" s="540"/>
      <c r="T3378" s="543"/>
      <c r="U3378" s="673" t="b">
        <v>0</v>
      </c>
      <c r="Z3378" t="b">
        <v>0</v>
      </c>
      <c r="AA3378" t="b">
        <v>0</v>
      </c>
      <c r="AC3378" s="82"/>
      <c r="AD3378" t="str">
        <f t="shared" si="71"/>
        <v/>
      </c>
      <c r="AE3378" t="str">
        <f t="shared" si="72"/>
        <v/>
      </c>
    </row>
    <row r="3379">
      <c r="D3379" s="226"/>
      <c r="H3379" s="474"/>
      <c r="I3379" s="474"/>
      <c r="J3379" s="475"/>
      <c r="K3379" s="275"/>
      <c r="L3379" s="82"/>
      <c r="M3379" s="672"/>
      <c r="N3379" s="242"/>
      <c r="O3379" s="242"/>
      <c r="P3379" s="242"/>
      <c r="Q3379" s="242"/>
      <c r="R3379" s="539"/>
      <c r="S3379" s="540"/>
      <c r="T3379" s="543"/>
      <c r="U3379" s="673" t="b">
        <v>0</v>
      </c>
      <c r="Z3379" t="b">
        <v>0</v>
      </c>
      <c r="AA3379" t="b">
        <v>0</v>
      </c>
      <c r="AC3379" s="82"/>
      <c r="AD3379" t="str">
        <f t="shared" si="71"/>
        <v/>
      </c>
      <c r="AE3379" t="str">
        <f t="shared" si="72"/>
        <v/>
      </c>
    </row>
    <row r="3380">
      <c r="D3380" s="226"/>
      <c r="H3380" s="474"/>
      <c r="I3380" s="474"/>
      <c r="J3380" s="475"/>
      <c r="K3380" s="275"/>
      <c r="L3380" s="82"/>
      <c r="M3380" s="672"/>
      <c r="N3380" s="242"/>
      <c r="O3380" s="242"/>
      <c r="P3380" s="242"/>
      <c r="Q3380" s="242"/>
      <c r="R3380" s="539"/>
      <c r="S3380" s="540"/>
      <c r="T3380" s="543"/>
      <c r="U3380" s="673" t="b">
        <v>0</v>
      </c>
      <c r="Z3380" t="b">
        <v>0</v>
      </c>
      <c r="AA3380" t="b">
        <v>0</v>
      </c>
      <c r="AC3380" s="82"/>
      <c r="AD3380" t="str">
        <f t="shared" si="71"/>
        <v/>
      </c>
      <c r="AE3380" t="str">
        <f t="shared" si="72"/>
        <v/>
      </c>
    </row>
    <row r="3381">
      <c r="D3381" s="226"/>
      <c r="H3381" s="474"/>
      <c r="I3381" s="474"/>
      <c r="J3381" s="475"/>
      <c r="K3381" s="275"/>
      <c r="L3381" s="82"/>
      <c r="M3381" s="672"/>
      <c r="N3381" s="242"/>
      <c r="O3381" s="242"/>
      <c r="P3381" s="242"/>
      <c r="Q3381" s="242"/>
      <c r="R3381" s="539"/>
      <c r="S3381" s="540"/>
      <c r="T3381" s="543"/>
      <c r="U3381" s="673" t="b">
        <v>0</v>
      </c>
      <c r="Z3381" t="b">
        <v>0</v>
      </c>
      <c r="AA3381" t="b">
        <v>0</v>
      </c>
      <c r="AC3381" s="82"/>
      <c r="AD3381" t="str">
        <f t="shared" si="71"/>
        <v/>
      </c>
      <c r="AE3381" t="str">
        <f t="shared" si="72"/>
        <v/>
      </c>
    </row>
    <row r="3382">
      <c r="D3382" s="226"/>
      <c r="H3382" s="474"/>
      <c r="I3382" s="474"/>
      <c r="J3382" s="475"/>
      <c r="K3382" s="275"/>
      <c r="L3382" s="82"/>
      <c r="M3382" s="672"/>
      <c r="N3382" s="242"/>
      <c r="O3382" s="242"/>
      <c r="P3382" s="242"/>
      <c r="Q3382" s="242"/>
      <c r="R3382" s="539"/>
      <c r="S3382" s="540"/>
      <c r="T3382" s="543"/>
      <c r="U3382" s="673" t="b">
        <v>0</v>
      </c>
      <c r="Z3382" t="b">
        <v>0</v>
      </c>
      <c r="AA3382" t="b">
        <v>0</v>
      </c>
      <c r="AC3382" s="82"/>
      <c r="AD3382" t="str">
        <f t="shared" si="71"/>
        <v/>
      </c>
      <c r="AE3382" t="str">
        <f t="shared" si="72"/>
        <v/>
      </c>
    </row>
    <row r="3383">
      <c r="D3383" s="226"/>
      <c r="H3383" s="474"/>
      <c r="I3383" s="474"/>
      <c r="J3383" s="475"/>
      <c r="K3383" s="275"/>
      <c r="L3383" s="82"/>
      <c r="M3383" s="672"/>
      <c r="N3383" s="242"/>
      <c r="O3383" s="242"/>
      <c r="P3383" s="242"/>
      <c r="Q3383" s="242"/>
      <c r="R3383" s="539"/>
      <c r="S3383" s="540"/>
      <c r="T3383" s="543"/>
      <c r="U3383" s="673" t="b">
        <v>0</v>
      </c>
      <c r="Z3383" t="b">
        <v>0</v>
      </c>
      <c r="AA3383" t="b">
        <v>0</v>
      </c>
      <c r="AC3383" s="82"/>
      <c r="AD3383" t="str">
        <f t="shared" si="71"/>
        <v/>
      </c>
      <c r="AE3383" t="str">
        <f t="shared" si="72"/>
        <v/>
      </c>
    </row>
    <row r="3384">
      <c r="D3384" s="226"/>
      <c r="H3384" s="474"/>
      <c r="I3384" s="474"/>
      <c r="J3384" s="475"/>
      <c r="K3384" s="275"/>
      <c r="L3384" s="82"/>
      <c r="M3384" s="672"/>
      <c r="N3384" s="242"/>
      <c r="O3384" s="242"/>
      <c r="P3384" s="242"/>
      <c r="Q3384" s="242"/>
      <c r="R3384" s="539"/>
      <c r="S3384" s="540"/>
      <c r="T3384" s="543"/>
      <c r="U3384" s="673" t="b">
        <v>0</v>
      </c>
      <c r="Z3384" t="b">
        <v>0</v>
      </c>
      <c r="AA3384" t="b">
        <v>0</v>
      </c>
      <c r="AC3384" s="82"/>
      <c r="AD3384" t="str">
        <f t="shared" si="71"/>
        <v/>
      </c>
      <c r="AE3384" t="str">
        <f t="shared" si="72"/>
        <v/>
      </c>
    </row>
    <row r="3385">
      <c r="D3385" s="226"/>
      <c r="H3385" s="474"/>
      <c r="I3385" s="474"/>
      <c r="J3385" s="475"/>
      <c r="K3385" s="275"/>
      <c r="L3385" s="82"/>
      <c r="M3385" s="672"/>
      <c r="N3385" s="242"/>
      <c r="O3385" s="242"/>
      <c r="P3385" s="242"/>
      <c r="Q3385" s="242"/>
      <c r="R3385" s="539"/>
      <c r="S3385" s="540"/>
      <c r="T3385" s="543"/>
      <c r="U3385" s="673" t="b">
        <v>0</v>
      </c>
      <c r="Z3385" t="b">
        <v>0</v>
      </c>
      <c r="AA3385" t="b">
        <v>0</v>
      </c>
      <c r="AC3385" s="82"/>
      <c r="AD3385" t="str">
        <f t="shared" si="71"/>
        <v/>
      </c>
      <c r="AE3385" t="str">
        <f t="shared" si="72"/>
        <v/>
      </c>
    </row>
    <row r="3386">
      <c r="D3386" s="226"/>
      <c r="H3386" s="474"/>
      <c r="I3386" s="474"/>
      <c r="J3386" s="475"/>
      <c r="K3386" s="275"/>
      <c r="L3386" s="82"/>
      <c r="M3386" s="672"/>
      <c r="N3386" s="242"/>
      <c r="O3386" s="242"/>
      <c r="P3386" s="242"/>
      <c r="Q3386" s="242"/>
      <c r="R3386" s="539"/>
      <c r="S3386" s="540"/>
      <c r="T3386" s="543"/>
      <c r="U3386" s="673" t="b">
        <v>0</v>
      </c>
      <c r="Z3386" t="b">
        <v>0</v>
      </c>
      <c r="AA3386" t="b">
        <v>0</v>
      </c>
      <c r="AC3386" s="82"/>
      <c r="AD3386" t="str">
        <f t="shared" si="71"/>
        <v/>
      </c>
      <c r="AE3386" t="str">
        <f t="shared" si="72"/>
        <v/>
      </c>
    </row>
    <row r="3387">
      <c r="D3387" s="226"/>
      <c r="H3387" s="474"/>
      <c r="I3387" s="474"/>
      <c r="J3387" s="475"/>
      <c r="K3387" s="275"/>
      <c r="L3387" s="82"/>
      <c r="M3387" s="672"/>
      <c r="N3387" s="242"/>
      <c r="O3387" s="242"/>
      <c r="P3387" s="242"/>
      <c r="Q3387" s="242"/>
      <c r="R3387" s="539"/>
      <c r="S3387" s="540"/>
      <c r="T3387" s="543"/>
      <c r="U3387" s="673" t="b">
        <v>0</v>
      </c>
      <c r="Z3387" t="b">
        <v>0</v>
      </c>
      <c r="AA3387" t="b">
        <v>0</v>
      </c>
      <c r="AC3387" s="82"/>
      <c r="AD3387" t="str">
        <f t="shared" si="71"/>
        <v/>
      </c>
      <c r="AE3387" t="str">
        <f t="shared" si="72"/>
        <v/>
      </c>
    </row>
    <row r="3388">
      <c r="D3388" s="226"/>
      <c r="H3388" s="474"/>
      <c r="I3388" s="474"/>
      <c r="J3388" s="475"/>
      <c r="K3388" s="275"/>
      <c r="L3388" s="82"/>
      <c r="M3388" s="672"/>
      <c r="N3388" s="242"/>
      <c r="O3388" s="242"/>
      <c r="P3388" s="242"/>
      <c r="Q3388" s="242"/>
      <c r="R3388" s="539"/>
      <c r="S3388" s="540"/>
      <c r="T3388" s="543"/>
      <c r="U3388" s="673" t="b">
        <v>0</v>
      </c>
      <c r="Z3388" t="b">
        <v>0</v>
      </c>
      <c r="AA3388" t="b">
        <v>0</v>
      </c>
      <c r="AC3388" s="82"/>
      <c r="AD3388" t="str">
        <f t="shared" si="71"/>
        <v/>
      </c>
      <c r="AE3388" t="str">
        <f t="shared" si="72"/>
        <v/>
      </c>
    </row>
    <row r="3389">
      <c r="D3389" s="226"/>
      <c r="H3389" s="474"/>
      <c r="I3389" s="474"/>
      <c r="J3389" s="475"/>
      <c r="K3389" s="275"/>
      <c r="L3389" s="82"/>
      <c r="M3389" s="672"/>
      <c r="N3389" s="242"/>
      <c r="O3389" s="242"/>
      <c r="P3389" s="242"/>
      <c r="Q3389" s="242"/>
      <c r="R3389" s="539"/>
      <c r="S3389" s="540"/>
      <c r="T3389" s="543"/>
      <c r="U3389" s="673" t="b">
        <v>0</v>
      </c>
      <c r="Z3389" t="b">
        <v>0</v>
      </c>
      <c r="AA3389" t="b">
        <v>0</v>
      </c>
      <c r="AC3389" s="82"/>
      <c r="AD3389" t="str">
        <f t="shared" si="71"/>
        <v/>
      </c>
      <c r="AE3389" t="str">
        <f t="shared" si="72"/>
        <v/>
      </c>
    </row>
    <row r="3390">
      <c r="D3390" s="226"/>
      <c r="H3390" s="474"/>
      <c r="I3390" s="474"/>
      <c r="J3390" s="475"/>
      <c r="K3390" s="275"/>
      <c r="L3390" s="82"/>
      <c r="M3390" s="672"/>
      <c r="N3390" s="242"/>
      <c r="O3390" s="242"/>
      <c r="P3390" s="242"/>
      <c r="Q3390" s="242"/>
      <c r="R3390" s="539"/>
      <c r="S3390" s="540"/>
      <c r="T3390" s="543"/>
      <c r="U3390" s="673" t="b">
        <v>0</v>
      </c>
      <c r="Z3390" t="b">
        <v>0</v>
      </c>
      <c r="AA3390" t="b">
        <v>0</v>
      </c>
      <c r="AC3390" s="82"/>
      <c r="AD3390" t="str">
        <f t="shared" si="71"/>
        <v/>
      </c>
      <c r="AE3390" t="str">
        <f t="shared" si="72"/>
        <v/>
      </c>
    </row>
    <row r="3391">
      <c r="D3391" s="226"/>
      <c r="H3391" s="474"/>
      <c r="I3391" s="474"/>
      <c r="J3391" s="475"/>
      <c r="K3391" s="275"/>
      <c r="L3391" s="82"/>
      <c r="M3391" s="672"/>
      <c r="N3391" s="242"/>
      <c r="O3391" s="242"/>
      <c r="P3391" s="242"/>
      <c r="Q3391" s="242"/>
      <c r="R3391" s="539"/>
      <c r="S3391" s="540"/>
      <c r="T3391" s="543"/>
      <c r="U3391" s="673" t="b">
        <v>0</v>
      </c>
      <c r="Z3391" t="b">
        <v>0</v>
      </c>
      <c r="AA3391" t="b">
        <v>0</v>
      </c>
      <c r="AC3391" s="82"/>
      <c r="AD3391" t="str">
        <f t="shared" si="71"/>
        <v/>
      </c>
      <c r="AE3391" t="str">
        <f t="shared" si="72"/>
        <v/>
      </c>
    </row>
    <row r="3392">
      <c r="D3392" s="226"/>
      <c r="H3392" s="474"/>
      <c r="I3392" s="474"/>
      <c r="J3392" s="475"/>
      <c r="K3392" s="275"/>
      <c r="L3392" s="82"/>
      <c r="M3392" s="672"/>
      <c r="N3392" s="242"/>
      <c r="O3392" s="242"/>
      <c r="P3392" s="242"/>
      <c r="Q3392" s="242"/>
      <c r="R3392" s="539"/>
      <c r="S3392" s="540"/>
      <c r="T3392" s="543"/>
      <c r="U3392" s="673" t="b">
        <v>0</v>
      </c>
      <c r="Z3392" t="b">
        <v>0</v>
      </c>
      <c r="AA3392" t="b">
        <v>0</v>
      </c>
      <c r="AC3392" s="82"/>
      <c r="AD3392" t="str">
        <f t="shared" si="71"/>
        <v/>
      </c>
      <c r="AE3392" t="str">
        <f t="shared" si="72"/>
        <v/>
      </c>
    </row>
    <row r="3393">
      <c r="D3393" s="226"/>
      <c r="H3393" s="474"/>
      <c r="I3393" s="474"/>
      <c r="J3393" s="475"/>
      <c r="K3393" s="275"/>
      <c r="L3393" s="82"/>
      <c r="M3393" s="672"/>
      <c r="N3393" s="242"/>
      <c r="O3393" s="242"/>
      <c r="P3393" s="242"/>
      <c r="Q3393" s="242"/>
      <c r="R3393" s="539"/>
      <c r="S3393" s="540"/>
      <c r="T3393" s="543"/>
      <c r="U3393" s="673" t="b">
        <v>0</v>
      </c>
      <c r="Z3393" t="b">
        <v>0</v>
      </c>
      <c r="AA3393" t="b">
        <v>0</v>
      </c>
      <c r="AC3393" s="82"/>
      <c r="AD3393" t="str">
        <f t="shared" si="71"/>
        <v/>
      </c>
      <c r="AE3393" t="str">
        <f t="shared" si="72"/>
        <v/>
      </c>
    </row>
    <row r="3394">
      <c r="D3394" s="226"/>
      <c r="H3394" s="474"/>
      <c r="I3394" s="474"/>
      <c r="J3394" s="475"/>
      <c r="K3394" s="275"/>
      <c r="L3394" s="82"/>
      <c r="M3394" s="672"/>
      <c r="N3394" s="242"/>
      <c r="O3394" s="242"/>
      <c r="P3394" s="242"/>
      <c r="Q3394" s="242"/>
      <c r="R3394" s="539"/>
      <c r="S3394" s="540"/>
      <c r="T3394" s="543"/>
      <c r="U3394" s="673" t="b">
        <v>0</v>
      </c>
      <c r="Z3394" t="b">
        <v>0</v>
      </c>
      <c r="AA3394" t="b">
        <v>0</v>
      </c>
      <c r="AC3394" s="82"/>
      <c r="AD3394" t="str">
        <f t="shared" si="71"/>
        <v/>
      </c>
      <c r="AE3394" t="str">
        <f t="shared" si="72"/>
        <v/>
      </c>
    </row>
    <row r="3395">
      <c r="D3395" s="226"/>
      <c r="H3395" s="474"/>
      <c r="I3395" s="474"/>
      <c r="J3395" s="475"/>
      <c r="K3395" s="275"/>
      <c r="L3395" s="82"/>
      <c r="M3395" s="672"/>
      <c r="N3395" s="242"/>
      <c r="O3395" s="242"/>
      <c r="P3395" s="242"/>
      <c r="Q3395" s="242"/>
      <c r="R3395" s="539"/>
      <c r="S3395" s="540"/>
      <c r="T3395" s="543"/>
      <c r="U3395" s="673" t="b">
        <v>0</v>
      </c>
      <c r="Z3395" t="b">
        <v>0</v>
      </c>
      <c r="AA3395" t="b">
        <v>0</v>
      </c>
      <c r="AC3395" s="82"/>
      <c r="AD3395" t="str">
        <f t="shared" si="71"/>
        <v/>
      </c>
      <c r="AE3395" t="str">
        <f t="shared" si="72"/>
        <v/>
      </c>
    </row>
    <row r="3396">
      <c r="D3396" s="226"/>
      <c r="H3396" s="474"/>
      <c r="I3396" s="474"/>
      <c r="J3396" s="475"/>
      <c r="K3396" s="275"/>
      <c r="L3396" s="82"/>
      <c r="M3396" s="672"/>
      <c r="N3396" s="242"/>
      <c r="O3396" s="242"/>
      <c r="P3396" s="242"/>
      <c r="Q3396" s="242"/>
      <c r="R3396" s="539"/>
      <c r="S3396" s="540"/>
      <c r="T3396" s="543"/>
      <c r="U3396" s="673" t="b">
        <v>0</v>
      </c>
      <c r="Z3396" t="b">
        <v>0</v>
      </c>
      <c r="AA3396" t="b">
        <v>0</v>
      </c>
      <c r="AC3396" s="82"/>
      <c r="AD3396" t="str">
        <f t="shared" si="71"/>
        <v/>
      </c>
      <c r="AE3396" t="str">
        <f t="shared" si="72"/>
        <v/>
      </c>
    </row>
    <row r="3397">
      <c r="D3397" s="226"/>
      <c r="H3397" s="474"/>
      <c r="I3397" s="474"/>
      <c r="J3397" s="475"/>
      <c r="K3397" s="275"/>
      <c r="L3397" s="82"/>
      <c r="M3397" s="672"/>
      <c r="N3397" s="242"/>
      <c r="O3397" s="242"/>
      <c r="P3397" s="242"/>
      <c r="Q3397" s="242"/>
      <c r="R3397" s="539"/>
      <c r="S3397" s="540"/>
      <c r="T3397" s="543"/>
      <c r="U3397" s="673" t="b">
        <v>0</v>
      </c>
      <c r="Z3397" t="b">
        <v>0</v>
      </c>
      <c r="AA3397" t="b">
        <v>0</v>
      </c>
      <c r="AC3397" s="82"/>
      <c r="AD3397" t="str">
        <f t="shared" si="71"/>
        <v/>
      </c>
      <c r="AE3397" t="str">
        <f t="shared" si="72"/>
        <v/>
      </c>
    </row>
    <row r="3398">
      <c r="D3398" s="226"/>
      <c r="H3398" s="474"/>
      <c r="I3398" s="474"/>
      <c r="J3398" s="475"/>
      <c r="K3398" s="275"/>
      <c r="L3398" s="82"/>
      <c r="M3398" s="672"/>
      <c r="N3398" s="242"/>
      <c r="O3398" s="242"/>
      <c r="P3398" s="242"/>
      <c r="Q3398" s="242"/>
      <c r="R3398" s="539"/>
      <c r="S3398" s="540"/>
      <c r="T3398" s="543"/>
      <c r="U3398" s="673" t="b">
        <v>0</v>
      </c>
      <c r="Z3398" t="b">
        <v>0</v>
      </c>
      <c r="AA3398" t="b">
        <v>0</v>
      </c>
      <c r="AC3398" s="82"/>
      <c r="AD3398" t="str">
        <f t="shared" si="71"/>
        <v/>
      </c>
      <c r="AE3398" t="str">
        <f t="shared" si="72"/>
        <v/>
      </c>
    </row>
    <row r="3399">
      <c r="D3399" s="226"/>
      <c r="H3399" s="474"/>
      <c r="I3399" s="474"/>
      <c r="J3399" s="475"/>
      <c r="K3399" s="275"/>
      <c r="L3399" s="82"/>
      <c r="M3399" s="672"/>
      <c r="N3399" s="242"/>
      <c r="O3399" s="242"/>
      <c r="P3399" s="242"/>
      <c r="Q3399" s="242"/>
      <c r="R3399" s="539"/>
      <c r="S3399" s="540"/>
      <c r="T3399" s="543"/>
      <c r="U3399" s="673" t="b">
        <v>0</v>
      </c>
      <c r="Z3399" t="b">
        <v>0</v>
      </c>
      <c r="AA3399" t="b">
        <v>0</v>
      </c>
      <c r="AC3399" s="82"/>
      <c r="AD3399" t="str">
        <f t="shared" si="71"/>
        <v/>
      </c>
      <c r="AE3399" t="str">
        <f t="shared" si="72"/>
        <v/>
      </c>
    </row>
    <row r="3400">
      <c r="D3400" s="226"/>
      <c r="H3400" s="474"/>
      <c r="I3400" s="474"/>
      <c r="J3400" s="475"/>
      <c r="K3400" s="275"/>
      <c r="L3400" s="82"/>
      <c r="M3400" s="672"/>
      <c r="N3400" s="242"/>
      <c r="O3400" s="242"/>
      <c r="P3400" s="242"/>
      <c r="Q3400" s="242"/>
      <c r="R3400" s="539"/>
      <c r="S3400" s="540"/>
      <c r="T3400" s="543"/>
      <c r="U3400" s="673" t="b">
        <v>0</v>
      </c>
      <c r="Z3400" t="b">
        <v>0</v>
      </c>
      <c r="AA3400" t="b">
        <v>0</v>
      </c>
      <c r="AC3400" s="82"/>
      <c r="AD3400" t="str">
        <f t="shared" si="71"/>
        <v/>
      </c>
      <c r="AE3400" t="str">
        <f t="shared" si="72"/>
        <v/>
      </c>
    </row>
    <row r="3401">
      <c r="D3401" s="226"/>
      <c r="H3401" s="474"/>
      <c r="I3401" s="474"/>
      <c r="J3401" s="475"/>
      <c r="K3401" s="275"/>
      <c r="L3401" s="82"/>
      <c r="M3401" s="672"/>
      <c r="N3401" s="242"/>
      <c r="O3401" s="242"/>
      <c r="P3401" s="242"/>
      <c r="Q3401" s="242"/>
      <c r="R3401" s="539"/>
      <c r="S3401" s="540"/>
      <c r="T3401" s="543"/>
      <c r="U3401" s="673" t="b">
        <v>0</v>
      </c>
      <c r="Z3401" t="b">
        <v>0</v>
      </c>
      <c r="AA3401" t="b">
        <v>0</v>
      </c>
      <c r="AC3401" s="82"/>
      <c r="AD3401" t="str">
        <f t="shared" si="71"/>
        <v/>
      </c>
      <c r="AE3401" t="str">
        <f t="shared" si="72"/>
        <v/>
      </c>
    </row>
    <row r="3402">
      <c r="D3402" s="226"/>
      <c r="H3402" s="474"/>
      <c r="I3402" s="474"/>
      <c r="J3402" s="475"/>
      <c r="K3402" s="275"/>
      <c r="L3402" s="82"/>
      <c r="M3402" s="672"/>
      <c r="N3402" s="242"/>
      <c r="O3402" s="242"/>
      <c r="P3402" s="242"/>
      <c r="Q3402" s="242"/>
      <c r="R3402" s="539"/>
      <c r="S3402" s="540"/>
      <c r="T3402" s="543"/>
      <c r="U3402" s="673" t="b">
        <v>0</v>
      </c>
      <c r="Z3402" t="b">
        <v>0</v>
      </c>
      <c r="AA3402" t="b">
        <v>0</v>
      </c>
      <c r="AC3402" s="82"/>
      <c r="AD3402" t="str">
        <f t="shared" si="71"/>
        <v/>
      </c>
      <c r="AE3402" t="str">
        <f t="shared" si="72"/>
        <v/>
      </c>
    </row>
    <row r="3403">
      <c r="D3403" s="226"/>
      <c r="H3403" s="474"/>
      <c r="I3403" s="474"/>
      <c r="J3403" s="475"/>
      <c r="K3403" s="275"/>
      <c r="L3403" s="82"/>
      <c r="M3403" s="672"/>
      <c r="N3403" s="242"/>
      <c r="O3403" s="242"/>
      <c r="P3403" s="242"/>
      <c r="Q3403" s="242"/>
      <c r="R3403" s="539"/>
      <c r="S3403" s="540"/>
      <c r="T3403" s="543"/>
      <c r="U3403" s="673" t="b">
        <v>0</v>
      </c>
      <c r="Z3403" t="b">
        <v>0</v>
      </c>
      <c r="AA3403" t="b">
        <v>0</v>
      </c>
      <c r="AC3403" s="82"/>
      <c r="AD3403" t="str">
        <f t="shared" si="71"/>
        <v/>
      </c>
      <c r="AE3403" t="str">
        <f t="shared" si="72"/>
        <v/>
      </c>
    </row>
    <row r="3404">
      <c r="D3404" s="226"/>
      <c r="H3404" s="474"/>
      <c r="I3404" s="474"/>
      <c r="J3404" s="475"/>
      <c r="K3404" s="275"/>
      <c r="L3404" s="82"/>
      <c r="M3404" s="672"/>
      <c r="N3404" s="242"/>
      <c r="O3404" s="242"/>
      <c r="P3404" s="242"/>
      <c r="Q3404" s="242"/>
      <c r="R3404" s="539"/>
      <c r="S3404" s="540"/>
      <c r="T3404" s="543"/>
      <c r="U3404" s="673" t="b">
        <v>0</v>
      </c>
      <c r="Z3404" t="b">
        <v>0</v>
      </c>
      <c r="AA3404" t="b">
        <v>0</v>
      </c>
      <c r="AC3404" s="82"/>
      <c r="AD3404" t="str">
        <f t="shared" si="71"/>
        <v/>
      </c>
      <c r="AE3404" t="str">
        <f t="shared" si="72"/>
        <v/>
      </c>
    </row>
    <row r="3405">
      <c r="D3405" s="226"/>
      <c r="H3405" s="474"/>
      <c r="I3405" s="474"/>
      <c r="J3405" s="475"/>
      <c r="K3405" s="275"/>
      <c r="L3405" s="82"/>
      <c r="M3405" s="672"/>
      <c r="N3405" s="242"/>
      <c r="O3405" s="242"/>
      <c r="P3405" s="242"/>
      <c r="Q3405" s="242"/>
      <c r="R3405" s="539"/>
      <c r="S3405" s="540"/>
      <c r="T3405" s="543"/>
      <c r="U3405" s="673" t="b">
        <v>0</v>
      </c>
      <c r="Z3405" t="b">
        <v>0</v>
      </c>
      <c r="AA3405" t="b">
        <v>0</v>
      </c>
      <c r="AC3405" s="82"/>
      <c r="AD3405" t="str">
        <f t="shared" si="71"/>
        <v/>
      </c>
      <c r="AE3405" t="str">
        <f t="shared" si="72"/>
        <v/>
      </c>
    </row>
    <row r="3406">
      <c r="D3406" s="226"/>
      <c r="H3406" s="474"/>
      <c r="I3406" s="474"/>
      <c r="J3406" s="475"/>
      <c r="K3406" s="275"/>
      <c r="L3406" s="82"/>
      <c r="M3406" s="672"/>
      <c r="N3406" s="242"/>
      <c r="O3406" s="242"/>
      <c r="P3406" s="242"/>
      <c r="Q3406" s="242"/>
      <c r="R3406" s="539"/>
      <c r="S3406" s="540"/>
      <c r="T3406" s="543"/>
      <c r="U3406" s="673" t="b">
        <v>0</v>
      </c>
      <c r="Z3406" t="b">
        <v>0</v>
      </c>
      <c r="AA3406" t="b">
        <v>0</v>
      </c>
      <c r="AC3406" s="82"/>
      <c r="AD3406" t="str">
        <f t="shared" si="71"/>
        <v/>
      </c>
      <c r="AE3406" t="str">
        <f t="shared" si="72"/>
        <v/>
      </c>
    </row>
    <row r="3407">
      <c r="D3407" s="226"/>
      <c r="H3407" s="474"/>
      <c r="I3407" s="474"/>
      <c r="J3407" s="475"/>
      <c r="K3407" s="275"/>
      <c r="L3407" s="82"/>
      <c r="M3407" s="672"/>
      <c r="N3407" s="242"/>
      <c r="O3407" s="242"/>
      <c r="P3407" s="242"/>
      <c r="Q3407" s="242"/>
      <c r="R3407" s="539"/>
      <c r="S3407" s="540"/>
      <c r="T3407" s="543"/>
      <c r="U3407" s="673" t="b">
        <v>0</v>
      </c>
      <c r="Z3407" t="b">
        <v>0</v>
      </c>
      <c r="AA3407" t="b">
        <v>0</v>
      </c>
      <c r="AC3407" s="82"/>
      <c r="AD3407" t="str">
        <f t="shared" si="71"/>
        <v/>
      </c>
      <c r="AE3407" t="str">
        <f t="shared" si="72"/>
        <v/>
      </c>
    </row>
    <row r="3408">
      <c r="D3408" s="226"/>
      <c r="H3408" s="474"/>
      <c r="I3408" s="474"/>
      <c r="J3408" s="475"/>
      <c r="K3408" s="275"/>
      <c r="L3408" s="82"/>
      <c r="M3408" s="672"/>
      <c r="N3408" s="242"/>
      <c r="O3408" s="242"/>
      <c r="P3408" s="242"/>
      <c r="Q3408" s="242"/>
      <c r="R3408" s="539"/>
      <c r="S3408" s="540"/>
      <c r="T3408" s="543"/>
      <c r="U3408" s="673" t="b">
        <v>0</v>
      </c>
      <c r="Z3408" t="b">
        <v>0</v>
      </c>
      <c r="AA3408" t="b">
        <v>0</v>
      </c>
      <c r="AC3408" s="82"/>
      <c r="AD3408" t="str">
        <f t="shared" si="71"/>
        <v/>
      </c>
      <c r="AE3408" t="str">
        <f t="shared" si="72"/>
        <v/>
      </c>
    </row>
    <row r="3409">
      <c r="D3409" s="226"/>
      <c r="H3409" s="474"/>
      <c r="I3409" s="474"/>
      <c r="J3409" s="475"/>
      <c r="K3409" s="275"/>
      <c r="L3409" s="82"/>
      <c r="M3409" s="672"/>
      <c r="N3409" s="242"/>
      <c r="O3409" s="242"/>
      <c r="P3409" s="242"/>
      <c r="Q3409" s="242"/>
      <c r="R3409" s="539"/>
      <c r="S3409" s="540"/>
      <c r="T3409" s="543"/>
      <c r="U3409" s="673" t="b">
        <v>0</v>
      </c>
      <c r="Z3409" t="b">
        <v>0</v>
      </c>
      <c r="AA3409" t="b">
        <v>0</v>
      </c>
      <c r="AC3409" s="82"/>
      <c r="AD3409" t="str">
        <f t="shared" si="71"/>
        <v/>
      </c>
      <c r="AE3409" t="str">
        <f t="shared" si="72"/>
        <v/>
      </c>
    </row>
    <row r="3410">
      <c r="D3410" s="226"/>
      <c r="H3410" s="474"/>
      <c r="I3410" s="474"/>
      <c r="J3410" s="475"/>
      <c r="K3410" s="275"/>
      <c r="L3410" s="82"/>
      <c r="M3410" s="672"/>
      <c r="N3410" s="242"/>
      <c r="O3410" s="242"/>
      <c r="P3410" s="242"/>
      <c r="Q3410" s="242"/>
      <c r="R3410" s="539"/>
      <c r="S3410" s="540"/>
      <c r="T3410" s="543"/>
      <c r="U3410" s="673" t="b">
        <v>0</v>
      </c>
      <c r="Z3410" t="b">
        <v>0</v>
      </c>
      <c r="AA3410" t="b">
        <v>0</v>
      </c>
      <c r="AC3410" s="82"/>
      <c r="AD3410" t="str">
        <f t="shared" si="71"/>
        <v/>
      </c>
      <c r="AE3410" t="str">
        <f t="shared" si="72"/>
        <v/>
      </c>
    </row>
    <row r="3411">
      <c r="D3411" s="226"/>
      <c r="H3411" s="474"/>
      <c r="I3411" s="474"/>
      <c r="J3411" s="475"/>
      <c r="K3411" s="275"/>
      <c r="L3411" s="82"/>
      <c r="M3411" s="672"/>
      <c r="N3411" s="242"/>
      <c r="O3411" s="242"/>
      <c r="P3411" s="242"/>
      <c r="Q3411" s="242"/>
      <c r="R3411" s="539"/>
      <c r="S3411" s="540"/>
      <c r="T3411" s="543"/>
      <c r="U3411" s="673" t="b">
        <v>0</v>
      </c>
      <c r="Z3411" t="b">
        <v>0</v>
      </c>
      <c r="AA3411" t="b">
        <v>0</v>
      </c>
      <c r="AC3411" s="82"/>
      <c r="AD3411" t="str">
        <f t="shared" si="71"/>
        <v/>
      </c>
      <c r="AE3411" t="str">
        <f t="shared" si="72"/>
        <v/>
      </c>
    </row>
    <row r="3412">
      <c r="D3412" s="226"/>
      <c r="H3412" s="474"/>
      <c r="I3412" s="474"/>
      <c r="J3412" s="475"/>
      <c r="K3412" s="275"/>
      <c r="L3412" s="82"/>
      <c r="M3412" s="672"/>
      <c r="N3412" s="242"/>
      <c r="O3412" s="242"/>
      <c r="P3412" s="242"/>
      <c r="Q3412" s="242"/>
      <c r="R3412" s="539"/>
      <c r="S3412" s="540"/>
      <c r="T3412" s="543"/>
      <c r="U3412" s="673" t="b">
        <v>0</v>
      </c>
      <c r="Z3412" t="b">
        <v>0</v>
      </c>
      <c r="AA3412" t="b">
        <v>0</v>
      </c>
      <c r="AC3412" s="82"/>
      <c r="AD3412" t="str">
        <f t="shared" si="71"/>
        <v/>
      </c>
      <c r="AE3412" t="str">
        <f t="shared" si="72"/>
        <v/>
      </c>
    </row>
    <row r="3413">
      <c r="D3413" s="226"/>
      <c r="H3413" s="474"/>
      <c r="I3413" s="474"/>
      <c r="J3413" s="475"/>
      <c r="K3413" s="275"/>
      <c r="L3413" s="82"/>
      <c r="M3413" s="672"/>
      <c r="N3413" s="242"/>
      <c r="O3413" s="242"/>
      <c r="P3413" s="242"/>
      <c r="Q3413" s="242"/>
      <c r="R3413" s="539"/>
      <c r="S3413" s="540"/>
      <c r="T3413" s="543"/>
      <c r="U3413" s="673" t="b">
        <v>0</v>
      </c>
      <c r="Z3413" t="b">
        <v>0</v>
      </c>
      <c r="AA3413" t="b">
        <v>0</v>
      </c>
      <c r="AC3413" s="82"/>
      <c r="AD3413" t="str">
        <f t="shared" si="71"/>
        <v/>
      </c>
      <c r="AE3413" t="str">
        <f t="shared" si="72"/>
        <v/>
      </c>
    </row>
    <row r="3414">
      <c r="D3414" s="226"/>
      <c r="H3414" s="474"/>
      <c r="I3414" s="474"/>
      <c r="J3414" s="475"/>
      <c r="K3414" s="275"/>
      <c r="L3414" s="82"/>
      <c r="M3414" s="672"/>
      <c r="N3414" s="242"/>
      <c r="O3414" s="242"/>
      <c r="P3414" s="242"/>
      <c r="Q3414" s="242"/>
      <c r="R3414" s="539"/>
      <c r="S3414" s="540"/>
      <c r="T3414" s="543"/>
      <c r="U3414" s="673" t="b">
        <v>0</v>
      </c>
      <c r="Z3414" t="b">
        <v>0</v>
      </c>
      <c r="AA3414" t="b">
        <v>0</v>
      </c>
      <c r="AC3414" s="82"/>
      <c r="AD3414" t="str">
        <f t="shared" si="71"/>
        <v/>
      </c>
      <c r="AE3414" t="str">
        <f t="shared" si="72"/>
        <v/>
      </c>
    </row>
    <row r="3415">
      <c r="D3415" s="226"/>
      <c r="H3415" s="474"/>
      <c r="I3415" s="474"/>
      <c r="J3415" s="475"/>
      <c r="K3415" s="275"/>
      <c r="L3415" s="82"/>
      <c r="M3415" s="672"/>
      <c r="N3415" s="242"/>
      <c r="O3415" s="242"/>
      <c r="P3415" s="242"/>
      <c r="Q3415" s="242"/>
      <c r="R3415" s="539"/>
      <c r="S3415" s="540"/>
      <c r="T3415" s="543"/>
      <c r="U3415" s="673" t="b">
        <v>0</v>
      </c>
      <c r="Z3415" t="b">
        <v>0</v>
      </c>
      <c r="AA3415" t="b">
        <v>0</v>
      </c>
      <c r="AC3415" s="82"/>
      <c r="AD3415" t="str">
        <f t="shared" si="71"/>
        <v/>
      </c>
      <c r="AE3415" t="str">
        <f t="shared" si="72"/>
        <v/>
      </c>
    </row>
    <row r="3416">
      <c r="D3416" s="226"/>
      <c r="H3416" s="474"/>
      <c r="I3416" s="474"/>
      <c r="J3416" s="475"/>
      <c r="K3416" s="275"/>
      <c r="L3416" s="82"/>
      <c r="M3416" s="672"/>
      <c r="N3416" s="242"/>
      <c r="O3416" s="242"/>
      <c r="P3416" s="242"/>
      <c r="Q3416" s="242"/>
      <c r="R3416" s="539"/>
      <c r="S3416" s="540"/>
      <c r="T3416" s="543"/>
      <c r="U3416" s="673" t="b">
        <v>0</v>
      </c>
      <c r="Z3416" t="b">
        <v>0</v>
      </c>
      <c r="AA3416" t="b">
        <v>0</v>
      </c>
      <c r="AC3416" s="82"/>
      <c r="AD3416" t="str">
        <f t="shared" si="71"/>
        <v/>
      </c>
      <c r="AE3416" t="str">
        <f t="shared" si="72"/>
        <v/>
      </c>
    </row>
    <row r="3417">
      <c r="D3417" s="226"/>
      <c r="H3417" s="474"/>
      <c r="I3417" s="474"/>
      <c r="J3417" s="475"/>
      <c r="K3417" s="275"/>
      <c r="L3417" s="82"/>
      <c r="M3417" s="672"/>
      <c r="N3417" s="242"/>
      <c r="O3417" s="242"/>
      <c r="P3417" s="242"/>
      <c r="Q3417" s="242"/>
      <c r="R3417" s="539"/>
      <c r="S3417" s="540"/>
      <c r="T3417" s="543"/>
      <c r="U3417" s="673" t="b">
        <v>0</v>
      </c>
      <c r="Z3417" t="b">
        <v>0</v>
      </c>
      <c r="AA3417" t="b">
        <v>0</v>
      </c>
      <c r="AC3417" s="82"/>
      <c r="AD3417" t="str">
        <f t="shared" si="71"/>
        <v/>
      </c>
      <c r="AE3417" t="str">
        <f t="shared" si="72"/>
        <v/>
      </c>
    </row>
    <row r="3418">
      <c r="D3418" s="226"/>
      <c r="H3418" s="474"/>
      <c r="I3418" s="474"/>
      <c r="J3418" s="475"/>
      <c r="K3418" s="275"/>
      <c r="L3418" s="82"/>
      <c r="M3418" s="672"/>
      <c r="N3418" s="242"/>
      <c r="O3418" s="242"/>
      <c r="P3418" s="242"/>
      <c r="Q3418" s="242"/>
      <c r="R3418" s="539"/>
      <c r="S3418" s="540"/>
      <c r="T3418" s="543"/>
      <c r="U3418" s="673" t="b">
        <v>0</v>
      </c>
      <c r="Z3418" t="b">
        <v>0</v>
      </c>
      <c r="AA3418" t="b">
        <v>0</v>
      </c>
      <c r="AC3418" s="82"/>
      <c r="AD3418" t="str">
        <f t="shared" si="71"/>
        <v/>
      </c>
      <c r="AE3418" t="str">
        <f t="shared" si="72"/>
        <v/>
      </c>
    </row>
    <row r="3419">
      <c r="D3419" s="226"/>
      <c r="H3419" s="474"/>
      <c r="I3419" s="474"/>
      <c r="J3419" s="475"/>
      <c r="K3419" s="275"/>
      <c r="L3419" s="82"/>
      <c r="M3419" s="672"/>
      <c r="N3419" s="242"/>
      <c r="O3419" s="242"/>
      <c r="P3419" s="242"/>
      <c r="Q3419" s="242"/>
      <c r="R3419" s="539"/>
      <c r="S3419" s="540"/>
      <c r="T3419" s="543"/>
      <c r="U3419" s="673" t="b">
        <v>0</v>
      </c>
      <c r="Z3419" t="b">
        <v>0</v>
      </c>
      <c r="AA3419" t="b">
        <v>0</v>
      </c>
      <c r="AC3419" s="82"/>
      <c r="AD3419" t="str">
        <f t="shared" si="71"/>
        <v/>
      </c>
      <c r="AE3419" t="str">
        <f t="shared" si="72"/>
        <v/>
      </c>
    </row>
    <row r="3420">
      <c r="D3420" s="226"/>
      <c r="H3420" s="474"/>
      <c r="I3420" s="474"/>
      <c r="J3420" s="475"/>
      <c r="K3420" s="275"/>
      <c r="L3420" s="82"/>
      <c r="M3420" s="672"/>
      <c r="N3420" s="242"/>
      <c r="O3420" s="242"/>
      <c r="P3420" s="242"/>
      <c r="Q3420" s="242"/>
      <c r="R3420" s="539"/>
      <c r="S3420" s="540"/>
      <c r="T3420" s="543"/>
      <c r="U3420" s="673" t="b">
        <v>0</v>
      </c>
      <c r="Z3420" t="b">
        <v>0</v>
      </c>
      <c r="AA3420" t="b">
        <v>0</v>
      </c>
      <c r="AC3420" s="82"/>
      <c r="AD3420" t="str">
        <f t="shared" si="71"/>
        <v/>
      </c>
      <c r="AE3420" t="str">
        <f t="shared" si="72"/>
        <v/>
      </c>
    </row>
    <row r="3421">
      <c r="D3421" s="226"/>
      <c r="H3421" s="474"/>
      <c r="I3421" s="474"/>
      <c r="J3421" s="475"/>
      <c r="K3421" s="275"/>
      <c r="L3421" s="82"/>
      <c r="M3421" s="672"/>
      <c r="N3421" s="242"/>
      <c r="O3421" s="242"/>
      <c r="P3421" s="242"/>
      <c r="Q3421" s="242"/>
      <c r="R3421" s="539"/>
      <c r="S3421" s="540"/>
      <c r="T3421" s="543"/>
      <c r="U3421" s="673" t="b">
        <v>0</v>
      </c>
      <c r="Z3421" t="b">
        <v>0</v>
      </c>
      <c r="AA3421" t="b">
        <v>0</v>
      </c>
      <c r="AC3421" s="82"/>
      <c r="AD3421" t="str">
        <f t="shared" si="71"/>
        <v/>
      </c>
      <c r="AE3421" t="str">
        <f t="shared" si="72"/>
        <v/>
      </c>
    </row>
    <row r="3422">
      <c r="D3422" s="226"/>
      <c r="H3422" s="474"/>
      <c r="I3422" s="474"/>
      <c r="J3422" s="475"/>
      <c r="K3422" s="275"/>
      <c r="L3422" s="82"/>
      <c r="M3422" s="672"/>
      <c r="N3422" s="242"/>
      <c r="O3422" s="242"/>
      <c r="P3422" s="242"/>
      <c r="Q3422" s="242"/>
      <c r="R3422" s="539"/>
      <c r="S3422" s="540"/>
      <c r="T3422" s="543"/>
      <c r="U3422" s="673" t="b">
        <v>0</v>
      </c>
      <c r="Z3422" t="b">
        <v>0</v>
      </c>
      <c r="AA3422" t="b">
        <v>0</v>
      </c>
      <c r="AC3422" s="82"/>
      <c r="AD3422" t="str">
        <f t="shared" si="71"/>
        <v/>
      </c>
      <c r="AE3422" t="str">
        <f t="shared" si="72"/>
        <v/>
      </c>
    </row>
    <row r="3423">
      <c r="D3423" s="226"/>
      <c r="H3423" s="474"/>
      <c r="I3423" s="474"/>
      <c r="J3423" s="475"/>
      <c r="K3423" s="275"/>
      <c r="L3423" s="82"/>
      <c r="M3423" s="672"/>
      <c r="N3423" s="242"/>
      <c r="O3423" s="242"/>
      <c r="P3423" s="242"/>
      <c r="Q3423" s="242"/>
      <c r="R3423" s="539"/>
      <c r="S3423" s="540"/>
      <c r="T3423" s="543"/>
      <c r="U3423" s="673" t="b">
        <v>0</v>
      </c>
      <c r="Z3423" t="b">
        <v>0</v>
      </c>
      <c r="AA3423" t="b">
        <v>0</v>
      </c>
      <c r="AC3423" s="82"/>
      <c r="AD3423" t="str">
        <f t="shared" si="71"/>
        <v/>
      </c>
      <c r="AE3423" t="str">
        <f t="shared" si="72"/>
        <v/>
      </c>
    </row>
    <row r="3424">
      <c r="D3424" s="226"/>
      <c r="H3424" s="474"/>
      <c r="I3424" s="474"/>
      <c r="J3424" s="475"/>
      <c r="K3424" s="275"/>
      <c r="L3424" s="82"/>
      <c r="M3424" s="672"/>
      <c r="N3424" s="242"/>
      <c r="O3424" s="242"/>
      <c r="P3424" s="242"/>
      <c r="Q3424" s="242"/>
      <c r="R3424" s="539"/>
      <c r="S3424" s="540"/>
      <c r="T3424" s="543"/>
      <c r="U3424" s="673" t="b">
        <v>0</v>
      </c>
      <c r="Z3424" t="b">
        <v>0</v>
      </c>
      <c r="AA3424" t="b">
        <v>0</v>
      </c>
      <c r="AC3424" s="82"/>
      <c r="AD3424" t="str">
        <f t="shared" si="71"/>
        <v/>
      </c>
      <c r="AE3424" t="str">
        <f t="shared" si="72"/>
        <v/>
      </c>
    </row>
    <row r="3425">
      <c r="D3425" s="226"/>
      <c r="H3425" s="474"/>
      <c r="I3425" s="474"/>
      <c r="J3425" s="475"/>
      <c r="K3425" s="275"/>
      <c r="L3425" s="82"/>
      <c r="M3425" s="672"/>
      <c r="N3425" s="242"/>
      <c r="O3425" s="242"/>
      <c r="P3425" s="242"/>
      <c r="Q3425" s="242"/>
      <c r="R3425" s="539"/>
      <c r="S3425" s="540"/>
      <c r="T3425" s="543"/>
      <c r="U3425" s="673" t="b">
        <v>0</v>
      </c>
      <c r="Z3425" t="b">
        <v>0</v>
      </c>
      <c r="AA3425" t="b">
        <v>0</v>
      </c>
      <c r="AC3425" s="82"/>
      <c r="AD3425" t="str">
        <f t="shared" si="71"/>
        <v/>
      </c>
      <c r="AE3425" t="str">
        <f t="shared" si="72"/>
        <v/>
      </c>
    </row>
    <row r="3426">
      <c r="D3426" s="226"/>
      <c r="H3426" s="474"/>
      <c r="I3426" s="474"/>
      <c r="J3426" s="475"/>
      <c r="K3426" s="275"/>
      <c r="L3426" s="82"/>
      <c r="M3426" s="672"/>
      <c r="N3426" s="242"/>
      <c r="O3426" s="242"/>
      <c r="P3426" s="242"/>
      <c r="Q3426" s="242"/>
      <c r="R3426" s="539"/>
      <c r="S3426" s="540"/>
      <c r="T3426" s="543"/>
      <c r="U3426" s="673" t="b">
        <v>0</v>
      </c>
      <c r="Z3426" t="b">
        <v>0</v>
      </c>
      <c r="AA3426" t="b">
        <v>0</v>
      </c>
      <c r="AC3426" s="82"/>
      <c r="AD3426" t="str">
        <f t="shared" si="71"/>
        <v/>
      </c>
      <c r="AE3426" t="str">
        <f t="shared" si="72"/>
        <v/>
      </c>
    </row>
    <row r="3427">
      <c r="D3427" s="226"/>
      <c r="H3427" s="474"/>
      <c r="I3427" s="474"/>
      <c r="J3427" s="475"/>
      <c r="K3427" s="275"/>
      <c r="L3427" s="82"/>
      <c r="M3427" s="672"/>
      <c r="N3427" s="242"/>
      <c r="O3427" s="242"/>
      <c r="P3427" s="242"/>
      <c r="Q3427" s="242"/>
      <c r="R3427" s="539"/>
      <c r="S3427" s="540"/>
      <c r="T3427" s="543"/>
      <c r="U3427" s="673" t="b">
        <v>0</v>
      </c>
      <c r="Z3427" t="b">
        <v>0</v>
      </c>
      <c r="AA3427" t="b">
        <v>0</v>
      </c>
      <c r="AC3427" s="82"/>
      <c r="AD3427" t="str">
        <f t="shared" si="71"/>
        <v/>
      </c>
      <c r="AE3427" t="str">
        <f t="shared" si="72"/>
        <v/>
      </c>
    </row>
    <row r="3428">
      <c r="D3428" s="226"/>
      <c r="H3428" s="474"/>
      <c r="I3428" s="474"/>
      <c r="J3428" s="475"/>
      <c r="K3428" s="275"/>
      <c r="L3428" s="82"/>
      <c r="M3428" s="672"/>
      <c r="N3428" s="242"/>
      <c r="O3428" s="242"/>
      <c r="P3428" s="242"/>
      <c r="Q3428" s="242"/>
      <c r="R3428" s="539"/>
      <c r="S3428" s="540"/>
      <c r="T3428" s="543"/>
      <c r="U3428" s="673" t="b">
        <v>0</v>
      </c>
      <c r="Z3428" t="b">
        <v>0</v>
      </c>
      <c r="AA3428" t="b">
        <v>0</v>
      </c>
      <c r="AC3428" s="82"/>
      <c r="AD3428" t="str">
        <f t="shared" si="71"/>
        <v/>
      </c>
      <c r="AE3428" t="str">
        <f t="shared" si="72"/>
        <v/>
      </c>
    </row>
    <row r="3429">
      <c r="D3429" s="226"/>
      <c r="H3429" s="474"/>
      <c r="I3429" s="474"/>
      <c r="J3429" s="475"/>
      <c r="K3429" s="275"/>
      <c r="L3429" s="82"/>
      <c r="M3429" s="672"/>
      <c r="N3429" s="242"/>
      <c r="O3429" s="242"/>
      <c r="P3429" s="242"/>
      <c r="Q3429" s="242"/>
      <c r="R3429" s="539"/>
      <c r="S3429" s="540"/>
      <c r="T3429" s="543"/>
      <c r="U3429" s="673" t="b">
        <v>0</v>
      </c>
      <c r="Z3429" t="b">
        <v>0</v>
      </c>
      <c r="AA3429" t="b">
        <v>0</v>
      </c>
      <c r="AC3429" s="82"/>
      <c r="AD3429" t="str">
        <f t="shared" si="71"/>
        <v/>
      </c>
      <c r="AE3429" t="str">
        <f t="shared" si="72"/>
        <v/>
      </c>
    </row>
    <row r="3430">
      <c r="D3430" s="226"/>
      <c r="H3430" s="474"/>
      <c r="I3430" s="474"/>
      <c r="J3430" s="475"/>
      <c r="K3430" s="275"/>
      <c r="L3430" s="82"/>
      <c r="M3430" s="672"/>
      <c r="N3430" s="242"/>
      <c r="O3430" s="242"/>
      <c r="P3430" s="242"/>
      <c r="Q3430" s="242"/>
      <c r="R3430" s="539"/>
      <c r="S3430" s="540"/>
      <c r="T3430" s="543"/>
      <c r="U3430" s="673" t="b">
        <v>0</v>
      </c>
      <c r="Z3430" t="b">
        <v>0</v>
      </c>
      <c r="AA3430" t="b">
        <v>0</v>
      </c>
      <c r="AC3430" s="82"/>
      <c r="AD3430" t="str">
        <f t="shared" si="71"/>
        <v/>
      </c>
      <c r="AE3430" t="str">
        <f t="shared" si="72"/>
        <v/>
      </c>
    </row>
    <row r="3431">
      <c r="D3431" s="226"/>
      <c r="H3431" s="474"/>
      <c r="I3431" s="474"/>
      <c r="J3431" s="475"/>
      <c r="K3431" s="275"/>
      <c r="L3431" s="82"/>
      <c r="M3431" s="672"/>
      <c r="N3431" s="242"/>
      <c r="O3431" s="242"/>
      <c r="P3431" s="242"/>
      <c r="Q3431" s="242"/>
      <c r="R3431" s="539"/>
      <c r="S3431" s="540"/>
      <c r="T3431" s="543"/>
      <c r="U3431" s="673" t="b">
        <v>0</v>
      </c>
      <c r="Z3431" t="b">
        <v>0</v>
      </c>
      <c r="AA3431" t="b">
        <v>0</v>
      </c>
      <c r="AC3431" s="82"/>
      <c r="AD3431" t="str">
        <f t="shared" si="71"/>
        <v/>
      </c>
      <c r="AE3431" t="str">
        <f t="shared" si="72"/>
        <v/>
      </c>
    </row>
    <row r="3432">
      <c r="D3432" s="226"/>
      <c r="H3432" s="474"/>
      <c r="I3432" s="474"/>
      <c r="J3432" s="475"/>
      <c r="K3432" s="275"/>
      <c r="L3432" s="82"/>
      <c r="M3432" s="672"/>
      <c r="N3432" s="242"/>
      <c r="O3432" s="242"/>
      <c r="P3432" s="242"/>
      <c r="Q3432" s="242"/>
      <c r="R3432" s="539"/>
      <c r="S3432" s="540"/>
      <c r="T3432" s="543"/>
      <c r="U3432" s="673" t="b">
        <v>0</v>
      </c>
      <c r="Z3432" t="b">
        <v>0</v>
      </c>
      <c r="AA3432" t="b">
        <v>0</v>
      </c>
      <c r="AC3432" s="82"/>
      <c r="AD3432" t="str">
        <f t="shared" si="71"/>
        <v/>
      </c>
      <c r="AE3432" t="str">
        <f t="shared" si="72"/>
        <v/>
      </c>
    </row>
    <row r="3433">
      <c r="D3433" s="226"/>
      <c r="H3433" s="474"/>
      <c r="I3433" s="474"/>
      <c r="J3433" s="475"/>
      <c r="K3433" s="275"/>
      <c r="L3433" s="82"/>
      <c r="M3433" s="672"/>
      <c r="N3433" s="242"/>
      <c r="O3433" s="242"/>
      <c r="P3433" s="242"/>
      <c r="Q3433" s="242"/>
      <c r="R3433" s="539"/>
      <c r="S3433" s="540"/>
      <c r="T3433" s="543"/>
      <c r="U3433" s="673" t="b">
        <v>0</v>
      </c>
      <c r="Z3433" t="b">
        <v>0</v>
      </c>
      <c r="AA3433" t="b">
        <v>0</v>
      </c>
      <c r="AC3433" s="82"/>
      <c r="AD3433" t="str">
        <f t="shared" si="71"/>
        <v/>
      </c>
      <c r="AE3433" t="str">
        <f t="shared" si="72"/>
        <v/>
      </c>
    </row>
    <row r="3434">
      <c r="D3434" s="226"/>
      <c r="H3434" s="474"/>
      <c r="I3434" s="474"/>
      <c r="J3434" s="475"/>
      <c r="K3434" s="275"/>
      <c r="L3434" s="82"/>
      <c r="M3434" s="672"/>
      <c r="N3434" s="242"/>
      <c r="O3434" s="242"/>
      <c r="P3434" s="242"/>
      <c r="Q3434" s="242"/>
      <c r="R3434" s="539"/>
      <c r="S3434" s="540"/>
      <c r="T3434" s="543"/>
      <c r="U3434" s="673" t="b">
        <v>0</v>
      </c>
      <c r="Z3434" t="b">
        <v>0</v>
      </c>
      <c r="AA3434" t="b">
        <v>0</v>
      </c>
      <c r="AC3434" s="82"/>
      <c r="AD3434" t="str">
        <f t="shared" si="71"/>
        <v/>
      </c>
      <c r="AE3434" t="str">
        <f t="shared" si="72"/>
        <v/>
      </c>
    </row>
    <row r="3435">
      <c r="D3435" s="226"/>
      <c r="H3435" s="474"/>
      <c r="I3435" s="474"/>
      <c r="J3435" s="475"/>
      <c r="K3435" s="275"/>
      <c r="L3435" s="82"/>
      <c r="M3435" s="672"/>
      <c r="N3435" s="242"/>
      <c r="O3435" s="242"/>
      <c r="P3435" s="242"/>
      <c r="Q3435" s="242"/>
      <c r="R3435" s="539"/>
      <c r="S3435" s="540"/>
      <c r="T3435" s="543"/>
      <c r="U3435" s="673" t="b">
        <v>0</v>
      </c>
      <c r="Z3435" t="b">
        <v>0</v>
      </c>
      <c r="AA3435" t="b">
        <v>0</v>
      </c>
      <c r="AC3435" s="82"/>
      <c r="AD3435" t="str">
        <f t="shared" si="71"/>
        <v/>
      </c>
      <c r="AE3435" t="str">
        <f t="shared" si="72"/>
        <v/>
      </c>
    </row>
    <row r="3436">
      <c r="D3436" s="226"/>
      <c r="H3436" s="474"/>
      <c r="I3436" s="474"/>
      <c r="J3436" s="475"/>
      <c r="K3436" s="275"/>
      <c r="L3436" s="82"/>
      <c r="M3436" s="672"/>
      <c r="N3436" s="242"/>
      <c r="O3436" s="242"/>
      <c r="P3436" s="242"/>
      <c r="Q3436" s="242"/>
      <c r="R3436" s="539"/>
      <c r="S3436" s="540"/>
      <c r="T3436" s="543"/>
      <c r="U3436" s="673" t="b">
        <v>0</v>
      </c>
      <c r="Z3436" t="b">
        <v>0</v>
      </c>
      <c r="AA3436" t="b">
        <v>0</v>
      </c>
      <c r="AC3436" s="82"/>
      <c r="AD3436" t="str">
        <f t="shared" si="71"/>
        <v/>
      </c>
      <c r="AE3436" t="str">
        <f t="shared" si="72"/>
        <v/>
      </c>
    </row>
    <row r="3437">
      <c r="D3437" s="226"/>
      <c r="H3437" s="474"/>
      <c r="I3437" s="474"/>
      <c r="J3437" s="475"/>
      <c r="K3437" s="275"/>
      <c r="L3437" s="82"/>
      <c r="M3437" s="672"/>
      <c r="N3437" s="242"/>
      <c r="O3437" s="242"/>
      <c r="P3437" s="242"/>
      <c r="Q3437" s="242"/>
      <c r="R3437" s="539"/>
      <c r="S3437" s="540"/>
      <c r="T3437" s="543"/>
      <c r="U3437" s="673" t="b">
        <v>0</v>
      </c>
      <c r="Z3437" t="b">
        <v>0</v>
      </c>
      <c r="AA3437" t="b">
        <v>0</v>
      </c>
      <c r="AC3437" s="82"/>
      <c r="AD3437" t="str">
        <f t="shared" si="71"/>
        <v/>
      </c>
      <c r="AE3437" t="str">
        <f t="shared" si="72"/>
        <v/>
      </c>
    </row>
    <row r="3438">
      <c r="D3438" s="226"/>
      <c r="H3438" s="474"/>
      <c r="I3438" s="474"/>
      <c r="J3438" s="475"/>
      <c r="K3438" s="275"/>
      <c r="L3438" s="82"/>
      <c r="M3438" s="672"/>
      <c r="N3438" s="242"/>
      <c r="O3438" s="242"/>
      <c r="P3438" s="242"/>
      <c r="Q3438" s="242"/>
      <c r="R3438" s="539"/>
      <c r="S3438" s="540"/>
      <c r="T3438" s="543"/>
      <c r="U3438" s="673" t="b">
        <v>0</v>
      </c>
      <c r="Z3438" t="b">
        <v>0</v>
      </c>
      <c r="AA3438" t="b">
        <v>0</v>
      </c>
      <c r="AC3438" s="82"/>
      <c r="AD3438" t="str">
        <f t="shared" si="71"/>
        <v/>
      </c>
      <c r="AE3438" t="str">
        <f t="shared" si="72"/>
        <v/>
      </c>
    </row>
    <row r="3439">
      <c r="D3439" s="226"/>
      <c r="H3439" s="474"/>
      <c r="I3439" s="474"/>
      <c r="J3439" s="475"/>
      <c r="K3439" s="275"/>
      <c r="L3439" s="82"/>
      <c r="M3439" s="672"/>
      <c r="N3439" s="242"/>
      <c r="O3439" s="242"/>
      <c r="P3439" s="242"/>
      <c r="Q3439" s="242"/>
      <c r="R3439" s="539"/>
      <c r="S3439" s="540"/>
      <c r="T3439" s="543"/>
      <c r="U3439" s="673" t="b">
        <v>0</v>
      </c>
      <c r="Z3439" t="b">
        <v>0</v>
      </c>
      <c r="AA3439" t="b">
        <v>0</v>
      </c>
      <c r="AC3439" s="82"/>
      <c r="AD3439" t="str">
        <f t="shared" si="71"/>
        <v/>
      </c>
      <c r="AE3439" t="str">
        <f t="shared" si="72"/>
        <v/>
      </c>
    </row>
    <row r="3440">
      <c r="D3440" s="226"/>
      <c r="H3440" s="474"/>
      <c r="I3440" s="474"/>
      <c r="J3440" s="475"/>
      <c r="K3440" s="275"/>
      <c r="L3440" s="82"/>
      <c r="M3440" s="672"/>
      <c r="N3440" s="242"/>
      <c r="O3440" s="242"/>
      <c r="P3440" s="242"/>
      <c r="Q3440" s="242"/>
      <c r="R3440" s="539"/>
      <c r="S3440" s="540"/>
      <c r="T3440" s="543"/>
      <c r="U3440" s="673" t="b">
        <v>0</v>
      </c>
      <c r="Z3440" t="b">
        <v>0</v>
      </c>
      <c r="AA3440" t="b">
        <v>0</v>
      </c>
      <c r="AC3440" s="82"/>
      <c r="AD3440" t="str">
        <f t="shared" si="71"/>
        <v/>
      </c>
      <c r="AE3440" t="str">
        <f t="shared" si="72"/>
        <v/>
      </c>
    </row>
    <row r="3441">
      <c r="D3441" s="226"/>
      <c r="H3441" s="474"/>
      <c r="I3441" s="474"/>
      <c r="J3441" s="475"/>
      <c r="K3441" s="275"/>
      <c r="L3441" s="82"/>
      <c r="M3441" s="672"/>
      <c r="N3441" s="242"/>
      <c r="O3441" s="242"/>
      <c r="P3441" s="242"/>
      <c r="Q3441" s="242"/>
      <c r="R3441" s="539"/>
      <c r="S3441" s="540"/>
      <c r="T3441" s="543"/>
      <c r="U3441" s="673" t="b">
        <v>0</v>
      </c>
      <c r="Z3441" t="b">
        <v>0</v>
      </c>
      <c r="AA3441" t="b">
        <v>0</v>
      </c>
      <c r="AC3441" s="82"/>
      <c r="AD3441" t="str">
        <f t="shared" si="71"/>
        <v/>
      </c>
      <c r="AE3441" t="str">
        <f t="shared" si="72"/>
        <v/>
      </c>
    </row>
    <row r="3442">
      <c r="D3442" s="226"/>
      <c r="H3442" s="474"/>
      <c r="I3442" s="474"/>
      <c r="J3442" s="475"/>
      <c r="K3442" s="275"/>
      <c r="L3442" s="82"/>
      <c r="M3442" s="672"/>
      <c r="N3442" s="242"/>
      <c r="O3442" s="242"/>
      <c r="P3442" s="242"/>
      <c r="Q3442" s="242"/>
      <c r="R3442" s="539"/>
      <c r="S3442" s="540"/>
      <c r="T3442" s="543"/>
      <c r="U3442" s="673" t="b">
        <v>0</v>
      </c>
      <c r="Z3442" t="b">
        <v>0</v>
      </c>
      <c r="AA3442" t="b">
        <v>0</v>
      </c>
      <c r="AC3442" s="82"/>
      <c r="AD3442" t="str">
        <f t="shared" si="71"/>
        <v/>
      </c>
      <c r="AE3442" t="str">
        <f t="shared" si="72"/>
        <v/>
      </c>
    </row>
    <row r="3443">
      <c r="D3443" s="226"/>
      <c r="H3443" s="474"/>
      <c r="I3443" s="474"/>
      <c r="J3443" s="475"/>
      <c r="K3443" s="275"/>
      <c r="L3443" s="82"/>
      <c r="M3443" s="672"/>
      <c r="N3443" s="242"/>
      <c r="O3443" s="242"/>
      <c r="P3443" s="242"/>
      <c r="Q3443" s="242"/>
      <c r="R3443" s="539"/>
      <c r="S3443" s="540"/>
      <c r="T3443" s="543"/>
      <c r="U3443" s="673" t="b">
        <v>0</v>
      </c>
      <c r="Z3443" t="b">
        <v>0</v>
      </c>
      <c r="AA3443" t="b">
        <v>0</v>
      </c>
      <c r="AC3443" s="82"/>
      <c r="AD3443" t="str">
        <f t="shared" si="71"/>
        <v/>
      </c>
      <c r="AE3443" t="str">
        <f t="shared" si="72"/>
        <v/>
      </c>
    </row>
    <row r="3444">
      <c r="D3444" s="226"/>
      <c r="H3444" s="474"/>
      <c r="I3444" s="474"/>
      <c r="J3444" s="475"/>
      <c r="K3444" s="275"/>
      <c r="L3444" s="82"/>
      <c r="M3444" s="672"/>
      <c r="N3444" s="242"/>
      <c r="O3444" s="242"/>
      <c r="P3444" s="242"/>
      <c r="Q3444" s="242"/>
      <c r="R3444" s="539"/>
      <c r="S3444" s="540"/>
      <c r="T3444" s="543"/>
      <c r="U3444" s="673" t="b">
        <v>0</v>
      </c>
      <c r="Z3444" t="b">
        <v>0</v>
      </c>
      <c r="AA3444" t="b">
        <v>0</v>
      </c>
      <c r="AC3444" s="82"/>
      <c r="AD3444" t="str">
        <f t="shared" si="71"/>
        <v/>
      </c>
      <c r="AE3444" t="str">
        <f t="shared" si="72"/>
        <v/>
      </c>
    </row>
    <row r="3445">
      <c r="D3445" s="226"/>
      <c r="H3445" s="474"/>
      <c r="I3445" s="474"/>
      <c r="J3445" s="475"/>
      <c r="K3445" s="275"/>
      <c r="L3445" s="82"/>
      <c r="M3445" s="672"/>
      <c r="N3445" s="242"/>
      <c r="O3445" s="242"/>
      <c r="P3445" s="242"/>
      <c r="Q3445" s="242"/>
      <c r="R3445" s="539"/>
      <c r="S3445" s="540"/>
      <c r="T3445" s="543"/>
      <c r="U3445" s="673" t="b">
        <v>0</v>
      </c>
      <c r="Z3445" t="b">
        <v>0</v>
      </c>
      <c r="AA3445" t="b">
        <v>0</v>
      </c>
      <c r="AC3445" s="82"/>
      <c r="AD3445" t="str">
        <f t="shared" si="71"/>
        <v/>
      </c>
      <c r="AE3445" t="str">
        <f t="shared" si="72"/>
        <v/>
      </c>
    </row>
    <row r="3446">
      <c r="D3446" s="226"/>
      <c r="H3446" s="474"/>
      <c r="I3446" s="474"/>
      <c r="J3446" s="475"/>
      <c r="K3446" s="275"/>
      <c r="L3446" s="82"/>
      <c r="M3446" s="672"/>
      <c r="N3446" s="242"/>
      <c r="O3446" s="242"/>
      <c r="P3446" s="242"/>
      <c r="Q3446" s="242"/>
      <c r="R3446" s="539"/>
      <c r="S3446" s="540"/>
      <c r="T3446" s="543"/>
      <c r="U3446" s="673" t="b">
        <v>0</v>
      </c>
      <c r="Z3446" t="b">
        <v>0</v>
      </c>
      <c r="AA3446" t="b">
        <v>0</v>
      </c>
      <c r="AC3446" s="82"/>
      <c r="AD3446" t="str">
        <f t="shared" si="71"/>
        <v/>
      </c>
      <c r="AE3446" t="str">
        <f t="shared" si="72"/>
        <v/>
      </c>
    </row>
    <row r="3447">
      <c r="D3447" s="226"/>
      <c r="H3447" s="474"/>
      <c r="I3447" s="474"/>
      <c r="J3447" s="475"/>
      <c r="K3447" s="275"/>
      <c r="L3447" s="82"/>
      <c r="M3447" s="672"/>
      <c r="N3447" s="242"/>
      <c r="O3447" s="242"/>
      <c r="P3447" s="242"/>
      <c r="Q3447" s="242"/>
      <c r="R3447" s="539"/>
      <c r="S3447" s="540"/>
      <c r="T3447" s="543"/>
      <c r="U3447" s="673" t="b">
        <v>0</v>
      </c>
      <c r="Z3447" t="b">
        <v>0</v>
      </c>
      <c r="AA3447" t="b">
        <v>0</v>
      </c>
      <c r="AC3447" s="82"/>
      <c r="AD3447" t="str">
        <f t="shared" si="71"/>
        <v/>
      </c>
      <c r="AE3447" t="str">
        <f t="shared" si="72"/>
        <v/>
      </c>
    </row>
    <row r="3448">
      <c r="D3448" s="226"/>
      <c r="H3448" s="474"/>
      <c r="I3448" s="474"/>
      <c r="J3448" s="475"/>
      <c r="K3448" s="275"/>
      <c r="L3448" s="82"/>
      <c r="M3448" s="672"/>
      <c r="N3448" s="242"/>
      <c r="O3448" s="242"/>
      <c r="P3448" s="242"/>
      <c r="Q3448" s="242"/>
      <c r="R3448" s="539"/>
      <c r="S3448" s="540"/>
      <c r="T3448" s="543"/>
      <c r="U3448" s="673" t="b">
        <v>0</v>
      </c>
      <c r="Z3448" t="b">
        <v>0</v>
      </c>
      <c r="AA3448" t="b">
        <v>0</v>
      </c>
      <c r="AC3448" s="82"/>
      <c r="AD3448" t="str">
        <f t="shared" si="71"/>
        <v/>
      </c>
      <c r="AE3448" t="str">
        <f t="shared" si="72"/>
        <v/>
      </c>
    </row>
    <row r="3449">
      <c r="D3449" s="226"/>
      <c r="H3449" s="474"/>
      <c r="I3449" s="474"/>
      <c r="J3449" s="475"/>
      <c r="K3449" s="275"/>
      <c r="L3449" s="82"/>
      <c r="M3449" s="672"/>
      <c r="N3449" s="242"/>
      <c r="O3449" s="242"/>
      <c r="P3449" s="242"/>
      <c r="Q3449" s="242"/>
      <c r="R3449" s="539"/>
      <c r="S3449" s="540"/>
      <c r="T3449" s="543"/>
      <c r="U3449" s="673" t="b">
        <v>0</v>
      </c>
      <c r="Z3449" t="b">
        <v>0</v>
      </c>
      <c r="AA3449" t="b">
        <v>0</v>
      </c>
      <c r="AC3449" s="82"/>
      <c r="AD3449" t="str">
        <f t="shared" si="71"/>
        <v/>
      </c>
      <c r="AE3449" t="str">
        <f t="shared" si="72"/>
        <v/>
      </c>
    </row>
    <row r="3450">
      <c r="D3450" s="226"/>
      <c r="H3450" s="474"/>
      <c r="I3450" s="474"/>
      <c r="J3450" s="475"/>
      <c r="K3450" s="275"/>
      <c r="L3450" s="82"/>
      <c r="M3450" s="672"/>
      <c r="N3450" s="242"/>
      <c r="O3450" s="242"/>
      <c r="P3450" s="242"/>
      <c r="Q3450" s="242"/>
      <c r="R3450" s="539"/>
      <c r="S3450" s="540"/>
      <c r="T3450" s="543"/>
      <c r="U3450" s="673" t="b">
        <v>0</v>
      </c>
      <c r="Z3450" t="b">
        <v>0</v>
      </c>
      <c r="AA3450" t="b">
        <v>0</v>
      </c>
      <c r="AC3450" s="82"/>
      <c r="AD3450" t="str">
        <f t="shared" si="71"/>
        <v/>
      </c>
      <c r="AE3450" t="str">
        <f t="shared" si="72"/>
        <v/>
      </c>
    </row>
    <row r="3451">
      <c r="D3451" s="226"/>
      <c r="H3451" s="474"/>
      <c r="I3451" s="474"/>
      <c r="J3451" s="475"/>
      <c r="K3451" s="275"/>
      <c r="L3451" s="82"/>
      <c r="M3451" s="672"/>
      <c r="N3451" s="242"/>
      <c r="O3451" s="242"/>
      <c r="P3451" s="242"/>
      <c r="Q3451" s="242"/>
      <c r="R3451" s="539"/>
      <c r="S3451" s="540"/>
      <c r="T3451" s="543"/>
      <c r="U3451" s="673" t="b">
        <v>0</v>
      </c>
      <c r="Z3451" t="b">
        <v>0</v>
      </c>
      <c r="AA3451" t="b">
        <v>0</v>
      </c>
      <c r="AC3451" s="82"/>
      <c r="AD3451" t="str">
        <f t="shared" si="71"/>
        <v/>
      </c>
      <c r="AE3451" t="str">
        <f t="shared" si="72"/>
        <v/>
      </c>
    </row>
    <row r="3452">
      <c r="D3452" s="226"/>
      <c r="H3452" s="474"/>
      <c r="I3452" s="474"/>
      <c r="J3452" s="475"/>
      <c r="K3452" s="275"/>
      <c r="L3452" s="82"/>
      <c r="M3452" s="672"/>
      <c r="N3452" s="242"/>
      <c r="O3452" s="242"/>
      <c r="P3452" s="242"/>
      <c r="Q3452" s="242"/>
      <c r="R3452" s="539"/>
      <c r="S3452" s="540"/>
      <c r="T3452" s="543"/>
      <c r="U3452" s="673" t="b">
        <v>0</v>
      </c>
      <c r="Z3452" t="b">
        <v>0</v>
      </c>
      <c r="AA3452" t="b">
        <v>0</v>
      </c>
      <c r="AC3452" s="82"/>
      <c r="AD3452" t="str">
        <f t="shared" si="71"/>
        <v/>
      </c>
      <c r="AE3452" t="str">
        <f t="shared" si="72"/>
        <v/>
      </c>
    </row>
    <row r="3453">
      <c r="D3453" s="226"/>
      <c r="H3453" s="474"/>
      <c r="I3453" s="474"/>
      <c r="J3453" s="475"/>
      <c r="K3453" s="275"/>
      <c r="L3453" s="82"/>
      <c r="M3453" s="672"/>
      <c r="N3453" s="242"/>
      <c r="O3453" s="242"/>
      <c r="P3453" s="242"/>
      <c r="Q3453" s="242"/>
      <c r="R3453" s="539"/>
      <c r="S3453" s="540"/>
      <c r="T3453" s="543"/>
      <c r="U3453" s="673" t="b">
        <v>0</v>
      </c>
      <c r="Z3453" t="b">
        <v>0</v>
      </c>
      <c r="AA3453" t="b">
        <v>0</v>
      </c>
      <c r="AC3453" s="82"/>
      <c r="AD3453" t="str">
        <f t="shared" si="71"/>
        <v/>
      </c>
      <c r="AE3453" t="str">
        <f t="shared" si="72"/>
        <v/>
      </c>
    </row>
    <row r="3454">
      <c r="D3454" s="226"/>
      <c r="H3454" s="474"/>
      <c r="I3454" s="474"/>
      <c r="J3454" s="475"/>
      <c r="K3454" s="275"/>
      <c r="L3454" s="82"/>
      <c r="M3454" s="672"/>
      <c r="N3454" s="242"/>
      <c r="O3454" s="242"/>
      <c r="P3454" s="242"/>
      <c r="Q3454" s="242"/>
      <c r="R3454" s="539"/>
      <c r="S3454" s="540"/>
      <c r="T3454" s="543"/>
      <c r="U3454" s="673" t="b">
        <v>0</v>
      </c>
      <c r="Z3454" t="b">
        <v>0</v>
      </c>
      <c r="AA3454" t="b">
        <v>0</v>
      </c>
      <c r="AC3454" s="82"/>
      <c r="AD3454" t="str">
        <f t="shared" si="71"/>
        <v/>
      </c>
      <c r="AE3454" t="str">
        <f t="shared" si="72"/>
        <v/>
      </c>
    </row>
    <row r="3455">
      <c r="D3455" s="226"/>
      <c r="H3455" s="474"/>
      <c r="I3455" s="474"/>
      <c r="J3455" s="475"/>
      <c r="K3455" s="275"/>
      <c r="L3455" s="82"/>
      <c r="M3455" s="672"/>
      <c r="N3455" s="242"/>
      <c r="O3455" s="242"/>
      <c r="P3455" s="242"/>
      <c r="Q3455" s="242"/>
      <c r="R3455" s="539"/>
      <c r="S3455" s="540"/>
      <c r="T3455" s="543"/>
      <c r="U3455" s="673" t="b">
        <v>0</v>
      </c>
      <c r="Z3455" t="b">
        <v>0</v>
      </c>
      <c r="AA3455" t="b">
        <v>0</v>
      </c>
      <c r="AC3455" s="82"/>
      <c r="AD3455" t="str">
        <f t="shared" si="71"/>
        <v/>
      </c>
      <c r="AE3455" t="str">
        <f t="shared" si="72"/>
        <v/>
      </c>
    </row>
    <row r="3456">
      <c r="D3456" s="226"/>
      <c r="H3456" s="474"/>
      <c r="I3456" s="474"/>
      <c r="J3456" s="475"/>
      <c r="K3456" s="275"/>
      <c r="L3456" s="82"/>
      <c r="M3456" s="672"/>
      <c r="N3456" s="242"/>
      <c r="O3456" s="242"/>
      <c r="P3456" s="242"/>
      <c r="Q3456" s="242"/>
      <c r="R3456" s="539"/>
      <c r="S3456" s="540"/>
      <c r="T3456" s="543"/>
      <c r="U3456" s="673" t="b">
        <v>0</v>
      </c>
      <c r="Z3456" t="b">
        <v>0</v>
      </c>
      <c r="AA3456" t="b">
        <v>0</v>
      </c>
      <c r="AC3456" s="82"/>
      <c r="AD3456" t="str">
        <f t="shared" si="71"/>
        <v/>
      </c>
      <c r="AE3456" t="str">
        <f t="shared" si="72"/>
        <v/>
      </c>
    </row>
    <row r="3457">
      <c r="D3457" s="226"/>
      <c r="H3457" s="474"/>
      <c r="I3457" s="474"/>
      <c r="J3457" s="475"/>
      <c r="K3457" s="275"/>
      <c r="L3457" s="82"/>
      <c r="M3457" s="672"/>
      <c r="N3457" s="242"/>
      <c r="O3457" s="242"/>
      <c r="P3457" s="242"/>
      <c r="Q3457" s="242"/>
      <c r="R3457" s="539"/>
      <c r="S3457" s="540"/>
      <c r="T3457" s="543"/>
      <c r="U3457" s="673" t="b">
        <v>0</v>
      </c>
      <c r="Z3457" t="b">
        <v>0</v>
      </c>
      <c r="AA3457" t="b">
        <v>0</v>
      </c>
      <c r="AC3457" s="82"/>
      <c r="AD3457" t="str">
        <f t="shared" si="71"/>
        <v/>
      </c>
      <c r="AE3457" t="str">
        <f t="shared" si="72"/>
        <v/>
      </c>
    </row>
    <row r="3458">
      <c r="D3458" s="226"/>
      <c r="H3458" s="474"/>
      <c r="I3458" s="474"/>
      <c r="J3458" s="475"/>
      <c r="K3458" s="275"/>
      <c r="L3458" s="82"/>
      <c r="M3458" s="672"/>
      <c r="N3458" s="242"/>
      <c r="O3458" s="242"/>
      <c r="P3458" s="242"/>
      <c r="Q3458" s="242"/>
      <c r="R3458" s="539"/>
      <c r="S3458" s="540"/>
      <c r="T3458" s="543"/>
      <c r="U3458" s="673" t="b">
        <v>0</v>
      </c>
      <c r="Z3458" t="b">
        <v>0</v>
      </c>
      <c r="AA3458" t="b">
        <v>0</v>
      </c>
      <c r="AC3458" s="82"/>
      <c r="AD3458" t="str">
        <f t="shared" si="71"/>
        <v/>
      </c>
      <c r="AE3458" t="str">
        <f t="shared" si="72"/>
        <v/>
      </c>
    </row>
    <row r="3459">
      <c r="D3459" s="226"/>
      <c r="H3459" s="474"/>
      <c r="I3459" s="474"/>
      <c r="J3459" s="475"/>
      <c r="K3459" s="275"/>
      <c r="L3459" s="82"/>
      <c r="M3459" s="672"/>
      <c r="N3459" s="242"/>
      <c r="O3459" s="242"/>
      <c r="P3459" s="242"/>
      <c r="Q3459" s="242"/>
      <c r="R3459" s="539"/>
      <c r="S3459" s="540"/>
      <c r="T3459" s="543"/>
      <c r="U3459" s="673" t="b">
        <v>0</v>
      </c>
      <c r="Z3459" t="b">
        <v>0</v>
      </c>
      <c r="AA3459" t="b">
        <v>0</v>
      </c>
      <c r="AC3459" s="82"/>
      <c r="AD3459" t="str">
        <f t="shared" si="71"/>
        <v/>
      </c>
      <c r="AE3459" t="str">
        <f t="shared" si="72"/>
        <v/>
      </c>
    </row>
    <row r="3460">
      <c r="D3460" s="226"/>
      <c r="H3460" s="474"/>
      <c r="I3460" s="474"/>
      <c r="J3460" s="475"/>
      <c r="K3460" s="275"/>
      <c r="L3460" s="82"/>
      <c r="M3460" s="672"/>
      <c r="N3460" s="242"/>
      <c r="O3460" s="242"/>
      <c r="P3460" s="242"/>
      <c r="Q3460" s="242"/>
      <c r="R3460" s="539"/>
      <c r="S3460" s="540"/>
      <c r="T3460" s="543"/>
      <c r="U3460" s="673" t="b">
        <v>0</v>
      </c>
      <c r="Z3460" t="b">
        <v>0</v>
      </c>
      <c r="AA3460" t="b">
        <v>0</v>
      </c>
      <c r="AC3460" s="82"/>
      <c r="AD3460" t="str">
        <f t="shared" si="71"/>
        <v/>
      </c>
      <c r="AE3460" t="str">
        <f t="shared" si="72"/>
        <v/>
      </c>
    </row>
    <row r="3461">
      <c r="D3461" s="226"/>
      <c r="H3461" s="474"/>
      <c r="I3461" s="474"/>
      <c r="J3461" s="475"/>
      <c r="K3461" s="275"/>
      <c r="L3461" s="82"/>
      <c r="M3461" s="672"/>
      <c r="N3461" s="242"/>
      <c r="O3461" s="242"/>
      <c r="P3461" s="242"/>
      <c r="Q3461" s="242"/>
      <c r="R3461" s="539"/>
      <c r="S3461" s="540"/>
      <c r="T3461" s="543"/>
      <c r="U3461" s="673" t="b">
        <v>0</v>
      </c>
      <c r="Z3461" t="b">
        <v>0</v>
      </c>
      <c r="AA3461" t="b">
        <v>0</v>
      </c>
      <c r="AC3461" s="82"/>
      <c r="AD3461" t="str">
        <f t="shared" si="71"/>
        <v/>
      </c>
      <c r="AE3461" t="str">
        <f t="shared" si="72"/>
        <v/>
      </c>
    </row>
    <row r="3462">
      <c r="D3462" s="226"/>
      <c r="H3462" s="474"/>
      <c r="I3462" s="474"/>
      <c r="J3462" s="475"/>
      <c r="K3462" s="275"/>
      <c r="L3462" s="82"/>
      <c r="M3462" s="672"/>
      <c r="N3462" s="242"/>
      <c r="O3462" s="242"/>
      <c r="P3462" s="242"/>
      <c r="Q3462" s="242"/>
      <c r="R3462" s="539"/>
      <c r="S3462" s="540"/>
      <c r="T3462" s="543"/>
      <c r="U3462" s="673" t="b">
        <v>0</v>
      </c>
      <c r="Z3462" t="b">
        <v>0</v>
      </c>
      <c r="AA3462" t="b">
        <v>0</v>
      </c>
      <c r="AC3462" s="82"/>
      <c r="AD3462" t="str">
        <f t="shared" si="71"/>
        <v/>
      </c>
      <c r="AE3462" t="str">
        <f t="shared" si="72"/>
        <v/>
      </c>
    </row>
    <row r="3463">
      <c r="D3463" s="226"/>
      <c r="H3463" s="474"/>
      <c r="I3463" s="474"/>
      <c r="J3463" s="475"/>
      <c r="K3463" s="275"/>
      <c r="L3463" s="82"/>
      <c r="M3463" s="672"/>
      <c r="N3463" s="242"/>
      <c r="O3463" s="242"/>
      <c r="P3463" s="242"/>
      <c r="Q3463" s="242"/>
      <c r="R3463" s="539"/>
      <c r="S3463" s="540"/>
      <c r="T3463" s="543"/>
      <c r="U3463" s="673" t="b">
        <v>0</v>
      </c>
      <c r="Z3463" t="b">
        <v>0</v>
      </c>
      <c r="AA3463" t="b">
        <v>0</v>
      </c>
      <c r="AC3463" s="82"/>
      <c r="AD3463" t="str">
        <f t="shared" si="71"/>
        <v/>
      </c>
      <c r="AE3463" t="str">
        <f t="shared" si="72"/>
        <v/>
      </c>
    </row>
    <row r="3464">
      <c r="D3464" s="226"/>
      <c r="H3464" s="474"/>
      <c r="I3464" s="474"/>
      <c r="J3464" s="475"/>
      <c r="K3464" s="275"/>
      <c r="L3464" s="82"/>
      <c r="M3464" s="672"/>
      <c r="N3464" s="242"/>
      <c r="O3464" s="242"/>
      <c r="P3464" s="242"/>
      <c r="Q3464" s="242"/>
      <c r="R3464" s="539"/>
      <c r="S3464" s="540"/>
      <c r="T3464" s="543"/>
      <c r="U3464" s="673" t="b">
        <v>0</v>
      </c>
      <c r="Z3464" t="b">
        <v>0</v>
      </c>
      <c r="AA3464" t="b">
        <v>0</v>
      </c>
      <c r="AC3464" s="82"/>
      <c r="AD3464" t="str">
        <f t="shared" si="71"/>
        <v/>
      </c>
      <c r="AE3464" t="str">
        <f t="shared" si="72"/>
        <v/>
      </c>
    </row>
    <row r="3465">
      <c r="D3465" s="226"/>
      <c r="H3465" s="474"/>
      <c r="I3465" s="474"/>
      <c r="J3465" s="475"/>
      <c r="K3465" s="275"/>
      <c r="L3465" s="82"/>
      <c r="M3465" s="672"/>
      <c r="N3465" s="242"/>
      <c r="O3465" s="242"/>
      <c r="P3465" s="242"/>
      <c r="Q3465" s="242"/>
      <c r="R3465" s="539"/>
      <c r="S3465" s="540"/>
      <c r="T3465" s="543"/>
      <c r="U3465" s="673" t="b">
        <v>0</v>
      </c>
      <c r="Z3465" t="b">
        <v>0</v>
      </c>
      <c r="AA3465" t="b">
        <v>0</v>
      </c>
      <c r="AC3465" s="82"/>
      <c r="AD3465" t="str">
        <f t="shared" si="71"/>
        <v/>
      </c>
      <c r="AE3465" t="str">
        <f t="shared" si="72"/>
        <v/>
      </c>
    </row>
    <row r="3466">
      <c r="D3466" s="226"/>
      <c r="H3466" s="474"/>
      <c r="I3466" s="474"/>
      <c r="J3466" s="475"/>
      <c r="K3466" s="275"/>
      <c r="L3466" s="82"/>
      <c r="M3466" s="672"/>
      <c r="N3466" s="242"/>
      <c r="O3466" s="242"/>
      <c r="P3466" s="242"/>
      <c r="Q3466" s="242"/>
      <c r="R3466" s="539"/>
      <c r="S3466" s="540"/>
      <c r="T3466" s="543"/>
      <c r="U3466" s="673" t="b">
        <v>0</v>
      </c>
      <c r="Z3466" t="b">
        <v>0</v>
      </c>
      <c r="AA3466" t="b">
        <v>0</v>
      </c>
      <c r="AC3466" s="82"/>
      <c r="AD3466" t="str">
        <f t="shared" si="71"/>
        <v/>
      </c>
      <c r="AE3466" t="str">
        <f t="shared" si="72"/>
        <v/>
      </c>
    </row>
    <row r="3467">
      <c r="D3467" s="226"/>
      <c r="H3467" s="474"/>
      <c r="I3467" s="474"/>
      <c r="J3467" s="475"/>
      <c r="K3467" s="275"/>
      <c r="L3467" s="82"/>
      <c r="M3467" s="672"/>
      <c r="N3467" s="242"/>
      <c r="O3467" s="242"/>
      <c r="P3467" s="242"/>
      <c r="Q3467" s="242"/>
      <c r="R3467" s="539"/>
      <c r="S3467" s="540"/>
      <c r="T3467" s="543"/>
      <c r="U3467" s="673" t="b">
        <v>0</v>
      </c>
      <c r="Z3467" t="b">
        <v>0</v>
      </c>
      <c r="AA3467" t="b">
        <v>0</v>
      </c>
      <c r="AC3467" s="82"/>
      <c r="AD3467" t="str">
        <f t="shared" si="71"/>
        <v/>
      </c>
      <c r="AE3467" t="str">
        <f t="shared" si="72"/>
        <v/>
      </c>
    </row>
    <row r="3468">
      <c r="D3468" s="226"/>
      <c r="H3468" s="474"/>
      <c r="I3468" s="474"/>
      <c r="J3468" s="475"/>
      <c r="K3468" s="275"/>
      <c r="L3468" s="82"/>
      <c r="M3468" s="672"/>
      <c r="N3468" s="242"/>
      <c r="O3468" s="242"/>
      <c r="P3468" s="242"/>
      <c r="Q3468" s="242"/>
      <c r="R3468" s="539"/>
      <c r="S3468" s="540"/>
      <c r="T3468" s="543"/>
      <c r="U3468" s="673" t="b">
        <v>0</v>
      </c>
      <c r="Z3468" t="b">
        <v>0</v>
      </c>
      <c r="AA3468" t="b">
        <v>0</v>
      </c>
      <c r="AC3468" s="82"/>
      <c r="AD3468" t="str">
        <f t="shared" si="71"/>
        <v/>
      </c>
      <c r="AE3468" t="str">
        <f t="shared" si="72"/>
        <v/>
      </c>
    </row>
    <row r="3469">
      <c r="D3469" s="226"/>
      <c r="H3469" s="474"/>
      <c r="I3469" s="474"/>
      <c r="J3469" s="475"/>
      <c r="K3469" s="275"/>
      <c r="L3469" s="82"/>
      <c r="M3469" s="672"/>
      <c r="N3469" s="242"/>
      <c r="O3469" s="242"/>
      <c r="P3469" s="242"/>
      <c r="Q3469" s="242"/>
      <c r="R3469" s="539"/>
      <c r="S3469" s="540"/>
      <c r="T3469" s="543"/>
      <c r="U3469" s="673" t="b">
        <v>0</v>
      </c>
      <c r="Z3469" t="b">
        <v>0</v>
      </c>
      <c r="AA3469" t="b">
        <v>0</v>
      </c>
      <c r="AC3469" s="82"/>
      <c r="AD3469" t="str">
        <f t="shared" si="71"/>
        <v/>
      </c>
      <c r="AE3469" t="str">
        <f t="shared" si="72"/>
        <v/>
      </c>
    </row>
    <row r="3470">
      <c r="D3470" s="226"/>
      <c r="H3470" s="474"/>
      <c r="I3470" s="474"/>
      <c r="J3470" s="475"/>
      <c r="K3470" s="275"/>
      <c r="L3470" s="82"/>
      <c r="M3470" s="672"/>
      <c r="N3470" s="242"/>
      <c r="O3470" s="242"/>
      <c r="P3470" s="242"/>
      <c r="Q3470" s="242"/>
      <c r="R3470" s="539"/>
      <c r="S3470" s="540"/>
      <c r="T3470" s="543"/>
      <c r="U3470" s="673" t="b">
        <v>0</v>
      </c>
      <c r="Z3470" t="b">
        <v>0</v>
      </c>
      <c r="AA3470" t="b">
        <v>0</v>
      </c>
      <c r="AC3470" s="82"/>
      <c r="AD3470" t="str">
        <f t="shared" si="71"/>
        <v/>
      </c>
      <c r="AE3470" t="str">
        <f t="shared" si="72"/>
        <v/>
      </c>
    </row>
    <row r="3471">
      <c r="D3471" s="226"/>
      <c r="H3471" s="474"/>
      <c r="I3471" s="474"/>
      <c r="J3471" s="475"/>
      <c r="K3471" s="275"/>
      <c r="L3471" s="82"/>
      <c r="M3471" s="672"/>
      <c r="N3471" s="242"/>
      <c r="O3471" s="242"/>
      <c r="P3471" s="242"/>
      <c r="Q3471" s="242"/>
      <c r="R3471" s="539"/>
      <c r="S3471" s="540"/>
      <c r="T3471" s="543"/>
      <c r="U3471" s="673" t="b">
        <v>0</v>
      </c>
      <c r="Z3471" t="b">
        <v>0</v>
      </c>
      <c r="AA3471" t="b">
        <v>0</v>
      </c>
      <c r="AC3471" s="82"/>
      <c r="AD3471" t="str">
        <f t="shared" si="71"/>
        <v/>
      </c>
      <c r="AE3471" t="str">
        <f t="shared" si="72"/>
        <v/>
      </c>
    </row>
    <row r="3472">
      <c r="D3472" s="226"/>
      <c r="H3472" s="474"/>
      <c r="I3472" s="474"/>
      <c r="J3472" s="475"/>
      <c r="K3472" s="275"/>
      <c r="L3472" s="82"/>
      <c r="M3472" s="672"/>
      <c r="N3472" s="242"/>
      <c r="O3472" s="242"/>
      <c r="P3472" s="242"/>
      <c r="Q3472" s="242"/>
      <c r="R3472" s="539"/>
      <c r="S3472" s="540"/>
      <c r="T3472" s="543"/>
      <c r="U3472" s="673" t="b">
        <v>0</v>
      </c>
      <c r="Z3472" t="b">
        <v>0</v>
      </c>
      <c r="AA3472" t="b">
        <v>0</v>
      </c>
      <c r="AC3472" s="82"/>
      <c r="AD3472" t="str">
        <f t="shared" si="71"/>
        <v/>
      </c>
      <c r="AE3472" t="str">
        <f t="shared" si="72"/>
        <v/>
      </c>
    </row>
    <row r="3473">
      <c r="D3473" s="226"/>
      <c r="H3473" s="474"/>
      <c r="I3473" s="474"/>
      <c r="J3473" s="475"/>
      <c r="K3473" s="275"/>
      <c r="L3473" s="82"/>
      <c r="M3473" s="672"/>
      <c r="N3473" s="242"/>
      <c r="O3473" s="242"/>
      <c r="P3473" s="242"/>
      <c r="Q3473" s="242"/>
      <c r="R3473" s="539"/>
      <c r="S3473" s="540"/>
      <c r="T3473" s="543"/>
      <c r="U3473" s="673" t="b">
        <v>0</v>
      </c>
      <c r="Z3473" t="b">
        <v>0</v>
      </c>
      <c r="AA3473" t="b">
        <v>0</v>
      </c>
      <c r="AC3473" s="82"/>
      <c r="AD3473" t="str">
        <f t="shared" si="71"/>
        <v/>
      </c>
      <c r="AE3473" t="str">
        <f t="shared" si="72"/>
        <v/>
      </c>
    </row>
    <row r="3474">
      <c r="D3474" s="226"/>
      <c r="H3474" s="474"/>
      <c r="I3474" s="474"/>
      <c r="J3474" s="475"/>
      <c r="K3474" s="275"/>
      <c r="L3474" s="82"/>
      <c r="M3474" s="672"/>
      <c r="N3474" s="242"/>
      <c r="O3474" s="242"/>
      <c r="P3474" s="242"/>
      <c r="Q3474" s="242"/>
      <c r="R3474" s="539"/>
      <c r="S3474" s="540"/>
      <c r="T3474" s="543"/>
      <c r="U3474" s="673" t="b">
        <v>0</v>
      </c>
      <c r="Z3474" t="b">
        <v>0</v>
      </c>
      <c r="AA3474" t="b">
        <v>0</v>
      </c>
      <c r="AC3474" s="82"/>
      <c r="AD3474" t="str">
        <f t="shared" si="71"/>
        <v/>
      </c>
      <c r="AE3474" t="str">
        <f t="shared" si="72"/>
        <v/>
      </c>
    </row>
    <row r="3475">
      <c r="D3475" s="226"/>
      <c r="H3475" s="474"/>
      <c r="I3475" s="474"/>
      <c r="J3475" s="475"/>
      <c r="K3475" s="275"/>
      <c r="L3475" s="82"/>
      <c r="M3475" s="672"/>
      <c r="N3475" s="242"/>
      <c r="O3475" s="242"/>
      <c r="P3475" s="242"/>
      <c r="Q3475" s="242"/>
      <c r="R3475" s="539"/>
      <c r="S3475" s="540"/>
      <c r="T3475" s="543"/>
      <c r="U3475" s="673" t="b">
        <v>0</v>
      </c>
      <c r="Z3475" t="b">
        <v>0</v>
      </c>
      <c r="AA3475" t="b">
        <v>0</v>
      </c>
      <c r="AC3475" s="82"/>
      <c r="AD3475" t="str">
        <f t="shared" si="71"/>
        <v/>
      </c>
      <c r="AE3475" t="str">
        <f t="shared" si="72"/>
        <v/>
      </c>
    </row>
    <row r="3476">
      <c r="D3476" s="226"/>
      <c r="H3476" s="474"/>
      <c r="I3476" s="474"/>
      <c r="J3476" s="475"/>
      <c r="K3476" s="275"/>
      <c r="L3476" s="82"/>
      <c r="M3476" s="672"/>
      <c r="N3476" s="242"/>
      <c r="O3476" s="242"/>
      <c r="P3476" s="242"/>
      <c r="Q3476" s="242"/>
      <c r="R3476" s="539"/>
      <c r="S3476" s="540"/>
      <c r="T3476" s="543"/>
      <c r="U3476" s="673" t="b">
        <v>0</v>
      </c>
      <c r="Z3476" t="b">
        <v>0</v>
      </c>
      <c r="AA3476" t="b">
        <v>0</v>
      </c>
      <c r="AC3476" s="82"/>
      <c r="AD3476" t="str">
        <f t="shared" si="71"/>
        <v/>
      </c>
      <c r="AE3476" t="str">
        <f t="shared" si="72"/>
        <v/>
      </c>
    </row>
    <row r="3477">
      <c r="D3477" s="226"/>
      <c r="H3477" s="474"/>
      <c r="I3477" s="474"/>
      <c r="J3477" s="475"/>
      <c r="K3477" s="275"/>
      <c r="L3477" s="82"/>
      <c r="M3477" s="672"/>
      <c r="N3477" s="242"/>
      <c r="O3477" s="242"/>
      <c r="P3477" s="242"/>
      <c r="Q3477" s="242"/>
      <c r="R3477" s="539"/>
      <c r="S3477" s="540"/>
      <c r="T3477" s="543"/>
      <c r="U3477" s="673" t="b">
        <v>0</v>
      </c>
      <c r="Z3477" t="b">
        <v>0</v>
      </c>
      <c r="AA3477" t="b">
        <v>0</v>
      </c>
      <c r="AC3477" s="82"/>
      <c r="AD3477" t="str">
        <f t="shared" si="71"/>
        <v/>
      </c>
      <c r="AE3477" t="str">
        <f t="shared" si="72"/>
        <v/>
      </c>
    </row>
    <row r="3478">
      <c r="D3478" s="226"/>
      <c r="H3478" s="474"/>
      <c r="I3478" s="474"/>
      <c r="J3478" s="475"/>
      <c r="K3478" s="275"/>
      <c r="L3478" s="82"/>
      <c r="M3478" s="672"/>
      <c r="N3478" s="242"/>
      <c r="O3478" s="242"/>
      <c r="P3478" s="242"/>
      <c r="Q3478" s="242"/>
      <c r="R3478" s="539"/>
      <c r="S3478" s="540"/>
      <c r="T3478" s="543"/>
      <c r="U3478" s="673" t="b">
        <v>0</v>
      </c>
      <c r="Z3478" t="b">
        <v>0</v>
      </c>
      <c r="AA3478" t="b">
        <v>0</v>
      </c>
      <c r="AC3478" s="82"/>
      <c r="AD3478" t="str">
        <f t="shared" si="71"/>
        <v/>
      </c>
      <c r="AE3478" t="str">
        <f t="shared" si="72"/>
        <v/>
      </c>
    </row>
    <row r="3479">
      <c r="D3479" s="226"/>
      <c r="H3479" s="474"/>
      <c r="I3479" s="474"/>
      <c r="J3479" s="475"/>
      <c r="K3479" s="275"/>
      <c r="L3479" s="82"/>
      <c r="M3479" s="672"/>
      <c r="N3479" s="242"/>
      <c r="O3479" s="242"/>
      <c r="P3479" s="242"/>
      <c r="Q3479" s="242"/>
      <c r="R3479" s="539"/>
      <c r="S3479" s="540"/>
      <c r="T3479" s="543"/>
      <c r="U3479" s="673" t="b">
        <v>0</v>
      </c>
      <c r="Z3479" t="b">
        <v>0</v>
      </c>
      <c r="AA3479" t="b">
        <v>0</v>
      </c>
      <c r="AC3479" s="82"/>
      <c r="AD3479" t="str">
        <f t="shared" si="71"/>
        <v/>
      </c>
      <c r="AE3479" t="str">
        <f t="shared" si="72"/>
        <v/>
      </c>
    </row>
    <row r="3480">
      <c r="D3480" s="226"/>
      <c r="H3480" s="474"/>
      <c r="I3480" s="474"/>
      <c r="J3480" s="475"/>
      <c r="K3480" s="275"/>
      <c r="L3480" s="82"/>
      <c r="M3480" s="672"/>
      <c r="N3480" s="242"/>
      <c r="O3480" s="242"/>
      <c r="P3480" s="242"/>
      <c r="Q3480" s="242"/>
      <c r="R3480" s="539"/>
      <c r="S3480" s="540"/>
      <c r="T3480" s="543"/>
      <c r="U3480" s="673" t="b">
        <v>0</v>
      </c>
      <c r="Z3480" t="b">
        <v>0</v>
      </c>
      <c r="AA3480" t="b">
        <v>0</v>
      </c>
      <c r="AC3480" s="82"/>
      <c r="AD3480" t="str">
        <f t="shared" si="71"/>
        <v/>
      </c>
      <c r="AE3480" t="str">
        <f t="shared" si="72"/>
        <v/>
      </c>
    </row>
    <row r="3481">
      <c r="D3481" s="226"/>
      <c r="H3481" s="474"/>
      <c r="I3481" s="474"/>
      <c r="J3481" s="475"/>
      <c r="K3481" s="275"/>
      <c r="L3481" s="82"/>
      <c r="M3481" s="672"/>
      <c r="N3481" s="242"/>
      <c r="O3481" s="242"/>
      <c r="P3481" s="242"/>
      <c r="Q3481" s="242"/>
      <c r="R3481" s="539"/>
      <c r="S3481" s="540"/>
      <c r="T3481" s="543"/>
      <c r="U3481" s="673" t="b">
        <v>0</v>
      </c>
      <c r="Z3481" t="b">
        <v>0</v>
      </c>
      <c r="AA3481" t="b">
        <v>0</v>
      </c>
      <c r="AC3481" s="82"/>
      <c r="AD3481" t="str">
        <f t="shared" si="71"/>
        <v/>
      </c>
      <c r="AE3481" t="str">
        <f t="shared" si="72"/>
        <v/>
      </c>
    </row>
    <row r="3482">
      <c r="D3482" s="226"/>
      <c r="H3482" s="474"/>
      <c r="I3482" s="474"/>
      <c r="J3482" s="475"/>
      <c r="K3482" s="275"/>
      <c r="L3482" s="82"/>
      <c r="M3482" s="672"/>
      <c r="N3482" s="242"/>
      <c r="O3482" s="242"/>
      <c r="P3482" s="242"/>
      <c r="Q3482" s="242"/>
      <c r="R3482" s="539"/>
      <c r="S3482" s="540"/>
      <c r="T3482" s="543"/>
      <c r="U3482" s="673" t="b">
        <v>0</v>
      </c>
      <c r="Z3482" t="b">
        <v>0</v>
      </c>
      <c r="AA3482" t="b">
        <v>0</v>
      </c>
      <c r="AC3482" s="82"/>
      <c r="AD3482" t="str">
        <f t="shared" si="71"/>
        <v/>
      </c>
      <c r="AE3482" t="str">
        <f t="shared" si="72"/>
        <v/>
      </c>
    </row>
    <row r="3483">
      <c r="D3483" s="226"/>
      <c r="H3483" s="474"/>
      <c r="I3483" s="474"/>
      <c r="J3483" s="475"/>
      <c r="K3483" s="275"/>
      <c r="L3483" s="82"/>
      <c r="M3483" s="672"/>
      <c r="N3483" s="242"/>
      <c r="O3483" s="242"/>
      <c r="P3483" s="242"/>
      <c r="Q3483" s="242"/>
      <c r="R3483" s="539"/>
      <c r="S3483" s="540"/>
      <c r="T3483" s="543"/>
      <c r="U3483" s="673" t="b">
        <v>0</v>
      </c>
      <c r="Z3483" t="b">
        <v>0</v>
      </c>
      <c r="AA3483" t="b">
        <v>0</v>
      </c>
      <c r="AC3483" s="82"/>
      <c r="AD3483" t="str">
        <f t="shared" si="71"/>
        <v/>
      </c>
      <c r="AE3483" t="str">
        <f t="shared" si="72"/>
        <v/>
      </c>
    </row>
    <row r="3484">
      <c r="D3484" s="226"/>
      <c r="H3484" s="474"/>
      <c r="I3484" s="474"/>
      <c r="J3484" s="475"/>
      <c r="K3484" s="275"/>
      <c r="L3484" s="82"/>
      <c r="M3484" s="672"/>
      <c r="N3484" s="242"/>
      <c r="O3484" s="242"/>
      <c r="P3484" s="242"/>
      <c r="Q3484" s="242"/>
      <c r="R3484" s="539"/>
      <c r="S3484" s="540"/>
      <c r="T3484" s="543"/>
      <c r="U3484" s="673" t="b">
        <v>0</v>
      </c>
      <c r="Z3484" t="b">
        <v>0</v>
      </c>
      <c r="AA3484" t="b">
        <v>0</v>
      </c>
      <c r="AC3484" s="82"/>
      <c r="AD3484" t="str">
        <f t="shared" si="71"/>
        <v/>
      </c>
      <c r="AE3484" t="str">
        <f t="shared" si="72"/>
        <v/>
      </c>
    </row>
    <row r="3485">
      <c r="D3485" s="226"/>
      <c r="H3485" s="474"/>
      <c r="I3485" s="474"/>
      <c r="J3485" s="475"/>
      <c r="K3485" s="275"/>
      <c r="L3485" s="82"/>
      <c r="M3485" s="672"/>
      <c r="N3485" s="242"/>
      <c r="O3485" s="242"/>
      <c r="P3485" s="242"/>
      <c r="Q3485" s="242"/>
      <c r="R3485" s="539"/>
      <c r="S3485" s="540"/>
      <c r="T3485" s="543"/>
      <c r="U3485" s="673" t="b">
        <v>0</v>
      </c>
      <c r="Z3485" t="b">
        <v>0</v>
      </c>
      <c r="AA3485" t="b">
        <v>0</v>
      </c>
      <c r="AC3485" s="82"/>
      <c r="AD3485" t="str">
        <f t="shared" si="71"/>
        <v/>
      </c>
      <c r="AE3485" t="str">
        <f t="shared" si="72"/>
        <v/>
      </c>
    </row>
    <row r="3486">
      <c r="D3486" s="226"/>
      <c r="H3486" s="474"/>
      <c r="I3486" s="474"/>
      <c r="J3486" s="475"/>
      <c r="K3486" s="275"/>
      <c r="L3486" s="82"/>
      <c r="M3486" s="672"/>
      <c r="N3486" s="242"/>
      <c r="O3486" s="242"/>
      <c r="P3486" s="242"/>
      <c r="Q3486" s="242"/>
      <c r="R3486" s="539"/>
      <c r="S3486" s="540"/>
      <c r="T3486" s="543"/>
      <c r="U3486" s="673" t="b">
        <v>0</v>
      </c>
      <c r="Z3486" t="b">
        <v>0</v>
      </c>
      <c r="AA3486" t="b">
        <v>0</v>
      </c>
      <c r="AC3486" s="82"/>
      <c r="AD3486" t="str">
        <f t="shared" si="71"/>
        <v/>
      </c>
      <c r="AE3486" t="str">
        <f t="shared" si="72"/>
        <v/>
      </c>
    </row>
    <row r="3487">
      <c r="D3487" s="226"/>
      <c r="H3487" s="474"/>
      <c r="I3487" s="474"/>
      <c r="J3487" s="475"/>
      <c r="K3487" s="275"/>
      <c r="L3487" s="82"/>
      <c r="M3487" s="672"/>
      <c r="N3487" s="242"/>
      <c r="O3487" s="242"/>
      <c r="P3487" s="242"/>
      <c r="Q3487" s="242"/>
      <c r="R3487" s="539"/>
      <c r="S3487" s="540"/>
      <c r="T3487" s="543"/>
      <c r="U3487" s="673" t="b">
        <v>0</v>
      </c>
      <c r="Z3487" t="b">
        <v>0</v>
      </c>
      <c r="AA3487" t="b">
        <v>0</v>
      </c>
      <c r="AC3487" s="82"/>
      <c r="AD3487" t="str">
        <f t="shared" si="71"/>
        <v/>
      </c>
      <c r="AE3487" t="str">
        <f t="shared" si="72"/>
        <v/>
      </c>
    </row>
    <row r="3488">
      <c r="D3488" s="226"/>
      <c r="H3488" s="474"/>
      <c r="I3488" s="474"/>
      <c r="J3488" s="475"/>
      <c r="K3488" s="275"/>
      <c r="L3488" s="82"/>
      <c r="M3488" s="672"/>
      <c r="N3488" s="242"/>
      <c r="O3488" s="242"/>
      <c r="P3488" s="242"/>
      <c r="Q3488" s="242"/>
      <c r="R3488" s="539"/>
      <c r="S3488" s="540"/>
      <c r="T3488" s="543"/>
      <c r="U3488" s="673" t="b">
        <v>0</v>
      </c>
      <c r="Z3488" t="b">
        <v>0</v>
      </c>
      <c r="AA3488" t="b">
        <v>0</v>
      </c>
      <c r="AC3488" s="82"/>
      <c r="AD3488" t="str">
        <f t="shared" si="71"/>
        <v/>
      </c>
      <c r="AE3488" t="str">
        <f t="shared" si="72"/>
        <v/>
      </c>
    </row>
    <row r="3489">
      <c r="D3489" s="226"/>
      <c r="H3489" s="474"/>
      <c r="I3489" s="474"/>
      <c r="J3489" s="475"/>
      <c r="K3489" s="275"/>
      <c r="L3489" s="82"/>
      <c r="M3489" s="672"/>
      <c r="N3489" s="242"/>
      <c r="O3489" s="242"/>
      <c r="P3489" s="242"/>
      <c r="Q3489" s="242"/>
      <c r="R3489" s="539"/>
      <c r="S3489" s="540"/>
      <c r="T3489" s="543"/>
      <c r="U3489" s="673" t="b">
        <v>0</v>
      </c>
      <c r="Z3489" t="b">
        <v>0</v>
      </c>
      <c r="AA3489" t="b">
        <v>0</v>
      </c>
      <c r="AC3489" s="82"/>
      <c r="AD3489" t="str">
        <f t="shared" si="71"/>
        <v/>
      </c>
      <c r="AE3489" t="str">
        <f t="shared" si="72"/>
        <v/>
      </c>
    </row>
    <row r="3490">
      <c r="D3490" s="226"/>
      <c r="H3490" s="474"/>
      <c r="I3490" s="474"/>
      <c r="J3490" s="475"/>
      <c r="K3490" s="275"/>
      <c r="L3490" s="82"/>
      <c r="M3490" s="672"/>
      <c r="N3490" s="242"/>
      <c r="O3490" s="242"/>
      <c r="P3490" s="242"/>
      <c r="Q3490" s="242"/>
      <c r="R3490" s="539"/>
      <c r="S3490" s="540"/>
      <c r="T3490" s="543"/>
      <c r="U3490" s="673" t="b">
        <v>0</v>
      </c>
      <c r="Z3490" t="b">
        <v>0</v>
      </c>
      <c r="AA3490" t="b">
        <v>0</v>
      </c>
      <c r="AC3490" s="82"/>
      <c r="AD3490" t="str">
        <f t="shared" si="71"/>
        <v/>
      </c>
      <c r="AE3490" t="str">
        <f t="shared" si="72"/>
        <v/>
      </c>
    </row>
    <row r="3491">
      <c r="D3491" s="226"/>
      <c r="H3491" s="474"/>
      <c r="I3491" s="474"/>
      <c r="J3491" s="475"/>
      <c r="K3491" s="275"/>
      <c r="L3491" s="82"/>
      <c r="M3491" s="672"/>
      <c r="N3491" s="242"/>
      <c r="O3491" s="242"/>
      <c r="P3491" s="242"/>
      <c r="Q3491" s="242"/>
      <c r="R3491" s="539"/>
      <c r="S3491" s="540"/>
      <c r="T3491" s="543"/>
      <c r="U3491" s="673" t="b">
        <v>0</v>
      </c>
      <c r="Z3491" t="b">
        <v>0</v>
      </c>
      <c r="AA3491" t="b">
        <v>0</v>
      </c>
      <c r="AC3491" s="82"/>
      <c r="AD3491" t="str">
        <f t="shared" si="71"/>
        <v/>
      </c>
      <c r="AE3491" t="str">
        <f t="shared" si="72"/>
        <v/>
      </c>
    </row>
    <row r="3492">
      <c r="D3492" s="226"/>
      <c r="H3492" s="474"/>
      <c r="I3492" s="474"/>
      <c r="J3492" s="475"/>
      <c r="K3492" s="275"/>
      <c r="L3492" s="82"/>
      <c r="M3492" s="672"/>
      <c r="N3492" s="242"/>
      <c r="O3492" s="242"/>
      <c r="P3492" s="242"/>
      <c r="Q3492" s="242"/>
      <c r="R3492" s="539"/>
      <c r="S3492" s="540"/>
      <c r="T3492" s="543"/>
      <c r="U3492" s="673" t="b">
        <v>0</v>
      </c>
      <c r="Z3492" t="b">
        <v>0</v>
      </c>
      <c r="AA3492" t="b">
        <v>0</v>
      </c>
      <c r="AC3492" s="82"/>
      <c r="AD3492" t="str">
        <f t="shared" si="71"/>
        <v/>
      </c>
      <c r="AE3492" t="str">
        <f t="shared" si="72"/>
        <v/>
      </c>
    </row>
    <row r="3493">
      <c r="D3493" s="226"/>
      <c r="H3493" s="474"/>
      <c r="I3493" s="474"/>
      <c r="J3493" s="475"/>
      <c r="K3493" s="275"/>
      <c r="L3493" s="82"/>
      <c r="M3493" s="672"/>
      <c r="N3493" s="242"/>
      <c r="O3493" s="242"/>
      <c r="P3493" s="242"/>
      <c r="Q3493" s="242"/>
      <c r="R3493" s="539"/>
      <c r="S3493" s="540"/>
      <c r="T3493" s="543"/>
      <c r="U3493" s="673" t="b">
        <v>0</v>
      </c>
      <c r="Z3493" t="b">
        <v>0</v>
      </c>
      <c r="AA3493" t="b">
        <v>0</v>
      </c>
      <c r="AC3493" s="82"/>
      <c r="AD3493" t="str">
        <f t="shared" si="71"/>
        <v/>
      </c>
      <c r="AE3493" t="str">
        <f t="shared" si="72"/>
        <v/>
      </c>
    </row>
    <row r="3494">
      <c r="D3494" s="226"/>
      <c r="H3494" s="474"/>
      <c r="I3494" s="474"/>
      <c r="J3494" s="475"/>
      <c r="K3494" s="275"/>
      <c r="L3494" s="82"/>
      <c r="M3494" s="672"/>
      <c r="N3494" s="242"/>
      <c r="O3494" s="242"/>
      <c r="P3494" s="242"/>
      <c r="Q3494" s="242"/>
      <c r="R3494" s="539"/>
      <c r="S3494" s="540"/>
      <c r="T3494" s="543"/>
      <c r="U3494" s="673" t="b">
        <v>0</v>
      </c>
      <c r="Z3494" t="b">
        <v>0</v>
      </c>
      <c r="AA3494" t="b">
        <v>0</v>
      </c>
      <c r="AC3494" s="82"/>
      <c r="AD3494" t="str">
        <f t="shared" si="71"/>
        <v/>
      </c>
      <c r="AE3494" t="str">
        <f t="shared" si="72"/>
        <v/>
      </c>
    </row>
    <row r="3495">
      <c r="D3495" s="226"/>
      <c r="H3495" s="474"/>
      <c r="I3495" s="474"/>
      <c r="J3495" s="475"/>
      <c r="K3495" s="275"/>
      <c r="L3495" s="82"/>
      <c r="M3495" s="672"/>
      <c r="N3495" s="242"/>
      <c r="O3495" s="242"/>
      <c r="P3495" s="242"/>
      <c r="Q3495" s="242"/>
      <c r="R3495" s="539"/>
      <c r="S3495" s="540"/>
      <c r="T3495" s="543"/>
      <c r="U3495" s="673" t="b">
        <v>0</v>
      </c>
      <c r="Z3495" t="b">
        <v>0</v>
      </c>
      <c r="AA3495" t="b">
        <v>0</v>
      </c>
      <c r="AC3495" s="82"/>
      <c r="AD3495" t="str">
        <f t="shared" si="71"/>
        <v/>
      </c>
      <c r="AE3495" t="str">
        <f t="shared" si="72"/>
        <v/>
      </c>
    </row>
    <row r="3496">
      <c r="D3496" s="226"/>
      <c r="H3496" s="474"/>
      <c r="I3496" s="474"/>
      <c r="J3496" s="475"/>
      <c r="K3496" s="275"/>
      <c r="L3496" s="82"/>
      <c r="M3496" s="672"/>
      <c r="N3496" s="242"/>
      <c r="O3496" s="242"/>
      <c r="P3496" s="242"/>
      <c r="Q3496" s="242"/>
      <c r="R3496" s="539"/>
      <c r="S3496" s="540"/>
      <c r="T3496" s="543"/>
      <c r="U3496" s="673" t="b">
        <v>0</v>
      </c>
      <c r="Z3496" t="b">
        <v>0</v>
      </c>
      <c r="AA3496" t="b">
        <v>0</v>
      </c>
      <c r="AC3496" s="82"/>
      <c r="AD3496" t="str">
        <f t="shared" si="71"/>
        <v/>
      </c>
      <c r="AE3496" t="str">
        <f t="shared" si="72"/>
        <v/>
      </c>
    </row>
    <row r="3497">
      <c r="D3497" s="226"/>
      <c r="H3497" s="474"/>
      <c r="I3497" s="474"/>
      <c r="J3497" s="475"/>
      <c r="K3497" s="275"/>
      <c r="L3497" s="82"/>
      <c r="M3497" s="672"/>
      <c r="N3497" s="242"/>
      <c r="O3497" s="242"/>
      <c r="P3497" s="242"/>
      <c r="Q3497" s="242"/>
      <c r="R3497" s="539"/>
      <c r="S3497" s="540"/>
      <c r="T3497" s="543"/>
      <c r="U3497" s="673" t="b">
        <v>0</v>
      </c>
      <c r="Z3497" t="b">
        <v>0</v>
      </c>
      <c r="AA3497" t="b">
        <v>0</v>
      </c>
      <c r="AC3497" s="82"/>
      <c r="AD3497" t="str">
        <f t="shared" si="71"/>
        <v/>
      </c>
      <c r="AE3497" t="str">
        <f t="shared" si="72"/>
        <v/>
      </c>
    </row>
    <row r="3498">
      <c r="D3498" s="226"/>
      <c r="H3498" s="474"/>
      <c r="I3498" s="474"/>
      <c r="J3498" s="475"/>
      <c r="K3498" s="275"/>
      <c r="L3498" s="82"/>
      <c r="M3498" s="672"/>
      <c r="N3498" s="242"/>
      <c r="O3498" s="242"/>
      <c r="P3498" s="242"/>
      <c r="Q3498" s="242"/>
      <c r="R3498" s="539"/>
      <c r="S3498" s="540"/>
      <c r="T3498" s="543"/>
      <c r="U3498" s="673" t="b">
        <v>0</v>
      </c>
      <c r="Z3498" t="b">
        <v>0</v>
      </c>
      <c r="AA3498" t="b">
        <v>0</v>
      </c>
      <c r="AC3498" s="82"/>
      <c r="AD3498" t="str">
        <f t="shared" si="71"/>
        <v/>
      </c>
      <c r="AE3498" t="str">
        <f t="shared" si="72"/>
        <v/>
      </c>
    </row>
    <row r="3499">
      <c r="D3499" s="226"/>
      <c r="H3499" s="474"/>
      <c r="I3499" s="474"/>
      <c r="J3499" s="475"/>
      <c r="K3499" s="275"/>
      <c r="L3499" s="82"/>
      <c r="M3499" s="672"/>
      <c r="N3499" s="242"/>
      <c r="O3499" s="242"/>
      <c r="P3499" s="242"/>
      <c r="Q3499" s="242"/>
      <c r="R3499" s="539"/>
      <c r="S3499" s="540"/>
      <c r="T3499" s="543"/>
      <c r="U3499" s="673" t="b">
        <v>0</v>
      </c>
      <c r="Z3499" t="b">
        <v>0</v>
      </c>
      <c r="AA3499" t="b">
        <v>0</v>
      </c>
      <c r="AC3499" s="82"/>
      <c r="AD3499" t="str">
        <f t="shared" si="71"/>
        <v/>
      </c>
      <c r="AE3499" t="str">
        <f t="shared" si="72"/>
        <v/>
      </c>
    </row>
    <row r="3500">
      <c r="D3500" s="226"/>
      <c r="H3500" s="474"/>
      <c r="I3500" s="474"/>
      <c r="J3500" s="475"/>
      <c r="K3500" s="275"/>
      <c r="L3500" s="82"/>
      <c r="M3500" s="672"/>
      <c r="N3500" s="242"/>
      <c r="O3500" s="242"/>
      <c r="P3500" s="242"/>
      <c r="Q3500" s="242"/>
      <c r="R3500" s="539"/>
      <c r="S3500" s="540"/>
      <c r="T3500" s="543"/>
      <c r="U3500" s="673" t="b">
        <v>0</v>
      </c>
      <c r="Z3500" t="b">
        <v>0</v>
      </c>
      <c r="AA3500" t="b">
        <v>0</v>
      </c>
      <c r="AC3500" s="82"/>
      <c r="AD3500" t="str">
        <f t="shared" si="71"/>
        <v/>
      </c>
      <c r="AE3500" t="str">
        <f t="shared" si="72"/>
        <v/>
      </c>
    </row>
    <row r="3501">
      <c r="D3501" s="226"/>
      <c r="H3501" s="474"/>
      <c r="I3501" s="474"/>
      <c r="J3501" s="475"/>
      <c r="K3501" s="275"/>
      <c r="L3501" s="82"/>
      <c r="M3501" s="672"/>
      <c r="N3501" s="242"/>
      <c r="O3501" s="242"/>
      <c r="P3501" s="242"/>
      <c r="Q3501" s="242"/>
      <c r="R3501" s="539"/>
      <c r="S3501" s="540"/>
      <c r="T3501" s="543"/>
      <c r="U3501" s="673" t="b">
        <v>0</v>
      </c>
      <c r="Z3501" t="b">
        <v>0</v>
      </c>
      <c r="AA3501" t="b">
        <v>0</v>
      </c>
      <c r="AC3501" s="82"/>
      <c r="AD3501" t="str">
        <f t="shared" si="71"/>
        <v/>
      </c>
      <c r="AE3501" t="str">
        <f t="shared" si="72"/>
        <v/>
      </c>
    </row>
    <row r="3502">
      <c r="D3502" s="226"/>
      <c r="H3502" s="474"/>
      <c r="I3502" s="474"/>
      <c r="J3502" s="475"/>
      <c r="K3502" s="275"/>
      <c r="L3502" s="82"/>
      <c r="M3502" s="672"/>
      <c r="N3502" s="242"/>
      <c r="O3502" s="242"/>
      <c r="P3502" s="242"/>
      <c r="Q3502" s="242"/>
      <c r="R3502" s="539"/>
      <c r="S3502" s="540"/>
      <c r="T3502" s="543"/>
      <c r="U3502" s="673" t="b">
        <v>0</v>
      </c>
      <c r="Z3502" t="b">
        <v>0</v>
      </c>
      <c r="AA3502" t="b">
        <v>0</v>
      </c>
      <c r="AC3502" s="82"/>
      <c r="AD3502" t="str">
        <f t="shared" si="71"/>
        <v/>
      </c>
      <c r="AE3502" t="str">
        <f t="shared" si="72"/>
        <v/>
      </c>
    </row>
    <row r="3503">
      <c r="D3503" s="226"/>
      <c r="H3503" s="474"/>
      <c r="I3503" s="474"/>
      <c r="J3503" s="475"/>
      <c r="K3503" s="275"/>
      <c r="L3503" s="82"/>
      <c r="M3503" s="672"/>
      <c r="N3503" s="242"/>
      <c r="O3503" s="242"/>
      <c r="P3503" s="242"/>
      <c r="Q3503" s="242"/>
      <c r="R3503" s="539"/>
      <c r="S3503" s="540"/>
      <c r="T3503" s="543"/>
      <c r="U3503" s="673" t="b">
        <v>0</v>
      </c>
      <c r="Z3503" t="b">
        <v>0</v>
      </c>
      <c r="AA3503" t="b">
        <v>0</v>
      </c>
      <c r="AC3503" s="82"/>
      <c r="AD3503" t="str">
        <f t="shared" si="71"/>
        <v/>
      </c>
      <c r="AE3503" t="str">
        <f t="shared" si="72"/>
        <v/>
      </c>
    </row>
    <row r="3504">
      <c r="D3504" s="226"/>
      <c r="H3504" s="474"/>
      <c r="I3504" s="474"/>
      <c r="J3504" s="475"/>
      <c r="K3504" s="275"/>
      <c r="L3504" s="82"/>
      <c r="M3504" s="672"/>
      <c r="N3504" s="242"/>
      <c r="O3504" s="242"/>
      <c r="P3504" s="242"/>
      <c r="Q3504" s="242"/>
      <c r="R3504" s="539"/>
      <c r="S3504" s="540"/>
      <c r="T3504" s="543"/>
      <c r="U3504" s="673" t="b">
        <v>0</v>
      </c>
      <c r="Z3504" t="b">
        <v>0</v>
      </c>
      <c r="AA3504" t="b">
        <v>0</v>
      </c>
      <c r="AC3504" s="82"/>
      <c r="AD3504" t="str">
        <f t="shared" si="71"/>
        <v/>
      </c>
      <c r="AE3504" t="str">
        <f t="shared" si="72"/>
        <v/>
      </c>
    </row>
    <row r="3505">
      <c r="D3505" s="226"/>
      <c r="H3505" s="474"/>
      <c r="I3505" s="474"/>
      <c r="J3505" s="475"/>
      <c r="K3505" s="275"/>
      <c r="L3505" s="82"/>
      <c r="M3505" s="672"/>
      <c r="N3505" s="242"/>
      <c r="O3505" s="242"/>
      <c r="P3505" s="242"/>
      <c r="Q3505" s="242"/>
      <c r="R3505" s="539"/>
      <c r="S3505" s="540"/>
      <c r="T3505" s="543"/>
      <c r="U3505" s="673" t="b">
        <v>0</v>
      </c>
      <c r="Z3505" t="b">
        <v>0</v>
      </c>
      <c r="AA3505" t="b">
        <v>0</v>
      </c>
      <c r="AC3505" s="82"/>
      <c r="AD3505" t="str">
        <f t="shared" si="71"/>
        <v/>
      </c>
      <c r="AE3505" t="str">
        <f t="shared" si="72"/>
        <v/>
      </c>
    </row>
    <row r="3506">
      <c r="D3506" s="226"/>
      <c r="H3506" s="474"/>
      <c r="I3506" s="474"/>
      <c r="J3506" s="475"/>
      <c r="K3506" s="275"/>
      <c r="L3506" s="82"/>
      <c r="M3506" s="672"/>
      <c r="N3506" s="242"/>
      <c r="O3506" s="242"/>
      <c r="P3506" s="242"/>
      <c r="Q3506" s="242"/>
      <c r="R3506" s="539"/>
      <c r="S3506" s="540"/>
      <c r="T3506" s="543"/>
      <c r="U3506" s="673" t="b">
        <v>0</v>
      </c>
      <c r="Z3506" t="b">
        <v>0</v>
      </c>
      <c r="AA3506" t="b">
        <v>0</v>
      </c>
      <c r="AC3506" s="82"/>
      <c r="AD3506" t="str">
        <f t="shared" si="71"/>
        <v/>
      </c>
      <c r="AE3506" t="str">
        <f t="shared" si="72"/>
        <v/>
      </c>
    </row>
    <row r="3507">
      <c r="D3507" s="226"/>
      <c r="H3507" s="474"/>
      <c r="I3507" s="474"/>
      <c r="J3507" s="475"/>
      <c r="K3507" s="275"/>
      <c r="L3507" s="82"/>
      <c r="M3507" s="672"/>
      <c r="N3507" s="242"/>
      <c r="O3507" s="242"/>
      <c r="P3507" s="242"/>
      <c r="Q3507" s="242"/>
      <c r="R3507" s="539"/>
      <c r="S3507" s="540"/>
      <c r="T3507" s="543"/>
      <c r="U3507" s="673" t="b">
        <v>0</v>
      </c>
      <c r="Z3507" t="b">
        <v>0</v>
      </c>
      <c r="AA3507" t="b">
        <v>0</v>
      </c>
      <c r="AC3507" s="82"/>
      <c r="AD3507" t="str">
        <f t="shared" si="71"/>
        <v/>
      </c>
      <c r="AE3507" t="str">
        <f t="shared" si="72"/>
        <v/>
      </c>
    </row>
    <row r="3508">
      <c r="D3508" s="226"/>
      <c r="H3508" s="474"/>
      <c r="I3508" s="474"/>
      <c r="J3508" s="475"/>
      <c r="K3508" s="275"/>
      <c r="L3508" s="82"/>
      <c r="M3508" s="672"/>
      <c r="N3508" s="242"/>
      <c r="O3508" s="242"/>
      <c r="P3508" s="242"/>
      <c r="Q3508" s="242"/>
      <c r="R3508" s="539"/>
      <c r="S3508" s="540"/>
      <c r="T3508" s="543"/>
      <c r="U3508" s="673" t="b">
        <v>0</v>
      </c>
      <c r="Z3508" t="b">
        <v>0</v>
      </c>
      <c r="AA3508" t="b">
        <v>0</v>
      </c>
      <c r="AC3508" s="82"/>
      <c r="AD3508" t="str">
        <f t="shared" si="71"/>
        <v/>
      </c>
      <c r="AE3508" t="str">
        <f t="shared" si="72"/>
        <v/>
      </c>
    </row>
    <row r="3509">
      <c r="D3509" s="226"/>
      <c r="H3509" s="474"/>
      <c r="I3509" s="474"/>
      <c r="J3509" s="475"/>
      <c r="K3509" s="275"/>
      <c r="L3509" s="82"/>
      <c r="M3509" s="672"/>
      <c r="N3509" s="242"/>
      <c r="O3509" s="242"/>
      <c r="P3509" s="242"/>
      <c r="Q3509" s="242"/>
      <c r="R3509" s="539"/>
      <c r="S3509" s="540"/>
      <c r="T3509" s="543"/>
      <c r="U3509" s="673" t="b">
        <v>0</v>
      </c>
      <c r="Z3509" t="b">
        <v>0</v>
      </c>
      <c r="AA3509" t="b">
        <v>0</v>
      </c>
      <c r="AC3509" s="82"/>
      <c r="AD3509" t="str">
        <f t="shared" si="71"/>
        <v/>
      </c>
      <c r="AE3509" t="str">
        <f t="shared" si="72"/>
        <v/>
      </c>
    </row>
    <row r="3510">
      <c r="D3510" s="226"/>
      <c r="H3510" s="474"/>
      <c r="I3510" s="474"/>
      <c r="J3510" s="475"/>
      <c r="K3510" s="275"/>
      <c r="L3510" s="82"/>
      <c r="M3510" s="672"/>
      <c r="N3510" s="242"/>
      <c r="O3510" s="242"/>
      <c r="P3510" s="242"/>
      <c r="Q3510" s="242"/>
      <c r="R3510" s="539"/>
      <c r="S3510" s="540"/>
      <c r="T3510" s="543"/>
      <c r="U3510" s="673" t="b">
        <v>0</v>
      </c>
      <c r="Z3510" t="b">
        <v>0</v>
      </c>
      <c r="AA3510" t="b">
        <v>0</v>
      </c>
      <c r="AC3510" s="82"/>
      <c r="AD3510" t="str">
        <f t="shared" si="71"/>
        <v/>
      </c>
      <c r="AE3510" t="str">
        <f t="shared" si="72"/>
        <v/>
      </c>
    </row>
    <row r="3511">
      <c r="D3511" s="226"/>
      <c r="H3511" s="474"/>
      <c r="I3511" s="474"/>
      <c r="J3511" s="475"/>
      <c r="K3511" s="275"/>
      <c r="L3511" s="82"/>
      <c r="M3511" s="672"/>
      <c r="N3511" s="242"/>
      <c r="O3511" s="242"/>
      <c r="P3511" s="242"/>
      <c r="Q3511" s="242"/>
      <c r="R3511" s="539"/>
      <c r="S3511" s="540"/>
      <c r="T3511" s="543"/>
      <c r="U3511" s="673" t="b">
        <v>0</v>
      </c>
      <c r="Z3511" t="b">
        <v>0</v>
      </c>
      <c r="AA3511" t="b">
        <v>0</v>
      </c>
      <c r="AC3511" s="82"/>
      <c r="AD3511" t="str">
        <f t="shared" si="71"/>
        <v/>
      </c>
      <c r="AE3511" t="str">
        <f t="shared" si="72"/>
        <v/>
      </c>
    </row>
    <row r="3512">
      <c r="D3512" s="226"/>
      <c r="H3512" s="474"/>
      <c r="I3512" s="474"/>
      <c r="J3512" s="475"/>
      <c r="K3512" s="275"/>
      <c r="L3512" s="82"/>
      <c r="M3512" s="672"/>
      <c r="N3512" s="242"/>
      <c r="O3512" s="242"/>
      <c r="P3512" s="242"/>
      <c r="Q3512" s="242"/>
      <c r="R3512" s="539"/>
      <c r="S3512" s="540"/>
      <c r="T3512" s="543"/>
      <c r="U3512" s="673" t="b">
        <v>0</v>
      </c>
      <c r="Z3512" t="b">
        <v>0</v>
      </c>
      <c r="AA3512" t="b">
        <v>0</v>
      </c>
      <c r="AC3512" s="82"/>
      <c r="AD3512" t="str">
        <f t="shared" si="71"/>
        <v/>
      </c>
      <c r="AE3512" t="str">
        <f t="shared" si="72"/>
        <v/>
      </c>
    </row>
    <row r="3513">
      <c r="D3513" s="226"/>
      <c r="H3513" s="474"/>
      <c r="I3513" s="474"/>
      <c r="J3513" s="475"/>
      <c r="K3513" s="275"/>
      <c r="L3513" s="82"/>
      <c r="M3513" s="672"/>
      <c r="N3513" s="242"/>
      <c r="O3513" s="242"/>
      <c r="P3513" s="242"/>
      <c r="Q3513" s="242"/>
      <c r="R3513" s="539"/>
      <c r="S3513" s="540"/>
      <c r="T3513" s="543"/>
      <c r="U3513" s="673" t="b">
        <v>0</v>
      </c>
      <c r="Z3513" t="b">
        <v>0</v>
      </c>
      <c r="AA3513" t="b">
        <v>0</v>
      </c>
      <c r="AC3513" s="82"/>
      <c r="AD3513" t="str">
        <f t="shared" si="71"/>
        <v/>
      </c>
      <c r="AE3513" t="str">
        <f t="shared" si="72"/>
        <v/>
      </c>
    </row>
    <row r="3514">
      <c r="D3514" s="226"/>
      <c r="H3514" s="474"/>
      <c r="I3514" s="474"/>
      <c r="J3514" s="475"/>
      <c r="K3514" s="275"/>
      <c r="L3514" s="82"/>
      <c r="M3514" s="672"/>
      <c r="N3514" s="242"/>
      <c r="O3514" s="242"/>
      <c r="P3514" s="242"/>
      <c r="Q3514" s="242"/>
      <c r="R3514" s="539"/>
      <c r="S3514" s="540"/>
      <c r="T3514" s="543"/>
      <c r="U3514" s="673" t="b">
        <v>0</v>
      </c>
      <c r="Z3514" t="b">
        <v>0</v>
      </c>
      <c r="AA3514" t="b">
        <v>0</v>
      </c>
      <c r="AC3514" s="82"/>
      <c r="AD3514" t="str">
        <f t="shared" si="71"/>
        <v/>
      </c>
      <c r="AE3514" t="str">
        <f t="shared" si="72"/>
        <v/>
      </c>
    </row>
    <row r="3515">
      <c r="D3515" s="226"/>
      <c r="H3515" s="474"/>
      <c r="I3515" s="474"/>
      <c r="J3515" s="475"/>
      <c r="K3515" s="275"/>
      <c r="L3515" s="82"/>
      <c r="M3515" s="672"/>
      <c r="N3515" s="242"/>
      <c r="O3515" s="242"/>
      <c r="P3515" s="242"/>
      <c r="Q3515" s="242"/>
      <c r="R3515" s="539"/>
      <c r="S3515" s="540"/>
      <c r="T3515" s="543"/>
      <c r="U3515" s="673" t="b">
        <v>0</v>
      </c>
      <c r="Z3515" t="b">
        <v>0</v>
      </c>
      <c r="AA3515" t="b">
        <v>0</v>
      </c>
      <c r="AC3515" s="82"/>
      <c r="AD3515" t="str">
        <f t="shared" si="71"/>
        <v/>
      </c>
      <c r="AE3515" t="str">
        <f t="shared" si="72"/>
        <v/>
      </c>
    </row>
    <row r="3516">
      <c r="D3516" s="226"/>
      <c r="H3516" s="474"/>
      <c r="I3516" s="474"/>
      <c r="J3516" s="475"/>
      <c r="K3516" s="275"/>
      <c r="L3516" s="82"/>
      <c r="M3516" s="672"/>
      <c r="N3516" s="242"/>
      <c r="O3516" s="242"/>
      <c r="P3516" s="242"/>
      <c r="Q3516" s="242"/>
      <c r="R3516" s="539"/>
      <c r="S3516" s="540"/>
      <c r="T3516" s="543"/>
      <c r="U3516" s="673" t="b">
        <v>0</v>
      </c>
      <c r="Z3516" t="b">
        <v>0</v>
      </c>
      <c r="AA3516" t="b">
        <v>0</v>
      </c>
      <c r="AC3516" s="82"/>
      <c r="AD3516" t="str">
        <f t="shared" si="71"/>
        <v/>
      </c>
      <c r="AE3516" t="str">
        <f t="shared" si="72"/>
        <v/>
      </c>
    </row>
    <row r="3517">
      <c r="D3517" s="226"/>
      <c r="H3517" s="474"/>
      <c r="I3517" s="474"/>
      <c r="J3517" s="475"/>
      <c r="K3517" s="275"/>
      <c r="L3517" s="82"/>
      <c r="M3517" s="672"/>
      <c r="N3517" s="242"/>
      <c r="O3517" s="242"/>
      <c r="P3517" s="242"/>
      <c r="Q3517" s="242"/>
      <c r="R3517" s="539"/>
      <c r="S3517" s="540"/>
      <c r="T3517" s="543"/>
      <c r="U3517" s="673" t="b">
        <v>0</v>
      </c>
      <c r="Z3517" t="b">
        <v>0</v>
      </c>
      <c r="AA3517" t="b">
        <v>0</v>
      </c>
      <c r="AC3517" s="82"/>
      <c r="AD3517" t="str">
        <f t="shared" si="71"/>
        <v/>
      </c>
      <c r="AE3517" t="str">
        <f t="shared" si="72"/>
        <v/>
      </c>
    </row>
    <row r="3518">
      <c r="D3518" s="226"/>
      <c r="H3518" s="474"/>
      <c r="I3518" s="474"/>
      <c r="J3518" s="475"/>
      <c r="K3518" s="275"/>
      <c r="L3518" s="82"/>
      <c r="M3518" s="672"/>
      <c r="N3518" s="242"/>
      <c r="O3518" s="242"/>
      <c r="P3518" s="242"/>
      <c r="Q3518" s="242"/>
      <c r="R3518" s="539"/>
      <c r="S3518" s="540"/>
      <c r="T3518" s="543"/>
      <c r="U3518" s="673" t="b">
        <v>0</v>
      </c>
      <c r="Z3518" t="b">
        <v>0</v>
      </c>
      <c r="AA3518" t="b">
        <v>0</v>
      </c>
      <c r="AC3518" s="82"/>
      <c r="AD3518" t="str">
        <f t="shared" si="71"/>
        <v/>
      </c>
      <c r="AE3518" t="str">
        <f t="shared" si="72"/>
        <v/>
      </c>
    </row>
    <row r="3519">
      <c r="D3519" s="226"/>
      <c r="H3519" s="474"/>
      <c r="I3519" s="474"/>
      <c r="J3519" s="475"/>
      <c r="K3519" s="275"/>
      <c r="L3519" s="82"/>
      <c r="M3519" s="672"/>
      <c r="N3519" s="242"/>
      <c r="O3519" s="242"/>
      <c r="P3519" s="242"/>
      <c r="Q3519" s="242"/>
      <c r="R3519" s="539"/>
      <c r="S3519" s="540"/>
      <c r="T3519" s="543"/>
      <c r="U3519" s="673" t="b">
        <v>0</v>
      </c>
      <c r="Z3519" t="b">
        <v>0</v>
      </c>
      <c r="AA3519" t="b">
        <v>0</v>
      </c>
      <c r="AC3519" s="82"/>
      <c r="AD3519" t="str">
        <f t="shared" si="71"/>
        <v/>
      </c>
      <c r="AE3519" t="str">
        <f t="shared" si="72"/>
        <v/>
      </c>
    </row>
    <row r="3520">
      <c r="D3520" s="226"/>
      <c r="H3520" s="474"/>
      <c r="I3520" s="474"/>
      <c r="J3520" s="475"/>
      <c r="K3520" s="275"/>
      <c r="L3520" s="82"/>
      <c r="M3520" s="672"/>
      <c r="N3520" s="242"/>
      <c r="O3520" s="242"/>
      <c r="P3520" s="242"/>
      <c r="Q3520" s="242"/>
      <c r="R3520" s="539"/>
      <c r="S3520" s="540"/>
      <c r="T3520" s="543"/>
      <c r="U3520" s="673" t="b">
        <v>0</v>
      </c>
      <c r="Z3520" t="b">
        <v>0</v>
      </c>
      <c r="AA3520" t="b">
        <v>0</v>
      </c>
      <c r="AC3520" s="82"/>
      <c r="AD3520" t="str">
        <f t="shared" si="71"/>
        <v/>
      </c>
      <c r="AE3520" t="str">
        <f t="shared" si="72"/>
        <v/>
      </c>
    </row>
    <row r="3521">
      <c r="D3521" s="226"/>
      <c r="H3521" s="474"/>
      <c r="I3521" s="474"/>
      <c r="J3521" s="475"/>
      <c r="K3521" s="275"/>
      <c r="L3521" s="82"/>
      <c r="M3521" s="672"/>
      <c r="N3521" s="242"/>
      <c r="O3521" s="242"/>
      <c r="P3521" s="242"/>
      <c r="Q3521" s="242"/>
      <c r="R3521" s="539"/>
      <c r="S3521" s="540"/>
      <c r="T3521" s="543"/>
      <c r="U3521" s="673" t="b">
        <v>0</v>
      </c>
      <c r="Z3521" t="b">
        <v>0</v>
      </c>
      <c r="AA3521" t="b">
        <v>0</v>
      </c>
      <c r="AC3521" s="82"/>
      <c r="AD3521" t="str">
        <f t="shared" si="71"/>
        <v/>
      </c>
      <c r="AE3521" t="str">
        <f t="shared" si="72"/>
        <v/>
      </c>
    </row>
    <row r="3522">
      <c r="D3522" s="226"/>
      <c r="H3522" s="474"/>
      <c r="I3522" s="474"/>
      <c r="J3522" s="475"/>
      <c r="K3522" s="275"/>
      <c r="L3522" s="82"/>
      <c r="M3522" s="672"/>
      <c r="N3522" s="242"/>
      <c r="O3522" s="242"/>
      <c r="P3522" s="242"/>
      <c r="Q3522" s="242"/>
      <c r="R3522" s="539"/>
      <c r="S3522" s="540"/>
      <c r="T3522" s="543"/>
      <c r="U3522" s="673" t="b">
        <v>0</v>
      </c>
      <c r="Z3522" t="b">
        <v>0</v>
      </c>
      <c r="AA3522" t="b">
        <v>0</v>
      </c>
      <c r="AC3522" s="82"/>
      <c r="AD3522" t="str">
        <f t="shared" si="71"/>
        <v/>
      </c>
      <c r="AE3522" t="str">
        <f t="shared" si="72"/>
        <v/>
      </c>
    </row>
    <row r="3523">
      <c r="D3523" s="226"/>
      <c r="H3523" s="474"/>
      <c r="I3523" s="474"/>
      <c r="J3523" s="475"/>
      <c r="K3523" s="275"/>
      <c r="L3523" s="82"/>
      <c r="M3523" s="672"/>
      <c r="N3523" s="242"/>
      <c r="O3523" s="242"/>
      <c r="P3523" s="242"/>
      <c r="Q3523" s="242"/>
      <c r="R3523" s="539"/>
      <c r="S3523" s="540"/>
      <c r="T3523" s="543"/>
      <c r="U3523" s="673" t="b">
        <v>0</v>
      </c>
      <c r="Z3523" t="b">
        <v>0</v>
      </c>
      <c r="AA3523" t="b">
        <v>0</v>
      </c>
      <c r="AC3523" s="82"/>
      <c r="AD3523" t="str">
        <f t="shared" si="71"/>
        <v/>
      </c>
      <c r="AE3523" t="str">
        <f t="shared" si="72"/>
        <v/>
      </c>
    </row>
    <row r="3524">
      <c r="D3524" s="226"/>
      <c r="H3524" s="474"/>
      <c r="I3524" s="474"/>
      <c r="J3524" s="475"/>
      <c r="K3524" s="275"/>
      <c r="L3524" s="82"/>
      <c r="M3524" s="672"/>
      <c r="N3524" s="242"/>
      <c r="O3524" s="242"/>
      <c r="P3524" s="242"/>
      <c r="Q3524" s="242"/>
      <c r="R3524" s="539"/>
      <c r="S3524" s="540"/>
      <c r="T3524" s="543"/>
      <c r="U3524" s="673" t="b">
        <v>0</v>
      </c>
      <c r="Z3524" t="b">
        <v>0</v>
      </c>
      <c r="AA3524" t="b">
        <v>0</v>
      </c>
      <c r="AC3524" s="82"/>
      <c r="AD3524" t="str">
        <f t="shared" si="71"/>
        <v/>
      </c>
      <c r="AE3524" t="str">
        <f t="shared" si="72"/>
        <v/>
      </c>
    </row>
    <row r="3525">
      <c r="D3525" s="226"/>
      <c r="H3525" s="474"/>
      <c r="I3525" s="474"/>
      <c r="J3525" s="475"/>
      <c r="K3525" s="275"/>
      <c r="L3525" s="82"/>
      <c r="M3525" s="672"/>
      <c r="N3525" s="242"/>
      <c r="O3525" s="242"/>
      <c r="P3525" s="242"/>
      <c r="Q3525" s="242"/>
      <c r="R3525" s="539"/>
      <c r="S3525" s="540"/>
      <c r="T3525" s="543"/>
      <c r="U3525" s="673" t="b">
        <v>0</v>
      </c>
      <c r="Z3525" t="b">
        <v>0</v>
      </c>
      <c r="AA3525" t="b">
        <v>0</v>
      </c>
      <c r="AC3525" s="82"/>
      <c r="AD3525" t="str">
        <f t="shared" si="71"/>
        <v/>
      </c>
      <c r="AE3525" t="str">
        <f t="shared" si="72"/>
        <v/>
      </c>
    </row>
    <row r="3526">
      <c r="D3526" s="226"/>
      <c r="H3526" s="474"/>
      <c r="I3526" s="474"/>
      <c r="J3526" s="475"/>
      <c r="K3526" s="275"/>
      <c r="L3526" s="82"/>
      <c r="M3526" s="672"/>
      <c r="N3526" s="242"/>
      <c r="O3526" s="242"/>
      <c r="P3526" s="242"/>
      <c r="Q3526" s="242"/>
      <c r="R3526" s="539"/>
      <c r="S3526" s="540"/>
      <c r="T3526" s="543"/>
      <c r="U3526" s="673" t="b">
        <v>0</v>
      </c>
      <c r="Z3526" t="b">
        <v>0</v>
      </c>
      <c r="AA3526" t="b">
        <v>0</v>
      </c>
      <c r="AC3526" s="82"/>
      <c r="AD3526" t="str">
        <f t="shared" si="71"/>
        <v/>
      </c>
      <c r="AE3526" t="str">
        <f t="shared" si="72"/>
        <v/>
      </c>
    </row>
    <row r="3527">
      <c r="D3527" s="226"/>
      <c r="H3527" s="474"/>
      <c r="I3527" s="474"/>
      <c r="J3527" s="475"/>
      <c r="K3527" s="275"/>
      <c r="L3527" s="82"/>
      <c r="M3527" s="672"/>
      <c r="N3527" s="242"/>
      <c r="O3527" s="242"/>
      <c r="P3527" s="242"/>
      <c r="Q3527" s="242"/>
      <c r="R3527" s="539"/>
      <c r="S3527" s="540"/>
      <c r="T3527" s="543"/>
      <c r="U3527" s="673" t="b">
        <v>0</v>
      </c>
      <c r="Z3527" t="b">
        <v>0</v>
      </c>
      <c r="AA3527" t="b">
        <v>0</v>
      </c>
      <c r="AC3527" s="82"/>
      <c r="AD3527" t="str">
        <f t="shared" si="71"/>
        <v/>
      </c>
      <c r="AE3527" t="str">
        <f t="shared" si="72"/>
        <v/>
      </c>
    </row>
    <row r="3528">
      <c r="D3528" s="226"/>
      <c r="H3528" s="474"/>
      <c r="I3528" s="474"/>
      <c r="J3528" s="475"/>
      <c r="K3528" s="275"/>
      <c r="L3528" s="82"/>
      <c r="M3528" s="672"/>
      <c r="N3528" s="242"/>
      <c r="O3528" s="242"/>
      <c r="P3528" s="242"/>
      <c r="Q3528" s="242"/>
      <c r="R3528" s="539"/>
      <c r="S3528" s="540"/>
      <c r="T3528" s="543"/>
      <c r="U3528" s="673" t="b">
        <v>0</v>
      </c>
      <c r="Z3528" t="b">
        <v>0</v>
      </c>
      <c r="AA3528" t="b">
        <v>0</v>
      </c>
      <c r="AC3528" s="82"/>
      <c r="AD3528" t="str">
        <f t="shared" si="71"/>
        <v/>
      </c>
      <c r="AE3528" t="str">
        <f t="shared" si="72"/>
        <v/>
      </c>
    </row>
    <row r="3529">
      <c r="D3529" s="226"/>
      <c r="H3529" s="474"/>
      <c r="I3529" s="474"/>
      <c r="J3529" s="475"/>
      <c r="K3529" s="275"/>
      <c r="L3529" s="82"/>
      <c r="M3529" s="672"/>
      <c r="N3529" s="242"/>
      <c r="O3529" s="242"/>
      <c r="P3529" s="242"/>
      <c r="Q3529" s="242"/>
      <c r="R3529" s="539"/>
      <c r="S3529" s="540"/>
      <c r="T3529" s="543"/>
      <c r="U3529" s="673" t="b">
        <v>0</v>
      </c>
      <c r="Z3529" t="b">
        <v>0</v>
      </c>
      <c r="AA3529" t="b">
        <v>0</v>
      </c>
      <c r="AC3529" s="82"/>
      <c r="AD3529" t="str">
        <f t="shared" si="71"/>
        <v/>
      </c>
      <c r="AE3529" t="str">
        <f t="shared" si="72"/>
        <v/>
      </c>
    </row>
    <row r="3530">
      <c r="D3530" s="226"/>
      <c r="H3530" s="474"/>
      <c r="I3530" s="474"/>
      <c r="J3530" s="475"/>
      <c r="K3530" s="275"/>
      <c r="L3530" s="82"/>
      <c r="M3530" s="672"/>
      <c r="N3530" s="242"/>
      <c r="O3530" s="242"/>
      <c r="P3530" s="242"/>
      <c r="Q3530" s="242"/>
      <c r="R3530" s="539"/>
      <c r="S3530" s="540"/>
      <c r="T3530" s="543"/>
      <c r="U3530" s="673" t="b">
        <v>0</v>
      </c>
      <c r="Z3530" t="b">
        <v>0</v>
      </c>
      <c r="AA3530" t="b">
        <v>0</v>
      </c>
      <c r="AC3530" s="82"/>
      <c r="AD3530" t="str">
        <f t="shared" si="71"/>
        <v/>
      </c>
      <c r="AE3530" t="str">
        <f t="shared" si="72"/>
        <v/>
      </c>
    </row>
    <row r="3531">
      <c r="D3531" s="226"/>
      <c r="H3531" s="474"/>
      <c r="I3531" s="474"/>
      <c r="J3531" s="475"/>
      <c r="K3531" s="275"/>
      <c r="L3531" s="82"/>
      <c r="M3531" s="672"/>
      <c r="N3531" s="242"/>
      <c r="O3531" s="242"/>
      <c r="P3531" s="242"/>
      <c r="Q3531" s="242"/>
      <c r="R3531" s="539"/>
      <c r="S3531" s="540"/>
      <c r="T3531" s="543"/>
      <c r="U3531" s="673" t="b">
        <v>0</v>
      </c>
      <c r="Z3531" t="b">
        <v>0</v>
      </c>
      <c r="AA3531" t="b">
        <v>0</v>
      </c>
      <c r="AC3531" s="82"/>
      <c r="AD3531" t="str">
        <f t="shared" si="71"/>
        <v/>
      </c>
      <c r="AE3531" t="str">
        <f t="shared" si="72"/>
        <v/>
      </c>
    </row>
    <row r="3532">
      <c r="D3532" s="226"/>
      <c r="H3532" s="474"/>
      <c r="I3532" s="474"/>
      <c r="J3532" s="475"/>
      <c r="K3532" s="275"/>
      <c r="L3532" s="82"/>
      <c r="M3532" s="672"/>
      <c r="N3532" s="242"/>
      <c r="O3532" s="242"/>
      <c r="P3532" s="242"/>
      <c r="Q3532" s="242"/>
      <c r="R3532" s="539"/>
      <c r="S3532" s="540"/>
      <c r="T3532" s="543"/>
      <c r="U3532" s="673" t="b">
        <v>0</v>
      </c>
      <c r="Z3532" t="b">
        <v>0</v>
      </c>
      <c r="AA3532" t="b">
        <v>0</v>
      </c>
      <c r="AC3532" s="82"/>
      <c r="AD3532" t="str">
        <f t="shared" si="71"/>
        <v/>
      </c>
      <c r="AE3532" t="str">
        <f t="shared" si="72"/>
        <v/>
      </c>
    </row>
    <row r="3533">
      <c r="D3533" s="226"/>
      <c r="H3533" s="474"/>
      <c r="I3533" s="474"/>
      <c r="J3533" s="475"/>
      <c r="K3533" s="275"/>
      <c r="L3533" s="82"/>
      <c r="M3533" s="672"/>
      <c r="N3533" s="242"/>
      <c r="O3533" s="242"/>
      <c r="P3533" s="242"/>
      <c r="Q3533" s="242"/>
      <c r="R3533" s="539"/>
      <c r="S3533" s="540"/>
      <c r="T3533" s="543"/>
      <c r="U3533" s="673" t="b">
        <v>0</v>
      </c>
      <c r="Z3533" t="b">
        <v>0</v>
      </c>
      <c r="AA3533" t="b">
        <v>0</v>
      </c>
      <c r="AC3533" s="82"/>
      <c r="AD3533" t="str">
        <f t="shared" si="71"/>
        <v/>
      </c>
      <c r="AE3533" t="str">
        <f t="shared" si="72"/>
        <v/>
      </c>
    </row>
    <row r="3534">
      <c r="D3534" s="226"/>
      <c r="H3534" s="474"/>
      <c r="I3534" s="474"/>
      <c r="J3534" s="475"/>
      <c r="K3534" s="275"/>
      <c r="L3534" s="82"/>
      <c r="M3534" s="672"/>
      <c r="N3534" s="242"/>
      <c r="O3534" s="242"/>
      <c r="P3534" s="242"/>
      <c r="Q3534" s="242"/>
      <c r="R3534" s="539"/>
      <c r="S3534" s="540"/>
      <c r="T3534" s="543"/>
      <c r="U3534" s="673" t="b">
        <v>0</v>
      </c>
      <c r="Z3534" t="b">
        <v>0</v>
      </c>
      <c r="AA3534" t="b">
        <v>0</v>
      </c>
      <c r="AC3534" s="82"/>
      <c r="AD3534" t="str">
        <f t="shared" si="71"/>
        <v/>
      </c>
      <c r="AE3534" t="str">
        <f t="shared" si="72"/>
        <v/>
      </c>
    </row>
    <row r="3535">
      <c r="D3535" s="226"/>
      <c r="H3535" s="474"/>
      <c r="I3535" s="474"/>
      <c r="J3535" s="475"/>
      <c r="K3535" s="275"/>
      <c r="L3535" s="82"/>
      <c r="M3535" s="672"/>
      <c r="N3535" s="242"/>
      <c r="O3535" s="242"/>
      <c r="P3535" s="242"/>
      <c r="Q3535" s="242"/>
      <c r="R3535" s="539"/>
      <c r="S3535" s="540"/>
      <c r="T3535" s="543"/>
      <c r="U3535" s="673" t="b">
        <v>0</v>
      </c>
      <c r="Z3535" t="b">
        <v>0</v>
      </c>
      <c r="AA3535" t="b">
        <v>0</v>
      </c>
      <c r="AC3535" s="82"/>
      <c r="AD3535" t="str">
        <f t="shared" si="71"/>
        <v/>
      </c>
      <c r="AE3535" t="str">
        <f t="shared" si="72"/>
        <v/>
      </c>
    </row>
    <row r="3536">
      <c r="D3536" s="226"/>
      <c r="H3536" s="474"/>
      <c r="I3536" s="474"/>
      <c r="J3536" s="475"/>
      <c r="K3536" s="275"/>
      <c r="L3536" s="82"/>
      <c r="M3536" s="672"/>
      <c r="N3536" s="242"/>
      <c r="O3536" s="242"/>
      <c r="P3536" s="242"/>
      <c r="Q3536" s="242"/>
      <c r="R3536" s="539"/>
      <c r="S3536" s="540"/>
      <c r="T3536" s="543"/>
      <c r="U3536" s="673" t="b">
        <v>0</v>
      </c>
      <c r="Z3536" t="b">
        <v>0</v>
      </c>
      <c r="AA3536" t="b">
        <v>0</v>
      </c>
      <c r="AC3536" s="82"/>
      <c r="AD3536" t="str">
        <f t="shared" si="71"/>
        <v/>
      </c>
      <c r="AE3536" t="str">
        <f t="shared" si="72"/>
        <v/>
      </c>
    </row>
    <row r="3537">
      <c r="D3537" s="226"/>
      <c r="H3537" s="474"/>
      <c r="I3537" s="474"/>
      <c r="J3537" s="475"/>
      <c r="K3537" s="275"/>
      <c r="L3537" s="82"/>
      <c r="M3537" s="672"/>
      <c r="N3537" s="242"/>
      <c r="O3537" s="242"/>
      <c r="P3537" s="242"/>
      <c r="Q3537" s="242"/>
      <c r="R3537" s="539"/>
      <c r="S3537" s="540"/>
      <c r="T3537" s="543"/>
      <c r="U3537" s="673" t="b">
        <v>0</v>
      </c>
      <c r="Z3537" t="b">
        <v>0</v>
      </c>
      <c r="AA3537" t="b">
        <v>0</v>
      </c>
      <c r="AC3537" s="82"/>
      <c r="AD3537" t="str">
        <f t="shared" si="71"/>
        <v/>
      </c>
      <c r="AE3537" t="str">
        <f t="shared" si="72"/>
        <v/>
      </c>
    </row>
    <row r="3538">
      <c r="D3538" s="226"/>
      <c r="H3538" s="474"/>
      <c r="I3538" s="474"/>
      <c r="J3538" s="475"/>
      <c r="K3538" s="275"/>
      <c r="L3538" s="82"/>
      <c r="M3538" s="672"/>
      <c r="N3538" s="242"/>
      <c r="O3538" s="242"/>
      <c r="P3538" s="242"/>
      <c r="Q3538" s="242"/>
      <c r="R3538" s="539"/>
      <c r="S3538" s="540"/>
      <c r="T3538" s="543"/>
      <c r="U3538" s="673" t="b">
        <v>0</v>
      </c>
      <c r="Z3538" t="b">
        <v>0</v>
      </c>
      <c r="AA3538" t="b">
        <v>0</v>
      </c>
      <c r="AC3538" s="82"/>
      <c r="AD3538" t="str">
        <f t="shared" si="71"/>
        <v/>
      </c>
      <c r="AE3538" t="str">
        <f t="shared" si="72"/>
        <v/>
      </c>
    </row>
    <row r="3539">
      <c r="D3539" s="226"/>
      <c r="H3539" s="474"/>
      <c r="I3539" s="474"/>
      <c r="J3539" s="475"/>
      <c r="K3539" s="275"/>
      <c r="L3539" s="82"/>
      <c r="M3539" s="672"/>
      <c r="N3539" s="242"/>
      <c r="O3539" s="242"/>
      <c r="P3539" s="242"/>
      <c r="Q3539" s="242"/>
      <c r="R3539" s="539"/>
      <c r="S3539" s="540"/>
      <c r="T3539" s="543"/>
      <c r="U3539" s="673" t="b">
        <v>0</v>
      </c>
      <c r="Z3539" t="b">
        <v>0</v>
      </c>
      <c r="AA3539" t="b">
        <v>0</v>
      </c>
      <c r="AC3539" s="82"/>
      <c r="AD3539" t="str">
        <f t="shared" si="71"/>
        <v/>
      </c>
      <c r="AE3539" t="str">
        <f t="shared" si="72"/>
        <v/>
      </c>
    </row>
    <row r="3540">
      <c r="D3540" s="226"/>
      <c r="H3540" s="474"/>
      <c r="I3540" s="474"/>
      <c r="J3540" s="475"/>
      <c r="K3540" s="275"/>
      <c r="L3540" s="82"/>
      <c r="M3540" s="672"/>
      <c r="N3540" s="242"/>
      <c r="O3540" s="242"/>
      <c r="P3540" s="242"/>
      <c r="Q3540" s="242"/>
      <c r="R3540" s="539"/>
      <c r="S3540" s="540"/>
      <c r="T3540" s="543"/>
      <c r="U3540" s="673" t="b">
        <v>0</v>
      </c>
      <c r="Z3540" t="b">
        <v>0</v>
      </c>
      <c r="AA3540" t="b">
        <v>0</v>
      </c>
      <c r="AC3540" s="82"/>
      <c r="AD3540" t="str">
        <f t="shared" si="71"/>
        <v/>
      </c>
      <c r="AE3540" t="str">
        <f t="shared" si="72"/>
        <v/>
      </c>
    </row>
    <row r="3541">
      <c r="D3541" s="226"/>
      <c r="H3541" s="474"/>
      <c r="I3541" s="474"/>
      <c r="J3541" s="475"/>
      <c r="K3541" s="275"/>
      <c r="L3541" s="82"/>
      <c r="M3541" s="672"/>
      <c r="N3541" s="242"/>
      <c r="O3541" s="242"/>
      <c r="P3541" s="242"/>
      <c r="Q3541" s="242"/>
      <c r="R3541" s="539"/>
      <c r="S3541" s="540"/>
      <c r="T3541" s="543"/>
      <c r="U3541" s="673" t="b">
        <v>0</v>
      </c>
      <c r="Z3541" t="b">
        <v>0</v>
      </c>
      <c r="AA3541" t="b">
        <v>0</v>
      </c>
      <c r="AC3541" s="82"/>
      <c r="AD3541" t="str">
        <f t="shared" si="71"/>
        <v/>
      </c>
      <c r="AE3541" t="str">
        <f t="shared" si="72"/>
        <v/>
      </c>
    </row>
    <row r="3542">
      <c r="D3542" s="226"/>
      <c r="H3542" s="474"/>
      <c r="I3542" s="474"/>
      <c r="J3542" s="475"/>
      <c r="K3542" s="275"/>
      <c r="L3542" s="82"/>
      <c r="M3542" s="672"/>
      <c r="N3542" s="242"/>
      <c r="O3542" s="242"/>
      <c r="P3542" s="242"/>
      <c r="Q3542" s="242"/>
      <c r="R3542" s="539"/>
      <c r="S3542" s="540"/>
      <c r="T3542" s="543"/>
      <c r="U3542" s="673" t="b">
        <v>0</v>
      </c>
      <c r="Z3542" t="b">
        <v>0</v>
      </c>
      <c r="AA3542" t="b">
        <v>0</v>
      </c>
      <c r="AC3542" s="82"/>
      <c r="AD3542" t="str">
        <f t="shared" si="71"/>
        <v/>
      </c>
      <c r="AE3542" t="str">
        <f t="shared" si="72"/>
        <v/>
      </c>
    </row>
    <row r="3543">
      <c r="D3543" s="226"/>
      <c r="H3543" s="474"/>
      <c r="I3543" s="474"/>
      <c r="J3543" s="475"/>
      <c r="K3543" s="275"/>
      <c r="L3543" s="82"/>
      <c r="M3543" s="672"/>
      <c r="N3543" s="242"/>
      <c r="O3543" s="242"/>
      <c r="P3543" s="242"/>
      <c r="Q3543" s="242"/>
      <c r="R3543" s="539"/>
      <c r="S3543" s="540"/>
      <c r="T3543" s="543"/>
      <c r="U3543" s="673" t="b">
        <v>0</v>
      </c>
      <c r="Z3543" t="b">
        <v>0</v>
      </c>
      <c r="AA3543" t="b">
        <v>0</v>
      </c>
      <c r="AC3543" s="82"/>
      <c r="AD3543" t="str">
        <f t="shared" si="71"/>
        <v/>
      </c>
      <c r="AE3543" t="str">
        <f t="shared" si="72"/>
        <v/>
      </c>
    </row>
    <row r="3544">
      <c r="D3544" s="226"/>
      <c r="H3544" s="474"/>
      <c r="I3544" s="474"/>
      <c r="J3544" s="475"/>
      <c r="K3544" s="275"/>
      <c r="L3544" s="82"/>
      <c r="M3544" s="672"/>
      <c r="N3544" s="242"/>
      <c r="O3544" s="242"/>
      <c r="P3544" s="242"/>
      <c r="Q3544" s="242"/>
      <c r="R3544" s="539"/>
      <c r="S3544" s="540"/>
      <c r="T3544" s="543"/>
      <c r="U3544" s="673" t="b">
        <v>0</v>
      </c>
      <c r="Z3544" t="b">
        <v>0</v>
      </c>
      <c r="AA3544" t="b">
        <v>0</v>
      </c>
      <c r="AC3544" s="82"/>
      <c r="AD3544" t="str">
        <f t="shared" si="71"/>
        <v/>
      </c>
      <c r="AE3544" t="str">
        <f t="shared" si="72"/>
        <v/>
      </c>
    </row>
    <row r="3545">
      <c r="D3545" s="226"/>
      <c r="H3545" s="474"/>
      <c r="I3545" s="474"/>
      <c r="J3545" s="475"/>
      <c r="K3545" s="275"/>
      <c r="L3545" s="82"/>
      <c r="M3545" s="672"/>
      <c r="N3545" s="242"/>
      <c r="O3545" s="242"/>
      <c r="P3545" s="242"/>
      <c r="Q3545" s="242"/>
      <c r="R3545" s="539"/>
      <c r="S3545" s="540"/>
      <c r="T3545" s="543"/>
      <c r="U3545" s="673" t="b">
        <v>0</v>
      </c>
      <c r="Z3545" t="b">
        <v>0</v>
      </c>
      <c r="AA3545" t="b">
        <v>0</v>
      </c>
      <c r="AC3545" s="82"/>
      <c r="AD3545" t="str">
        <f t="shared" si="71"/>
        <v/>
      </c>
      <c r="AE3545" t="str">
        <f t="shared" si="72"/>
        <v/>
      </c>
    </row>
    <row r="3546">
      <c r="D3546" s="226"/>
      <c r="H3546" s="474"/>
      <c r="I3546" s="474"/>
      <c r="J3546" s="475"/>
      <c r="K3546" s="275"/>
      <c r="L3546" s="82"/>
      <c r="M3546" s="672"/>
      <c r="N3546" s="242"/>
      <c r="O3546" s="242"/>
      <c r="P3546" s="242"/>
      <c r="Q3546" s="242"/>
      <c r="R3546" s="539"/>
      <c r="S3546" s="540"/>
      <c r="T3546" s="543"/>
      <c r="U3546" s="673" t="b">
        <v>0</v>
      </c>
      <c r="Z3546" t="b">
        <v>0</v>
      </c>
      <c r="AA3546" t="b">
        <v>0</v>
      </c>
      <c r="AC3546" s="82"/>
      <c r="AD3546" t="str">
        <f t="shared" si="71"/>
        <v/>
      </c>
      <c r="AE3546" t="str">
        <f t="shared" si="72"/>
        <v/>
      </c>
    </row>
    <row r="3547">
      <c r="D3547" s="226"/>
      <c r="H3547" s="474"/>
      <c r="I3547" s="474"/>
      <c r="J3547" s="475"/>
      <c r="K3547" s="275"/>
      <c r="L3547" s="82"/>
      <c r="M3547" s="672"/>
      <c r="N3547" s="242"/>
      <c r="O3547" s="242"/>
      <c r="P3547" s="242"/>
      <c r="Q3547" s="242"/>
      <c r="R3547" s="539"/>
      <c r="S3547" s="540"/>
      <c r="T3547" s="543"/>
      <c r="U3547" s="673" t="b">
        <v>0</v>
      </c>
      <c r="Z3547" t="b">
        <v>0</v>
      </c>
      <c r="AA3547" t="b">
        <v>0</v>
      </c>
      <c r="AC3547" s="82"/>
      <c r="AD3547" t="str">
        <f t="shared" si="71"/>
        <v/>
      </c>
      <c r="AE3547" t="str">
        <f t="shared" si="72"/>
        <v/>
      </c>
    </row>
    <row r="3548">
      <c r="D3548" s="226"/>
      <c r="H3548" s="474"/>
      <c r="I3548" s="474"/>
      <c r="J3548" s="475"/>
      <c r="K3548" s="275"/>
      <c r="L3548" s="82"/>
      <c r="M3548" s="672"/>
      <c r="N3548" s="242"/>
      <c r="O3548" s="242"/>
      <c r="P3548" s="242"/>
      <c r="Q3548" s="242"/>
      <c r="R3548" s="539"/>
      <c r="S3548" s="540"/>
      <c r="T3548" s="543"/>
      <c r="U3548" s="673" t="b">
        <v>0</v>
      </c>
      <c r="Z3548" t="b">
        <v>0</v>
      </c>
      <c r="AA3548" t="b">
        <v>0</v>
      </c>
      <c r="AC3548" s="82"/>
      <c r="AD3548" t="str">
        <f t="shared" si="71"/>
        <v/>
      </c>
      <c r="AE3548" t="str">
        <f t="shared" si="72"/>
        <v/>
      </c>
    </row>
    <row r="3549">
      <c r="D3549" s="226"/>
      <c r="H3549" s="474"/>
      <c r="I3549" s="474"/>
      <c r="J3549" s="475"/>
      <c r="K3549" s="275"/>
      <c r="L3549" s="82"/>
      <c r="M3549" s="672"/>
      <c r="N3549" s="242"/>
      <c r="O3549" s="242"/>
      <c r="P3549" s="242"/>
      <c r="Q3549" s="242"/>
      <c r="R3549" s="539"/>
      <c r="S3549" s="540"/>
      <c r="T3549" s="543"/>
      <c r="U3549" s="673" t="b">
        <v>0</v>
      </c>
      <c r="Z3549" t="b">
        <v>0</v>
      </c>
      <c r="AA3549" t="b">
        <v>0</v>
      </c>
      <c r="AC3549" s="82"/>
      <c r="AD3549" t="str">
        <f t="shared" si="71"/>
        <v/>
      </c>
      <c r="AE3549" t="str">
        <f t="shared" si="72"/>
        <v/>
      </c>
    </row>
    <row r="3550">
      <c r="D3550" s="226"/>
      <c r="H3550" s="474"/>
      <c r="I3550" s="474"/>
      <c r="J3550" s="475"/>
      <c r="K3550" s="275"/>
      <c r="L3550" s="82"/>
      <c r="M3550" s="672"/>
      <c r="N3550" s="242"/>
      <c r="O3550" s="242"/>
      <c r="P3550" s="242"/>
      <c r="Q3550" s="242"/>
      <c r="R3550" s="539"/>
      <c r="S3550" s="540"/>
      <c r="T3550" s="543"/>
      <c r="U3550" s="673" t="b">
        <v>0</v>
      </c>
      <c r="Z3550" t="b">
        <v>0</v>
      </c>
      <c r="AA3550" t="b">
        <v>0</v>
      </c>
      <c r="AC3550" s="82"/>
      <c r="AD3550" t="str">
        <f t="shared" si="71"/>
        <v/>
      </c>
      <c r="AE3550" t="str">
        <f t="shared" si="72"/>
        <v/>
      </c>
    </row>
    <row r="3551">
      <c r="D3551" s="226"/>
      <c r="H3551" s="474"/>
      <c r="I3551" s="474"/>
      <c r="J3551" s="475"/>
      <c r="K3551" s="275"/>
      <c r="L3551" s="82"/>
      <c r="M3551" s="672"/>
      <c r="N3551" s="242"/>
      <c r="O3551" s="242"/>
      <c r="P3551" s="242"/>
      <c r="Q3551" s="242"/>
      <c r="R3551" s="539"/>
      <c r="S3551" s="540"/>
      <c r="T3551" s="543"/>
      <c r="U3551" s="673" t="b">
        <v>0</v>
      </c>
      <c r="Z3551" t="b">
        <v>0</v>
      </c>
      <c r="AA3551" t="b">
        <v>0</v>
      </c>
      <c r="AC3551" s="82"/>
      <c r="AD3551" t="str">
        <f t="shared" si="71"/>
        <v/>
      </c>
      <c r="AE3551" t="str">
        <f t="shared" si="72"/>
        <v/>
      </c>
    </row>
    <row r="3552">
      <c r="D3552" s="226"/>
      <c r="H3552" s="474"/>
      <c r="I3552" s="474"/>
      <c r="J3552" s="475"/>
      <c r="K3552" s="275"/>
      <c r="L3552" s="82"/>
      <c r="M3552" s="672"/>
      <c r="N3552" s="242"/>
      <c r="O3552" s="242"/>
      <c r="P3552" s="242"/>
      <c r="Q3552" s="242"/>
      <c r="R3552" s="539"/>
      <c r="S3552" s="540"/>
      <c r="T3552" s="543"/>
      <c r="U3552" s="673" t="b">
        <v>0</v>
      </c>
      <c r="Z3552" t="b">
        <v>0</v>
      </c>
      <c r="AA3552" t="b">
        <v>0</v>
      </c>
      <c r="AC3552" s="82"/>
      <c r="AD3552" t="str">
        <f t="shared" si="71"/>
        <v/>
      </c>
      <c r="AE3552" t="str">
        <f t="shared" si="72"/>
        <v/>
      </c>
    </row>
    <row r="3553">
      <c r="D3553" s="226"/>
      <c r="H3553" s="474"/>
      <c r="I3553" s="474"/>
      <c r="J3553" s="475"/>
      <c r="K3553" s="275"/>
      <c r="L3553" s="82"/>
      <c r="M3553" s="672"/>
      <c r="N3553" s="242"/>
      <c r="O3553" s="242"/>
      <c r="P3553" s="242"/>
      <c r="Q3553" s="242"/>
      <c r="R3553" s="539"/>
      <c r="S3553" s="540"/>
      <c r="T3553" s="543"/>
      <c r="U3553" s="673" t="b">
        <v>0</v>
      </c>
      <c r="Z3553" t="b">
        <v>0</v>
      </c>
      <c r="AA3553" t="b">
        <v>0</v>
      </c>
      <c r="AC3553" s="82"/>
      <c r="AD3553" t="str">
        <f t="shared" si="71"/>
        <v/>
      </c>
      <c r="AE3553" t="str">
        <f t="shared" si="72"/>
        <v/>
      </c>
    </row>
    <row r="3554">
      <c r="D3554" s="226"/>
      <c r="H3554" s="474"/>
      <c r="I3554" s="474"/>
      <c r="J3554" s="475"/>
      <c r="K3554" s="275"/>
      <c r="L3554" s="82"/>
      <c r="M3554" s="672"/>
      <c r="N3554" s="242"/>
      <c r="O3554" s="242"/>
      <c r="P3554" s="242"/>
      <c r="Q3554" s="242"/>
      <c r="R3554" s="539"/>
      <c r="S3554" s="540"/>
      <c r="T3554" s="543"/>
      <c r="U3554" s="673" t="b">
        <v>0</v>
      </c>
      <c r="Z3554" t="b">
        <v>0</v>
      </c>
      <c r="AA3554" t="b">
        <v>0</v>
      </c>
      <c r="AC3554" s="82"/>
      <c r="AD3554" t="str">
        <f t="shared" si="71"/>
        <v/>
      </c>
      <c r="AE3554" t="str">
        <f t="shared" si="72"/>
        <v/>
      </c>
    </row>
    <row r="3555">
      <c r="D3555" s="226"/>
      <c r="H3555" s="474"/>
      <c r="I3555" s="474"/>
      <c r="J3555" s="475"/>
      <c r="K3555" s="275"/>
      <c r="L3555" s="82"/>
      <c r="M3555" s="672"/>
      <c r="N3555" s="242"/>
      <c r="O3555" s="242"/>
      <c r="P3555" s="242"/>
      <c r="Q3555" s="242"/>
      <c r="R3555" s="539"/>
      <c r="S3555" s="540"/>
      <c r="T3555" s="543"/>
      <c r="U3555" s="673" t="b">
        <v>0</v>
      </c>
      <c r="Z3555" t="b">
        <v>0</v>
      </c>
      <c r="AA3555" t="b">
        <v>0</v>
      </c>
      <c r="AC3555" s="82"/>
      <c r="AD3555" t="str">
        <f t="shared" si="71"/>
        <v/>
      </c>
      <c r="AE3555" t="str">
        <f t="shared" si="72"/>
        <v/>
      </c>
    </row>
    <row r="3556">
      <c r="D3556" s="226"/>
      <c r="H3556" s="474"/>
      <c r="I3556" s="474"/>
      <c r="J3556" s="475"/>
      <c r="K3556" s="275"/>
      <c r="L3556" s="82"/>
      <c r="M3556" s="672"/>
      <c r="N3556" s="242"/>
      <c r="O3556" s="242"/>
      <c r="P3556" s="242"/>
      <c r="Q3556" s="242"/>
      <c r="R3556" s="539"/>
      <c r="S3556" s="540"/>
      <c r="T3556" s="543"/>
      <c r="U3556" s="673" t="b">
        <v>0</v>
      </c>
      <c r="Z3556" t="b">
        <v>0</v>
      </c>
      <c r="AA3556" t="b">
        <v>0</v>
      </c>
      <c r="AC3556" s="82"/>
      <c r="AD3556" t="str">
        <f t="shared" si="71"/>
        <v/>
      </c>
      <c r="AE3556" t="str">
        <f t="shared" si="72"/>
        <v/>
      </c>
    </row>
    <row r="3557">
      <c r="D3557" s="226"/>
      <c r="H3557" s="474"/>
      <c r="I3557" s="474"/>
      <c r="J3557" s="475"/>
      <c r="K3557" s="275"/>
      <c r="L3557" s="82"/>
      <c r="M3557" s="672"/>
      <c r="N3557" s="242"/>
      <c r="O3557" s="242"/>
      <c r="P3557" s="242"/>
      <c r="Q3557" s="242"/>
      <c r="R3557" s="539"/>
      <c r="S3557" s="540"/>
      <c r="T3557" s="543"/>
      <c r="U3557" s="673" t="b">
        <v>0</v>
      </c>
      <c r="Z3557" t="b">
        <v>0</v>
      </c>
      <c r="AA3557" t="b">
        <v>0</v>
      </c>
      <c r="AC3557" s="82"/>
      <c r="AD3557" t="str">
        <f t="shared" si="71"/>
        <v/>
      </c>
      <c r="AE3557" t="str">
        <f t="shared" si="72"/>
        <v/>
      </c>
    </row>
    <row r="3558">
      <c r="D3558" s="226"/>
      <c r="H3558" s="474"/>
      <c r="I3558" s="474"/>
      <c r="J3558" s="475"/>
      <c r="K3558" s="275"/>
      <c r="L3558" s="82"/>
      <c r="M3558" s="672"/>
      <c r="N3558" s="242"/>
      <c r="O3558" s="242"/>
      <c r="P3558" s="242"/>
      <c r="Q3558" s="242"/>
      <c r="R3558" s="539"/>
      <c r="S3558" s="540"/>
      <c r="T3558" s="543"/>
      <c r="U3558" s="673" t="b">
        <v>0</v>
      </c>
      <c r="Z3558" t="b">
        <v>0</v>
      </c>
      <c r="AA3558" t="b">
        <v>0</v>
      </c>
      <c r="AC3558" s="82"/>
      <c r="AD3558" t="str">
        <f t="shared" si="71"/>
        <v/>
      </c>
      <c r="AE3558" t="str">
        <f t="shared" si="72"/>
        <v/>
      </c>
    </row>
    <row r="3559">
      <c r="D3559" s="226"/>
      <c r="H3559" s="474"/>
      <c r="I3559" s="474"/>
      <c r="J3559" s="475"/>
      <c r="K3559" s="275"/>
      <c r="L3559" s="82"/>
      <c r="M3559" s="672"/>
      <c r="N3559" s="242"/>
      <c r="O3559" s="242"/>
      <c r="P3559" s="242"/>
      <c r="Q3559" s="242"/>
      <c r="R3559" s="539"/>
      <c r="S3559" s="540"/>
      <c r="T3559" s="543"/>
      <c r="U3559" s="673" t="b">
        <v>0</v>
      </c>
      <c r="Z3559" t="b">
        <v>0</v>
      </c>
      <c r="AA3559" t="b">
        <v>0</v>
      </c>
      <c r="AC3559" s="82"/>
      <c r="AD3559" t="str">
        <f t="shared" si="71"/>
        <v/>
      </c>
      <c r="AE3559" t="str">
        <f t="shared" si="72"/>
        <v/>
      </c>
    </row>
    <row r="3560">
      <c r="D3560" s="226"/>
      <c r="H3560" s="474"/>
      <c r="I3560" s="474"/>
      <c r="J3560" s="475"/>
      <c r="K3560" s="275"/>
      <c r="L3560" s="82"/>
      <c r="M3560" s="672"/>
      <c r="N3560" s="242"/>
      <c r="O3560" s="242"/>
      <c r="P3560" s="242"/>
      <c r="Q3560" s="242"/>
      <c r="R3560" s="539"/>
      <c r="S3560" s="540"/>
      <c r="T3560" s="543"/>
      <c r="U3560" s="673" t="b">
        <v>0</v>
      </c>
      <c r="Z3560" t="b">
        <v>0</v>
      </c>
      <c r="AA3560" t="b">
        <v>0</v>
      </c>
      <c r="AC3560" s="82"/>
      <c r="AD3560" t="str">
        <f t="shared" si="71"/>
        <v/>
      </c>
      <c r="AE3560" t="str">
        <f t="shared" si="72"/>
        <v/>
      </c>
    </row>
    <row r="3561">
      <c r="D3561" s="226"/>
      <c r="H3561" s="474"/>
      <c r="I3561" s="474"/>
      <c r="J3561" s="475"/>
      <c r="K3561" s="275"/>
      <c r="L3561" s="82"/>
      <c r="M3561" s="672"/>
      <c r="N3561" s="242"/>
      <c r="O3561" s="242"/>
      <c r="P3561" s="242"/>
      <c r="Q3561" s="242"/>
      <c r="R3561" s="539"/>
      <c r="S3561" s="540"/>
      <c r="T3561" s="543"/>
      <c r="U3561" s="673" t="b">
        <v>0</v>
      </c>
      <c r="Z3561" t="b">
        <v>0</v>
      </c>
      <c r="AA3561" t="b">
        <v>0</v>
      </c>
      <c r="AC3561" s="82"/>
      <c r="AD3561" t="str">
        <f t="shared" si="71"/>
        <v/>
      </c>
      <c r="AE3561" t="str">
        <f t="shared" si="72"/>
        <v/>
      </c>
    </row>
    <row r="3562">
      <c r="D3562" s="226"/>
      <c r="H3562" s="474"/>
      <c r="I3562" s="474"/>
      <c r="J3562" s="475"/>
      <c r="K3562" s="275"/>
      <c r="L3562" s="82"/>
      <c r="M3562" s="672"/>
      <c r="N3562" s="242"/>
      <c r="O3562" s="242"/>
      <c r="P3562" s="242"/>
      <c r="Q3562" s="242"/>
      <c r="R3562" s="539"/>
      <c r="S3562" s="540"/>
      <c r="T3562" s="543"/>
      <c r="U3562" s="673" t="b">
        <v>0</v>
      </c>
      <c r="Z3562" t="b">
        <v>0</v>
      </c>
      <c r="AA3562" t="b">
        <v>0</v>
      </c>
      <c r="AC3562" s="82"/>
      <c r="AD3562" t="str">
        <f t="shared" si="71"/>
        <v/>
      </c>
      <c r="AE3562" t="str">
        <f t="shared" si="72"/>
        <v/>
      </c>
    </row>
    <row r="3563">
      <c r="D3563" s="226"/>
      <c r="H3563" s="474"/>
      <c r="I3563" s="474"/>
      <c r="J3563" s="475"/>
      <c r="K3563" s="275"/>
      <c r="L3563" s="82"/>
      <c r="M3563" s="672"/>
      <c r="N3563" s="242"/>
      <c r="O3563" s="242"/>
      <c r="P3563" s="242"/>
      <c r="Q3563" s="242"/>
      <c r="R3563" s="539"/>
      <c r="S3563" s="540"/>
      <c r="T3563" s="543"/>
      <c r="U3563" s="673" t="b">
        <v>0</v>
      </c>
      <c r="Z3563" t="b">
        <v>0</v>
      </c>
      <c r="AA3563" t="b">
        <v>0</v>
      </c>
      <c r="AC3563" s="82"/>
      <c r="AD3563" t="str">
        <f t="shared" si="71"/>
        <v/>
      </c>
      <c r="AE3563" t="str">
        <f t="shared" si="72"/>
        <v/>
      </c>
    </row>
    <row r="3564">
      <c r="D3564" s="226"/>
      <c r="H3564" s="474"/>
      <c r="I3564" s="474"/>
      <c r="J3564" s="475"/>
      <c r="K3564" s="275"/>
      <c r="L3564" s="82"/>
      <c r="M3564" s="672"/>
      <c r="N3564" s="242"/>
      <c r="O3564" s="242"/>
      <c r="P3564" s="242"/>
      <c r="Q3564" s="242"/>
      <c r="R3564" s="539"/>
      <c r="S3564" s="540"/>
      <c r="T3564" s="543"/>
      <c r="U3564" s="673" t="b">
        <v>0</v>
      </c>
      <c r="Z3564" t="b">
        <v>0</v>
      </c>
      <c r="AA3564" t="b">
        <v>0</v>
      </c>
      <c r="AC3564" s="82"/>
      <c r="AD3564" t="str">
        <f t="shared" si="71"/>
        <v/>
      </c>
      <c r="AE3564" t="str">
        <f t="shared" si="72"/>
        <v/>
      </c>
    </row>
    <row r="3565">
      <c r="D3565" s="226"/>
      <c r="H3565" s="474"/>
      <c r="I3565" s="474"/>
      <c r="J3565" s="475"/>
      <c r="K3565" s="275"/>
      <c r="L3565" s="82"/>
      <c r="M3565" s="672"/>
      <c r="N3565" s="242"/>
      <c r="O3565" s="242"/>
      <c r="P3565" s="242"/>
      <c r="Q3565" s="242"/>
      <c r="R3565" s="539"/>
      <c r="S3565" s="540"/>
      <c r="T3565" s="543"/>
      <c r="U3565" s="673" t="b">
        <v>0</v>
      </c>
      <c r="Z3565" t="b">
        <v>0</v>
      </c>
      <c r="AA3565" t="b">
        <v>0</v>
      </c>
      <c r="AC3565" s="82"/>
      <c r="AD3565" t="str">
        <f t="shared" si="71"/>
        <v/>
      </c>
      <c r="AE3565" t="str">
        <f t="shared" si="72"/>
        <v/>
      </c>
    </row>
    <row r="3566">
      <c r="D3566" s="226"/>
      <c r="H3566" s="474"/>
      <c r="I3566" s="474"/>
      <c r="J3566" s="475"/>
      <c r="K3566" s="275"/>
      <c r="L3566" s="82"/>
      <c r="M3566" s="672"/>
      <c r="N3566" s="242"/>
      <c r="O3566" s="242"/>
      <c r="P3566" s="242"/>
      <c r="Q3566" s="242"/>
      <c r="R3566" s="539"/>
      <c r="S3566" s="540"/>
      <c r="T3566" s="543"/>
      <c r="U3566" s="673" t="b">
        <v>0</v>
      </c>
      <c r="Z3566" t="b">
        <v>0</v>
      </c>
      <c r="AA3566" t="b">
        <v>0</v>
      </c>
      <c r="AC3566" s="82"/>
      <c r="AD3566" t="str">
        <f t="shared" si="71"/>
        <v/>
      </c>
      <c r="AE3566" t="str">
        <f t="shared" si="72"/>
        <v/>
      </c>
    </row>
    <row r="3567">
      <c r="D3567" s="226"/>
      <c r="H3567" s="474"/>
      <c r="I3567" s="474"/>
      <c r="J3567" s="475"/>
      <c r="K3567" s="275"/>
      <c r="L3567" s="82"/>
      <c r="M3567" s="672"/>
      <c r="N3567" s="242"/>
      <c r="O3567" s="242"/>
      <c r="P3567" s="242"/>
      <c r="Q3567" s="242"/>
      <c r="R3567" s="539"/>
      <c r="S3567" s="540"/>
      <c r="T3567" s="543"/>
      <c r="U3567" s="673" t="b">
        <v>0</v>
      </c>
      <c r="Z3567" t="b">
        <v>0</v>
      </c>
      <c r="AA3567" t="b">
        <v>0</v>
      </c>
      <c r="AC3567" s="82"/>
      <c r="AD3567" t="str">
        <f t="shared" si="71"/>
        <v/>
      </c>
      <c r="AE3567" t="str">
        <f t="shared" si="72"/>
        <v/>
      </c>
    </row>
    <row r="3568">
      <c r="D3568" s="226"/>
      <c r="H3568" s="474"/>
      <c r="I3568" s="474"/>
      <c r="J3568" s="475"/>
      <c r="K3568" s="275"/>
      <c r="L3568" s="82"/>
      <c r="M3568" s="672"/>
      <c r="N3568" s="242"/>
      <c r="O3568" s="242"/>
      <c r="P3568" s="242"/>
      <c r="Q3568" s="242"/>
      <c r="R3568" s="539"/>
      <c r="S3568" s="540"/>
      <c r="T3568" s="543"/>
      <c r="U3568" s="673" t="b">
        <v>0</v>
      </c>
      <c r="Z3568" t="b">
        <v>0</v>
      </c>
      <c r="AA3568" t="b">
        <v>0</v>
      </c>
      <c r="AC3568" s="82"/>
      <c r="AD3568" t="str">
        <f t="shared" si="71"/>
        <v/>
      </c>
      <c r="AE3568" t="str">
        <f t="shared" si="72"/>
        <v/>
      </c>
    </row>
    <row r="3569">
      <c r="D3569" s="226"/>
      <c r="H3569" s="474"/>
      <c r="I3569" s="474"/>
      <c r="J3569" s="475"/>
      <c r="K3569" s="275"/>
      <c r="L3569" s="82"/>
      <c r="M3569" s="672"/>
      <c r="N3569" s="242"/>
      <c r="O3569" s="242"/>
      <c r="P3569" s="242"/>
      <c r="Q3569" s="242"/>
      <c r="R3569" s="539"/>
      <c r="S3569" s="540"/>
      <c r="T3569" s="543"/>
      <c r="U3569" s="673" t="b">
        <v>0</v>
      </c>
      <c r="Z3569" t="b">
        <v>0</v>
      </c>
      <c r="AA3569" t="b">
        <v>0</v>
      </c>
      <c r="AC3569" s="82"/>
      <c r="AD3569" t="str">
        <f t="shared" si="71"/>
        <v/>
      </c>
      <c r="AE3569" t="str">
        <f t="shared" si="72"/>
        <v/>
      </c>
    </row>
    <row r="3570">
      <c r="D3570" s="226"/>
      <c r="H3570" s="474"/>
      <c r="I3570" s="474"/>
      <c r="J3570" s="475"/>
      <c r="K3570" s="275"/>
      <c r="L3570" s="82"/>
      <c r="M3570" s="672"/>
      <c r="N3570" s="242"/>
      <c r="O3570" s="242"/>
      <c r="P3570" s="242"/>
      <c r="Q3570" s="242"/>
      <c r="R3570" s="539"/>
      <c r="S3570" s="540"/>
      <c r="T3570" s="543"/>
      <c r="U3570" s="673" t="b">
        <v>0</v>
      </c>
      <c r="Z3570" t="b">
        <v>0</v>
      </c>
      <c r="AA3570" t="b">
        <v>0</v>
      </c>
      <c r="AC3570" s="82"/>
      <c r="AD3570" t="str">
        <f t="shared" si="71"/>
        <v/>
      </c>
      <c r="AE3570" t="str">
        <f t="shared" si="72"/>
        <v/>
      </c>
    </row>
    <row r="3571">
      <c r="D3571" s="226"/>
      <c r="H3571" s="474"/>
      <c r="I3571" s="474"/>
      <c r="J3571" s="475"/>
      <c r="K3571" s="275"/>
      <c r="L3571" s="82"/>
      <c r="M3571" s="672"/>
      <c r="N3571" s="242"/>
      <c r="O3571" s="242"/>
      <c r="P3571" s="242"/>
      <c r="Q3571" s="242"/>
      <c r="R3571" s="539"/>
      <c r="S3571" s="540"/>
      <c r="T3571" s="543"/>
      <c r="U3571" s="673" t="b">
        <v>0</v>
      </c>
      <c r="Z3571" t="b">
        <v>0</v>
      </c>
      <c r="AA3571" t="b">
        <v>0</v>
      </c>
      <c r="AC3571" s="82"/>
      <c r="AD3571" t="str">
        <f t="shared" si="71"/>
        <v/>
      </c>
      <c r="AE3571" t="str">
        <f t="shared" si="72"/>
        <v/>
      </c>
    </row>
    <row r="3572">
      <c r="D3572" s="226"/>
      <c r="H3572" s="474"/>
      <c r="I3572" s="474"/>
      <c r="J3572" s="475"/>
      <c r="K3572" s="275"/>
      <c r="L3572" s="82"/>
      <c r="M3572" s="672"/>
      <c r="N3572" s="242"/>
      <c r="O3572" s="242"/>
      <c r="P3572" s="242"/>
      <c r="Q3572" s="242"/>
      <c r="R3572" s="539"/>
      <c r="S3572" s="540"/>
      <c r="T3572" s="543"/>
      <c r="U3572" s="673" t="b">
        <v>0</v>
      </c>
      <c r="Z3572" t="b">
        <v>0</v>
      </c>
      <c r="AA3572" t="b">
        <v>0</v>
      </c>
      <c r="AC3572" s="82"/>
      <c r="AD3572" t="str">
        <f t="shared" si="71"/>
        <v/>
      </c>
      <c r="AE3572" t="str">
        <f t="shared" si="72"/>
        <v/>
      </c>
    </row>
    <row r="3573">
      <c r="D3573" s="226"/>
      <c r="H3573" s="474"/>
      <c r="I3573" s="474"/>
      <c r="J3573" s="475"/>
      <c r="K3573" s="275"/>
      <c r="L3573" s="82"/>
      <c r="M3573" s="672"/>
      <c r="N3573" s="242"/>
      <c r="O3573" s="242"/>
      <c r="P3573" s="242"/>
      <c r="Q3573" s="242"/>
      <c r="R3573" s="539"/>
      <c r="S3573" s="540"/>
      <c r="T3573" s="543"/>
      <c r="U3573" s="673" t="b">
        <v>0</v>
      </c>
      <c r="Z3573" t="b">
        <v>0</v>
      </c>
      <c r="AA3573" t="b">
        <v>0</v>
      </c>
      <c r="AC3573" s="82"/>
      <c r="AD3573" t="str">
        <f t="shared" si="71"/>
        <v/>
      </c>
      <c r="AE3573" t="str">
        <f t="shared" si="72"/>
        <v/>
      </c>
    </row>
    <row r="3574">
      <c r="D3574" s="226"/>
      <c r="H3574" s="474"/>
      <c r="I3574" s="474"/>
      <c r="J3574" s="475"/>
      <c r="K3574" s="275"/>
      <c r="L3574" s="82"/>
      <c r="M3574" s="672"/>
      <c r="N3574" s="242"/>
      <c r="O3574" s="242"/>
      <c r="P3574" s="242"/>
      <c r="Q3574" s="242"/>
      <c r="R3574" s="539"/>
      <c r="S3574" s="540"/>
      <c r="T3574" s="543"/>
      <c r="U3574" s="673" t="b">
        <v>0</v>
      </c>
      <c r="Z3574" t="b">
        <v>0</v>
      </c>
      <c r="AA3574" t="b">
        <v>0</v>
      </c>
      <c r="AC3574" s="82"/>
      <c r="AD3574" t="str">
        <f t="shared" si="71"/>
        <v/>
      </c>
      <c r="AE3574" t="str">
        <f t="shared" si="72"/>
        <v/>
      </c>
    </row>
    <row r="3575">
      <c r="D3575" s="226"/>
      <c r="H3575" s="474"/>
      <c r="I3575" s="474"/>
      <c r="J3575" s="475"/>
      <c r="K3575" s="275"/>
      <c r="L3575" s="82"/>
      <c r="M3575" s="672"/>
      <c r="N3575" s="242"/>
      <c r="O3575" s="242"/>
      <c r="P3575" s="242"/>
      <c r="Q3575" s="242"/>
      <c r="R3575" s="539"/>
      <c r="S3575" s="540"/>
      <c r="T3575" s="543"/>
      <c r="U3575" s="673" t="b">
        <v>0</v>
      </c>
      <c r="Z3575" t="b">
        <v>0</v>
      </c>
      <c r="AA3575" t="b">
        <v>0</v>
      </c>
      <c r="AC3575" s="82"/>
      <c r="AD3575" t="str">
        <f t="shared" si="71"/>
        <v/>
      </c>
      <c r="AE3575" t="str">
        <f t="shared" si="72"/>
        <v/>
      </c>
    </row>
    <row r="3576">
      <c r="D3576" s="226"/>
      <c r="H3576" s="474"/>
      <c r="I3576" s="474"/>
      <c r="J3576" s="475"/>
      <c r="K3576" s="275"/>
      <c r="L3576" s="82"/>
      <c r="M3576" s="672"/>
      <c r="N3576" s="242"/>
      <c r="O3576" s="242"/>
      <c r="P3576" s="242"/>
      <c r="Q3576" s="242"/>
      <c r="R3576" s="539"/>
      <c r="S3576" s="540"/>
      <c r="T3576" s="543"/>
      <c r="U3576" s="673" t="b">
        <v>0</v>
      </c>
      <c r="Z3576" t="b">
        <v>0</v>
      </c>
      <c r="AA3576" t="b">
        <v>0</v>
      </c>
      <c r="AC3576" s="82"/>
      <c r="AD3576" t="str">
        <f t="shared" si="71"/>
        <v/>
      </c>
      <c r="AE3576" t="str">
        <f t="shared" si="72"/>
        <v/>
      </c>
    </row>
    <row r="3577">
      <c r="D3577" s="226"/>
      <c r="H3577" s="474"/>
      <c r="I3577" s="474"/>
      <c r="J3577" s="475"/>
      <c r="K3577" s="275"/>
      <c r="L3577" s="82"/>
      <c r="M3577" s="672"/>
      <c r="N3577" s="242"/>
      <c r="O3577" s="242"/>
      <c r="P3577" s="242"/>
      <c r="Q3577" s="242"/>
      <c r="R3577" s="539"/>
      <c r="S3577" s="540"/>
      <c r="T3577" s="543"/>
      <c r="U3577" s="673" t="b">
        <v>0</v>
      </c>
      <c r="Z3577" t="b">
        <v>0</v>
      </c>
      <c r="AA3577" t="b">
        <v>0</v>
      </c>
      <c r="AC3577" s="82"/>
      <c r="AD3577" t="str">
        <f t="shared" si="71"/>
        <v/>
      </c>
      <c r="AE3577" t="str">
        <f t="shared" si="72"/>
        <v/>
      </c>
    </row>
    <row r="3578">
      <c r="D3578" s="226"/>
      <c r="H3578" s="474"/>
      <c r="I3578" s="474"/>
      <c r="J3578" s="475"/>
      <c r="K3578" s="275"/>
      <c r="L3578" s="82"/>
      <c r="M3578" s="672"/>
      <c r="N3578" s="242"/>
      <c r="O3578" s="242"/>
      <c r="P3578" s="242"/>
      <c r="Q3578" s="242"/>
      <c r="R3578" s="539"/>
      <c r="S3578" s="540"/>
      <c r="T3578" s="543"/>
      <c r="U3578" s="673" t="b">
        <v>0</v>
      </c>
      <c r="Z3578" t="b">
        <v>0</v>
      </c>
      <c r="AA3578" t="b">
        <v>0</v>
      </c>
      <c r="AC3578" s="82"/>
      <c r="AD3578" t="str">
        <f t="shared" si="71"/>
        <v/>
      </c>
      <c r="AE3578" t="str">
        <f t="shared" si="72"/>
        <v/>
      </c>
    </row>
    <row r="3579">
      <c r="D3579" s="226"/>
      <c r="H3579" s="474"/>
      <c r="I3579" s="474"/>
      <c r="J3579" s="475"/>
      <c r="K3579" s="275"/>
      <c r="L3579" s="82"/>
      <c r="M3579" s="672"/>
      <c r="N3579" s="242"/>
      <c r="O3579" s="242"/>
      <c r="P3579" s="242"/>
      <c r="Q3579" s="242"/>
      <c r="R3579" s="539"/>
      <c r="S3579" s="540"/>
      <c r="T3579" s="543"/>
      <c r="U3579" s="673" t="b">
        <v>0</v>
      </c>
      <c r="Z3579" t="b">
        <v>0</v>
      </c>
      <c r="AA3579" t="b">
        <v>0</v>
      </c>
      <c r="AC3579" s="82"/>
      <c r="AD3579" t="str">
        <f t="shared" si="71"/>
        <v/>
      </c>
      <c r="AE3579" t="str">
        <f t="shared" si="72"/>
        <v/>
      </c>
    </row>
    <row r="3580">
      <c r="D3580" s="226"/>
      <c r="H3580" s="474"/>
      <c r="I3580" s="474"/>
      <c r="J3580" s="475"/>
      <c r="K3580" s="275"/>
      <c r="L3580" s="82"/>
      <c r="M3580" s="672"/>
      <c r="N3580" s="242"/>
      <c r="O3580" s="242"/>
      <c r="P3580" s="242"/>
      <c r="Q3580" s="242"/>
      <c r="R3580" s="539"/>
      <c r="S3580" s="540"/>
      <c r="T3580" s="543"/>
      <c r="U3580" s="673" t="b">
        <v>0</v>
      </c>
      <c r="Z3580" t="b">
        <v>0</v>
      </c>
      <c r="AA3580" t="b">
        <v>0</v>
      </c>
      <c r="AC3580" s="82"/>
      <c r="AD3580" t="str">
        <f t="shared" si="71"/>
        <v/>
      </c>
      <c r="AE3580" t="str">
        <f t="shared" si="72"/>
        <v/>
      </c>
    </row>
    <row r="3581">
      <c r="D3581" s="226"/>
      <c r="H3581" s="474"/>
      <c r="I3581" s="474"/>
      <c r="J3581" s="475"/>
      <c r="K3581" s="275"/>
      <c r="L3581" s="82"/>
      <c r="M3581" s="672"/>
      <c r="N3581" s="242"/>
      <c r="O3581" s="242"/>
      <c r="P3581" s="242"/>
      <c r="Q3581" s="242"/>
      <c r="R3581" s="539"/>
      <c r="S3581" s="540"/>
      <c r="T3581" s="543"/>
      <c r="U3581" s="673" t="b">
        <v>0</v>
      </c>
      <c r="Z3581" t="b">
        <v>0</v>
      </c>
      <c r="AA3581" t="b">
        <v>0</v>
      </c>
      <c r="AC3581" s="82"/>
      <c r="AD3581" t="str">
        <f t="shared" si="71"/>
        <v/>
      </c>
      <c r="AE3581" t="str">
        <f t="shared" si="72"/>
        <v/>
      </c>
    </row>
    <row r="3582">
      <c r="D3582" s="226"/>
      <c r="H3582" s="474"/>
      <c r="I3582" s="474"/>
      <c r="J3582" s="475"/>
      <c r="K3582" s="275"/>
      <c r="L3582" s="82"/>
      <c r="M3582" s="672"/>
      <c r="N3582" s="242"/>
      <c r="O3582" s="242"/>
      <c r="P3582" s="242"/>
      <c r="Q3582" s="242"/>
      <c r="R3582" s="539"/>
      <c r="S3582" s="540"/>
      <c r="T3582" s="543"/>
      <c r="U3582" s="673" t="b">
        <v>0</v>
      </c>
      <c r="Z3582" t="b">
        <v>0</v>
      </c>
      <c r="AA3582" t="b">
        <v>0</v>
      </c>
      <c r="AC3582" s="82"/>
      <c r="AD3582" t="str">
        <f t="shared" si="71"/>
        <v/>
      </c>
      <c r="AE3582" t="str">
        <f t="shared" si="72"/>
        <v/>
      </c>
    </row>
    <row r="3583">
      <c r="D3583" s="226"/>
      <c r="H3583" s="474"/>
      <c r="I3583" s="474"/>
      <c r="J3583" s="475"/>
      <c r="K3583" s="275"/>
      <c r="L3583" s="82"/>
      <c r="M3583" s="672"/>
      <c r="N3583" s="242"/>
      <c r="O3583" s="242"/>
      <c r="P3583" s="242"/>
      <c r="Q3583" s="242"/>
      <c r="R3583" s="539"/>
      <c r="S3583" s="540"/>
      <c r="T3583" s="543"/>
      <c r="U3583" s="673" t="b">
        <v>0</v>
      </c>
      <c r="Z3583" t="b">
        <v>0</v>
      </c>
      <c r="AA3583" t="b">
        <v>0</v>
      </c>
      <c r="AC3583" s="82"/>
      <c r="AD3583" t="str">
        <f t="shared" si="71"/>
        <v/>
      </c>
      <c r="AE3583" t="str">
        <f t="shared" si="72"/>
        <v/>
      </c>
    </row>
    <row r="3584">
      <c r="D3584" s="226"/>
      <c r="H3584" s="474"/>
      <c r="I3584" s="474"/>
      <c r="J3584" s="475"/>
      <c r="K3584" s="275"/>
      <c r="L3584" s="82"/>
      <c r="M3584" s="672"/>
      <c r="N3584" s="242"/>
      <c r="O3584" s="242"/>
      <c r="P3584" s="242"/>
      <c r="Q3584" s="242"/>
      <c r="R3584" s="539"/>
      <c r="S3584" s="540"/>
      <c r="T3584" s="543"/>
      <c r="U3584" s="673" t="b">
        <v>0</v>
      </c>
      <c r="Z3584" t="b">
        <v>0</v>
      </c>
      <c r="AA3584" t="b">
        <v>0</v>
      </c>
      <c r="AC3584" s="82"/>
      <c r="AD3584" t="str">
        <f t="shared" si="71"/>
        <v/>
      </c>
      <c r="AE3584" t="str">
        <f t="shared" si="72"/>
        <v/>
      </c>
    </row>
    <row r="3585">
      <c r="D3585" s="226"/>
      <c r="H3585" s="474"/>
      <c r="I3585" s="474"/>
      <c r="J3585" s="475"/>
      <c r="K3585" s="275"/>
      <c r="L3585" s="82"/>
      <c r="M3585" s="672"/>
      <c r="N3585" s="242"/>
      <c r="O3585" s="242"/>
      <c r="P3585" s="242"/>
      <c r="Q3585" s="242"/>
      <c r="R3585" s="539"/>
      <c r="S3585" s="540"/>
      <c r="T3585" s="543"/>
      <c r="U3585" s="673" t="b">
        <v>0</v>
      </c>
      <c r="Z3585" t="b">
        <v>0</v>
      </c>
      <c r="AA3585" t="b">
        <v>0</v>
      </c>
      <c r="AC3585" s="82"/>
      <c r="AD3585" t="str">
        <f t="shared" si="71"/>
        <v/>
      </c>
      <c r="AE3585" t="str">
        <f t="shared" si="72"/>
        <v/>
      </c>
    </row>
    <row r="3586">
      <c r="D3586" s="226"/>
      <c r="H3586" s="474"/>
      <c r="I3586" s="474"/>
      <c r="J3586" s="475"/>
      <c r="K3586" s="275"/>
      <c r="L3586" s="82"/>
      <c r="M3586" s="672"/>
      <c r="N3586" s="242"/>
      <c r="O3586" s="242"/>
      <c r="P3586" s="242"/>
      <c r="Q3586" s="242"/>
      <c r="R3586" s="539"/>
      <c r="S3586" s="540"/>
      <c r="T3586" s="543"/>
      <c r="U3586" s="673" t="b">
        <v>0</v>
      </c>
      <c r="Z3586" t="b">
        <v>0</v>
      </c>
      <c r="AA3586" t="b">
        <v>0</v>
      </c>
      <c r="AC3586" s="82"/>
      <c r="AD3586" t="str">
        <f t="shared" si="71"/>
        <v/>
      </c>
      <c r="AE3586" t="str">
        <f t="shared" si="72"/>
        <v/>
      </c>
    </row>
    <row r="3587">
      <c r="D3587" s="226"/>
      <c r="H3587" s="474"/>
      <c r="I3587" s="474"/>
      <c r="J3587" s="475"/>
      <c r="K3587" s="275"/>
      <c r="L3587" s="82"/>
      <c r="M3587" s="672"/>
      <c r="N3587" s="242"/>
      <c r="O3587" s="242"/>
      <c r="P3587" s="242"/>
      <c r="Q3587" s="242"/>
      <c r="R3587" s="539"/>
      <c r="S3587" s="540"/>
      <c r="T3587" s="543"/>
      <c r="U3587" s="673" t="b">
        <v>0</v>
      </c>
      <c r="Z3587" t="b">
        <v>0</v>
      </c>
      <c r="AA3587" t="b">
        <v>0</v>
      </c>
      <c r="AC3587" s="82"/>
      <c r="AD3587" t="str">
        <f t="shared" si="71"/>
        <v/>
      </c>
      <c r="AE3587" t="str">
        <f t="shared" si="72"/>
        <v/>
      </c>
    </row>
    <row r="3588">
      <c r="D3588" s="226"/>
      <c r="H3588" s="474"/>
      <c r="I3588" s="474"/>
      <c r="J3588" s="475"/>
      <c r="K3588" s="275"/>
      <c r="L3588" s="82"/>
      <c r="M3588" s="672"/>
      <c r="N3588" s="242"/>
      <c r="O3588" s="242"/>
      <c r="P3588" s="242"/>
      <c r="Q3588" s="242"/>
      <c r="R3588" s="539"/>
      <c r="S3588" s="540"/>
      <c r="T3588" s="543"/>
      <c r="U3588" s="673" t="b">
        <v>0</v>
      </c>
      <c r="Z3588" t="b">
        <v>0</v>
      </c>
      <c r="AA3588" t="b">
        <v>0</v>
      </c>
      <c r="AC3588" s="82"/>
      <c r="AD3588" t="str">
        <f t="shared" si="71"/>
        <v/>
      </c>
      <c r="AE3588" t="str">
        <f t="shared" si="72"/>
        <v/>
      </c>
    </row>
    <row r="3589">
      <c r="D3589" s="226"/>
      <c r="H3589" s="474"/>
      <c r="I3589" s="474"/>
      <c r="J3589" s="475"/>
      <c r="K3589" s="275"/>
      <c r="L3589" s="82"/>
      <c r="M3589" s="672"/>
      <c r="N3589" s="242"/>
      <c r="O3589" s="242"/>
      <c r="P3589" s="242"/>
      <c r="Q3589" s="242"/>
      <c r="R3589" s="539"/>
      <c r="S3589" s="540"/>
      <c r="T3589" s="543"/>
      <c r="U3589" s="673" t="b">
        <v>0</v>
      </c>
      <c r="Z3589" t="b">
        <v>0</v>
      </c>
      <c r="AA3589" t="b">
        <v>0</v>
      </c>
      <c r="AC3589" s="82"/>
      <c r="AD3589" t="str">
        <f t="shared" si="71"/>
        <v/>
      </c>
      <c r="AE3589" t="str">
        <f t="shared" si="72"/>
        <v/>
      </c>
    </row>
    <row r="3590">
      <c r="D3590" s="226"/>
      <c r="H3590" s="474"/>
      <c r="I3590" s="474"/>
      <c r="J3590" s="475"/>
      <c r="K3590" s="275"/>
      <c r="L3590" s="82"/>
      <c r="M3590" s="672"/>
      <c r="N3590" s="242"/>
      <c r="O3590" s="242"/>
      <c r="P3590" s="242"/>
      <c r="Q3590" s="242"/>
      <c r="R3590" s="539"/>
      <c r="S3590" s="540"/>
      <c r="T3590" s="543"/>
      <c r="U3590" s="673" t="b">
        <v>0</v>
      </c>
      <c r="Z3590" t="b">
        <v>0</v>
      </c>
      <c r="AA3590" t="b">
        <v>0</v>
      </c>
      <c r="AC3590" s="82"/>
      <c r="AD3590" t="str">
        <f t="shared" si="71"/>
        <v/>
      </c>
      <c r="AE3590" t="str">
        <f t="shared" si="72"/>
        <v/>
      </c>
    </row>
    <row r="3591">
      <c r="D3591" s="226"/>
      <c r="H3591" s="474"/>
      <c r="I3591" s="474"/>
      <c r="J3591" s="475"/>
      <c r="K3591" s="275"/>
      <c r="L3591" s="82"/>
      <c r="M3591" s="672"/>
      <c r="N3591" s="242"/>
      <c r="O3591" s="242"/>
      <c r="P3591" s="242"/>
      <c r="Q3591" s="242"/>
      <c r="R3591" s="539"/>
      <c r="S3591" s="540"/>
      <c r="T3591" s="543"/>
      <c r="U3591" s="673" t="b">
        <v>0</v>
      </c>
      <c r="Z3591" t="b">
        <v>0</v>
      </c>
      <c r="AA3591" t="b">
        <v>0</v>
      </c>
      <c r="AC3591" s="82"/>
      <c r="AD3591" t="str">
        <f t="shared" si="71"/>
        <v/>
      </c>
      <c r="AE3591" t="str">
        <f t="shared" si="72"/>
        <v/>
      </c>
    </row>
    <row r="3592">
      <c r="D3592" s="226"/>
      <c r="H3592" s="474"/>
      <c r="I3592" s="474"/>
      <c r="J3592" s="475"/>
      <c r="K3592" s="275"/>
      <c r="L3592" s="82"/>
      <c r="M3592" s="672"/>
      <c r="N3592" s="242"/>
      <c r="O3592" s="242"/>
      <c r="P3592" s="242"/>
      <c r="Q3592" s="242"/>
      <c r="R3592" s="539"/>
      <c r="S3592" s="540"/>
      <c r="T3592" s="543"/>
      <c r="U3592" s="673" t="b">
        <v>0</v>
      </c>
      <c r="Z3592" t="b">
        <v>0</v>
      </c>
      <c r="AA3592" t="b">
        <v>0</v>
      </c>
      <c r="AC3592" s="82"/>
      <c r="AD3592" t="str">
        <f t="shared" si="71"/>
        <v/>
      </c>
      <c r="AE3592" t="str">
        <f t="shared" si="72"/>
        <v/>
      </c>
    </row>
    <row r="3593">
      <c r="D3593" s="226"/>
      <c r="H3593" s="474"/>
      <c r="I3593" s="474"/>
      <c r="J3593" s="475"/>
      <c r="K3593" s="275"/>
      <c r="L3593" s="82"/>
      <c r="M3593" s="672"/>
      <c r="N3593" s="242"/>
      <c r="O3593" s="242"/>
      <c r="P3593" s="242"/>
      <c r="Q3593" s="242"/>
      <c r="R3593" s="539"/>
      <c r="S3593" s="540"/>
      <c r="T3593" s="543"/>
      <c r="U3593" s="673" t="b">
        <v>0</v>
      </c>
      <c r="Z3593" t="b">
        <v>0</v>
      </c>
      <c r="AA3593" t="b">
        <v>0</v>
      </c>
      <c r="AC3593" s="82"/>
      <c r="AD3593" t="str">
        <f t="shared" si="71"/>
        <v/>
      </c>
      <c r="AE3593" t="str">
        <f t="shared" si="72"/>
        <v/>
      </c>
    </row>
    <row r="3594">
      <c r="D3594" s="226"/>
      <c r="H3594" s="474"/>
      <c r="I3594" s="474"/>
      <c r="J3594" s="475"/>
      <c r="K3594" s="275"/>
      <c r="L3594" s="82"/>
      <c r="M3594" s="672"/>
      <c r="N3594" s="242"/>
      <c r="O3594" s="242"/>
      <c r="P3594" s="242"/>
      <c r="Q3594" s="242"/>
      <c r="R3594" s="539"/>
      <c r="S3594" s="540"/>
      <c r="T3594" s="543"/>
      <c r="U3594" s="673" t="b">
        <v>0</v>
      </c>
      <c r="Z3594" t="b">
        <v>0</v>
      </c>
      <c r="AA3594" t="b">
        <v>0</v>
      </c>
      <c r="AC3594" s="82"/>
      <c r="AD3594" t="str">
        <f t="shared" si="71"/>
        <v/>
      </c>
      <c r="AE3594" t="str">
        <f t="shared" si="72"/>
        <v/>
      </c>
    </row>
    <row r="3595">
      <c r="D3595" s="226"/>
      <c r="H3595" s="474"/>
      <c r="I3595" s="474"/>
      <c r="J3595" s="475"/>
      <c r="K3595" s="275"/>
      <c r="L3595" s="82"/>
      <c r="M3595" s="672"/>
      <c r="N3595" s="242"/>
      <c r="O3595" s="242"/>
      <c r="P3595" s="242"/>
      <c r="Q3595" s="242"/>
      <c r="R3595" s="539"/>
      <c r="S3595" s="540"/>
      <c r="T3595" s="543"/>
      <c r="U3595" s="673" t="b">
        <v>0</v>
      </c>
      <c r="Z3595" t="b">
        <v>0</v>
      </c>
      <c r="AA3595" t="b">
        <v>0</v>
      </c>
      <c r="AC3595" s="82"/>
      <c r="AD3595" t="str">
        <f t="shared" si="71"/>
        <v/>
      </c>
      <c r="AE3595" t="str">
        <f t="shared" si="72"/>
        <v/>
      </c>
    </row>
    <row r="3596">
      <c r="D3596" s="226"/>
      <c r="H3596" s="474"/>
      <c r="I3596" s="474"/>
      <c r="J3596" s="475"/>
      <c r="K3596" s="275"/>
      <c r="L3596" s="82"/>
      <c r="M3596" s="672"/>
      <c r="N3596" s="242"/>
      <c r="O3596" s="242"/>
      <c r="P3596" s="242"/>
      <c r="Q3596" s="242"/>
      <c r="R3596" s="539"/>
      <c r="S3596" s="540"/>
      <c r="T3596" s="543"/>
      <c r="U3596" s="673" t="b">
        <v>0</v>
      </c>
      <c r="Z3596" t="b">
        <v>0</v>
      </c>
      <c r="AA3596" t="b">
        <v>0</v>
      </c>
      <c r="AC3596" s="82"/>
      <c r="AD3596" t="str">
        <f t="shared" si="71"/>
        <v/>
      </c>
      <c r="AE3596" t="str">
        <f t="shared" si="72"/>
        <v/>
      </c>
    </row>
    <row r="3597">
      <c r="D3597" s="226"/>
      <c r="H3597" s="474"/>
      <c r="I3597" s="474"/>
      <c r="J3597" s="475"/>
      <c r="K3597" s="275"/>
      <c r="L3597" s="82"/>
      <c r="M3597" s="672"/>
      <c r="N3597" s="242"/>
      <c r="O3597" s="242"/>
      <c r="P3597" s="242"/>
      <c r="Q3597" s="242"/>
      <c r="R3597" s="539"/>
      <c r="S3597" s="540"/>
      <c r="T3597" s="543"/>
      <c r="U3597" s="673" t="b">
        <v>0</v>
      </c>
      <c r="Z3597" t="b">
        <v>0</v>
      </c>
      <c r="AA3597" t="b">
        <v>0</v>
      </c>
      <c r="AC3597" s="82"/>
      <c r="AD3597" t="str">
        <f t="shared" si="71"/>
        <v/>
      </c>
      <c r="AE3597" t="str">
        <f t="shared" si="72"/>
        <v/>
      </c>
    </row>
    <row r="3598">
      <c r="D3598" s="226"/>
      <c r="H3598" s="474"/>
      <c r="I3598" s="474"/>
      <c r="J3598" s="475"/>
      <c r="K3598" s="275"/>
      <c r="L3598" s="82"/>
      <c r="M3598" s="672"/>
      <c r="N3598" s="242"/>
      <c r="O3598" s="242"/>
      <c r="P3598" s="242"/>
      <c r="Q3598" s="242"/>
      <c r="R3598" s="539"/>
      <c r="S3598" s="540"/>
      <c r="T3598" s="543"/>
      <c r="U3598" s="673" t="b">
        <v>0</v>
      </c>
      <c r="Z3598" t="b">
        <v>0</v>
      </c>
      <c r="AA3598" t="b">
        <v>0</v>
      </c>
      <c r="AC3598" s="82"/>
      <c r="AD3598" t="str">
        <f t="shared" si="71"/>
        <v/>
      </c>
      <c r="AE3598" t="str">
        <f t="shared" si="72"/>
        <v/>
      </c>
    </row>
    <row r="3599">
      <c r="D3599" s="226"/>
      <c r="H3599" s="474"/>
      <c r="I3599" s="474"/>
      <c r="J3599" s="475"/>
      <c r="K3599" s="275"/>
      <c r="L3599" s="82"/>
      <c r="M3599" s="672"/>
      <c r="N3599" s="242"/>
      <c r="O3599" s="242"/>
      <c r="P3599" s="242"/>
      <c r="Q3599" s="242"/>
      <c r="R3599" s="539"/>
      <c r="S3599" s="540"/>
      <c r="T3599" s="543"/>
      <c r="U3599" s="673" t="b">
        <v>0</v>
      </c>
      <c r="Z3599" t="b">
        <v>0</v>
      </c>
      <c r="AA3599" t="b">
        <v>0</v>
      </c>
      <c r="AC3599" s="82"/>
      <c r="AD3599" t="str">
        <f t="shared" si="71"/>
        <v/>
      </c>
      <c r="AE3599" t="str">
        <f t="shared" si="72"/>
        <v/>
      </c>
    </row>
    <row r="3600">
      <c r="D3600" s="226"/>
      <c r="H3600" s="474"/>
      <c r="I3600" s="474"/>
      <c r="J3600" s="475"/>
      <c r="K3600" s="275"/>
      <c r="L3600" s="82"/>
      <c r="M3600" s="672"/>
      <c r="N3600" s="242"/>
      <c r="O3600" s="242"/>
      <c r="P3600" s="242"/>
      <c r="Q3600" s="242"/>
      <c r="R3600" s="539"/>
      <c r="S3600" s="540"/>
      <c r="T3600" s="543"/>
      <c r="U3600" s="673" t="b">
        <v>0</v>
      </c>
      <c r="Z3600" t="b">
        <v>0</v>
      </c>
      <c r="AA3600" t="b">
        <v>0</v>
      </c>
      <c r="AC3600" s="82"/>
      <c r="AD3600" t="str">
        <f t="shared" si="71"/>
        <v/>
      </c>
      <c r="AE3600" t="str">
        <f t="shared" si="72"/>
        <v/>
      </c>
    </row>
    <row r="3601">
      <c r="D3601" s="226"/>
      <c r="H3601" s="474"/>
      <c r="I3601" s="474"/>
      <c r="J3601" s="475"/>
      <c r="K3601" s="275"/>
      <c r="L3601" s="82"/>
      <c r="M3601" s="672"/>
      <c r="N3601" s="242"/>
      <c r="O3601" s="242"/>
      <c r="P3601" s="242"/>
      <c r="Q3601" s="242"/>
      <c r="R3601" s="539"/>
      <c r="S3601" s="540"/>
      <c r="T3601" s="543"/>
      <c r="U3601" s="673" t="b">
        <v>0</v>
      </c>
      <c r="Z3601" t="b">
        <v>0</v>
      </c>
      <c r="AA3601" t="b">
        <v>0</v>
      </c>
      <c r="AC3601" s="82"/>
      <c r="AD3601" t="str">
        <f t="shared" si="71"/>
        <v/>
      </c>
      <c r="AE3601" t="str">
        <f t="shared" si="72"/>
        <v/>
      </c>
    </row>
    <row r="3602">
      <c r="D3602" s="226"/>
      <c r="H3602" s="474"/>
      <c r="I3602" s="474"/>
      <c r="J3602" s="475"/>
      <c r="K3602" s="275"/>
      <c r="L3602" s="82"/>
      <c r="M3602" s="672"/>
      <c r="N3602" s="242"/>
      <c r="O3602" s="242"/>
      <c r="P3602" s="242"/>
      <c r="Q3602" s="242"/>
      <c r="R3602" s="539"/>
      <c r="S3602" s="540"/>
      <c r="T3602" s="543"/>
      <c r="U3602" s="673" t="b">
        <v>0</v>
      </c>
      <c r="Z3602" t="b">
        <v>0</v>
      </c>
      <c r="AA3602" t="b">
        <v>0</v>
      </c>
      <c r="AC3602" s="82"/>
      <c r="AD3602" t="str">
        <f t="shared" si="71"/>
        <v/>
      </c>
      <c r="AE3602" t="str">
        <f t="shared" si="72"/>
        <v/>
      </c>
    </row>
    <row r="3603">
      <c r="D3603" s="226"/>
      <c r="H3603" s="474"/>
      <c r="I3603" s="474"/>
      <c r="J3603" s="475"/>
      <c r="K3603" s="275"/>
      <c r="L3603" s="82"/>
      <c r="M3603" s="672"/>
      <c r="N3603" s="242"/>
      <c r="O3603" s="242"/>
      <c r="P3603" s="242"/>
      <c r="Q3603" s="242"/>
      <c r="R3603" s="539"/>
      <c r="S3603" s="540"/>
      <c r="T3603" s="543"/>
      <c r="U3603" s="673" t="b">
        <v>0</v>
      </c>
      <c r="Z3603" t="b">
        <v>0</v>
      </c>
      <c r="AA3603" t="b">
        <v>0</v>
      </c>
      <c r="AC3603" s="82"/>
      <c r="AD3603" t="str">
        <f t="shared" si="71"/>
        <v/>
      </c>
      <c r="AE3603" t="str">
        <f t="shared" si="72"/>
        <v/>
      </c>
    </row>
    <row r="3604">
      <c r="D3604" s="226"/>
      <c r="H3604" s="474"/>
      <c r="I3604" s="474"/>
      <c r="J3604" s="475"/>
      <c r="K3604" s="275"/>
      <c r="L3604" s="82"/>
      <c r="M3604" s="672"/>
      <c r="N3604" s="242"/>
      <c r="O3604" s="242"/>
      <c r="P3604" s="242"/>
      <c r="Q3604" s="242"/>
      <c r="R3604" s="539"/>
      <c r="S3604" s="540"/>
      <c r="T3604" s="543"/>
      <c r="U3604" s="673" t="b">
        <v>0</v>
      </c>
      <c r="Z3604" t="b">
        <v>0</v>
      </c>
      <c r="AA3604" t="b">
        <v>0</v>
      </c>
      <c r="AC3604" s="82"/>
      <c r="AD3604" t="str">
        <f t="shared" si="71"/>
        <v/>
      </c>
      <c r="AE3604" t="str">
        <f t="shared" si="72"/>
        <v/>
      </c>
    </row>
    <row r="3605">
      <c r="D3605" s="226"/>
      <c r="H3605" s="474"/>
      <c r="I3605" s="474"/>
      <c r="J3605" s="475"/>
      <c r="K3605" s="275"/>
      <c r="L3605" s="82"/>
      <c r="M3605" s="672"/>
      <c r="N3605" s="242"/>
      <c r="O3605" s="242"/>
      <c r="P3605" s="242"/>
      <c r="Q3605" s="242"/>
      <c r="R3605" s="539"/>
      <c r="S3605" s="540"/>
      <c r="T3605" s="543"/>
      <c r="U3605" s="673" t="b">
        <v>0</v>
      </c>
      <c r="Z3605" t="b">
        <v>0</v>
      </c>
      <c r="AA3605" t="b">
        <v>0</v>
      </c>
      <c r="AC3605" s="82"/>
      <c r="AD3605" t="str">
        <f t="shared" si="71"/>
        <v/>
      </c>
      <c r="AE3605" t="str">
        <f t="shared" si="72"/>
        <v/>
      </c>
    </row>
    <row r="3606">
      <c r="D3606" s="226"/>
      <c r="H3606" s="474"/>
      <c r="I3606" s="474"/>
      <c r="J3606" s="475"/>
      <c r="K3606" s="275"/>
      <c r="L3606" s="82"/>
      <c r="M3606" s="672"/>
      <c r="N3606" s="242"/>
      <c r="O3606" s="242"/>
      <c r="P3606" s="242"/>
      <c r="Q3606" s="242"/>
      <c r="R3606" s="539"/>
      <c r="S3606" s="540"/>
      <c r="T3606" s="543"/>
      <c r="U3606" s="673" t="b">
        <v>0</v>
      </c>
      <c r="Z3606" t="b">
        <v>0</v>
      </c>
      <c r="AA3606" t="b">
        <v>0</v>
      </c>
      <c r="AC3606" s="82"/>
      <c r="AD3606" t="str">
        <f t="shared" si="71"/>
        <v/>
      </c>
      <c r="AE3606" t="str">
        <f t="shared" si="72"/>
        <v/>
      </c>
    </row>
    <row r="3607">
      <c r="D3607" s="226"/>
      <c r="H3607" s="474"/>
      <c r="I3607" s="474"/>
      <c r="J3607" s="475"/>
      <c r="K3607" s="275"/>
      <c r="L3607" s="82"/>
      <c r="M3607" s="672"/>
      <c r="N3607" s="242"/>
      <c r="O3607" s="242"/>
      <c r="P3607" s="242"/>
      <c r="Q3607" s="242"/>
      <c r="R3607" s="539"/>
      <c r="S3607" s="540"/>
      <c r="T3607" s="543"/>
      <c r="U3607" s="673" t="b">
        <v>0</v>
      </c>
      <c r="Z3607" t="b">
        <v>0</v>
      </c>
      <c r="AA3607" t="b">
        <v>0</v>
      </c>
      <c r="AC3607" s="82"/>
      <c r="AD3607" t="str">
        <f t="shared" si="71"/>
        <v/>
      </c>
      <c r="AE3607" t="str">
        <f t="shared" si="72"/>
        <v/>
      </c>
    </row>
    <row r="3608">
      <c r="D3608" s="226"/>
      <c r="H3608" s="474"/>
      <c r="I3608" s="474"/>
      <c r="J3608" s="475"/>
      <c r="K3608" s="275"/>
      <c r="L3608" s="82"/>
      <c r="M3608" s="672"/>
      <c r="N3608" s="242"/>
      <c r="O3608" s="242"/>
      <c r="P3608" s="242"/>
      <c r="Q3608" s="242"/>
      <c r="R3608" s="539"/>
      <c r="S3608" s="540"/>
      <c r="T3608" s="543"/>
      <c r="U3608" s="673" t="b">
        <v>0</v>
      </c>
      <c r="Z3608" t="b">
        <v>0</v>
      </c>
      <c r="AA3608" t="b">
        <v>0</v>
      </c>
      <c r="AC3608" s="82"/>
      <c r="AD3608" t="str">
        <f t="shared" si="71"/>
        <v/>
      </c>
      <c r="AE3608" t="str">
        <f t="shared" si="72"/>
        <v/>
      </c>
    </row>
    <row r="3609">
      <c r="D3609" s="226"/>
      <c r="H3609" s="474"/>
      <c r="I3609" s="474"/>
      <c r="J3609" s="475"/>
      <c r="K3609" s="275"/>
      <c r="L3609" s="82"/>
      <c r="M3609" s="672"/>
      <c r="N3609" s="242"/>
      <c r="O3609" s="242"/>
      <c r="P3609" s="242"/>
      <c r="Q3609" s="242"/>
      <c r="R3609" s="539"/>
      <c r="S3609" s="540"/>
      <c r="T3609" s="543"/>
      <c r="U3609" s="673" t="b">
        <v>0</v>
      </c>
      <c r="Z3609" t="b">
        <v>0</v>
      </c>
      <c r="AA3609" t="b">
        <v>0</v>
      </c>
      <c r="AC3609" s="82"/>
      <c r="AD3609" t="str">
        <f t="shared" si="71"/>
        <v/>
      </c>
      <c r="AE3609" t="str">
        <f t="shared" si="72"/>
        <v/>
      </c>
    </row>
    <row r="3610">
      <c r="D3610" s="226"/>
      <c r="H3610" s="474"/>
      <c r="I3610" s="474"/>
      <c r="J3610" s="475"/>
      <c r="K3610" s="275"/>
      <c r="L3610" s="82"/>
      <c r="M3610" s="672"/>
      <c r="N3610" s="242"/>
      <c r="O3610" s="242"/>
      <c r="P3610" s="242"/>
      <c r="Q3610" s="242"/>
      <c r="R3610" s="539"/>
      <c r="S3610" s="540"/>
      <c r="T3610" s="543"/>
      <c r="U3610" s="673" t="b">
        <v>0</v>
      </c>
      <c r="Z3610" t="b">
        <v>0</v>
      </c>
      <c r="AA3610" t="b">
        <v>0</v>
      </c>
      <c r="AC3610" s="82"/>
      <c r="AD3610" t="str">
        <f t="shared" si="71"/>
        <v/>
      </c>
      <c r="AE3610" t="str">
        <f t="shared" si="72"/>
        <v/>
      </c>
    </row>
    <row r="3611">
      <c r="D3611" s="226"/>
      <c r="H3611" s="474"/>
      <c r="I3611" s="474"/>
      <c r="J3611" s="475"/>
      <c r="K3611" s="275"/>
      <c r="L3611" s="82"/>
      <c r="M3611" s="672"/>
      <c r="N3611" s="242"/>
      <c r="O3611" s="242"/>
      <c r="P3611" s="242"/>
      <c r="Q3611" s="242"/>
      <c r="R3611" s="539"/>
      <c r="S3611" s="540"/>
      <c r="T3611" s="543"/>
      <c r="U3611" s="673" t="b">
        <v>0</v>
      </c>
      <c r="Z3611" t="b">
        <v>0</v>
      </c>
      <c r="AA3611" t="b">
        <v>0</v>
      </c>
      <c r="AC3611" s="82"/>
      <c r="AD3611" t="str">
        <f t="shared" si="71"/>
        <v/>
      </c>
      <c r="AE3611" t="str">
        <f t="shared" si="72"/>
        <v/>
      </c>
    </row>
    <row r="3612">
      <c r="D3612" s="226"/>
      <c r="H3612" s="474"/>
      <c r="I3612" s="474"/>
      <c r="J3612" s="475"/>
      <c r="K3612" s="275"/>
      <c r="L3612" s="82"/>
      <c r="M3612" s="672"/>
      <c r="N3612" s="242"/>
      <c r="O3612" s="242"/>
      <c r="P3612" s="242"/>
      <c r="Q3612" s="242"/>
      <c r="R3612" s="539"/>
      <c r="S3612" s="540"/>
      <c r="T3612" s="543"/>
      <c r="U3612" s="673" t="b">
        <v>0</v>
      </c>
      <c r="Z3612" t="b">
        <v>0</v>
      </c>
      <c r="AA3612" t="b">
        <v>0</v>
      </c>
      <c r="AC3612" s="82"/>
      <c r="AD3612" t="str">
        <f t="shared" si="71"/>
        <v/>
      </c>
      <c r="AE3612" t="str">
        <f t="shared" si="72"/>
        <v/>
      </c>
    </row>
    <row r="3613">
      <c r="D3613" s="226"/>
      <c r="H3613" s="474"/>
      <c r="I3613" s="474"/>
      <c r="J3613" s="475"/>
      <c r="K3613" s="275"/>
      <c r="L3613" s="82"/>
      <c r="M3613" s="672"/>
      <c r="N3613" s="242"/>
      <c r="O3613" s="242"/>
      <c r="P3613" s="242"/>
      <c r="Q3613" s="242"/>
      <c r="R3613" s="539"/>
      <c r="S3613" s="540"/>
      <c r="T3613" s="543"/>
      <c r="U3613" s="673" t="b">
        <v>0</v>
      </c>
      <c r="Z3613" t="b">
        <v>0</v>
      </c>
      <c r="AA3613" t="b">
        <v>0</v>
      </c>
      <c r="AC3613" s="82"/>
      <c r="AD3613" t="str">
        <f t="shared" si="71"/>
        <v/>
      </c>
      <c r="AE3613" t="str">
        <f t="shared" si="72"/>
        <v/>
      </c>
    </row>
    <row r="3614">
      <c r="D3614" s="226"/>
      <c r="H3614" s="474"/>
      <c r="I3614" s="474"/>
      <c r="J3614" s="475"/>
      <c r="K3614" s="275"/>
      <c r="L3614" s="82"/>
      <c r="M3614" s="672"/>
      <c r="N3614" s="242"/>
      <c r="O3614" s="242"/>
      <c r="P3614" s="242"/>
      <c r="Q3614" s="242"/>
      <c r="R3614" s="539"/>
      <c r="S3614" s="540"/>
      <c r="T3614" s="543"/>
      <c r="U3614" s="673" t="b">
        <v>0</v>
      </c>
      <c r="Z3614" t="b">
        <v>0</v>
      </c>
      <c r="AA3614" t="b">
        <v>0</v>
      </c>
      <c r="AC3614" s="82"/>
      <c r="AD3614" t="str">
        <f t="shared" si="71"/>
        <v/>
      </c>
      <c r="AE3614" t="str">
        <f t="shared" si="72"/>
        <v/>
      </c>
    </row>
    <row r="3615">
      <c r="D3615" s="226"/>
      <c r="H3615" s="474"/>
      <c r="I3615" s="474"/>
      <c r="J3615" s="475"/>
      <c r="K3615" s="275"/>
      <c r="L3615" s="82"/>
      <c r="M3615" s="672"/>
      <c r="N3615" s="242"/>
      <c r="O3615" s="242"/>
      <c r="P3615" s="242"/>
      <c r="Q3615" s="242"/>
      <c r="R3615" s="539"/>
      <c r="S3615" s="540"/>
      <c r="T3615" s="543"/>
      <c r="U3615" s="673" t="b">
        <v>0</v>
      </c>
      <c r="Z3615" t="b">
        <v>0</v>
      </c>
      <c r="AA3615" t="b">
        <v>0</v>
      </c>
      <c r="AC3615" s="82"/>
      <c r="AD3615" t="str">
        <f t="shared" si="71"/>
        <v/>
      </c>
      <c r="AE3615" t="str">
        <f t="shared" si="72"/>
        <v/>
      </c>
    </row>
    <row r="3616">
      <c r="D3616" s="226"/>
      <c r="H3616" s="474"/>
      <c r="I3616" s="474"/>
      <c r="J3616" s="475"/>
      <c r="K3616" s="275"/>
      <c r="L3616" s="82"/>
      <c r="M3616" s="672"/>
      <c r="N3616" s="242"/>
      <c r="O3616" s="242"/>
      <c r="P3616" s="242"/>
      <c r="Q3616" s="242"/>
      <c r="R3616" s="539"/>
      <c r="S3616" s="540"/>
      <c r="T3616" s="543"/>
      <c r="U3616" s="673" t="b">
        <v>0</v>
      </c>
      <c r="Z3616" t="b">
        <v>0</v>
      </c>
      <c r="AA3616" t="b">
        <v>0</v>
      </c>
      <c r="AC3616" s="82"/>
      <c r="AD3616" t="str">
        <f t="shared" si="71"/>
        <v/>
      </c>
      <c r="AE3616" t="str">
        <f t="shared" si="72"/>
        <v/>
      </c>
    </row>
    <row r="3617">
      <c r="D3617" s="226"/>
      <c r="H3617" s="474"/>
      <c r="I3617" s="474"/>
      <c r="J3617" s="475"/>
      <c r="K3617" s="275"/>
      <c r="L3617" s="82"/>
      <c r="M3617" s="672"/>
      <c r="N3617" s="242"/>
      <c r="O3617" s="242"/>
      <c r="P3617" s="242"/>
      <c r="Q3617" s="242"/>
      <c r="R3617" s="539"/>
      <c r="S3617" s="540"/>
      <c r="T3617" s="543"/>
      <c r="U3617" s="673" t="b">
        <v>0</v>
      </c>
      <c r="Z3617" t="b">
        <v>0</v>
      </c>
      <c r="AA3617" t="b">
        <v>0</v>
      </c>
      <c r="AC3617" s="82"/>
      <c r="AD3617" t="str">
        <f t="shared" si="71"/>
        <v/>
      </c>
      <c r="AE3617" t="str">
        <f t="shared" si="72"/>
        <v/>
      </c>
    </row>
    <row r="3618">
      <c r="D3618" s="226"/>
      <c r="H3618" s="474"/>
      <c r="I3618" s="474"/>
      <c r="J3618" s="475"/>
      <c r="K3618" s="275"/>
      <c r="L3618" s="82"/>
      <c r="M3618" s="672"/>
      <c r="N3618" s="242"/>
      <c r="O3618" s="242"/>
      <c r="P3618" s="242"/>
      <c r="Q3618" s="242"/>
      <c r="R3618" s="539"/>
      <c r="S3618" s="540"/>
      <c r="T3618" s="543"/>
      <c r="U3618" s="673" t="b">
        <v>0</v>
      </c>
      <c r="Z3618" t="b">
        <v>0</v>
      </c>
      <c r="AA3618" t="b">
        <v>0</v>
      </c>
      <c r="AC3618" s="82"/>
      <c r="AD3618" t="str">
        <f t="shared" si="71"/>
        <v/>
      </c>
      <c r="AE3618" t="str">
        <f t="shared" si="72"/>
        <v/>
      </c>
    </row>
    <row r="3619">
      <c r="D3619" s="226"/>
      <c r="H3619" s="474"/>
      <c r="I3619" s="474"/>
      <c r="J3619" s="475"/>
      <c r="K3619" s="275"/>
      <c r="L3619" s="82"/>
      <c r="M3619" s="672"/>
      <c r="N3619" s="242"/>
      <c r="O3619" s="242"/>
      <c r="P3619" s="242"/>
      <c r="Q3619" s="242"/>
      <c r="R3619" s="539"/>
      <c r="S3619" s="540"/>
      <c r="T3619" s="543"/>
      <c r="U3619" s="673" t="b">
        <v>0</v>
      </c>
      <c r="Z3619" t="b">
        <v>0</v>
      </c>
      <c r="AA3619" t="b">
        <v>0</v>
      </c>
      <c r="AC3619" s="82"/>
      <c r="AD3619" t="str">
        <f t="shared" si="71"/>
        <v/>
      </c>
      <c r="AE3619" t="str">
        <f t="shared" si="72"/>
        <v/>
      </c>
    </row>
    <row r="3620">
      <c r="D3620" s="226"/>
      <c r="H3620" s="474"/>
      <c r="I3620" s="474"/>
      <c r="J3620" s="475"/>
      <c r="K3620" s="275"/>
      <c r="L3620" s="82"/>
      <c r="M3620" s="672"/>
      <c r="N3620" s="242"/>
      <c r="O3620" s="242"/>
      <c r="P3620" s="242"/>
      <c r="Q3620" s="242"/>
      <c r="R3620" s="539"/>
      <c r="S3620" s="540"/>
      <c r="T3620" s="543"/>
      <c r="U3620" s="673" t="b">
        <v>0</v>
      </c>
      <c r="Z3620" t="b">
        <v>0</v>
      </c>
      <c r="AA3620" t="b">
        <v>0</v>
      </c>
      <c r="AC3620" s="82"/>
      <c r="AD3620" t="str">
        <f t="shared" si="71"/>
        <v/>
      </c>
      <c r="AE3620" t="str">
        <f t="shared" si="72"/>
        <v/>
      </c>
    </row>
    <row r="3621">
      <c r="D3621" s="226"/>
      <c r="H3621" s="474"/>
      <c r="I3621" s="474"/>
      <c r="J3621" s="475"/>
      <c r="K3621" s="275"/>
      <c r="L3621" s="82"/>
      <c r="M3621" s="672"/>
      <c r="N3621" s="242"/>
      <c r="O3621" s="242"/>
      <c r="P3621" s="242"/>
      <c r="Q3621" s="242"/>
      <c r="R3621" s="539"/>
      <c r="S3621" s="540"/>
      <c r="T3621" s="543"/>
      <c r="U3621" s="673" t="b">
        <v>0</v>
      </c>
      <c r="Z3621" t="b">
        <v>0</v>
      </c>
      <c r="AA3621" t="b">
        <v>0</v>
      </c>
      <c r="AC3621" s="82"/>
      <c r="AD3621" t="str">
        <f t="shared" si="71"/>
        <v/>
      </c>
      <c r="AE3621" t="str">
        <f t="shared" si="72"/>
        <v/>
      </c>
    </row>
    <row r="3622">
      <c r="D3622" s="226"/>
      <c r="H3622" s="474"/>
      <c r="I3622" s="474"/>
      <c r="J3622" s="475"/>
      <c r="K3622" s="275"/>
      <c r="L3622" s="82"/>
      <c r="M3622" s="672"/>
      <c r="N3622" s="242"/>
      <c r="O3622" s="242"/>
      <c r="P3622" s="242"/>
      <c r="Q3622" s="242"/>
      <c r="R3622" s="539"/>
      <c r="S3622" s="540"/>
      <c r="T3622" s="543"/>
      <c r="U3622" s="673" t="b">
        <v>0</v>
      </c>
      <c r="Z3622" t="b">
        <v>0</v>
      </c>
      <c r="AA3622" t="b">
        <v>0</v>
      </c>
      <c r="AC3622" s="82"/>
      <c r="AD3622" t="str">
        <f t="shared" si="71"/>
        <v/>
      </c>
      <c r="AE3622" t="str">
        <f t="shared" si="72"/>
        <v/>
      </c>
    </row>
    <row r="3623">
      <c r="D3623" s="226"/>
      <c r="H3623" s="474"/>
      <c r="I3623" s="474"/>
      <c r="J3623" s="475"/>
      <c r="K3623" s="275"/>
      <c r="L3623" s="82"/>
      <c r="M3623" s="672"/>
      <c r="N3623" s="242"/>
      <c r="O3623" s="242"/>
      <c r="P3623" s="242"/>
      <c r="Q3623" s="242"/>
      <c r="R3623" s="539"/>
      <c r="S3623" s="540"/>
      <c r="T3623" s="543"/>
      <c r="U3623" s="673" t="b">
        <v>0</v>
      </c>
      <c r="Z3623" t="b">
        <v>0</v>
      </c>
      <c r="AA3623" t="b">
        <v>0</v>
      </c>
      <c r="AC3623" s="82"/>
      <c r="AD3623" t="str">
        <f t="shared" si="71"/>
        <v/>
      </c>
      <c r="AE3623" t="str">
        <f t="shared" si="72"/>
        <v/>
      </c>
    </row>
    <row r="3624">
      <c r="D3624" s="226"/>
      <c r="H3624" s="474"/>
      <c r="I3624" s="474"/>
      <c r="J3624" s="475"/>
      <c r="K3624" s="275"/>
      <c r="L3624" s="82"/>
      <c r="M3624" s="672"/>
      <c r="N3624" s="242"/>
      <c r="O3624" s="242"/>
      <c r="P3624" s="242"/>
      <c r="Q3624" s="242"/>
      <c r="R3624" s="539"/>
      <c r="S3624" s="540"/>
      <c r="T3624" s="543"/>
      <c r="U3624" s="673" t="b">
        <v>0</v>
      </c>
      <c r="Z3624" t="b">
        <v>0</v>
      </c>
      <c r="AA3624" t="b">
        <v>0</v>
      </c>
      <c r="AC3624" s="82"/>
      <c r="AD3624" t="str">
        <f t="shared" si="71"/>
        <v/>
      </c>
      <c r="AE3624" t="str">
        <f t="shared" si="72"/>
        <v/>
      </c>
    </row>
    <row r="3625">
      <c r="D3625" s="226"/>
      <c r="H3625" s="474"/>
      <c r="I3625" s="474"/>
      <c r="J3625" s="475"/>
      <c r="K3625" s="275"/>
      <c r="L3625" s="82"/>
      <c r="M3625" s="672"/>
      <c r="N3625" s="242"/>
      <c r="O3625" s="242"/>
      <c r="P3625" s="242"/>
      <c r="Q3625" s="242"/>
      <c r="R3625" s="539"/>
      <c r="S3625" s="540"/>
      <c r="T3625" s="543"/>
      <c r="U3625" s="673" t="b">
        <v>0</v>
      </c>
      <c r="Z3625" t="b">
        <v>0</v>
      </c>
      <c r="AA3625" t="b">
        <v>0</v>
      </c>
      <c r="AC3625" s="82"/>
      <c r="AD3625" t="str">
        <f t="shared" si="71"/>
        <v/>
      </c>
      <c r="AE3625" t="str">
        <f t="shared" si="72"/>
        <v/>
      </c>
    </row>
    <row r="3626">
      <c r="D3626" s="226"/>
      <c r="H3626" s="474"/>
      <c r="I3626" s="474"/>
      <c r="J3626" s="475"/>
      <c r="K3626" s="275"/>
      <c r="L3626" s="82"/>
      <c r="M3626" s="672"/>
      <c r="N3626" s="242"/>
      <c r="O3626" s="242"/>
      <c r="P3626" s="242"/>
      <c r="Q3626" s="242"/>
      <c r="R3626" s="539"/>
      <c r="S3626" s="540"/>
      <c r="T3626" s="543"/>
      <c r="U3626" s="673" t="b">
        <v>0</v>
      </c>
      <c r="Z3626" t="b">
        <v>0</v>
      </c>
      <c r="AA3626" t="b">
        <v>0</v>
      </c>
      <c r="AC3626" s="82"/>
      <c r="AD3626" t="str">
        <f t="shared" si="71"/>
        <v/>
      </c>
      <c r="AE3626" t="str">
        <f t="shared" si="72"/>
        <v/>
      </c>
    </row>
    <row r="3627">
      <c r="D3627" s="226"/>
      <c r="H3627" s="474"/>
      <c r="I3627" s="474"/>
      <c r="J3627" s="475"/>
      <c r="K3627" s="275"/>
      <c r="L3627" s="82"/>
      <c r="M3627" s="672"/>
      <c r="N3627" s="242"/>
      <c r="O3627" s="242"/>
      <c r="P3627" s="242"/>
      <c r="Q3627" s="242"/>
      <c r="R3627" s="539"/>
      <c r="S3627" s="540"/>
      <c r="T3627" s="543"/>
      <c r="U3627" s="673" t="b">
        <v>0</v>
      </c>
      <c r="Z3627" t="b">
        <v>0</v>
      </c>
      <c r="AA3627" t="b">
        <v>0</v>
      </c>
      <c r="AC3627" s="82"/>
      <c r="AD3627" t="str">
        <f t="shared" si="71"/>
        <v/>
      </c>
      <c r="AE3627" t="str">
        <f t="shared" si="72"/>
        <v/>
      </c>
    </row>
    <row r="3628">
      <c r="D3628" s="226"/>
      <c r="H3628" s="474"/>
      <c r="I3628" s="474"/>
      <c r="J3628" s="475"/>
      <c r="K3628" s="275"/>
      <c r="L3628" s="82"/>
      <c r="M3628" s="672"/>
      <c r="N3628" s="242"/>
      <c r="O3628" s="242"/>
      <c r="P3628" s="242"/>
      <c r="Q3628" s="242"/>
      <c r="R3628" s="539"/>
      <c r="S3628" s="540"/>
      <c r="T3628" s="543"/>
      <c r="U3628" s="673" t="b">
        <v>0</v>
      </c>
      <c r="Z3628" t="b">
        <v>0</v>
      </c>
      <c r="AA3628" t="b">
        <v>0</v>
      </c>
      <c r="AC3628" s="82"/>
      <c r="AD3628" t="str">
        <f t="shared" si="71"/>
        <v/>
      </c>
      <c r="AE3628" t="str">
        <f t="shared" si="72"/>
        <v/>
      </c>
    </row>
    <row r="3629">
      <c r="D3629" s="226"/>
      <c r="H3629" s="474"/>
      <c r="I3629" s="474"/>
      <c r="J3629" s="475"/>
      <c r="K3629" s="275"/>
      <c r="L3629" s="82"/>
      <c r="M3629" s="672"/>
      <c r="N3629" s="242"/>
      <c r="O3629" s="242"/>
      <c r="P3629" s="242"/>
      <c r="Q3629" s="242"/>
      <c r="R3629" s="539"/>
      <c r="S3629" s="540"/>
      <c r="T3629" s="543"/>
      <c r="U3629" s="673" t="b">
        <v>0</v>
      </c>
      <c r="Z3629" t="b">
        <v>0</v>
      </c>
      <c r="AA3629" t="b">
        <v>0</v>
      </c>
      <c r="AC3629" s="82"/>
      <c r="AD3629" t="str">
        <f t="shared" si="71"/>
        <v/>
      </c>
      <c r="AE3629" t="str">
        <f t="shared" si="72"/>
        <v/>
      </c>
    </row>
    <row r="3630">
      <c r="D3630" s="226"/>
      <c r="H3630" s="474"/>
      <c r="I3630" s="474"/>
      <c r="J3630" s="475"/>
      <c r="K3630" s="275"/>
      <c r="L3630" s="82"/>
      <c r="M3630" s="672"/>
      <c r="N3630" s="242"/>
      <c r="O3630" s="242"/>
      <c r="P3630" s="242"/>
      <c r="Q3630" s="242"/>
      <c r="R3630" s="539"/>
      <c r="S3630" s="540"/>
      <c r="T3630" s="543"/>
      <c r="U3630" s="673" t="b">
        <v>0</v>
      </c>
      <c r="Z3630" t="b">
        <v>0</v>
      </c>
      <c r="AA3630" t="b">
        <v>0</v>
      </c>
      <c r="AC3630" s="82"/>
      <c r="AD3630" t="str">
        <f t="shared" si="71"/>
        <v/>
      </c>
      <c r="AE3630" t="str">
        <f t="shared" si="72"/>
        <v/>
      </c>
    </row>
    <row r="3631">
      <c r="D3631" s="226"/>
      <c r="H3631" s="474"/>
      <c r="I3631" s="474"/>
      <c r="J3631" s="475"/>
      <c r="K3631" s="275"/>
      <c r="L3631" s="82"/>
      <c r="M3631" s="672"/>
      <c r="N3631" s="242"/>
      <c r="O3631" s="242"/>
      <c r="P3631" s="242"/>
      <c r="Q3631" s="242"/>
      <c r="R3631" s="539"/>
      <c r="S3631" s="540"/>
      <c r="T3631" s="543"/>
      <c r="U3631" s="673" t="b">
        <v>0</v>
      </c>
      <c r="Z3631" t="b">
        <v>0</v>
      </c>
      <c r="AA3631" t="b">
        <v>0</v>
      </c>
      <c r="AC3631" s="82"/>
      <c r="AD3631" t="str">
        <f t="shared" si="71"/>
        <v/>
      </c>
      <c r="AE3631" t="str">
        <f t="shared" si="72"/>
        <v/>
      </c>
    </row>
    <row r="3632">
      <c r="D3632" s="226"/>
      <c r="H3632" s="474"/>
      <c r="I3632" s="474"/>
      <c r="J3632" s="475"/>
      <c r="K3632" s="275"/>
      <c r="L3632" s="82"/>
      <c r="M3632" s="672"/>
      <c r="N3632" s="242"/>
      <c r="O3632" s="242"/>
      <c r="P3632" s="242"/>
      <c r="Q3632" s="242"/>
      <c r="R3632" s="539"/>
      <c r="S3632" s="540"/>
      <c r="T3632" s="543"/>
      <c r="U3632" s="673" t="b">
        <v>0</v>
      </c>
      <c r="Z3632" t="b">
        <v>0</v>
      </c>
      <c r="AA3632" t="b">
        <v>0</v>
      </c>
      <c r="AC3632" s="82"/>
      <c r="AD3632" t="str">
        <f t="shared" si="71"/>
        <v/>
      </c>
      <c r="AE3632" t="str">
        <f t="shared" si="72"/>
        <v/>
      </c>
    </row>
    <row r="3633">
      <c r="D3633" s="226"/>
      <c r="H3633" s="474"/>
      <c r="I3633" s="474"/>
      <c r="J3633" s="475"/>
      <c r="K3633" s="275"/>
      <c r="L3633" s="82"/>
      <c r="M3633" s="672"/>
      <c r="N3633" s="242"/>
      <c r="O3633" s="242"/>
      <c r="P3633" s="242"/>
      <c r="Q3633" s="242"/>
      <c r="R3633" s="539"/>
      <c r="S3633" s="540"/>
      <c r="T3633" s="543"/>
      <c r="U3633" s="673" t="b">
        <v>0</v>
      </c>
      <c r="Z3633" t="b">
        <v>0</v>
      </c>
      <c r="AA3633" t="b">
        <v>0</v>
      </c>
      <c r="AC3633" s="82"/>
      <c r="AD3633" t="str">
        <f t="shared" si="71"/>
        <v/>
      </c>
      <c r="AE3633" t="str">
        <f t="shared" si="72"/>
        <v/>
      </c>
    </row>
    <row r="3634">
      <c r="D3634" s="226"/>
      <c r="H3634" s="474"/>
      <c r="I3634" s="474"/>
      <c r="J3634" s="475"/>
      <c r="K3634" s="275"/>
      <c r="L3634" s="82"/>
      <c r="M3634" s="672"/>
      <c r="N3634" s="242"/>
      <c r="O3634" s="242"/>
      <c r="P3634" s="242"/>
      <c r="Q3634" s="242"/>
      <c r="R3634" s="539"/>
      <c r="S3634" s="540"/>
      <c r="T3634" s="543"/>
      <c r="U3634" s="673" t="b">
        <v>0</v>
      </c>
      <c r="Z3634" t="b">
        <v>0</v>
      </c>
      <c r="AA3634" t="b">
        <v>0</v>
      </c>
      <c r="AC3634" s="82"/>
      <c r="AD3634" t="str">
        <f t="shared" si="71"/>
        <v/>
      </c>
      <c r="AE3634" t="str">
        <f t="shared" si="72"/>
        <v/>
      </c>
    </row>
    <row r="3635">
      <c r="D3635" s="226"/>
      <c r="H3635" s="474"/>
      <c r="I3635" s="474"/>
      <c r="J3635" s="475"/>
      <c r="K3635" s="275"/>
      <c r="L3635" s="82"/>
      <c r="M3635" s="672"/>
      <c r="N3635" s="242"/>
      <c r="O3635" s="242"/>
      <c r="P3635" s="242"/>
      <c r="Q3635" s="242"/>
      <c r="R3635" s="539"/>
      <c r="S3635" s="540"/>
      <c r="T3635" s="543"/>
      <c r="U3635" s="673" t="b">
        <v>0</v>
      </c>
      <c r="Z3635" t="b">
        <v>0</v>
      </c>
      <c r="AA3635" t="b">
        <v>0</v>
      </c>
      <c r="AC3635" s="82"/>
      <c r="AD3635" t="str">
        <f t="shared" si="71"/>
        <v/>
      </c>
      <c r="AE3635" t="str">
        <f t="shared" si="72"/>
        <v/>
      </c>
    </row>
    <row r="3636">
      <c r="D3636" s="226"/>
      <c r="H3636" s="474"/>
      <c r="I3636" s="474"/>
      <c r="J3636" s="475"/>
      <c r="K3636" s="275"/>
      <c r="L3636" s="82"/>
      <c r="M3636" s="672"/>
      <c r="N3636" s="242"/>
      <c r="O3636" s="242"/>
      <c r="P3636" s="242"/>
      <c r="Q3636" s="242"/>
      <c r="R3636" s="539"/>
      <c r="S3636" s="540"/>
      <c r="T3636" s="543"/>
      <c r="U3636" s="673" t="b">
        <v>0</v>
      </c>
      <c r="Z3636" t="b">
        <v>0</v>
      </c>
      <c r="AA3636" t="b">
        <v>0</v>
      </c>
      <c r="AC3636" s="82"/>
      <c r="AD3636" t="str">
        <f t="shared" si="71"/>
        <v/>
      </c>
      <c r="AE3636" t="str">
        <f t="shared" si="72"/>
        <v/>
      </c>
    </row>
    <row r="3637">
      <c r="D3637" s="226"/>
      <c r="H3637" s="474"/>
      <c r="I3637" s="474"/>
      <c r="J3637" s="475"/>
      <c r="K3637" s="275"/>
      <c r="L3637" s="82"/>
      <c r="M3637" s="672"/>
      <c r="N3637" s="242"/>
      <c r="O3637" s="242"/>
      <c r="P3637" s="242"/>
      <c r="Q3637" s="242"/>
      <c r="R3637" s="539"/>
      <c r="S3637" s="540"/>
      <c r="T3637" s="543"/>
      <c r="U3637" s="673" t="b">
        <v>0</v>
      </c>
      <c r="Z3637" t="b">
        <v>0</v>
      </c>
      <c r="AA3637" t="b">
        <v>0</v>
      </c>
      <c r="AC3637" s="82"/>
      <c r="AD3637" t="str">
        <f t="shared" si="71"/>
        <v/>
      </c>
      <c r="AE3637" t="str">
        <f t="shared" si="72"/>
        <v/>
      </c>
    </row>
    <row r="3638">
      <c r="D3638" s="226"/>
      <c r="H3638" s="474"/>
      <c r="I3638" s="474"/>
      <c r="J3638" s="475"/>
      <c r="K3638" s="275"/>
      <c r="L3638" s="82"/>
      <c r="M3638" s="672"/>
      <c r="N3638" s="242"/>
      <c r="O3638" s="242"/>
      <c r="P3638" s="242"/>
      <c r="Q3638" s="242"/>
      <c r="R3638" s="539"/>
      <c r="S3638" s="540"/>
      <c r="T3638" s="543"/>
      <c r="U3638" s="673" t="b">
        <v>0</v>
      </c>
      <c r="Z3638" t="b">
        <v>0</v>
      </c>
      <c r="AA3638" t="b">
        <v>0</v>
      </c>
      <c r="AC3638" s="82"/>
      <c r="AD3638" t="str">
        <f t="shared" si="71"/>
        <v/>
      </c>
      <c r="AE3638" t="str">
        <f t="shared" si="72"/>
        <v/>
      </c>
    </row>
    <row r="3639">
      <c r="D3639" s="226"/>
      <c r="H3639" s="474"/>
      <c r="I3639" s="474"/>
      <c r="J3639" s="475"/>
      <c r="K3639" s="275"/>
      <c r="L3639" s="82"/>
      <c r="M3639" s="672"/>
      <c r="N3639" s="242"/>
      <c r="O3639" s="242"/>
      <c r="P3639" s="242"/>
      <c r="Q3639" s="242"/>
      <c r="R3639" s="539"/>
      <c r="S3639" s="540"/>
      <c r="T3639" s="543"/>
      <c r="U3639" s="673" t="b">
        <v>0</v>
      </c>
      <c r="Z3639" t="b">
        <v>0</v>
      </c>
      <c r="AA3639" t="b">
        <v>0</v>
      </c>
      <c r="AC3639" s="82"/>
      <c r="AD3639" t="str">
        <f t="shared" si="71"/>
        <v/>
      </c>
      <c r="AE3639" t="str">
        <f t="shared" si="72"/>
        <v/>
      </c>
    </row>
    <row r="3640">
      <c r="D3640" s="226"/>
      <c r="H3640" s="474"/>
      <c r="I3640" s="474"/>
      <c r="J3640" s="475"/>
      <c r="K3640" s="275"/>
      <c r="L3640" s="82"/>
      <c r="M3640" s="672"/>
      <c r="N3640" s="242"/>
      <c r="O3640" s="242"/>
      <c r="P3640" s="242"/>
      <c r="Q3640" s="242"/>
      <c r="R3640" s="539"/>
      <c r="S3640" s="540"/>
      <c r="T3640" s="543"/>
      <c r="U3640" s="673" t="b">
        <v>0</v>
      </c>
      <c r="Z3640" t="b">
        <v>0</v>
      </c>
      <c r="AA3640" t="b">
        <v>0</v>
      </c>
      <c r="AC3640" s="82"/>
      <c r="AD3640" t="str">
        <f t="shared" si="71"/>
        <v/>
      </c>
      <c r="AE3640" t="str">
        <f t="shared" si="72"/>
        <v/>
      </c>
    </row>
    <row r="3641">
      <c r="D3641" s="226"/>
      <c r="H3641" s="474"/>
      <c r="I3641" s="474"/>
      <c r="J3641" s="475"/>
      <c r="K3641" s="275"/>
      <c r="L3641" s="82"/>
      <c r="M3641" s="672"/>
      <c r="N3641" s="242"/>
      <c r="O3641" s="242"/>
      <c r="P3641" s="242"/>
      <c r="Q3641" s="242"/>
      <c r="R3641" s="539"/>
      <c r="S3641" s="540"/>
      <c r="T3641" s="543"/>
      <c r="U3641" s="673" t="b">
        <v>0</v>
      </c>
      <c r="Z3641" t="b">
        <v>0</v>
      </c>
      <c r="AA3641" t="b">
        <v>0</v>
      </c>
      <c r="AC3641" s="82"/>
      <c r="AD3641" t="str">
        <f t="shared" si="71"/>
        <v/>
      </c>
      <c r="AE3641" t="str">
        <f t="shared" si="72"/>
        <v/>
      </c>
    </row>
    <row r="3642">
      <c r="D3642" s="226"/>
      <c r="H3642" s="474"/>
      <c r="I3642" s="474"/>
      <c r="J3642" s="475"/>
      <c r="K3642" s="275"/>
      <c r="L3642" s="82"/>
      <c r="M3642" s="672"/>
      <c r="N3642" s="242"/>
      <c r="O3642" s="242"/>
      <c r="P3642" s="242"/>
      <c r="Q3642" s="242"/>
      <c r="R3642" s="539"/>
      <c r="S3642" s="540"/>
      <c r="T3642" s="543"/>
      <c r="U3642" s="673" t="b">
        <v>0</v>
      </c>
      <c r="Z3642" t="b">
        <v>0</v>
      </c>
      <c r="AA3642" t="b">
        <v>0</v>
      </c>
      <c r="AC3642" s="82"/>
      <c r="AD3642" t="str">
        <f t="shared" si="71"/>
        <v/>
      </c>
      <c r="AE3642" t="str">
        <f t="shared" si="72"/>
        <v/>
      </c>
    </row>
    <row r="3643">
      <c r="D3643" s="226"/>
      <c r="H3643" s="474"/>
      <c r="I3643" s="474"/>
      <c r="J3643" s="475"/>
      <c r="K3643" s="275"/>
      <c r="L3643" s="82"/>
      <c r="M3643" s="672"/>
      <c r="N3643" s="242"/>
      <c r="O3643" s="242"/>
      <c r="P3643" s="242"/>
      <c r="Q3643" s="242"/>
      <c r="R3643" s="539"/>
      <c r="S3643" s="540"/>
      <c r="T3643" s="543"/>
      <c r="U3643" s="673" t="b">
        <v>0</v>
      </c>
      <c r="Z3643" t="b">
        <v>0</v>
      </c>
      <c r="AA3643" t="b">
        <v>0</v>
      </c>
      <c r="AC3643" s="82"/>
      <c r="AD3643" t="str">
        <f t="shared" si="71"/>
        <v/>
      </c>
      <c r="AE3643" t="str">
        <f t="shared" si="72"/>
        <v/>
      </c>
    </row>
    <row r="3644">
      <c r="D3644" s="226"/>
      <c r="H3644" s="474"/>
      <c r="I3644" s="474"/>
      <c r="J3644" s="475"/>
      <c r="K3644" s="275"/>
      <c r="L3644" s="82"/>
      <c r="M3644" s="672"/>
      <c r="N3644" s="242"/>
      <c r="O3644" s="242"/>
      <c r="P3644" s="242"/>
      <c r="Q3644" s="242"/>
      <c r="R3644" s="539"/>
      <c r="S3644" s="540"/>
      <c r="T3644" s="543"/>
      <c r="U3644" s="673" t="b">
        <v>0</v>
      </c>
      <c r="Z3644" t="b">
        <v>0</v>
      </c>
      <c r="AA3644" t="b">
        <v>0</v>
      </c>
      <c r="AC3644" s="82"/>
      <c r="AD3644" t="str">
        <f t="shared" si="71"/>
        <v/>
      </c>
      <c r="AE3644" t="str">
        <f t="shared" si="72"/>
        <v/>
      </c>
    </row>
    <row r="3645">
      <c r="D3645" s="226"/>
      <c r="H3645" s="474"/>
      <c r="I3645" s="474"/>
      <c r="J3645" s="475"/>
      <c r="K3645" s="275"/>
      <c r="L3645" s="82"/>
      <c r="M3645" s="672"/>
      <c r="N3645" s="242"/>
      <c r="O3645" s="242"/>
      <c r="P3645" s="242"/>
      <c r="Q3645" s="242"/>
      <c r="R3645" s="539"/>
      <c r="S3645" s="540"/>
      <c r="T3645" s="543"/>
      <c r="U3645" s="673" t="b">
        <v>0</v>
      </c>
      <c r="Z3645" t="b">
        <v>0</v>
      </c>
      <c r="AA3645" t="b">
        <v>0</v>
      </c>
      <c r="AC3645" s="82"/>
      <c r="AD3645" t="str">
        <f t="shared" si="71"/>
        <v/>
      </c>
      <c r="AE3645" t="str">
        <f t="shared" si="72"/>
        <v/>
      </c>
    </row>
    <row r="3646">
      <c r="D3646" s="226"/>
      <c r="H3646" s="474"/>
      <c r="I3646" s="474"/>
      <c r="J3646" s="475"/>
      <c r="K3646" s="275"/>
      <c r="L3646" s="82"/>
      <c r="M3646" s="672"/>
      <c r="N3646" s="242"/>
      <c r="O3646" s="242"/>
      <c r="P3646" s="242"/>
      <c r="Q3646" s="242"/>
      <c r="R3646" s="539"/>
      <c r="S3646" s="540"/>
      <c r="T3646" s="543"/>
      <c r="U3646" s="673" t="b">
        <v>0</v>
      </c>
      <c r="Z3646" t="b">
        <v>0</v>
      </c>
      <c r="AA3646" t="b">
        <v>0</v>
      </c>
      <c r="AC3646" s="82"/>
      <c r="AD3646" t="str">
        <f t="shared" si="71"/>
        <v/>
      </c>
      <c r="AE3646" t="str">
        <f t="shared" si="72"/>
        <v/>
      </c>
    </row>
    <row r="3647">
      <c r="D3647" s="226"/>
      <c r="H3647" s="474"/>
      <c r="I3647" s="474"/>
      <c r="J3647" s="475"/>
      <c r="K3647" s="275"/>
      <c r="L3647" s="82"/>
      <c r="M3647" s="672"/>
      <c r="N3647" s="242"/>
      <c r="O3647" s="242"/>
      <c r="P3647" s="242"/>
      <c r="Q3647" s="242"/>
      <c r="R3647" s="539"/>
      <c r="S3647" s="540"/>
      <c r="T3647" s="543"/>
      <c r="U3647" s="673" t="b">
        <v>0</v>
      </c>
      <c r="Z3647" t="b">
        <v>0</v>
      </c>
      <c r="AA3647" t="b">
        <v>0</v>
      </c>
      <c r="AC3647" s="82"/>
      <c r="AD3647" t="str">
        <f t="shared" si="71"/>
        <v/>
      </c>
      <c r="AE3647" t="str">
        <f t="shared" si="72"/>
        <v/>
      </c>
    </row>
    <row r="3648">
      <c r="D3648" s="226"/>
      <c r="H3648" s="474"/>
      <c r="I3648" s="474"/>
      <c r="J3648" s="475"/>
      <c r="K3648" s="275"/>
      <c r="L3648" s="82"/>
      <c r="M3648" s="672"/>
      <c r="N3648" s="242"/>
      <c r="O3648" s="242"/>
      <c r="P3648" s="242"/>
      <c r="Q3648" s="242"/>
      <c r="R3648" s="539"/>
      <c r="S3648" s="540"/>
      <c r="T3648" s="543"/>
      <c r="U3648" s="673" t="b">
        <v>0</v>
      </c>
      <c r="Z3648" t="b">
        <v>0</v>
      </c>
      <c r="AA3648" t="b">
        <v>0</v>
      </c>
      <c r="AC3648" s="82"/>
      <c r="AD3648" t="str">
        <f t="shared" si="71"/>
        <v/>
      </c>
      <c r="AE3648" t="str">
        <f t="shared" si="72"/>
        <v/>
      </c>
    </row>
    <row r="3649">
      <c r="D3649" s="226"/>
      <c r="H3649" s="474"/>
      <c r="I3649" s="474"/>
      <c r="J3649" s="475"/>
      <c r="K3649" s="275"/>
      <c r="L3649" s="82"/>
      <c r="M3649" s="672"/>
      <c r="N3649" s="242"/>
      <c r="O3649" s="242"/>
      <c r="P3649" s="242"/>
      <c r="Q3649" s="242"/>
      <c r="R3649" s="539"/>
      <c r="S3649" s="540"/>
      <c r="T3649" s="543"/>
      <c r="U3649" s="673" t="b">
        <v>0</v>
      </c>
      <c r="Z3649" t="b">
        <v>0</v>
      </c>
      <c r="AA3649" t="b">
        <v>0</v>
      </c>
      <c r="AC3649" s="82"/>
      <c r="AD3649" t="str">
        <f t="shared" si="71"/>
        <v/>
      </c>
      <c r="AE3649" t="str">
        <f t="shared" si="72"/>
        <v/>
      </c>
    </row>
    <row r="3650">
      <c r="D3650" s="226"/>
      <c r="H3650" s="474"/>
      <c r="I3650" s="474"/>
      <c r="J3650" s="475"/>
      <c r="K3650" s="275"/>
      <c r="L3650" s="82"/>
      <c r="M3650" s="672"/>
      <c r="N3650" s="242"/>
      <c r="O3650" s="242"/>
      <c r="P3650" s="242"/>
      <c r="Q3650" s="242"/>
      <c r="R3650" s="539"/>
      <c r="S3650" s="540"/>
      <c r="T3650" s="543"/>
      <c r="U3650" s="673" t="b">
        <v>0</v>
      </c>
      <c r="Z3650" t="b">
        <v>0</v>
      </c>
      <c r="AA3650" t="b">
        <v>0</v>
      </c>
      <c r="AC3650" s="82"/>
      <c r="AD3650" t="str">
        <f t="shared" si="71"/>
        <v/>
      </c>
      <c r="AE3650" t="str">
        <f t="shared" si="72"/>
        <v/>
      </c>
    </row>
    <row r="3651">
      <c r="D3651" s="226"/>
      <c r="H3651" s="474"/>
      <c r="I3651" s="474"/>
      <c r="J3651" s="475"/>
      <c r="K3651" s="275"/>
      <c r="L3651" s="82"/>
      <c r="M3651" s="672"/>
      <c r="N3651" s="242"/>
      <c r="O3651" s="242"/>
      <c r="P3651" s="242"/>
      <c r="Q3651" s="242"/>
      <c r="R3651" s="539"/>
      <c r="S3651" s="540"/>
      <c r="T3651" s="543"/>
      <c r="U3651" s="673" t="b">
        <v>0</v>
      </c>
      <c r="Z3651" t="b">
        <v>0</v>
      </c>
      <c r="AA3651" t="b">
        <v>0</v>
      </c>
      <c r="AC3651" s="82"/>
      <c r="AD3651" t="str">
        <f t="shared" si="71"/>
        <v/>
      </c>
      <c r="AE3651" t="str">
        <f t="shared" si="72"/>
        <v/>
      </c>
    </row>
    <row r="3652">
      <c r="D3652" s="226"/>
      <c r="H3652" s="474"/>
      <c r="I3652" s="474"/>
      <c r="J3652" s="475"/>
      <c r="K3652" s="275"/>
      <c r="L3652" s="82"/>
      <c r="M3652" s="672"/>
      <c r="N3652" s="242"/>
      <c r="O3652" s="242"/>
      <c r="P3652" s="242"/>
      <c r="Q3652" s="242"/>
      <c r="R3652" s="539"/>
      <c r="S3652" s="540"/>
      <c r="T3652" s="543"/>
      <c r="U3652" s="673" t="b">
        <v>0</v>
      </c>
      <c r="Z3652" t="b">
        <v>0</v>
      </c>
      <c r="AA3652" t="b">
        <v>0</v>
      </c>
      <c r="AC3652" s="82"/>
      <c r="AD3652" t="str">
        <f t="shared" si="71"/>
        <v/>
      </c>
      <c r="AE3652" t="str">
        <f t="shared" si="72"/>
        <v/>
      </c>
    </row>
    <row r="3653">
      <c r="D3653" s="226"/>
      <c r="H3653" s="474"/>
      <c r="I3653" s="474"/>
      <c r="J3653" s="475"/>
      <c r="K3653" s="275"/>
      <c r="L3653" s="82"/>
      <c r="M3653" s="672"/>
      <c r="N3653" s="242"/>
      <c r="O3653" s="242"/>
      <c r="P3653" s="242"/>
      <c r="Q3653" s="242"/>
      <c r="R3653" s="539"/>
      <c r="S3653" s="540"/>
      <c r="T3653" s="543"/>
      <c r="U3653" s="673" t="b">
        <v>0</v>
      </c>
      <c r="Z3653" t="b">
        <v>0</v>
      </c>
      <c r="AA3653" t="b">
        <v>0</v>
      </c>
      <c r="AC3653" s="82"/>
      <c r="AD3653" t="str">
        <f t="shared" si="71"/>
        <v/>
      </c>
      <c r="AE3653" t="str">
        <f t="shared" si="72"/>
        <v/>
      </c>
    </row>
    <row r="3654">
      <c r="D3654" s="226"/>
      <c r="H3654" s="474"/>
      <c r="I3654" s="474"/>
      <c r="J3654" s="475"/>
      <c r="K3654" s="275"/>
      <c r="L3654" s="82"/>
      <c r="M3654" s="672"/>
      <c r="N3654" s="242"/>
      <c r="O3654" s="242"/>
      <c r="P3654" s="242"/>
      <c r="Q3654" s="242"/>
      <c r="R3654" s="539"/>
      <c r="S3654" s="540"/>
      <c r="T3654" s="543"/>
      <c r="U3654" s="673" t="b">
        <v>0</v>
      </c>
      <c r="Z3654" t="b">
        <v>0</v>
      </c>
      <c r="AA3654" t="b">
        <v>0</v>
      </c>
      <c r="AC3654" s="82"/>
      <c r="AD3654" t="str">
        <f t="shared" si="71"/>
        <v/>
      </c>
      <c r="AE3654" t="str">
        <f t="shared" si="72"/>
        <v/>
      </c>
    </row>
    <row r="3655">
      <c r="D3655" s="226"/>
      <c r="H3655" s="474"/>
      <c r="I3655" s="474"/>
      <c r="J3655" s="475"/>
      <c r="K3655" s="275"/>
      <c r="L3655" s="82"/>
      <c r="M3655" s="672"/>
      <c r="N3655" s="242"/>
      <c r="O3655" s="242"/>
      <c r="P3655" s="242"/>
      <c r="Q3655" s="242"/>
      <c r="R3655" s="539"/>
      <c r="S3655" s="540"/>
      <c r="T3655" s="543"/>
      <c r="U3655" s="673" t="b">
        <v>0</v>
      </c>
      <c r="Z3655" t="b">
        <v>0</v>
      </c>
      <c r="AA3655" t="b">
        <v>0</v>
      </c>
      <c r="AC3655" s="82"/>
      <c r="AD3655" t="str">
        <f t="shared" si="71"/>
        <v/>
      </c>
      <c r="AE3655" t="str">
        <f t="shared" si="72"/>
        <v/>
      </c>
    </row>
    <row r="3656">
      <c r="D3656" s="226"/>
      <c r="H3656" s="474"/>
      <c r="I3656" s="474"/>
      <c r="J3656" s="475"/>
      <c r="K3656" s="275"/>
      <c r="L3656" s="82"/>
      <c r="M3656" s="672"/>
      <c r="N3656" s="242"/>
      <c r="O3656" s="242"/>
      <c r="P3656" s="242"/>
      <c r="Q3656" s="242"/>
      <c r="R3656" s="539"/>
      <c r="S3656" s="540"/>
      <c r="T3656" s="543"/>
      <c r="U3656" s="673" t="b">
        <v>0</v>
      </c>
      <c r="Z3656" t="b">
        <v>0</v>
      </c>
      <c r="AA3656" t="b">
        <v>0</v>
      </c>
      <c r="AC3656" s="82"/>
      <c r="AD3656" t="str">
        <f t="shared" si="71"/>
        <v/>
      </c>
      <c r="AE3656" t="str">
        <f t="shared" si="72"/>
        <v/>
      </c>
    </row>
    <row r="3657">
      <c r="D3657" s="226"/>
      <c r="H3657" s="474"/>
      <c r="I3657" s="474"/>
      <c r="J3657" s="475"/>
      <c r="K3657" s="275"/>
      <c r="L3657" s="82"/>
      <c r="M3657" s="672"/>
      <c r="N3657" s="242"/>
      <c r="O3657" s="242"/>
      <c r="P3657" s="242"/>
      <c r="Q3657" s="242"/>
      <c r="R3657" s="539"/>
      <c r="S3657" s="540"/>
      <c r="T3657" s="543"/>
      <c r="U3657" s="673" t="b">
        <v>0</v>
      </c>
      <c r="Z3657" t="b">
        <v>0</v>
      </c>
      <c r="AA3657" t="b">
        <v>0</v>
      </c>
      <c r="AC3657" s="82"/>
      <c r="AD3657" t="str">
        <f t="shared" si="71"/>
        <v/>
      </c>
      <c r="AE3657" t="str">
        <f t="shared" si="72"/>
        <v/>
      </c>
    </row>
    <row r="3658">
      <c r="D3658" s="226"/>
      <c r="H3658" s="474"/>
      <c r="I3658" s="474"/>
      <c r="J3658" s="475"/>
      <c r="K3658" s="275"/>
      <c r="L3658" s="82"/>
      <c r="M3658" s="672"/>
      <c r="N3658" s="242"/>
      <c r="O3658" s="242"/>
      <c r="P3658" s="242"/>
      <c r="Q3658" s="242"/>
      <c r="R3658" s="539"/>
      <c r="S3658" s="540"/>
      <c r="T3658" s="543"/>
      <c r="U3658" s="673" t="b">
        <v>0</v>
      </c>
      <c r="Z3658" t="b">
        <v>0</v>
      </c>
      <c r="AA3658" t="b">
        <v>0</v>
      </c>
      <c r="AC3658" s="82"/>
      <c r="AD3658" t="str">
        <f t="shared" si="71"/>
        <v/>
      </c>
      <c r="AE3658" t="str">
        <f t="shared" si="72"/>
        <v/>
      </c>
    </row>
    <row r="3659">
      <c r="D3659" s="226"/>
      <c r="H3659" s="474"/>
      <c r="I3659" s="474"/>
      <c r="J3659" s="475"/>
      <c r="K3659" s="275"/>
      <c r="L3659" s="82"/>
      <c r="M3659" s="672"/>
      <c r="N3659" s="242"/>
      <c r="O3659" s="242"/>
      <c r="P3659" s="242"/>
      <c r="Q3659" s="242"/>
      <c r="R3659" s="539"/>
      <c r="S3659" s="540"/>
      <c r="T3659" s="543"/>
      <c r="U3659" s="673" t="b">
        <v>0</v>
      </c>
      <c r="Z3659" t="b">
        <v>0</v>
      </c>
      <c r="AA3659" t="b">
        <v>0</v>
      </c>
      <c r="AC3659" s="82"/>
      <c r="AD3659" t="str">
        <f t="shared" si="71"/>
        <v/>
      </c>
      <c r="AE3659" t="str">
        <f t="shared" si="72"/>
        <v/>
      </c>
    </row>
    <row r="3660">
      <c r="D3660" s="226"/>
      <c r="H3660" s="474"/>
      <c r="I3660" s="474"/>
      <c r="J3660" s="475"/>
      <c r="K3660" s="275"/>
      <c r="L3660" s="82"/>
      <c r="M3660" s="672"/>
      <c r="N3660" s="242"/>
      <c r="O3660" s="242"/>
      <c r="P3660" s="242"/>
      <c r="Q3660" s="242"/>
      <c r="R3660" s="539"/>
      <c r="S3660" s="540"/>
      <c r="T3660" s="543"/>
      <c r="U3660" s="673" t="b">
        <v>0</v>
      </c>
      <c r="Z3660" t="b">
        <v>0</v>
      </c>
      <c r="AA3660" t="b">
        <v>0</v>
      </c>
      <c r="AC3660" s="82"/>
      <c r="AD3660" t="str">
        <f t="shared" si="71"/>
        <v/>
      </c>
      <c r="AE3660" t="str">
        <f t="shared" si="72"/>
        <v/>
      </c>
    </row>
    <row r="3661">
      <c r="D3661" s="226"/>
      <c r="H3661" s="474"/>
      <c r="I3661" s="474"/>
      <c r="J3661" s="475"/>
      <c r="K3661" s="275"/>
      <c r="L3661" s="82"/>
      <c r="M3661" s="672"/>
      <c r="N3661" s="242"/>
      <c r="O3661" s="242"/>
      <c r="P3661" s="242"/>
      <c r="Q3661" s="242"/>
      <c r="R3661" s="539"/>
      <c r="S3661" s="540"/>
      <c r="T3661" s="543"/>
      <c r="U3661" s="673" t="b">
        <v>0</v>
      </c>
      <c r="Z3661" t="b">
        <v>0</v>
      </c>
      <c r="AA3661" t="b">
        <v>0</v>
      </c>
      <c r="AC3661" s="82"/>
      <c r="AD3661" t="str">
        <f t="shared" si="71"/>
        <v/>
      </c>
      <c r="AE3661" t="str">
        <f t="shared" si="72"/>
        <v/>
      </c>
    </row>
    <row r="3662">
      <c r="D3662" s="226"/>
      <c r="H3662" s="474"/>
      <c r="I3662" s="474"/>
      <c r="J3662" s="475"/>
      <c r="K3662" s="275"/>
      <c r="L3662" s="82"/>
      <c r="M3662" s="672"/>
      <c r="N3662" s="242"/>
      <c r="O3662" s="242"/>
      <c r="P3662" s="242"/>
      <c r="Q3662" s="242"/>
      <c r="R3662" s="539"/>
      <c r="S3662" s="540"/>
      <c r="T3662" s="543"/>
      <c r="U3662" s="673" t="b">
        <v>0</v>
      </c>
      <c r="Z3662" t="b">
        <v>0</v>
      </c>
      <c r="AA3662" t="b">
        <v>0</v>
      </c>
      <c r="AC3662" s="82"/>
      <c r="AD3662" t="str">
        <f t="shared" si="71"/>
        <v/>
      </c>
      <c r="AE3662" t="str">
        <f t="shared" si="72"/>
        <v/>
      </c>
    </row>
    <row r="3663">
      <c r="D3663" s="226"/>
      <c r="H3663" s="474"/>
      <c r="I3663" s="474"/>
      <c r="J3663" s="475"/>
      <c r="K3663" s="275"/>
      <c r="L3663" s="82"/>
      <c r="M3663" s="672"/>
      <c r="N3663" s="242"/>
      <c r="O3663" s="242"/>
      <c r="P3663" s="242"/>
      <c r="Q3663" s="242"/>
      <c r="R3663" s="539"/>
      <c r="S3663" s="540"/>
      <c r="T3663" s="543"/>
      <c r="U3663" s="673" t="b">
        <v>0</v>
      </c>
      <c r="Z3663" t="b">
        <v>0</v>
      </c>
      <c r="AA3663" t="b">
        <v>0</v>
      </c>
      <c r="AC3663" s="82"/>
      <c r="AD3663" t="str">
        <f t="shared" si="71"/>
        <v/>
      </c>
      <c r="AE3663" t="str">
        <f t="shared" si="72"/>
        <v/>
      </c>
    </row>
    <row r="3664">
      <c r="D3664" s="226"/>
      <c r="H3664" s="474"/>
      <c r="I3664" s="474"/>
      <c r="J3664" s="475"/>
      <c r="K3664" s="275"/>
      <c r="L3664" s="82"/>
      <c r="M3664" s="672"/>
      <c r="N3664" s="242"/>
      <c r="O3664" s="242"/>
      <c r="P3664" s="242"/>
      <c r="Q3664" s="242"/>
      <c r="R3664" s="539"/>
      <c r="S3664" s="540"/>
      <c r="T3664" s="543"/>
      <c r="U3664" s="673" t="b">
        <v>0</v>
      </c>
      <c r="Z3664" t="b">
        <v>0</v>
      </c>
      <c r="AA3664" t="b">
        <v>0</v>
      </c>
      <c r="AC3664" s="82"/>
      <c r="AD3664" t="str">
        <f t="shared" si="71"/>
        <v/>
      </c>
      <c r="AE3664" t="str">
        <f t="shared" si="72"/>
        <v/>
      </c>
    </row>
    <row r="3665">
      <c r="D3665" s="226"/>
      <c r="H3665" s="474"/>
      <c r="I3665" s="474"/>
      <c r="J3665" s="475"/>
      <c r="K3665" s="275"/>
      <c r="L3665" s="82"/>
      <c r="M3665" s="672"/>
      <c r="N3665" s="242"/>
      <c r="O3665" s="242"/>
      <c r="P3665" s="242"/>
      <c r="Q3665" s="242"/>
      <c r="R3665" s="539"/>
      <c r="S3665" s="540"/>
      <c r="T3665" s="543"/>
      <c r="U3665" s="673" t="b">
        <v>0</v>
      </c>
      <c r="Z3665" t="b">
        <v>0</v>
      </c>
      <c r="AA3665" t="b">
        <v>0</v>
      </c>
      <c r="AC3665" s="82"/>
      <c r="AD3665" t="str">
        <f t="shared" si="71"/>
        <v/>
      </c>
      <c r="AE3665" t="str">
        <f t="shared" si="72"/>
        <v/>
      </c>
    </row>
    <row r="3666">
      <c r="D3666" s="226"/>
      <c r="H3666" s="474"/>
      <c r="I3666" s="474"/>
      <c r="J3666" s="475"/>
      <c r="K3666" s="275"/>
      <c r="L3666" s="82"/>
      <c r="M3666" s="672"/>
      <c r="N3666" s="242"/>
      <c r="O3666" s="242"/>
      <c r="P3666" s="242"/>
      <c r="Q3666" s="242"/>
      <c r="R3666" s="539"/>
      <c r="S3666" s="540"/>
      <c r="T3666" s="543"/>
      <c r="U3666" s="673" t="b">
        <v>0</v>
      </c>
      <c r="Z3666" t="b">
        <v>0</v>
      </c>
      <c r="AA3666" t="b">
        <v>0</v>
      </c>
      <c r="AC3666" s="82"/>
      <c r="AD3666" t="str">
        <f t="shared" si="71"/>
        <v/>
      </c>
      <c r="AE3666" t="str">
        <f t="shared" si="72"/>
        <v/>
      </c>
    </row>
    <row r="3667">
      <c r="D3667" s="226"/>
      <c r="H3667" s="474"/>
      <c r="I3667" s="474"/>
      <c r="J3667" s="475"/>
      <c r="K3667" s="275"/>
      <c r="L3667" s="82"/>
      <c r="M3667" s="672"/>
      <c r="N3667" s="242"/>
      <c r="O3667" s="242"/>
      <c r="P3667" s="242"/>
      <c r="Q3667" s="242"/>
      <c r="R3667" s="539"/>
      <c r="S3667" s="540"/>
      <c r="T3667" s="543"/>
      <c r="U3667" s="673" t="b">
        <v>0</v>
      </c>
      <c r="Z3667" t="b">
        <v>0</v>
      </c>
      <c r="AA3667" t="b">
        <v>0</v>
      </c>
      <c r="AC3667" s="82"/>
      <c r="AD3667" t="str">
        <f t="shared" si="71"/>
        <v/>
      </c>
      <c r="AE3667" t="str">
        <f t="shared" si="72"/>
        <v/>
      </c>
    </row>
    <row r="3668">
      <c r="D3668" s="226"/>
      <c r="H3668" s="474"/>
      <c r="I3668" s="474"/>
      <c r="J3668" s="475"/>
      <c r="K3668" s="275"/>
      <c r="L3668" s="82"/>
      <c r="M3668" s="672"/>
      <c r="N3668" s="242"/>
      <c r="O3668" s="242"/>
      <c r="P3668" s="242"/>
      <c r="Q3668" s="242"/>
      <c r="R3668" s="539"/>
      <c r="S3668" s="540"/>
      <c r="T3668" s="543"/>
      <c r="U3668" s="673" t="b">
        <v>0</v>
      </c>
      <c r="Z3668" t="b">
        <v>0</v>
      </c>
      <c r="AA3668" t="b">
        <v>0</v>
      </c>
      <c r="AC3668" s="82"/>
      <c r="AD3668" t="str">
        <f t="shared" si="71"/>
        <v/>
      </c>
      <c r="AE3668" t="str">
        <f t="shared" si="72"/>
        <v/>
      </c>
    </row>
    <row r="3669">
      <c r="D3669" s="226"/>
      <c r="H3669" s="474"/>
      <c r="I3669" s="474"/>
      <c r="J3669" s="475"/>
      <c r="K3669" s="275"/>
      <c r="L3669" s="82"/>
      <c r="M3669" s="672"/>
      <c r="N3669" s="242"/>
      <c r="O3669" s="242"/>
      <c r="P3669" s="242"/>
      <c r="Q3669" s="242"/>
      <c r="R3669" s="539"/>
      <c r="S3669" s="540"/>
      <c r="T3669" s="543"/>
      <c r="U3669" s="673" t="b">
        <v>0</v>
      </c>
      <c r="Z3669" t="b">
        <v>0</v>
      </c>
      <c r="AA3669" t="b">
        <v>0</v>
      </c>
      <c r="AC3669" s="82"/>
      <c r="AD3669" t="str">
        <f t="shared" si="71"/>
        <v/>
      </c>
      <c r="AE3669" t="str">
        <f t="shared" si="72"/>
        <v/>
      </c>
    </row>
    <row r="3670">
      <c r="D3670" s="226"/>
      <c r="H3670" s="474"/>
      <c r="I3670" s="474"/>
      <c r="J3670" s="475"/>
      <c r="K3670" s="275"/>
      <c r="L3670" s="82"/>
      <c r="M3670" s="672"/>
      <c r="N3670" s="242"/>
      <c r="O3670" s="242"/>
      <c r="P3670" s="242"/>
      <c r="Q3670" s="242"/>
      <c r="R3670" s="539"/>
      <c r="S3670" s="540"/>
      <c r="T3670" s="543"/>
      <c r="U3670" s="673" t="b">
        <v>0</v>
      </c>
      <c r="Z3670" t="b">
        <v>0</v>
      </c>
      <c r="AA3670" t="b">
        <v>0</v>
      </c>
      <c r="AC3670" s="82"/>
      <c r="AD3670" t="str">
        <f t="shared" si="71"/>
        <v/>
      </c>
      <c r="AE3670" t="str">
        <f t="shared" si="72"/>
        <v/>
      </c>
    </row>
    <row r="3671">
      <c r="D3671" s="226"/>
      <c r="H3671" s="474"/>
      <c r="I3671" s="474"/>
      <c r="J3671" s="475"/>
      <c r="K3671" s="275"/>
      <c r="L3671" s="82"/>
      <c r="M3671" s="672"/>
      <c r="N3671" s="242"/>
      <c r="O3671" s="242"/>
      <c r="P3671" s="242"/>
      <c r="Q3671" s="242"/>
      <c r="R3671" s="539"/>
      <c r="S3671" s="540"/>
      <c r="T3671" s="543"/>
      <c r="U3671" s="673" t="b">
        <v>0</v>
      </c>
      <c r="Z3671" t="b">
        <v>0</v>
      </c>
      <c r="AA3671" t="b">
        <v>0</v>
      </c>
      <c r="AC3671" s="82"/>
      <c r="AD3671" t="str">
        <f t="shared" si="71"/>
        <v/>
      </c>
      <c r="AE3671" t="str">
        <f t="shared" si="72"/>
        <v/>
      </c>
    </row>
    <row r="3672">
      <c r="D3672" s="226"/>
      <c r="H3672" s="474"/>
      <c r="I3672" s="474"/>
      <c r="J3672" s="475"/>
      <c r="K3672" s="275"/>
      <c r="L3672" s="82"/>
      <c r="M3672" s="672"/>
      <c r="N3672" s="242"/>
      <c r="O3672" s="242"/>
      <c r="P3672" s="242"/>
      <c r="Q3672" s="242"/>
      <c r="R3672" s="539"/>
      <c r="S3672" s="540"/>
      <c r="T3672" s="543"/>
      <c r="U3672" s="673" t="b">
        <v>0</v>
      </c>
      <c r="Z3672" t="b">
        <v>0</v>
      </c>
      <c r="AA3672" t="b">
        <v>0</v>
      </c>
      <c r="AC3672" s="82"/>
      <c r="AD3672" t="str">
        <f t="shared" si="71"/>
        <v/>
      </c>
      <c r="AE3672" t="str">
        <f t="shared" si="72"/>
        <v/>
      </c>
    </row>
    <row r="3673">
      <c r="D3673" s="226"/>
      <c r="H3673" s="474"/>
      <c r="I3673" s="474"/>
      <c r="J3673" s="475"/>
      <c r="K3673" s="275"/>
      <c r="L3673" s="82"/>
      <c r="M3673" s="672"/>
      <c r="N3673" s="242"/>
      <c r="O3673" s="242"/>
      <c r="P3673" s="242"/>
      <c r="Q3673" s="242"/>
      <c r="R3673" s="539"/>
      <c r="S3673" s="540"/>
      <c r="T3673" s="543"/>
      <c r="U3673" s="673" t="b">
        <v>0</v>
      </c>
      <c r="Z3673" t="b">
        <v>0</v>
      </c>
      <c r="AA3673" t="b">
        <v>0</v>
      </c>
      <c r="AC3673" s="82"/>
      <c r="AD3673" t="str">
        <f t="shared" si="71"/>
        <v/>
      </c>
      <c r="AE3673" t="str">
        <f t="shared" si="72"/>
        <v/>
      </c>
    </row>
    <row r="3674">
      <c r="D3674" s="226"/>
      <c r="H3674" s="474"/>
      <c r="I3674" s="474"/>
      <c r="J3674" s="475"/>
      <c r="K3674" s="275"/>
      <c r="L3674" s="82"/>
      <c r="M3674" s="672"/>
      <c r="N3674" s="242"/>
      <c r="O3674" s="242"/>
      <c r="P3674" s="242"/>
      <c r="Q3674" s="242"/>
      <c r="R3674" s="539"/>
      <c r="S3674" s="540"/>
      <c r="T3674" s="543"/>
      <c r="U3674" s="673" t="b">
        <v>0</v>
      </c>
      <c r="Z3674" t="b">
        <v>0</v>
      </c>
      <c r="AA3674" t="b">
        <v>0</v>
      </c>
      <c r="AC3674" s="82"/>
      <c r="AD3674" t="str">
        <f t="shared" si="71"/>
        <v/>
      </c>
      <c r="AE3674" t="str">
        <f t="shared" si="72"/>
        <v/>
      </c>
    </row>
    <row r="3675">
      <c r="D3675" s="226"/>
      <c r="H3675" s="474"/>
      <c r="I3675" s="474"/>
      <c r="J3675" s="475"/>
      <c r="K3675" s="275"/>
      <c r="L3675" s="82"/>
      <c r="M3675" s="672"/>
      <c r="N3675" s="242"/>
      <c r="O3675" s="242"/>
      <c r="P3675" s="242"/>
      <c r="Q3675" s="242"/>
      <c r="R3675" s="539"/>
      <c r="S3675" s="540"/>
      <c r="T3675" s="543"/>
      <c r="U3675" s="673" t="b">
        <v>0</v>
      </c>
      <c r="Z3675" t="b">
        <v>0</v>
      </c>
      <c r="AA3675" t="b">
        <v>0</v>
      </c>
      <c r="AC3675" s="82"/>
      <c r="AD3675" t="str">
        <f t="shared" si="71"/>
        <v/>
      </c>
      <c r="AE3675" t="str">
        <f t="shared" si="72"/>
        <v/>
      </c>
    </row>
    <row r="3676">
      <c r="D3676" s="226"/>
      <c r="H3676" s="474"/>
      <c r="I3676" s="474"/>
      <c r="J3676" s="475"/>
      <c r="K3676" s="275"/>
      <c r="L3676" s="82"/>
      <c r="M3676" s="672"/>
      <c r="N3676" s="242"/>
      <c r="O3676" s="242"/>
      <c r="P3676" s="242"/>
      <c r="Q3676" s="242"/>
      <c r="R3676" s="539"/>
      <c r="S3676" s="540"/>
      <c r="T3676" s="543"/>
      <c r="U3676" s="673" t="b">
        <v>0</v>
      </c>
      <c r="Z3676" t="b">
        <v>0</v>
      </c>
      <c r="AA3676" t="b">
        <v>0</v>
      </c>
      <c r="AC3676" s="82"/>
      <c r="AD3676" t="str">
        <f t="shared" si="71"/>
        <v/>
      </c>
      <c r="AE3676" t="str">
        <f t="shared" si="72"/>
        <v/>
      </c>
    </row>
    <row r="3677">
      <c r="D3677" s="226"/>
      <c r="H3677" s="474"/>
      <c r="I3677" s="474"/>
      <c r="J3677" s="475"/>
      <c r="K3677" s="275"/>
      <c r="L3677" s="82"/>
      <c r="M3677" s="672"/>
      <c r="N3677" s="242"/>
      <c r="O3677" s="242"/>
      <c r="P3677" s="242"/>
      <c r="Q3677" s="242"/>
      <c r="R3677" s="539"/>
      <c r="S3677" s="540"/>
      <c r="T3677" s="543"/>
      <c r="U3677" s="673" t="b">
        <v>0</v>
      </c>
      <c r="Z3677" t="b">
        <v>0</v>
      </c>
      <c r="AA3677" t="b">
        <v>0</v>
      </c>
      <c r="AC3677" s="82"/>
      <c r="AD3677" t="str">
        <f t="shared" si="71"/>
        <v/>
      </c>
      <c r="AE3677" t="str">
        <f t="shared" si="72"/>
        <v/>
      </c>
    </row>
    <row r="3678">
      <c r="D3678" s="226"/>
      <c r="H3678" s="474"/>
      <c r="I3678" s="474"/>
      <c r="J3678" s="475"/>
      <c r="K3678" s="275"/>
      <c r="L3678" s="82"/>
      <c r="M3678" s="672"/>
      <c r="N3678" s="242"/>
      <c r="O3678" s="242"/>
      <c r="P3678" s="242"/>
      <c r="Q3678" s="242"/>
      <c r="R3678" s="539"/>
      <c r="S3678" s="540"/>
      <c r="T3678" s="543"/>
      <c r="U3678" s="673" t="b">
        <v>0</v>
      </c>
      <c r="Z3678" t="b">
        <v>0</v>
      </c>
      <c r="AA3678" t="b">
        <v>0</v>
      </c>
      <c r="AC3678" s="82"/>
      <c r="AD3678" t="str">
        <f t="shared" si="71"/>
        <v/>
      </c>
      <c r="AE3678" t="str">
        <f t="shared" si="72"/>
        <v/>
      </c>
    </row>
    <row r="3679">
      <c r="D3679" s="226"/>
      <c r="H3679" s="474"/>
      <c r="I3679" s="474"/>
      <c r="J3679" s="475"/>
      <c r="K3679" s="275"/>
      <c r="L3679" s="82"/>
      <c r="M3679" s="672"/>
      <c r="N3679" s="242"/>
      <c r="O3679" s="242"/>
      <c r="P3679" s="242"/>
      <c r="Q3679" s="242"/>
      <c r="R3679" s="539"/>
      <c r="S3679" s="540"/>
      <c r="T3679" s="543"/>
      <c r="U3679" s="673" t="b">
        <v>0</v>
      </c>
      <c r="Z3679" t="b">
        <v>0</v>
      </c>
      <c r="AA3679" t="b">
        <v>0</v>
      </c>
      <c r="AC3679" s="82"/>
      <c r="AD3679" t="str">
        <f t="shared" si="71"/>
        <v/>
      </c>
      <c r="AE3679" t="str">
        <f t="shared" si="72"/>
        <v/>
      </c>
    </row>
    <row r="3680">
      <c r="D3680" s="226"/>
      <c r="H3680" s="474"/>
      <c r="I3680" s="474"/>
      <c r="J3680" s="475"/>
      <c r="K3680" s="275"/>
      <c r="L3680" s="82"/>
      <c r="M3680" s="672"/>
      <c r="N3680" s="242"/>
      <c r="O3680" s="242"/>
      <c r="P3680" s="242"/>
      <c r="Q3680" s="242"/>
      <c r="R3680" s="539"/>
      <c r="S3680" s="540"/>
      <c r="T3680" s="543"/>
      <c r="U3680" s="673" t="b">
        <v>0</v>
      </c>
      <c r="Z3680" t="b">
        <v>0</v>
      </c>
      <c r="AA3680" t="b">
        <v>0</v>
      </c>
      <c r="AC3680" s="82"/>
      <c r="AD3680" t="str">
        <f t="shared" si="71"/>
        <v/>
      </c>
      <c r="AE3680" t="str">
        <f t="shared" si="72"/>
        <v/>
      </c>
    </row>
    <row r="3681">
      <c r="D3681" s="226"/>
      <c r="H3681" s="474"/>
      <c r="I3681" s="474"/>
      <c r="J3681" s="475"/>
      <c r="K3681" s="275"/>
      <c r="L3681" s="82"/>
      <c r="M3681" s="672"/>
      <c r="N3681" s="242"/>
      <c r="O3681" s="242"/>
      <c r="P3681" s="242"/>
      <c r="Q3681" s="242"/>
      <c r="R3681" s="539"/>
      <c r="S3681" s="540"/>
      <c r="T3681" s="543"/>
      <c r="U3681" s="673" t="b">
        <v>0</v>
      </c>
      <c r="Z3681" t="b">
        <v>0</v>
      </c>
      <c r="AA3681" t="b">
        <v>0</v>
      </c>
      <c r="AC3681" s="82"/>
      <c r="AD3681" t="str">
        <f t="shared" si="71"/>
        <v/>
      </c>
      <c r="AE3681" t="str">
        <f t="shared" si="72"/>
        <v/>
      </c>
    </row>
    <row r="3682">
      <c r="D3682" s="226"/>
      <c r="H3682" s="474"/>
      <c r="I3682" s="474"/>
      <c r="J3682" s="475"/>
      <c r="K3682" s="275"/>
      <c r="L3682" s="82"/>
      <c r="M3682" s="672"/>
      <c r="N3682" s="242"/>
      <c r="O3682" s="242"/>
      <c r="P3682" s="242"/>
      <c r="Q3682" s="242"/>
      <c r="R3682" s="539"/>
      <c r="S3682" s="540"/>
      <c r="T3682" s="543"/>
      <c r="U3682" s="673" t="b">
        <v>0</v>
      </c>
      <c r="Z3682" t="b">
        <v>0</v>
      </c>
      <c r="AA3682" t="b">
        <v>0</v>
      </c>
      <c r="AC3682" s="82"/>
      <c r="AD3682" t="str">
        <f t="shared" si="71"/>
        <v/>
      </c>
      <c r="AE3682" t="str">
        <f t="shared" si="72"/>
        <v/>
      </c>
    </row>
    <row r="3683">
      <c r="D3683" s="226"/>
      <c r="H3683" s="474"/>
      <c r="I3683" s="474"/>
      <c r="J3683" s="475"/>
      <c r="K3683" s="275"/>
      <c r="L3683" s="82"/>
      <c r="M3683" s="672"/>
      <c r="N3683" s="242"/>
      <c r="O3683" s="242"/>
      <c r="P3683" s="242"/>
      <c r="Q3683" s="242"/>
      <c r="R3683" s="539"/>
      <c r="S3683" s="540"/>
      <c r="T3683" s="543"/>
      <c r="U3683" s="673" t="b">
        <v>0</v>
      </c>
      <c r="Z3683" t="b">
        <v>0</v>
      </c>
      <c r="AA3683" t="b">
        <v>0</v>
      </c>
      <c r="AC3683" s="82"/>
      <c r="AD3683" t="str">
        <f t="shared" si="71"/>
        <v/>
      </c>
      <c r="AE3683" t="str">
        <f t="shared" si="72"/>
        <v/>
      </c>
    </row>
    <row r="3684">
      <c r="D3684" s="226"/>
      <c r="H3684" s="474"/>
      <c r="I3684" s="474"/>
      <c r="J3684" s="475"/>
      <c r="K3684" s="275"/>
      <c r="L3684" s="82"/>
      <c r="M3684" s="672"/>
      <c r="N3684" s="242"/>
      <c r="O3684" s="242"/>
      <c r="P3684" s="242"/>
      <c r="Q3684" s="242"/>
      <c r="R3684" s="539"/>
      <c r="S3684" s="540"/>
      <c r="T3684" s="543"/>
      <c r="U3684" s="673" t="b">
        <v>0</v>
      </c>
      <c r="Z3684" t="b">
        <v>0</v>
      </c>
      <c r="AA3684" t="b">
        <v>0</v>
      </c>
      <c r="AC3684" s="82"/>
      <c r="AD3684" t="str">
        <f t="shared" si="71"/>
        <v/>
      </c>
      <c r="AE3684" t="str">
        <f t="shared" si="72"/>
        <v/>
      </c>
    </row>
    <row r="3685">
      <c r="D3685" s="226"/>
      <c r="H3685" s="474"/>
      <c r="I3685" s="474"/>
      <c r="J3685" s="475"/>
      <c r="K3685" s="275"/>
      <c r="L3685" s="82"/>
      <c r="M3685" s="672"/>
      <c r="N3685" s="242"/>
      <c r="O3685" s="242"/>
      <c r="P3685" s="242"/>
      <c r="Q3685" s="242"/>
      <c r="R3685" s="539"/>
      <c r="S3685" s="540"/>
      <c r="T3685" s="543"/>
      <c r="U3685" s="673" t="b">
        <v>0</v>
      </c>
      <c r="Z3685" t="b">
        <v>0</v>
      </c>
      <c r="AA3685" t="b">
        <v>0</v>
      </c>
      <c r="AC3685" s="82"/>
      <c r="AD3685" t="str">
        <f t="shared" si="71"/>
        <v/>
      </c>
      <c r="AE3685" t="str">
        <f t="shared" si="72"/>
        <v/>
      </c>
    </row>
    <row r="3686">
      <c r="D3686" s="226"/>
      <c r="H3686" s="474"/>
      <c r="I3686" s="474"/>
      <c r="J3686" s="475"/>
      <c r="K3686" s="275"/>
      <c r="L3686" s="82"/>
      <c r="M3686" s="672"/>
      <c r="N3686" s="242"/>
      <c r="O3686" s="242"/>
      <c r="P3686" s="242"/>
      <c r="Q3686" s="242"/>
      <c r="R3686" s="539"/>
      <c r="S3686" s="540"/>
      <c r="T3686" s="543"/>
      <c r="U3686" s="673" t="b">
        <v>0</v>
      </c>
      <c r="Z3686" t="b">
        <v>0</v>
      </c>
      <c r="AA3686" t="b">
        <v>0</v>
      </c>
      <c r="AC3686" s="82"/>
      <c r="AD3686" t="str">
        <f t="shared" si="71"/>
        <v/>
      </c>
      <c r="AE3686" t="str">
        <f t="shared" si="72"/>
        <v/>
      </c>
    </row>
    <row r="3687">
      <c r="D3687" s="226"/>
      <c r="H3687" s="474"/>
      <c r="I3687" s="474"/>
      <c r="J3687" s="475"/>
      <c r="K3687" s="275"/>
      <c r="L3687" s="82"/>
      <c r="M3687" s="672"/>
      <c r="N3687" s="242"/>
      <c r="O3687" s="242"/>
      <c r="P3687" s="242"/>
      <c r="Q3687" s="242"/>
      <c r="R3687" s="539"/>
      <c r="S3687" s="540"/>
      <c r="T3687" s="543"/>
      <c r="U3687" s="673" t="b">
        <v>0</v>
      </c>
      <c r="Z3687" t="b">
        <v>0</v>
      </c>
      <c r="AA3687" t="b">
        <v>0</v>
      </c>
      <c r="AC3687" s="82"/>
      <c r="AD3687" t="str">
        <f t="shared" si="71"/>
        <v/>
      </c>
      <c r="AE3687" t="str">
        <f t="shared" si="72"/>
        <v/>
      </c>
    </row>
    <row r="3688">
      <c r="D3688" s="226"/>
      <c r="H3688" s="474"/>
      <c r="I3688" s="474"/>
      <c r="J3688" s="475"/>
      <c r="K3688" s="275"/>
      <c r="L3688" s="82"/>
      <c r="M3688" s="672"/>
      <c r="N3688" s="242"/>
      <c r="O3688" s="242"/>
      <c r="P3688" s="242"/>
      <c r="Q3688" s="242"/>
      <c r="R3688" s="539"/>
      <c r="S3688" s="540"/>
      <c r="T3688" s="543"/>
      <c r="U3688" s="673" t="b">
        <v>0</v>
      </c>
      <c r="Z3688" t="b">
        <v>0</v>
      </c>
      <c r="AA3688" t="b">
        <v>0</v>
      </c>
      <c r="AC3688" s="82"/>
      <c r="AD3688" t="str">
        <f t="shared" si="71"/>
        <v/>
      </c>
      <c r="AE3688" t="str">
        <f t="shared" si="72"/>
        <v/>
      </c>
    </row>
    <row r="3689">
      <c r="D3689" s="226"/>
      <c r="H3689" s="474"/>
      <c r="I3689" s="474"/>
      <c r="J3689" s="475"/>
      <c r="K3689" s="275"/>
      <c r="L3689" s="82"/>
      <c r="M3689" s="672"/>
      <c r="N3689" s="242"/>
      <c r="O3689" s="242"/>
      <c r="P3689" s="242"/>
      <c r="Q3689" s="242"/>
      <c r="R3689" s="539"/>
      <c r="S3689" s="540"/>
      <c r="T3689" s="543"/>
      <c r="U3689" s="673" t="b">
        <v>0</v>
      </c>
      <c r="Z3689" t="b">
        <v>0</v>
      </c>
      <c r="AA3689" t="b">
        <v>0</v>
      </c>
      <c r="AC3689" s="82"/>
      <c r="AD3689" t="str">
        <f t="shared" si="71"/>
        <v/>
      </c>
      <c r="AE3689" t="str">
        <f t="shared" si="72"/>
        <v/>
      </c>
    </row>
    <row r="3690">
      <c r="D3690" s="226"/>
      <c r="H3690" s="474"/>
      <c r="I3690" s="474"/>
      <c r="J3690" s="475"/>
      <c r="K3690" s="275"/>
      <c r="L3690" s="82"/>
      <c r="M3690" s="672"/>
      <c r="N3690" s="242"/>
      <c r="O3690" s="242"/>
      <c r="P3690" s="242"/>
      <c r="Q3690" s="242"/>
      <c r="R3690" s="539"/>
      <c r="S3690" s="540"/>
      <c r="T3690" s="543"/>
      <c r="U3690" s="673" t="b">
        <v>0</v>
      </c>
      <c r="Z3690" t="b">
        <v>0</v>
      </c>
      <c r="AA3690" t="b">
        <v>0</v>
      </c>
      <c r="AC3690" s="82"/>
      <c r="AD3690" t="str">
        <f t="shared" si="71"/>
        <v/>
      </c>
      <c r="AE3690" t="str">
        <f t="shared" si="72"/>
        <v/>
      </c>
    </row>
    <row r="3691">
      <c r="D3691" s="226"/>
      <c r="H3691" s="474"/>
      <c r="I3691" s="474"/>
      <c r="J3691" s="475"/>
      <c r="K3691" s="275"/>
      <c r="L3691" s="82"/>
      <c r="M3691" s="672"/>
      <c r="N3691" s="242"/>
      <c r="O3691" s="242"/>
      <c r="P3691" s="242"/>
      <c r="Q3691" s="242"/>
      <c r="R3691" s="539"/>
      <c r="S3691" s="540"/>
      <c r="T3691" s="543"/>
      <c r="U3691" s="673" t="b">
        <v>0</v>
      </c>
      <c r="Z3691" t="b">
        <v>0</v>
      </c>
      <c r="AA3691" t="b">
        <v>0</v>
      </c>
      <c r="AC3691" s="82"/>
      <c r="AD3691" t="str">
        <f t="shared" si="71"/>
        <v/>
      </c>
      <c r="AE3691" t="str">
        <f t="shared" si="72"/>
        <v/>
      </c>
    </row>
    <row r="3692">
      <c r="D3692" s="226"/>
      <c r="H3692" s="474"/>
      <c r="I3692" s="474"/>
      <c r="J3692" s="475"/>
      <c r="K3692" s="275"/>
      <c r="L3692" s="82"/>
      <c r="M3692" s="672"/>
      <c r="N3692" s="242"/>
      <c r="O3692" s="242"/>
      <c r="P3692" s="242"/>
      <c r="Q3692" s="242"/>
      <c r="R3692" s="539"/>
      <c r="S3692" s="540"/>
      <c r="T3692" s="543"/>
      <c r="U3692" s="673" t="b">
        <v>0</v>
      </c>
      <c r="Z3692" t="b">
        <v>0</v>
      </c>
      <c r="AA3692" t="b">
        <v>0</v>
      </c>
      <c r="AC3692" s="82"/>
      <c r="AD3692" t="str">
        <f t="shared" si="71"/>
        <v/>
      </c>
      <c r="AE3692" t="str">
        <f t="shared" si="72"/>
        <v/>
      </c>
    </row>
    <row r="3693">
      <c r="D3693" s="226"/>
      <c r="H3693" s="474"/>
      <c r="I3693" s="474"/>
      <c r="J3693" s="475"/>
      <c r="K3693" s="275"/>
      <c r="L3693" s="82"/>
      <c r="M3693" s="672"/>
      <c r="N3693" s="242"/>
      <c r="O3693" s="242"/>
      <c r="P3693" s="242"/>
      <c r="Q3693" s="242"/>
      <c r="R3693" s="539"/>
      <c r="S3693" s="540"/>
      <c r="T3693" s="543"/>
      <c r="U3693" s="673" t="b">
        <v>0</v>
      </c>
      <c r="Z3693" t="b">
        <v>0</v>
      </c>
      <c r="AA3693" t="b">
        <v>0</v>
      </c>
      <c r="AC3693" s="82"/>
      <c r="AD3693" t="str">
        <f t="shared" si="71"/>
        <v/>
      </c>
      <c r="AE3693" t="str">
        <f t="shared" si="72"/>
        <v/>
      </c>
    </row>
    <row r="3694">
      <c r="D3694" s="226"/>
      <c r="H3694" s="474"/>
      <c r="I3694" s="474"/>
      <c r="J3694" s="475"/>
      <c r="K3694" s="275"/>
      <c r="L3694" s="82"/>
      <c r="M3694" s="672"/>
      <c r="N3694" s="242"/>
      <c r="O3694" s="242"/>
      <c r="P3694" s="242"/>
      <c r="Q3694" s="242"/>
      <c r="R3694" s="539"/>
      <c r="S3694" s="540"/>
      <c r="T3694" s="543"/>
      <c r="U3694" s="673" t="b">
        <v>0</v>
      </c>
      <c r="Z3694" t="b">
        <v>0</v>
      </c>
      <c r="AA3694" t="b">
        <v>0</v>
      </c>
      <c r="AC3694" s="82"/>
      <c r="AD3694" t="str">
        <f t="shared" si="71"/>
        <v/>
      </c>
      <c r="AE3694" t="str">
        <f t="shared" si="72"/>
        <v/>
      </c>
    </row>
    <row r="3695">
      <c r="D3695" s="226"/>
      <c r="H3695" s="474"/>
      <c r="I3695" s="474"/>
      <c r="J3695" s="475"/>
      <c r="K3695" s="275"/>
      <c r="L3695" s="82"/>
      <c r="M3695" s="672"/>
      <c r="N3695" s="242"/>
      <c r="O3695" s="242"/>
      <c r="P3695" s="242"/>
      <c r="Q3695" s="242"/>
      <c r="R3695" s="539"/>
      <c r="S3695" s="540"/>
      <c r="T3695" s="543"/>
      <c r="U3695" s="673" t="b">
        <v>0</v>
      </c>
      <c r="Z3695" t="b">
        <v>0</v>
      </c>
      <c r="AA3695" t="b">
        <v>0</v>
      </c>
      <c r="AC3695" s="82"/>
      <c r="AD3695" t="str">
        <f t="shared" si="71"/>
        <v/>
      </c>
      <c r="AE3695" t="str">
        <f t="shared" si="72"/>
        <v/>
      </c>
    </row>
    <row r="3696">
      <c r="D3696" s="226"/>
      <c r="H3696" s="474"/>
      <c r="I3696" s="474"/>
      <c r="J3696" s="475"/>
      <c r="K3696" s="275"/>
      <c r="L3696" s="82"/>
      <c r="M3696" s="672"/>
      <c r="N3696" s="242"/>
      <c r="O3696" s="242"/>
      <c r="P3696" s="242"/>
      <c r="Q3696" s="242"/>
      <c r="R3696" s="539"/>
      <c r="S3696" s="540"/>
      <c r="T3696" s="543"/>
      <c r="U3696" s="673" t="b">
        <v>0</v>
      </c>
      <c r="Z3696" t="b">
        <v>0</v>
      </c>
      <c r="AA3696" t="b">
        <v>0</v>
      </c>
      <c r="AC3696" s="82"/>
      <c r="AD3696" t="str">
        <f t="shared" si="71"/>
        <v/>
      </c>
      <c r="AE3696" t="str">
        <f t="shared" si="72"/>
        <v/>
      </c>
    </row>
    <row r="3697">
      <c r="D3697" s="226"/>
      <c r="H3697" s="474"/>
      <c r="I3697" s="474"/>
      <c r="J3697" s="475"/>
      <c r="K3697" s="275"/>
      <c r="L3697" s="82"/>
      <c r="M3697" s="672"/>
      <c r="N3697" s="242"/>
      <c r="O3697" s="242"/>
      <c r="P3697" s="242"/>
      <c r="Q3697" s="242"/>
      <c r="R3697" s="539"/>
      <c r="S3697" s="540"/>
      <c r="T3697" s="543"/>
      <c r="U3697" s="673" t="b">
        <v>0</v>
      </c>
      <c r="Z3697" t="b">
        <v>0</v>
      </c>
      <c r="AA3697" t="b">
        <v>0</v>
      </c>
      <c r="AC3697" s="82"/>
      <c r="AD3697" t="str">
        <f t="shared" si="71"/>
        <v/>
      </c>
      <c r="AE3697" t="str">
        <f t="shared" si="72"/>
        <v/>
      </c>
    </row>
    <row r="3698">
      <c r="D3698" s="226"/>
      <c r="H3698" s="474"/>
      <c r="I3698" s="474"/>
      <c r="J3698" s="475"/>
      <c r="K3698" s="275"/>
      <c r="L3698" s="82"/>
      <c r="M3698" s="672"/>
      <c r="N3698" s="242"/>
      <c r="O3698" s="242"/>
      <c r="P3698" s="242"/>
      <c r="Q3698" s="242"/>
      <c r="R3698" s="539"/>
      <c r="S3698" s="540"/>
      <c r="T3698" s="543"/>
      <c r="U3698" s="673" t="b">
        <v>0</v>
      </c>
      <c r="Z3698" t="b">
        <v>0</v>
      </c>
      <c r="AA3698" t="b">
        <v>0</v>
      </c>
      <c r="AC3698" s="82"/>
      <c r="AD3698" t="str">
        <f t="shared" si="71"/>
        <v/>
      </c>
      <c r="AE3698" t="str">
        <f t="shared" si="72"/>
        <v/>
      </c>
    </row>
    <row r="3699">
      <c r="D3699" s="226"/>
      <c r="H3699" s="474"/>
      <c r="I3699" s="474"/>
      <c r="J3699" s="475"/>
      <c r="K3699" s="275"/>
      <c r="L3699" s="82"/>
      <c r="M3699" s="672"/>
      <c r="N3699" s="242"/>
      <c r="O3699" s="242"/>
      <c r="P3699" s="242"/>
      <c r="Q3699" s="242"/>
      <c r="R3699" s="539"/>
      <c r="S3699" s="540"/>
      <c r="T3699" s="543"/>
      <c r="U3699" s="673" t="b">
        <v>0</v>
      </c>
      <c r="Z3699" t="b">
        <v>0</v>
      </c>
      <c r="AA3699" t="b">
        <v>0</v>
      </c>
      <c r="AC3699" s="82"/>
      <c r="AD3699" t="str">
        <f t="shared" si="71"/>
        <v/>
      </c>
      <c r="AE3699" t="str">
        <f t="shared" si="72"/>
        <v/>
      </c>
    </row>
    <row r="3700">
      <c r="D3700" s="226"/>
      <c r="H3700" s="474"/>
      <c r="I3700" s="474"/>
      <c r="J3700" s="475"/>
      <c r="K3700" s="275"/>
      <c r="L3700" s="82"/>
      <c r="M3700" s="672"/>
      <c r="N3700" s="242"/>
      <c r="O3700" s="242"/>
      <c r="P3700" s="242"/>
      <c r="Q3700" s="242"/>
      <c r="R3700" s="539"/>
      <c r="S3700" s="540"/>
      <c r="T3700" s="543"/>
      <c r="U3700" s="673" t="b">
        <v>0</v>
      </c>
      <c r="Z3700" t="b">
        <v>0</v>
      </c>
      <c r="AA3700" t="b">
        <v>0</v>
      </c>
      <c r="AC3700" s="82"/>
      <c r="AD3700" t="str">
        <f t="shared" si="71"/>
        <v/>
      </c>
      <c r="AE3700" t="str">
        <f t="shared" si="72"/>
        <v/>
      </c>
    </row>
    <row r="3701">
      <c r="D3701" s="226"/>
      <c r="H3701" s="474"/>
      <c r="I3701" s="474"/>
      <c r="J3701" s="475"/>
      <c r="K3701" s="275"/>
      <c r="L3701" s="82"/>
      <c r="M3701" s="672"/>
      <c r="N3701" s="242"/>
      <c r="O3701" s="242"/>
      <c r="P3701" s="242"/>
      <c r="Q3701" s="242"/>
      <c r="R3701" s="539"/>
      <c r="S3701" s="540"/>
      <c r="T3701" s="543"/>
      <c r="U3701" s="673" t="b">
        <v>0</v>
      </c>
      <c r="Z3701" t="b">
        <v>0</v>
      </c>
      <c r="AA3701" t="b">
        <v>0</v>
      </c>
      <c r="AC3701" s="82"/>
      <c r="AD3701" t="str">
        <f t="shared" si="71"/>
        <v/>
      </c>
      <c r="AE3701" t="str">
        <f t="shared" si="72"/>
        <v/>
      </c>
    </row>
    <row r="3702">
      <c r="D3702" s="226"/>
      <c r="H3702" s="474"/>
      <c r="I3702" s="474"/>
      <c r="J3702" s="475"/>
      <c r="K3702" s="275"/>
      <c r="L3702" s="82"/>
      <c r="M3702" s="672"/>
      <c r="N3702" s="242"/>
      <c r="O3702" s="242"/>
      <c r="P3702" s="242"/>
      <c r="Q3702" s="242"/>
      <c r="R3702" s="539"/>
      <c r="S3702" s="540"/>
      <c r="T3702" s="543"/>
      <c r="U3702" s="673" t="b">
        <v>0</v>
      </c>
      <c r="Z3702" t="b">
        <v>0</v>
      </c>
      <c r="AA3702" t="b">
        <v>0</v>
      </c>
      <c r="AC3702" s="82"/>
      <c r="AD3702" t="str">
        <f t="shared" si="71"/>
        <v/>
      </c>
      <c r="AE3702" t="str">
        <f t="shared" si="72"/>
        <v/>
      </c>
    </row>
    <row r="3703">
      <c r="D3703" s="226"/>
      <c r="H3703" s="474"/>
      <c r="I3703" s="474"/>
      <c r="J3703" s="475"/>
      <c r="K3703" s="275"/>
      <c r="L3703" s="82"/>
      <c r="M3703" s="672"/>
      <c r="N3703" s="242"/>
      <c r="O3703" s="242"/>
      <c r="P3703" s="242"/>
      <c r="Q3703" s="242"/>
      <c r="R3703" s="539"/>
      <c r="S3703" s="540"/>
      <c r="T3703" s="543"/>
      <c r="U3703" s="673" t="b">
        <v>0</v>
      </c>
      <c r="Z3703" t="b">
        <v>0</v>
      </c>
      <c r="AA3703" t="b">
        <v>0</v>
      </c>
      <c r="AC3703" s="82"/>
      <c r="AD3703" t="str">
        <f t="shared" si="71"/>
        <v/>
      </c>
      <c r="AE3703" t="str">
        <f t="shared" si="72"/>
        <v/>
      </c>
    </row>
    <row r="3704">
      <c r="D3704" s="226"/>
      <c r="H3704" s="474"/>
      <c r="I3704" s="474"/>
      <c r="J3704" s="475"/>
      <c r="K3704" s="275"/>
      <c r="L3704" s="82"/>
      <c r="M3704" s="672"/>
      <c r="N3704" s="242"/>
      <c r="O3704" s="242"/>
      <c r="P3704" s="242"/>
      <c r="Q3704" s="242"/>
      <c r="R3704" s="539"/>
      <c r="S3704" s="540"/>
      <c r="T3704" s="543"/>
      <c r="U3704" s="673" t="b">
        <v>0</v>
      </c>
      <c r="Z3704" t="b">
        <v>0</v>
      </c>
      <c r="AA3704" t="b">
        <v>0</v>
      </c>
      <c r="AC3704" s="82"/>
      <c r="AD3704" t="str">
        <f t="shared" si="71"/>
        <v/>
      </c>
      <c r="AE3704" t="str">
        <f t="shared" si="72"/>
        <v/>
      </c>
    </row>
    <row r="3705">
      <c r="D3705" s="226"/>
      <c r="H3705" s="474"/>
      <c r="I3705" s="474"/>
      <c r="J3705" s="475"/>
      <c r="K3705" s="275"/>
      <c r="L3705" s="82"/>
      <c r="M3705" s="672"/>
      <c r="N3705" s="242"/>
      <c r="O3705" s="242"/>
      <c r="P3705" s="242"/>
      <c r="Q3705" s="242"/>
      <c r="R3705" s="539"/>
      <c r="S3705" s="540"/>
      <c r="T3705" s="543"/>
      <c r="U3705" s="673" t="b">
        <v>0</v>
      </c>
      <c r="Z3705" t="b">
        <v>0</v>
      </c>
      <c r="AA3705" t="b">
        <v>0</v>
      </c>
      <c r="AC3705" s="82"/>
      <c r="AD3705" t="str">
        <f t="shared" si="71"/>
        <v/>
      </c>
      <c r="AE3705" t="str">
        <f t="shared" si="72"/>
        <v/>
      </c>
    </row>
    <row r="3706">
      <c r="D3706" s="226"/>
      <c r="H3706" s="474"/>
      <c r="I3706" s="474"/>
      <c r="J3706" s="475"/>
      <c r="K3706" s="275"/>
      <c r="L3706" s="82"/>
      <c r="M3706" s="672"/>
      <c r="N3706" s="242"/>
      <c r="O3706" s="242"/>
      <c r="P3706" s="242"/>
      <c r="Q3706" s="242"/>
      <c r="R3706" s="539"/>
      <c r="S3706" s="540"/>
      <c r="T3706" s="543"/>
      <c r="U3706" s="673" t="b">
        <v>0</v>
      </c>
      <c r="Z3706" t="b">
        <v>0</v>
      </c>
      <c r="AA3706" t="b">
        <v>0</v>
      </c>
      <c r="AC3706" s="82"/>
      <c r="AD3706" t="str">
        <f t="shared" si="71"/>
        <v/>
      </c>
      <c r="AE3706" t="str">
        <f t="shared" si="72"/>
        <v/>
      </c>
    </row>
    <row r="3707">
      <c r="D3707" s="226"/>
      <c r="H3707" s="474"/>
      <c r="I3707" s="474"/>
      <c r="J3707" s="475"/>
      <c r="K3707" s="275"/>
      <c r="L3707" s="82"/>
      <c r="M3707" s="672"/>
      <c r="N3707" s="242"/>
      <c r="O3707" s="242"/>
      <c r="P3707" s="242"/>
      <c r="Q3707" s="242"/>
      <c r="R3707" s="539"/>
      <c r="S3707" s="540"/>
      <c r="T3707" s="543"/>
      <c r="U3707" s="673" t="b">
        <v>0</v>
      </c>
      <c r="Z3707" t="b">
        <v>0</v>
      </c>
      <c r="AA3707" t="b">
        <v>0</v>
      </c>
      <c r="AC3707" s="82"/>
      <c r="AD3707" t="str">
        <f t="shared" si="71"/>
        <v/>
      </c>
      <c r="AE3707" t="str">
        <f t="shared" si="72"/>
        <v/>
      </c>
    </row>
    <row r="3708">
      <c r="D3708" s="226"/>
      <c r="H3708" s="474"/>
      <c r="I3708" s="474"/>
      <c r="J3708" s="475"/>
      <c r="K3708" s="275"/>
      <c r="L3708" s="82"/>
      <c r="M3708" s="672"/>
      <c r="N3708" s="242"/>
      <c r="O3708" s="242"/>
      <c r="P3708" s="242"/>
      <c r="Q3708" s="242"/>
      <c r="R3708" s="539"/>
      <c r="S3708" s="540"/>
      <c r="T3708" s="543"/>
      <c r="U3708" s="673" t="b">
        <v>0</v>
      </c>
      <c r="Z3708" t="b">
        <v>0</v>
      </c>
      <c r="AA3708" t="b">
        <v>0</v>
      </c>
      <c r="AC3708" s="82"/>
      <c r="AD3708" t="str">
        <f t="shared" si="71"/>
        <v/>
      </c>
      <c r="AE3708" t="str">
        <f t="shared" si="72"/>
        <v/>
      </c>
    </row>
    <row r="3709">
      <c r="D3709" s="226"/>
      <c r="H3709" s="474"/>
      <c r="I3709" s="474"/>
      <c r="J3709" s="475"/>
      <c r="K3709" s="275"/>
      <c r="L3709" s="82"/>
      <c r="M3709" s="672"/>
      <c r="N3709" s="242"/>
      <c r="O3709" s="242"/>
      <c r="P3709" s="242"/>
      <c r="Q3709" s="242"/>
      <c r="R3709" s="539"/>
      <c r="S3709" s="540"/>
      <c r="T3709" s="543"/>
      <c r="U3709" s="673" t="b">
        <v>0</v>
      </c>
      <c r="Z3709" t="b">
        <v>0</v>
      </c>
      <c r="AA3709" t="b">
        <v>0</v>
      </c>
      <c r="AC3709" s="82"/>
      <c r="AD3709" t="str">
        <f t="shared" si="71"/>
        <v/>
      </c>
      <c r="AE3709" t="str">
        <f t="shared" si="72"/>
        <v/>
      </c>
    </row>
    <row r="3710">
      <c r="D3710" s="226"/>
      <c r="H3710" s="474"/>
      <c r="I3710" s="474"/>
      <c r="J3710" s="475"/>
      <c r="K3710" s="275"/>
      <c r="L3710" s="82"/>
      <c r="M3710" s="672"/>
      <c r="N3710" s="242"/>
      <c r="O3710" s="242"/>
      <c r="P3710" s="242"/>
      <c r="Q3710" s="242"/>
      <c r="R3710" s="539"/>
      <c r="S3710" s="540"/>
      <c r="T3710" s="543"/>
      <c r="U3710" s="673" t="b">
        <v>0</v>
      </c>
      <c r="Z3710" t="b">
        <v>0</v>
      </c>
      <c r="AA3710" t="b">
        <v>0</v>
      </c>
      <c r="AC3710" s="82"/>
      <c r="AD3710" t="str">
        <f t="shared" si="71"/>
        <v/>
      </c>
      <c r="AE3710" t="str">
        <f t="shared" si="72"/>
        <v/>
      </c>
    </row>
    <row r="3711">
      <c r="D3711" s="226"/>
      <c r="H3711" s="474"/>
      <c r="I3711" s="474"/>
      <c r="J3711" s="475"/>
      <c r="K3711" s="275"/>
      <c r="L3711" s="82"/>
      <c r="M3711" s="672"/>
      <c r="N3711" s="242"/>
      <c r="O3711" s="242"/>
      <c r="P3711" s="242"/>
      <c r="Q3711" s="242"/>
      <c r="R3711" s="539"/>
      <c r="S3711" s="540"/>
      <c r="T3711" s="543"/>
      <c r="U3711" s="673" t="b">
        <v>0</v>
      </c>
      <c r="Z3711" t="b">
        <v>0</v>
      </c>
      <c r="AA3711" t="b">
        <v>0</v>
      </c>
      <c r="AC3711" s="82"/>
      <c r="AD3711" t="str">
        <f t="shared" si="71"/>
        <v/>
      </c>
      <c r="AE3711" t="str">
        <f t="shared" si="72"/>
        <v/>
      </c>
    </row>
    <row r="3712">
      <c r="D3712" s="226"/>
      <c r="H3712" s="474"/>
      <c r="I3712" s="474"/>
      <c r="J3712" s="475"/>
      <c r="K3712" s="275"/>
      <c r="L3712" s="82"/>
      <c r="M3712" s="672"/>
      <c r="N3712" s="242"/>
      <c r="O3712" s="242"/>
      <c r="P3712" s="242"/>
      <c r="Q3712" s="242"/>
      <c r="R3712" s="539"/>
      <c r="S3712" s="540"/>
      <c r="T3712" s="543"/>
      <c r="U3712" s="673" t="b">
        <v>0</v>
      </c>
      <c r="Z3712" t="b">
        <v>0</v>
      </c>
      <c r="AA3712" t="b">
        <v>0</v>
      </c>
      <c r="AC3712" s="82"/>
      <c r="AD3712" t="str">
        <f t="shared" si="71"/>
        <v/>
      </c>
      <c r="AE3712" t="str">
        <f t="shared" si="72"/>
        <v/>
      </c>
    </row>
    <row r="3713">
      <c r="D3713" s="226"/>
      <c r="H3713" s="474"/>
      <c r="I3713" s="474"/>
      <c r="J3713" s="475"/>
      <c r="K3713" s="275"/>
      <c r="L3713" s="82"/>
      <c r="M3713" s="672"/>
      <c r="N3713" s="242"/>
      <c r="O3713" s="242"/>
      <c r="P3713" s="242"/>
      <c r="Q3713" s="242"/>
      <c r="R3713" s="539"/>
      <c r="S3713" s="540"/>
      <c r="T3713" s="543"/>
      <c r="U3713" s="673" t="b">
        <v>0</v>
      </c>
      <c r="Z3713" t="b">
        <v>0</v>
      </c>
      <c r="AA3713" t="b">
        <v>0</v>
      </c>
      <c r="AC3713" s="82"/>
      <c r="AD3713" t="str">
        <f t="shared" si="71"/>
        <v/>
      </c>
      <c r="AE3713" t="str">
        <f t="shared" si="72"/>
        <v/>
      </c>
    </row>
    <row r="3714">
      <c r="D3714" s="226"/>
      <c r="H3714" s="474"/>
      <c r="I3714" s="474"/>
      <c r="J3714" s="475"/>
      <c r="K3714" s="275"/>
      <c r="L3714" s="82"/>
      <c r="M3714" s="672"/>
      <c r="N3714" s="242"/>
      <c r="O3714" s="242"/>
      <c r="P3714" s="242"/>
      <c r="Q3714" s="242"/>
      <c r="R3714" s="539"/>
      <c r="S3714" s="540"/>
      <c r="T3714" s="543"/>
      <c r="U3714" s="673" t="b">
        <v>0</v>
      </c>
      <c r="Z3714" t="b">
        <v>0</v>
      </c>
      <c r="AA3714" t="b">
        <v>0</v>
      </c>
      <c r="AC3714" s="82"/>
      <c r="AD3714" t="str">
        <f t="shared" si="71"/>
        <v/>
      </c>
      <c r="AE3714" t="str">
        <f t="shared" si="72"/>
        <v/>
      </c>
    </row>
    <row r="3715">
      <c r="D3715" s="226"/>
      <c r="H3715" s="474"/>
      <c r="I3715" s="474"/>
      <c r="J3715" s="475"/>
      <c r="K3715" s="275"/>
      <c r="L3715" s="82"/>
      <c r="M3715" s="672"/>
      <c r="N3715" s="242"/>
      <c r="O3715" s="242"/>
      <c r="P3715" s="242"/>
      <c r="Q3715" s="242"/>
      <c r="R3715" s="539"/>
      <c r="S3715" s="540"/>
      <c r="T3715" s="543"/>
      <c r="U3715" s="673" t="b">
        <v>0</v>
      </c>
      <c r="Z3715" t="b">
        <v>0</v>
      </c>
      <c r="AA3715" t="b">
        <v>0</v>
      </c>
      <c r="AC3715" s="82"/>
      <c r="AD3715" t="str">
        <f t="shared" si="71"/>
        <v/>
      </c>
      <c r="AE3715" t="str">
        <f t="shared" si="72"/>
        <v/>
      </c>
    </row>
    <row r="3716">
      <c r="D3716" s="226"/>
      <c r="H3716" s="474"/>
      <c r="I3716" s="474"/>
      <c r="J3716" s="475"/>
      <c r="K3716" s="275"/>
      <c r="L3716" s="82"/>
      <c r="M3716" s="672"/>
      <c r="N3716" s="242"/>
      <c r="O3716" s="242"/>
      <c r="P3716" s="242"/>
      <c r="Q3716" s="242"/>
      <c r="R3716" s="539"/>
      <c r="S3716" s="540"/>
      <c r="T3716" s="543"/>
      <c r="U3716" s="673" t="b">
        <v>0</v>
      </c>
      <c r="Z3716" t="b">
        <v>0</v>
      </c>
      <c r="AA3716" t="b">
        <v>0</v>
      </c>
      <c r="AC3716" s="82"/>
      <c r="AD3716" t="str">
        <f t="shared" si="71"/>
        <v/>
      </c>
      <c r="AE3716" t="str">
        <f t="shared" si="72"/>
        <v/>
      </c>
    </row>
    <row r="3717">
      <c r="D3717" s="226"/>
      <c r="H3717" s="474"/>
      <c r="I3717" s="474"/>
      <c r="J3717" s="475"/>
      <c r="K3717" s="275"/>
      <c r="L3717" s="82"/>
      <c r="M3717" s="672"/>
      <c r="N3717" s="242"/>
      <c r="O3717" s="242"/>
      <c r="P3717" s="242"/>
      <c r="Q3717" s="242"/>
      <c r="R3717" s="539"/>
      <c r="S3717" s="540"/>
      <c r="T3717" s="543"/>
      <c r="U3717" s="673" t="b">
        <v>0</v>
      </c>
      <c r="Z3717" t="b">
        <v>0</v>
      </c>
      <c r="AA3717" t="b">
        <v>0</v>
      </c>
      <c r="AC3717" s="82"/>
      <c r="AD3717" t="str">
        <f t="shared" si="71"/>
        <v/>
      </c>
      <c r="AE3717" t="str">
        <f t="shared" si="72"/>
        <v/>
      </c>
    </row>
    <row r="3718">
      <c r="D3718" s="226"/>
      <c r="H3718" s="474"/>
      <c r="I3718" s="474"/>
      <c r="J3718" s="475"/>
      <c r="K3718" s="275"/>
      <c r="L3718" s="82"/>
      <c r="M3718" s="672"/>
      <c r="N3718" s="242"/>
      <c r="O3718" s="242"/>
      <c r="P3718" s="242"/>
      <c r="Q3718" s="242"/>
      <c r="R3718" s="539"/>
      <c r="S3718" s="540"/>
      <c r="T3718" s="543"/>
      <c r="U3718" s="673" t="b">
        <v>0</v>
      </c>
      <c r="Z3718" t="b">
        <v>0</v>
      </c>
      <c r="AA3718" t="b">
        <v>0</v>
      </c>
      <c r="AC3718" s="82"/>
      <c r="AD3718" t="str">
        <f t="shared" si="71"/>
        <v/>
      </c>
      <c r="AE3718" t="str">
        <f t="shared" si="72"/>
        <v/>
      </c>
    </row>
    <row r="3719">
      <c r="D3719" s="226"/>
      <c r="H3719" s="474"/>
      <c r="I3719" s="474"/>
      <c r="J3719" s="475"/>
      <c r="K3719" s="275"/>
      <c r="L3719" s="82"/>
      <c r="M3719" s="672"/>
      <c r="N3719" s="242"/>
      <c r="O3719" s="242"/>
      <c r="P3719" s="242"/>
      <c r="Q3719" s="242"/>
      <c r="R3719" s="539"/>
      <c r="S3719" s="540"/>
      <c r="T3719" s="543"/>
      <c r="U3719" s="673" t="b">
        <v>0</v>
      </c>
      <c r="Z3719" t="b">
        <v>0</v>
      </c>
      <c r="AA3719" t="b">
        <v>0</v>
      </c>
      <c r="AC3719" s="82"/>
      <c r="AD3719" t="str">
        <f t="shared" si="71"/>
        <v/>
      </c>
      <c r="AE3719" t="str">
        <f t="shared" si="72"/>
        <v/>
      </c>
    </row>
    <row r="3720">
      <c r="D3720" s="226"/>
      <c r="H3720" s="474"/>
      <c r="I3720" s="474"/>
      <c r="J3720" s="475"/>
      <c r="K3720" s="275"/>
      <c r="L3720" s="82"/>
      <c r="M3720" s="672"/>
      <c r="N3720" s="242"/>
      <c r="O3720" s="242"/>
      <c r="P3720" s="242"/>
      <c r="Q3720" s="242"/>
      <c r="R3720" s="539"/>
      <c r="S3720" s="540"/>
      <c r="T3720" s="543"/>
      <c r="U3720" s="673" t="b">
        <v>0</v>
      </c>
      <c r="Z3720" t="b">
        <v>0</v>
      </c>
      <c r="AA3720" t="b">
        <v>0</v>
      </c>
      <c r="AC3720" s="82"/>
      <c r="AD3720" t="str">
        <f t="shared" si="71"/>
        <v/>
      </c>
      <c r="AE3720" t="str">
        <f t="shared" si="72"/>
        <v/>
      </c>
    </row>
    <row r="3721">
      <c r="D3721" s="226"/>
      <c r="H3721" s="474"/>
      <c r="I3721" s="474"/>
      <c r="J3721" s="475"/>
      <c r="K3721" s="275"/>
      <c r="L3721" s="82"/>
      <c r="M3721" s="672"/>
      <c r="N3721" s="242"/>
      <c r="O3721" s="242"/>
      <c r="P3721" s="242"/>
      <c r="Q3721" s="242"/>
      <c r="R3721" s="539"/>
      <c r="S3721" s="540"/>
      <c r="T3721" s="543"/>
      <c r="U3721" s="673" t="b">
        <v>0</v>
      </c>
      <c r="Z3721" t="b">
        <v>0</v>
      </c>
      <c r="AA3721" t="b">
        <v>0</v>
      </c>
      <c r="AC3721" s="82"/>
      <c r="AD3721" t="str">
        <f t="shared" si="71"/>
        <v/>
      </c>
      <c r="AE3721" t="str">
        <f t="shared" si="72"/>
        <v/>
      </c>
    </row>
    <row r="3722">
      <c r="D3722" s="226"/>
      <c r="H3722" s="474"/>
      <c r="I3722" s="474"/>
      <c r="J3722" s="475"/>
      <c r="K3722" s="275"/>
      <c r="L3722" s="82"/>
      <c r="M3722" s="672"/>
      <c r="N3722" s="242"/>
      <c r="O3722" s="242"/>
      <c r="P3722" s="242"/>
      <c r="Q3722" s="242"/>
      <c r="R3722" s="539"/>
      <c r="S3722" s="540"/>
      <c r="T3722" s="543"/>
      <c r="U3722" s="673" t="b">
        <v>0</v>
      </c>
      <c r="Z3722" t="b">
        <v>0</v>
      </c>
      <c r="AA3722" t="b">
        <v>0</v>
      </c>
      <c r="AC3722" s="82"/>
      <c r="AD3722" t="str">
        <f t="shared" si="71"/>
        <v/>
      </c>
      <c r="AE3722" t="str">
        <f t="shared" si="72"/>
        <v/>
      </c>
    </row>
    <row r="3723">
      <c r="D3723" s="226"/>
      <c r="H3723" s="474"/>
      <c r="I3723" s="474"/>
      <c r="J3723" s="475"/>
      <c r="K3723" s="275"/>
      <c r="L3723" s="82"/>
      <c r="M3723" s="672"/>
      <c r="N3723" s="242"/>
      <c r="O3723" s="242"/>
      <c r="P3723" s="242"/>
      <c r="Q3723" s="242"/>
      <c r="R3723" s="539"/>
      <c r="S3723" s="540"/>
      <c r="T3723" s="543"/>
      <c r="U3723" s="673" t="b">
        <v>0</v>
      </c>
      <c r="Z3723" t="b">
        <v>0</v>
      </c>
      <c r="AA3723" t="b">
        <v>0</v>
      </c>
      <c r="AC3723" s="82"/>
      <c r="AD3723" t="str">
        <f t="shared" si="71"/>
        <v/>
      </c>
      <c r="AE3723" t="str">
        <f t="shared" si="72"/>
        <v/>
      </c>
    </row>
    <row r="3724">
      <c r="D3724" s="226"/>
      <c r="H3724" s="474"/>
      <c r="I3724" s="474"/>
      <c r="J3724" s="475"/>
      <c r="K3724" s="275"/>
      <c r="L3724" s="82"/>
      <c r="M3724" s="672"/>
      <c r="N3724" s="242"/>
      <c r="O3724" s="242"/>
      <c r="P3724" s="242"/>
      <c r="Q3724" s="242"/>
      <c r="R3724" s="539"/>
      <c r="S3724" s="540"/>
      <c r="T3724" s="543"/>
      <c r="U3724" s="673" t="b">
        <v>0</v>
      </c>
      <c r="Z3724" t="b">
        <v>0</v>
      </c>
      <c r="AA3724" t="b">
        <v>0</v>
      </c>
      <c r="AC3724" s="82"/>
      <c r="AD3724" t="str">
        <f t="shared" si="71"/>
        <v/>
      </c>
      <c r="AE3724" t="str">
        <f t="shared" si="72"/>
        <v/>
      </c>
    </row>
    <row r="3725">
      <c r="D3725" s="226"/>
      <c r="H3725" s="474"/>
      <c r="I3725" s="474"/>
      <c r="J3725" s="475"/>
      <c r="K3725" s="275"/>
      <c r="L3725" s="82"/>
      <c r="M3725" s="672"/>
      <c r="N3725" s="242"/>
      <c r="O3725" s="242"/>
      <c r="P3725" s="242"/>
      <c r="Q3725" s="242"/>
      <c r="R3725" s="539"/>
      <c r="S3725" s="540"/>
      <c r="T3725" s="543"/>
      <c r="U3725" s="673" t="b">
        <v>0</v>
      </c>
      <c r="Z3725" t="b">
        <v>0</v>
      </c>
      <c r="AA3725" t="b">
        <v>0</v>
      </c>
      <c r="AC3725" s="82"/>
      <c r="AD3725" t="str">
        <f t="shared" si="71"/>
        <v/>
      </c>
      <c r="AE3725" t="str">
        <f t="shared" si="72"/>
        <v/>
      </c>
    </row>
    <row r="3726">
      <c r="D3726" s="226"/>
      <c r="H3726" s="474"/>
      <c r="I3726" s="474"/>
      <c r="J3726" s="475"/>
      <c r="K3726" s="275"/>
      <c r="L3726" s="82"/>
      <c r="M3726" s="672"/>
      <c r="N3726" s="242"/>
      <c r="O3726" s="242"/>
      <c r="P3726" s="242"/>
      <c r="Q3726" s="242"/>
      <c r="R3726" s="539"/>
      <c r="S3726" s="540"/>
      <c r="T3726" s="543"/>
      <c r="U3726" s="673" t="b">
        <v>0</v>
      </c>
      <c r="Z3726" t="b">
        <v>0</v>
      </c>
      <c r="AA3726" t="b">
        <v>0</v>
      </c>
      <c r="AC3726" s="82"/>
      <c r="AD3726" t="str">
        <f t="shared" si="71"/>
        <v/>
      </c>
      <c r="AE3726" t="str">
        <f t="shared" si="72"/>
        <v/>
      </c>
    </row>
    <row r="3727">
      <c r="D3727" s="226"/>
      <c r="H3727" s="474"/>
      <c r="I3727" s="474"/>
      <c r="J3727" s="475"/>
      <c r="K3727" s="275"/>
      <c r="L3727" s="82"/>
      <c r="M3727" s="672"/>
      <c r="N3727" s="242"/>
      <c r="O3727" s="242"/>
      <c r="P3727" s="242"/>
      <c r="Q3727" s="242"/>
      <c r="R3727" s="539"/>
      <c r="S3727" s="540"/>
      <c r="T3727" s="543"/>
      <c r="U3727" s="673" t="b">
        <v>0</v>
      </c>
      <c r="Z3727" t="b">
        <v>0</v>
      </c>
      <c r="AA3727" t="b">
        <v>0</v>
      </c>
      <c r="AC3727" s="82"/>
      <c r="AD3727" t="str">
        <f t="shared" si="71"/>
        <v/>
      </c>
      <c r="AE3727" t="str">
        <f t="shared" si="72"/>
        <v/>
      </c>
    </row>
    <row r="3728">
      <c r="D3728" s="226"/>
      <c r="H3728" s="474"/>
      <c r="I3728" s="474"/>
      <c r="J3728" s="475"/>
      <c r="K3728" s="275"/>
      <c r="L3728" s="82"/>
      <c r="M3728" s="672"/>
      <c r="N3728" s="242"/>
      <c r="O3728" s="242"/>
      <c r="P3728" s="242"/>
      <c r="Q3728" s="242"/>
      <c r="R3728" s="539"/>
      <c r="S3728" s="540"/>
      <c r="T3728" s="543"/>
      <c r="U3728" s="673" t="b">
        <v>0</v>
      </c>
      <c r="Z3728" t="b">
        <v>0</v>
      </c>
      <c r="AA3728" t="b">
        <v>0</v>
      </c>
      <c r="AC3728" s="82"/>
      <c r="AD3728" t="str">
        <f t="shared" si="71"/>
        <v/>
      </c>
      <c r="AE3728" t="str">
        <f t="shared" si="72"/>
        <v/>
      </c>
    </row>
    <row r="3729">
      <c r="D3729" s="226"/>
      <c r="H3729" s="474"/>
      <c r="I3729" s="474"/>
      <c r="J3729" s="475"/>
      <c r="K3729" s="275"/>
      <c r="L3729" s="82"/>
      <c r="M3729" s="672"/>
      <c r="N3729" s="242"/>
      <c r="O3729" s="242"/>
      <c r="P3729" s="242"/>
      <c r="Q3729" s="242"/>
      <c r="R3729" s="539"/>
      <c r="S3729" s="540"/>
      <c r="T3729" s="543"/>
      <c r="U3729" s="673" t="b">
        <v>0</v>
      </c>
      <c r="Z3729" t="b">
        <v>0</v>
      </c>
      <c r="AA3729" t="b">
        <v>0</v>
      </c>
      <c r="AC3729" s="82"/>
      <c r="AD3729" t="str">
        <f t="shared" si="71"/>
        <v/>
      </c>
      <c r="AE3729" t="str">
        <f t="shared" si="72"/>
        <v/>
      </c>
    </row>
    <row r="3730">
      <c r="D3730" s="226"/>
      <c r="H3730" s="474"/>
      <c r="I3730" s="474"/>
      <c r="J3730" s="475"/>
      <c r="K3730" s="275"/>
      <c r="L3730" s="82"/>
      <c r="M3730" s="672"/>
      <c r="N3730" s="242"/>
      <c r="O3730" s="242"/>
      <c r="P3730" s="242"/>
      <c r="Q3730" s="242"/>
      <c r="R3730" s="539"/>
      <c r="S3730" s="540"/>
      <c r="T3730" s="543"/>
      <c r="U3730" s="673" t="b">
        <v>0</v>
      </c>
      <c r="Z3730" t="b">
        <v>0</v>
      </c>
      <c r="AA3730" t="b">
        <v>0</v>
      </c>
      <c r="AC3730" s="82"/>
      <c r="AD3730" t="str">
        <f t="shared" si="71"/>
        <v/>
      </c>
      <c r="AE3730" t="str">
        <f t="shared" si="72"/>
        <v/>
      </c>
    </row>
    <row r="3731">
      <c r="D3731" s="226"/>
      <c r="H3731" s="474"/>
      <c r="I3731" s="474"/>
      <c r="J3731" s="475"/>
      <c r="K3731" s="275"/>
      <c r="L3731" s="82"/>
      <c r="M3731" s="672"/>
      <c r="N3731" s="242"/>
      <c r="O3731" s="242"/>
      <c r="P3731" s="242"/>
      <c r="Q3731" s="242"/>
      <c r="R3731" s="539"/>
      <c r="S3731" s="540"/>
      <c r="T3731" s="543"/>
      <c r="U3731" s="673" t="b">
        <v>0</v>
      </c>
      <c r="Z3731" t="b">
        <v>0</v>
      </c>
      <c r="AA3731" t="b">
        <v>0</v>
      </c>
      <c r="AC3731" s="82"/>
      <c r="AD3731" t="str">
        <f t="shared" si="71"/>
        <v/>
      </c>
      <c r="AE3731" t="str">
        <f t="shared" si="72"/>
        <v/>
      </c>
    </row>
    <row r="3732">
      <c r="D3732" s="226"/>
      <c r="H3732" s="474"/>
      <c r="I3732" s="474"/>
      <c r="J3732" s="475"/>
      <c r="K3732" s="275"/>
      <c r="L3732" s="82"/>
      <c r="M3732" s="672"/>
      <c r="N3732" s="242"/>
      <c r="O3732" s="242"/>
      <c r="P3732" s="242"/>
      <c r="Q3732" s="242"/>
      <c r="R3732" s="539"/>
      <c r="S3732" s="540"/>
      <c r="T3732" s="543"/>
      <c r="U3732" s="673" t="b">
        <v>0</v>
      </c>
      <c r="Z3732" t="b">
        <v>0</v>
      </c>
      <c r="AA3732" t="b">
        <v>0</v>
      </c>
      <c r="AC3732" s="82"/>
      <c r="AD3732" t="str">
        <f t="shared" si="71"/>
        <v/>
      </c>
      <c r="AE3732" t="str">
        <f t="shared" si="72"/>
        <v/>
      </c>
    </row>
    <row r="3733">
      <c r="D3733" s="226"/>
      <c r="H3733" s="474"/>
      <c r="I3733" s="474"/>
      <c r="J3733" s="475"/>
      <c r="K3733" s="275"/>
      <c r="L3733" s="82"/>
      <c r="M3733" s="672"/>
      <c r="N3733" s="242"/>
      <c r="O3733" s="242"/>
      <c r="P3733" s="242"/>
      <c r="Q3733" s="242"/>
      <c r="R3733" s="539"/>
      <c r="S3733" s="540"/>
      <c r="T3733" s="543"/>
      <c r="U3733" s="673" t="b">
        <v>0</v>
      </c>
      <c r="Z3733" t="b">
        <v>0</v>
      </c>
      <c r="AA3733" t="b">
        <v>0</v>
      </c>
      <c r="AC3733" s="82"/>
      <c r="AD3733" t="str">
        <f t="shared" si="71"/>
        <v/>
      </c>
      <c r="AE3733" t="str">
        <f t="shared" si="72"/>
        <v/>
      </c>
    </row>
    <row r="3734">
      <c r="D3734" s="226"/>
      <c r="H3734" s="474"/>
      <c r="I3734" s="474"/>
      <c r="J3734" s="475"/>
      <c r="K3734" s="275"/>
      <c r="L3734" s="82"/>
      <c r="M3734" s="672"/>
      <c r="N3734" s="242"/>
      <c r="O3734" s="242"/>
      <c r="P3734" s="242"/>
      <c r="Q3734" s="242"/>
      <c r="R3734" s="539"/>
      <c r="S3734" s="540"/>
      <c r="T3734" s="543"/>
      <c r="U3734" s="673" t="b">
        <v>0</v>
      </c>
      <c r="Z3734" t="b">
        <v>0</v>
      </c>
      <c r="AA3734" t="b">
        <v>0</v>
      </c>
      <c r="AC3734" s="82"/>
      <c r="AD3734" t="str">
        <f t="shared" si="71"/>
        <v/>
      </c>
      <c r="AE3734" t="str">
        <f t="shared" si="72"/>
        <v/>
      </c>
    </row>
    <row r="3735">
      <c r="D3735" s="226"/>
      <c r="H3735" s="474"/>
      <c r="I3735" s="474"/>
      <c r="J3735" s="475"/>
      <c r="K3735" s="275"/>
      <c r="L3735" s="82"/>
      <c r="M3735" s="672"/>
      <c r="N3735" s="242"/>
      <c r="O3735" s="242"/>
      <c r="P3735" s="242"/>
      <c r="Q3735" s="242"/>
      <c r="R3735" s="539"/>
      <c r="S3735" s="540"/>
      <c r="T3735" s="543"/>
      <c r="U3735" s="673" t="b">
        <v>0</v>
      </c>
      <c r="Z3735" t="b">
        <v>0</v>
      </c>
      <c r="AA3735" t="b">
        <v>0</v>
      </c>
      <c r="AC3735" s="82"/>
      <c r="AD3735" t="str">
        <f t="shared" si="71"/>
        <v/>
      </c>
      <c r="AE3735" t="str">
        <f t="shared" si="72"/>
        <v/>
      </c>
    </row>
    <row r="3736">
      <c r="D3736" s="226"/>
      <c r="H3736" s="474"/>
      <c r="I3736" s="474"/>
      <c r="J3736" s="475"/>
      <c r="K3736" s="275"/>
      <c r="L3736" s="82"/>
      <c r="M3736" s="672"/>
      <c r="N3736" s="242"/>
      <c r="O3736" s="242"/>
      <c r="P3736" s="242"/>
      <c r="Q3736" s="242"/>
      <c r="R3736" s="539"/>
      <c r="S3736" s="540"/>
      <c r="T3736" s="543"/>
      <c r="U3736" s="673" t="b">
        <v>0</v>
      </c>
      <c r="Z3736" t="b">
        <v>0</v>
      </c>
      <c r="AA3736" t="b">
        <v>0</v>
      </c>
      <c r="AC3736" s="82"/>
      <c r="AD3736" t="str">
        <f t="shared" si="71"/>
        <v/>
      </c>
      <c r="AE3736" t="str">
        <f t="shared" si="72"/>
        <v/>
      </c>
    </row>
    <row r="3737">
      <c r="D3737" s="226"/>
      <c r="H3737" s="474"/>
      <c r="I3737" s="474"/>
      <c r="J3737" s="475"/>
      <c r="K3737" s="275"/>
      <c r="L3737" s="82"/>
      <c r="M3737" s="672"/>
      <c r="N3737" s="242"/>
      <c r="O3737" s="242"/>
      <c r="P3737" s="242"/>
      <c r="Q3737" s="242"/>
      <c r="R3737" s="539"/>
      <c r="S3737" s="540"/>
      <c r="T3737" s="543"/>
      <c r="U3737" s="673" t="b">
        <v>0</v>
      </c>
      <c r="Z3737" t="b">
        <v>0</v>
      </c>
      <c r="AA3737" t="b">
        <v>0</v>
      </c>
      <c r="AC3737" s="82"/>
      <c r="AD3737" t="str">
        <f t="shared" si="71"/>
        <v/>
      </c>
      <c r="AE3737" t="str">
        <f t="shared" si="72"/>
        <v/>
      </c>
    </row>
    <row r="3738">
      <c r="D3738" s="226"/>
      <c r="H3738" s="474"/>
      <c r="I3738" s="474"/>
      <c r="J3738" s="475"/>
      <c r="K3738" s="275"/>
      <c r="L3738" s="82"/>
      <c r="M3738" s="672"/>
      <c r="N3738" s="242"/>
      <c r="O3738" s="242"/>
      <c r="P3738" s="242"/>
      <c r="Q3738" s="242"/>
      <c r="R3738" s="539"/>
      <c r="S3738" s="540"/>
      <c r="T3738" s="543"/>
      <c r="U3738" s="673" t="b">
        <v>0</v>
      </c>
      <c r="Z3738" t="b">
        <v>0</v>
      </c>
      <c r="AA3738" t="b">
        <v>0</v>
      </c>
      <c r="AC3738" s="82"/>
      <c r="AD3738" t="str">
        <f t="shared" si="71"/>
        <v/>
      </c>
      <c r="AE3738" t="str">
        <f t="shared" si="72"/>
        <v/>
      </c>
    </row>
    <row r="3739">
      <c r="D3739" s="226"/>
      <c r="H3739" s="474"/>
      <c r="I3739" s="474"/>
      <c r="J3739" s="475"/>
      <c r="K3739" s="275"/>
      <c r="L3739" s="82"/>
      <c r="M3739" s="672"/>
      <c r="N3739" s="242"/>
      <c r="O3739" s="242"/>
      <c r="P3739" s="242"/>
      <c r="Q3739" s="242"/>
      <c r="R3739" s="539"/>
      <c r="S3739" s="540"/>
      <c r="T3739" s="543"/>
      <c r="U3739" s="673" t="b">
        <v>0</v>
      </c>
      <c r="Z3739" t="b">
        <v>0</v>
      </c>
      <c r="AA3739" t="b">
        <v>0</v>
      </c>
      <c r="AC3739" s="82"/>
      <c r="AD3739" t="str">
        <f t="shared" si="71"/>
        <v/>
      </c>
      <c r="AE3739" t="str">
        <f t="shared" si="72"/>
        <v/>
      </c>
    </row>
    <row r="3740">
      <c r="D3740" s="226"/>
      <c r="H3740" s="474"/>
      <c r="I3740" s="474"/>
      <c r="J3740" s="475"/>
      <c r="K3740" s="275"/>
      <c r="L3740" s="82"/>
      <c r="M3740" s="672"/>
      <c r="N3740" s="242"/>
      <c r="O3740" s="242"/>
      <c r="P3740" s="242"/>
      <c r="Q3740" s="242"/>
      <c r="R3740" s="539"/>
      <c r="S3740" s="540"/>
      <c r="T3740" s="543"/>
      <c r="U3740" s="673" t="b">
        <v>0</v>
      </c>
      <c r="Z3740" t="b">
        <v>0</v>
      </c>
      <c r="AA3740" t="b">
        <v>0</v>
      </c>
      <c r="AC3740" s="82"/>
      <c r="AD3740" t="str">
        <f t="shared" si="71"/>
        <v/>
      </c>
      <c r="AE3740" t="str">
        <f t="shared" si="72"/>
        <v/>
      </c>
    </row>
    <row r="3741">
      <c r="D3741" s="226"/>
      <c r="H3741" s="474"/>
      <c r="I3741" s="474"/>
      <c r="J3741" s="475"/>
      <c r="K3741" s="275"/>
      <c r="L3741" s="82"/>
      <c r="M3741" s="672"/>
      <c r="N3741" s="242"/>
      <c r="O3741" s="242"/>
      <c r="P3741" s="242"/>
      <c r="Q3741" s="242"/>
      <c r="R3741" s="539"/>
      <c r="S3741" s="540"/>
      <c r="T3741" s="543"/>
      <c r="U3741" s="673" t="b">
        <v>0</v>
      </c>
      <c r="Z3741" t="b">
        <v>0</v>
      </c>
      <c r="AA3741" t="b">
        <v>0</v>
      </c>
      <c r="AC3741" s="82"/>
      <c r="AD3741" t="str">
        <f t="shared" si="71"/>
        <v/>
      </c>
      <c r="AE3741" t="str">
        <f t="shared" si="72"/>
        <v/>
      </c>
    </row>
    <row r="3742">
      <c r="D3742" s="226"/>
      <c r="H3742" s="474"/>
      <c r="I3742" s="474"/>
      <c r="J3742" s="475"/>
      <c r="K3742" s="275"/>
      <c r="L3742" s="82"/>
      <c r="M3742" s="672"/>
      <c r="N3742" s="242"/>
      <c r="O3742" s="242"/>
      <c r="P3742" s="242"/>
      <c r="Q3742" s="242"/>
      <c r="R3742" s="539"/>
      <c r="S3742" s="540"/>
      <c r="T3742" s="543"/>
      <c r="U3742" s="673" t="b">
        <v>0</v>
      </c>
      <c r="Z3742" t="b">
        <v>0</v>
      </c>
      <c r="AA3742" t="b">
        <v>0</v>
      </c>
      <c r="AC3742" s="82"/>
      <c r="AD3742" t="str">
        <f t="shared" si="71"/>
        <v/>
      </c>
      <c r="AE3742" t="str">
        <f t="shared" si="72"/>
        <v/>
      </c>
    </row>
    <row r="3743">
      <c r="D3743" s="226"/>
      <c r="H3743" s="474"/>
      <c r="I3743" s="474"/>
      <c r="J3743" s="475"/>
      <c r="K3743" s="275"/>
      <c r="L3743" s="82"/>
      <c r="M3743" s="672"/>
      <c r="N3743" s="242"/>
      <c r="O3743" s="242"/>
      <c r="P3743" s="242"/>
      <c r="Q3743" s="242"/>
      <c r="R3743" s="539"/>
      <c r="S3743" s="540"/>
      <c r="T3743" s="543"/>
      <c r="U3743" s="673" t="b">
        <v>0</v>
      </c>
      <c r="Z3743" t="b">
        <v>0</v>
      </c>
      <c r="AA3743" t="b">
        <v>0</v>
      </c>
      <c r="AC3743" s="82"/>
      <c r="AD3743" t="str">
        <f t="shared" si="71"/>
        <v/>
      </c>
      <c r="AE3743" t="str">
        <f t="shared" si="72"/>
        <v/>
      </c>
    </row>
    <row r="3744">
      <c r="D3744" s="226"/>
      <c r="H3744" s="474"/>
      <c r="I3744" s="474"/>
      <c r="J3744" s="475"/>
      <c r="K3744" s="275"/>
      <c r="L3744" s="82"/>
      <c r="M3744" s="672"/>
      <c r="N3744" s="242"/>
      <c r="O3744" s="242"/>
      <c r="P3744" s="242"/>
      <c r="Q3744" s="242"/>
      <c r="R3744" s="539"/>
      <c r="S3744" s="540"/>
      <c r="T3744" s="543"/>
      <c r="U3744" s="673" t="b">
        <v>0</v>
      </c>
      <c r="Z3744" t="b">
        <v>0</v>
      </c>
      <c r="AA3744" t="b">
        <v>0</v>
      </c>
      <c r="AC3744" s="82"/>
      <c r="AD3744" t="str">
        <f t="shared" si="71"/>
        <v/>
      </c>
      <c r="AE3744" t="str">
        <f t="shared" si="72"/>
        <v/>
      </c>
    </row>
    <row r="3745">
      <c r="D3745" s="226"/>
      <c r="H3745" s="474"/>
      <c r="I3745" s="474"/>
      <c r="J3745" s="475"/>
      <c r="K3745" s="275"/>
      <c r="L3745" s="82"/>
      <c r="M3745" s="672"/>
      <c r="N3745" s="242"/>
      <c r="O3745" s="242"/>
      <c r="P3745" s="242"/>
      <c r="Q3745" s="242"/>
      <c r="R3745" s="539"/>
      <c r="S3745" s="540"/>
      <c r="T3745" s="543"/>
      <c r="U3745" s="673" t="b">
        <v>0</v>
      </c>
      <c r="Z3745" t="b">
        <v>0</v>
      </c>
      <c r="AA3745" t="b">
        <v>0</v>
      </c>
      <c r="AC3745" s="82"/>
      <c r="AD3745" t="str">
        <f t="shared" si="71"/>
        <v/>
      </c>
      <c r="AE3745" t="str">
        <f t="shared" si="72"/>
        <v/>
      </c>
    </row>
    <row r="3746">
      <c r="D3746" s="226"/>
      <c r="H3746" s="474"/>
      <c r="I3746" s="474"/>
      <c r="J3746" s="475"/>
      <c r="K3746" s="275"/>
      <c r="L3746" s="82"/>
      <c r="M3746" s="672"/>
      <c r="N3746" s="242"/>
      <c r="O3746" s="242"/>
      <c r="P3746" s="242"/>
      <c r="Q3746" s="242"/>
      <c r="R3746" s="539"/>
      <c r="S3746" s="540"/>
      <c r="T3746" s="543"/>
      <c r="U3746" s="673" t="b">
        <v>0</v>
      </c>
      <c r="Z3746" t="b">
        <v>0</v>
      </c>
      <c r="AA3746" t="b">
        <v>0</v>
      </c>
      <c r="AC3746" s="82"/>
      <c r="AD3746" t="str">
        <f t="shared" si="71"/>
        <v/>
      </c>
      <c r="AE3746" t="str">
        <f t="shared" si="72"/>
        <v/>
      </c>
    </row>
    <row r="3747">
      <c r="D3747" s="226"/>
      <c r="H3747" s="474"/>
      <c r="I3747" s="474"/>
      <c r="J3747" s="475"/>
      <c r="K3747" s="275"/>
      <c r="L3747" s="82"/>
      <c r="M3747" s="672"/>
      <c r="N3747" s="242"/>
      <c r="O3747" s="242"/>
      <c r="P3747" s="242"/>
      <c r="Q3747" s="242"/>
      <c r="R3747" s="539"/>
      <c r="S3747" s="540"/>
      <c r="T3747" s="543"/>
      <c r="U3747" s="673" t="b">
        <v>0</v>
      </c>
      <c r="Z3747" t="b">
        <v>0</v>
      </c>
      <c r="AA3747" t="b">
        <v>0</v>
      </c>
      <c r="AC3747" s="82"/>
      <c r="AD3747" t="str">
        <f t="shared" si="71"/>
        <v/>
      </c>
      <c r="AE3747" t="str">
        <f t="shared" si="72"/>
        <v/>
      </c>
    </row>
    <row r="3748">
      <c r="D3748" s="226"/>
      <c r="H3748" s="474"/>
      <c r="I3748" s="474"/>
      <c r="J3748" s="475"/>
      <c r="K3748" s="275"/>
      <c r="L3748" s="82"/>
      <c r="M3748" s="672"/>
      <c r="N3748" s="242"/>
      <c r="O3748" s="242"/>
      <c r="P3748" s="242"/>
      <c r="Q3748" s="242"/>
      <c r="R3748" s="539"/>
      <c r="S3748" s="540"/>
      <c r="T3748" s="543"/>
      <c r="U3748" s="673" t="b">
        <v>0</v>
      </c>
      <c r="Z3748" t="b">
        <v>0</v>
      </c>
      <c r="AA3748" t="b">
        <v>0</v>
      </c>
      <c r="AC3748" s="82"/>
      <c r="AD3748" t="str">
        <f t="shared" si="71"/>
        <v/>
      </c>
      <c r="AE3748" t="str">
        <f t="shared" si="72"/>
        <v/>
      </c>
    </row>
    <row r="3749">
      <c r="D3749" s="226"/>
      <c r="H3749" s="474"/>
      <c r="I3749" s="474"/>
      <c r="J3749" s="475"/>
      <c r="K3749" s="275"/>
      <c r="L3749" s="82"/>
      <c r="M3749" s="672"/>
      <c r="N3749" s="242"/>
      <c r="O3749" s="242"/>
      <c r="P3749" s="242"/>
      <c r="Q3749" s="242"/>
      <c r="R3749" s="539"/>
      <c r="S3749" s="540"/>
      <c r="T3749" s="543"/>
      <c r="U3749" s="673" t="b">
        <v>0</v>
      </c>
      <c r="Z3749" t="b">
        <v>0</v>
      </c>
      <c r="AA3749" t="b">
        <v>0</v>
      </c>
      <c r="AC3749" s="82"/>
      <c r="AD3749" t="str">
        <f t="shared" si="71"/>
        <v/>
      </c>
      <c r="AE3749" t="str">
        <f t="shared" si="72"/>
        <v/>
      </c>
    </row>
    <row r="3750">
      <c r="D3750" s="226"/>
      <c r="H3750" s="474"/>
      <c r="I3750" s="474"/>
      <c r="J3750" s="475"/>
      <c r="K3750" s="275"/>
      <c r="L3750" s="82"/>
      <c r="M3750" s="672"/>
      <c r="N3750" s="242"/>
      <c r="O3750" s="242"/>
      <c r="P3750" s="242"/>
      <c r="Q3750" s="242"/>
      <c r="R3750" s="539"/>
      <c r="S3750" s="540"/>
      <c r="T3750" s="543"/>
      <c r="U3750" s="673" t="b">
        <v>0</v>
      </c>
      <c r="Z3750" t="b">
        <v>0</v>
      </c>
      <c r="AA3750" t="b">
        <v>0</v>
      </c>
      <c r="AC3750" s="82"/>
      <c r="AD3750" t="str">
        <f t="shared" si="71"/>
        <v/>
      </c>
      <c r="AE3750" t="str">
        <f t="shared" si="72"/>
        <v/>
      </c>
    </row>
    <row r="3751">
      <c r="D3751" s="226"/>
      <c r="H3751" s="474"/>
      <c r="I3751" s="474"/>
      <c r="J3751" s="475"/>
      <c r="K3751" s="275"/>
      <c r="L3751" s="82"/>
      <c r="M3751" s="672"/>
      <c r="N3751" s="242"/>
      <c r="O3751" s="242"/>
      <c r="P3751" s="242"/>
      <c r="Q3751" s="242"/>
      <c r="R3751" s="539"/>
      <c r="S3751" s="540"/>
      <c r="T3751" s="543"/>
      <c r="U3751" s="673" t="b">
        <v>0</v>
      </c>
      <c r="Z3751" t="b">
        <v>0</v>
      </c>
      <c r="AA3751" t="b">
        <v>0</v>
      </c>
      <c r="AC3751" s="82"/>
      <c r="AD3751" t="str">
        <f t="shared" si="71"/>
        <v/>
      </c>
      <c r="AE3751" t="str">
        <f t="shared" si="72"/>
        <v/>
      </c>
    </row>
    <row r="3752">
      <c r="D3752" s="226"/>
      <c r="H3752" s="474"/>
      <c r="I3752" s="474"/>
      <c r="J3752" s="475"/>
      <c r="K3752" s="275"/>
      <c r="L3752" s="82"/>
      <c r="M3752" s="672"/>
      <c r="N3752" s="242"/>
      <c r="O3752" s="242"/>
      <c r="P3752" s="242"/>
      <c r="Q3752" s="242"/>
      <c r="R3752" s="539"/>
      <c r="S3752" s="540"/>
      <c r="T3752" s="543"/>
      <c r="U3752" s="673" t="b">
        <v>0</v>
      </c>
      <c r="Z3752" t="b">
        <v>0</v>
      </c>
      <c r="AA3752" t="b">
        <v>0</v>
      </c>
      <c r="AC3752" s="82"/>
      <c r="AD3752" t="str">
        <f t="shared" si="71"/>
        <v/>
      </c>
      <c r="AE3752" t="str">
        <f t="shared" si="72"/>
        <v/>
      </c>
    </row>
    <row r="3753">
      <c r="D3753" s="226"/>
      <c r="H3753" s="474"/>
      <c r="I3753" s="474"/>
      <c r="J3753" s="475"/>
      <c r="K3753" s="275"/>
      <c r="L3753" s="82"/>
      <c r="M3753" s="672"/>
      <c r="N3753" s="242"/>
      <c r="O3753" s="242"/>
      <c r="P3753" s="242"/>
      <c r="Q3753" s="242"/>
      <c r="R3753" s="539"/>
      <c r="S3753" s="540"/>
      <c r="T3753" s="543"/>
      <c r="U3753" s="673" t="b">
        <v>0</v>
      </c>
      <c r="Z3753" t="b">
        <v>0</v>
      </c>
      <c r="AA3753" t="b">
        <v>0</v>
      </c>
      <c r="AC3753" s="82"/>
      <c r="AD3753" t="str">
        <f t="shared" si="71"/>
        <v/>
      </c>
      <c r="AE3753" t="str">
        <f t="shared" si="72"/>
        <v/>
      </c>
    </row>
    <row r="3754">
      <c r="D3754" s="226"/>
      <c r="H3754" s="474"/>
      <c r="I3754" s="474"/>
      <c r="J3754" s="475"/>
      <c r="K3754" s="275"/>
      <c r="L3754" s="82"/>
      <c r="M3754" s="672"/>
      <c r="N3754" s="242"/>
      <c r="O3754" s="242"/>
      <c r="P3754" s="242"/>
      <c r="Q3754" s="242"/>
      <c r="R3754" s="539"/>
      <c r="S3754" s="540"/>
      <c r="T3754" s="543"/>
      <c r="U3754" s="673" t="b">
        <v>0</v>
      </c>
      <c r="Z3754" t="b">
        <v>0</v>
      </c>
      <c r="AA3754" t="b">
        <v>0</v>
      </c>
      <c r="AC3754" s="82"/>
      <c r="AD3754" t="str">
        <f t="shared" si="71"/>
        <v/>
      </c>
      <c r="AE3754" t="str">
        <f t="shared" si="72"/>
        <v/>
      </c>
    </row>
    <row r="3755">
      <c r="D3755" s="226"/>
      <c r="H3755" s="474"/>
      <c r="I3755" s="474"/>
      <c r="J3755" s="475"/>
      <c r="K3755" s="275"/>
      <c r="L3755" s="82"/>
      <c r="M3755" s="672"/>
      <c r="N3755" s="242"/>
      <c r="O3755" s="242"/>
      <c r="P3755" s="242"/>
      <c r="Q3755" s="242"/>
      <c r="R3755" s="539"/>
      <c r="S3755" s="540"/>
      <c r="T3755" s="543"/>
      <c r="U3755" s="673" t="b">
        <v>0</v>
      </c>
      <c r="Z3755" t="b">
        <v>0</v>
      </c>
      <c r="AA3755" t="b">
        <v>0</v>
      </c>
      <c r="AC3755" s="82"/>
      <c r="AD3755" t="str">
        <f t="shared" si="71"/>
        <v/>
      </c>
      <c r="AE3755" t="str">
        <f t="shared" si="72"/>
        <v/>
      </c>
    </row>
    <row r="3756">
      <c r="D3756" s="226"/>
      <c r="H3756" s="474"/>
      <c r="I3756" s="474"/>
      <c r="J3756" s="475"/>
      <c r="K3756" s="275"/>
      <c r="L3756" s="82"/>
      <c r="M3756" s="672"/>
      <c r="N3756" s="242"/>
      <c r="O3756" s="242"/>
      <c r="P3756" s="242"/>
      <c r="Q3756" s="242"/>
      <c r="R3756" s="539"/>
      <c r="S3756" s="540"/>
      <c r="T3756" s="543"/>
      <c r="U3756" s="673" t="b">
        <v>0</v>
      </c>
      <c r="Z3756" t="b">
        <v>0</v>
      </c>
      <c r="AA3756" t="b">
        <v>0</v>
      </c>
      <c r="AC3756" s="82"/>
      <c r="AD3756" t="str">
        <f t="shared" si="71"/>
        <v/>
      </c>
      <c r="AE3756" t="str">
        <f t="shared" si="72"/>
        <v/>
      </c>
    </row>
    <row r="3757">
      <c r="D3757" s="226"/>
      <c r="H3757" s="474"/>
      <c r="I3757" s="474"/>
      <c r="J3757" s="475"/>
      <c r="K3757" s="275"/>
      <c r="L3757" s="82"/>
      <c r="M3757" s="672"/>
      <c r="N3757" s="242"/>
      <c r="O3757" s="242"/>
      <c r="P3757" s="242"/>
      <c r="Q3757" s="242"/>
      <c r="R3757" s="539"/>
      <c r="S3757" s="540"/>
      <c r="T3757" s="543"/>
      <c r="U3757" s="673" t="b">
        <v>0</v>
      </c>
      <c r="Z3757" t="b">
        <v>0</v>
      </c>
      <c r="AA3757" t="b">
        <v>0</v>
      </c>
      <c r="AC3757" s="82"/>
      <c r="AD3757" t="str">
        <f t="shared" si="71"/>
        <v/>
      </c>
      <c r="AE3757" t="str">
        <f t="shared" si="72"/>
        <v/>
      </c>
    </row>
    <row r="3758">
      <c r="D3758" s="226"/>
      <c r="H3758" s="474"/>
      <c r="I3758" s="474"/>
      <c r="J3758" s="475"/>
      <c r="K3758" s="275"/>
      <c r="L3758" s="82"/>
      <c r="M3758" s="672"/>
      <c r="N3758" s="242"/>
      <c r="O3758" s="242"/>
      <c r="P3758" s="242"/>
      <c r="Q3758" s="242"/>
      <c r="R3758" s="539"/>
      <c r="S3758" s="540"/>
      <c r="T3758" s="543"/>
      <c r="U3758" s="673" t="b">
        <v>0</v>
      </c>
      <c r="Z3758" t="b">
        <v>0</v>
      </c>
      <c r="AA3758" t="b">
        <v>0</v>
      </c>
      <c r="AC3758" s="82"/>
      <c r="AD3758" t="str">
        <f t="shared" si="71"/>
        <v/>
      </c>
      <c r="AE3758" t="str">
        <f t="shared" si="72"/>
        <v/>
      </c>
    </row>
    <row r="3759">
      <c r="D3759" s="226"/>
      <c r="H3759" s="474"/>
      <c r="I3759" s="474"/>
      <c r="J3759" s="475"/>
      <c r="K3759" s="275"/>
      <c r="L3759" s="82"/>
      <c r="M3759" s="672"/>
      <c r="N3759" s="242"/>
      <c r="O3759" s="242"/>
      <c r="P3759" s="242"/>
      <c r="Q3759" s="242"/>
      <c r="R3759" s="539"/>
      <c r="S3759" s="540"/>
      <c r="T3759" s="543"/>
      <c r="U3759" s="673" t="b">
        <v>0</v>
      </c>
      <c r="Z3759" t="b">
        <v>0</v>
      </c>
      <c r="AA3759" t="b">
        <v>0</v>
      </c>
      <c r="AC3759" s="82"/>
      <c r="AD3759" t="str">
        <f t="shared" si="71"/>
        <v/>
      </c>
      <c r="AE3759" t="str">
        <f t="shared" si="72"/>
        <v/>
      </c>
    </row>
    <row r="3760">
      <c r="D3760" s="226"/>
      <c r="H3760" s="474"/>
      <c r="I3760" s="474"/>
      <c r="J3760" s="475"/>
      <c r="K3760" s="275"/>
      <c r="L3760" s="82"/>
      <c r="M3760" s="672"/>
      <c r="N3760" s="242"/>
      <c r="O3760" s="242"/>
      <c r="P3760" s="242"/>
      <c r="Q3760" s="242"/>
      <c r="R3760" s="539"/>
      <c r="S3760" s="540"/>
      <c r="T3760" s="543"/>
      <c r="U3760" s="673" t="b">
        <v>0</v>
      </c>
      <c r="Z3760" t="b">
        <v>0</v>
      </c>
      <c r="AA3760" t="b">
        <v>0</v>
      </c>
      <c r="AC3760" s="82"/>
      <c r="AD3760" t="str">
        <f t="shared" si="71"/>
        <v/>
      </c>
      <c r="AE3760" t="str">
        <f t="shared" si="72"/>
        <v/>
      </c>
    </row>
    <row r="3761">
      <c r="D3761" s="226"/>
      <c r="H3761" s="474"/>
      <c r="I3761" s="474"/>
      <c r="J3761" s="475"/>
      <c r="K3761" s="275"/>
      <c r="L3761" s="82"/>
      <c r="M3761" s="672"/>
      <c r="N3761" s="242"/>
      <c r="O3761" s="242"/>
      <c r="P3761" s="242"/>
      <c r="Q3761" s="242"/>
      <c r="R3761" s="539"/>
      <c r="S3761" s="540"/>
      <c r="T3761" s="543"/>
      <c r="U3761" s="673" t="b">
        <v>0</v>
      </c>
      <c r="Z3761" t="b">
        <v>0</v>
      </c>
      <c r="AA3761" t="b">
        <v>0</v>
      </c>
      <c r="AC3761" s="82"/>
      <c r="AD3761" t="str">
        <f t="shared" si="71"/>
        <v/>
      </c>
      <c r="AE3761" t="str">
        <f t="shared" si="72"/>
        <v/>
      </c>
    </row>
    <row r="3762">
      <c r="D3762" s="226"/>
      <c r="H3762" s="474"/>
      <c r="I3762" s="474"/>
      <c r="J3762" s="475"/>
      <c r="K3762" s="275"/>
      <c r="L3762" s="82"/>
      <c r="M3762" s="672"/>
      <c r="N3762" s="242"/>
      <c r="O3762" s="242"/>
      <c r="P3762" s="242"/>
      <c r="Q3762" s="242"/>
      <c r="R3762" s="539"/>
      <c r="S3762" s="540"/>
      <c r="T3762" s="543"/>
      <c r="U3762" s="673" t="b">
        <v>0</v>
      </c>
      <c r="Z3762" t="b">
        <v>0</v>
      </c>
      <c r="AA3762" t="b">
        <v>0</v>
      </c>
      <c r="AC3762" s="82"/>
      <c r="AD3762" t="str">
        <f t="shared" si="71"/>
        <v/>
      </c>
      <c r="AE3762" t="str">
        <f t="shared" si="72"/>
        <v/>
      </c>
    </row>
    <row r="3763">
      <c r="D3763" s="226"/>
      <c r="H3763" s="474"/>
      <c r="I3763" s="474"/>
      <c r="J3763" s="475"/>
      <c r="K3763" s="275"/>
      <c r="L3763" s="82"/>
      <c r="M3763" s="672"/>
      <c r="N3763" s="242"/>
      <c r="O3763" s="242"/>
      <c r="P3763" s="242"/>
      <c r="Q3763" s="242"/>
      <c r="R3763" s="539"/>
      <c r="S3763" s="540"/>
      <c r="T3763" s="543"/>
      <c r="U3763" s="673" t="b">
        <v>0</v>
      </c>
      <c r="Z3763" t="b">
        <v>0</v>
      </c>
      <c r="AA3763" t="b">
        <v>0</v>
      </c>
      <c r="AC3763" s="82"/>
      <c r="AD3763" t="str">
        <f t="shared" si="71"/>
        <v/>
      </c>
      <c r="AE3763" t="str">
        <f t="shared" si="72"/>
        <v/>
      </c>
    </row>
    <row r="3764">
      <c r="D3764" s="226"/>
      <c r="H3764" s="474"/>
      <c r="I3764" s="474"/>
      <c r="J3764" s="475"/>
      <c r="K3764" s="275"/>
      <c r="L3764" s="82"/>
      <c r="M3764" s="672"/>
      <c r="N3764" s="242"/>
      <c r="O3764" s="242"/>
      <c r="P3764" s="242"/>
      <c r="Q3764" s="242"/>
      <c r="R3764" s="539"/>
      <c r="S3764" s="540"/>
      <c r="T3764" s="543"/>
      <c r="U3764" s="673" t="b">
        <v>0</v>
      </c>
      <c r="Z3764" t="b">
        <v>0</v>
      </c>
      <c r="AA3764" t="b">
        <v>0</v>
      </c>
      <c r="AC3764" s="82"/>
      <c r="AD3764" t="str">
        <f t="shared" si="71"/>
        <v/>
      </c>
      <c r="AE3764" t="str">
        <f t="shared" si="72"/>
        <v/>
      </c>
    </row>
    <row r="3765">
      <c r="D3765" s="226"/>
      <c r="H3765" s="474"/>
      <c r="I3765" s="474"/>
      <c r="J3765" s="475"/>
      <c r="K3765" s="275"/>
      <c r="L3765" s="82"/>
      <c r="M3765" s="672"/>
      <c r="N3765" s="242"/>
      <c r="O3765" s="242"/>
      <c r="P3765" s="242"/>
      <c r="Q3765" s="242"/>
      <c r="R3765" s="539"/>
      <c r="S3765" s="540"/>
      <c r="T3765" s="543"/>
      <c r="U3765" s="673" t="b">
        <v>0</v>
      </c>
      <c r="Z3765" t="b">
        <v>0</v>
      </c>
      <c r="AA3765" t="b">
        <v>0</v>
      </c>
      <c r="AC3765" s="82"/>
      <c r="AD3765" t="str">
        <f t="shared" si="71"/>
        <v/>
      </c>
      <c r="AE3765" t="str">
        <f t="shared" si="72"/>
        <v/>
      </c>
    </row>
    <row r="3766">
      <c r="D3766" s="226"/>
      <c r="H3766" s="474"/>
      <c r="I3766" s="474"/>
      <c r="J3766" s="475"/>
      <c r="K3766" s="275"/>
      <c r="L3766" s="82"/>
      <c r="M3766" s="672"/>
      <c r="N3766" s="242"/>
      <c r="O3766" s="242"/>
      <c r="P3766" s="242"/>
      <c r="Q3766" s="242"/>
      <c r="R3766" s="539"/>
      <c r="S3766" s="540"/>
      <c r="T3766" s="543"/>
      <c r="U3766" s="673" t="b">
        <v>0</v>
      </c>
      <c r="Z3766" t="b">
        <v>0</v>
      </c>
      <c r="AA3766" t="b">
        <v>0</v>
      </c>
      <c r="AC3766" s="82"/>
      <c r="AD3766" t="str">
        <f t="shared" si="71"/>
        <v/>
      </c>
      <c r="AE3766" t="str">
        <f t="shared" si="72"/>
        <v/>
      </c>
    </row>
    <row r="3767">
      <c r="D3767" s="226"/>
      <c r="H3767" s="474"/>
      <c r="I3767" s="474"/>
      <c r="J3767" s="475"/>
      <c r="K3767" s="275"/>
      <c r="L3767" s="82"/>
      <c r="M3767" s="672"/>
      <c r="N3767" s="242"/>
      <c r="O3767" s="242"/>
      <c r="P3767" s="242"/>
      <c r="Q3767" s="242"/>
      <c r="R3767" s="539"/>
      <c r="S3767" s="540"/>
      <c r="T3767" s="543"/>
      <c r="U3767" s="673" t="b">
        <v>0</v>
      </c>
      <c r="Z3767" t="b">
        <v>0</v>
      </c>
      <c r="AA3767" t="b">
        <v>0</v>
      </c>
      <c r="AC3767" s="82"/>
      <c r="AD3767" t="str">
        <f t="shared" si="71"/>
        <v/>
      </c>
      <c r="AE3767" t="str">
        <f t="shared" si="72"/>
        <v/>
      </c>
    </row>
    <row r="3768">
      <c r="D3768" s="226"/>
      <c r="H3768" s="474"/>
      <c r="I3768" s="474"/>
      <c r="J3768" s="475"/>
      <c r="K3768" s="275"/>
      <c r="L3768" s="82"/>
      <c r="M3768" s="672"/>
      <c r="N3768" s="242"/>
      <c r="O3768" s="242"/>
      <c r="P3768" s="242"/>
      <c r="Q3768" s="242"/>
      <c r="R3768" s="539"/>
      <c r="S3768" s="540"/>
      <c r="T3768" s="543"/>
      <c r="U3768" s="673" t="b">
        <v>0</v>
      </c>
      <c r="Z3768" t="b">
        <v>0</v>
      </c>
      <c r="AA3768" t="b">
        <v>0</v>
      </c>
      <c r="AC3768" s="82"/>
      <c r="AD3768" t="str">
        <f t="shared" si="71"/>
        <v/>
      </c>
      <c r="AE3768" t="str">
        <f t="shared" si="72"/>
        <v/>
      </c>
    </row>
    <row r="3769">
      <c r="D3769" s="226"/>
      <c r="H3769" s="474"/>
      <c r="I3769" s="474"/>
      <c r="J3769" s="475"/>
      <c r="K3769" s="275"/>
      <c r="L3769" s="82"/>
      <c r="M3769" s="672"/>
      <c r="N3769" s="242"/>
      <c r="O3769" s="242"/>
      <c r="P3769" s="242"/>
      <c r="Q3769" s="242"/>
      <c r="R3769" s="539"/>
      <c r="S3769" s="540"/>
      <c r="T3769" s="543"/>
      <c r="U3769" s="673" t="b">
        <v>0</v>
      </c>
      <c r="Z3769" t="b">
        <v>0</v>
      </c>
      <c r="AA3769" t="b">
        <v>0</v>
      </c>
      <c r="AC3769" s="82"/>
      <c r="AD3769" t="str">
        <f t="shared" si="71"/>
        <v/>
      </c>
      <c r="AE3769" t="str">
        <f t="shared" si="72"/>
        <v/>
      </c>
    </row>
    <row r="3770">
      <c r="D3770" s="226"/>
      <c r="H3770" s="474"/>
      <c r="I3770" s="474"/>
      <c r="J3770" s="475"/>
      <c r="K3770" s="275"/>
      <c r="L3770" s="82"/>
      <c r="M3770" s="672"/>
      <c r="N3770" s="242"/>
      <c r="O3770" s="242"/>
      <c r="P3770" s="242"/>
      <c r="Q3770" s="242"/>
      <c r="R3770" s="539"/>
      <c r="S3770" s="540"/>
      <c r="T3770" s="543"/>
      <c r="U3770" s="673" t="b">
        <v>0</v>
      </c>
      <c r="Z3770" t="b">
        <v>0</v>
      </c>
      <c r="AA3770" t="b">
        <v>0</v>
      </c>
      <c r="AC3770" s="82"/>
      <c r="AD3770" t="str">
        <f t="shared" si="71"/>
        <v/>
      </c>
      <c r="AE3770" t="str">
        <f t="shared" si="72"/>
        <v/>
      </c>
    </row>
    <row r="3771">
      <c r="D3771" s="226"/>
      <c r="H3771" s="474"/>
      <c r="I3771" s="474"/>
      <c r="J3771" s="475"/>
      <c r="K3771" s="275"/>
      <c r="L3771" s="82"/>
      <c r="M3771" s="672"/>
      <c r="N3771" s="242"/>
      <c r="O3771" s="242"/>
      <c r="P3771" s="242"/>
      <c r="Q3771" s="242"/>
      <c r="R3771" s="539"/>
      <c r="S3771" s="540"/>
      <c r="T3771" s="543"/>
      <c r="U3771" s="673" t="b">
        <v>0</v>
      </c>
      <c r="Z3771" t="b">
        <v>0</v>
      </c>
      <c r="AA3771" t="b">
        <v>0</v>
      </c>
      <c r="AC3771" s="82"/>
      <c r="AD3771" t="str">
        <f t="shared" si="71"/>
        <v/>
      </c>
      <c r="AE3771" t="str">
        <f t="shared" si="72"/>
        <v/>
      </c>
    </row>
    <row r="3772">
      <c r="D3772" s="226"/>
      <c r="H3772" s="474"/>
      <c r="I3772" s="474"/>
      <c r="J3772" s="475"/>
      <c r="K3772" s="275"/>
      <c r="L3772" s="82"/>
      <c r="M3772" s="672"/>
      <c r="N3772" s="242"/>
      <c r="O3772" s="242"/>
      <c r="P3772" s="242"/>
      <c r="Q3772" s="242"/>
      <c r="R3772" s="539"/>
      <c r="S3772" s="540"/>
      <c r="T3772" s="543"/>
      <c r="U3772" s="673" t="b">
        <v>0</v>
      </c>
      <c r="Z3772" t="b">
        <v>0</v>
      </c>
      <c r="AA3772" t="b">
        <v>0</v>
      </c>
      <c r="AC3772" s="82"/>
      <c r="AD3772" t="str">
        <f t="shared" si="71"/>
        <v/>
      </c>
      <c r="AE3772" t="str">
        <f t="shared" si="72"/>
        <v/>
      </c>
    </row>
    <row r="3773">
      <c r="D3773" s="226"/>
      <c r="H3773" s="474"/>
      <c r="I3773" s="474"/>
      <c r="J3773" s="475"/>
      <c r="K3773" s="275"/>
      <c r="L3773" s="82"/>
      <c r="M3773" s="672"/>
      <c r="N3773" s="242"/>
      <c r="O3773" s="242"/>
      <c r="P3773" s="242"/>
      <c r="Q3773" s="242"/>
      <c r="R3773" s="539"/>
      <c r="S3773" s="540"/>
      <c r="T3773" s="543"/>
      <c r="U3773" s="673" t="b">
        <v>0</v>
      </c>
      <c r="Z3773" t="b">
        <v>0</v>
      </c>
      <c r="AA3773" t="b">
        <v>0</v>
      </c>
      <c r="AC3773" s="82"/>
      <c r="AD3773" t="str">
        <f t="shared" si="71"/>
        <v/>
      </c>
      <c r="AE3773" t="str">
        <f t="shared" si="72"/>
        <v/>
      </c>
    </row>
    <row r="3774">
      <c r="D3774" s="226"/>
      <c r="H3774" s="474"/>
      <c r="I3774" s="474"/>
      <c r="J3774" s="475"/>
      <c r="K3774" s="275"/>
      <c r="L3774" s="82"/>
      <c r="M3774" s="672"/>
      <c r="N3774" s="242"/>
      <c r="O3774" s="242"/>
      <c r="P3774" s="242"/>
      <c r="Q3774" s="242"/>
      <c r="R3774" s="539"/>
      <c r="S3774" s="540"/>
      <c r="T3774" s="543"/>
      <c r="U3774" s="673" t="b">
        <v>0</v>
      </c>
      <c r="Z3774" t="b">
        <v>0</v>
      </c>
      <c r="AA3774" t="b">
        <v>0</v>
      </c>
      <c r="AC3774" s="82"/>
      <c r="AD3774" t="str">
        <f t="shared" si="71"/>
        <v/>
      </c>
      <c r="AE3774" t="str">
        <f t="shared" si="72"/>
        <v/>
      </c>
    </row>
    <row r="3775">
      <c r="D3775" s="226"/>
      <c r="H3775" s="474"/>
      <c r="I3775" s="474"/>
      <c r="J3775" s="475"/>
      <c r="K3775" s="275"/>
      <c r="L3775" s="82"/>
      <c r="M3775" s="672"/>
      <c r="N3775" s="242"/>
      <c r="O3775" s="242"/>
      <c r="P3775" s="242"/>
      <c r="Q3775" s="242"/>
      <c r="R3775" s="539"/>
      <c r="S3775" s="540"/>
      <c r="T3775" s="543"/>
      <c r="U3775" s="673" t="b">
        <v>0</v>
      </c>
      <c r="Z3775" t="b">
        <v>0</v>
      </c>
      <c r="AA3775" t="b">
        <v>0</v>
      </c>
      <c r="AC3775" s="82"/>
      <c r="AD3775" t="str">
        <f t="shared" si="71"/>
        <v/>
      </c>
      <c r="AE3775" t="str">
        <f t="shared" si="72"/>
        <v/>
      </c>
    </row>
    <row r="3776">
      <c r="D3776" s="226"/>
      <c r="H3776" s="474"/>
      <c r="I3776" s="474"/>
      <c r="J3776" s="475"/>
      <c r="K3776" s="275"/>
      <c r="L3776" s="82"/>
      <c r="M3776" s="672"/>
      <c r="N3776" s="242"/>
      <c r="O3776" s="242"/>
      <c r="P3776" s="242"/>
      <c r="Q3776" s="242"/>
      <c r="R3776" s="539"/>
      <c r="S3776" s="540"/>
      <c r="T3776" s="543"/>
      <c r="U3776" s="673" t="b">
        <v>0</v>
      </c>
      <c r="Z3776" t="b">
        <v>0</v>
      </c>
      <c r="AA3776" t="b">
        <v>0</v>
      </c>
      <c r="AC3776" s="82"/>
      <c r="AD3776" t="str">
        <f t="shared" si="71"/>
        <v/>
      </c>
      <c r="AE3776" t="str">
        <f t="shared" si="72"/>
        <v/>
      </c>
    </row>
    <row r="3777">
      <c r="D3777" s="226"/>
      <c r="H3777" s="474"/>
      <c r="I3777" s="474"/>
      <c r="J3777" s="475"/>
      <c r="K3777" s="275"/>
      <c r="L3777" s="82"/>
      <c r="M3777" s="672"/>
      <c r="N3777" s="242"/>
      <c r="O3777" s="242"/>
      <c r="P3777" s="242"/>
      <c r="Q3777" s="242"/>
      <c r="R3777" s="539"/>
      <c r="S3777" s="540"/>
      <c r="T3777" s="543"/>
      <c r="U3777" s="673" t="b">
        <v>0</v>
      </c>
      <c r="Z3777" t="b">
        <v>0</v>
      </c>
      <c r="AA3777" t="b">
        <v>0</v>
      </c>
      <c r="AC3777" s="82"/>
      <c r="AD3777" t="str">
        <f t="shared" si="71"/>
        <v/>
      </c>
      <c r="AE3777" t="str">
        <f t="shared" si="72"/>
        <v/>
      </c>
    </row>
    <row r="3778">
      <c r="D3778" s="226"/>
      <c r="H3778" s="474"/>
      <c r="I3778" s="474"/>
      <c r="J3778" s="475"/>
      <c r="K3778" s="275"/>
      <c r="L3778" s="82"/>
      <c r="M3778" s="672"/>
      <c r="N3778" s="242"/>
      <c r="O3778" s="242"/>
      <c r="P3778" s="242"/>
      <c r="Q3778" s="242"/>
      <c r="R3778" s="539"/>
      <c r="S3778" s="540"/>
      <c r="T3778" s="543"/>
      <c r="U3778" s="673" t="b">
        <v>0</v>
      </c>
      <c r="Z3778" t="b">
        <v>0</v>
      </c>
      <c r="AA3778" t="b">
        <v>0</v>
      </c>
      <c r="AC3778" s="82"/>
      <c r="AD3778" t="str">
        <f t="shared" si="71"/>
        <v/>
      </c>
      <c r="AE3778" t="str">
        <f t="shared" si="72"/>
        <v/>
      </c>
    </row>
    <row r="3779">
      <c r="D3779" s="226"/>
      <c r="H3779" s="474"/>
      <c r="I3779" s="474"/>
      <c r="J3779" s="475"/>
      <c r="K3779" s="275"/>
      <c r="L3779" s="82"/>
      <c r="M3779" s="672"/>
      <c r="N3779" s="242"/>
      <c r="O3779" s="242"/>
      <c r="P3779" s="242"/>
      <c r="Q3779" s="242"/>
      <c r="R3779" s="539"/>
      <c r="S3779" s="540"/>
      <c r="T3779" s="543"/>
      <c r="U3779" s="673" t="b">
        <v>0</v>
      </c>
      <c r="Z3779" t="b">
        <v>0</v>
      </c>
      <c r="AA3779" t="b">
        <v>0</v>
      </c>
      <c r="AC3779" s="82"/>
      <c r="AD3779" t="str">
        <f t="shared" si="71"/>
        <v/>
      </c>
      <c r="AE3779" t="str">
        <f t="shared" si="72"/>
        <v/>
      </c>
    </row>
    <row r="3780">
      <c r="D3780" s="226"/>
      <c r="H3780" s="474"/>
      <c r="I3780" s="474"/>
      <c r="J3780" s="475"/>
      <c r="K3780" s="275"/>
      <c r="L3780" s="82"/>
      <c r="M3780" s="672"/>
      <c r="N3780" s="242"/>
      <c r="O3780" s="242"/>
      <c r="P3780" s="242"/>
      <c r="Q3780" s="242"/>
      <c r="R3780" s="539"/>
      <c r="S3780" s="540"/>
      <c r="T3780" s="543"/>
      <c r="U3780" s="673" t="b">
        <v>0</v>
      </c>
      <c r="Z3780" t="b">
        <v>0</v>
      </c>
      <c r="AA3780" t="b">
        <v>0</v>
      </c>
      <c r="AC3780" s="82"/>
      <c r="AD3780" t="str">
        <f t="shared" si="71"/>
        <v/>
      </c>
      <c r="AE3780" t="str">
        <f t="shared" si="72"/>
        <v/>
      </c>
    </row>
    <row r="3781">
      <c r="D3781" s="226"/>
      <c r="H3781" s="474"/>
      <c r="I3781" s="474"/>
      <c r="J3781" s="475"/>
      <c r="K3781" s="275"/>
      <c r="L3781" s="82"/>
      <c r="M3781" s="672"/>
      <c r="N3781" s="242"/>
      <c r="O3781" s="242"/>
      <c r="P3781" s="242"/>
      <c r="Q3781" s="242"/>
      <c r="R3781" s="539"/>
      <c r="S3781" s="540"/>
      <c r="T3781" s="543"/>
      <c r="U3781" s="673" t="b">
        <v>0</v>
      </c>
      <c r="Z3781" t="b">
        <v>0</v>
      </c>
      <c r="AA3781" t="b">
        <v>0</v>
      </c>
      <c r="AC3781" s="82"/>
      <c r="AD3781" t="str">
        <f t="shared" si="71"/>
        <v/>
      </c>
      <c r="AE3781" t="str">
        <f t="shared" si="72"/>
        <v/>
      </c>
    </row>
    <row r="3782">
      <c r="D3782" s="226"/>
      <c r="H3782" s="474"/>
      <c r="I3782" s="474"/>
      <c r="J3782" s="475"/>
      <c r="K3782" s="275"/>
      <c r="L3782" s="82"/>
      <c r="M3782" s="672"/>
      <c r="N3782" s="242"/>
      <c r="O3782" s="242"/>
      <c r="P3782" s="242"/>
      <c r="Q3782" s="242"/>
      <c r="R3782" s="539"/>
      <c r="S3782" s="540"/>
      <c r="T3782" s="543"/>
      <c r="U3782" s="673" t="b">
        <v>0</v>
      </c>
      <c r="Z3782" t="b">
        <v>0</v>
      </c>
      <c r="AA3782" t="b">
        <v>0</v>
      </c>
      <c r="AC3782" s="82"/>
      <c r="AD3782" t="str">
        <f t="shared" si="71"/>
        <v/>
      </c>
      <c r="AE3782" t="str">
        <f t="shared" si="72"/>
        <v/>
      </c>
    </row>
    <row r="3783">
      <c r="D3783" s="226"/>
      <c r="H3783" s="474"/>
      <c r="I3783" s="474"/>
      <c r="J3783" s="475"/>
      <c r="K3783" s="275"/>
      <c r="L3783" s="82"/>
      <c r="M3783" s="672"/>
      <c r="N3783" s="242"/>
      <c r="O3783" s="242"/>
      <c r="P3783" s="242"/>
      <c r="Q3783" s="242"/>
      <c r="R3783" s="539"/>
      <c r="S3783" s="540"/>
      <c r="T3783" s="543"/>
      <c r="U3783" s="673" t="b">
        <v>0</v>
      </c>
      <c r="Z3783" t="b">
        <v>0</v>
      </c>
      <c r="AA3783" t="b">
        <v>0</v>
      </c>
      <c r="AC3783" s="82"/>
      <c r="AD3783" t="str">
        <f t="shared" si="71"/>
        <v/>
      </c>
      <c r="AE3783" t="str">
        <f t="shared" si="72"/>
        <v/>
      </c>
    </row>
    <row r="3784">
      <c r="D3784" s="226"/>
      <c r="H3784" s="474"/>
      <c r="I3784" s="474"/>
      <c r="J3784" s="475"/>
      <c r="K3784" s="275"/>
      <c r="L3784" s="82"/>
      <c r="M3784" s="672"/>
      <c r="N3784" s="242"/>
      <c r="O3784" s="242"/>
      <c r="P3784" s="242"/>
      <c r="Q3784" s="242"/>
      <c r="R3784" s="539"/>
      <c r="S3784" s="540"/>
      <c r="T3784" s="543"/>
      <c r="U3784" s="673" t="b">
        <v>0</v>
      </c>
      <c r="Z3784" t="b">
        <v>0</v>
      </c>
      <c r="AA3784" t="b">
        <v>0</v>
      </c>
      <c r="AC3784" s="82"/>
      <c r="AD3784" t="str">
        <f t="shared" si="71"/>
        <v/>
      </c>
      <c r="AE3784" t="str">
        <f t="shared" si="72"/>
        <v/>
      </c>
    </row>
    <row r="3785">
      <c r="D3785" s="226"/>
      <c r="H3785" s="474"/>
      <c r="I3785" s="474"/>
      <c r="J3785" s="475"/>
      <c r="K3785" s="275"/>
      <c r="L3785" s="82"/>
      <c r="M3785" s="672"/>
      <c r="N3785" s="242"/>
      <c r="O3785" s="242"/>
      <c r="P3785" s="242"/>
      <c r="Q3785" s="242"/>
      <c r="R3785" s="539"/>
      <c r="S3785" s="540"/>
      <c r="T3785" s="543"/>
      <c r="U3785" s="673" t="b">
        <v>0</v>
      </c>
      <c r="Z3785" t="b">
        <v>0</v>
      </c>
      <c r="AA3785" t="b">
        <v>0</v>
      </c>
      <c r="AC3785" s="82"/>
      <c r="AD3785" t="str">
        <f t="shared" si="71"/>
        <v/>
      </c>
      <c r="AE3785" t="str">
        <f t="shared" si="72"/>
        <v/>
      </c>
    </row>
    <row r="3786">
      <c r="D3786" s="226"/>
      <c r="H3786" s="474"/>
      <c r="I3786" s="474"/>
      <c r="J3786" s="475"/>
      <c r="K3786" s="275"/>
      <c r="L3786" s="82"/>
      <c r="M3786" s="672"/>
      <c r="N3786" s="242"/>
      <c r="O3786" s="242"/>
      <c r="P3786" s="242"/>
      <c r="Q3786" s="242"/>
      <c r="R3786" s="539"/>
      <c r="S3786" s="540"/>
      <c r="T3786" s="543"/>
      <c r="U3786" s="673" t="b">
        <v>0</v>
      </c>
      <c r="Z3786" t="b">
        <v>0</v>
      </c>
      <c r="AA3786" t="b">
        <v>0</v>
      </c>
      <c r="AC3786" s="82"/>
      <c r="AD3786" t="str">
        <f t="shared" si="71"/>
        <v/>
      </c>
      <c r="AE3786" t="str">
        <f t="shared" si="72"/>
        <v/>
      </c>
    </row>
    <row r="3787">
      <c r="D3787" s="226"/>
      <c r="H3787" s="474"/>
      <c r="I3787" s="474"/>
      <c r="J3787" s="475"/>
      <c r="K3787" s="275"/>
      <c r="L3787" s="82"/>
      <c r="M3787" s="672"/>
      <c r="N3787" s="242"/>
      <c r="O3787" s="242"/>
      <c r="P3787" s="242"/>
      <c r="Q3787" s="242"/>
      <c r="R3787" s="539"/>
      <c r="S3787" s="540"/>
      <c r="T3787" s="543"/>
      <c r="U3787" s="673" t="b">
        <v>0</v>
      </c>
      <c r="Z3787" t="b">
        <v>0</v>
      </c>
      <c r="AA3787" t="b">
        <v>0</v>
      </c>
      <c r="AC3787" s="82"/>
      <c r="AD3787" t="str">
        <f t="shared" si="71"/>
        <v/>
      </c>
      <c r="AE3787" t="str">
        <f t="shared" si="72"/>
        <v/>
      </c>
    </row>
    <row r="3788">
      <c r="D3788" s="226"/>
      <c r="H3788" s="474"/>
      <c r="I3788" s="474"/>
      <c r="J3788" s="475"/>
      <c r="K3788" s="275"/>
      <c r="L3788" s="82"/>
      <c r="M3788" s="672"/>
      <c r="N3788" s="242"/>
      <c r="O3788" s="242"/>
      <c r="P3788" s="242"/>
      <c r="Q3788" s="242"/>
      <c r="R3788" s="539"/>
      <c r="S3788" s="540"/>
      <c r="T3788" s="543"/>
      <c r="U3788" s="673" t="b">
        <v>0</v>
      </c>
      <c r="Z3788" t="b">
        <v>0</v>
      </c>
      <c r="AA3788" t="b">
        <v>0</v>
      </c>
      <c r="AC3788" s="82"/>
      <c r="AD3788" t="str">
        <f t="shared" si="71"/>
        <v/>
      </c>
      <c r="AE3788" t="str">
        <f t="shared" si="72"/>
        <v/>
      </c>
    </row>
    <row r="3789">
      <c r="D3789" s="226"/>
      <c r="H3789" s="474"/>
      <c r="I3789" s="474"/>
      <c r="J3789" s="475"/>
      <c r="K3789" s="275"/>
      <c r="L3789" s="82"/>
      <c r="M3789" s="672"/>
      <c r="N3789" s="242"/>
      <c r="O3789" s="242"/>
      <c r="P3789" s="242"/>
      <c r="Q3789" s="242"/>
      <c r="R3789" s="539"/>
      <c r="S3789" s="540"/>
      <c r="T3789" s="543"/>
      <c r="U3789" s="673" t="b">
        <v>0</v>
      </c>
      <c r="Z3789" t="b">
        <v>0</v>
      </c>
      <c r="AA3789" t="b">
        <v>0</v>
      </c>
      <c r="AC3789" s="82"/>
      <c r="AD3789" t="str">
        <f t="shared" si="71"/>
        <v/>
      </c>
      <c r="AE3789" t="str">
        <f t="shared" si="72"/>
        <v/>
      </c>
    </row>
    <row r="3790">
      <c r="D3790" s="226"/>
      <c r="H3790" s="474"/>
      <c r="I3790" s="474"/>
      <c r="J3790" s="475"/>
      <c r="K3790" s="275"/>
      <c r="L3790" s="82"/>
      <c r="M3790" s="672"/>
      <c r="N3790" s="242"/>
      <c r="O3790" s="242"/>
      <c r="P3790" s="242"/>
      <c r="Q3790" s="242"/>
      <c r="R3790" s="539"/>
      <c r="S3790" s="540"/>
      <c r="T3790" s="543"/>
      <c r="U3790" s="673" t="b">
        <v>0</v>
      </c>
      <c r="Z3790" t="b">
        <v>0</v>
      </c>
      <c r="AA3790" t="b">
        <v>0</v>
      </c>
      <c r="AC3790" s="82"/>
      <c r="AD3790" t="str">
        <f t="shared" si="71"/>
        <v/>
      </c>
      <c r="AE3790" t="str">
        <f t="shared" si="72"/>
        <v/>
      </c>
    </row>
    <row r="3791">
      <c r="D3791" s="226"/>
      <c r="H3791" s="474"/>
      <c r="I3791" s="474"/>
      <c r="J3791" s="475"/>
      <c r="K3791" s="275"/>
      <c r="L3791" s="82"/>
      <c r="M3791" s="672"/>
      <c r="N3791" s="242"/>
      <c r="O3791" s="242"/>
      <c r="P3791" s="242"/>
      <c r="Q3791" s="242"/>
      <c r="R3791" s="539"/>
      <c r="S3791" s="540"/>
      <c r="T3791" s="543"/>
      <c r="U3791" s="673" t="b">
        <v>0</v>
      </c>
      <c r="Z3791" t="b">
        <v>0</v>
      </c>
      <c r="AA3791" t="b">
        <v>0</v>
      </c>
      <c r="AC3791" s="82"/>
      <c r="AD3791" t="str">
        <f t="shared" si="71"/>
        <v/>
      </c>
      <c r="AE3791" t="str">
        <f t="shared" si="72"/>
        <v/>
      </c>
    </row>
    <row r="3792">
      <c r="D3792" s="226"/>
      <c r="H3792" s="474"/>
      <c r="I3792" s="474"/>
      <c r="J3792" s="475"/>
      <c r="K3792" s="275"/>
      <c r="L3792" s="82"/>
      <c r="M3792" s="672"/>
      <c r="N3792" s="242"/>
      <c r="O3792" s="242"/>
      <c r="P3792" s="242"/>
      <c r="Q3792" s="242"/>
      <c r="R3792" s="539"/>
      <c r="S3792" s="540"/>
      <c r="T3792" s="543"/>
      <c r="U3792" s="673" t="b">
        <v>0</v>
      </c>
      <c r="Z3792" t="b">
        <v>0</v>
      </c>
      <c r="AA3792" t="b">
        <v>0</v>
      </c>
      <c r="AC3792" s="82"/>
      <c r="AD3792" t="str">
        <f t="shared" si="71"/>
        <v/>
      </c>
      <c r="AE3792" t="str">
        <f t="shared" si="72"/>
        <v/>
      </c>
    </row>
    <row r="3793">
      <c r="D3793" s="226"/>
      <c r="H3793" s="474"/>
      <c r="I3793" s="474"/>
      <c r="J3793" s="475"/>
      <c r="K3793" s="275"/>
      <c r="L3793" s="82"/>
      <c r="M3793" s="672"/>
      <c r="N3793" s="242"/>
      <c r="O3793" s="242"/>
      <c r="P3793" s="242"/>
      <c r="Q3793" s="242"/>
      <c r="R3793" s="539"/>
      <c r="S3793" s="540"/>
      <c r="T3793" s="543"/>
      <c r="U3793" s="673" t="b">
        <v>0</v>
      </c>
      <c r="Z3793" t="b">
        <v>0</v>
      </c>
      <c r="AA3793" t="b">
        <v>0</v>
      </c>
      <c r="AC3793" s="82"/>
      <c r="AD3793" t="str">
        <f t="shared" si="71"/>
        <v/>
      </c>
      <c r="AE3793" t="str">
        <f t="shared" si="72"/>
        <v/>
      </c>
    </row>
    <row r="3794">
      <c r="D3794" s="226"/>
      <c r="H3794" s="474"/>
      <c r="I3794" s="474"/>
      <c r="J3794" s="475"/>
      <c r="K3794" s="275"/>
      <c r="L3794" s="82"/>
      <c r="M3794" s="672"/>
      <c r="N3794" s="242"/>
      <c r="O3794" s="242"/>
      <c r="P3794" s="242"/>
      <c r="Q3794" s="242"/>
      <c r="R3794" s="539"/>
      <c r="S3794" s="540"/>
      <c r="T3794" s="543"/>
      <c r="U3794" s="673" t="b">
        <v>0</v>
      </c>
      <c r="Z3794" t="b">
        <v>0</v>
      </c>
      <c r="AA3794" t="b">
        <v>0</v>
      </c>
      <c r="AC3794" s="82"/>
      <c r="AD3794" t="str">
        <f t="shared" si="71"/>
        <v/>
      </c>
      <c r="AE3794" t="str">
        <f t="shared" si="72"/>
        <v/>
      </c>
    </row>
    <row r="3795">
      <c r="D3795" s="226"/>
      <c r="H3795" s="474"/>
      <c r="I3795" s="474"/>
      <c r="J3795" s="475"/>
      <c r="K3795" s="275"/>
      <c r="L3795" s="82"/>
      <c r="M3795" s="672"/>
      <c r="N3795" s="242"/>
      <c r="O3795" s="242"/>
      <c r="P3795" s="242"/>
      <c r="Q3795" s="242"/>
      <c r="R3795" s="539"/>
      <c r="S3795" s="540"/>
      <c r="T3795" s="543"/>
      <c r="U3795" s="673" t="b">
        <v>0</v>
      </c>
      <c r="Z3795" t="b">
        <v>0</v>
      </c>
      <c r="AA3795" t="b">
        <v>0</v>
      </c>
      <c r="AC3795" s="82"/>
      <c r="AD3795" t="str">
        <f t="shared" si="71"/>
        <v/>
      </c>
      <c r="AE3795" t="str">
        <f t="shared" si="72"/>
        <v/>
      </c>
    </row>
    <row r="3796">
      <c r="D3796" s="226"/>
      <c r="H3796" s="474"/>
      <c r="I3796" s="474"/>
      <c r="J3796" s="475"/>
      <c r="K3796" s="275"/>
      <c r="L3796" s="82"/>
      <c r="M3796" s="672"/>
      <c r="N3796" s="242"/>
      <c r="O3796" s="242"/>
      <c r="P3796" s="242"/>
      <c r="Q3796" s="242"/>
      <c r="R3796" s="539"/>
      <c r="S3796" s="540"/>
      <c r="T3796" s="543"/>
      <c r="U3796" s="673" t="b">
        <v>0</v>
      </c>
      <c r="Z3796" t="b">
        <v>0</v>
      </c>
      <c r="AA3796" t="b">
        <v>0</v>
      </c>
      <c r="AC3796" s="82"/>
      <c r="AD3796" t="str">
        <f t="shared" si="71"/>
        <v/>
      </c>
      <c r="AE3796" t="str">
        <f t="shared" si="72"/>
        <v/>
      </c>
    </row>
    <row r="3797">
      <c r="D3797" s="226"/>
      <c r="H3797" s="474"/>
      <c r="I3797" s="474"/>
      <c r="J3797" s="475"/>
      <c r="K3797" s="275"/>
      <c r="L3797" s="82"/>
      <c r="M3797" s="672"/>
      <c r="N3797" s="242"/>
      <c r="O3797" s="242"/>
      <c r="P3797" s="242"/>
      <c r="Q3797" s="242"/>
      <c r="R3797" s="539"/>
      <c r="S3797" s="540"/>
      <c r="T3797" s="543"/>
      <c r="U3797" s="673" t="b">
        <v>0</v>
      </c>
      <c r="Z3797" t="b">
        <v>0</v>
      </c>
      <c r="AA3797" t="b">
        <v>0</v>
      </c>
      <c r="AC3797" s="82"/>
      <c r="AD3797" t="str">
        <f t="shared" si="71"/>
        <v/>
      </c>
      <c r="AE3797" t="str">
        <f t="shared" si="72"/>
        <v/>
      </c>
    </row>
    <row r="3798">
      <c r="D3798" s="226"/>
      <c r="H3798" s="474"/>
      <c r="I3798" s="474"/>
      <c r="J3798" s="475"/>
      <c r="K3798" s="275"/>
      <c r="L3798" s="82"/>
      <c r="M3798" s="672"/>
      <c r="N3798" s="242"/>
      <c r="O3798" s="242"/>
      <c r="P3798" s="242"/>
      <c r="Q3798" s="242"/>
      <c r="R3798" s="539"/>
      <c r="S3798" s="540"/>
      <c r="T3798" s="543"/>
      <c r="U3798" s="673" t="b">
        <v>0</v>
      </c>
      <c r="Z3798" t="b">
        <v>0</v>
      </c>
      <c r="AA3798" t="b">
        <v>0</v>
      </c>
      <c r="AC3798" s="82"/>
      <c r="AD3798" t="str">
        <f t="shared" si="71"/>
        <v/>
      </c>
      <c r="AE3798" t="str">
        <f t="shared" si="72"/>
        <v/>
      </c>
    </row>
    <row r="3799">
      <c r="D3799" s="226"/>
      <c r="H3799" s="474"/>
      <c r="I3799" s="474"/>
      <c r="J3799" s="475"/>
      <c r="K3799" s="275"/>
      <c r="L3799" s="82"/>
      <c r="M3799" s="672"/>
      <c r="N3799" s="242"/>
      <c r="O3799" s="242"/>
      <c r="P3799" s="242"/>
      <c r="Q3799" s="242"/>
      <c r="R3799" s="539"/>
      <c r="S3799" s="540"/>
      <c r="T3799" s="543"/>
      <c r="U3799" s="673" t="b">
        <v>0</v>
      </c>
      <c r="Z3799" t="b">
        <v>0</v>
      </c>
      <c r="AA3799" t="b">
        <v>0</v>
      </c>
      <c r="AC3799" s="82"/>
      <c r="AD3799" t="str">
        <f t="shared" si="71"/>
        <v/>
      </c>
      <c r="AE3799" t="str">
        <f t="shared" si="72"/>
        <v/>
      </c>
    </row>
    <row r="3800">
      <c r="D3800" s="226"/>
      <c r="H3800" s="474"/>
      <c r="I3800" s="474"/>
      <c r="J3800" s="475"/>
      <c r="K3800" s="275"/>
      <c r="L3800" s="82"/>
      <c r="M3800" s="672"/>
      <c r="N3800" s="242"/>
      <c r="O3800" s="242"/>
      <c r="P3800" s="242"/>
      <c r="Q3800" s="242"/>
      <c r="R3800" s="539"/>
      <c r="S3800" s="540"/>
      <c r="T3800" s="543"/>
      <c r="U3800" s="673" t="b">
        <v>0</v>
      </c>
      <c r="Z3800" t="b">
        <v>0</v>
      </c>
      <c r="AA3800" t="b">
        <v>0</v>
      </c>
      <c r="AC3800" s="82"/>
      <c r="AD3800" t="str">
        <f t="shared" si="71"/>
        <v/>
      </c>
      <c r="AE3800" t="str">
        <f t="shared" si="72"/>
        <v/>
      </c>
    </row>
    <row r="3801">
      <c r="D3801" s="226"/>
      <c r="H3801" s="474"/>
      <c r="I3801" s="474"/>
      <c r="J3801" s="475"/>
      <c r="K3801" s="275"/>
      <c r="L3801" s="82"/>
      <c r="M3801" s="672"/>
      <c r="N3801" s="242"/>
      <c r="O3801" s="242"/>
      <c r="P3801" s="242"/>
      <c r="Q3801" s="242"/>
      <c r="R3801" s="539"/>
      <c r="S3801" s="540"/>
      <c r="T3801" s="543"/>
      <c r="U3801" s="673" t="b">
        <v>0</v>
      </c>
      <c r="Z3801" t="b">
        <v>0</v>
      </c>
      <c r="AA3801" t="b">
        <v>0</v>
      </c>
      <c r="AC3801" s="82"/>
      <c r="AD3801" t="str">
        <f t="shared" si="71"/>
        <v/>
      </c>
      <c r="AE3801" t="str">
        <f t="shared" si="72"/>
        <v/>
      </c>
    </row>
    <row r="3802">
      <c r="D3802" s="226"/>
      <c r="H3802" s="474"/>
      <c r="I3802" s="474"/>
      <c r="J3802" s="475"/>
      <c r="K3802" s="275"/>
      <c r="L3802" s="82"/>
      <c r="M3802" s="672"/>
      <c r="N3802" s="242"/>
      <c r="O3802" s="242"/>
      <c r="P3802" s="242"/>
      <c r="Q3802" s="242"/>
      <c r="R3802" s="539"/>
      <c r="S3802" s="540"/>
      <c r="T3802" s="543"/>
      <c r="U3802" s="673" t="b">
        <v>0</v>
      </c>
      <c r="Z3802" t="b">
        <v>0</v>
      </c>
      <c r="AA3802" t="b">
        <v>0</v>
      </c>
      <c r="AC3802" s="82"/>
      <c r="AD3802" t="str">
        <f t="shared" si="71"/>
        <v/>
      </c>
      <c r="AE3802" t="str">
        <f t="shared" si="72"/>
        <v/>
      </c>
    </row>
    <row r="3803">
      <c r="D3803" s="226"/>
      <c r="H3803" s="474"/>
      <c r="I3803" s="474"/>
      <c r="J3803" s="475"/>
      <c r="K3803" s="275"/>
      <c r="L3803" s="82"/>
      <c r="M3803" s="672"/>
      <c r="N3803" s="242"/>
      <c r="O3803" s="242"/>
      <c r="P3803" s="242"/>
      <c r="Q3803" s="242"/>
      <c r="R3803" s="539"/>
      <c r="S3803" s="540"/>
      <c r="T3803" s="543"/>
      <c r="U3803" s="673" t="b">
        <v>0</v>
      </c>
      <c r="Z3803" t="b">
        <v>0</v>
      </c>
      <c r="AA3803" t="b">
        <v>0</v>
      </c>
      <c r="AC3803" s="82"/>
      <c r="AD3803" t="str">
        <f t="shared" si="71"/>
        <v/>
      </c>
      <c r="AE3803" t="str">
        <f t="shared" si="72"/>
        <v/>
      </c>
    </row>
    <row r="3804">
      <c r="D3804" s="226"/>
      <c r="H3804" s="474"/>
      <c r="I3804" s="474"/>
      <c r="J3804" s="475"/>
      <c r="K3804" s="275"/>
      <c r="L3804" s="82"/>
      <c r="M3804" s="672"/>
      <c r="N3804" s="242"/>
      <c r="O3804" s="242"/>
      <c r="P3804" s="242"/>
      <c r="Q3804" s="242"/>
      <c r="R3804" s="539"/>
      <c r="S3804" s="540"/>
      <c r="T3804" s="543"/>
      <c r="U3804" s="673" t="b">
        <v>0</v>
      </c>
      <c r="Z3804" t="b">
        <v>0</v>
      </c>
      <c r="AA3804" t="b">
        <v>0</v>
      </c>
      <c r="AC3804" s="82"/>
      <c r="AD3804" t="str">
        <f t="shared" si="71"/>
        <v/>
      </c>
      <c r="AE3804" t="str">
        <f t="shared" si="72"/>
        <v/>
      </c>
    </row>
    <row r="3805">
      <c r="D3805" s="226"/>
      <c r="H3805" s="474"/>
      <c r="I3805" s="474"/>
      <c r="J3805" s="475"/>
      <c r="K3805" s="275"/>
      <c r="L3805" s="82"/>
      <c r="M3805" s="672"/>
      <c r="N3805" s="242"/>
      <c r="O3805" s="242"/>
      <c r="P3805" s="242"/>
      <c r="Q3805" s="242"/>
      <c r="R3805" s="539"/>
      <c r="S3805" s="540"/>
      <c r="T3805" s="543"/>
      <c r="U3805" s="673" t="b">
        <v>0</v>
      </c>
      <c r="Z3805" t="b">
        <v>0</v>
      </c>
      <c r="AA3805" t="b">
        <v>0</v>
      </c>
      <c r="AC3805" s="82"/>
      <c r="AD3805" t="str">
        <f t="shared" si="71"/>
        <v/>
      </c>
      <c r="AE3805" t="str">
        <f t="shared" si="72"/>
        <v/>
      </c>
    </row>
    <row r="3806">
      <c r="D3806" s="226"/>
      <c r="H3806" s="474"/>
      <c r="I3806" s="474"/>
      <c r="J3806" s="475"/>
      <c r="K3806" s="275"/>
      <c r="L3806" s="82"/>
      <c r="M3806" s="672"/>
      <c r="N3806" s="242"/>
      <c r="O3806" s="242"/>
      <c r="P3806" s="242"/>
      <c r="Q3806" s="242"/>
      <c r="R3806" s="539"/>
      <c r="S3806" s="540"/>
      <c r="T3806" s="543"/>
      <c r="U3806" s="673" t="b">
        <v>0</v>
      </c>
      <c r="Z3806" t="b">
        <v>0</v>
      </c>
      <c r="AA3806" t="b">
        <v>0</v>
      </c>
      <c r="AC3806" s="82"/>
      <c r="AD3806" t="str">
        <f t="shared" si="71"/>
        <v/>
      </c>
      <c r="AE3806" t="str">
        <f t="shared" si="72"/>
        <v/>
      </c>
    </row>
    <row r="3807">
      <c r="D3807" s="226"/>
      <c r="H3807" s="474"/>
      <c r="I3807" s="474"/>
      <c r="J3807" s="475"/>
      <c r="K3807" s="275"/>
      <c r="L3807" s="82"/>
      <c r="M3807" s="672"/>
      <c r="N3807" s="242"/>
      <c r="O3807" s="242"/>
      <c r="P3807" s="242"/>
      <c r="Q3807" s="242"/>
      <c r="R3807" s="539"/>
      <c r="S3807" s="540"/>
      <c r="T3807" s="543"/>
      <c r="U3807" s="673" t="b">
        <v>0</v>
      </c>
      <c r="Z3807" t="b">
        <v>0</v>
      </c>
      <c r="AA3807" t="b">
        <v>0</v>
      </c>
      <c r="AC3807" s="82"/>
      <c r="AD3807" t="str">
        <f t="shared" si="71"/>
        <v/>
      </c>
      <c r="AE3807" t="str">
        <f t="shared" si="72"/>
        <v/>
      </c>
    </row>
    <row r="3808">
      <c r="D3808" s="226"/>
      <c r="H3808" s="474"/>
      <c r="I3808" s="474"/>
      <c r="J3808" s="475"/>
      <c r="K3808" s="275"/>
      <c r="L3808" s="82"/>
      <c r="M3808" s="672"/>
      <c r="N3808" s="242"/>
      <c r="O3808" s="242"/>
      <c r="P3808" s="242"/>
      <c r="Q3808" s="242"/>
      <c r="R3808" s="539"/>
      <c r="S3808" s="540"/>
      <c r="T3808" s="543"/>
      <c r="U3808" s="673" t="b">
        <v>0</v>
      </c>
      <c r="Z3808" t="b">
        <v>0</v>
      </c>
      <c r="AA3808" t="b">
        <v>0</v>
      </c>
      <c r="AC3808" s="82"/>
      <c r="AD3808" t="str">
        <f t="shared" si="71"/>
        <v/>
      </c>
      <c r="AE3808" t="str">
        <f t="shared" si="72"/>
        <v/>
      </c>
    </row>
    <row r="3809">
      <c r="D3809" s="226"/>
      <c r="H3809" s="474"/>
      <c r="I3809" s="474"/>
      <c r="J3809" s="475"/>
      <c r="K3809" s="275"/>
      <c r="L3809" s="82"/>
      <c r="M3809" s="672"/>
      <c r="N3809" s="242"/>
      <c r="O3809" s="242"/>
      <c r="P3809" s="242"/>
      <c r="Q3809" s="242"/>
      <c r="R3809" s="539"/>
      <c r="S3809" s="540"/>
      <c r="T3809" s="543"/>
      <c r="U3809" s="673" t="b">
        <v>0</v>
      </c>
      <c r="Z3809" t="b">
        <v>0</v>
      </c>
      <c r="AA3809" t="b">
        <v>0</v>
      </c>
      <c r="AC3809" s="82"/>
      <c r="AD3809" t="str">
        <f t="shared" si="71"/>
        <v/>
      </c>
      <c r="AE3809" t="str">
        <f t="shared" si="72"/>
        <v/>
      </c>
    </row>
    <row r="3810">
      <c r="D3810" s="226"/>
      <c r="H3810" s="474"/>
      <c r="I3810" s="474"/>
      <c r="J3810" s="475"/>
      <c r="K3810" s="275"/>
      <c r="L3810" s="82"/>
      <c r="M3810" s="672"/>
      <c r="N3810" s="242"/>
      <c r="O3810" s="242"/>
      <c r="P3810" s="242"/>
      <c r="Q3810" s="242"/>
      <c r="R3810" s="539"/>
      <c r="S3810" s="540"/>
      <c r="T3810" s="543"/>
      <c r="U3810" s="673" t="b">
        <v>0</v>
      </c>
      <c r="Z3810" t="b">
        <v>0</v>
      </c>
      <c r="AA3810" t="b">
        <v>0</v>
      </c>
      <c r="AC3810" s="82"/>
      <c r="AD3810" t="str">
        <f t="shared" si="71"/>
        <v/>
      </c>
      <c r="AE3810" t="str">
        <f t="shared" si="72"/>
        <v/>
      </c>
    </row>
    <row r="3811">
      <c r="D3811" s="226"/>
      <c r="H3811" s="474"/>
      <c r="I3811" s="474"/>
      <c r="J3811" s="475"/>
      <c r="K3811" s="275"/>
      <c r="L3811" s="82"/>
      <c r="M3811" s="672"/>
      <c r="N3811" s="242"/>
      <c r="O3811" s="242"/>
      <c r="P3811" s="242"/>
      <c r="Q3811" s="242"/>
      <c r="R3811" s="539"/>
      <c r="S3811" s="540"/>
      <c r="T3811" s="543"/>
      <c r="U3811" s="673" t="b">
        <v>0</v>
      </c>
      <c r="Z3811" t="b">
        <v>0</v>
      </c>
      <c r="AA3811" t="b">
        <v>0</v>
      </c>
      <c r="AC3811" s="82"/>
      <c r="AD3811" t="str">
        <f t="shared" si="71"/>
        <v/>
      </c>
      <c r="AE3811" t="str">
        <f t="shared" si="72"/>
        <v/>
      </c>
    </row>
    <row r="3812">
      <c r="D3812" s="226"/>
      <c r="H3812" s="474"/>
      <c r="I3812" s="474"/>
      <c r="J3812" s="475"/>
      <c r="K3812" s="275"/>
      <c r="L3812" s="82"/>
      <c r="M3812" s="672"/>
      <c r="N3812" s="242"/>
      <c r="O3812" s="242"/>
      <c r="P3812" s="242"/>
      <c r="Q3812" s="242"/>
      <c r="R3812" s="539"/>
      <c r="S3812" s="540"/>
      <c r="T3812" s="543"/>
      <c r="U3812" s="673" t="b">
        <v>0</v>
      </c>
      <c r="Z3812" t="b">
        <v>0</v>
      </c>
      <c r="AA3812" t="b">
        <v>0</v>
      </c>
      <c r="AC3812" s="82"/>
      <c r="AD3812" t="str">
        <f t="shared" si="71"/>
        <v/>
      </c>
      <c r="AE3812" t="str">
        <f t="shared" si="72"/>
        <v/>
      </c>
    </row>
    <row r="3813">
      <c r="D3813" s="226"/>
      <c r="H3813" s="474"/>
      <c r="I3813" s="474"/>
      <c r="J3813" s="475"/>
      <c r="K3813" s="275"/>
      <c r="L3813" s="82"/>
      <c r="M3813" s="672"/>
      <c r="N3813" s="242"/>
      <c r="O3813" s="242"/>
      <c r="P3813" s="242"/>
      <c r="Q3813" s="242"/>
      <c r="R3813" s="539"/>
      <c r="S3813" s="540"/>
      <c r="T3813" s="543"/>
      <c r="U3813" s="673" t="b">
        <v>0</v>
      </c>
      <c r="Z3813" t="b">
        <v>0</v>
      </c>
      <c r="AA3813" t="b">
        <v>0</v>
      </c>
      <c r="AC3813" s="82"/>
      <c r="AD3813" t="str">
        <f t="shared" si="71"/>
        <v/>
      </c>
      <c r="AE3813" t="str">
        <f t="shared" si="72"/>
        <v/>
      </c>
    </row>
    <row r="3814">
      <c r="D3814" s="226"/>
      <c r="H3814" s="474"/>
      <c r="I3814" s="474"/>
      <c r="J3814" s="475"/>
      <c r="K3814" s="275"/>
      <c r="L3814" s="82"/>
      <c r="M3814" s="672"/>
      <c r="N3814" s="242"/>
      <c r="O3814" s="242"/>
      <c r="P3814" s="242"/>
      <c r="Q3814" s="242"/>
      <c r="R3814" s="539"/>
      <c r="S3814" s="540"/>
      <c r="T3814" s="543"/>
      <c r="U3814" s="673" t="b">
        <v>0</v>
      </c>
      <c r="Z3814" t="b">
        <v>0</v>
      </c>
      <c r="AA3814" t="b">
        <v>0</v>
      </c>
      <c r="AC3814" s="82"/>
      <c r="AD3814" t="str">
        <f t="shared" si="71"/>
        <v/>
      </c>
      <c r="AE3814" t="str">
        <f t="shared" si="72"/>
        <v/>
      </c>
    </row>
    <row r="3815">
      <c r="D3815" s="226"/>
      <c r="H3815" s="474"/>
      <c r="I3815" s="474"/>
      <c r="J3815" s="475"/>
      <c r="K3815" s="275"/>
      <c r="L3815" s="82"/>
      <c r="M3815" s="672"/>
      <c r="N3815" s="242"/>
      <c r="O3815" s="242"/>
      <c r="P3815" s="242"/>
      <c r="Q3815" s="242"/>
      <c r="R3815" s="539"/>
      <c r="S3815" s="540"/>
      <c r="T3815" s="543"/>
      <c r="U3815" s="673" t="b">
        <v>0</v>
      </c>
      <c r="Z3815" t="b">
        <v>0</v>
      </c>
      <c r="AA3815" t="b">
        <v>0</v>
      </c>
      <c r="AC3815" s="82"/>
      <c r="AD3815" t="str">
        <f t="shared" si="71"/>
        <v/>
      </c>
      <c r="AE3815" t="str">
        <f t="shared" si="72"/>
        <v/>
      </c>
    </row>
    <row r="3816">
      <c r="D3816" s="226"/>
      <c r="H3816" s="474"/>
      <c r="I3816" s="474"/>
      <c r="J3816" s="475"/>
      <c r="K3816" s="275"/>
      <c r="L3816" s="82"/>
      <c r="M3816" s="672"/>
      <c r="N3816" s="242"/>
      <c r="O3816" s="242"/>
      <c r="P3816" s="242"/>
      <c r="Q3816" s="242"/>
      <c r="R3816" s="539"/>
      <c r="S3816" s="540"/>
      <c r="T3816" s="543"/>
      <c r="U3816" s="673" t="b">
        <v>0</v>
      </c>
      <c r="Z3816" t="b">
        <v>0</v>
      </c>
      <c r="AA3816" t="b">
        <v>0</v>
      </c>
      <c r="AC3816" s="82"/>
      <c r="AD3816" t="str">
        <f t="shared" si="71"/>
        <v/>
      </c>
      <c r="AE3816" t="str">
        <f t="shared" si="72"/>
        <v/>
      </c>
    </row>
    <row r="3817">
      <c r="D3817" s="226"/>
      <c r="H3817" s="474"/>
      <c r="I3817" s="474"/>
      <c r="J3817" s="475"/>
      <c r="K3817" s="275"/>
      <c r="L3817" s="82"/>
      <c r="M3817" s="672"/>
      <c r="N3817" s="242"/>
      <c r="O3817" s="242"/>
      <c r="P3817" s="242"/>
      <c r="Q3817" s="242"/>
      <c r="R3817" s="539"/>
      <c r="S3817" s="540"/>
      <c r="T3817" s="543"/>
      <c r="U3817" s="673" t="b">
        <v>0</v>
      </c>
      <c r="Z3817" t="b">
        <v>0</v>
      </c>
      <c r="AA3817" t="b">
        <v>0</v>
      </c>
      <c r="AC3817" s="82"/>
      <c r="AD3817" t="str">
        <f t="shared" si="71"/>
        <v/>
      </c>
      <c r="AE3817" t="str">
        <f t="shared" si="72"/>
        <v/>
      </c>
    </row>
    <row r="3818">
      <c r="D3818" s="226"/>
      <c r="H3818" s="474"/>
      <c r="I3818" s="474"/>
      <c r="J3818" s="475"/>
      <c r="K3818" s="275"/>
      <c r="L3818" s="82"/>
      <c r="M3818" s="672"/>
      <c r="N3818" s="242"/>
      <c r="O3818" s="242"/>
      <c r="P3818" s="242"/>
      <c r="Q3818" s="242"/>
      <c r="R3818" s="539"/>
      <c r="S3818" s="540"/>
      <c r="T3818" s="543"/>
      <c r="U3818" s="673" t="b">
        <v>0</v>
      </c>
      <c r="Z3818" t="b">
        <v>0</v>
      </c>
      <c r="AA3818" t="b">
        <v>0</v>
      </c>
      <c r="AC3818" s="82"/>
      <c r="AD3818" t="str">
        <f t="shared" si="71"/>
        <v/>
      </c>
      <c r="AE3818" t="str">
        <f t="shared" si="72"/>
        <v/>
      </c>
    </row>
    <row r="3819">
      <c r="D3819" s="226"/>
      <c r="H3819" s="474"/>
      <c r="I3819" s="474"/>
      <c r="J3819" s="475"/>
      <c r="K3819" s="275"/>
      <c r="L3819" s="82"/>
      <c r="M3819" s="672"/>
      <c r="N3819" s="242"/>
      <c r="O3819" s="242"/>
      <c r="P3819" s="242"/>
      <c r="Q3819" s="242"/>
      <c r="R3819" s="539"/>
      <c r="S3819" s="540"/>
      <c r="T3819" s="543"/>
      <c r="U3819" s="673" t="b">
        <v>0</v>
      </c>
      <c r="Z3819" t="b">
        <v>0</v>
      </c>
      <c r="AA3819" t="b">
        <v>0</v>
      </c>
      <c r="AC3819" s="82"/>
      <c r="AD3819" t="str">
        <f t="shared" si="71"/>
        <v/>
      </c>
      <c r="AE3819" t="str">
        <f t="shared" si="72"/>
        <v/>
      </c>
    </row>
    <row r="3820">
      <c r="D3820" s="226"/>
      <c r="H3820" s="474"/>
      <c r="I3820" s="474"/>
      <c r="J3820" s="475"/>
      <c r="K3820" s="275"/>
      <c r="L3820" s="82"/>
      <c r="M3820" s="672"/>
      <c r="N3820" s="242"/>
      <c r="O3820" s="242"/>
      <c r="P3820" s="242"/>
      <c r="Q3820" s="242"/>
      <c r="R3820" s="539"/>
      <c r="S3820" s="540"/>
      <c r="T3820" s="543"/>
      <c r="U3820" s="673" t="b">
        <v>0</v>
      </c>
      <c r="Z3820" t="b">
        <v>0</v>
      </c>
      <c r="AA3820" t="b">
        <v>0</v>
      </c>
      <c r="AC3820" s="82"/>
      <c r="AD3820" t="str">
        <f t="shared" si="71"/>
        <v/>
      </c>
      <c r="AE3820" t="str">
        <f t="shared" si="72"/>
        <v/>
      </c>
    </row>
    <row r="3821">
      <c r="D3821" s="226"/>
      <c r="H3821" s="474"/>
      <c r="I3821" s="474"/>
      <c r="J3821" s="475"/>
      <c r="K3821" s="275"/>
      <c r="L3821" s="82"/>
      <c r="M3821" s="672"/>
      <c r="N3821" s="242"/>
      <c r="O3821" s="242"/>
      <c r="P3821" s="242"/>
      <c r="Q3821" s="242"/>
      <c r="R3821" s="539"/>
      <c r="S3821" s="540"/>
      <c r="T3821" s="543"/>
      <c r="U3821" s="673" t="b">
        <v>0</v>
      </c>
      <c r="Z3821" t="b">
        <v>0</v>
      </c>
      <c r="AA3821" t="b">
        <v>0</v>
      </c>
      <c r="AC3821" s="82"/>
      <c r="AD3821" t="str">
        <f t="shared" si="71"/>
        <v/>
      </c>
      <c r="AE3821" t="str">
        <f t="shared" si="72"/>
        <v/>
      </c>
    </row>
    <row r="3822">
      <c r="D3822" s="226"/>
      <c r="H3822" s="474"/>
      <c r="I3822" s="474"/>
      <c r="J3822" s="475"/>
      <c r="K3822" s="275"/>
      <c r="L3822" s="82"/>
      <c r="M3822" s="672"/>
      <c r="N3822" s="242"/>
      <c r="O3822" s="242"/>
      <c r="P3822" s="242"/>
      <c r="Q3822" s="242"/>
      <c r="R3822" s="539"/>
      <c r="S3822" s="540"/>
      <c r="T3822" s="543"/>
      <c r="U3822" s="673" t="b">
        <v>0</v>
      </c>
      <c r="Z3822" t="b">
        <v>0</v>
      </c>
      <c r="AA3822" t="b">
        <v>0</v>
      </c>
      <c r="AC3822" s="82"/>
      <c r="AD3822" t="str">
        <f t="shared" si="71"/>
        <v/>
      </c>
      <c r="AE3822" t="str">
        <f t="shared" si="72"/>
        <v/>
      </c>
    </row>
    <row r="3823">
      <c r="D3823" s="226"/>
      <c r="H3823" s="474"/>
      <c r="I3823" s="474"/>
      <c r="J3823" s="475"/>
      <c r="K3823" s="275"/>
      <c r="L3823" s="82"/>
      <c r="M3823" s="672"/>
      <c r="N3823" s="242"/>
      <c r="O3823" s="242"/>
      <c r="P3823" s="242"/>
      <c r="Q3823" s="242"/>
      <c r="R3823" s="539"/>
      <c r="S3823" s="540"/>
      <c r="T3823" s="543"/>
      <c r="U3823" s="673" t="b">
        <v>0</v>
      </c>
      <c r="Z3823" t="b">
        <v>0</v>
      </c>
      <c r="AA3823" t="b">
        <v>0</v>
      </c>
      <c r="AC3823" s="82"/>
      <c r="AD3823" t="str">
        <f t="shared" si="71"/>
        <v/>
      </c>
      <c r="AE3823" t="str">
        <f t="shared" si="72"/>
        <v/>
      </c>
    </row>
    <row r="3824">
      <c r="D3824" s="226"/>
      <c r="H3824" s="474"/>
      <c r="I3824" s="474"/>
      <c r="J3824" s="475"/>
      <c r="K3824" s="275"/>
      <c r="L3824" s="82"/>
      <c r="M3824" s="672"/>
      <c r="N3824" s="242"/>
      <c r="O3824" s="242"/>
      <c r="P3824" s="242"/>
      <c r="Q3824" s="242"/>
      <c r="R3824" s="539"/>
      <c r="S3824" s="540"/>
      <c r="T3824" s="543"/>
      <c r="U3824" s="673" t="b">
        <v>0</v>
      </c>
      <c r="Z3824" t="b">
        <v>0</v>
      </c>
      <c r="AA3824" t="b">
        <v>0</v>
      </c>
      <c r="AC3824" s="82"/>
      <c r="AD3824" t="str">
        <f t="shared" si="71"/>
        <v/>
      </c>
      <c r="AE3824" t="str">
        <f t="shared" si="72"/>
        <v/>
      </c>
    </row>
    <row r="3825">
      <c r="D3825" s="226"/>
      <c r="H3825" s="474"/>
      <c r="I3825" s="474"/>
      <c r="J3825" s="475"/>
      <c r="K3825" s="275"/>
      <c r="L3825" s="82"/>
      <c r="M3825" s="672"/>
      <c r="N3825" s="242"/>
      <c r="O3825" s="242"/>
      <c r="P3825" s="242"/>
      <c r="Q3825" s="242"/>
      <c r="R3825" s="539"/>
      <c r="S3825" s="540"/>
      <c r="T3825" s="543"/>
      <c r="U3825" s="673" t="b">
        <v>0</v>
      </c>
      <c r="Z3825" t="b">
        <v>0</v>
      </c>
      <c r="AA3825" t="b">
        <v>0</v>
      </c>
      <c r="AC3825" s="82"/>
      <c r="AD3825" t="str">
        <f t="shared" si="71"/>
        <v/>
      </c>
      <c r="AE3825" t="str">
        <f t="shared" si="72"/>
        <v/>
      </c>
    </row>
    <row r="3826">
      <c r="D3826" s="226"/>
      <c r="H3826" s="474"/>
      <c r="I3826" s="474"/>
      <c r="J3826" s="475"/>
      <c r="K3826" s="275"/>
      <c r="L3826" s="82"/>
      <c r="M3826" s="672"/>
      <c r="N3826" s="242"/>
      <c r="O3826" s="242"/>
      <c r="P3826" s="242"/>
      <c r="Q3826" s="242"/>
      <c r="R3826" s="539"/>
      <c r="S3826" s="540"/>
      <c r="T3826" s="543"/>
      <c r="U3826" s="673" t="b">
        <v>0</v>
      </c>
      <c r="Z3826" t="b">
        <v>0</v>
      </c>
      <c r="AA3826" t="b">
        <v>0</v>
      </c>
      <c r="AC3826" s="82"/>
      <c r="AD3826" t="str">
        <f t="shared" si="71"/>
        <v/>
      </c>
      <c r="AE3826" t="str">
        <f t="shared" si="72"/>
        <v/>
      </c>
    </row>
    <row r="3827">
      <c r="D3827" s="226"/>
      <c r="H3827" s="474"/>
      <c r="I3827" s="474"/>
      <c r="J3827" s="475"/>
      <c r="K3827" s="275"/>
      <c r="L3827" s="82"/>
      <c r="M3827" s="672"/>
      <c r="N3827" s="242"/>
      <c r="O3827" s="242"/>
      <c r="P3827" s="242"/>
      <c r="Q3827" s="242"/>
      <c r="R3827" s="539"/>
      <c r="S3827" s="540"/>
      <c r="T3827" s="543"/>
      <c r="U3827" s="673" t="b">
        <v>0</v>
      </c>
      <c r="Z3827" t="b">
        <v>0</v>
      </c>
      <c r="AA3827" t="b">
        <v>0</v>
      </c>
      <c r="AC3827" s="82"/>
      <c r="AD3827" t="str">
        <f t="shared" si="71"/>
        <v/>
      </c>
      <c r="AE3827" t="str">
        <f t="shared" si="72"/>
        <v/>
      </c>
    </row>
    <row r="3828">
      <c r="D3828" s="226"/>
      <c r="H3828" s="474"/>
      <c r="I3828" s="474"/>
      <c r="J3828" s="475"/>
      <c r="K3828" s="275"/>
      <c r="L3828" s="82"/>
      <c r="M3828" s="672"/>
      <c r="N3828" s="242"/>
      <c r="O3828" s="242"/>
      <c r="P3828" s="242"/>
      <c r="Q3828" s="242"/>
      <c r="R3828" s="539"/>
      <c r="S3828" s="540"/>
      <c r="T3828" s="543"/>
      <c r="U3828" s="673" t="b">
        <v>0</v>
      </c>
      <c r="Z3828" t="b">
        <v>0</v>
      </c>
      <c r="AA3828" t="b">
        <v>0</v>
      </c>
      <c r="AC3828" s="82"/>
      <c r="AD3828" t="str">
        <f t="shared" si="71"/>
        <v/>
      </c>
      <c r="AE3828" t="str">
        <f t="shared" si="72"/>
        <v/>
      </c>
    </row>
    <row r="3829">
      <c r="D3829" s="226"/>
      <c r="H3829" s="474"/>
      <c r="I3829" s="474"/>
      <c r="J3829" s="475"/>
      <c r="K3829" s="275"/>
      <c r="L3829" s="82"/>
      <c r="M3829" s="672"/>
      <c r="N3829" s="242"/>
      <c r="O3829" s="242"/>
      <c r="P3829" s="242"/>
      <c r="Q3829" s="242"/>
      <c r="R3829" s="539"/>
      <c r="S3829" s="540"/>
      <c r="T3829" s="543"/>
      <c r="U3829" s="673" t="b">
        <v>0</v>
      </c>
      <c r="Z3829" t="b">
        <v>0</v>
      </c>
      <c r="AA3829" t="b">
        <v>0</v>
      </c>
      <c r="AC3829" s="82"/>
      <c r="AD3829" t="str">
        <f t="shared" si="71"/>
        <v/>
      </c>
      <c r="AE3829" t="str">
        <f t="shared" si="72"/>
        <v/>
      </c>
    </row>
    <row r="3830">
      <c r="D3830" s="226"/>
      <c r="H3830" s="474"/>
      <c r="I3830" s="474"/>
      <c r="J3830" s="475"/>
      <c r="K3830" s="275"/>
      <c r="L3830" s="82"/>
      <c r="M3830" s="672"/>
      <c r="N3830" s="242"/>
      <c r="O3830" s="242"/>
      <c r="P3830" s="242"/>
      <c r="Q3830" s="242"/>
      <c r="R3830" s="539"/>
      <c r="S3830" s="540"/>
      <c r="T3830" s="543"/>
      <c r="U3830" s="673" t="b">
        <v>0</v>
      </c>
      <c r="Z3830" t="b">
        <v>0</v>
      </c>
      <c r="AA3830" t="b">
        <v>0</v>
      </c>
      <c r="AC3830" s="82"/>
      <c r="AD3830" t="str">
        <f t="shared" si="71"/>
        <v/>
      </c>
      <c r="AE3830" t="str">
        <f t="shared" si="72"/>
        <v/>
      </c>
    </row>
    <row r="3831">
      <c r="D3831" s="226"/>
      <c r="H3831" s="474"/>
      <c r="I3831" s="474"/>
      <c r="J3831" s="475"/>
      <c r="K3831" s="275"/>
      <c r="L3831" s="82"/>
      <c r="M3831" s="672"/>
      <c r="N3831" s="242"/>
      <c r="O3831" s="242"/>
      <c r="P3831" s="242"/>
      <c r="Q3831" s="242"/>
      <c r="R3831" s="539"/>
      <c r="S3831" s="540"/>
      <c r="T3831" s="543"/>
      <c r="U3831" s="673" t="b">
        <v>0</v>
      </c>
      <c r="Z3831" t="b">
        <v>0</v>
      </c>
      <c r="AA3831" t="b">
        <v>0</v>
      </c>
      <c r="AC3831" s="82"/>
      <c r="AD3831" t="str">
        <f t="shared" si="71"/>
        <v/>
      </c>
      <c r="AE3831" t="str">
        <f t="shared" si="72"/>
        <v/>
      </c>
    </row>
    <row r="3832">
      <c r="D3832" s="226"/>
      <c r="H3832" s="474"/>
      <c r="I3832" s="474"/>
      <c r="J3832" s="475"/>
      <c r="K3832" s="275"/>
      <c r="L3832" s="82"/>
      <c r="M3832" s="672"/>
      <c r="N3832" s="242"/>
      <c r="O3832" s="242"/>
      <c r="P3832" s="242"/>
      <c r="Q3832" s="242"/>
      <c r="R3832" s="539"/>
      <c r="S3832" s="540"/>
      <c r="T3832" s="543"/>
      <c r="U3832" s="673" t="b">
        <v>0</v>
      </c>
      <c r="Z3832" t="b">
        <v>0</v>
      </c>
      <c r="AA3832" t="b">
        <v>0</v>
      </c>
      <c r="AC3832" s="82"/>
      <c r="AD3832" t="str">
        <f t="shared" si="71"/>
        <v/>
      </c>
      <c r="AE3832" t="str">
        <f t="shared" si="72"/>
        <v/>
      </c>
    </row>
    <row r="3833">
      <c r="D3833" s="226"/>
      <c r="H3833" s="474"/>
      <c r="I3833" s="474"/>
      <c r="J3833" s="475"/>
      <c r="K3833" s="275"/>
      <c r="L3833" s="82"/>
      <c r="M3833" s="672"/>
      <c r="N3833" s="242"/>
      <c r="O3833" s="242"/>
      <c r="P3833" s="242"/>
      <c r="Q3833" s="242"/>
      <c r="R3833" s="539"/>
      <c r="S3833" s="540"/>
      <c r="T3833" s="543"/>
      <c r="U3833" s="673" t="b">
        <v>0</v>
      </c>
      <c r="Z3833" t="b">
        <v>0</v>
      </c>
      <c r="AA3833" t="b">
        <v>0</v>
      </c>
      <c r="AC3833" s="82"/>
      <c r="AD3833" t="str">
        <f t="shared" si="71"/>
        <v/>
      </c>
      <c r="AE3833" t="str">
        <f t="shared" si="72"/>
        <v/>
      </c>
    </row>
    <row r="3834">
      <c r="D3834" s="226"/>
      <c r="H3834" s="474"/>
      <c r="I3834" s="474"/>
      <c r="J3834" s="475"/>
      <c r="K3834" s="275"/>
      <c r="L3834" s="82"/>
      <c r="M3834" s="672"/>
      <c r="N3834" s="242"/>
      <c r="O3834" s="242"/>
      <c r="P3834" s="242"/>
      <c r="Q3834" s="242"/>
      <c r="R3834" s="539"/>
      <c r="S3834" s="540"/>
      <c r="T3834" s="543"/>
      <c r="U3834" s="673" t="b">
        <v>0</v>
      </c>
      <c r="Z3834" t="b">
        <v>0</v>
      </c>
      <c r="AA3834" t="b">
        <v>0</v>
      </c>
      <c r="AC3834" s="82"/>
      <c r="AD3834" t="str">
        <f t="shared" si="71"/>
        <v/>
      </c>
      <c r="AE3834" t="str">
        <f t="shared" si="72"/>
        <v/>
      </c>
    </row>
    <row r="3835">
      <c r="D3835" s="226"/>
      <c r="H3835" s="474"/>
      <c r="I3835" s="474"/>
      <c r="J3835" s="475"/>
      <c r="K3835" s="275"/>
      <c r="L3835" s="82"/>
      <c r="M3835" s="672"/>
      <c r="N3835" s="242"/>
      <c r="O3835" s="242"/>
      <c r="P3835" s="242"/>
      <c r="Q3835" s="242"/>
      <c r="R3835" s="539"/>
      <c r="S3835" s="540"/>
      <c r="T3835" s="543"/>
      <c r="U3835" s="673" t="b">
        <v>0</v>
      </c>
      <c r="Z3835" t="b">
        <v>0</v>
      </c>
      <c r="AA3835" t="b">
        <v>0</v>
      </c>
      <c r="AC3835" s="82"/>
      <c r="AD3835" t="str">
        <f t="shared" si="71"/>
        <v/>
      </c>
      <c r="AE3835" t="str">
        <f t="shared" si="72"/>
        <v/>
      </c>
    </row>
    <row r="3836">
      <c r="D3836" s="226"/>
      <c r="H3836" s="474"/>
      <c r="I3836" s="474"/>
      <c r="J3836" s="475"/>
      <c r="K3836" s="275"/>
      <c r="L3836" s="82"/>
      <c r="M3836" s="672"/>
      <c r="N3836" s="242"/>
      <c r="O3836" s="242"/>
      <c r="P3836" s="242"/>
      <c r="Q3836" s="242"/>
      <c r="R3836" s="539"/>
      <c r="S3836" s="540"/>
      <c r="T3836" s="543"/>
      <c r="U3836" s="673" t="b">
        <v>0</v>
      </c>
      <c r="Z3836" t="b">
        <v>0</v>
      </c>
      <c r="AA3836" t="b">
        <v>0</v>
      </c>
      <c r="AC3836" s="82"/>
      <c r="AD3836" t="str">
        <f t="shared" si="71"/>
        <v/>
      </c>
      <c r="AE3836" t="str">
        <f t="shared" si="72"/>
        <v/>
      </c>
    </row>
    <row r="3837">
      <c r="D3837" s="226"/>
      <c r="H3837" s="474"/>
      <c r="I3837" s="474"/>
      <c r="J3837" s="475"/>
      <c r="K3837" s="275"/>
      <c r="L3837" s="82"/>
      <c r="M3837" s="672"/>
      <c r="N3837" s="242"/>
      <c r="O3837" s="242"/>
      <c r="P3837" s="242"/>
      <c r="Q3837" s="242"/>
      <c r="R3837" s="539"/>
      <c r="S3837" s="540"/>
      <c r="T3837" s="543"/>
      <c r="U3837" s="673" t="b">
        <v>0</v>
      </c>
      <c r="Z3837" t="b">
        <v>0</v>
      </c>
      <c r="AA3837" t="b">
        <v>0</v>
      </c>
      <c r="AC3837" s="82"/>
      <c r="AD3837" t="str">
        <f t="shared" si="71"/>
        <v/>
      </c>
      <c r="AE3837" t="str">
        <f t="shared" si="72"/>
        <v/>
      </c>
    </row>
    <row r="3838">
      <c r="D3838" s="226"/>
      <c r="H3838" s="474"/>
      <c r="I3838" s="474"/>
      <c r="J3838" s="475"/>
      <c r="K3838" s="275"/>
      <c r="L3838" s="82"/>
      <c r="M3838" s="672"/>
      <c r="N3838" s="242"/>
      <c r="O3838" s="242"/>
      <c r="P3838" s="242"/>
      <c r="Q3838" s="242"/>
      <c r="R3838" s="539"/>
      <c r="S3838" s="540"/>
      <c r="T3838" s="543"/>
      <c r="U3838" s="673" t="b">
        <v>0</v>
      </c>
      <c r="Z3838" t="b">
        <v>0</v>
      </c>
      <c r="AA3838" t="b">
        <v>0</v>
      </c>
      <c r="AC3838" s="82"/>
      <c r="AD3838" t="str">
        <f t="shared" si="71"/>
        <v/>
      </c>
      <c r="AE3838" t="str">
        <f t="shared" si="72"/>
        <v/>
      </c>
    </row>
    <row r="3839">
      <c r="D3839" s="226"/>
      <c r="H3839" s="474"/>
      <c r="I3839" s="474"/>
      <c r="J3839" s="475"/>
      <c r="K3839" s="275"/>
      <c r="L3839" s="82"/>
      <c r="M3839" s="672"/>
      <c r="N3839" s="242"/>
      <c r="O3839" s="242"/>
      <c r="P3839" s="242"/>
      <c r="Q3839" s="242"/>
      <c r="R3839" s="539"/>
      <c r="S3839" s="540"/>
      <c r="T3839" s="543"/>
      <c r="U3839" s="673" t="b">
        <v>0</v>
      </c>
      <c r="Z3839" t="b">
        <v>0</v>
      </c>
      <c r="AA3839" t="b">
        <v>0</v>
      </c>
      <c r="AC3839" s="82"/>
      <c r="AD3839" t="str">
        <f t="shared" si="71"/>
        <v/>
      </c>
      <c r="AE3839" t="str">
        <f t="shared" si="72"/>
        <v/>
      </c>
    </row>
    <row r="3840">
      <c r="D3840" s="226"/>
      <c r="H3840" s="474"/>
      <c r="I3840" s="474"/>
      <c r="J3840" s="475"/>
      <c r="K3840" s="275"/>
      <c r="L3840" s="82"/>
      <c r="M3840" s="672"/>
      <c r="N3840" s="242"/>
      <c r="O3840" s="242"/>
      <c r="P3840" s="242"/>
      <c r="Q3840" s="242"/>
      <c r="R3840" s="539"/>
      <c r="S3840" s="540"/>
      <c r="T3840" s="543"/>
      <c r="U3840" s="673" t="b">
        <v>0</v>
      </c>
      <c r="Z3840" t="b">
        <v>0</v>
      </c>
      <c r="AA3840" t="b">
        <v>0</v>
      </c>
      <c r="AC3840" s="82"/>
      <c r="AD3840" t="str">
        <f t="shared" si="71"/>
        <v/>
      </c>
      <c r="AE3840" t="str">
        <f t="shared" si="72"/>
        <v/>
      </c>
    </row>
    <row r="3841">
      <c r="D3841" s="226"/>
      <c r="H3841" s="474"/>
      <c r="I3841" s="474"/>
      <c r="J3841" s="475"/>
      <c r="K3841" s="275"/>
      <c r="L3841" s="82"/>
      <c r="M3841" s="672"/>
      <c r="N3841" s="242"/>
      <c r="O3841" s="242"/>
      <c r="P3841" s="242"/>
      <c r="Q3841" s="242"/>
      <c r="R3841" s="539"/>
      <c r="S3841" s="540"/>
      <c r="T3841" s="543"/>
      <c r="U3841" s="673" t="b">
        <v>0</v>
      </c>
      <c r="Z3841" t="b">
        <v>0</v>
      </c>
      <c r="AA3841" t="b">
        <v>0</v>
      </c>
      <c r="AC3841" s="82"/>
      <c r="AD3841" t="str">
        <f t="shared" si="71"/>
        <v/>
      </c>
      <c r="AE3841" t="str">
        <f t="shared" si="72"/>
        <v/>
      </c>
    </row>
    <row r="3842">
      <c r="D3842" s="226"/>
      <c r="H3842" s="474"/>
      <c r="I3842" s="474"/>
      <c r="J3842" s="475"/>
      <c r="K3842" s="275"/>
      <c r="L3842" s="82"/>
      <c r="M3842" s="672"/>
      <c r="N3842" s="242"/>
      <c r="O3842" s="242"/>
      <c r="P3842" s="242"/>
      <c r="Q3842" s="242"/>
      <c r="R3842" s="539"/>
      <c r="S3842" s="540"/>
      <c r="T3842" s="543"/>
      <c r="U3842" s="673" t="b">
        <v>0</v>
      </c>
      <c r="Z3842" t="b">
        <v>0</v>
      </c>
      <c r="AA3842" t="b">
        <v>0</v>
      </c>
      <c r="AC3842" s="82"/>
      <c r="AD3842" t="str">
        <f t="shared" si="71"/>
        <v/>
      </c>
      <c r="AE3842" t="str">
        <f t="shared" si="72"/>
        <v/>
      </c>
    </row>
    <row r="3843">
      <c r="D3843" s="226"/>
      <c r="H3843" s="474"/>
      <c r="I3843" s="474"/>
      <c r="J3843" s="475"/>
      <c r="K3843" s="275"/>
      <c r="L3843" s="82"/>
      <c r="M3843" s="672"/>
      <c r="N3843" s="242"/>
      <c r="O3843" s="242"/>
      <c r="P3843" s="242"/>
      <c r="Q3843" s="242"/>
      <c r="R3843" s="539"/>
      <c r="S3843" s="540"/>
      <c r="T3843" s="543"/>
      <c r="U3843" s="673" t="b">
        <v>0</v>
      </c>
      <c r="Z3843" t="b">
        <v>0</v>
      </c>
      <c r="AA3843" t="b">
        <v>0</v>
      </c>
      <c r="AC3843" s="82"/>
      <c r="AD3843" t="str">
        <f t="shared" si="71"/>
        <v/>
      </c>
      <c r="AE3843" t="str">
        <f t="shared" si="72"/>
        <v/>
      </c>
    </row>
    <row r="3844">
      <c r="D3844" s="226"/>
      <c r="H3844" s="474"/>
      <c r="I3844" s="474"/>
      <c r="J3844" s="475"/>
      <c r="K3844" s="275"/>
      <c r="L3844" s="82"/>
      <c r="M3844" s="672"/>
      <c r="N3844" s="242"/>
      <c r="O3844" s="242"/>
      <c r="P3844" s="242"/>
      <c r="Q3844" s="242"/>
      <c r="R3844" s="539"/>
      <c r="S3844" s="540"/>
      <c r="T3844" s="543"/>
      <c r="U3844" s="673" t="b">
        <v>0</v>
      </c>
      <c r="Z3844" t="b">
        <v>0</v>
      </c>
      <c r="AA3844" t="b">
        <v>0</v>
      </c>
      <c r="AC3844" s="82"/>
      <c r="AD3844" t="str">
        <f t="shared" si="71"/>
        <v/>
      </c>
      <c r="AE3844" t="str">
        <f t="shared" si="72"/>
        <v/>
      </c>
    </row>
    <row r="3845">
      <c r="D3845" s="226"/>
      <c r="H3845" s="474"/>
      <c r="I3845" s="474"/>
      <c r="J3845" s="475"/>
      <c r="K3845" s="275"/>
      <c r="L3845" s="82"/>
      <c r="M3845" s="672"/>
      <c r="N3845" s="242"/>
      <c r="O3845" s="242"/>
      <c r="P3845" s="242"/>
      <c r="Q3845" s="242"/>
      <c r="R3845" s="539"/>
      <c r="S3845" s="540"/>
      <c r="T3845" s="543"/>
      <c r="U3845" s="673" t="b">
        <v>0</v>
      </c>
      <c r="Z3845" t="b">
        <v>0</v>
      </c>
      <c r="AA3845" t="b">
        <v>0</v>
      </c>
      <c r="AC3845" s="82"/>
      <c r="AD3845" t="str">
        <f t="shared" si="71"/>
        <v/>
      </c>
      <c r="AE3845" t="str">
        <f t="shared" si="72"/>
        <v/>
      </c>
    </row>
    <row r="3846">
      <c r="D3846" s="226"/>
      <c r="H3846" s="474"/>
      <c r="I3846" s="474"/>
      <c r="J3846" s="475"/>
      <c r="K3846" s="275"/>
      <c r="L3846" s="82"/>
      <c r="M3846" s="672"/>
      <c r="N3846" s="242"/>
      <c r="O3846" s="242"/>
      <c r="P3846" s="242"/>
      <c r="Q3846" s="242"/>
      <c r="R3846" s="539"/>
      <c r="S3846" s="540"/>
      <c r="T3846" s="543"/>
      <c r="U3846" s="673" t="b">
        <v>0</v>
      </c>
      <c r="Z3846" t="b">
        <v>0</v>
      </c>
      <c r="AA3846" t="b">
        <v>0</v>
      </c>
      <c r="AC3846" s="82"/>
      <c r="AD3846" t="str">
        <f t="shared" si="71"/>
        <v/>
      </c>
      <c r="AE3846" t="str">
        <f t="shared" si="72"/>
        <v/>
      </c>
    </row>
    <row r="3847">
      <c r="D3847" s="226"/>
      <c r="H3847" s="474"/>
      <c r="I3847" s="474"/>
      <c r="J3847" s="475"/>
      <c r="K3847" s="275"/>
      <c r="L3847" s="82"/>
      <c r="M3847" s="672"/>
      <c r="N3847" s="242"/>
      <c r="O3847" s="242"/>
      <c r="P3847" s="242"/>
      <c r="Q3847" s="242"/>
      <c r="R3847" s="539"/>
      <c r="S3847" s="540"/>
      <c r="T3847" s="543"/>
      <c r="U3847" s="673" t="b">
        <v>0</v>
      </c>
      <c r="Z3847" t="b">
        <v>0</v>
      </c>
      <c r="AA3847" t="b">
        <v>0</v>
      </c>
      <c r="AC3847" s="82"/>
      <c r="AD3847" t="str">
        <f t="shared" si="71"/>
        <v/>
      </c>
      <c r="AE3847" t="str">
        <f t="shared" si="72"/>
        <v/>
      </c>
    </row>
    <row r="3848">
      <c r="D3848" s="226"/>
      <c r="H3848" s="474"/>
      <c r="I3848" s="474"/>
      <c r="J3848" s="475"/>
      <c r="K3848" s="275"/>
      <c r="L3848" s="82"/>
      <c r="M3848" s="672"/>
      <c r="N3848" s="242"/>
      <c r="O3848" s="242"/>
      <c r="P3848" s="242"/>
      <c r="Q3848" s="242"/>
      <c r="R3848" s="539"/>
      <c r="S3848" s="540"/>
      <c r="T3848" s="543"/>
      <c r="U3848" s="673" t="b">
        <v>0</v>
      </c>
      <c r="Z3848" t="b">
        <v>0</v>
      </c>
      <c r="AA3848" t="b">
        <v>0</v>
      </c>
      <c r="AC3848" s="82"/>
      <c r="AD3848" t="str">
        <f t="shared" si="71"/>
        <v/>
      </c>
      <c r="AE3848" t="str">
        <f t="shared" si="72"/>
        <v/>
      </c>
    </row>
    <row r="3849">
      <c r="D3849" s="226"/>
      <c r="H3849" s="474"/>
      <c r="I3849" s="474"/>
      <c r="J3849" s="475"/>
      <c r="K3849" s="275"/>
      <c r="L3849" s="82"/>
      <c r="M3849" s="672"/>
      <c r="N3849" s="242"/>
      <c r="O3849" s="242"/>
      <c r="P3849" s="242"/>
      <c r="Q3849" s="242"/>
      <c r="R3849" s="539"/>
      <c r="S3849" s="540"/>
      <c r="T3849" s="543"/>
      <c r="U3849" s="673" t="b">
        <v>0</v>
      </c>
      <c r="Z3849" t="b">
        <v>0</v>
      </c>
      <c r="AA3849" t="b">
        <v>0</v>
      </c>
      <c r="AC3849" s="82"/>
      <c r="AD3849" t="str">
        <f t="shared" si="71"/>
        <v/>
      </c>
      <c r="AE3849" t="str">
        <f t="shared" si="72"/>
        <v/>
      </c>
    </row>
    <row r="3850">
      <c r="D3850" s="226"/>
      <c r="H3850" s="474"/>
      <c r="I3850" s="474"/>
      <c r="J3850" s="475"/>
      <c r="K3850" s="275"/>
      <c r="L3850" s="82"/>
      <c r="M3850" s="672"/>
      <c r="N3850" s="242"/>
      <c r="O3850" s="242"/>
      <c r="P3850" s="242"/>
      <c r="Q3850" s="242"/>
      <c r="R3850" s="539"/>
      <c r="S3850" s="540"/>
      <c r="T3850" s="543"/>
      <c r="U3850" s="673" t="b">
        <v>0</v>
      </c>
      <c r="Z3850" t="b">
        <v>0</v>
      </c>
      <c r="AA3850" t="b">
        <v>0</v>
      </c>
      <c r="AC3850" s="82"/>
      <c r="AD3850" t="str">
        <f t="shared" si="71"/>
        <v/>
      </c>
      <c r="AE3850" t="str">
        <f t="shared" si="72"/>
        <v/>
      </c>
    </row>
    <row r="3851">
      <c r="D3851" s="226"/>
      <c r="H3851" s="474"/>
      <c r="I3851" s="474"/>
      <c r="J3851" s="475"/>
      <c r="K3851" s="275"/>
      <c r="L3851" s="82"/>
      <c r="M3851" s="672"/>
      <c r="N3851" s="242"/>
      <c r="O3851" s="242"/>
      <c r="P3851" s="242"/>
      <c r="Q3851" s="242"/>
      <c r="R3851" s="539"/>
      <c r="S3851" s="540"/>
      <c r="T3851" s="543"/>
      <c r="U3851" s="673" t="b">
        <v>0</v>
      </c>
      <c r="Z3851" t="b">
        <v>0</v>
      </c>
      <c r="AA3851" t="b">
        <v>0</v>
      </c>
      <c r="AC3851" s="82"/>
      <c r="AD3851" t="str">
        <f t="shared" si="71"/>
        <v/>
      </c>
      <c r="AE3851" t="str">
        <f t="shared" si="72"/>
        <v/>
      </c>
    </row>
    <row r="3852">
      <c r="D3852" s="226"/>
      <c r="H3852" s="474"/>
      <c r="I3852" s="474"/>
      <c r="J3852" s="475"/>
      <c r="K3852" s="275"/>
      <c r="L3852" s="82"/>
      <c r="M3852" s="672"/>
      <c r="N3852" s="242"/>
      <c r="O3852" s="242"/>
      <c r="P3852" s="242"/>
      <c r="Q3852" s="242"/>
      <c r="R3852" s="539"/>
      <c r="S3852" s="540"/>
      <c r="T3852" s="543"/>
      <c r="U3852" s="673" t="b">
        <v>0</v>
      </c>
      <c r="Z3852" t="b">
        <v>0</v>
      </c>
      <c r="AA3852" t="b">
        <v>0</v>
      </c>
      <c r="AC3852" s="82"/>
      <c r="AD3852" t="str">
        <f t="shared" si="71"/>
        <v/>
      </c>
      <c r="AE3852" t="str">
        <f t="shared" si="72"/>
        <v/>
      </c>
    </row>
    <row r="3853">
      <c r="D3853" s="226"/>
      <c r="H3853" s="474"/>
      <c r="I3853" s="474"/>
      <c r="J3853" s="475"/>
      <c r="K3853" s="275"/>
      <c r="L3853" s="82"/>
      <c r="M3853" s="672"/>
      <c r="N3853" s="242"/>
      <c r="O3853" s="242"/>
      <c r="P3853" s="242"/>
      <c r="Q3853" s="242"/>
      <c r="R3853" s="539"/>
      <c r="S3853" s="540"/>
      <c r="T3853" s="543"/>
      <c r="U3853" s="673" t="b">
        <v>0</v>
      </c>
      <c r="Z3853" t="b">
        <v>0</v>
      </c>
      <c r="AA3853" t="b">
        <v>0</v>
      </c>
      <c r="AC3853" s="82"/>
      <c r="AD3853" t="str">
        <f t="shared" si="71"/>
        <v/>
      </c>
      <c r="AE3853" t="str">
        <f t="shared" si="72"/>
        <v/>
      </c>
    </row>
    <row r="3854">
      <c r="D3854" s="226"/>
      <c r="H3854" s="474"/>
      <c r="I3854" s="474"/>
      <c r="J3854" s="475"/>
      <c r="K3854" s="275"/>
      <c r="L3854" s="82"/>
      <c r="M3854" s="672"/>
      <c r="N3854" s="242"/>
      <c r="O3854" s="242"/>
      <c r="P3854" s="242"/>
      <c r="Q3854" s="242"/>
      <c r="R3854" s="539"/>
      <c r="S3854" s="540"/>
      <c r="T3854" s="543"/>
      <c r="U3854" s="673" t="b">
        <v>0</v>
      </c>
      <c r="Z3854" t="b">
        <v>0</v>
      </c>
      <c r="AA3854" t="b">
        <v>0</v>
      </c>
      <c r="AC3854" s="82"/>
      <c r="AD3854" t="str">
        <f t="shared" si="71"/>
        <v/>
      </c>
      <c r="AE3854" t="str">
        <f t="shared" si="72"/>
        <v/>
      </c>
    </row>
    <row r="3855">
      <c r="D3855" s="226"/>
      <c r="H3855" s="474"/>
      <c r="I3855" s="474"/>
      <c r="J3855" s="475"/>
      <c r="K3855" s="275"/>
      <c r="L3855" s="82"/>
      <c r="M3855" s="672"/>
      <c r="N3855" s="242"/>
      <c r="O3855" s="242"/>
      <c r="P3855" s="242"/>
      <c r="Q3855" s="242"/>
      <c r="R3855" s="539"/>
      <c r="S3855" s="540"/>
      <c r="T3855" s="543"/>
      <c r="U3855" s="673" t="b">
        <v>0</v>
      </c>
      <c r="Z3855" t="b">
        <v>0</v>
      </c>
      <c r="AA3855" t="b">
        <v>0</v>
      </c>
      <c r="AC3855" s="82"/>
      <c r="AD3855" t="str">
        <f t="shared" si="71"/>
        <v/>
      </c>
      <c r="AE3855" t="str">
        <f t="shared" si="72"/>
        <v/>
      </c>
    </row>
    <row r="3856">
      <c r="D3856" s="226"/>
      <c r="H3856" s="474"/>
      <c r="I3856" s="474"/>
      <c r="J3856" s="475"/>
      <c r="K3856" s="275"/>
      <c r="L3856" s="82"/>
      <c r="M3856" s="672"/>
      <c r="N3856" s="242"/>
      <c r="O3856" s="242"/>
      <c r="P3856" s="242"/>
      <c r="Q3856" s="242"/>
      <c r="R3856" s="539"/>
      <c r="S3856" s="540"/>
      <c r="T3856" s="543"/>
      <c r="U3856" s="673" t="b">
        <v>0</v>
      </c>
      <c r="Z3856" t="b">
        <v>0</v>
      </c>
      <c r="AA3856" t="b">
        <v>0</v>
      </c>
      <c r="AC3856" s="82"/>
      <c r="AD3856" t="str">
        <f t="shared" si="71"/>
        <v/>
      </c>
      <c r="AE3856" t="str">
        <f t="shared" si="72"/>
        <v/>
      </c>
    </row>
    <row r="3857">
      <c r="D3857" s="226"/>
      <c r="H3857" s="474"/>
      <c r="I3857" s="474"/>
      <c r="J3857" s="475"/>
      <c r="K3857" s="275"/>
      <c r="L3857" s="82"/>
      <c r="M3857" s="672"/>
      <c r="N3857" s="242"/>
      <c r="O3857" s="242"/>
      <c r="P3857" s="242"/>
      <c r="Q3857" s="242"/>
      <c r="R3857" s="539"/>
      <c r="S3857" s="540"/>
      <c r="T3857" s="543"/>
      <c r="U3857" s="673" t="b">
        <v>0</v>
      </c>
      <c r="Z3857" t="b">
        <v>0</v>
      </c>
      <c r="AA3857" t="b">
        <v>0</v>
      </c>
      <c r="AC3857" s="82"/>
      <c r="AD3857" t="str">
        <f t="shared" si="71"/>
        <v/>
      </c>
      <c r="AE3857" t="str">
        <f t="shared" si="72"/>
        <v/>
      </c>
    </row>
    <row r="3858">
      <c r="D3858" s="226"/>
      <c r="H3858" s="474"/>
      <c r="I3858" s="474"/>
      <c r="J3858" s="475"/>
      <c r="K3858" s="275"/>
      <c r="L3858" s="82"/>
      <c r="M3858" s="672"/>
      <c r="N3858" s="242"/>
      <c r="O3858" s="242"/>
      <c r="P3858" s="242"/>
      <c r="Q3858" s="242"/>
      <c r="R3858" s="539"/>
      <c r="S3858" s="540"/>
      <c r="T3858" s="543"/>
      <c r="U3858" s="673" t="b">
        <v>0</v>
      </c>
      <c r="Z3858" t="b">
        <v>0</v>
      </c>
      <c r="AA3858" t="b">
        <v>0</v>
      </c>
      <c r="AC3858" s="82"/>
      <c r="AD3858" t="str">
        <f t="shared" si="71"/>
        <v/>
      </c>
      <c r="AE3858" t="str">
        <f t="shared" si="72"/>
        <v/>
      </c>
    </row>
    <row r="3859">
      <c r="D3859" s="226"/>
      <c r="H3859" s="474"/>
      <c r="I3859" s="474"/>
      <c r="J3859" s="475"/>
      <c r="K3859" s="275"/>
      <c r="L3859" s="82"/>
      <c r="M3859" s="672"/>
      <c r="N3859" s="242"/>
      <c r="O3859" s="242"/>
      <c r="P3859" s="242"/>
      <c r="Q3859" s="242"/>
      <c r="R3859" s="539"/>
      <c r="S3859" s="540"/>
      <c r="T3859" s="543"/>
      <c r="U3859" s="673" t="b">
        <v>0</v>
      </c>
      <c r="Z3859" t="b">
        <v>0</v>
      </c>
      <c r="AA3859" t="b">
        <v>0</v>
      </c>
      <c r="AC3859" s="82"/>
      <c r="AD3859" t="str">
        <f t="shared" si="71"/>
        <v/>
      </c>
      <c r="AE3859" t="str">
        <f t="shared" si="72"/>
        <v/>
      </c>
    </row>
    <row r="3860">
      <c r="D3860" s="226"/>
      <c r="H3860" s="474"/>
      <c r="I3860" s="474"/>
      <c r="J3860" s="475"/>
      <c r="K3860" s="275"/>
      <c r="L3860" s="82"/>
      <c r="M3860" s="672"/>
      <c r="N3860" s="242"/>
      <c r="O3860" s="242"/>
      <c r="P3860" s="242"/>
      <c r="Q3860" s="242"/>
      <c r="R3860" s="539"/>
      <c r="S3860" s="540"/>
      <c r="T3860" s="543"/>
      <c r="U3860" s="673" t="b">
        <v>0</v>
      </c>
      <c r="Z3860" t="b">
        <v>0</v>
      </c>
      <c r="AA3860" t="b">
        <v>0</v>
      </c>
      <c r="AC3860" s="82"/>
      <c r="AD3860" t="str">
        <f t="shared" si="71"/>
        <v/>
      </c>
      <c r="AE3860" t="str">
        <f t="shared" si="72"/>
        <v/>
      </c>
    </row>
    <row r="3861">
      <c r="D3861" s="226"/>
      <c r="H3861" s="474"/>
      <c r="I3861" s="474"/>
      <c r="J3861" s="475"/>
      <c r="K3861" s="275"/>
      <c r="L3861" s="82"/>
      <c r="M3861" s="672"/>
      <c r="N3861" s="242"/>
      <c r="O3861" s="242"/>
      <c r="P3861" s="242"/>
      <c r="Q3861" s="242"/>
      <c r="R3861" s="539"/>
      <c r="S3861" s="540"/>
      <c r="T3861" s="543"/>
      <c r="U3861" s="673" t="b">
        <v>0</v>
      </c>
      <c r="Z3861" t="b">
        <v>0</v>
      </c>
      <c r="AA3861" t="b">
        <v>0</v>
      </c>
      <c r="AC3861" s="82"/>
      <c r="AD3861" t="str">
        <f t="shared" si="71"/>
        <v/>
      </c>
      <c r="AE3861" t="str">
        <f t="shared" si="72"/>
        <v/>
      </c>
    </row>
    <row r="3862">
      <c r="D3862" s="226"/>
      <c r="H3862" s="474"/>
      <c r="I3862" s="474"/>
      <c r="J3862" s="475"/>
      <c r="K3862" s="275"/>
      <c r="L3862" s="82"/>
      <c r="M3862" s="672"/>
      <c r="N3862" s="242"/>
      <c r="O3862" s="242"/>
      <c r="P3862" s="242"/>
      <c r="Q3862" s="242"/>
      <c r="R3862" s="539"/>
      <c r="S3862" s="540"/>
      <c r="T3862" s="543"/>
      <c r="U3862" s="673" t="b">
        <v>0</v>
      </c>
      <c r="Z3862" t="b">
        <v>0</v>
      </c>
      <c r="AA3862" t="b">
        <v>0</v>
      </c>
      <c r="AC3862" s="82"/>
      <c r="AD3862" t="str">
        <f t="shared" si="71"/>
        <v/>
      </c>
      <c r="AE3862" t="str">
        <f t="shared" si="72"/>
        <v/>
      </c>
    </row>
    <row r="3863">
      <c r="D3863" s="226"/>
      <c r="H3863" s="474"/>
      <c r="I3863" s="474"/>
      <c r="J3863" s="475"/>
      <c r="K3863" s="275"/>
      <c r="L3863" s="82"/>
      <c r="M3863" s="672"/>
      <c r="N3863" s="242"/>
      <c r="O3863" s="242"/>
      <c r="P3863" s="242"/>
      <c r="Q3863" s="242"/>
      <c r="R3863" s="539"/>
      <c r="S3863" s="540"/>
      <c r="T3863" s="543"/>
      <c r="U3863" s="673" t="b">
        <v>0</v>
      </c>
      <c r="Z3863" t="b">
        <v>0</v>
      </c>
      <c r="AA3863" t="b">
        <v>0</v>
      </c>
      <c r="AC3863" s="82"/>
      <c r="AD3863" t="str">
        <f t="shared" si="71"/>
        <v/>
      </c>
      <c r="AE3863" t="str">
        <f t="shared" si="72"/>
        <v/>
      </c>
    </row>
    <row r="3864">
      <c r="D3864" s="226"/>
      <c r="H3864" s="474"/>
      <c r="I3864" s="474"/>
      <c r="J3864" s="475"/>
      <c r="K3864" s="275"/>
      <c r="L3864" s="82"/>
      <c r="M3864" s="672"/>
      <c r="N3864" s="242"/>
      <c r="O3864" s="242"/>
      <c r="P3864" s="242"/>
      <c r="Q3864" s="242"/>
      <c r="R3864" s="539"/>
      <c r="S3864" s="540"/>
      <c r="T3864" s="543"/>
      <c r="U3864" s="673" t="b">
        <v>0</v>
      </c>
      <c r="Z3864" t="b">
        <v>0</v>
      </c>
      <c r="AA3864" t="b">
        <v>0</v>
      </c>
      <c r="AC3864" s="82"/>
      <c r="AD3864" t="str">
        <f t="shared" si="71"/>
        <v/>
      </c>
      <c r="AE3864" t="str">
        <f t="shared" si="72"/>
        <v/>
      </c>
    </row>
    <row r="3865">
      <c r="D3865" s="226"/>
      <c r="H3865" s="474"/>
      <c r="I3865" s="474"/>
      <c r="J3865" s="475"/>
      <c r="K3865" s="275"/>
      <c r="L3865" s="82"/>
      <c r="M3865" s="672"/>
      <c r="N3865" s="242"/>
      <c r="O3865" s="242"/>
      <c r="P3865" s="242"/>
      <c r="Q3865" s="242"/>
      <c r="R3865" s="539"/>
      <c r="S3865" s="540"/>
      <c r="T3865" s="543"/>
      <c r="U3865" s="673" t="b">
        <v>0</v>
      </c>
      <c r="Z3865" t="b">
        <v>0</v>
      </c>
      <c r="AA3865" t="b">
        <v>0</v>
      </c>
      <c r="AC3865" s="82"/>
      <c r="AD3865" t="str">
        <f t="shared" si="71"/>
        <v/>
      </c>
      <c r="AE3865" t="str">
        <f t="shared" si="72"/>
        <v/>
      </c>
    </row>
    <row r="3866">
      <c r="D3866" s="226"/>
      <c r="H3866" s="474"/>
      <c r="I3866" s="474"/>
      <c r="J3866" s="475"/>
      <c r="K3866" s="275"/>
      <c r="L3866" s="82"/>
      <c r="M3866" s="672"/>
      <c r="N3866" s="242"/>
      <c r="O3866" s="242"/>
      <c r="P3866" s="242"/>
      <c r="Q3866" s="242"/>
      <c r="R3866" s="539"/>
      <c r="S3866" s="540"/>
      <c r="T3866" s="543"/>
      <c r="U3866" s="673" t="b">
        <v>0</v>
      </c>
      <c r="Z3866" t="b">
        <v>0</v>
      </c>
      <c r="AA3866" t="b">
        <v>0</v>
      </c>
      <c r="AC3866" s="82"/>
      <c r="AD3866" t="str">
        <f t="shared" si="71"/>
        <v/>
      </c>
      <c r="AE3866" t="str">
        <f t="shared" si="72"/>
        <v/>
      </c>
    </row>
    <row r="3867">
      <c r="D3867" s="226"/>
      <c r="H3867" s="474"/>
      <c r="I3867" s="474"/>
      <c r="J3867" s="475"/>
      <c r="K3867" s="275"/>
      <c r="L3867" s="82"/>
      <c r="M3867" s="672"/>
      <c r="N3867" s="242"/>
      <c r="O3867" s="242"/>
      <c r="P3867" s="242"/>
      <c r="Q3867" s="242"/>
      <c r="R3867" s="539"/>
      <c r="S3867" s="540"/>
      <c r="T3867" s="543"/>
      <c r="U3867" s="673" t="b">
        <v>0</v>
      </c>
      <c r="Z3867" t="b">
        <v>0</v>
      </c>
      <c r="AA3867" t="b">
        <v>0</v>
      </c>
      <c r="AC3867" s="82"/>
      <c r="AD3867" t="str">
        <f t="shared" si="71"/>
        <v/>
      </c>
      <c r="AE3867" t="str">
        <f t="shared" si="72"/>
        <v/>
      </c>
    </row>
    <row r="3868">
      <c r="D3868" s="226"/>
      <c r="H3868" s="474"/>
      <c r="I3868" s="474"/>
      <c r="J3868" s="475"/>
      <c r="K3868" s="275"/>
      <c r="L3868" s="82"/>
      <c r="M3868" s="672"/>
      <c r="N3868" s="242"/>
      <c r="O3868" s="242"/>
      <c r="P3868" s="242"/>
      <c r="Q3868" s="242"/>
      <c r="R3868" s="539"/>
      <c r="S3868" s="540"/>
      <c r="T3868" s="543"/>
      <c r="U3868" s="673" t="b">
        <v>0</v>
      </c>
      <c r="Z3868" t="b">
        <v>0</v>
      </c>
      <c r="AA3868" t="b">
        <v>0</v>
      </c>
      <c r="AC3868" s="82"/>
      <c r="AD3868" t="str">
        <f t="shared" si="71"/>
        <v/>
      </c>
      <c r="AE3868" t="str">
        <f t="shared" si="72"/>
        <v/>
      </c>
    </row>
    <row r="3869">
      <c r="D3869" s="226"/>
      <c r="H3869" s="474"/>
      <c r="I3869" s="474"/>
      <c r="J3869" s="475"/>
      <c r="K3869" s="275"/>
      <c r="L3869" s="82"/>
      <c r="M3869" s="672"/>
      <c r="N3869" s="242"/>
      <c r="O3869" s="242"/>
      <c r="P3869" s="242"/>
      <c r="Q3869" s="242"/>
      <c r="R3869" s="539"/>
      <c r="S3869" s="540"/>
      <c r="T3869" s="543"/>
      <c r="U3869" s="673" t="b">
        <v>0</v>
      </c>
      <c r="Z3869" t="b">
        <v>0</v>
      </c>
      <c r="AA3869" t="b">
        <v>0</v>
      </c>
      <c r="AC3869" s="82"/>
      <c r="AD3869" t="str">
        <f t="shared" si="71"/>
        <v/>
      </c>
      <c r="AE3869" t="str">
        <f t="shared" si="72"/>
        <v/>
      </c>
    </row>
    <row r="3870">
      <c r="D3870" s="226"/>
      <c r="H3870" s="474"/>
      <c r="I3870" s="474"/>
      <c r="J3870" s="475"/>
      <c r="K3870" s="275"/>
      <c r="L3870" s="82"/>
      <c r="M3870" s="672"/>
      <c r="N3870" s="242"/>
      <c r="O3870" s="242"/>
      <c r="P3870" s="242"/>
      <c r="Q3870" s="242"/>
      <c r="R3870" s="539"/>
      <c r="S3870" s="540"/>
      <c r="T3870" s="543"/>
      <c r="U3870" s="673" t="b">
        <v>0</v>
      </c>
      <c r="Z3870" t="b">
        <v>0</v>
      </c>
      <c r="AA3870" t="b">
        <v>0</v>
      </c>
      <c r="AC3870" s="82"/>
      <c r="AD3870" t="str">
        <f t="shared" si="71"/>
        <v/>
      </c>
      <c r="AE3870" t="str">
        <f t="shared" si="72"/>
        <v/>
      </c>
    </row>
    <row r="3871">
      <c r="D3871" s="226"/>
      <c r="H3871" s="474"/>
      <c r="I3871" s="474"/>
      <c r="J3871" s="475"/>
      <c r="K3871" s="275"/>
      <c r="L3871" s="82"/>
      <c r="M3871" s="672"/>
      <c r="N3871" s="242"/>
      <c r="O3871" s="242"/>
      <c r="P3871" s="242"/>
      <c r="Q3871" s="242"/>
      <c r="R3871" s="539"/>
      <c r="S3871" s="540"/>
      <c r="T3871" s="543"/>
      <c r="U3871" s="673" t="b">
        <v>0</v>
      </c>
      <c r="Z3871" t="b">
        <v>0</v>
      </c>
      <c r="AA3871" t="b">
        <v>0</v>
      </c>
      <c r="AC3871" s="82"/>
      <c r="AD3871" t="str">
        <f t="shared" si="71"/>
        <v/>
      </c>
      <c r="AE3871" t="str">
        <f t="shared" si="72"/>
        <v/>
      </c>
    </row>
    <row r="3872">
      <c r="D3872" s="226"/>
      <c r="H3872" s="474"/>
      <c r="I3872" s="474"/>
      <c r="J3872" s="475"/>
      <c r="K3872" s="275"/>
      <c r="L3872" s="82"/>
      <c r="M3872" s="672"/>
      <c r="N3872" s="242"/>
      <c r="O3872" s="242"/>
      <c r="P3872" s="242"/>
      <c r="Q3872" s="242"/>
      <c r="R3872" s="539"/>
      <c r="S3872" s="540"/>
      <c r="T3872" s="543"/>
      <c r="U3872" s="673" t="b">
        <v>0</v>
      </c>
      <c r="Z3872" t="b">
        <v>0</v>
      </c>
      <c r="AA3872" t="b">
        <v>0</v>
      </c>
      <c r="AC3872" s="82"/>
      <c r="AD3872" t="str">
        <f t="shared" si="71"/>
        <v/>
      </c>
      <c r="AE3872" t="str">
        <f t="shared" si="72"/>
        <v/>
      </c>
    </row>
    <row r="3873">
      <c r="D3873" s="226"/>
      <c r="H3873" s="474"/>
      <c r="I3873" s="474"/>
      <c r="J3873" s="475"/>
      <c r="K3873" s="275"/>
      <c r="L3873" s="82"/>
      <c r="M3873" s="672"/>
      <c r="N3873" s="242"/>
      <c r="O3873" s="242"/>
      <c r="P3873" s="242"/>
      <c r="Q3873" s="242"/>
      <c r="R3873" s="539"/>
      <c r="S3873" s="540"/>
      <c r="T3873" s="543"/>
      <c r="U3873" s="673" t="b">
        <v>0</v>
      </c>
      <c r="Z3873" t="b">
        <v>0</v>
      </c>
      <c r="AA3873" t="b">
        <v>0</v>
      </c>
      <c r="AC3873" s="82"/>
      <c r="AD3873" t="str">
        <f t="shared" si="71"/>
        <v/>
      </c>
      <c r="AE3873" t="str">
        <f t="shared" si="72"/>
        <v/>
      </c>
    </row>
    <row r="3874">
      <c r="D3874" s="226"/>
      <c r="H3874" s="474"/>
      <c r="I3874" s="474"/>
      <c r="J3874" s="475"/>
      <c r="K3874" s="275"/>
      <c r="L3874" s="82"/>
      <c r="M3874" s="672"/>
      <c r="N3874" s="242"/>
      <c r="O3874" s="242"/>
      <c r="P3874" s="242"/>
      <c r="Q3874" s="242"/>
      <c r="R3874" s="539"/>
      <c r="S3874" s="540"/>
      <c r="T3874" s="543"/>
      <c r="U3874" s="673" t="b">
        <v>0</v>
      </c>
      <c r="Z3874" t="b">
        <v>0</v>
      </c>
      <c r="AA3874" t="b">
        <v>0</v>
      </c>
      <c r="AC3874" s="82"/>
      <c r="AD3874" t="str">
        <f t="shared" si="71"/>
        <v/>
      </c>
      <c r="AE3874" t="str">
        <f t="shared" si="72"/>
        <v/>
      </c>
    </row>
    <row r="3875">
      <c r="D3875" s="226"/>
      <c r="H3875" s="474"/>
      <c r="I3875" s="474"/>
      <c r="J3875" s="475"/>
      <c r="K3875" s="275"/>
      <c r="L3875" s="82"/>
      <c r="M3875" s="672"/>
      <c r="N3875" s="242"/>
      <c r="O3875" s="242"/>
      <c r="P3875" s="242"/>
      <c r="Q3875" s="242"/>
      <c r="R3875" s="539"/>
      <c r="S3875" s="540"/>
      <c r="T3875" s="543"/>
      <c r="U3875" s="673" t="b">
        <v>0</v>
      </c>
      <c r="Z3875" t="b">
        <v>0</v>
      </c>
      <c r="AA3875" t="b">
        <v>0</v>
      </c>
      <c r="AC3875" s="82"/>
      <c r="AD3875" t="str">
        <f t="shared" si="71"/>
        <v/>
      </c>
      <c r="AE3875" t="str">
        <f t="shared" si="72"/>
        <v/>
      </c>
    </row>
    <row r="3876">
      <c r="D3876" s="226"/>
      <c r="H3876" s="474"/>
      <c r="I3876" s="474"/>
      <c r="J3876" s="475"/>
      <c r="K3876" s="275"/>
      <c r="L3876" s="82"/>
      <c r="M3876" s="672"/>
      <c r="N3876" s="242"/>
      <c r="O3876" s="242"/>
      <c r="P3876" s="242"/>
      <c r="Q3876" s="242"/>
      <c r="R3876" s="539"/>
      <c r="S3876" s="540"/>
      <c r="T3876" s="543"/>
      <c r="U3876" s="673" t="b">
        <v>0</v>
      </c>
      <c r="Z3876" t="b">
        <v>0</v>
      </c>
      <c r="AA3876" t="b">
        <v>0</v>
      </c>
      <c r="AC3876" s="82"/>
      <c r="AD3876" t="str">
        <f t="shared" si="71"/>
        <v/>
      </c>
      <c r="AE3876" t="str">
        <f t="shared" si="72"/>
        <v/>
      </c>
    </row>
    <row r="3877">
      <c r="D3877" s="226"/>
      <c r="H3877" s="474"/>
      <c r="I3877" s="474"/>
      <c r="J3877" s="475"/>
      <c r="K3877" s="275"/>
      <c r="L3877" s="82"/>
      <c r="M3877" s="672"/>
      <c r="N3877" s="242"/>
      <c r="O3877" s="242"/>
      <c r="P3877" s="242"/>
      <c r="Q3877" s="242"/>
      <c r="R3877" s="539"/>
      <c r="S3877" s="540"/>
      <c r="T3877" s="543"/>
      <c r="U3877" s="673" t="b">
        <v>0</v>
      </c>
      <c r="Z3877" t="b">
        <v>0</v>
      </c>
      <c r="AA3877" t="b">
        <v>0</v>
      </c>
      <c r="AC3877" s="82"/>
      <c r="AD3877" t="str">
        <f t="shared" si="71"/>
        <v/>
      </c>
      <c r="AE3877" t="str">
        <f t="shared" si="72"/>
        <v/>
      </c>
    </row>
    <row r="3878">
      <c r="D3878" s="226"/>
      <c r="H3878" s="474"/>
      <c r="I3878" s="474"/>
      <c r="J3878" s="475"/>
      <c r="K3878" s="275"/>
      <c r="L3878" s="82"/>
      <c r="M3878" s="672"/>
      <c r="N3878" s="242"/>
      <c r="O3878" s="242"/>
      <c r="P3878" s="242"/>
      <c r="Q3878" s="242"/>
      <c r="R3878" s="539"/>
      <c r="S3878" s="540"/>
      <c r="T3878" s="543"/>
      <c r="U3878" s="673" t="b">
        <v>0</v>
      </c>
      <c r="Z3878" t="b">
        <v>0</v>
      </c>
      <c r="AA3878" t="b">
        <v>0</v>
      </c>
      <c r="AC3878" s="82"/>
      <c r="AD3878" t="str">
        <f t="shared" si="71"/>
        <v/>
      </c>
      <c r="AE3878" t="str">
        <f t="shared" si="72"/>
        <v/>
      </c>
    </row>
    <row r="3879">
      <c r="D3879" s="226"/>
      <c r="H3879" s="474"/>
      <c r="I3879" s="474"/>
      <c r="J3879" s="475"/>
      <c r="K3879" s="275"/>
      <c r="L3879" s="82"/>
      <c r="M3879" s="672"/>
      <c r="N3879" s="242"/>
      <c r="O3879" s="242"/>
      <c r="P3879" s="242"/>
      <c r="Q3879" s="242"/>
      <c r="R3879" s="539"/>
      <c r="S3879" s="540"/>
      <c r="T3879" s="543"/>
      <c r="U3879" s="673" t="b">
        <v>0</v>
      </c>
      <c r="Z3879" t="b">
        <v>0</v>
      </c>
      <c r="AA3879" t="b">
        <v>0</v>
      </c>
      <c r="AC3879" s="82"/>
      <c r="AD3879" t="str">
        <f t="shared" si="71"/>
        <v/>
      </c>
      <c r="AE3879" t="str">
        <f t="shared" si="72"/>
        <v/>
      </c>
    </row>
    <row r="3880">
      <c r="D3880" s="226"/>
      <c r="H3880" s="474"/>
      <c r="I3880" s="474"/>
      <c r="J3880" s="475"/>
      <c r="K3880" s="275"/>
      <c r="L3880" s="82"/>
      <c r="M3880" s="672"/>
      <c r="N3880" s="242"/>
      <c r="O3880" s="242"/>
      <c r="P3880" s="242"/>
      <c r="Q3880" s="242"/>
      <c r="R3880" s="539"/>
      <c r="S3880" s="540"/>
      <c r="T3880" s="543"/>
      <c r="U3880" s="673" t="b">
        <v>0</v>
      </c>
      <c r="Z3880" t="b">
        <v>0</v>
      </c>
      <c r="AA3880" t="b">
        <v>0</v>
      </c>
      <c r="AC3880" s="82"/>
      <c r="AD3880" t="str">
        <f t="shared" si="71"/>
        <v/>
      </c>
      <c r="AE3880" t="str">
        <f t="shared" si="72"/>
        <v/>
      </c>
    </row>
    <row r="3881">
      <c r="D3881" s="226"/>
      <c r="H3881" s="474"/>
      <c r="I3881" s="474"/>
      <c r="J3881" s="475"/>
      <c r="K3881" s="275"/>
      <c r="L3881" s="82"/>
      <c r="M3881" s="672"/>
      <c r="N3881" s="242"/>
      <c r="O3881" s="242"/>
      <c r="P3881" s="242"/>
      <c r="Q3881" s="242"/>
      <c r="R3881" s="539"/>
      <c r="S3881" s="540"/>
      <c r="T3881" s="543"/>
      <c r="U3881" s="673" t="b">
        <v>0</v>
      </c>
      <c r="Z3881" t="b">
        <v>0</v>
      </c>
      <c r="AA3881" t="b">
        <v>0</v>
      </c>
      <c r="AC3881" s="82"/>
      <c r="AD3881" t="str">
        <f t="shared" si="71"/>
        <v/>
      </c>
      <c r="AE3881" t="str">
        <f t="shared" si="72"/>
        <v/>
      </c>
    </row>
    <row r="3882">
      <c r="D3882" s="226"/>
      <c r="H3882" s="474"/>
      <c r="I3882" s="474"/>
      <c r="J3882" s="475"/>
      <c r="K3882" s="275"/>
      <c r="L3882" s="82"/>
      <c r="M3882" s="672"/>
      <c r="N3882" s="242"/>
      <c r="O3882" s="242"/>
      <c r="P3882" s="242"/>
      <c r="Q3882" s="242"/>
      <c r="R3882" s="539"/>
      <c r="S3882" s="540"/>
      <c r="T3882" s="543"/>
      <c r="U3882" s="673" t="b">
        <v>0</v>
      </c>
      <c r="Z3882" t="b">
        <v>0</v>
      </c>
      <c r="AA3882" t="b">
        <v>0</v>
      </c>
      <c r="AC3882" s="82"/>
      <c r="AD3882" t="str">
        <f t="shared" si="71"/>
        <v/>
      </c>
      <c r="AE3882" t="str">
        <f t="shared" si="72"/>
        <v/>
      </c>
    </row>
    <row r="3883">
      <c r="D3883" s="226"/>
      <c r="H3883" s="474"/>
      <c r="I3883" s="474"/>
      <c r="J3883" s="475"/>
      <c r="K3883" s="275"/>
      <c r="L3883" s="82"/>
      <c r="M3883" s="672"/>
      <c r="N3883" s="242"/>
      <c r="O3883" s="242"/>
      <c r="P3883" s="242"/>
      <c r="Q3883" s="242"/>
      <c r="R3883" s="539"/>
      <c r="S3883" s="540"/>
      <c r="T3883" s="543"/>
      <c r="U3883" s="673" t="b">
        <v>0</v>
      </c>
      <c r="Z3883" t="b">
        <v>0</v>
      </c>
      <c r="AA3883" t="b">
        <v>0</v>
      </c>
      <c r="AC3883" s="82"/>
      <c r="AD3883" t="str">
        <f t="shared" si="71"/>
        <v/>
      </c>
      <c r="AE3883" t="str">
        <f t="shared" si="72"/>
        <v/>
      </c>
    </row>
    <row r="3884">
      <c r="D3884" s="226"/>
      <c r="H3884" s="474"/>
      <c r="I3884" s="474"/>
      <c r="J3884" s="475"/>
      <c r="K3884" s="275"/>
      <c r="L3884" s="82"/>
      <c r="M3884" s="672"/>
      <c r="N3884" s="242"/>
      <c r="O3884" s="242"/>
      <c r="P3884" s="242"/>
      <c r="Q3884" s="242"/>
      <c r="R3884" s="539"/>
      <c r="S3884" s="540"/>
      <c r="T3884" s="543"/>
      <c r="U3884" s="673" t="b">
        <v>0</v>
      </c>
      <c r="Z3884" t="b">
        <v>0</v>
      </c>
      <c r="AA3884" t="b">
        <v>0</v>
      </c>
      <c r="AC3884" s="82"/>
      <c r="AD3884" t="str">
        <f t="shared" si="71"/>
        <v/>
      </c>
      <c r="AE3884" t="str">
        <f t="shared" si="72"/>
        <v/>
      </c>
    </row>
    <row r="3885">
      <c r="D3885" s="226"/>
      <c r="H3885" s="474"/>
      <c r="I3885" s="474"/>
      <c r="J3885" s="475"/>
      <c r="K3885" s="275"/>
      <c r="L3885" s="82"/>
      <c r="M3885" s="672"/>
      <c r="N3885" s="242"/>
      <c r="O3885" s="242"/>
      <c r="P3885" s="242"/>
      <c r="Q3885" s="242"/>
      <c r="R3885" s="539"/>
      <c r="S3885" s="540"/>
      <c r="T3885" s="543"/>
      <c r="U3885" s="673" t="b">
        <v>0</v>
      </c>
      <c r="Z3885" t="b">
        <v>0</v>
      </c>
      <c r="AA3885" t="b">
        <v>0</v>
      </c>
      <c r="AC3885" s="82"/>
      <c r="AD3885" t="str">
        <f t="shared" si="71"/>
        <v/>
      </c>
      <c r="AE3885" t="str">
        <f t="shared" si="72"/>
        <v/>
      </c>
    </row>
    <row r="3886">
      <c r="D3886" s="226"/>
      <c r="H3886" s="474"/>
      <c r="I3886" s="474"/>
      <c r="J3886" s="475"/>
      <c r="K3886" s="275"/>
      <c r="L3886" s="82"/>
      <c r="M3886" s="672"/>
      <c r="N3886" s="242"/>
      <c r="O3886" s="242"/>
      <c r="P3886" s="242"/>
      <c r="Q3886" s="242"/>
      <c r="R3886" s="539"/>
      <c r="S3886" s="540"/>
      <c r="T3886" s="543"/>
      <c r="U3886" s="673" t="b">
        <v>0</v>
      </c>
      <c r="Z3886" t="b">
        <v>0</v>
      </c>
      <c r="AA3886" t="b">
        <v>0</v>
      </c>
      <c r="AC3886" s="82"/>
      <c r="AD3886" t="str">
        <f t="shared" si="71"/>
        <v/>
      </c>
      <c r="AE3886" t="str">
        <f t="shared" si="72"/>
        <v/>
      </c>
    </row>
    <row r="3887">
      <c r="D3887" s="226"/>
      <c r="H3887" s="474"/>
      <c r="I3887" s="474"/>
      <c r="J3887" s="475"/>
      <c r="K3887" s="275"/>
      <c r="L3887" s="82"/>
      <c r="M3887" s="672"/>
      <c r="N3887" s="242"/>
      <c r="O3887" s="242"/>
      <c r="P3887" s="242"/>
      <c r="Q3887" s="242"/>
      <c r="R3887" s="539"/>
      <c r="S3887" s="540"/>
      <c r="T3887" s="543"/>
      <c r="U3887" s="673" t="b">
        <v>0</v>
      </c>
      <c r="Z3887" t="b">
        <v>0</v>
      </c>
      <c r="AA3887" t="b">
        <v>0</v>
      </c>
      <c r="AC3887" s="82"/>
      <c r="AD3887" t="str">
        <f t="shared" si="71"/>
        <v/>
      </c>
      <c r="AE3887" t="str">
        <f t="shared" si="72"/>
        <v/>
      </c>
    </row>
    <row r="3888">
      <c r="D3888" s="226"/>
      <c r="H3888" s="474"/>
      <c r="I3888" s="474"/>
      <c r="J3888" s="475"/>
      <c r="K3888" s="275"/>
      <c r="L3888" s="82"/>
      <c r="M3888" s="672"/>
      <c r="N3888" s="242"/>
      <c r="O3888" s="242"/>
      <c r="P3888" s="242"/>
      <c r="Q3888" s="242"/>
      <c r="R3888" s="539"/>
      <c r="S3888" s="540"/>
      <c r="T3888" s="543"/>
      <c r="U3888" s="673" t="b">
        <v>0</v>
      </c>
      <c r="Z3888" t="b">
        <v>0</v>
      </c>
      <c r="AA3888" t="b">
        <v>0</v>
      </c>
      <c r="AC3888" s="82"/>
      <c r="AD3888" t="str">
        <f t="shared" si="71"/>
        <v/>
      </c>
      <c r="AE3888" t="str">
        <f t="shared" si="72"/>
        <v/>
      </c>
    </row>
    <row r="3889">
      <c r="D3889" s="226"/>
      <c r="H3889" s="474"/>
      <c r="I3889" s="474"/>
      <c r="J3889" s="475"/>
      <c r="K3889" s="275"/>
      <c r="L3889" s="82"/>
      <c r="M3889" s="672"/>
      <c r="N3889" s="242"/>
      <c r="O3889" s="242"/>
      <c r="P3889" s="242"/>
      <c r="Q3889" s="242"/>
      <c r="R3889" s="539"/>
      <c r="S3889" s="540"/>
      <c r="T3889" s="543"/>
      <c r="U3889" s="673" t="b">
        <v>0</v>
      </c>
      <c r="Z3889" t="b">
        <v>0</v>
      </c>
      <c r="AA3889" t="b">
        <v>0</v>
      </c>
      <c r="AC3889" s="82"/>
      <c r="AD3889" t="str">
        <f t="shared" si="71"/>
        <v/>
      </c>
      <c r="AE3889" t="str">
        <f t="shared" si="72"/>
        <v/>
      </c>
    </row>
    <row r="3890">
      <c r="D3890" s="226"/>
      <c r="H3890" s="474"/>
      <c r="I3890" s="474"/>
      <c r="J3890" s="475"/>
      <c r="K3890" s="275"/>
      <c r="L3890" s="82"/>
      <c r="M3890" s="672"/>
      <c r="N3890" s="242"/>
      <c r="O3890" s="242"/>
      <c r="P3890" s="242"/>
      <c r="Q3890" s="242"/>
      <c r="R3890" s="539"/>
      <c r="S3890" s="540"/>
      <c r="T3890" s="543"/>
      <c r="U3890" s="673" t="b">
        <v>0</v>
      </c>
      <c r="Z3890" t="b">
        <v>0</v>
      </c>
      <c r="AA3890" t="b">
        <v>0</v>
      </c>
      <c r="AC3890" s="82"/>
      <c r="AD3890" t="str">
        <f t="shared" si="71"/>
        <v/>
      </c>
      <c r="AE3890" t="str">
        <f t="shared" si="72"/>
        <v/>
      </c>
    </row>
    <row r="3891">
      <c r="D3891" s="226"/>
      <c r="H3891" s="474"/>
      <c r="I3891" s="474"/>
      <c r="J3891" s="475"/>
      <c r="K3891" s="275"/>
      <c r="L3891" s="82"/>
      <c r="M3891" s="672"/>
      <c r="N3891" s="242"/>
      <c r="O3891" s="242"/>
      <c r="P3891" s="242"/>
      <c r="Q3891" s="242"/>
      <c r="R3891" s="539"/>
      <c r="S3891" s="540"/>
      <c r="T3891" s="543"/>
      <c r="U3891" s="673" t="b">
        <v>0</v>
      </c>
      <c r="Z3891" t="b">
        <v>0</v>
      </c>
      <c r="AA3891" t="b">
        <v>0</v>
      </c>
      <c r="AC3891" s="82"/>
      <c r="AD3891" t="str">
        <f t="shared" si="71"/>
        <v/>
      </c>
      <c r="AE3891" t="str">
        <f t="shared" si="72"/>
        <v/>
      </c>
    </row>
    <row r="3892">
      <c r="D3892" s="226"/>
      <c r="H3892" s="474"/>
      <c r="I3892" s="474"/>
      <c r="J3892" s="475"/>
      <c r="K3892" s="275"/>
      <c r="L3892" s="82"/>
      <c r="M3892" s="672"/>
      <c r="N3892" s="242"/>
      <c r="O3892" s="242"/>
      <c r="P3892" s="242"/>
      <c r="Q3892" s="242"/>
      <c r="R3892" s="539"/>
      <c r="S3892" s="540"/>
      <c r="T3892" s="543"/>
      <c r="U3892" s="673" t="b">
        <v>0</v>
      </c>
      <c r="Z3892" t="b">
        <v>0</v>
      </c>
      <c r="AA3892" t="b">
        <v>0</v>
      </c>
      <c r="AC3892" s="82"/>
      <c r="AD3892" t="str">
        <f t="shared" si="71"/>
        <v/>
      </c>
      <c r="AE3892" t="str">
        <f t="shared" si="72"/>
        <v/>
      </c>
    </row>
    <row r="3893">
      <c r="D3893" s="226"/>
      <c r="H3893" s="474"/>
      <c r="I3893" s="474"/>
      <c r="J3893" s="475"/>
      <c r="K3893" s="275"/>
      <c r="L3893" s="82"/>
      <c r="M3893" s="672"/>
      <c r="N3893" s="242"/>
      <c r="O3893" s="242"/>
      <c r="P3893" s="242"/>
      <c r="Q3893" s="242"/>
      <c r="R3893" s="539"/>
      <c r="S3893" s="540"/>
      <c r="T3893" s="543"/>
      <c r="U3893" s="673" t="b">
        <v>0</v>
      </c>
      <c r="Z3893" t="b">
        <v>0</v>
      </c>
      <c r="AA3893" t="b">
        <v>0</v>
      </c>
      <c r="AC3893" s="82"/>
      <c r="AD3893" t="str">
        <f t="shared" si="71"/>
        <v/>
      </c>
      <c r="AE3893" t="str">
        <f t="shared" si="72"/>
        <v/>
      </c>
    </row>
    <row r="3894">
      <c r="D3894" s="226"/>
      <c r="H3894" s="474"/>
      <c r="I3894" s="474"/>
      <c r="J3894" s="475"/>
      <c r="K3894" s="275"/>
      <c r="L3894" s="82"/>
      <c r="M3894" s="672"/>
      <c r="N3894" s="242"/>
      <c r="O3894" s="242"/>
      <c r="P3894" s="242"/>
      <c r="Q3894" s="242"/>
      <c r="R3894" s="539"/>
      <c r="S3894" s="540"/>
      <c r="T3894" s="543"/>
      <c r="U3894" s="673" t="b">
        <v>0</v>
      </c>
      <c r="Z3894" t="b">
        <v>0</v>
      </c>
      <c r="AA3894" t="b">
        <v>0</v>
      </c>
      <c r="AC3894" s="82"/>
      <c r="AD3894" t="str">
        <f t="shared" si="71"/>
        <v/>
      </c>
      <c r="AE3894" t="str">
        <f t="shared" si="72"/>
        <v/>
      </c>
    </row>
    <row r="3895">
      <c r="D3895" s="226"/>
      <c r="H3895" s="474"/>
      <c r="I3895" s="474"/>
      <c r="J3895" s="475"/>
      <c r="K3895" s="275"/>
      <c r="L3895" s="82"/>
      <c r="M3895" s="672"/>
      <c r="N3895" s="242"/>
      <c r="O3895" s="242"/>
      <c r="P3895" s="242"/>
      <c r="Q3895" s="242"/>
      <c r="R3895" s="539"/>
      <c r="S3895" s="540"/>
      <c r="T3895" s="543"/>
      <c r="U3895" s="673" t="b">
        <v>0</v>
      </c>
      <c r="Z3895" t="b">
        <v>0</v>
      </c>
      <c r="AA3895" t="b">
        <v>0</v>
      </c>
      <c r="AC3895" s="82"/>
      <c r="AD3895" t="str">
        <f t="shared" si="71"/>
        <v/>
      </c>
      <c r="AE3895" t="str">
        <f t="shared" si="72"/>
        <v/>
      </c>
    </row>
    <row r="3896">
      <c r="D3896" s="226"/>
      <c r="H3896" s="474"/>
      <c r="I3896" s="474"/>
      <c r="J3896" s="475"/>
      <c r="K3896" s="275"/>
      <c r="L3896" s="82"/>
      <c r="M3896" s="672"/>
      <c r="N3896" s="242"/>
      <c r="O3896" s="242"/>
      <c r="P3896" s="242"/>
      <c r="Q3896" s="242"/>
      <c r="R3896" s="539"/>
      <c r="S3896" s="540"/>
      <c r="T3896" s="543"/>
      <c r="U3896" s="673" t="b">
        <v>0</v>
      </c>
      <c r="Z3896" t="b">
        <v>0</v>
      </c>
      <c r="AA3896" t="b">
        <v>0</v>
      </c>
      <c r="AC3896" s="82"/>
      <c r="AD3896" t="str">
        <f t="shared" si="71"/>
        <v/>
      </c>
      <c r="AE3896" t="str">
        <f t="shared" si="72"/>
        <v/>
      </c>
    </row>
    <row r="3897">
      <c r="D3897" s="226"/>
      <c r="H3897" s="474"/>
      <c r="I3897" s="474"/>
      <c r="J3897" s="475"/>
      <c r="K3897" s="275"/>
      <c r="L3897" s="82"/>
      <c r="M3897" s="672"/>
      <c r="N3897" s="242"/>
      <c r="O3897" s="242"/>
      <c r="P3897" s="242"/>
      <c r="Q3897" s="242"/>
      <c r="R3897" s="539"/>
      <c r="S3897" s="540"/>
      <c r="T3897" s="543"/>
      <c r="U3897" s="673" t="b">
        <v>0</v>
      </c>
      <c r="Z3897" t="b">
        <v>0</v>
      </c>
      <c r="AA3897" t="b">
        <v>0</v>
      </c>
      <c r="AC3897" s="82"/>
      <c r="AD3897" t="str">
        <f t="shared" si="71"/>
        <v/>
      </c>
      <c r="AE3897" t="str">
        <f t="shared" si="72"/>
        <v/>
      </c>
    </row>
    <row r="3898">
      <c r="D3898" s="226"/>
      <c r="H3898" s="474"/>
      <c r="I3898" s="474"/>
      <c r="J3898" s="475"/>
      <c r="K3898" s="275"/>
      <c r="L3898" s="82"/>
      <c r="M3898" s="672"/>
      <c r="N3898" s="242"/>
      <c r="O3898" s="242"/>
      <c r="P3898" s="242"/>
      <c r="Q3898" s="242"/>
      <c r="R3898" s="539"/>
      <c r="S3898" s="540"/>
      <c r="T3898" s="543"/>
      <c r="U3898" s="673" t="b">
        <v>0</v>
      </c>
      <c r="Z3898" t="b">
        <v>0</v>
      </c>
      <c r="AA3898" t="b">
        <v>0</v>
      </c>
      <c r="AC3898" s="82"/>
      <c r="AD3898" t="str">
        <f t="shared" si="71"/>
        <v/>
      </c>
      <c r="AE3898" t="str">
        <f t="shared" si="72"/>
        <v/>
      </c>
    </row>
    <row r="3899">
      <c r="D3899" s="226"/>
      <c r="H3899" s="474"/>
      <c r="I3899" s="474"/>
      <c r="J3899" s="475"/>
      <c r="K3899" s="275"/>
      <c r="L3899" s="82"/>
      <c r="M3899" s="672"/>
      <c r="N3899" s="242"/>
      <c r="O3899" s="242"/>
      <c r="P3899" s="242"/>
      <c r="Q3899" s="242"/>
      <c r="R3899" s="539"/>
      <c r="S3899" s="540"/>
      <c r="T3899" s="543"/>
      <c r="U3899" s="673" t="b">
        <v>0</v>
      </c>
      <c r="Z3899" t="b">
        <v>0</v>
      </c>
      <c r="AA3899" t="b">
        <v>0</v>
      </c>
      <c r="AC3899" s="82"/>
      <c r="AD3899" t="str">
        <f t="shared" si="71"/>
        <v/>
      </c>
      <c r="AE3899" t="str">
        <f t="shared" si="72"/>
        <v/>
      </c>
    </row>
    <row r="3900">
      <c r="D3900" s="226"/>
      <c r="H3900" s="474"/>
      <c r="I3900" s="474"/>
      <c r="J3900" s="475"/>
      <c r="K3900" s="275"/>
      <c r="L3900" s="82"/>
      <c r="M3900" s="672"/>
      <c r="N3900" s="242"/>
      <c r="O3900" s="242"/>
      <c r="P3900" s="242"/>
      <c r="Q3900" s="242"/>
      <c r="R3900" s="539"/>
      <c r="S3900" s="540"/>
      <c r="T3900" s="543"/>
      <c r="U3900" s="673" t="b">
        <v>0</v>
      </c>
      <c r="Z3900" t="b">
        <v>0</v>
      </c>
      <c r="AA3900" t="b">
        <v>0</v>
      </c>
      <c r="AC3900" s="82"/>
      <c r="AD3900" t="str">
        <f t="shared" si="71"/>
        <v/>
      </c>
      <c r="AE3900" t="str">
        <f t="shared" si="72"/>
        <v/>
      </c>
    </row>
    <row r="3901">
      <c r="D3901" s="226"/>
      <c r="H3901" s="474"/>
      <c r="I3901" s="474"/>
      <c r="J3901" s="475"/>
      <c r="K3901" s="275"/>
      <c r="L3901" s="82"/>
      <c r="M3901" s="672"/>
      <c r="N3901" s="242"/>
      <c r="O3901" s="242"/>
      <c r="P3901" s="242"/>
      <c r="Q3901" s="242"/>
      <c r="R3901" s="539"/>
      <c r="S3901" s="540"/>
      <c r="T3901" s="543"/>
      <c r="U3901" s="673" t="b">
        <v>0</v>
      </c>
      <c r="Z3901" t="b">
        <v>0</v>
      </c>
      <c r="AA3901" t="b">
        <v>0</v>
      </c>
      <c r="AC3901" s="82"/>
      <c r="AD3901" t="str">
        <f t="shared" si="71"/>
        <v/>
      </c>
      <c r="AE3901" t="str">
        <f t="shared" si="72"/>
        <v/>
      </c>
    </row>
    <row r="3902">
      <c r="D3902" s="226"/>
      <c r="H3902" s="474"/>
      <c r="I3902" s="474"/>
      <c r="J3902" s="475"/>
      <c r="K3902" s="275"/>
      <c r="L3902" s="82"/>
      <c r="M3902" s="672"/>
      <c r="N3902" s="242"/>
      <c r="O3902" s="242"/>
      <c r="P3902" s="242"/>
      <c r="Q3902" s="242"/>
      <c r="R3902" s="539"/>
      <c r="S3902" s="540"/>
      <c r="T3902" s="543"/>
      <c r="U3902" s="673" t="b">
        <v>0</v>
      </c>
      <c r="Z3902" t="b">
        <v>0</v>
      </c>
      <c r="AA3902" t="b">
        <v>0</v>
      </c>
      <c r="AC3902" s="82"/>
      <c r="AD3902" t="str">
        <f t="shared" si="71"/>
        <v/>
      </c>
      <c r="AE3902" t="str">
        <f t="shared" si="72"/>
        <v/>
      </c>
    </row>
    <row r="3903">
      <c r="D3903" s="226"/>
      <c r="H3903" s="474"/>
      <c r="I3903" s="474"/>
      <c r="J3903" s="475"/>
      <c r="K3903" s="275"/>
      <c r="L3903" s="82"/>
      <c r="M3903" s="672"/>
      <c r="N3903" s="242"/>
      <c r="O3903" s="242"/>
      <c r="P3903" s="242"/>
      <c r="Q3903" s="242"/>
      <c r="R3903" s="539"/>
      <c r="S3903" s="540"/>
      <c r="T3903" s="543"/>
      <c r="U3903" s="673" t="b">
        <v>0</v>
      </c>
      <c r="Z3903" t="b">
        <v>0</v>
      </c>
      <c r="AA3903" t="b">
        <v>0</v>
      </c>
      <c r="AC3903" s="82"/>
      <c r="AD3903" t="str">
        <f t="shared" si="71"/>
        <v/>
      </c>
      <c r="AE3903" t="str">
        <f t="shared" si="72"/>
        <v/>
      </c>
    </row>
    <row r="3904">
      <c r="D3904" s="226"/>
      <c r="H3904" s="474"/>
      <c r="I3904" s="474"/>
      <c r="J3904" s="475"/>
      <c r="K3904" s="275"/>
      <c r="L3904" s="82"/>
      <c r="M3904" s="672"/>
      <c r="N3904" s="242"/>
      <c r="O3904" s="242"/>
      <c r="P3904" s="242"/>
      <c r="Q3904" s="242"/>
      <c r="R3904" s="539"/>
      <c r="S3904" s="540"/>
      <c r="T3904" s="543"/>
      <c r="U3904" s="673" t="b">
        <v>0</v>
      </c>
      <c r="Z3904" t="b">
        <v>0</v>
      </c>
      <c r="AA3904" t="b">
        <v>0</v>
      </c>
      <c r="AC3904" s="82"/>
      <c r="AD3904" t="str">
        <f t="shared" si="71"/>
        <v/>
      </c>
      <c r="AE3904" t="str">
        <f t="shared" si="72"/>
        <v/>
      </c>
    </row>
    <row r="3905">
      <c r="D3905" s="226"/>
      <c r="H3905" s="474"/>
      <c r="I3905" s="474"/>
      <c r="J3905" s="475"/>
      <c r="K3905" s="275"/>
      <c r="L3905" s="82"/>
      <c r="M3905" s="672"/>
      <c r="N3905" s="242"/>
      <c r="O3905" s="242"/>
      <c r="P3905" s="242"/>
      <c r="Q3905" s="242"/>
      <c r="R3905" s="539"/>
      <c r="S3905" s="540"/>
      <c r="T3905" s="543"/>
      <c r="U3905" s="673" t="b">
        <v>0</v>
      </c>
      <c r="Z3905" t="b">
        <v>0</v>
      </c>
      <c r="AA3905" t="b">
        <v>0</v>
      </c>
      <c r="AC3905" s="82"/>
      <c r="AD3905" t="str">
        <f t="shared" si="71"/>
        <v/>
      </c>
      <c r="AE3905" t="str">
        <f t="shared" si="72"/>
        <v/>
      </c>
    </row>
    <row r="3906">
      <c r="D3906" s="226"/>
      <c r="H3906" s="474"/>
      <c r="I3906" s="474"/>
      <c r="J3906" s="475"/>
      <c r="K3906" s="275"/>
      <c r="L3906" s="82"/>
      <c r="M3906" s="672"/>
      <c r="N3906" s="242"/>
      <c r="O3906" s="242"/>
      <c r="P3906" s="242"/>
      <c r="Q3906" s="242"/>
      <c r="R3906" s="539"/>
      <c r="S3906" s="540"/>
      <c r="T3906" s="543"/>
      <c r="U3906" s="673" t="b">
        <v>0</v>
      </c>
      <c r="Z3906" t="b">
        <v>0</v>
      </c>
      <c r="AA3906" t="b">
        <v>0</v>
      </c>
      <c r="AC3906" s="82"/>
      <c r="AD3906" t="str">
        <f t="shared" si="71"/>
        <v/>
      </c>
      <c r="AE3906" t="str">
        <f t="shared" si="72"/>
        <v/>
      </c>
    </row>
    <row r="3907">
      <c r="D3907" s="226"/>
      <c r="H3907" s="474"/>
      <c r="I3907" s="474"/>
      <c r="J3907" s="475"/>
      <c r="K3907" s="275"/>
      <c r="L3907" s="82"/>
      <c r="M3907" s="672"/>
      <c r="N3907" s="242"/>
      <c r="O3907" s="242"/>
      <c r="P3907" s="242"/>
      <c r="Q3907" s="242"/>
      <c r="R3907" s="539"/>
      <c r="S3907" s="540"/>
      <c r="T3907" s="543"/>
      <c r="U3907" s="673" t="b">
        <v>0</v>
      </c>
      <c r="Z3907" t="b">
        <v>0</v>
      </c>
      <c r="AA3907" t="b">
        <v>0</v>
      </c>
      <c r="AC3907" s="82"/>
      <c r="AD3907" t="str">
        <f t="shared" si="71"/>
        <v/>
      </c>
      <c r="AE3907" t="str">
        <f t="shared" si="72"/>
        <v/>
      </c>
    </row>
    <row r="3908">
      <c r="D3908" s="226"/>
      <c r="H3908" s="474"/>
      <c r="I3908" s="474"/>
      <c r="J3908" s="475"/>
      <c r="K3908" s="275"/>
      <c r="L3908" s="82"/>
      <c r="M3908" s="672"/>
      <c r="N3908" s="242"/>
      <c r="O3908" s="242"/>
      <c r="P3908" s="242"/>
      <c r="Q3908" s="242"/>
      <c r="R3908" s="539"/>
      <c r="S3908" s="540"/>
      <c r="T3908" s="543"/>
      <c r="U3908" s="673" t="b">
        <v>0</v>
      </c>
      <c r="Z3908" t="b">
        <v>0</v>
      </c>
      <c r="AA3908" t="b">
        <v>0</v>
      </c>
      <c r="AC3908" s="82"/>
      <c r="AD3908" t="str">
        <f t="shared" si="71"/>
        <v/>
      </c>
      <c r="AE3908" t="str">
        <f t="shared" si="72"/>
        <v/>
      </c>
    </row>
    <row r="3909">
      <c r="D3909" s="226"/>
      <c r="H3909" s="474"/>
      <c r="I3909" s="474"/>
      <c r="J3909" s="475"/>
      <c r="K3909" s="275"/>
      <c r="L3909" s="82"/>
      <c r="M3909" s="672"/>
      <c r="N3909" s="242"/>
      <c r="O3909" s="242"/>
      <c r="P3909" s="242"/>
      <c r="Q3909" s="242"/>
      <c r="R3909" s="539"/>
      <c r="S3909" s="540"/>
      <c r="T3909" s="543"/>
      <c r="U3909" s="673" t="b">
        <v>0</v>
      </c>
      <c r="Z3909" t="b">
        <v>0</v>
      </c>
      <c r="AA3909" t="b">
        <v>0</v>
      </c>
      <c r="AC3909" s="82"/>
      <c r="AD3909" t="str">
        <f t="shared" si="71"/>
        <v/>
      </c>
      <c r="AE3909" t="str">
        <f t="shared" si="72"/>
        <v/>
      </c>
    </row>
    <row r="3910">
      <c r="D3910" s="226"/>
      <c r="H3910" s="474"/>
      <c r="I3910" s="474"/>
      <c r="J3910" s="475"/>
      <c r="K3910" s="275"/>
      <c r="L3910" s="82"/>
      <c r="M3910" s="672"/>
      <c r="N3910" s="242"/>
      <c r="O3910" s="242"/>
      <c r="P3910" s="242"/>
      <c r="Q3910" s="242"/>
      <c r="R3910" s="539"/>
      <c r="S3910" s="540"/>
      <c r="T3910" s="543"/>
      <c r="U3910" s="673" t="b">
        <v>0</v>
      </c>
      <c r="Z3910" t="b">
        <v>0</v>
      </c>
      <c r="AA3910" t="b">
        <v>0</v>
      </c>
      <c r="AC3910" s="82"/>
      <c r="AD3910" t="str">
        <f t="shared" si="71"/>
        <v/>
      </c>
      <c r="AE3910" t="str">
        <f t="shared" si="72"/>
        <v/>
      </c>
    </row>
    <row r="3911">
      <c r="D3911" s="226"/>
      <c r="H3911" s="474"/>
      <c r="I3911" s="474"/>
      <c r="J3911" s="475"/>
      <c r="K3911" s="275"/>
      <c r="L3911" s="82"/>
      <c r="M3911" s="672"/>
      <c r="N3911" s="242"/>
      <c r="O3911" s="242"/>
      <c r="P3911" s="242"/>
      <c r="Q3911" s="242"/>
      <c r="R3911" s="539"/>
      <c r="S3911" s="540"/>
      <c r="T3911" s="543"/>
      <c r="U3911" s="673" t="b">
        <v>0</v>
      </c>
      <c r="Z3911" t="b">
        <v>0</v>
      </c>
      <c r="AA3911" t="b">
        <v>0</v>
      </c>
      <c r="AC3911" s="82"/>
      <c r="AD3911" t="str">
        <f t="shared" si="71"/>
        <v/>
      </c>
      <c r="AE3911" t="str">
        <f t="shared" si="72"/>
        <v/>
      </c>
    </row>
    <row r="3912">
      <c r="D3912" s="226"/>
      <c r="H3912" s="474"/>
      <c r="I3912" s="474"/>
      <c r="J3912" s="475"/>
      <c r="K3912" s="275"/>
      <c r="L3912" s="82"/>
      <c r="M3912" s="672"/>
      <c r="N3912" s="242"/>
      <c r="O3912" s="242"/>
      <c r="P3912" s="242"/>
      <c r="Q3912" s="242"/>
      <c r="R3912" s="539"/>
      <c r="S3912" s="540"/>
      <c r="T3912" s="543"/>
      <c r="U3912" s="673" t="b">
        <v>0</v>
      </c>
      <c r="Z3912" t="b">
        <v>0</v>
      </c>
      <c r="AA3912" t="b">
        <v>0</v>
      </c>
      <c r="AC3912" s="82"/>
      <c r="AD3912" t="str">
        <f t="shared" si="71"/>
        <v/>
      </c>
      <c r="AE3912" t="str">
        <f t="shared" si="72"/>
        <v/>
      </c>
    </row>
    <row r="3913">
      <c r="D3913" s="226"/>
      <c r="H3913" s="474"/>
      <c r="I3913" s="474"/>
      <c r="J3913" s="475"/>
      <c r="K3913" s="275"/>
      <c r="L3913" s="82"/>
      <c r="M3913" s="672"/>
      <c r="N3913" s="242"/>
      <c r="O3913" s="242"/>
      <c r="P3913" s="242"/>
      <c r="Q3913" s="242"/>
      <c r="R3913" s="539"/>
      <c r="S3913" s="540"/>
      <c r="T3913" s="543"/>
      <c r="U3913" s="673" t="b">
        <v>0</v>
      </c>
      <c r="Z3913" t="b">
        <v>0</v>
      </c>
      <c r="AA3913" t="b">
        <v>0</v>
      </c>
      <c r="AC3913" s="82"/>
      <c r="AD3913" t="str">
        <f t="shared" si="71"/>
        <v/>
      </c>
      <c r="AE3913" t="str">
        <f t="shared" si="72"/>
        <v/>
      </c>
    </row>
    <row r="3914">
      <c r="D3914" s="226"/>
      <c r="H3914" s="474"/>
      <c r="I3914" s="474"/>
      <c r="J3914" s="475"/>
      <c r="K3914" s="275"/>
      <c r="L3914" s="82"/>
      <c r="M3914" s="672"/>
      <c r="N3914" s="242"/>
      <c r="O3914" s="242"/>
      <c r="P3914" s="242"/>
      <c r="Q3914" s="242"/>
      <c r="R3914" s="539"/>
      <c r="S3914" s="540"/>
      <c r="T3914" s="543"/>
      <c r="U3914" s="673" t="b">
        <v>0</v>
      </c>
      <c r="Z3914" t="b">
        <v>0</v>
      </c>
      <c r="AA3914" t="b">
        <v>0</v>
      </c>
      <c r="AC3914" s="82"/>
      <c r="AD3914" t="str">
        <f t="shared" si="71"/>
        <v/>
      </c>
      <c r="AE3914" t="str">
        <f t="shared" si="72"/>
        <v/>
      </c>
    </row>
    <row r="3915">
      <c r="D3915" s="226"/>
      <c r="H3915" s="474"/>
      <c r="I3915" s="474"/>
      <c r="J3915" s="475"/>
      <c r="K3915" s="275"/>
      <c r="L3915" s="82"/>
      <c r="M3915" s="672"/>
      <c r="N3915" s="242"/>
      <c r="O3915" s="242"/>
      <c r="P3915" s="242"/>
      <c r="Q3915" s="242"/>
      <c r="R3915" s="539"/>
      <c r="S3915" s="540"/>
      <c r="T3915" s="543"/>
      <c r="U3915" s="673" t="b">
        <v>0</v>
      </c>
      <c r="Z3915" t="b">
        <v>0</v>
      </c>
      <c r="AA3915" t="b">
        <v>0</v>
      </c>
      <c r="AC3915" s="82"/>
      <c r="AD3915" t="str">
        <f t="shared" si="71"/>
        <v/>
      </c>
      <c r="AE3915" t="str">
        <f t="shared" si="72"/>
        <v/>
      </c>
    </row>
    <row r="3916">
      <c r="D3916" s="226"/>
      <c r="H3916" s="474"/>
      <c r="I3916" s="474"/>
      <c r="J3916" s="475"/>
      <c r="K3916" s="275"/>
      <c r="L3916" s="82"/>
      <c r="M3916" s="672"/>
      <c r="N3916" s="242"/>
      <c r="O3916" s="242"/>
      <c r="P3916" s="242"/>
      <c r="Q3916" s="242"/>
      <c r="R3916" s="539"/>
      <c r="S3916" s="540"/>
      <c r="T3916" s="543"/>
      <c r="U3916" s="673" t="b">
        <v>0</v>
      </c>
      <c r="Z3916" t="b">
        <v>0</v>
      </c>
      <c r="AA3916" t="b">
        <v>0</v>
      </c>
      <c r="AC3916" s="82"/>
      <c r="AD3916" t="str">
        <f t="shared" si="71"/>
        <v/>
      </c>
      <c r="AE3916" t="str">
        <f t="shared" si="72"/>
        <v/>
      </c>
    </row>
    <row r="3917">
      <c r="D3917" s="226"/>
      <c r="H3917" s="474"/>
      <c r="I3917" s="474"/>
      <c r="J3917" s="475"/>
      <c r="K3917" s="275"/>
      <c r="L3917" s="82"/>
      <c r="M3917" s="672"/>
      <c r="N3917" s="242"/>
      <c r="O3917" s="242"/>
      <c r="P3917" s="242"/>
      <c r="Q3917" s="242"/>
      <c r="R3917" s="539"/>
      <c r="S3917" s="540"/>
      <c r="T3917" s="543"/>
      <c r="U3917" s="673" t="b">
        <v>0</v>
      </c>
      <c r="Z3917" t="b">
        <v>0</v>
      </c>
      <c r="AA3917" t="b">
        <v>0</v>
      </c>
      <c r="AC3917" s="82"/>
      <c r="AD3917" t="str">
        <f t="shared" si="71"/>
        <v/>
      </c>
      <c r="AE3917" t="str">
        <f t="shared" si="72"/>
        <v/>
      </c>
    </row>
    <row r="3918">
      <c r="D3918" s="226"/>
      <c r="H3918" s="474"/>
      <c r="I3918" s="474"/>
      <c r="J3918" s="475"/>
      <c r="K3918" s="275"/>
      <c r="L3918" s="82"/>
      <c r="M3918" s="672"/>
      <c r="N3918" s="242"/>
      <c r="O3918" s="242"/>
      <c r="P3918" s="242"/>
      <c r="Q3918" s="242"/>
      <c r="R3918" s="539"/>
      <c r="S3918" s="540"/>
      <c r="T3918" s="543"/>
      <c r="U3918" s="673" t="b">
        <v>0</v>
      </c>
      <c r="Z3918" t="b">
        <v>0</v>
      </c>
      <c r="AA3918" t="b">
        <v>0</v>
      </c>
      <c r="AC3918" s="82"/>
      <c r="AD3918" t="str">
        <f t="shared" si="71"/>
        <v/>
      </c>
      <c r="AE3918" t="str">
        <f t="shared" si="72"/>
        <v/>
      </c>
    </row>
    <row r="3919">
      <c r="D3919" s="226"/>
      <c r="H3919" s="474"/>
      <c r="I3919" s="474"/>
      <c r="J3919" s="475"/>
      <c r="K3919" s="275"/>
      <c r="L3919" s="82"/>
      <c r="M3919" s="672"/>
      <c r="N3919" s="242"/>
      <c r="O3919" s="242"/>
      <c r="P3919" s="242"/>
      <c r="Q3919" s="242"/>
      <c r="R3919" s="539"/>
      <c r="S3919" s="540"/>
      <c r="T3919" s="543"/>
      <c r="U3919" s="673" t="b">
        <v>0</v>
      </c>
      <c r="Z3919" t="b">
        <v>0</v>
      </c>
      <c r="AA3919" t="b">
        <v>0</v>
      </c>
      <c r="AC3919" s="82"/>
      <c r="AD3919" t="str">
        <f t="shared" si="71"/>
        <v/>
      </c>
      <c r="AE3919" t="str">
        <f t="shared" si="72"/>
        <v/>
      </c>
    </row>
    <row r="3920">
      <c r="D3920" s="226"/>
      <c r="H3920" s="474"/>
      <c r="I3920" s="474"/>
      <c r="J3920" s="475"/>
      <c r="K3920" s="275"/>
      <c r="L3920" s="82"/>
      <c r="M3920" s="672"/>
      <c r="N3920" s="242"/>
      <c r="O3920" s="242"/>
      <c r="P3920" s="242"/>
      <c r="Q3920" s="242"/>
      <c r="R3920" s="539"/>
      <c r="S3920" s="540"/>
      <c r="T3920" s="543"/>
      <c r="U3920" s="673" t="b">
        <v>0</v>
      </c>
      <c r="Z3920" t="b">
        <v>0</v>
      </c>
      <c r="AA3920" t="b">
        <v>0</v>
      </c>
      <c r="AC3920" s="82"/>
      <c r="AD3920" t="str">
        <f t="shared" si="71"/>
        <v/>
      </c>
      <c r="AE3920" t="str">
        <f t="shared" si="72"/>
        <v/>
      </c>
    </row>
    <row r="3921">
      <c r="D3921" s="226"/>
      <c r="H3921" s="474"/>
      <c r="I3921" s="474"/>
      <c r="J3921" s="475"/>
      <c r="K3921" s="275"/>
      <c r="L3921" s="82"/>
      <c r="M3921" s="672"/>
      <c r="N3921" s="242"/>
      <c r="O3921" s="242"/>
      <c r="P3921" s="242"/>
      <c r="Q3921" s="242"/>
      <c r="R3921" s="539"/>
      <c r="S3921" s="540"/>
      <c r="T3921" s="543"/>
      <c r="U3921" s="673" t="b">
        <v>0</v>
      </c>
      <c r="Z3921" t="b">
        <v>0</v>
      </c>
      <c r="AA3921" t="b">
        <v>0</v>
      </c>
      <c r="AC3921" s="82"/>
      <c r="AD3921" t="str">
        <f t="shared" si="71"/>
        <v/>
      </c>
      <c r="AE3921" t="str">
        <f t="shared" si="72"/>
        <v/>
      </c>
    </row>
    <row r="3922">
      <c r="D3922" s="226"/>
      <c r="H3922" s="474"/>
      <c r="I3922" s="474"/>
      <c r="J3922" s="475"/>
      <c r="K3922" s="275"/>
      <c r="L3922" s="82"/>
      <c r="M3922" s="672"/>
      <c r="N3922" s="242"/>
      <c r="O3922" s="242"/>
      <c r="P3922" s="242"/>
      <c r="Q3922" s="242"/>
      <c r="R3922" s="539"/>
      <c r="S3922" s="540"/>
      <c r="T3922" s="543"/>
      <c r="U3922" s="673" t="b">
        <v>0</v>
      </c>
      <c r="Z3922" t="b">
        <v>0</v>
      </c>
      <c r="AA3922" t="b">
        <v>0</v>
      </c>
      <c r="AC3922" s="82"/>
      <c r="AD3922" t="str">
        <f t="shared" si="71"/>
        <v/>
      </c>
      <c r="AE3922" t="str">
        <f t="shared" si="72"/>
        <v/>
      </c>
    </row>
    <row r="3923">
      <c r="D3923" s="226"/>
      <c r="H3923" s="474"/>
      <c r="I3923" s="474"/>
      <c r="J3923" s="475"/>
      <c r="K3923" s="275"/>
      <c r="L3923" s="82"/>
      <c r="M3923" s="672"/>
      <c r="N3923" s="242"/>
      <c r="O3923" s="242"/>
      <c r="P3923" s="242"/>
      <c r="Q3923" s="242"/>
      <c r="R3923" s="539"/>
      <c r="S3923" s="540"/>
      <c r="T3923" s="543"/>
      <c r="U3923" s="673" t="b">
        <v>0</v>
      </c>
      <c r="Z3923" t="b">
        <v>0</v>
      </c>
      <c r="AA3923" t="b">
        <v>0</v>
      </c>
      <c r="AC3923" s="82"/>
      <c r="AD3923" t="str">
        <f t="shared" si="71"/>
        <v/>
      </c>
      <c r="AE3923" t="str">
        <f t="shared" si="72"/>
        <v/>
      </c>
    </row>
    <row r="3924">
      <c r="D3924" s="226"/>
      <c r="H3924" s="474"/>
      <c r="I3924" s="474"/>
      <c r="J3924" s="475"/>
      <c r="K3924" s="275"/>
      <c r="L3924" s="82"/>
      <c r="M3924" s="672"/>
      <c r="N3924" s="242"/>
      <c r="O3924" s="242"/>
      <c r="P3924" s="242"/>
      <c r="Q3924" s="242"/>
      <c r="R3924" s="539"/>
      <c r="S3924" s="540"/>
      <c r="T3924" s="543"/>
      <c r="U3924" s="673" t="b">
        <v>0</v>
      </c>
      <c r="Z3924" t="b">
        <v>0</v>
      </c>
      <c r="AA3924" t="b">
        <v>0</v>
      </c>
      <c r="AC3924" s="82"/>
      <c r="AD3924" t="str">
        <f t="shared" si="71"/>
        <v/>
      </c>
      <c r="AE3924" t="str">
        <f t="shared" si="72"/>
        <v/>
      </c>
    </row>
    <row r="3925">
      <c r="D3925" s="226"/>
      <c r="H3925" s="474"/>
      <c r="I3925" s="474"/>
      <c r="J3925" s="475"/>
      <c r="K3925" s="275"/>
      <c r="L3925" s="82"/>
      <c r="M3925" s="672"/>
      <c r="N3925" s="242"/>
      <c r="O3925" s="242"/>
      <c r="P3925" s="242"/>
      <c r="Q3925" s="242"/>
      <c r="R3925" s="539"/>
      <c r="S3925" s="540"/>
      <c r="T3925" s="543"/>
      <c r="U3925" s="673" t="b">
        <v>0</v>
      </c>
      <c r="Z3925" t="b">
        <v>0</v>
      </c>
      <c r="AA3925" t="b">
        <v>0</v>
      </c>
      <c r="AC3925" s="82"/>
      <c r="AD3925" t="str">
        <f t="shared" si="71"/>
        <v/>
      </c>
      <c r="AE3925" t="str">
        <f t="shared" si="72"/>
        <v/>
      </c>
    </row>
    <row r="3926">
      <c r="D3926" s="226"/>
      <c r="H3926" s="474"/>
      <c r="I3926" s="474"/>
      <c r="J3926" s="475"/>
      <c r="K3926" s="275"/>
      <c r="L3926" s="82"/>
      <c r="M3926" s="672"/>
      <c r="N3926" s="242"/>
      <c r="O3926" s="242"/>
      <c r="P3926" s="242"/>
      <c r="Q3926" s="242"/>
      <c r="R3926" s="539"/>
      <c r="S3926" s="540"/>
      <c r="T3926" s="543"/>
      <c r="U3926" s="673" t="b">
        <v>0</v>
      </c>
      <c r="Z3926" t="b">
        <v>0</v>
      </c>
      <c r="AA3926" t="b">
        <v>0</v>
      </c>
      <c r="AC3926" s="82"/>
      <c r="AD3926" t="str">
        <f t="shared" si="71"/>
        <v/>
      </c>
      <c r="AE3926" t="str">
        <f t="shared" si="72"/>
        <v/>
      </c>
    </row>
    <row r="3927">
      <c r="D3927" s="226"/>
      <c r="H3927" s="474"/>
      <c r="I3927" s="474"/>
      <c r="J3927" s="475"/>
      <c r="K3927" s="275"/>
      <c r="L3927" s="82"/>
      <c r="M3927" s="672"/>
      <c r="N3927" s="242"/>
      <c r="O3927" s="242"/>
      <c r="P3927" s="242"/>
      <c r="Q3927" s="242"/>
      <c r="R3927" s="539"/>
      <c r="S3927" s="540"/>
      <c r="T3927" s="543"/>
      <c r="U3927" s="673" t="b">
        <v>0</v>
      </c>
      <c r="Z3927" t="b">
        <v>0</v>
      </c>
      <c r="AA3927" t="b">
        <v>0</v>
      </c>
      <c r="AC3927" s="82"/>
      <c r="AD3927" t="str">
        <f t="shared" si="71"/>
        <v/>
      </c>
      <c r="AE3927" t="str">
        <f t="shared" si="72"/>
        <v/>
      </c>
    </row>
    <row r="3928">
      <c r="D3928" s="226"/>
      <c r="H3928" s="474"/>
      <c r="I3928" s="474"/>
      <c r="J3928" s="475"/>
      <c r="K3928" s="275"/>
      <c r="L3928" s="82"/>
      <c r="M3928" s="672"/>
      <c r="N3928" s="242"/>
      <c r="O3928" s="242"/>
      <c r="P3928" s="242"/>
      <c r="Q3928" s="242"/>
      <c r="R3928" s="539"/>
      <c r="S3928" s="540"/>
      <c r="T3928" s="543"/>
      <c r="U3928" s="673" t="b">
        <v>0</v>
      </c>
      <c r="Z3928" t="b">
        <v>0</v>
      </c>
      <c r="AA3928" t="b">
        <v>0</v>
      </c>
      <c r="AC3928" s="82"/>
      <c r="AD3928" t="str">
        <f t="shared" si="71"/>
        <v/>
      </c>
      <c r="AE3928" t="str">
        <f t="shared" si="72"/>
        <v/>
      </c>
    </row>
    <row r="3929">
      <c r="D3929" s="226"/>
      <c r="H3929" s="474"/>
      <c r="I3929" s="474"/>
      <c r="J3929" s="475"/>
      <c r="K3929" s="275"/>
      <c r="L3929" s="82"/>
      <c r="M3929" s="672"/>
      <c r="N3929" s="242"/>
      <c r="O3929" s="242"/>
      <c r="P3929" s="242"/>
      <c r="Q3929" s="242"/>
      <c r="R3929" s="539"/>
      <c r="S3929" s="540"/>
      <c r="T3929" s="543"/>
      <c r="U3929" s="673" t="b">
        <v>0</v>
      </c>
      <c r="Z3929" t="b">
        <v>0</v>
      </c>
      <c r="AA3929" t="b">
        <v>0</v>
      </c>
      <c r="AC3929" s="82"/>
      <c r="AD3929" t="str">
        <f t="shared" si="71"/>
        <v/>
      </c>
      <c r="AE3929" t="str">
        <f t="shared" si="72"/>
        <v/>
      </c>
    </row>
    <row r="3930">
      <c r="D3930" s="226"/>
      <c r="H3930" s="474"/>
      <c r="I3930" s="474"/>
      <c r="J3930" s="475"/>
      <c r="K3930" s="275"/>
      <c r="L3930" s="82"/>
      <c r="M3930" s="672"/>
      <c r="N3930" s="242"/>
      <c r="O3930" s="242"/>
      <c r="P3930" s="242"/>
      <c r="Q3930" s="242"/>
      <c r="R3930" s="539"/>
      <c r="S3930" s="540"/>
      <c r="T3930" s="543"/>
      <c r="U3930" s="673" t="b">
        <v>0</v>
      </c>
      <c r="Z3930" t="b">
        <v>0</v>
      </c>
      <c r="AA3930" t="b">
        <v>0</v>
      </c>
      <c r="AC3930" s="82"/>
      <c r="AD3930" t="str">
        <f t="shared" si="71"/>
        <v/>
      </c>
      <c r="AE3930" t="str">
        <f t="shared" si="72"/>
        <v/>
      </c>
    </row>
    <row r="3931">
      <c r="D3931" s="226"/>
      <c r="H3931" s="474"/>
      <c r="I3931" s="474"/>
      <c r="J3931" s="475"/>
      <c r="K3931" s="275"/>
      <c r="L3931" s="82"/>
      <c r="M3931" s="672"/>
      <c r="N3931" s="242"/>
      <c r="O3931" s="242"/>
      <c r="P3931" s="242"/>
      <c r="Q3931" s="242"/>
      <c r="R3931" s="539"/>
      <c r="S3931" s="540"/>
      <c r="T3931" s="543"/>
      <c r="U3931" s="673" t="b">
        <v>0</v>
      </c>
      <c r="Z3931" t="b">
        <v>0</v>
      </c>
      <c r="AA3931" t="b">
        <v>0</v>
      </c>
      <c r="AC3931" s="82"/>
      <c r="AD3931" t="str">
        <f t="shared" si="71"/>
        <v/>
      </c>
      <c r="AE3931" t="str">
        <f t="shared" si="72"/>
        <v/>
      </c>
    </row>
    <row r="3932">
      <c r="D3932" s="226"/>
      <c r="H3932" s="474"/>
      <c r="I3932" s="474"/>
      <c r="J3932" s="475"/>
      <c r="K3932" s="275"/>
      <c r="L3932" s="82"/>
      <c r="M3932" s="672"/>
      <c r="N3932" s="242"/>
      <c r="O3932" s="242"/>
      <c r="P3932" s="242"/>
      <c r="Q3932" s="242"/>
      <c r="R3932" s="539"/>
      <c r="S3932" s="540"/>
      <c r="T3932" s="543"/>
      <c r="U3932" s="673" t="b">
        <v>0</v>
      </c>
      <c r="Z3932" t="b">
        <v>0</v>
      </c>
      <c r="AA3932" t="b">
        <v>0</v>
      </c>
      <c r="AC3932" s="82"/>
      <c r="AD3932" t="str">
        <f t="shared" si="71"/>
        <v/>
      </c>
      <c r="AE3932" t="str">
        <f t="shared" si="72"/>
        <v/>
      </c>
    </row>
    <row r="3933">
      <c r="D3933" s="226"/>
      <c r="H3933" s="474"/>
      <c r="I3933" s="474"/>
      <c r="J3933" s="475"/>
      <c r="K3933" s="275"/>
      <c r="L3933" s="82"/>
      <c r="M3933" s="672"/>
      <c r="N3933" s="242"/>
      <c r="O3933" s="242"/>
      <c r="P3933" s="242"/>
      <c r="Q3933" s="242"/>
      <c r="R3933" s="539"/>
      <c r="S3933" s="540"/>
      <c r="T3933" s="543"/>
      <c r="U3933" s="673" t="b">
        <v>0</v>
      </c>
      <c r="Z3933" t="b">
        <v>0</v>
      </c>
      <c r="AA3933" t="b">
        <v>0</v>
      </c>
      <c r="AC3933" s="82"/>
      <c r="AD3933" t="str">
        <f t="shared" si="71"/>
        <v/>
      </c>
      <c r="AE3933" t="str">
        <f t="shared" si="72"/>
        <v/>
      </c>
    </row>
    <row r="3934">
      <c r="D3934" s="226"/>
      <c r="H3934" s="474"/>
      <c r="I3934" s="474"/>
      <c r="J3934" s="475"/>
      <c r="K3934" s="275"/>
      <c r="L3934" s="82"/>
      <c r="M3934" s="672"/>
      <c r="N3934" s="242"/>
      <c r="O3934" s="242"/>
      <c r="P3934" s="242"/>
      <c r="Q3934" s="242"/>
      <c r="R3934" s="539"/>
      <c r="S3934" s="540"/>
      <c r="T3934" s="543"/>
      <c r="U3934" s="673" t="b">
        <v>0</v>
      </c>
      <c r="Z3934" t="b">
        <v>0</v>
      </c>
      <c r="AA3934" t="b">
        <v>0</v>
      </c>
      <c r="AC3934" s="82"/>
      <c r="AD3934" t="str">
        <f t="shared" si="71"/>
        <v/>
      </c>
      <c r="AE3934" t="str">
        <f t="shared" si="72"/>
        <v/>
      </c>
    </row>
    <row r="3935">
      <c r="D3935" s="226"/>
      <c r="H3935" s="474"/>
      <c r="I3935" s="474"/>
      <c r="J3935" s="475"/>
      <c r="K3935" s="275"/>
      <c r="L3935" s="82"/>
      <c r="M3935" s="672"/>
      <c r="N3935" s="242"/>
      <c r="O3935" s="242"/>
      <c r="P3935" s="242"/>
      <c r="Q3935" s="242"/>
      <c r="R3935" s="539"/>
      <c r="S3935" s="540"/>
      <c r="T3935" s="543"/>
      <c r="U3935" s="673" t="b">
        <v>0</v>
      </c>
      <c r="Z3935" t="b">
        <v>0</v>
      </c>
      <c r="AA3935" t="b">
        <v>0</v>
      </c>
      <c r="AC3935" s="82"/>
      <c r="AD3935" t="str">
        <f t="shared" si="71"/>
        <v/>
      </c>
      <c r="AE3935" t="str">
        <f t="shared" si="72"/>
        <v/>
      </c>
    </row>
    <row r="3936">
      <c r="D3936" s="226"/>
      <c r="H3936" s="474"/>
      <c r="I3936" s="474"/>
      <c r="J3936" s="475"/>
      <c r="K3936" s="275"/>
      <c r="L3936" s="82"/>
      <c r="M3936" s="672"/>
      <c r="N3936" s="242"/>
      <c r="O3936" s="242"/>
      <c r="P3936" s="242"/>
      <c r="Q3936" s="242"/>
      <c r="R3936" s="539"/>
      <c r="S3936" s="540"/>
      <c r="T3936" s="543"/>
      <c r="U3936" s="673" t="b">
        <v>0</v>
      </c>
      <c r="Z3936" t="b">
        <v>0</v>
      </c>
      <c r="AA3936" t="b">
        <v>0</v>
      </c>
      <c r="AC3936" s="82"/>
      <c r="AD3936" t="str">
        <f t="shared" si="71"/>
        <v/>
      </c>
      <c r="AE3936" t="str">
        <f t="shared" si="72"/>
        <v/>
      </c>
    </row>
    <row r="3937">
      <c r="D3937" s="226"/>
      <c r="H3937" s="474"/>
      <c r="I3937" s="474"/>
      <c r="J3937" s="475"/>
      <c r="K3937" s="275"/>
      <c r="L3937" s="82"/>
      <c r="M3937" s="672"/>
      <c r="N3937" s="242"/>
      <c r="O3937" s="242"/>
      <c r="P3937" s="242"/>
      <c r="Q3937" s="242"/>
      <c r="R3937" s="539"/>
      <c r="S3937" s="540"/>
      <c r="T3937" s="543"/>
      <c r="U3937" s="673" t="b">
        <v>0</v>
      </c>
      <c r="Z3937" t="b">
        <v>0</v>
      </c>
      <c r="AA3937" t="b">
        <v>0</v>
      </c>
      <c r="AC3937" s="82"/>
      <c r="AD3937" t="str">
        <f t="shared" si="71"/>
        <v/>
      </c>
      <c r="AE3937" t="str">
        <f t="shared" si="72"/>
        <v/>
      </c>
    </row>
    <row r="3938">
      <c r="D3938" s="226"/>
      <c r="H3938" s="474"/>
      <c r="I3938" s="474"/>
      <c r="J3938" s="475"/>
      <c r="K3938" s="275"/>
      <c r="L3938" s="82"/>
      <c r="M3938" s="672"/>
      <c r="N3938" s="242"/>
      <c r="O3938" s="242"/>
      <c r="P3938" s="242"/>
      <c r="Q3938" s="242"/>
      <c r="R3938" s="539"/>
      <c r="S3938" s="540"/>
      <c r="T3938" s="543"/>
      <c r="U3938" s="673" t="b">
        <v>0</v>
      </c>
      <c r="Z3938" t="b">
        <v>0</v>
      </c>
      <c r="AA3938" t="b">
        <v>0</v>
      </c>
      <c r="AC3938" s="82"/>
      <c r="AD3938" t="str">
        <f t="shared" si="71"/>
        <v/>
      </c>
      <c r="AE3938" t="str">
        <f t="shared" si="72"/>
        <v/>
      </c>
    </row>
    <row r="3939">
      <c r="D3939" s="226"/>
      <c r="H3939" s="474"/>
      <c r="I3939" s="474"/>
      <c r="J3939" s="475"/>
      <c r="K3939" s="275"/>
      <c r="L3939" s="82"/>
      <c r="M3939" s="672"/>
      <c r="N3939" s="242"/>
      <c r="O3939" s="242"/>
      <c r="P3939" s="242"/>
      <c r="Q3939" s="242"/>
      <c r="R3939" s="539"/>
      <c r="S3939" s="540"/>
      <c r="T3939" s="543"/>
      <c r="U3939" s="673" t="b">
        <v>0</v>
      </c>
      <c r="Z3939" t="b">
        <v>0</v>
      </c>
      <c r="AA3939" t="b">
        <v>0</v>
      </c>
      <c r="AC3939" s="82"/>
      <c r="AD3939" t="str">
        <f t="shared" si="71"/>
        <v/>
      </c>
      <c r="AE3939" t="str">
        <f t="shared" si="72"/>
        <v/>
      </c>
    </row>
    <row r="3940">
      <c r="D3940" s="226"/>
      <c r="H3940" s="474"/>
      <c r="I3940" s="474"/>
      <c r="J3940" s="475"/>
      <c r="K3940" s="275"/>
      <c r="L3940" s="82"/>
      <c r="M3940" s="672"/>
      <c r="N3940" s="242"/>
      <c r="O3940" s="242"/>
      <c r="P3940" s="242"/>
      <c r="Q3940" s="242"/>
      <c r="R3940" s="539"/>
      <c r="S3940" s="540"/>
      <c r="T3940" s="543"/>
      <c r="U3940" s="673" t="b">
        <v>0</v>
      </c>
      <c r="Z3940" t="b">
        <v>0</v>
      </c>
      <c r="AA3940" t="b">
        <v>0</v>
      </c>
      <c r="AC3940" s="82"/>
      <c r="AD3940" t="str">
        <f t="shared" si="71"/>
        <v/>
      </c>
      <c r="AE3940" t="str">
        <f t="shared" si="72"/>
        <v/>
      </c>
    </row>
    <row r="3941">
      <c r="D3941" s="226"/>
      <c r="H3941" s="474"/>
      <c r="I3941" s="474"/>
      <c r="J3941" s="475"/>
      <c r="K3941" s="275"/>
      <c r="L3941" s="82"/>
      <c r="M3941" s="672"/>
      <c r="N3941" s="242"/>
      <c r="O3941" s="242"/>
      <c r="P3941" s="242"/>
      <c r="Q3941" s="242"/>
      <c r="R3941" s="539"/>
      <c r="S3941" s="540"/>
      <c r="T3941" s="543"/>
      <c r="U3941" s="673" t="b">
        <v>0</v>
      </c>
      <c r="Z3941" t="b">
        <v>0</v>
      </c>
      <c r="AA3941" t="b">
        <v>0</v>
      </c>
      <c r="AC3941" s="82"/>
      <c r="AD3941" t="str">
        <f t="shared" si="71"/>
        <v/>
      </c>
      <c r="AE3941" t="str">
        <f t="shared" si="72"/>
        <v/>
      </c>
    </row>
    <row r="3942">
      <c r="D3942" s="226"/>
      <c r="H3942" s="474"/>
      <c r="I3942" s="474"/>
      <c r="J3942" s="475"/>
      <c r="K3942" s="275"/>
      <c r="L3942" s="82"/>
      <c r="M3942" s="672"/>
      <c r="N3942" s="242"/>
      <c r="O3942" s="242"/>
      <c r="P3942" s="242"/>
      <c r="Q3942" s="242"/>
      <c r="R3942" s="539"/>
      <c r="S3942" s="540"/>
      <c r="T3942" s="543"/>
      <c r="U3942" s="673" t="b">
        <v>0</v>
      </c>
      <c r="Z3942" t="b">
        <v>0</v>
      </c>
      <c r="AA3942" t="b">
        <v>0</v>
      </c>
      <c r="AC3942" s="82"/>
      <c r="AD3942" t="str">
        <f t="shared" si="71"/>
        <v/>
      </c>
      <c r="AE3942" t="str">
        <f t="shared" si="72"/>
        <v/>
      </c>
    </row>
    <row r="3943">
      <c r="D3943" s="226"/>
      <c r="H3943" s="474"/>
      <c r="I3943" s="474"/>
      <c r="J3943" s="475"/>
      <c r="K3943" s="275"/>
      <c r="L3943" s="82"/>
      <c r="M3943" s="672"/>
      <c r="N3943" s="242"/>
      <c r="O3943" s="242"/>
      <c r="P3943" s="242"/>
      <c r="Q3943" s="242"/>
      <c r="R3943" s="539"/>
      <c r="S3943" s="540"/>
      <c r="T3943" s="543"/>
      <c r="U3943" s="673" t="b">
        <v>0</v>
      </c>
      <c r="Z3943" t="b">
        <v>0</v>
      </c>
      <c r="AA3943" t="b">
        <v>0</v>
      </c>
      <c r="AC3943" s="82"/>
      <c r="AD3943" t="str">
        <f t="shared" si="71"/>
        <v/>
      </c>
      <c r="AE3943" t="str">
        <f t="shared" si="72"/>
        <v/>
      </c>
    </row>
    <row r="3944">
      <c r="D3944" s="226"/>
      <c r="H3944" s="474"/>
      <c r="I3944" s="474"/>
      <c r="J3944" s="475"/>
      <c r="K3944" s="275"/>
      <c r="L3944" s="82"/>
      <c r="M3944" s="672"/>
      <c r="N3944" s="242"/>
      <c r="O3944" s="242"/>
      <c r="P3944" s="242"/>
      <c r="Q3944" s="242"/>
      <c r="R3944" s="539"/>
      <c r="S3944" s="540"/>
      <c r="T3944" s="543"/>
      <c r="U3944" s="673" t="b">
        <v>0</v>
      </c>
      <c r="Z3944" t="b">
        <v>0</v>
      </c>
      <c r="AA3944" t="b">
        <v>0</v>
      </c>
      <c r="AC3944" s="82"/>
      <c r="AD3944" t="str">
        <f t="shared" si="71"/>
        <v/>
      </c>
      <c r="AE3944" t="str">
        <f t="shared" si="72"/>
        <v/>
      </c>
    </row>
    <row r="3945">
      <c r="D3945" s="226"/>
      <c r="H3945" s="474"/>
      <c r="I3945" s="474"/>
      <c r="J3945" s="475"/>
      <c r="K3945" s="275"/>
      <c r="L3945" s="82"/>
      <c r="M3945" s="672"/>
      <c r="N3945" s="242"/>
      <c r="O3945" s="242"/>
      <c r="P3945" s="242"/>
      <c r="Q3945" s="242"/>
      <c r="R3945" s="539"/>
      <c r="S3945" s="540"/>
      <c r="T3945" s="543"/>
      <c r="U3945" s="673" t="b">
        <v>0</v>
      </c>
      <c r="Z3945" t="b">
        <v>0</v>
      </c>
      <c r="AA3945" t="b">
        <v>0</v>
      </c>
      <c r="AC3945" s="82"/>
      <c r="AD3945" t="str">
        <f t="shared" si="71"/>
        <v/>
      </c>
      <c r="AE3945" t="str">
        <f t="shared" si="72"/>
        <v/>
      </c>
    </row>
    <row r="3946">
      <c r="D3946" s="226"/>
      <c r="H3946" s="474"/>
      <c r="I3946" s="474"/>
      <c r="J3946" s="475"/>
      <c r="K3946" s="275"/>
      <c r="L3946" s="82"/>
      <c r="M3946" s="672"/>
      <c r="N3946" s="242"/>
      <c r="O3946" s="242"/>
      <c r="P3946" s="242"/>
      <c r="Q3946" s="242"/>
      <c r="R3946" s="539"/>
      <c r="S3946" s="540"/>
      <c r="T3946" s="543"/>
      <c r="U3946" s="673" t="b">
        <v>0</v>
      </c>
      <c r="Z3946" t="b">
        <v>0</v>
      </c>
      <c r="AA3946" t="b">
        <v>0</v>
      </c>
      <c r="AC3946" s="82"/>
      <c r="AD3946" t="str">
        <f t="shared" si="71"/>
        <v/>
      </c>
      <c r="AE3946" t="str">
        <f t="shared" si="72"/>
        <v/>
      </c>
    </row>
    <row r="3947">
      <c r="D3947" s="226"/>
      <c r="H3947" s="474"/>
      <c r="I3947" s="474"/>
      <c r="J3947" s="475"/>
      <c r="K3947" s="275"/>
      <c r="L3947" s="82"/>
      <c r="M3947" s="672"/>
      <c r="N3947" s="242"/>
      <c r="O3947" s="242"/>
      <c r="P3947" s="242"/>
      <c r="Q3947" s="242"/>
      <c r="R3947" s="539"/>
      <c r="S3947" s="540"/>
      <c r="T3947" s="543"/>
      <c r="U3947" s="673" t="b">
        <v>0</v>
      </c>
      <c r="Z3947" t="b">
        <v>0</v>
      </c>
      <c r="AA3947" t="b">
        <v>0</v>
      </c>
      <c r="AC3947" s="82"/>
      <c r="AD3947" t="str">
        <f t="shared" si="71"/>
        <v/>
      </c>
      <c r="AE3947" t="str">
        <f t="shared" si="72"/>
        <v/>
      </c>
    </row>
    <row r="3948">
      <c r="D3948" s="226"/>
      <c r="H3948" s="474"/>
      <c r="I3948" s="474"/>
      <c r="J3948" s="475"/>
      <c r="K3948" s="275"/>
      <c r="L3948" s="82"/>
      <c r="M3948" s="672"/>
      <c r="N3948" s="242"/>
      <c r="O3948" s="242"/>
      <c r="P3948" s="242"/>
      <c r="Q3948" s="242"/>
      <c r="R3948" s="539"/>
      <c r="S3948" s="540"/>
      <c r="T3948" s="543"/>
      <c r="U3948" s="673" t="b">
        <v>0</v>
      </c>
      <c r="Z3948" t="b">
        <v>0</v>
      </c>
      <c r="AA3948" t="b">
        <v>0</v>
      </c>
      <c r="AC3948" s="82"/>
      <c r="AD3948" t="str">
        <f t="shared" si="71"/>
        <v/>
      </c>
      <c r="AE3948" t="str">
        <f t="shared" si="72"/>
        <v/>
      </c>
    </row>
    <row r="3949">
      <c r="D3949" s="226"/>
      <c r="H3949" s="474"/>
      <c r="I3949" s="474"/>
      <c r="J3949" s="475"/>
      <c r="K3949" s="275"/>
      <c r="L3949" s="82"/>
      <c r="M3949" s="672"/>
      <c r="N3949" s="242"/>
      <c r="O3949" s="242"/>
      <c r="P3949" s="242"/>
      <c r="Q3949" s="242"/>
      <c r="R3949" s="539"/>
      <c r="S3949" s="540"/>
      <c r="T3949" s="543"/>
      <c r="U3949" s="673" t="b">
        <v>0</v>
      </c>
      <c r="Z3949" t="b">
        <v>0</v>
      </c>
      <c r="AA3949" t="b">
        <v>0</v>
      </c>
      <c r="AC3949" s="82"/>
      <c r="AD3949" t="str">
        <f t="shared" si="71"/>
        <v/>
      </c>
      <c r="AE3949" t="str">
        <f t="shared" si="72"/>
        <v/>
      </c>
    </row>
    <row r="3950">
      <c r="D3950" s="226"/>
      <c r="H3950" s="474"/>
      <c r="I3950" s="474"/>
      <c r="J3950" s="475"/>
      <c r="K3950" s="275"/>
      <c r="L3950" s="82"/>
      <c r="M3950" s="672"/>
      <c r="N3950" s="242"/>
      <c r="O3950" s="242"/>
      <c r="P3950" s="242"/>
      <c r="Q3950" s="242"/>
      <c r="R3950" s="539"/>
      <c r="S3950" s="540"/>
      <c r="T3950" s="543"/>
      <c r="U3950" s="673" t="b">
        <v>0</v>
      </c>
      <c r="Z3950" t="b">
        <v>0</v>
      </c>
      <c r="AA3950" t="b">
        <v>0</v>
      </c>
      <c r="AC3950" s="82"/>
      <c r="AD3950" t="str">
        <f t="shared" si="71"/>
        <v/>
      </c>
      <c r="AE3950" t="str">
        <f t="shared" si="72"/>
        <v/>
      </c>
    </row>
    <row r="3951">
      <c r="D3951" s="226"/>
      <c r="H3951" s="474"/>
      <c r="I3951" s="474"/>
      <c r="J3951" s="475"/>
      <c r="K3951" s="275"/>
      <c r="L3951" s="82"/>
      <c r="M3951" s="672"/>
      <c r="N3951" s="242"/>
      <c r="O3951" s="242"/>
      <c r="P3951" s="242"/>
      <c r="Q3951" s="242"/>
      <c r="R3951" s="539"/>
      <c r="S3951" s="540"/>
      <c r="T3951" s="543"/>
      <c r="U3951" s="673" t="b">
        <v>0</v>
      </c>
      <c r="Z3951" t="b">
        <v>0</v>
      </c>
      <c r="AA3951" t="b">
        <v>0</v>
      </c>
      <c r="AC3951" s="82"/>
      <c r="AD3951" t="str">
        <f t="shared" si="71"/>
        <v/>
      </c>
      <c r="AE3951" t="str">
        <f t="shared" si="72"/>
        <v/>
      </c>
    </row>
    <row r="3952">
      <c r="D3952" s="226"/>
      <c r="H3952" s="474"/>
      <c r="I3952" s="474"/>
      <c r="J3952" s="475"/>
      <c r="K3952" s="275"/>
      <c r="L3952" s="82"/>
      <c r="M3952" s="672"/>
      <c r="N3952" s="242"/>
      <c r="O3952" s="242"/>
      <c r="P3952" s="242"/>
      <c r="Q3952" s="242"/>
      <c r="R3952" s="539"/>
      <c r="S3952" s="540"/>
      <c r="T3952" s="543"/>
      <c r="U3952" s="673" t="b">
        <v>0</v>
      </c>
      <c r="Z3952" t="b">
        <v>0</v>
      </c>
      <c r="AA3952" t="b">
        <v>0</v>
      </c>
      <c r="AC3952" s="82"/>
      <c r="AD3952" t="str">
        <f t="shared" si="71"/>
        <v/>
      </c>
      <c r="AE3952" t="str">
        <f t="shared" si="72"/>
        <v/>
      </c>
    </row>
    <row r="3953">
      <c r="D3953" s="226"/>
      <c r="H3953" s="474"/>
      <c r="I3953" s="474"/>
      <c r="J3953" s="475"/>
      <c r="K3953" s="275"/>
      <c r="L3953" s="82"/>
      <c r="M3953" s="672"/>
      <c r="N3953" s="242"/>
      <c r="O3953" s="242"/>
      <c r="P3953" s="242"/>
      <c r="Q3953" s="242"/>
      <c r="R3953" s="539"/>
      <c r="S3953" s="540"/>
      <c r="T3953" s="543"/>
      <c r="U3953" s="673" t="b">
        <v>0</v>
      </c>
      <c r="Z3953" t="b">
        <v>0</v>
      </c>
      <c r="AA3953" t="b">
        <v>0</v>
      </c>
      <c r="AC3953" s="82"/>
      <c r="AD3953" t="str">
        <f t="shared" si="71"/>
        <v/>
      </c>
      <c r="AE3953" t="str">
        <f t="shared" si="72"/>
        <v/>
      </c>
    </row>
    <row r="3954">
      <c r="D3954" s="226"/>
      <c r="H3954" s="474"/>
      <c r="I3954" s="474"/>
      <c r="J3954" s="475"/>
      <c r="K3954" s="275"/>
      <c r="L3954" s="82"/>
      <c r="M3954" s="672"/>
      <c r="N3954" s="242"/>
      <c r="O3954" s="242"/>
      <c r="P3954" s="242"/>
      <c r="Q3954" s="242"/>
      <c r="R3954" s="539"/>
      <c r="S3954" s="540"/>
      <c r="T3954" s="543"/>
      <c r="U3954" s="673" t="b">
        <v>0</v>
      </c>
      <c r="Z3954" t="b">
        <v>0</v>
      </c>
      <c r="AA3954" t="b">
        <v>0</v>
      </c>
      <c r="AC3954" s="82"/>
      <c r="AD3954" t="str">
        <f t="shared" si="71"/>
        <v/>
      </c>
      <c r="AE3954" t="str">
        <f t="shared" si="72"/>
        <v/>
      </c>
    </row>
    <row r="3955">
      <c r="D3955" s="226"/>
      <c r="H3955" s="474"/>
      <c r="I3955" s="474"/>
      <c r="J3955" s="475"/>
      <c r="K3955" s="275"/>
      <c r="L3955" s="82"/>
      <c r="M3955" s="672"/>
      <c r="N3955" s="242"/>
      <c r="O3955" s="242"/>
      <c r="P3955" s="242"/>
      <c r="Q3955" s="242"/>
      <c r="R3955" s="539"/>
      <c r="S3955" s="540"/>
      <c r="T3955" s="543"/>
      <c r="U3955" s="673" t="b">
        <v>0</v>
      </c>
      <c r="Z3955" t="b">
        <v>0</v>
      </c>
      <c r="AA3955" t="b">
        <v>0</v>
      </c>
      <c r="AC3955" s="82"/>
      <c r="AD3955" t="str">
        <f t="shared" si="71"/>
        <v/>
      </c>
      <c r="AE3955" t="str">
        <f t="shared" si="72"/>
        <v/>
      </c>
    </row>
    <row r="3956">
      <c r="D3956" s="226"/>
      <c r="H3956" s="474"/>
      <c r="I3956" s="474"/>
      <c r="J3956" s="475"/>
      <c r="K3956" s="275"/>
      <c r="L3956" s="82"/>
      <c r="M3956" s="672"/>
      <c r="N3956" s="242"/>
      <c r="O3956" s="242"/>
      <c r="P3956" s="242"/>
      <c r="Q3956" s="242"/>
      <c r="R3956" s="539"/>
      <c r="S3956" s="540"/>
      <c r="T3956" s="543"/>
      <c r="U3956" s="673" t="b">
        <v>0</v>
      </c>
      <c r="Z3956" t="b">
        <v>0</v>
      </c>
      <c r="AA3956" t="b">
        <v>0</v>
      </c>
      <c r="AC3956" s="82"/>
      <c r="AD3956" t="str">
        <f t="shared" si="71"/>
        <v/>
      </c>
      <c r="AE3956" t="str">
        <f t="shared" si="72"/>
        <v/>
      </c>
    </row>
    <row r="3957">
      <c r="D3957" s="226"/>
      <c r="H3957" s="474"/>
      <c r="I3957" s="474"/>
      <c r="J3957" s="475"/>
      <c r="K3957" s="275"/>
      <c r="L3957" s="82"/>
      <c r="M3957" s="672"/>
      <c r="N3957" s="242"/>
      <c r="O3957" s="242"/>
      <c r="P3957" s="242"/>
      <c r="Q3957" s="242"/>
      <c r="R3957" s="539"/>
      <c r="S3957" s="540"/>
      <c r="T3957" s="543"/>
      <c r="U3957" s="673" t="b">
        <v>0</v>
      </c>
      <c r="Z3957" t="b">
        <v>0</v>
      </c>
      <c r="AA3957" t="b">
        <v>0</v>
      </c>
      <c r="AC3957" s="82"/>
      <c r="AD3957" t="str">
        <f t="shared" si="71"/>
        <v/>
      </c>
      <c r="AE3957" t="str">
        <f t="shared" si="72"/>
        <v/>
      </c>
    </row>
    <row r="3958">
      <c r="D3958" s="226"/>
      <c r="H3958" s="474"/>
      <c r="I3958" s="474"/>
      <c r="J3958" s="475"/>
      <c r="K3958" s="275"/>
      <c r="L3958" s="82"/>
      <c r="M3958" s="672"/>
      <c r="N3958" s="242"/>
      <c r="O3958" s="242"/>
      <c r="P3958" s="242"/>
      <c r="Q3958" s="242"/>
      <c r="R3958" s="539"/>
      <c r="S3958" s="540"/>
      <c r="T3958" s="543"/>
      <c r="U3958" s="673" t="b">
        <v>0</v>
      </c>
      <c r="Z3958" t="b">
        <v>0</v>
      </c>
      <c r="AA3958" t="b">
        <v>0</v>
      </c>
      <c r="AC3958" s="82"/>
      <c r="AD3958" t="str">
        <f t="shared" si="71"/>
        <v/>
      </c>
      <c r="AE3958" t="str">
        <f t="shared" si="72"/>
        <v/>
      </c>
    </row>
    <row r="3959">
      <c r="D3959" s="226"/>
      <c r="H3959" s="474"/>
      <c r="I3959" s="474"/>
      <c r="J3959" s="475"/>
      <c r="K3959" s="275"/>
      <c r="L3959" s="82"/>
      <c r="M3959" s="672"/>
      <c r="N3959" s="242"/>
      <c r="O3959" s="242"/>
      <c r="P3959" s="242"/>
      <c r="Q3959" s="242"/>
      <c r="R3959" s="539"/>
      <c r="S3959" s="540"/>
      <c r="T3959" s="543"/>
      <c r="U3959" s="673" t="b">
        <v>0</v>
      </c>
      <c r="Z3959" t="b">
        <v>0</v>
      </c>
      <c r="AA3959" t="b">
        <v>0</v>
      </c>
      <c r="AC3959" s="82"/>
      <c r="AD3959" t="str">
        <f t="shared" si="71"/>
        <v/>
      </c>
      <c r="AE3959" t="str">
        <f t="shared" si="72"/>
        <v/>
      </c>
    </row>
    <row r="3960">
      <c r="D3960" s="226"/>
      <c r="H3960" s="474"/>
      <c r="I3960" s="474"/>
      <c r="J3960" s="475"/>
      <c r="K3960" s="275"/>
      <c r="L3960" s="82"/>
      <c r="M3960" s="672"/>
      <c r="N3960" s="242"/>
      <c r="O3960" s="242"/>
      <c r="P3960" s="242"/>
      <c r="Q3960" s="242"/>
      <c r="R3960" s="539"/>
      <c r="S3960" s="540"/>
      <c r="T3960" s="543"/>
      <c r="U3960" s="673" t="b">
        <v>0</v>
      </c>
      <c r="Z3960" t="b">
        <v>0</v>
      </c>
      <c r="AA3960" t="b">
        <v>0</v>
      </c>
      <c r="AC3960" s="82"/>
      <c r="AD3960" t="str">
        <f t="shared" si="71"/>
        <v/>
      </c>
      <c r="AE3960" t="str">
        <f t="shared" si="72"/>
        <v/>
      </c>
    </row>
    <row r="3961">
      <c r="D3961" s="226"/>
      <c r="H3961" s="474"/>
      <c r="I3961" s="474"/>
      <c r="J3961" s="475"/>
      <c r="K3961" s="275"/>
      <c r="L3961" s="82"/>
      <c r="M3961" s="672"/>
      <c r="N3961" s="242"/>
      <c r="O3961" s="242"/>
      <c r="P3961" s="242"/>
      <c r="Q3961" s="242"/>
      <c r="R3961" s="539"/>
      <c r="S3961" s="540"/>
      <c r="T3961" s="543"/>
      <c r="U3961" s="673" t="b">
        <v>0</v>
      </c>
      <c r="Z3961" t="b">
        <v>0</v>
      </c>
      <c r="AA3961" t="b">
        <v>0</v>
      </c>
      <c r="AC3961" s="82"/>
      <c r="AD3961" t="str">
        <f t="shared" si="71"/>
        <v/>
      </c>
      <c r="AE3961" t="str">
        <f t="shared" si="72"/>
        <v/>
      </c>
    </row>
    <row r="3962">
      <c r="D3962" s="226"/>
      <c r="H3962" s="474"/>
      <c r="I3962" s="474"/>
      <c r="J3962" s="475"/>
      <c r="K3962" s="275"/>
      <c r="L3962" s="82"/>
      <c r="M3962" s="672"/>
      <c r="N3962" s="242"/>
      <c r="O3962" s="242"/>
      <c r="P3962" s="242"/>
      <c r="Q3962" s="242"/>
      <c r="R3962" s="539"/>
      <c r="S3962" s="540"/>
      <c r="T3962" s="543"/>
      <c r="U3962" s="673" t="b">
        <v>0</v>
      </c>
      <c r="Z3962" t="b">
        <v>0</v>
      </c>
      <c r="AA3962" t="b">
        <v>0</v>
      </c>
      <c r="AC3962" s="82"/>
      <c r="AD3962" t="str">
        <f t="shared" si="71"/>
        <v/>
      </c>
      <c r="AE3962" t="str">
        <f t="shared" si="72"/>
        <v/>
      </c>
    </row>
    <row r="3963">
      <c r="D3963" s="226"/>
      <c r="H3963" s="474"/>
      <c r="I3963" s="474"/>
      <c r="J3963" s="475"/>
      <c r="K3963" s="275"/>
      <c r="L3963" s="82"/>
      <c r="M3963" s="672"/>
      <c r="N3963" s="242"/>
      <c r="O3963" s="242"/>
      <c r="P3963" s="242"/>
      <c r="Q3963" s="242"/>
      <c r="R3963" s="539"/>
      <c r="S3963" s="540"/>
      <c r="T3963" s="543"/>
      <c r="U3963" s="673" t="b">
        <v>0</v>
      </c>
      <c r="Z3963" t="b">
        <v>0</v>
      </c>
      <c r="AA3963" t="b">
        <v>0</v>
      </c>
      <c r="AC3963" s="82"/>
      <c r="AD3963" t="str">
        <f t="shared" si="71"/>
        <v/>
      </c>
      <c r="AE3963" t="str">
        <f t="shared" si="72"/>
        <v/>
      </c>
    </row>
    <row r="3964">
      <c r="D3964" s="226"/>
      <c r="H3964" s="474"/>
      <c r="I3964" s="474"/>
      <c r="J3964" s="475"/>
      <c r="K3964" s="275"/>
      <c r="L3964" s="82"/>
      <c r="M3964" s="672"/>
      <c r="N3964" s="242"/>
      <c r="O3964" s="242"/>
      <c r="P3964" s="242"/>
      <c r="Q3964" s="242"/>
      <c r="R3964" s="539"/>
      <c r="S3964" s="540"/>
      <c r="T3964" s="543"/>
      <c r="U3964" s="673" t="b">
        <v>0</v>
      </c>
      <c r="Z3964" t="b">
        <v>0</v>
      </c>
      <c r="AA3964" t="b">
        <v>0</v>
      </c>
      <c r="AC3964" s="82"/>
      <c r="AD3964" t="str">
        <f t="shared" si="71"/>
        <v/>
      </c>
      <c r="AE3964" t="str">
        <f t="shared" si="72"/>
        <v/>
      </c>
    </row>
    <row r="3965">
      <c r="D3965" s="226"/>
      <c r="H3965" s="474"/>
      <c r="I3965" s="474"/>
      <c r="J3965" s="475"/>
      <c r="K3965" s="275"/>
      <c r="L3965" s="82"/>
      <c r="M3965" s="672"/>
      <c r="N3965" s="242"/>
      <c r="O3965" s="242"/>
      <c r="P3965" s="242"/>
      <c r="Q3965" s="242"/>
      <c r="R3965" s="539"/>
      <c r="S3965" s="540"/>
      <c r="T3965" s="543"/>
      <c r="U3965" s="673" t="b">
        <v>0</v>
      </c>
      <c r="Z3965" t="b">
        <v>0</v>
      </c>
      <c r="AA3965" t="b">
        <v>0</v>
      </c>
      <c r="AC3965" s="82"/>
      <c r="AD3965" t="str">
        <f t="shared" si="71"/>
        <v/>
      </c>
      <c r="AE3965" t="str">
        <f t="shared" si="72"/>
        <v/>
      </c>
    </row>
    <row r="3966">
      <c r="D3966" s="226"/>
      <c r="H3966" s="474"/>
      <c r="I3966" s="474"/>
      <c r="J3966" s="475"/>
      <c r="K3966" s="275"/>
      <c r="L3966" s="82"/>
      <c r="M3966" s="672"/>
      <c r="N3966" s="242"/>
      <c r="O3966" s="242"/>
      <c r="P3966" s="242"/>
      <c r="Q3966" s="242"/>
      <c r="R3966" s="539"/>
      <c r="S3966" s="540"/>
      <c r="T3966" s="543"/>
      <c r="U3966" s="673" t="b">
        <v>0</v>
      </c>
      <c r="Z3966" t="b">
        <v>0</v>
      </c>
      <c r="AA3966" t="b">
        <v>0</v>
      </c>
      <c r="AC3966" s="82"/>
      <c r="AD3966" t="str">
        <f t="shared" si="71"/>
        <v/>
      </c>
      <c r="AE3966" t="str">
        <f t="shared" si="72"/>
        <v/>
      </c>
    </row>
    <row r="3967">
      <c r="D3967" s="226"/>
      <c r="H3967" s="474"/>
      <c r="I3967" s="474"/>
      <c r="J3967" s="475"/>
      <c r="K3967" s="275"/>
      <c r="L3967" s="82"/>
      <c r="M3967" s="672"/>
      <c r="N3967" s="242"/>
      <c r="O3967" s="242"/>
      <c r="P3967" s="242"/>
      <c r="Q3967" s="242"/>
      <c r="R3967" s="539"/>
      <c r="S3967" s="540"/>
      <c r="T3967" s="543"/>
      <c r="U3967" s="673" t="b">
        <v>0</v>
      </c>
      <c r="Z3967" t="b">
        <v>0</v>
      </c>
      <c r="AA3967" t="b">
        <v>0</v>
      </c>
      <c r="AC3967" s="82"/>
      <c r="AD3967" t="str">
        <f t="shared" si="71"/>
        <v/>
      </c>
      <c r="AE3967" t="str">
        <f t="shared" si="72"/>
        <v/>
      </c>
    </row>
    <row r="3968">
      <c r="D3968" s="226"/>
      <c r="H3968" s="474"/>
      <c r="I3968" s="474"/>
      <c r="J3968" s="475"/>
      <c r="K3968" s="275"/>
      <c r="L3968" s="82"/>
      <c r="M3968" s="672"/>
      <c r="N3968" s="242"/>
      <c r="O3968" s="242"/>
      <c r="P3968" s="242"/>
      <c r="Q3968" s="242"/>
      <c r="R3968" s="539"/>
      <c r="S3968" s="540"/>
      <c r="T3968" s="543"/>
      <c r="U3968" s="673" t="b">
        <v>0</v>
      </c>
      <c r="Z3968" t="b">
        <v>0</v>
      </c>
      <c r="AA3968" t="b">
        <v>0</v>
      </c>
      <c r="AC3968" s="82"/>
      <c r="AD3968" t="str">
        <f t="shared" si="71"/>
        <v/>
      </c>
      <c r="AE3968" t="str">
        <f t="shared" si="72"/>
        <v/>
      </c>
    </row>
    <row r="3969">
      <c r="D3969" s="226"/>
      <c r="H3969" s="474"/>
      <c r="I3969" s="474"/>
      <c r="J3969" s="475"/>
      <c r="K3969" s="275"/>
      <c r="L3969" s="82"/>
      <c r="M3969" s="672"/>
      <c r="N3969" s="242"/>
      <c r="O3969" s="242"/>
      <c r="P3969" s="242"/>
      <c r="Q3969" s="242"/>
      <c r="R3969" s="539"/>
      <c r="S3969" s="540"/>
      <c r="T3969" s="543"/>
      <c r="U3969" s="673" t="b">
        <v>0</v>
      </c>
      <c r="Z3969" t="b">
        <v>0</v>
      </c>
      <c r="AA3969" t="b">
        <v>0</v>
      </c>
      <c r="AC3969" s="82"/>
      <c r="AD3969" t="str">
        <f t="shared" si="71"/>
        <v/>
      </c>
      <c r="AE3969" t="str">
        <f t="shared" si="72"/>
        <v/>
      </c>
    </row>
    <row r="3970">
      <c r="D3970" s="226"/>
      <c r="H3970" s="474"/>
      <c r="I3970" s="474"/>
      <c r="J3970" s="475"/>
      <c r="K3970" s="275"/>
      <c r="L3970" s="82"/>
      <c r="M3970" s="672"/>
      <c r="N3970" s="242"/>
      <c r="O3970" s="242"/>
      <c r="P3970" s="242"/>
      <c r="Q3970" s="242"/>
      <c r="R3970" s="539"/>
      <c r="S3970" s="540"/>
      <c r="T3970" s="543"/>
      <c r="U3970" s="673" t="b">
        <v>0</v>
      </c>
      <c r="Z3970" t="b">
        <v>0</v>
      </c>
      <c r="AA3970" t="b">
        <v>0</v>
      </c>
      <c r="AC3970" s="82"/>
      <c r="AD3970" t="str">
        <f t="shared" si="71"/>
        <v/>
      </c>
      <c r="AE3970" t="str">
        <f t="shared" si="72"/>
        <v/>
      </c>
    </row>
    <row r="3971">
      <c r="D3971" s="226"/>
      <c r="H3971" s="474"/>
      <c r="I3971" s="474"/>
      <c r="J3971" s="475"/>
      <c r="K3971" s="275"/>
      <c r="L3971" s="82"/>
      <c r="M3971" s="672"/>
      <c r="N3971" s="242"/>
      <c r="O3971" s="242"/>
      <c r="P3971" s="242"/>
      <c r="Q3971" s="242"/>
      <c r="R3971" s="539"/>
      <c r="S3971" s="540"/>
      <c r="T3971" s="543"/>
      <c r="U3971" s="673" t="b">
        <v>0</v>
      </c>
      <c r="Z3971" t="b">
        <v>0</v>
      </c>
      <c r="AA3971" t="b">
        <v>0</v>
      </c>
      <c r="AC3971" s="82"/>
      <c r="AD3971" t="str">
        <f t="shared" si="71"/>
        <v/>
      </c>
      <c r="AE3971" t="str">
        <f t="shared" si="72"/>
        <v/>
      </c>
    </row>
    <row r="3972">
      <c r="D3972" s="226"/>
      <c r="H3972" s="474"/>
      <c r="I3972" s="474"/>
      <c r="J3972" s="475"/>
      <c r="K3972" s="275"/>
      <c r="L3972" s="82"/>
      <c r="M3972" s="672"/>
      <c r="N3972" s="242"/>
      <c r="O3972" s="242"/>
      <c r="P3972" s="242"/>
      <c r="Q3972" s="242"/>
      <c r="R3972" s="539"/>
      <c r="S3972" s="540"/>
      <c r="T3972" s="543"/>
      <c r="U3972" s="673" t="b">
        <v>0</v>
      </c>
      <c r="Z3972" t="b">
        <v>0</v>
      </c>
      <c r="AA3972" t="b">
        <v>0</v>
      </c>
      <c r="AC3972" s="82"/>
      <c r="AD3972" t="str">
        <f t="shared" si="71"/>
        <v/>
      </c>
      <c r="AE3972" t="str">
        <f t="shared" si="72"/>
        <v/>
      </c>
    </row>
    <row r="3973">
      <c r="D3973" s="226"/>
      <c r="H3973" s="474"/>
      <c r="I3973" s="474"/>
      <c r="J3973" s="475"/>
      <c r="K3973" s="275"/>
      <c r="L3973" s="82"/>
      <c r="M3973" s="672"/>
      <c r="N3973" s="242"/>
      <c r="O3973" s="242"/>
      <c r="P3973" s="242"/>
      <c r="Q3973" s="242"/>
      <c r="R3973" s="539"/>
      <c r="S3973" s="540"/>
      <c r="T3973" s="543"/>
      <c r="U3973" s="673" t="b">
        <v>0</v>
      </c>
      <c r="Z3973" t="b">
        <v>0</v>
      </c>
      <c r="AA3973" t="b">
        <v>0</v>
      </c>
      <c r="AC3973" s="82"/>
      <c r="AD3973" t="str">
        <f t="shared" si="71"/>
        <v/>
      </c>
      <c r="AE3973" t="str">
        <f t="shared" si="72"/>
        <v/>
      </c>
    </row>
    <row r="3974">
      <c r="D3974" s="226"/>
      <c r="H3974" s="474"/>
      <c r="I3974" s="474"/>
      <c r="J3974" s="475"/>
      <c r="K3974" s="275"/>
      <c r="L3974" s="82"/>
      <c r="M3974" s="672"/>
      <c r="N3974" s="242"/>
      <c r="O3974" s="242"/>
      <c r="P3974" s="242"/>
      <c r="Q3974" s="242"/>
      <c r="R3974" s="539"/>
      <c r="S3974" s="540"/>
      <c r="T3974" s="543"/>
      <c r="U3974" s="673" t="b">
        <v>0</v>
      </c>
      <c r="Z3974" t="b">
        <v>0</v>
      </c>
      <c r="AA3974" t="b">
        <v>0</v>
      </c>
      <c r="AC3974" s="82"/>
      <c r="AD3974" t="str">
        <f t="shared" si="71"/>
        <v/>
      </c>
      <c r="AE3974" t="str">
        <f t="shared" si="72"/>
        <v/>
      </c>
    </row>
    <row r="3975">
      <c r="D3975" s="226"/>
      <c r="H3975" s="474"/>
      <c r="I3975" s="474"/>
      <c r="J3975" s="475"/>
      <c r="K3975" s="275"/>
      <c r="L3975" s="82"/>
      <c r="M3975" s="672"/>
      <c r="N3975" s="242"/>
      <c r="O3975" s="242"/>
      <c r="P3975" s="242"/>
      <c r="Q3975" s="242"/>
      <c r="R3975" s="539"/>
      <c r="S3975" s="540"/>
      <c r="T3975" s="543"/>
      <c r="U3975" s="673" t="b">
        <v>0</v>
      </c>
      <c r="Z3975" t="b">
        <v>0</v>
      </c>
      <c r="AA3975" t="b">
        <v>0</v>
      </c>
      <c r="AC3975" s="82"/>
      <c r="AD3975" t="str">
        <f t="shared" si="71"/>
        <v/>
      </c>
      <c r="AE3975" t="str">
        <f t="shared" si="72"/>
        <v/>
      </c>
    </row>
    <row r="3976">
      <c r="D3976" s="226"/>
      <c r="H3976" s="474"/>
      <c r="I3976" s="474"/>
      <c r="J3976" s="475"/>
      <c r="K3976" s="275"/>
      <c r="L3976" s="82"/>
      <c r="M3976" s="672"/>
      <c r="N3976" s="242"/>
      <c r="O3976" s="242"/>
      <c r="P3976" s="242"/>
      <c r="Q3976" s="242"/>
      <c r="R3976" s="539"/>
      <c r="S3976" s="540"/>
      <c r="T3976" s="543"/>
      <c r="U3976" s="673" t="b">
        <v>0</v>
      </c>
      <c r="Z3976" t="b">
        <v>0</v>
      </c>
      <c r="AA3976" t="b">
        <v>0</v>
      </c>
      <c r="AC3976" s="82"/>
      <c r="AD3976" t="str">
        <f t="shared" si="71"/>
        <v/>
      </c>
      <c r="AE3976" t="str">
        <f t="shared" si="72"/>
        <v/>
      </c>
    </row>
    <row r="3977">
      <c r="D3977" s="226"/>
      <c r="H3977" s="474"/>
      <c r="I3977" s="474"/>
      <c r="J3977" s="475"/>
      <c r="K3977" s="275"/>
      <c r="L3977" s="82"/>
      <c r="M3977" s="672"/>
      <c r="N3977" s="242"/>
      <c r="O3977" s="242"/>
      <c r="P3977" s="242"/>
      <c r="Q3977" s="242"/>
      <c r="R3977" s="539"/>
      <c r="S3977" s="540"/>
      <c r="T3977" s="543"/>
      <c r="U3977" s="673" t="b">
        <v>0</v>
      </c>
      <c r="Z3977" t="b">
        <v>0</v>
      </c>
      <c r="AA3977" t="b">
        <v>0</v>
      </c>
      <c r="AC3977" s="82"/>
      <c r="AD3977" t="str">
        <f t="shared" si="71"/>
        <v/>
      </c>
      <c r="AE3977" t="str">
        <f t="shared" si="72"/>
        <v/>
      </c>
    </row>
    <row r="3978">
      <c r="D3978" s="226"/>
      <c r="H3978" s="474"/>
      <c r="I3978" s="474"/>
      <c r="J3978" s="475"/>
      <c r="K3978" s="275"/>
      <c r="L3978" s="82"/>
      <c r="M3978" s="672"/>
      <c r="N3978" s="242"/>
      <c r="O3978" s="242"/>
      <c r="P3978" s="242"/>
      <c r="Q3978" s="242"/>
      <c r="R3978" s="539"/>
      <c r="S3978" s="540"/>
      <c r="T3978" s="543"/>
      <c r="U3978" s="673" t="b">
        <v>0</v>
      </c>
      <c r="Z3978" t="b">
        <v>0</v>
      </c>
      <c r="AA3978" t="b">
        <v>0</v>
      </c>
      <c r="AC3978" s="82"/>
      <c r="AD3978" t="str">
        <f t="shared" si="71"/>
        <v/>
      </c>
      <c r="AE3978" t="str">
        <f t="shared" si="72"/>
        <v/>
      </c>
    </row>
    <row r="3979">
      <c r="D3979" s="226"/>
      <c r="H3979" s="474"/>
      <c r="I3979" s="474"/>
      <c r="J3979" s="475"/>
      <c r="K3979" s="275"/>
      <c r="L3979" s="82"/>
      <c r="M3979" s="672"/>
      <c r="N3979" s="242"/>
      <c r="O3979" s="242"/>
      <c r="P3979" s="242"/>
      <c r="Q3979" s="242"/>
      <c r="R3979" s="539"/>
      <c r="S3979" s="540"/>
      <c r="T3979" s="543"/>
      <c r="U3979" s="673" t="b">
        <v>0</v>
      </c>
      <c r="Z3979" t="b">
        <v>0</v>
      </c>
      <c r="AA3979" t="b">
        <v>0</v>
      </c>
      <c r="AC3979" s="82"/>
      <c r="AD3979" t="str">
        <f t="shared" si="71"/>
        <v/>
      </c>
      <c r="AE3979" t="str">
        <f t="shared" si="72"/>
        <v/>
      </c>
    </row>
    <row r="3980">
      <c r="D3980" s="226"/>
      <c r="H3980" s="474"/>
      <c r="I3980" s="474"/>
      <c r="J3980" s="475"/>
      <c r="K3980" s="275"/>
      <c r="L3980" s="82"/>
      <c r="M3980" s="672"/>
      <c r="N3980" s="242"/>
      <c r="O3980" s="242"/>
      <c r="P3980" s="242"/>
      <c r="Q3980" s="242"/>
      <c r="R3980" s="539"/>
      <c r="S3980" s="540"/>
      <c r="T3980" s="543"/>
      <c r="U3980" s="673" t="b">
        <v>0</v>
      </c>
      <c r="Z3980" t="b">
        <v>0</v>
      </c>
      <c r="AA3980" t="b">
        <v>0</v>
      </c>
      <c r="AC3980" s="82"/>
      <c r="AD3980" t="str">
        <f t="shared" si="71"/>
        <v/>
      </c>
      <c r="AE3980" t="str">
        <f t="shared" si="72"/>
        <v/>
      </c>
    </row>
    <row r="3981">
      <c r="D3981" s="226"/>
      <c r="H3981" s="474"/>
      <c r="I3981" s="474"/>
      <c r="J3981" s="475"/>
      <c r="K3981" s="275"/>
      <c r="L3981" s="82"/>
      <c r="M3981" s="672"/>
      <c r="N3981" s="242"/>
      <c r="O3981" s="242"/>
      <c r="P3981" s="242"/>
      <c r="Q3981" s="242"/>
      <c r="R3981" s="539"/>
      <c r="S3981" s="540"/>
      <c r="T3981" s="543"/>
      <c r="U3981" s="673" t="b">
        <v>0</v>
      </c>
      <c r="Z3981" t="b">
        <v>0</v>
      </c>
      <c r="AA3981" t="b">
        <v>0</v>
      </c>
      <c r="AC3981" s="82"/>
      <c r="AD3981" t="str">
        <f t="shared" si="71"/>
        <v/>
      </c>
      <c r="AE3981" t="str">
        <f t="shared" si="72"/>
        <v/>
      </c>
    </row>
    <row r="3982">
      <c r="D3982" s="226"/>
      <c r="H3982" s="474"/>
      <c r="I3982" s="474"/>
      <c r="J3982" s="475"/>
      <c r="K3982" s="275"/>
      <c r="L3982" s="82"/>
      <c r="M3982" s="672"/>
      <c r="N3982" s="242"/>
      <c r="O3982" s="242"/>
      <c r="P3982" s="242"/>
      <c r="Q3982" s="242"/>
      <c r="R3982" s="539"/>
      <c r="S3982" s="540"/>
      <c r="T3982" s="543"/>
      <c r="U3982" s="673" t="b">
        <v>0</v>
      </c>
      <c r="Z3982" t="b">
        <v>0</v>
      </c>
      <c r="AA3982" t="b">
        <v>0</v>
      </c>
      <c r="AC3982" s="82"/>
      <c r="AD3982" t="str">
        <f t="shared" si="71"/>
        <v/>
      </c>
      <c r="AE3982" t="str">
        <f t="shared" si="72"/>
        <v/>
      </c>
    </row>
    <row r="3983">
      <c r="D3983" s="226"/>
      <c r="H3983" s="474"/>
      <c r="I3983" s="474"/>
      <c r="J3983" s="475"/>
      <c r="K3983" s="275"/>
      <c r="L3983" s="82"/>
      <c r="M3983" s="672"/>
      <c r="N3983" s="242"/>
      <c r="O3983" s="242"/>
      <c r="P3983" s="242"/>
      <c r="Q3983" s="242"/>
      <c r="R3983" s="539"/>
      <c r="S3983" s="540"/>
      <c r="T3983" s="543"/>
      <c r="U3983" s="673" t="b">
        <v>0</v>
      </c>
      <c r="Z3983" t="b">
        <v>0</v>
      </c>
      <c r="AA3983" t="b">
        <v>0</v>
      </c>
      <c r="AC3983" s="82"/>
      <c r="AD3983" t="str">
        <f t="shared" si="71"/>
        <v/>
      </c>
      <c r="AE3983" t="str">
        <f t="shared" si="72"/>
        <v/>
      </c>
    </row>
    <row r="3984">
      <c r="D3984" s="226"/>
      <c r="H3984" s="474"/>
      <c r="I3984" s="474"/>
      <c r="J3984" s="475"/>
      <c r="K3984" s="275"/>
      <c r="L3984" s="82"/>
      <c r="M3984" s="672"/>
      <c r="N3984" s="242"/>
      <c r="O3984" s="242"/>
      <c r="P3984" s="242"/>
      <c r="Q3984" s="242"/>
      <c r="R3984" s="539"/>
      <c r="S3984" s="540"/>
      <c r="T3984" s="543"/>
      <c r="U3984" s="673" t="b">
        <v>0</v>
      </c>
      <c r="Z3984" t="b">
        <v>0</v>
      </c>
      <c r="AA3984" t="b">
        <v>0</v>
      </c>
      <c r="AC3984" s="82"/>
      <c r="AD3984" t="str">
        <f t="shared" si="71"/>
        <v/>
      </c>
      <c r="AE3984" t="str">
        <f t="shared" si="72"/>
        <v/>
      </c>
    </row>
    <row r="3985">
      <c r="D3985" s="226"/>
      <c r="H3985" s="474"/>
      <c r="I3985" s="474"/>
      <c r="J3985" s="475"/>
      <c r="K3985" s="275"/>
      <c r="L3985" s="82"/>
      <c r="M3985" s="672"/>
      <c r="N3985" s="242"/>
      <c r="O3985" s="242"/>
      <c r="P3985" s="242"/>
      <c r="Q3985" s="242"/>
      <c r="R3985" s="539"/>
      <c r="S3985" s="540"/>
      <c r="T3985" s="543"/>
      <c r="U3985" s="673" t="b">
        <v>0</v>
      </c>
      <c r="Z3985" t="b">
        <v>0</v>
      </c>
      <c r="AA3985" t="b">
        <v>0</v>
      </c>
      <c r="AC3985" s="82"/>
      <c r="AD3985" t="str">
        <f t="shared" si="71"/>
        <v/>
      </c>
      <c r="AE3985" t="str">
        <f t="shared" si="72"/>
        <v/>
      </c>
    </row>
    <row r="3986">
      <c r="D3986" s="226"/>
      <c r="H3986" s="474"/>
      <c r="I3986" s="474"/>
      <c r="J3986" s="475"/>
      <c r="K3986" s="275"/>
      <c r="L3986" s="82"/>
      <c r="M3986" s="672"/>
      <c r="N3986" s="242"/>
      <c r="O3986" s="242"/>
      <c r="P3986" s="242"/>
      <c r="Q3986" s="242"/>
      <c r="R3986" s="539"/>
      <c r="S3986" s="540"/>
      <c r="T3986" s="543"/>
      <c r="U3986" s="673" t="b">
        <v>0</v>
      </c>
      <c r="Z3986" t="b">
        <v>0</v>
      </c>
      <c r="AA3986" t="b">
        <v>0</v>
      </c>
      <c r="AC3986" s="82"/>
      <c r="AD3986" t="str">
        <f t="shared" si="71"/>
        <v/>
      </c>
      <c r="AE3986" t="str">
        <f t="shared" si="72"/>
        <v/>
      </c>
    </row>
    <row r="3987">
      <c r="D3987" s="226"/>
      <c r="H3987" s="474"/>
      <c r="I3987" s="474"/>
      <c r="J3987" s="475"/>
      <c r="K3987" s="275"/>
      <c r="L3987" s="82"/>
      <c r="M3987" s="672"/>
      <c r="N3987" s="242"/>
      <c r="O3987" s="242"/>
      <c r="P3987" s="242"/>
      <c r="Q3987" s="242"/>
      <c r="R3987" s="539"/>
      <c r="S3987" s="540"/>
      <c r="T3987" s="543"/>
      <c r="U3987" s="673" t="b">
        <v>0</v>
      </c>
      <c r="Z3987" t="b">
        <v>0</v>
      </c>
      <c r="AA3987" t="b">
        <v>0</v>
      </c>
      <c r="AC3987" s="82"/>
      <c r="AD3987" t="str">
        <f t="shared" si="71"/>
        <v/>
      </c>
      <c r="AE3987" t="str">
        <f t="shared" si="72"/>
        <v/>
      </c>
    </row>
    <row r="3988">
      <c r="D3988" s="226"/>
      <c r="H3988" s="474"/>
      <c r="I3988" s="474"/>
      <c r="J3988" s="475"/>
      <c r="K3988" s="275"/>
      <c r="L3988" s="82"/>
      <c r="M3988" s="672"/>
      <c r="N3988" s="242"/>
      <c r="O3988" s="242"/>
      <c r="P3988" s="242"/>
      <c r="Q3988" s="242"/>
      <c r="R3988" s="539"/>
      <c r="S3988" s="540"/>
      <c r="T3988" s="543"/>
      <c r="U3988" s="673" t="b">
        <v>0</v>
      </c>
      <c r="Z3988" t="b">
        <v>0</v>
      </c>
      <c r="AA3988" t="b">
        <v>0</v>
      </c>
      <c r="AC3988" s="82"/>
      <c r="AD3988" t="str">
        <f t="shared" si="71"/>
        <v/>
      </c>
      <c r="AE3988" t="str">
        <f t="shared" si="72"/>
        <v/>
      </c>
    </row>
    <row r="3989">
      <c r="D3989" s="226"/>
      <c r="H3989" s="474"/>
      <c r="I3989" s="474"/>
      <c r="J3989" s="475"/>
      <c r="K3989" s="275"/>
      <c r="L3989" s="82"/>
      <c r="M3989" s="672"/>
      <c r="N3989" s="242"/>
      <c r="O3989" s="242"/>
      <c r="P3989" s="242"/>
      <c r="Q3989" s="242"/>
      <c r="R3989" s="539"/>
      <c r="S3989" s="540"/>
      <c r="T3989" s="543"/>
      <c r="U3989" s="673" t="b">
        <v>0</v>
      </c>
      <c r="Z3989" t="b">
        <v>0</v>
      </c>
      <c r="AA3989" t="b">
        <v>0</v>
      </c>
      <c r="AC3989" s="82"/>
      <c r="AD3989" t="str">
        <f t="shared" si="71"/>
        <v/>
      </c>
      <c r="AE3989" t="str">
        <f t="shared" si="72"/>
        <v/>
      </c>
    </row>
    <row r="3990">
      <c r="D3990" s="226"/>
      <c r="H3990" s="474"/>
      <c r="I3990" s="474"/>
      <c r="J3990" s="475"/>
      <c r="K3990" s="275"/>
      <c r="L3990" s="82"/>
      <c r="M3990" s="672"/>
      <c r="N3990" s="242"/>
      <c r="O3990" s="242"/>
      <c r="P3990" s="242"/>
      <c r="Q3990" s="242"/>
      <c r="R3990" s="539"/>
      <c r="S3990" s="540"/>
      <c r="T3990" s="543"/>
      <c r="U3990" s="673" t="b">
        <v>0</v>
      </c>
      <c r="Z3990" t="b">
        <v>0</v>
      </c>
      <c r="AA3990" t="b">
        <v>0</v>
      </c>
      <c r="AC3990" s="82"/>
      <c r="AD3990" t="str">
        <f t="shared" si="71"/>
        <v/>
      </c>
      <c r="AE3990" t="str">
        <f t="shared" si="72"/>
        <v/>
      </c>
    </row>
    <row r="3991">
      <c r="D3991" s="226"/>
      <c r="H3991" s="474"/>
      <c r="I3991" s="474"/>
      <c r="J3991" s="475"/>
      <c r="K3991" s="275"/>
      <c r="L3991" s="82"/>
      <c r="M3991" s="672"/>
      <c r="N3991" s="242"/>
      <c r="O3991" s="242"/>
      <c r="P3991" s="242"/>
      <c r="Q3991" s="242"/>
      <c r="R3991" s="539"/>
      <c r="S3991" s="540"/>
      <c r="T3991" s="543"/>
      <c r="U3991" s="673" t="b">
        <v>0</v>
      </c>
      <c r="Z3991" t="b">
        <v>0</v>
      </c>
      <c r="AA3991" t="b">
        <v>0</v>
      </c>
      <c r="AC3991" s="82"/>
      <c r="AD3991" t="str">
        <f t="shared" si="71"/>
        <v/>
      </c>
      <c r="AE3991" t="str">
        <f t="shared" si="72"/>
        <v/>
      </c>
    </row>
    <row r="3992">
      <c r="D3992" s="226"/>
      <c r="H3992" s="474"/>
      <c r="I3992" s="474"/>
      <c r="J3992" s="475"/>
      <c r="K3992" s="275"/>
      <c r="L3992" s="82"/>
      <c r="M3992" s="672"/>
      <c r="N3992" s="242"/>
      <c r="O3992" s="242"/>
      <c r="P3992" s="242"/>
      <c r="Q3992" s="242"/>
      <c r="R3992" s="539"/>
      <c r="S3992" s="540"/>
      <c r="T3992" s="543"/>
      <c r="U3992" s="673" t="b">
        <v>0</v>
      </c>
      <c r="Z3992" t="b">
        <v>0</v>
      </c>
      <c r="AA3992" t="b">
        <v>0</v>
      </c>
      <c r="AC3992" s="82"/>
      <c r="AD3992" t="str">
        <f t="shared" si="71"/>
        <v/>
      </c>
      <c r="AE3992" t="str">
        <f t="shared" si="72"/>
        <v/>
      </c>
    </row>
    <row r="3993">
      <c r="D3993" s="226"/>
      <c r="H3993" s="474"/>
      <c r="I3993" s="474"/>
      <c r="J3993" s="475"/>
      <c r="K3993" s="275"/>
      <c r="L3993" s="82"/>
      <c r="M3993" s="672"/>
      <c r="N3993" s="242"/>
      <c r="O3993" s="242"/>
      <c r="P3993" s="242"/>
      <c r="Q3993" s="242"/>
      <c r="R3993" s="539"/>
      <c r="S3993" s="540"/>
      <c r="T3993" s="543"/>
      <c r="U3993" s="673" t="b">
        <v>0</v>
      </c>
      <c r="Z3993" t="b">
        <v>0</v>
      </c>
      <c r="AA3993" t="b">
        <v>0</v>
      </c>
      <c r="AC3993" s="82"/>
      <c r="AD3993" t="str">
        <f t="shared" si="71"/>
        <v/>
      </c>
      <c r="AE3993" t="str">
        <f t="shared" si="72"/>
        <v/>
      </c>
    </row>
    <row r="3994">
      <c r="D3994" s="226"/>
      <c r="H3994" s="474"/>
      <c r="I3994" s="474"/>
      <c r="J3994" s="475"/>
      <c r="K3994" s="275"/>
      <c r="L3994" s="82"/>
      <c r="M3994" s="672"/>
      <c r="N3994" s="242"/>
      <c r="O3994" s="242"/>
      <c r="P3994" s="242"/>
      <c r="Q3994" s="242"/>
      <c r="R3994" s="539"/>
      <c r="S3994" s="540"/>
      <c r="T3994" s="543"/>
      <c r="U3994" s="673" t="b">
        <v>0</v>
      </c>
      <c r="Z3994" t="b">
        <v>0</v>
      </c>
      <c r="AA3994" t="b">
        <v>0</v>
      </c>
      <c r="AC3994" s="82"/>
      <c r="AD3994" t="str">
        <f t="shared" si="71"/>
        <v/>
      </c>
      <c r="AE3994" t="str">
        <f t="shared" si="72"/>
        <v/>
      </c>
    </row>
    <row r="3995">
      <c r="D3995" s="226"/>
      <c r="H3995" s="474"/>
      <c r="I3995" s="474"/>
      <c r="J3995" s="475"/>
      <c r="K3995" s="275"/>
      <c r="L3995" s="82"/>
      <c r="M3995" s="672"/>
      <c r="N3995" s="242"/>
      <c r="O3995" s="242"/>
      <c r="P3995" s="242"/>
      <c r="Q3995" s="242"/>
      <c r="R3995" s="539"/>
      <c r="S3995" s="540"/>
      <c r="T3995" s="543"/>
      <c r="U3995" s="673" t="b">
        <v>0</v>
      </c>
      <c r="Z3995" t="b">
        <v>0</v>
      </c>
      <c r="AA3995" t="b">
        <v>0</v>
      </c>
      <c r="AC3995" s="82"/>
      <c r="AD3995" t="str">
        <f t="shared" si="71"/>
        <v/>
      </c>
      <c r="AE3995" t="str">
        <f t="shared" si="72"/>
        <v/>
      </c>
    </row>
    <row r="3996">
      <c r="D3996" s="226"/>
      <c r="H3996" s="474"/>
      <c r="I3996" s="474"/>
      <c r="J3996" s="475"/>
      <c r="K3996" s="275"/>
      <c r="L3996" s="82"/>
      <c r="M3996" s="672"/>
      <c r="N3996" s="242"/>
      <c r="O3996" s="242"/>
      <c r="P3996" s="242"/>
      <c r="Q3996" s="242"/>
      <c r="R3996" s="539"/>
      <c r="S3996" s="540"/>
      <c r="T3996" s="543"/>
      <c r="U3996" s="673" t="b">
        <v>0</v>
      </c>
      <c r="Z3996" t="b">
        <v>0</v>
      </c>
      <c r="AA3996" t="b">
        <v>0</v>
      </c>
      <c r="AC3996" s="82"/>
      <c r="AD3996" t="str">
        <f t="shared" si="71"/>
        <v/>
      </c>
      <c r="AE3996" t="str">
        <f t="shared" si="72"/>
        <v/>
      </c>
    </row>
    <row r="3997">
      <c r="D3997" s="226"/>
      <c r="H3997" s="474"/>
      <c r="I3997" s="474"/>
      <c r="J3997" s="475"/>
      <c r="K3997" s="275"/>
      <c r="L3997" s="82"/>
      <c r="M3997" s="672"/>
      <c r="N3997" s="242"/>
      <c r="O3997" s="242"/>
      <c r="P3997" s="242"/>
      <c r="Q3997" s="242"/>
      <c r="R3997" s="539"/>
      <c r="S3997" s="540"/>
      <c r="T3997" s="543"/>
      <c r="U3997" s="673" t="b">
        <v>0</v>
      </c>
      <c r="Z3997" t="b">
        <v>0</v>
      </c>
      <c r="AA3997" t="b">
        <v>0</v>
      </c>
      <c r="AC3997" s="82"/>
      <c r="AD3997" t="str">
        <f t="shared" si="71"/>
        <v/>
      </c>
      <c r="AE3997" t="str">
        <f t="shared" si="72"/>
        <v/>
      </c>
    </row>
    <row r="3998">
      <c r="D3998" s="226"/>
      <c r="H3998" s="474"/>
      <c r="I3998" s="474"/>
      <c r="J3998" s="475"/>
      <c r="K3998" s="275"/>
      <c r="L3998" s="82"/>
      <c r="M3998" s="672"/>
      <c r="N3998" s="242"/>
      <c r="O3998" s="242"/>
      <c r="P3998" s="242"/>
      <c r="Q3998" s="242"/>
      <c r="R3998" s="539"/>
      <c r="S3998" s="540"/>
      <c r="T3998" s="543"/>
      <c r="U3998" s="673" t="b">
        <v>0</v>
      </c>
      <c r="Z3998" t="b">
        <v>0</v>
      </c>
      <c r="AA3998" t="b">
        <v>0</v>
      </c>
      <c r="AC3998" s="82"/>
      <c r="AD3998" t="str">
        <f t="shared" si="71"/>
        <v/>
      </c>
      <c r="AE3998" t="str">
        <f t="shared" si="72"/>
        <v/>
      </c>
    </row>
    <row r="3999">
      <c r="D3999" s="226"/>
      <c r="H3999" s="474"/>
      <c r="I3999" s="474"/>
      <c r="J3999" s="475"/>
      <c r="K3999" s="275"/>
      <c r="L3999" s="82"/>
      <c r="M3999" s="672"/>
      <c r="N3999" s="242"/>
      <c r="O3999" s="242"/>
      <c r="P3999" s="242"/>
      <c r="Q3999" s="242"/>
      <c r="R3999" s="539"/>
      <c r="S3999" s="540"/>
      <c r="T3999" s="543"/>
      <c r="U3999" s="673" t="b">
        <v>0</v>
      </c>
      <c r="Z3999" t="b">
        <v>0</v>
      </c>
      <c r="AA3999" t="b">
        <v>0</v>
      </c>
      <c r="AC3999" s="82"/>
      <c r="AD3999" t="str">
        <f t="shared" si="71"/>
        <v/>
      </c>
      <c r="AE3999" t="str">
        <f t="shared" si="72"/>
        <v/>
      </c>
    </row>
    <row r="4000">
      <c r="D4000" s="226"/>
      <c r="H4000" s="474"/>
      <c r="I4000" s="474"/>
      <c r="J4000" s="475"/>
      <c r="K4000" s="275"/>
      <c r="L4000" s="82"/>
      <c r="M4000" s="672"/>
      <c r="N4000" s="242"/>
      <c r="O4000" s="242"/>
      <c r="P4000" s="242"/>
      <c r="Q4000" s="242"/>
      <c r="R4000" s="539"/>
      <c r="S4000" s="540"/>
      <c r="T4000" s="543"/>
      <c r="U4000" s="673" t="b">
        <v>0</v>
      </c>
      <c r="Z4000" t="b">
        <v>0</v>
      </c>
      <c r="AA4000" t="b">
        <v>0</v>
      </c>
      <c r="AC4000" s="82"/>
      <c r="AD4000" t="str">
        <f t="shared" si="71"/>
        <v/>
      </c>
      <c r="AE4000" t="str">
        <f t="shared" si="72"/>
        <v/>
      </c>
    </row>
    <row r="4001">
      <c r="D4001" s="226"/>
      <c r="H4001" s="474"/>
      <c r="I4001" s="474"/>
      <c r="J4001" s="475"/>
      <c r="K4001" s="275"/>
      <c r="L4001" s="82"/>
      <c r="M4001" s="672"/>
      <c r="N4001" s="242"/>
      <c r="O4001" s="242"/>
      <c r="P4001" s="242"/>
      <c r="Q4001" s="242"/>
      <c r="R4001" s="539"/>
      <c r="S4001" s="540"/>
      <c r="T4001" s="543"/>
      <c r="U4001" s="673" t="b">
        <v>0</v>
      </c>
      <c r="Z4001" t="b">
        <v>0</v>
      </c>
      <c r="AA4001" t="b">
        <v>0</v>
      </c>
      <c r="AC4001" s="82"/>
      <c r="AD4001" t="str">
        <f t="shared" si="71"/>
        <v/>
      </c>
      <c r="AE4001" t="str">
        <f t="shared" si="72"/>
        <v/>
      </c>
    </row>
    <row r="4002">
      <c r="D4002" s="226"/>
      <c r="H4002" s="474"/>
      <c r="I4002" s="474"/>
      <c r="J4002" s="475"/>
      <c r="K4002" s="275"/>
      <c r="L4002" s="82"/>
      <c r="M4002" s="672"/>
      <c r="N4002" s="242"/>
      <c r="O4002" s="242"/>
      <c r="P4002" s="242"/>
      <c r="Q4002" s="242"/>
      <c r="R4002" s="539"/>
      <c r="S4002" s="540"/>
      <c r="T4002" s="543"/>
      <c r="U4002" s="673" t="b">
        <v>0</v>
      </c>
      <c r="Z4002" t="b">
        <v>0</v>
      </c>
      <c r="AA4002" t="b">
        <v>0</v>
      </c>
      <c r="AC4002" s="82"/>
      <c r="AD4002" t="str">
        <f t="shared" si="71"/>
        <v/>
      </c>
      <c r="AE4002" t="str">
        <f t="shared" si="72"/>
        <v/>
      </c>
    </row>
    <row r="4003">
      <c r="D4003" s="226"/>
      <c r="H4003" s="474"/>
      <c r="I4003" s="474"/>
      <c r="J4003" s="475"/>
      <c r="K4003" s="275"/>
      <c r="L4003" s="82"/>
      <c r="M4003" s="672"/>
      <c r="N4003" s="242"/>
      <c r="O4003" s="242"/>
      <c r="P4003" s="242"/>
      <c r="Q4003" s="242"/>
      <c r="R4003" s="539"/>
      <c r="S4003" s="540"/>
      <c r="T4003" s="543"/>
      <c r="U4003" s="673" t="b">
        <v>0</v>
      </c>
      <c r="Z4003" t="b">
        <v>0</v>
      </c>
      <c r="AA4003" t="b">
        <v>0</v>
      </c>
      <c r="AC4003" s="82"/>
      <c r="AD4003" t="str">
        <f t="shared" si="71"/>
        <v/>
      </c>
      <c r="AE4003" t="str">
        <f t="shared" si="72"/>
        <v/>
      </c>
    </row>
    <row r="4004">
      <c r="D4004" s="226"/>
      <c r="H4004" s="474"/>
      <c r="I4004" s="474"/>
      <c r="J4004" s="475"/>
      <c r="K4004" s="275"/>
      <c r="L4004" s="82"/>
      <c r="M4004" s="672"/>
      <c r="N4004" s="242"/>
      <c r="O4004" s="242"/>
      <c r="P4004" s="242"/>
      <c r="Q4004" s="242"/>
      <c r="R4004" s="539"/>
      <c r="S4004" s="540"/>
      <c r="T4004" s="543"/>
      <c r="U4004" s="673" t="b">
        <v>0</v>
      </c>
      <c r="Z4004" t="b">
        <v>0</v>
      </c>
      <c r="AA4004" t="b">
        <v>0</v>
      </c>
      <c r="AC4004" s="82"/>
      <c r="AD4004" t="str">
        <f t="shared" si="71"/>
        <v/>
      </c>
      <c r="AE4004" t="str">
        <f t="shared" si="72"/>
        <v/>
      </c>
    </row>
    <row r="4005">
      <c r="D4005" s="226"/>
      <c r="H4005" s="474"/>
      <c r="I4005" s="474"/>
      <c r="J4005" s="475"/>
      <c r="K4005" s="275"/>
      <c r="L4005" s="82"/>
      <c r="M4005" s="672"/>
      <c r="N4005" s="242"/>
      <c r="O4005" s="242"/>
      <c r="P4005" s="242"/>
      <c r="Q4005" s="242"/>
      <c r="R4005" s="539"/>
      <c r="S4005" s="540"/>
      <c r="T4005" s="543"/>
      <c r="U4005" s="673" t="b">
        <v>0</v>
      </c>
      <c r="Z4005" t="b">
        <v>0</v>
      </c>
      <c r="AA4005" t="b">
        <v>0</v>
      </c>
      <c r="AC4005" s="82"/>
      <c r="AD4005" t="str">
        <f t="shared" si="71"/>
        <v/>
      </c>
      <c r="AE4005" t="str">
        <f t="shared" si="72"/>
        <v/>
      </c>
    </row>
    <row r="4006">
      <c r="D4006" s="226"/>
      <c r="H4006" s="474"/>
      <c r="I4006" s="474"/>
      <c r="J4006" s="475"/>
      <c r="K4006" s="275"/>
      <c r="L4006" s="82"/>
      <c r="M4006" s="672"/>
      <c r="N4006" s="242"/>
      <c r="O4006" s="242"/>
      <c r="P4006" s="242"/>
      <c r="Q4006" s="242"/>
      <c r="R4006" s="539"/>
      <c r="S4006" s="540"/>
      <c r="T4006" s="543"/>
      <c r="U4006" s="673" t="b">
        <v>0</v>
      </c>
      <c r="Z4006" t="b">
        <v>0</v>
      </c>
      <c r="AA4006" t="b">
        <v>0</v>
      </c>
      <c r="AC4006" s="82"/>
      <c r="AD4006" t="str">
        <f t="shared" si="71"/>
        <v/>
      </c>
      <c r="AE4006" t="str">
        <f t="shared" si="72"/>
        <v/>
      </c>
    </row>
    <row r="4007">
      <c r="D4007" s="226"/>
      <c r="H4007" s="474"/>
      <c r="I4007" s="474"/>
      <c r="J4007" s="475"/>
      <c r="K4007" s="275"/>
      <c r="L4007" s="82"/>
      <c r="M4007" s="672"/>
      <c r="N4007" s="242"/>
      <c r="O4007" s="242"/>
      <c r="P4007" s="242"/>
      <c r="Q4007" s="242"/>
      <c r="R4007" s="539"/>
      <c r="S4007" s="540"/>
      <c r="T4007" s="543"/>
      <c r="U4007" s="673" t="b">
        <v>0</v>
      </c>
      <c r="Z4007" t="b">
        <v>0</v>
      </c>
      <c r="AA4007" t="b">
        <v>0</v>
      </c>
      <c r="AC4007" s="82"/>
      <c r="AD4007" t="str">
        <f t="shared" si="71"/>
        <v/>
      </c>
      <c r="AE4007" t="str">
        <f t="shared" si="72"/>
        <v/>
      </c>
    </row>
    <row r="4008">
      <c r="D4008" s="226"/>
      <c r="H4008" s="474"/>
      <c r="I4008" s="474"/>
      <c r="J4008" s="475"/>
      <c r="K4008" s="275"/>
      <c r="L4008" s="82"/>
      <c r="M4008" s="672"/>
      <c r="N4008" s="242"/>
      <c r="O4008" s="242"/>
      <c r="P4008" s="242"/>
      <c r="Q4008" s="242"/>
      <c r="R4008" s="539"/>
      <c r="S4008" s="540"/>
      <c r="T4008" s="543"/>
      <c r="U4008" s="673" t="b">
        <v>0</v>
      </c>
      <c r="Z4008" t="b">
        <v>0</v>
      </c>
      <c r="AA4008" t="b">
        <v>0</v>
      </c>
      <c r="AC4008" s="82"/>
      <c r="AD4008" t="str">
        <f t="shared" si="71"/>
        <v/>
      </c>
      <c r="AE4008" t="str">
        <f t="shared" si="72"/>
        <v/>
      </c>
    </row>
    <row r="4009">
      <c r="D4009" s="226"/>
      <c r="H4009" s="474"/>
      <c r="I4009" s="474"/>
      <c r="J4009" s="475"/>
      <c r="K4009" s="275"/>
      <c r="L4009" s="82"/>
      <c r="M4009" s="672"/>
      <c r="N4009" s="242"/>
      <c r="O4009" s="242"/>
      <c r="P4009" s="242"/>
      <c r="Q4009" s="242"/>
      <c r="R4009" s="539"/>
      <c r="S4009" s="540"/>
      <c r="T4009" s="543"/>
      <c r="U4009" s="673" t="b">
        <v>0</v>
      </c>
      <c r="Z4009" t="b">
        <v>0</v>
      </c>
      <c r="AA4009" t="b">
        <v>0</v>
      </c>
      <c r="AC4009" s="82"/>
      <c r="AD4009" t="str">
        <f t="shared" si="71"/>
        <v/>
      </c>
      <c r="AE4009" t="str">
        <f t="shared" si="72"/>
        <v/>
      </c>
    </row>
    <row r="4010">
      <c r="D4010" s="226"/>
      <c r="H4010" s="474"/>
      <c r="I4010" s="474"/>
      <c r="J4010" s="475"/>
      <c r="K4010" s="275"/>
      <c r="L4010" s="82"/>
      <c r="M4010" s="672"/>
      <c r="N4010" s="242"/>
      <c r="O4010" s="242"/>
      <c r="P4010" s="242"/>
      <c r="Q4010" s="242"/>
      <c r="R4010" s="539"/>
      <c r="S4010" s="540"/>
      <c r="T4010" s="543"/>
      <c r="U4010" s="673" t="b">
        <v>0</v>
      </c>
      <c r="Z4010" t="b">
        <v>0</v>
      </c>
      <c r="AA4010" t="b">
        <v>0</v>
      </c>
      <c r="AC4010" s="82"/>
      <c r="AD4010" t="str">
        <f t="shared" si="71"/>
        <v/>
      </c>
      <c r="AE4010" t="str">
        <f t="shared" si="72"/>
        <v/>
      </c>
    </row>
    <row r="4011">
      <c r="D4011" s="226"/>
      <c r="H4011" s="474"/>
      <c r="I4011" s="474"/>
      <c r="J4011" s="475"/>
      <c r="K4011" s="275"/>
      <c r="L4011" s="82"/>
      <c r="M4011" s="672"/>
      <c r="N4011" s="242"/>
      <c r="O4011" s="242"/>
      <c r="P4011" s="242"/>
      <c r="Q4011" s="242"/>
      <c r="R4011" s="539"/>
      <c r="S4011" s="540"/>
      <c r="T4011" s="543"/>
      <c r="U4011" s="673" t="b">
        <v>0</v>
      </c>
      <c r="Z4011" t="b">
        <v>0</v>
      </c>
      <c r="AA4011" t="b">
        <v>0</v>
      </c>
      <c r="AC4011" s="82"/>
      <c r="AD4011" t="str">
        <f t="shared" si="71"/>
        <v/>
      </c>
      <c r="AE4011" t="str">
        <f t="shared" si="72"/>
        <v/>
      </c>
    </row>
    <row r="4012">
      <c r="D4012" s="226"/>
      <c r="H4012" s="474"/>
      <c r="I4012" s="474"/>
      <c r="J4012" s="475"/>
      <c r="K4012" s="275"/>
      <c r="L4012" s="82"/>
      <c r="M4012" s="672"/>
      <c r="N4012" s="242"/>
      <c r="O4012" s="242"/>
      <c r="P4012" s="242"/>
      <c r="Q4012" s="242"/>
      <c r="R4012" s="539"/>
      <c r="S4012" s="540"/>
      <c r="T4012" s="543"/>
      <c r="U4012" s="673" t="b">
        <v>0</v>
      </c>
      <c r="Z4012" t="b">
        <v>0</v>
      </c>
      <c r="AA4012" t="b">
        <v>0</v>
      </c>
      <c r="AC4012" s="82"/>
      <c r="AD4012" t="str">
        <f t="shared" si="71"/>
        <v/>
      </c>
      <c r="AE4012" t="str">
        <f t="shared" si="72"/>
        <v/>
      </c>
    </row>
    <row r="4013">
      <c r="D4013" s="226"/>
      <c r="H4013" s="474"/>
      <c r="I4013" s="474"/>
      <c r="J4013" s="475"/>
      <c r="K4013" s="275"/>
      <c r="L4013" s="82"/>
      <c r="M4013" s="672"/>
      <c r="N4013" s="242"/>
      <c r="O4013" s="242"/>
      <c r="P4013" s="242"/>
      <c r="Q4013" s="242"/>
      <c r="R4013" s="539"/>
      <c r="S4013" s="540"/>
      <c r="T4013" s="543"/>
      <c r="U4013" s="673" t="b">
        <v>0</v>
      </c>
      <c r="Z4013" t="b">
        <v>0</v>
      </c>
      <c r="AA4013" t="b">
        <v>0</v>
      </c>
      <c r="AC4013" s="82"/>
      <c r="AD4013" t="str">
        <f t="shared" si="71"/>
        <v/>
      </c>
      <c r="AE4013" t="str">
        <f t="shared" si="72"/>
        <v/>
      </c>
    </row>
    <row r="4014">
      <c r="D4014" s="226"/>
      <c r="H4014" s="474"/>
      <c r="I4014" s="474"/>
      <c r="J4014" s="475"/>
      <c r="K4014" s="275"/>
      <c r="L4014" s="82"/>
      <c r="M4014" s="672"/>
      <c r="N4014" s="242"/>
      <c r="O4014" s="242"/>
      <c r="P4014" s="242"/>
      <c r="Q4014" s="242"/>
      <c r="R4014" s="539"/>
      <c r="S4014" s="540"/>
      <c r="T4014" s="543"/>
      <c r="U4014" s="673" t="b">
        <v>0</v>
      </c>
      <c r="Z4014" t="b">
        <v>0</v>
      </c>
      <c r="AA4014" t="b">
        <v>0</v>
      </c>
      <c r="AC4014" s="82"/>
      <c r="AD4014" t="str">
        <f t="shared" si="71"/>
        <v/>
      </c>
      <c r="AE4014" t="str">
        <f t="shared" si="72"/>
        <v/>
      </c>
    </row>
    <row r="4015">
      <c r="D4015" s="226"/>
      <c r="H4015" s="474"/>
      <c r="I4015" s="474"/>
      <c r="J4015" s="475"/>
      <c r="K4015" s="275"/>
      <c r="L4015" s="82"/>
      <c r="M4015" s="672"/>
      <c r="N4015" s="242"/>
      <c r="O4015" s="242"/>
      <c r="P4015" s="242"/>
      <c r="Q4015" s="242"/>
      <c r="R4015" s="539"/>
      <c r="S4015" s="540"/>
      <c r="T4015" s="543"/>
      <c r="U4015" s="673" t="b">
        <v>0</v>
      </c>
      <c r="Z4015" t="b">
        <v>0</v>
      </c>
      <c r="AA4015" t="b">
        <v>0</v>
      </c>
      <c r="AC4015" s="82"/>
      <c r="AD4015" t="str">
        <f t="shared" si="71"/>
        <v/>
      </c>
      <c r="AE4015" t="str">
        <f t="shared" si="72"/>
        <v/>
      </c>
    </row>
    <row r="4016">
      <c r="D4016" s="226"/>
      <c r="H4016" s="474"/>
      <c r="I4016" s="474"/>
      <c r="J4016" s="475"/>
      <c r="K4016" s="275"/>
      <c r="L4016" s="82"/>
      <c r="M4016" s="672"/>
      <c r="N4016" s="242"/>
      <c r="O4016" s="242"/>
      <c r="P4016" s="242"/>
      <c r="Q4016" s="242"/>
      <c r="R4016" s="539"/>
      <c r="S4016" s="540"/>
      <c r="T4016" s="543"/>
      <c r="U4016" s="673" t="b">
        <v>0</v>
      </c>
      <c r="Z4016" t="b">
        <v>0</v>
      </c>
      <c r="AA4016" t="b">
        <v>0</v>
      </c>
      <c r="AC4016" s="82"/>
      <c r="AD4016" t="str">
        <f t="shared" si="71"/>
        <v/>
      </c>
      <c r="AE4016" t="str">
        <f t="shared" si="72"/>
        <v/>
      </c>
    </row>
    <row r="4017">
      <c r="D4017" s="226"/>
      <c r="H4017" s="474"/>
      <c r="I4017" s="474"/>
      <c r="J4017" s="475"/>
      <c r="K4017" s="275"/>
      <c r="L4017" s="82"/>
      <c r="M4017" s="672"/>
      <c r="N4017" s="242"/>
      <c r="O4017" s="242"/>
      <c r="P4017" s="242"/>
      <c r="Q4017" s="242"/>
      <c r="R4017" s="539"/>
      <c r="S4017" s="540"/>
      <c r="T4017" s="543"/>
      <c r="U4017" s="673" t="b">
        <v>0</v>
      </c>
      <c r="Z4017" t="b">
        <v>0</v>
      </c>
      <c r="AA4017" t="b">
        <v>0</v>
      </c>
      <c r="AC4017" s="82"/>
      <c r="AD4017" t="str">
        <f t="shared" si="71"/>
        <v/>
      </c>
      <c r="AE4017" t="str">
        <f t="shared" si="72"/>
        <v/>
      </c>
    </row>
    <row r="4018">
      <c r="D4018" s="226"/>
      <c r="H4018" s="474"/>
      <c r="I4018" s="474"/>
      <c r="J4018" s="475"/>
      <c r="K4018" s="275"/>
      <c r="L4018" s="82"/>
      <c r="M4018" s="672"/>
      <c r="N4018" s="242"/>
      <c r="O4018" s="242"/>
      <c r="P4018" s="242"/>
      <c r="Q4018" s="242"/>
      <c r="R4018" s="539"/>
      <c r="S4018" s="540"/>
      <c r="T4018" s="543"/>
      <c r="U4018" s="673" t="b">
        <v>0</v>
      </c>
      <c r="Z4018" t="b">
        <v>0</v>
      </c>
      <c r="AA4018" t="b">
        <v>0</v>
      </c>
      <c r="AC4018" s="82"/>
      <c r="AD4018" t="str">
        <f t="shared" si="71"/>
        <v/>
      </c>
      <c r="AE4018" t="str">
        <f t="shared" si="72"/>
        <v/>
      </c>
    </row>
    <row r="4019">
      <c r="D4019" s="226"/>
      <c r="H4019" s="474"/>
      <c r="I4019" s="474"/>
      <c r="J4019" s="475"/>
      <c r="K4019" s="275"/>
      <c r="L4019" s="82"/>
      <c r="M4019" s="672"/>
      <c r="N4019" s="242"/>
      <c r="O4019" s="242"/>
      <c r="P4019" s="242"/>
      <c r="Q4019" s="242"/>
      <c r="R4019" s="539"/>
      <c r="S4019" s="540"/>
      <c r="T4019" s="543"/>
      <c r="U4019" s="673" t="b">
        <v>0</v>
      </c>
      <c r="Z4019" t="b">
        <v>0</v>
      </c>
      <c r="AA4019" t="b">
        <v>0</v>
      </c>
      <c r="AC4019" s="82"/>
      <c r="AD4019" t="str">
        <f t="shared" si="71"/>
        <v/>
      </c>
      <c r="AE4019" t="str">
        <f t="shared" si="72"/>
        <v/>
      </c>
    </row>
    <row r="4020">
      <c r="D4020" s="226"/>
      <c r="H4020" s="474"/>
      <c r="I4020" s="474"/>
      <c r="J4020" s="475"/>
      <c r="K4020" s="275"/>
      <c r="L4020" s="82"/>
      <c r="M4020" s="672"/>
      <c r="N4020" s="242"/>
      <c r="O4020" s="242"/>
      <c r="P4020" s="242"/>
      <c r="Q4020" s="242"/>
      <c r="R4020" s="539"/>
      <c r="S4020" s="540"/>
      <c r="T4020" s="543"/>
      <c r="U4020" s="673" t="b">
        <v>0</v>
      </c>
      <c r="Z4020" t="b">
        <v>0</v>
      </c>
      <c r="AA4020" t="b">
        <v>0</v>
      </c>
      <c r="AC4020" s="82"/>
      <c r="AD4020" t="str">
        <f t="shared" si="71"/>
        <v/>
      </c>
      <c r="AE4020" t="str">
        <f t="shared" si="72"/>
        <v/>
      </c>
    </row>
    <row r="4021">
      <c r="D4021" s="226"/>
      <c r="H4021" s="474"/>
      <c r="I4021" s="474"/>
      <c r="J4021" s="475"/>
      <c r="K4021" s="275"/>
      <c r="L4021" s="82"/>
      <c r="M4021" s="672"/>
      <c r="N4021" s="242"/>
      <c r="O4021" s="242"/>
      <c r="P4021" s="242"/>
      <c r="Q4021" s="242"/>
      <c r="R4021" s="539"/>
      <c r="S4021" s="540"/>
      <c r="T4021" s="543"/>
      <c r="U4021" s="673" t="b">
        <v>0</v>
      </c>
      <c r="Z4021" t="b">
        <v>0</v>
      </c>
      <c r="AA4021" t="b">
        <v>0</v>
      </c>
      <c r="AC4021" s="82"/>
      <c r="AD4021" t="str">
        <f t="shared" si="71"/>
        <v/>
      </c>
      <c r="AE4021" t="str">
        <f t="shared" si="72"/>
        <v/>
      </c>
    </row>
    <row r="4022">
      <c r="D4022" s="226"/>
      <c r="H4022" s="474"/>
      <c r="I4022" s="474"/>
      <c r="J4022" s="475"/>
      <c r="K4022" s="275"/>
      <c r="L4022" s="82"/>
      <c r="M4022" s="672"/>
      <c r="N4022" s="242"/>
      <c r="O4022" s="242"/>
      <c r="P4022" s="242"/>
      <c r="Q4022" s="242"/>
      <c r="R4022" s="539"/>
      <c r="S4022" s="540"/>
      <c r="T4022" s="543"/>
      <c r="U4022" s="673" t="b">
        <v>0</v>
      </c>
      <c r="Z4022" t="b">
        <v>0</v>
      </c>
      <c r="AA4022" t="b">
        <v>0</v>
      </c>
      <c r="AC4022" s="82"/>
      <c r="AD4022" t="str">
        <f t="shared" si="71"/>
        <v/>
      </c>
      <c r="AE4022" t="str">
        <f t="shared" si="72"/>
        <v/>
      </c>
    </row>
    <row r="4023">
      <c r="D4023" s="226"/>
      <c r="H4023" s="474"/>
      <c r="I4023" s="474"/>
      <c r="J4023" s="475"/>
      <c r="K4023" s="275"/>
      <c r="L4023" s="82"/>
      <c r="M4023" s="672"/>
      <c r="N4023" s="242"/>
      <c r="O4023" s="242"/>
      <c r="P4023" s="242"/>
      <c r="Q4023" s="242"/>
      <c r="R4023" s="539"/>
      <c r="S4023" s="540"/>
      <c r="T4023" s="543"/>
      <c r="U4023" s="673" t="b">
        <v>0</v>
      </c>
      <c r="Z4023" t="b">
        <v>0</v>
      </c>
      <c r="AA4023" t="b">
        <v>0</v>
      </c>
      <c r="AC4023" s="82"/>
      <c r="AD4023" t="str">
        <f t="shared" si="71"/>
        <v/>
      </c>
      <c r="AE4023" t="str">
        <f t="shared" si="72"/>
        <v/>
      </c>
    </row>
    <row r="4024">
      <c r="D4024" s="226"/>
      <c r="H4024" s="474"/>
      <c r="I4024" s="474"/>
      <c r="J4024" s="475"/>
      <c r="K4024" s="275"/>
      <c r="L4024" s="82"/>
      <c r="M4024" s="672"/>
      <c r="N4024" s="242"/>
      <c r="O4024" s="242"/>
      <c r="P4024" s="242"/>
      <c r="Q4024" s="242"/>
      <c r="R4024" s="539"/>
      <c r="S4024" s="540"/>
      <c r="T4024" s="543"/>
      <c r="U4024" s="673" t="b">
        <v>0</v>
      </c>
      <c r="Z4024" t="b">
        <v>0</v>
      </c>
      <c r="AA4024" t="b">
        <v>0</v>
      </c>
      <c r="AC4024" s="82"/>
      <c r="AD4024" t="str">
        <f t="shared" si="71"/>
        <v/>
      </c>
      <c r="AE4024" t="str">
        <f t="shared" si="72"/>
        <v/>
      </c>
    </row>
    <row r="4025">
      <c r="D4025" s="226"/>
      <c r="H4025" s="474"/>
      <c r="I4025" s="474"/>
      <c r="J4025" s="475"/>
      <c r="K4025" s="275"/>
      <c r="L4025" s="82"/>
      <c r="M4025" s="672"/>
      <c r="N4025" s="242"/>
      <c r="O4025" s="242"/>
      <c r="P4025" s="242"/>
      <c r="Q4025" s="242"/>
      <c r="R4025" s="539"/>
      <c r="S4025" s="540"/>
      <c r="T4025" s="543"/>
      <c r="U4025" s="673" t="b">
        <v>0</v>
      </c>
      <c r="Z4025" t="b">
        <v>0</v>
      </c>
      <c r="AA4025" t="b">
        <v>0</v>
      </c>
      <c r="AC4025" s="82"/>
      <c r="AD4025" t="str">
        <f t="shared" si="71"/>
        <v/>
      </c>
      <c r="AE4025" t="str">
        <f t="shared" si="72"/>
        <v/>
      </c>
    </row>
    <row r="4026">
      <c r="D4026" s="226"/>
      <c r="H4026" s="474"/>
      <c r="I4026" s="474"/>
      <c r="J4026" s="475"/>
      <c r="K4026" s="275"/>
      <c r="L4026" s="82"/>
      <c r="M4026" s="672"/>
      <c r="N4026" s="242"/>
      <c r="O4026" s="242"/>
      <c r="P4026" s="242"/>
      <c r="Q4026" s="242"/>
      <c r="R4026" s="539"/>
      <c r="S4026" s="540"/>
      <c r="T4026" s="543"/>
      <c r="U4026" s="673" t="b">
        <v>0</v>
      </c>
      <c r="Z4026" t="b">
        <v>0</v>
      </c>
      <c r="AA4026" t="b">
        <v>0</v>
      </c>
      <c r="AC4026" s="82"/>
      <c r="AD4026" t="str">
        <f t="shared" si="71"/>
        <v/>
      </c>
      <c r="AE4026" t="str">
        <f t="shared" si="72"/>
        <v/>
      </c>
    </row>
    <row r="4027">
      <c r="D4027" s="226"/>
      <c r="H4027" s="474"/>
      <c r="I4027" s="474"/>
      <c r="J4027" s="475"/>
      <c r="K4027" s="275"/>
      <c r="L4027" s="82"/>
      <c r="M4027" s="672"/>
      <c r="N4027" s="242"/>
      <c r="O4027" s="242"/>
      <c r="P4027" s="242"/>
      <c r="Q4027" s="242"/>
      <c r="R4027" s="539"/>
      <c r="S4027" s="540"/>
      <c r="T4027" s="543"/>
      <c r="U4027" s="673" t="b">
        <v>0</v>
      </c>
      <c r="Z4027" t="b">
        <v>0</v>
      </c>
      <c r="AA4027" t="b">
        <v>0</v>
      </c>
      <c r="AC4027" s="82"/>
      <c r="AD4027" t="str">
        <f t="shared" si="71"/>
        <v/>
      </c>
      <c r="AE4027" t="str">
        <f t="shared" si="72"/>
        <v/>
      </c>
    </row>
    <row r="4028">
      <c r="D4028" s="226"/>
      <c r="H4028" s="474"/>
      <c r="I4028" s="474"/>
      <c r="J4028" s="475"/>
      <c r="K4028" s="275"/>
      <c r="L4028" s="82"/>
      <c r="M4028" s="672"/>
      <c r="N4028" s="242"/>
      <c r="O4028" s="242"/>
      <c r="P4028" s="242"/>
      <c r="Q4028" s="242"/>
      <c r="R4028" s="539"/>
      <c r="S4028" s="540"/>
      <c r="T4028" s="543"/>
      <c r="U4028" s="673" t="b">
        <v>0</v>
      </c>
      <c r="Z4028" t="b">
        <v>0</v>
      </c>
      <c r="AA4028" t="b">
        <v>0</v>
      </c>
      <c r="AC4028" s="82"/>
      <c r="AD4028" t="str">
        <f t="shared" si="71"/>
        <v/>
      </c>
      <c r="AE4028" t="str">
        <f t="shared" si="72"/>
        <v/>
      </c>
    </row>
    <row r="4029">
      <c r="D4029" s="226"/>
      <c r="H4029" s="474"/>
      <c r="I4029" s="474"/>
      <c r="J4029" s="475"/>
      <c r="K4029" s="275"/>
      <c r="L4029" s="82"/>
      <c r="M4029" s="672"/>
      <c r="N4029" s="242"/>
      <c r="O4029" s="242"/>
      <c r="P4029" s="242"/>
      <c r="Q4029" s="242"/>
      <c r="R4029" s="539"/>
      <c r="S4029" s="540"/>
      <c r="T4029" s="543"/>
      <c r="U4029" s="673" t="b">
        <v>0</v>
      </c>
      <c r="Z4029" t="b">
        <v>0</v>
      </c>
      <c r="AA4029" t="b">
        <v>0</v>
      </c>
      <c r="AC4029" s="82"/>
      <c r="AD4029" t="str">
        <f t="shared" si="71"/>
        <v/>
      </c>
      <c r="AE4029" t="str">
        <f t="shared" si="72"/>
        <v/>
      </c>
    </row>
    <row r="4030">
      <c r="D4030" s="226"/>
      <c r="H4030" s="474"/>
      <c r="I4030" s="474"/>
      <c r="J4030" s="475"/>
      <c r="K4030" s="275"/>
      <c r="L4030" s="82"/>
      <c r="M4030" s="672"/>
      <c r="N4030" s="242"/>
      <c r="O4030" s="242"/>
      <c r="P4030" s="242"/>
      <c r="Q4030" s="242"/>
      <c r="R4030" s="539"/>
      <c r="S4030" s="540"/>
      <c r="T4030" s="543"/>
      <c r="U4030" s="673" t="b">
        <v>0</v>
      </c>
      <c r="Z4030" t="b">
        <v>0</v>
      </c>
      <c r="AA4030" t="b">
        <v>0</v>
      </c>
      <c r="AC4030" s="82"/>
      <c r="AD4030" t="str">
        <f t="shared" si="71"/>
        <v/>
      </c>
      <c r="AE4030" t="str">
        <f t="shared" si="72"/>
        <v/>
      </c>
    </row>
    <row r="4031">
      <c r="D4031" s="226"/>
      <c r="H4031" s="474"/>
      <c r="I4031" s="474"/>
      <c r="J4031" s="475"/>
      <c r="K4031" s="275"/>
      <c r="L4031" s="82"/>
      <c r="M4031" s="672"/>
      <c r="N4031" s="242"/>
      <c r="O4031" s="242"/>
      <c r="P4031" s="242"/>
      <c r="Q4031" s="242"/>
      <c r="R4031" s="539"/>
      <c r="S4031" s="540"/>
      <c r="T4031" s="543"/>
      <c r="U4031" s="673" t="b">
        <v>0</v>
      </c>
      <c r="Z4031" t="b">
        <v>0</v>
      </c>
      <c r="AA4031" t="b">
        <v>0</v>
      </c>
      <c r="AC4031" s="82"/>
      <c r="AD4031" t="str">
        <f t="shared" si="71"/>
        <v/>
      </c>
      <c r="AE4031" t="str">
        <f t="shared" si="72"/>
        <v/>
      </c>
    </row>
    <row r="4032">
      <c r="D4032" s="226"/>
      <c r="H4032" s="474"/>
      <c r="I4032" s="474"/>
      <c r="J4032" s="475"/>
      <c r="K4032" s="275"/>
      <c r="L4032" s="82"/>
      <c r="M4032" s="672"/>
      <c r="N4032" s="242"/>
      <c r="O4032" s="242"/>
      <c r="P4032" s="242"/>
      <c r="Q4032" s="242"/>
      <c r="R4032" s="539"/>
      <c r="S4032" s="540"/>
      <c r="T4032" s="543"/>
      <c r="U4032" s="673" t="b">
        <v>0</v>
      </c>
      <c r="Z4032" t="b">
        <v>0</v>
      </c>
      <c r="AA4032" t="b">
        <v>0</v>
      </c>
      <c r="AC4032" s="82"/>
      <c r="AD4032" t="str">
        <f t="shared" si="71"/>
        <v/>
      </c>
      <c r="AE4032" t="str">
        <f t="shared" si="72"/>
        <v/>
      </c>
    </row>
    <row r="4033">
      <c r="D4033" s="226"/>
      <c r="H4033" s="474"/>
      <c r="I4033" s="474"/>
      <c r="J4033" s="475"/>
      <c r="K4033" s="275"/>
      <c r="L4033" s="82"/>
      <c r="M4033" s="672"/>
      <c r="N4033" s="242"/>
      <c r="O4033" s="242"/>
      <c r="P4033" s="242"/>
      <c r="Q4033" s="242"/>
      <c r="R4033" s="539"/>
      <c r="S4033" s="540"/>
      <c r="T4033" s="543"/>
      <c r="U4033" s="673" t="b">
        <v>0</v>
      </c>
      <c r="Z4033" t="b">
        <v>0</v>
      </c>
      <c r="AA4033" t="b">
        <v>0</v>
      </c>
      <c r="AC4033" s="82"/>
      <c r="AD4033" t="str">
        <f t="shared" si="71"/>
        <v/>
      </c>
      <c r="AE4033" t="str">
        <f t="shared" si="72"/>
        <v/>
      </c>
    </row>
    <row r="4034">
      <c r="D4034" s="226"/>
      <c r="H4034" s="474"/>
      <c r="I4034" s="474"/>
      <c r="J4034" s="475"/>
      <c r="K4034" s="275"/>
      <c r="L4034" s="82"/>
      <c r="M4034" s="672"/>
      <c r="N4034" s="242"/>
      <c r="O4034" s="242"/>
      <c r="P4034" s="242"/>
      <c r="Q4034" s="242"/>
      <c r="R4034" s="539"/>
      <c r="S4034" s="540"/>
      <c r="T4034" s="543"/>
      <c r="U4034" s="673" t="b">
        <v>0</v>
      </c>
      <c r="Z4034" t="b">
        <v>0</v>
      </c>
      <c r="AA4034" t="b">
        <v>0</v>
      </c>
      <c r="AC4034" s="82"/>
      <c r="AD4034" t="str">
        <f t="shared" si="71"/>
        <v/>
      </c>
      <c r="AE4034" t="str">
        <f t="shared" si="72"/>
        <v/>
      </c>
    </row>
    <row r="4035">
      <c r="D4035" s="226"/>
      <c r="H4035" s="474"/>
      <c r="I4035" s="474"/>
      <c r="J4035" s="475"/>
      <c r="K4035" s="275"/>
      <c r="L4035" s="82"/>
      <c r="M4035" s="672"/>
      <c r="N4035" s="242"/>
      <c r="O4035" s="242"/>
      <c r="P4035" s="242"/>
      <c r="Q4035" s="242"/>
      <c r="R4035" s="539"/>
      <c r="S4035" s="540"/>
      <c r="T4035" s="543"/>
      <c r="U4035" s="673" t="b">
        <v>0</v>
      </c>
      <c r="Z4035" t="b">
        <v>0</v>
      </c>
      <c r="AA4035" t="b">
        <v>0</v>
      </c>
      <c r="AC4035" s="82"/>
      <c r="AD4035" t="str">
        <f t="shared" si="71"/>
        <v/>
      </c>
      <c r="AE4035" t="str">
        <f t="shared" si="72"/>
        <v/>
      </c>
    </row>
    <row r="4036">
      <c r="D4036" s="226"/>
      <c r="H4036" s="474"/>
      <c r="I4036" s="474"/>
      <c r="J4036" s="475"/>
      <c r="K4036" s="275"/>
      <c r="L4036" s="82"/>
      <c r="M4036" s="672"/>
      <c r="N4036" s="242"/>
      <c r="O4036" s="242"/>
      <c r="P4036" s="242"/>
      <c r="Q4036" s="242"/>
      <c r="R4036" s="539"/>
      <c r="S4036" s="540"/>
      <c r="T4036" s="543"/>
      <c r="U4036" s="673" t="b">
        <v>0</v>
      </c>
      <c r="Z4036" t="b">
        <v>0</v>
      </c>
      <c r="AA4036" t="b">
        <v>0</v>
      </c>
      <c r="AC4036" s="82"/>
      <c r="AD4036" t="str">
        <f t="shared" si="71"/>
        <v/>
      </c>
      <c r="AE4036" t="str">
        <f t="shared" si="72"/>
        <v/>
      </c>
    </row>
    <row r="4037">
      <c r="D4037" s="226"/>
      <c r="H4037" s="474"/>
      <c r="I4037" s="474"/>
      <c r="J4037" s="475"/>
      <c r="K4037" s="275"/>
      <c r="L4037" s="82"/>
      <c r="M4037" s="672"/>
      <c r="N4037" s="242"/>
      <c r="O4037" s="242"/>
      <c r="P4037" s="242"/>
      <c r="Q4037" s="242"/>
      <c r="R4037" s="539"/>
      <c r="S4037" s="540"/>
      <c r="T4037" s="543"/>
      <c r="U4037" s="673" t="b">
        <v>0</v>
      </c>
      <c r="Z4037" t="b">
        <v>0</v>
      </c>
      <c r="AA4037" t="b">
        <v>0</v>
      </c>
      <c r="AC4037" s="82"/>
      <c r="AD4037" t="str">
        <f t="shared" si="71"/>
        <v/>
      </c>
      <c r="AE4037" t="str">
        <f t="shared" si="72"/>
        <v/>
      </c>
    </row>
    <row r="4038">
      <c r="D4038" s="226"/>
      <c r="H4038" s="474"/>
      <c r="I4038" s="474"/>
      <c r="J4038" s="475"/>
      <c r="K4038" s="275"/>
      <c r="L4038" s="82"/>
      <c r="M4038" s="672"/>
      <c r="N4038" s="242"/>
      <c r="O4038" s="242"/>
      <c r="P4038" s="242"/>
      <c r="Q4038" s="242"/>
      <c r="R4038" s="539"/>
      <c r="S4038" s="540"/>
      <c r="T4038" s="543"/>
      <c r="U4038" s="673" t="b">
        <v>0</v>
      </c>
      <c r="Z4038" t="b">
        <v>0</v>
      </c>
      <c r="AA4038" t="b">
        <v>0</v>
      </c>
      <c r="AC4038" s="82"/>
      <c r="AD4038" t="str">
        <f t="shared" si="71"/>
        <v/>
      </c>
      <c r="AE4038" t="str">
        <f t="shared" si="72"/>
        <v/>
      </c>
    </row>
    <row r="4039">
      <c r="D4039" s="226"/>
      <c r="H4039" s="474"/>
      <c r="I4039" s="474"/>
      <c r="J4039" s="475"/>
      <c r="K4039" s="275"/>
      <c r="L4039" s="82"/>
      <c r="M4039" s="672"/>
      <c r="N4039" s="242"/>
      <c r="O4039" s="242"/>
      <c r="P4039" s="242"/>
      <c r="Q4039" s="242"/>
      <c r="R4039" s="539"/>
      <c r="S4039" s="540"/>
      <c r="T4039" s="543"/>
      <c r="U4039" s="673" t="b">
        <v>0</v>
      </c>
      <c r="Z4039" t="b">
        <v>0</v>
      </c>
      <c r="AA4039" t="b">
        <v>0</v>
      </c>
      <c r="AC4039" s="82"/>
      <c r="AD4039" t="str">
        <f t="shared" si="71"/>
        <v/>
      </c>
      <c r="AE4039" t="str">
        <f t="shared" si="72"/>
        <v/>
      </c>
    </row>
    <row r="4040">
      <c r="D4040" s="226"/>
      <c r="H4040" s="474"/>
      <c r="I4040" s="474"/>
      <c r="J4040" s="475"/>
      <c r="K4040" s="275"/>
      <c r="L4040" s="82"/>
      <c r="M4040" s="672"/>
      <c r="N4040" s="242"/>
      <c r="O4040" s="242"/>
      <c r="P4040" s="242"/>
      <c r="Q4040" s="242"/>
      <c r="R4040" s="539"/>
      <c r="S4040" s="540"/>
      <c r="T4040" s="543"/>
      <c r="U4040" s="673" t="b">
        <v>0</v>
      </c>
      <c r="Z4040" t="b">
        <v>0</v>
      </c>
      <c r="AA4040" t="b">
        <v>0</v>
      </c>
      <c r="AC4040" s="82"/>
      <c r="AD4040" t="str">
        <f t="shared" si="71"/>
        <v/>
      </c>
      <c r="AE4040" t="str">
        <f t="shared" si="72"/>
        <v/>
      </c>
    </row>
    <row r="4041">
      <c r="D4041" s="226"/>
      <c r="H4041" s="474"/>
      <c r="I4041" s="474"/>
      <c r="J4041" s="475"/>
      <c r="K4041" s="275"/>
      <c r="L4041" s="82"/>
      <c r="M4041" s="672"/>
      <c r="N4041" s="242"/>
      <c r="O4041" s="242"/>
      <c r="P4041" s="242"/>
      <c r="Q4041" s="242"/>
      <c r="R4041" s="539"/>
      <c r="S4041" s="540"/>
      <c r="T4041" s="543"/>
      <c r="U4041" s="673" t="b">
        <v>0</v>
      </c>
      <c r="Z4041" t="b">
        <v>0</v>
      </c>
      <c r="AA4041" t="b">
        <v>0</v>
      </c>
      <c r="AC4041" s="82"/>
      <c r="AD4041" t="str">
        <f t="shared" si="71"/>
        <v/>
      </c>
      <c r="AE4041" t="str">
        <f t="shared" si="72"/>
        <v/>
      </c>
    </row>
    <row r="4042">
      <c r="D4042" s="226"/>
      <c r="H4042" s="474"/>
      <c r="I4042" s="474"/>
      <c r="J4042" s="475"/>
      <c r="K4042" s="275"/>
      <c r="L4042" s="82"/>
      <c r="M4042" s="672"/>
      <c r="N4042" s="242"/>
      <c r="O4042" s="242"/>
      <c r="P4042" s="242"/>
      <c r="Q4042" s="242"/>
      <c r="R4042" s="539"/>
      <c r="S4042" s="540"/>
      <c r="T4042" s="543"/>
      <c r="U4042" s="673" t="b">
        <v>0</v>
      </c>
      <c r="Z4042" t="b">
        <v>0</v>
      </c>
      <c r="AA4042" t="b">
        <v>0</v>
      </c>
      <c r="AC4042" s="82"/>
      <c r="AD4042" t="str">
        <f t="shared" si="71"/>
        <v/>
      </c>
      <c r="AE4042" t="str">
        <f t="shared" si="72"/>
        <v/>
      </c>
    </row>
    <row r="4043">
      <c r="D4043" s="226"/>
      <c r="H4043" s="474"/>
      <c r="I4043" s="474"/>
      <c r="J4043" s="475"/>
      <c r="K4043" s="275"/>
      <c r="L4043" s="82"/>
      <c r="M4043" s="672"/>
      <c r="N4043" s="242"/>
      <c r="O4043" s="242"/>
      <c r="P4043" s="242"/>
      <c r="Q4043" s="242"/>
      <c r="R4043" s="539"/>
      <c r="S4043" s="540"/>
      <c r="T4043" s="543"/>
      <c r="U4043" s="673" t="b">
        <v>0</v>
      </c>
      <c r="Z4043" t="b">
        <v>0</v>
      </c>
      <c r="AA4043" t="b">
        <v>0</v>
      </c>
      <c r="AC4043" s="82"/>
      <c r="AD4043" t="str">
        <f t="shared" si="71"/>
        <v/>
      </c>
      <c r="AE4043" t="str">
        <f t="shared" si="72"/>
        <v/>
      </c>
    </row>
    <row r="4044">
      <c r="D4044" s="226"/>
      <c r="H4044" s="474"/>
      <c r="I4044" s="474"/>
      <c r="J4044" s="475"/>
      <c r="K4044" s="275"/>
      <c r="L4044" s="82"/>
      <c r="M4044" s="672"/>
      <c r="N4044" s="242"/>
      <c r="O4044" s="242"/>
      <c r="P4044" s="242"/>
      <c r="Q4044" s="242"/>
      <c r="R4044" s="539"/>
      <c r="S4044" s="540"/>
      <c r="T4044" s="543"/>
      <c r="U4044" s="673" t="b">
        <v>0</v>
      </c>
      <c r="Z4044" t="b">
        <v>0</v>
      </c>
      <c r="AA4044" t="b">
        <v>0</v>
      </c>
      <c r="AC4044" s="82"/>
      <c r="AD4044" t="str">
        <f t="shared" si="71"/>
        <v/>
      </c>
      <c r="AE4044" t="str">
        <f t="shared" si="72"/>
        <v/>
      </c>
    </row>
    <row r="4045">
      <c r="D4045" s="226"/>
      <c r="H4045" s="474"/>
      <c r="I4045" s="474"/>
      <c r="J4045" s="475"/>
      <c r="K4045" s="275"/>
      <c r="L4045" s="82"/>
      <c r="M4045" s="672"/>
      <c r="N4045" s="242"/>
      <c r="O4045" s="242"/>
      <c r="P4045" s="242"/>
      <c r="Q4045" s="242"/>
      <c r="R4045" s="539"/>
      <c r="S4045" s="540"/>
      <c r="T4045" s="543"/>
      <c r="U4045" s="673" t="b">
        <v>0</v>
      </c>
      <c r="Z4045" t="b">
        <v>0</v>
      </c>
      <c r="AA4045" t="b">
        <v>0</v>
      </c>
      <c r="AC4045" s="82"/>
      <c r="AD4045" t="str">
        <f t="shared" si="71"/>
        <v/>
      </c>
      <c r="AE4045" t="str">
        <f t="shared" si="72"/>
        <v/>
      </c>
    </row>
    <row r="4046">
      <c r="D4046" s="226"/>
      <c r="H4046" s="474"/>
      <c r="I4046" s="474"/>
      <c r="J4046" s="475"/>
      <c r="K4046" s="275"/>
      <c r="L4046" s="82"/>
      <c r="M4046" s="672"/>
      <c r="N4046" s="242"/>
      <c r="O4046" s="242"/>
      <c r="P4046" s="242"/>
      <c r="Q4046" s="242"/>
      <c r="R4046" s="539"/>
      <c r="S4046" s="540"/>
      <c r="T4046" s="543"/>
      <c r="U4046" s="673" t="b">
        <v>0</v>
      </c>
      <c r="Z4046" t="b">
        <v>0</v>
      </c>
      <c r="AA4046" t="b">
        <v>0</v>
      </c>
      <c r="AC4046" s="82"/>
      <c r="AD4046" t="str">
        <f t="shared" si="71"/>
        <v/>
      </c>
      <c r="AE4046" t="str">
        <f t="shared" si="72"/>
        <v/>
      </c>
    </row>
    <row r="4047">
      <c r="D4047" s="226"/>
      <c r="H4047" s="474"/>
      <c r="I4047" s="474"/>
      <c r="J4047" s="475"/>
      <c r="K4047" s="275"/>
      <c r="L4047" s="82"/>
      <c r="M4047" s="672"/>
      <c r="N4047" s="242"/>
      <c r="O4047" s="242"/>
      <c r="P4047" s="242"/>
      <c r="Q4047" s="242"/>
      <c r="R4047" s="539"/>
      <c r="S4047" s="540"/>
      <c r="T4047" s="543"/>
      <c r="U4047" s="673" t="b">
        <v>0</v>
      </c>
      <c r="Z4047" t="b">
        <v>0</v>
      </c>
      <c r="AA4047" t="b">
        <v>0</v>
      </c>
      <c r="AC4047" s="82"/>
      <c r="AD4047" t="str">
        <f t="shared" si="71"/>
        <v/>
      </c>
      <c r="AE4047" t="str">
        <f t="shared" si="72"/>
        <v/>
      </c>
    </row>
    <row r="4048">
      <c r="D4048" s="226"/>
      <c r="H4048" s="474"/>
      <c r="I4048" s="474"/>
      <c r="J4048" s="475"/>
      <c r="K4048" s="275"/>
      <c r="L4048" s="82"/>
      <c r="M4048" s="672"/>
      <c r="N4048" s="242"/>
      <c r="O4048" s="242"/>
      <c r="P4048" s="242"/>
      <c r="Q4048" s="242"/>
      <c r="R4048" s="539"/>
      <c r="S4048" s="540"/>
      <c r="T4048" s="543"/>
      <c r="U4048" s="673" t="b">
        <v>0</v>
      </c>
      <c r="Z4048" t="b">
        <v>0</v>
      </c>
      <c r="AA4048" t="b">
        <v>0</v>
      </c>
      <c r="AC4048" s="82"/>
      <c r="AD4048" t="str">
        <f t="shared" si="71"/>
        <v/>
      </c>
      <c r="AE4048" t="str">
        <f t="shared" si="72"/>
        <v/>
      </c>
    </row>
    <row r="4049">
      <c r="D4049" s="226"/>
      <c r="H4049" s="474"/>
      <c r="I4049" s="474"/>
      <c r="J4049" s="475"/>
      <c r="K4049" s="275"/>
      <c r="L4049" s="82"/>
      <c r="M4049" s="672"/>
      <c r="N4049" s="242"/>
      <c r="O4049" s="242"/>
      <c r="P4049" s="242"/>
      <c r="Q4049" s="242"/>
      <c r="R4049" s="539"/>
      <c r="S4049" s="540"/>
      <c r="T4049" s="543"/>
      <c r="U4049" s="673" t="b">
        <v>0</v>
      </c>
      <c r="Z4049" t="b">
        <v>0</v>
      </c>
      <c r="AA4049" t="b">
        <v>0</v>
      </c>
      <c r="AC4049" s="82"/>
      <c r="AD4049" t="str">
        <f t="shared" si="71"/>
        <v/>
      </c>
      <c r="AE4049" t="str">
        <f t="shared" si="72"/>
        <v/>
      </c>
    </row>
    <row r="4050">
      <c r="D4050" s="226"/>
      <c r="H4050" s="474"/>
      <c r="I4050" s="474"/>
      <c r="J4050" s="475"/>
      <c r="K4050" s="275"/>
      <c r="L4050" s="82"/>
      <c r="M4050" s="672"/>
      <c r="N4050" s="242"/>
      <c r="O4050" s="242"/>
      <c r="P4050" s="242"/>
      <c r="Q4050" s="242"/>
      <c r="R4050" s="539"/>
      <c r="S4050" s="540"/>
      <c r="T4050" s="543"/>
      <c r="U4050" s="673" t="b">
        <v>0</v>
      </c>
      <c r="Z4050" t="b">
        <v>0</v>
      </c>
      <c r="AA4050" t="b">
        <v>0</v>
      </c>
      <c r="AC4050" s="82"/>
      <c r="AD4050" t="str">
        <f t="shared" si="71"/>
        <v/>
      </c>
      <c r="AE4050" t="str">
        <f t="shared" si="72"/>
        <v/>
      </c>
    </row>
    <row r="4051">
      <c r="D4051" s="226"/>
      <c r="H4051" s="474"/>
      <c r="I4051" s="474"/>
      <c r="J4051" s="475"/>
      <c r="K4051" s="275"/>
      <c r="L4051" s="82"/>
      <c r="M4051" s="672"/>
      <c r="N4051" s="242"/>
      <c r="O4051" s="242"/>
      <c r="P4051" s="242"/>
      <c r="Q4051" s="242"/>
      <c r="R4051" s="539"/>
      <c r="S4051" s="540"/>
      <c r="T4051" s="543"/>
      <c r="U4051" s="673" t="b">
        <v>0</v>
      </c>
      <c r="Z4051" t="b">
        <v>0</v>
      </c>
      <c r="AA4051" t="b">
        <v>0</v>
      </c>
      <c r="AC4051" s="82"/>
      <c r="AD4051" t="str">
        <f t="shared" si="71"/>
        <v/>
      </c>
      <c r="AE4051" t="str">
        <f t="shared" si="72"/>
        <v/>
      </c>
    </row>
    <row r="4052">
      <c r="D4052" s="226"/>
      <c r="H4052" s="474"/>
      <c r="I4052" s="474"/>
      <c r="J4052" s="475"/>
      <c r="K4052" s="275"/>
      <c r="L4052" s="82"/>
      <c r="M4052" s="672"/>
      <c r="N4052" s="242"/>
      <c r="O4052" s="242"/>
      <c r="P4052" s="242"/>
      <c r="Q4052" s="242"/>
      <c r="R4052" s="539"/>
      <c r="S4052" s="540"/>
      <c r="T4052" s="543"/>
      <c r="U4052" s="673" t="b">
        <v>0</v>
      </c>
      <c r="Z4052" t="b">
        <v>0</v>
      </c>
      <c r="AA4052" t="b">
        <v>0</v>
      </c>
      <c r="AC4052" s="82"/>
      <c r="AD4052" t="str">
        <f t="shared" si="71"/>
        <v/>
      </c>
      <c r="AE4052" t="str">
        <f t="shared" si="72"/>
        <v/>
      </c>
    </row>
    <row r="4053">
      <c r="D4053" s="226"/>
      <c r="H4053" s="474"/>
      <c r="I4053" s="474"/>
      <c r="J4053" s="475"/>
      <c r="K4053" s="275"/>
      <c r="L4053" s="82"/>
      <c r="M4053" s="672"/>
      <c r="N4053" s="242"/>
      <c r="O4053" s="242"/>
      <c r="P4053" s="242"/>
      <c r="Q4053" s="242"/>
      <c r="R4053" s="539"/>
      <c r="S4053" s="540"/>
      <c r="T4053" s="543"/>
      <c r="U4053" s="673" t="b">
        <v>0</v>
      </c>
      <c r="Z4053" t="b">
        <v>0</v>
      </c>
      <c r="AA4053" t="b">
        <v>0</v>
      </c>
      <c r="AC4053" s="82"/>
      <c r="AD4053" t="str">
        <f t="shared" si="71"/>
        <v/>
      </c>
      <c r="AE4053" t="str">
        <f t="shared" si="72"/>
        <v/>
      </c>
    </row>
    <row r="4054">
      <c r="D4054" s="226"/>
      <c r="H4054" s="474"/>
      <c r="I4054" s="474"/>
      <c r="J4054" s="475"/>
      <c r="K4054" s="275"/>
      <c r="L4054" s="82"/>
      <c r="M4054" s="672"/>
      <c r="N4054" s="242"/>
      <c r="O4054" s="242"/>
      <c r="P4054" s="242"/>
      <c r="Q4054" s="242"/>
      <c r="R4054" s="539"/>
      <c r="S4054" s="540"/>
      <c r="T4054" s="543"/>
      <c r="U4054" s="673" t="b">
        <v>0</v>
      </c>
      <c r="Z4054" t="b">
        <v>0</v>
      </c>
      <c r="AA4054" t="b">
        <v>0</v>
      </c>
      <c r="AC4054" s="82"/>
      <c r="AD4054" t="str">
        <f t="shared" si="71"/>
        <v/>
      </c>
      <c r="AE4054" t="str">
        <f t="shared" si="72"/>
        <v/>
      </c>
    </row>
    <row r="4055">
      <c r="D4055" s="226"/>
      <c r="H4055" s="474"/>
      <c r="I4055" s="474"/>
      <c r="J4055" s="475"/>
      <c r="K4055" s="275"/>
      <c r="L4055" s="82"/>
      <c r="M4055" s="672"/>
      <c r="N4055" s="242"/>
      <c r="O4055" s="242"/>
      <c r="P4055" s="242"/>
      <c r="Q4055" s="242"/>
      <c r="R4055" s="539"/>
      <c r="S4055" s="540"/>
      <c r="T4055" s="543"/>
      <c r="U4055" s="673" t="b">
        <v>0</v>
      </c>
      <c r="Z4055" t="b">
        <v>0</v>
      </c>
      <c r="AA4055" t="b">
        <v>0</v>
      </c>
      <c r="AC4055" s="82"/>
      <c r="AD4055" t="str">
        <f t="shared" si="71"/>
        <v/>
      </c>
      <c r="AE4055" t="str">
        <f t="shared" si="72"/>
        <v/>
      </c>
    </row>
    <row r="4056">
      <c r="D4056" s="226"/>
      <c r="H4056" s="474"/>
      <c r="I4056" s="474"/>
      <c r="J4056" s="475"/>
      <c r="K4056" s="275"/>
      <c r="L4056" s="82"/>
      <c r="M4056" s="672"/>
      <c r="N4056" s="242"/>
      <c r="O4056" s="242"/>
      <c r="P4056" s="242"/>
      <c r="Q4056" s="242"/>
      <c r="R4056" s="539"/>
      <c r="S4056" s="540"/>
      <c r="T4056" s="543"/>
      <c r="U4056" s="673" t="b">
        <v>0</v>
      </c>
      <c r="Z4056" t="b">
        <v>0</v>
      </c>
      <c r="AA4056" t="b">
        <v>0</v>
      </c>
      <c r="AC4056" s="82"/>
      <c r="AD4056" t="str">
        <f t="shared" si="71"/>
        <v/>
      </c>
      <c r="AE4056" t="str">
        <f t="shared" si="72"/>
        <v/>
      </c>
    </row>
    <row r="4057">
      <c r="D4057" s="226"/>
      <c r="H4057" s="474"/>
      <c r="I4057" s="474"/>
      <c r="J4057" s="475"/>
      <c r="K4057" s="275"/>
      <c r="L4057" s="82"/>
      <c r="M4057" s="672"/>
      <c r="N4057" s="242"/>
      <c r="O4057" s="242"/>
      <c r="P4057" s="242"/>
      <c r="Q4057" s="242"/>
      <c r="R4057" s="539"/>
      <c r="S4057" s="540"/>
      <c r="T4057" s="543"/>
      <c r="U4057" s="673" t="b">
        <v>0</v>
      </c>
      <c r="Z4057" t="b">
        <v>0</v>
      </c>
      <c r="AA4057" t="b">
        <v>0</v>
      </c>
      <c r="AC4057" s="82"/>
      <c r="AD4057" t="str">
        <f t="shared" si="71"/>
        <v/>
      </c>
      <c r="AE4057" t="str">
        <f t="shared" si="72"/>
        <v/>
      </c>
    </row>
    <row r="4058">
      <c r="D4058" s="226"/>
      <c r="H4058" s="474"/>
      <c r="I4058" s="474"/>
      <c r="J4058" s="475"/>
      <c r="K4058" s="275"/>
      <c r="L4058" s="82"/>
      <c r="M4058" s="672"/>
      <c r="N4058" s="242"/>
      <c r="O4058" s="242"/>
      <c r="P4058" s="242"/>
      <c r="Q4058" s="242"/>
      <c r="R4058" s="539"/>
      <c r="S4058" s="540"/>
      <c r="T4058" s="543"/>
      <c r="U4058" s="673" t="b">
        <v>0</v>
      </c>
      <c r="Z4058" t="b">
        <v>0</v>
      </c>
      <c r="AA4058" t="b">
        <v>0</v>
      </c>
      <c r="AC4058" s="82"/>
      <c r="AD4058" t="str">
        <f t="shared" si="71"/>
        <v/>
      </c>
      <c r="AE4058" t="str">
        <f t="shared" si="72"/>
        <v/>
      </c>
    </row>
    <row r="4059">
      <c r="D4059" s="226"/>
      <c r="H4059" s="474"/>
      <c r="I4059" s="474"/>
      <c r="J4059" s="475"/>
      <c r="K4059" s="275"/>
      <c r="L4059" s="82"/>
      <c r="M4059" s="672"/>
      <c r="N4059" s="242"/>
      <c r="O4059" s="242"/>
      <c r="P4059" s="242"/>
      <c r="Q4059" s="242"/>
      <c r="R4059" s="539"/>
      <c r="S4059" s="540"/>
      <c r="T4059" s="543"/>
      <c r="U4059" s="673" t="b">
        <v>0</v>
      </c>
      <c r="Z4059" t="b">
        <v>0</v>
      </c>
      <c r="AA4059" t="b">
        <v>0</v>
      </c>
      <c r="AC4059" s="82"/>
      <c r="AD4059" t="str">
        <f t="shared" si="71"/>
        <v/>
      </c>
      <c r="AE4059" t="str">
        <f t="shared" si="72"/>
        <v/>
      </c>
    </row>
    <row r="4060">
      <c r="D4060" s="226"/>
      <c r="H4060" s="474"/>
      <c r="I4060" s="474"/>
      <c r="J4060" s="475"/>
      <c r="K4060" s="275"/>
      <c r="L4060" s="82"/>
      <c r="M4060" s="672"/>
      <c r="N4060" s="242"/>
      <c r="O4060" s="242"/>
      <c r="P4060" s="242"/>
      <c r="Q4060" s="242"/>
      <c r="R4060" s="539"/>
      <c r="S4060" s="540"/>
      <c r="T4060" s="543"/>
      <c r="U4060" s="673" t="b">
        <v>0</v>
      </c>
      <c r="Z4060" t="b">
        <v>0</v>
      </c>
      <c r="AA4060" t="b">
        <v>0</v>
      </c>
      <c r="AC4060" s="82"/>
      <c r="AD4060" t="str">
        <f t="shared" si="71"/>
        <v/>
      </c>
      <c r="AE4060" t="str">
        <f t="shared" si="72"/>
        <v/>
      </c>
    </row>
    <row r="4061">
      <c r="D4061" s="226"/>
      <c r="H4061" s="474"/>
      <c r="I4061" s="474"/>
      <c r="J4061" s="475"/>
      <c r="K4061" s="275"/>
      <c r="L4061" s="82"/>
      <c r="M4061" s="672"/>
      <c r="N4061" s="242"/>
      <c r="O4061" s="242"/>
      <c r="P4061" s="242"/>
      <c r="Q4061" s="242"/>
      <c r="R4061" s="539"/>
      <c r="S4061" s="540"/>
      <c r="T4061" s="543"/>
      <c r="U4061" s="673" t="b">
        <v>0</v>
      </c>
      <c r="Z4061" t="b">
        <v>0</v>
      </c>
      <c r="AA4061" t="b">
        <v>0</v>
      </c>
      <c r="AC4061" s="82"/>
      <c r="AD4061" t="str">
        <f t="shared" si="71"/>
        <v/>
      </c>
      <c r="AE4061" t="str">
        <f t="shared" si="72"/>
        <v/>
      </c>
    </row>
    <row r="4062">
      <c r="D4062" s="226"/>
      <c r="H4062" s="474"/>
      <c r="I4062" s="474"/>
      <c r="J4062" s="475"/>
      <c r="K4062" s="275"/>
      <c r="L4062" s="82"/>
      <c r="M4062" s="672"/>
      <c r="N4062" s="242"/>
      <c r="O4062" s="242"/>
      <c r="P4062" s="242"/>
      <c r="Q4062" s="242"/>
      <c r="R4062" s="539"/>
      <c r="S4062" s="540"/>
      <c r="T4062" s="543"/>
      <c r="U4062" s="673" t="b">
        <v>0</v>
      </c>
      <c r="Z4062" t="b">
        <v>0</v>
      </c>
      <c r="AA4062" t="b">
        <v>0</v>
      </c>
      <c r="AC4062" s="82"/>
      <c r="AD4062" t="str">
        <f t="shared" si="71"/>
        <v/>
      </c>
      <c r="AE4062" t="str">
        <f t="shared" si="72"/>
        <v/>
      </c>
    </row>
    <row r="4063">
      <c r="D4063" s="226"/>
      <c r="H4063" s="474"/>
      <c r="I4063" s="474"/>
      <c r="J4063" s="475"/>
      <c r="K4063" s="275"/>
      <c r="L4063" s="82"/>
      <c r="M4063" s="672"/>
      <c r="N4063" s="242"/>
      <c r="O4063" s="242"/>
      <c r="P4063" s="242"/>
      <c r="Q4063" s="242"/>
      <c r="R4063" s="539"/>
      <c r="S4063" s="540"/>
      <c r="T4063" s="543"/>
      <c r="U4063" s="673" t="b">
        <v>0</v>
      </c>
      <c r="Z4063" t="b">
        <v>0</v>
      </c>
      <c r="AA4063" t="b">
        <v>0</v>
      </c>
      <c r="AC4063" s="82"/>
      <c r="AD4063" t="str">
        <f t="shared" si="71"/>
        <v/>
      </c>
      <c r="AE4063" t="str">
        <f t="shared" si="72"/>
        <v/>
      </c>
    </row>
    <row r="4064">
      <c r="D4064" s="226"/>
      <c r="H4064" s="474"/>
      <c r="I4064" s="474"/>
      <c r="J4064" s="475"/>
      <c r="K4064" s="275"/>
      <c r="L4064" s="82"/>
      <c r="M4064" s="672"/>
      <c r="N4064" s="242"/>
      <c r="O4064" s="242"/>
      <c r="P4064" s="242"/>
      <c r="Q4064" s="242"/>
      <c r="R4064" s="539"/>
      <c r="S4064" s="540"/>
      <c r="T4064" s="543"/>
      <c r="U4064" s="673" t="b">
        <v>0</v>
      </c>
      <c r="Z4064" t="b">
        <v>0</v>
      </c>
      <c r="AA4064" t="b">
        <v>0</v>
      </c>
      <c r="AC4064" s="82"/>
      <c r="AD4064" t="str">
        <f t="shared" si="71"/>
        <v/>
      </c>
      <c r="AE4064" t="str">
        <f t="shared" si="72"/>
        <v/>
      </c>
    </row>
    <row r="4065">
      <c r="D4065" s="226"/>
      <c r="H4065" s="474"/>
      <c r="I4065" s="474"/>
      <c r="J4065" s="475"/>
      <c r="K4065" s="275"/>
      <c r="L4065" s="82"/>
      <c r="M4065" s="672"/>
      <c r="N4065" s="242"/>
      <c r="O4065" s="242"/>
      <c r="P4065" s="242"/>
      <c r="Q4065" s="242"/>
      <c r="R4065" s="539"/>
      <c r="S4065" s="540"/>
      <c r="T4065" s="543"/>
      <c r="U4065" s="673" t="b">
        <v>0</v>
      </c>
      <c r="Z4065" t="b">
        <v>0</v>
      </c>
      <c r="AA4065" t="b">
        <v>0</v>
      </c>
      <c r="AC4065" s="82"/>
      <c r="AD4065" t="str">
        <f t="shared" si="71"/>
        <v/>
      </c>
      <c r="AE4065" t="str">
        <f t="shared" si="72"/>
        <v/>
      </c>
    </row>
    <row r="4066">
      <c r="D4066" s="226"/>
      <c r="H4066" s="474"/>
      <c r="I4066" s="474"/>
      <c r="J4066" s="475"/>
      <c r="K4066" s="275"/>
      <c r="L4066" s="82"/>
      <c r="M4066" s="672"/>
      <c r="N4066" s="242"/>
      <c r="O4066" s="242"/>
      <c r="P4066" s="242"/>
      <c r="Q4066" s="242"/>
      <c r="R4066" s="539"/>
      <c r="S4066" s="540"/>
      <c r="T4066" s="543"/>
      <c r="U4066" s="673" t="b">
        <v>0</v>
      </c>
      <c r="Z4066" t="b">
        <v>0</v>
      </c>
      <c r="AA4066" t="b">
        <v>0</v>
      </c>
      <c r="AC4066" s="82"/>
      <c r="AD4066" t="str">
        <f t="shared" si="71"/>
        <v/>
      </c>
      <c r="AE4066" t="str">
        <f t="shared" si="72"/>
        <v/>
      </c>
    </row>
    <row r="4067">
      <c r="D4067" s="226"/>
      <c r="H4067" s="474"/>
      <c r="I4067" s="474"/>
      <c r="J4067" s="475"/>
      <c r="K4067" s="275"/>
      <c r="L4067" s="82"/>
      <c r="M4067" s="672"/>
      <c r="N4067" s="242"/>
      <c r="O4067" s="242"/>
      <c r="P4067" s="242"/>
      <c r="Q4067" s="242"/>
      <c r="R4067" s="539"/>
      <c r="S4067" s="540"/>
      <c r="T4067" s="543"/>
      <c r="U4067" s="673" t="b">
        <v>0</v>
      </c>
      <c r="Z4067" t="b">
        <v>0</v>
      </c>
      <c r="AA4067" t="b">
        <v>0</v>
      </c>
      <c r="AC4067" s="82"/>
      <c r="AD4067" t="str">
        <f t="shared" si="71"/>
        <v/>
      </c>
      <c r="AE4067" t="str">
        <f t="shared" si="72"/>
        <v/>
      </c>
    </row>
    <row r="4068">
      <c r="D4068" s="226"/>
      <c r="H4068" s="474"/>
      <c r="I4068" s="474"/>
      <c r="J4068" s="475"/>
      <c r="K4068" s="275"/>
      <c r="L4068" s="82"/>
      <c r="M4068" s="672"/>
      <c r="N4068" s="242"/>
      <c r="O4068" s="242"/>
      <c r="P4068" s="242"/>
      <c r="Q4068" s="242"/>
      <c r="R4068" s="539"/>
      <c r="S4068" s="540"/>
      <c r="T4068" s="543"/>
      <c r="U4068" s="673" t="b">
        <v>0</v>
      </c>
      <c r="Z4068" t="b">
        <v>0</v>
      </c>
      <c r="AA4068" t="b">
        <v>0</v>
      </c>
      <c r="AC4068" s="82"/>
      <c r="AD4068" t="str">
        <f t="shared" si="71"/>
        <v/>
      </c>
      <c r="AE4068" t="str">
        <f t="shared" si="72"/>
        <v/>
      </c>
    </row>
    <row r="4069">
      <c r="D4069" s="226"/>
      <c r="H4069" s="474"/>
      <c r="I4069" s="474"/>
      <c r="J4069" s="475"/>
      <c r="K4069" s="275"/>
      <c r="L4069" s="82"/>
      <c r="M4069" s="672"/>
      <c r="N4069" s="242"/>
      <c r="O4069" s="242"/>
      <c r="P4069" s="242"/>
      <c r="Q4069" s="242"/>
      <c r="R4069" s="539"/>
      <c r="S4069" s="540"/>
      <c r="T4069" s="543"/>
      <c r="U4069" s="673" t="b">
        <v>0</v>
      </c>
      <c r="Z4069" t="b">
        <v>0</v>
      </c>
      <c r="AA4069" t="b">
        <v>0</v>
      </c>
      <c r="AC4069" s="82"/>
      <c r="AD4069" t="str">
        <f t="shared" si="71"/>
        <v/>
      </c>
      <c r="AE4069" t="str">
        <f t="shared" si="72"/>
        <v/>
      </c>
    </row>
    <row r="4070">
      <c r="D4070" s="226"/>
      <c r="H4070" s="474"/>
      <c r="I4070" s="474"/>
      <c r="J4070" s="475"/>
      <c r="K4070" s="275"/>
      <c r="L4070" s="82"/>
      <c r="M4070" s="672"/>
      <c r="N4070" s="242"/>
      <c r="O4070" s="242"/>
      <c r="P4070" s="242"/>
      <c r="Q4070" s="242"/>
      <c r="R4070" s="539"/>
      <c r="S4070" s="540"/>
      <c r="T4070" s="543"/>
      <c r="U4070" s="673" t="b">
        <v>0</v>
      </c>
      <c r="Z4070" t="b">
        <v>0</v>
      </c>
      <c r="AA4070" t="b">
        <v>0</v>
      </c>
      <c r="AC4070" s="82"/>
      <c r="AD4070" t="str">
        <f t="shared" si="71"/>
        <v/>
      </c>
      <c r="AE4070" t="str">
        <f t="shared" si="72"/>
        <v/>
      </c>
    </row>
    <row r="4071">
      <c r="D4071" s="226"/>
      <c r="H4071" s="474"/>
      <c r="I4071" s="474"/>
      <c r="J4071" s="475"/>
      <c r="K4071" s="275"/>
      <c r="L4071" s="82"/>
      <c r="M4071" s="672"/>
      <c r="N4071" s="242"/>
      <c r="O4071" s="242"/>
      <c r="P4071" s="242"/>
      <c r="Q4071" s="242"/>
      <c r="R4071" s="539"/>
      <c r="S4071" s="540"/>
      <c r="T4071" s="543"/>
      <c r="U4071" s="673" t="b">
        <v>0</v>
      </c>
      <c r="Z4071" t="b">
        <v>0</v>
      </c>
      <c r="AA4071" t="b">
        <v>0</v>
      </c>
      <c r="AC4071" s="82"/>
      <c r="AD4071" t="str">
        <f t="shared" si="71"/>
        <v/>
      </c>
      <c r="AE4071" t="str">
        <f t="shared" si="72"/>
        <v/>
      </c>
    </row>
    <row r="4072">
      <c r="D4072" s="226"/>
      <c r="H4072" s="474"/>
      <c r="I4072" s="474"/>
      <c r="J4072" s="475"/>
      <c r="K4072" s="275"/>
      <c r="L4072" s="82"/>
      <c r="M4072" s="672"/>
      <c r="N4072" s="242"/>
      <c r="O4072" s="242"/>
      <c r="P4072" s="242"/>
      <c r="Q4072" s="242"/>
      <c r="R4072" s="539"/>
      <c r="S4072" s="540"/>
      <c r="T4072" s="543"/>
      <c r="U4072" s="673" t="b">
        <v>0</v>
      </c>
      <c r="Z4072" t="b">
        <v>0</v>
      </c>
      <c r="AA4072" t="b">
        <v>0</v>
      </c>
      <c r="AC4072" s="82"/>
      <c r="AD4072" t="str">
        <f t="shared" si="71"/>
        <v/>
      </c>
      <c r="AE4072" t="str">
        <f t="shared" si="72"/>
        <v/>
      </c>
    </row>
    <row r="4073">
      <c r="D4073" s="226"/>
      <c r="H4073" s="474"/>
      <c r="I4073" s="474"/>
      <c r="J4073" s="475"/>
      <c r="K4073" s="275"/>
      <c r="L4073" s="82"/>
      <c r="M4073" s="672"/>
      <c r="N4073" s="242"/>
      <c r="O4073" s="242"/>
      <c r="P4073" s="242"/>
      <c r="Q4073" s="242"/>
      <c r="R4073" s="539"/>
      <c r="S4073" s="540"/>
      <c r="T4073" s="543"/>
      <c r="U4073" s="673" t="b">
        <v>0</v>
      </c>
      <c r="Z4073" t="b">
        <v>0</v>
      </c>
      <c r="AA4073" t="b">
        <v>0</v>
      </c>
      <c r="AC4073" s="82"/>
      <c r="AD4073" t="str">
        <f t="shared" si="71"/>
        <v/>
      </c>
      <c r="AE4073" t="str">
        <f t="shared" si="72"/>
        <v/>
      </c>
    </row>
    <row r="4074">
      <c r="D4074" s="226"/>
      <c r="H4074" s="474"/>
      <c r="I4074" s="474"/>
      <c r="J4074" s="475"/>
      <c r="K4074" s="275"/>
      <c r="L4074" s="82"/>
      <c r="M4074" s="672"/>
      <c r="N4074" s="242"/>
      <c r="O4074" s="242"/>
      <c r="P4074" s="242"/>
      <c r="Q4074" s="242"/>
      <c r="R4074" s="539"/>
      <c r="S4074" s="540"/>
      <c r="T4074" s="543"/>
      <c r="U4074" s="673" t="b">
        <v>0</v>
      </c>
      <c r="Z4074" t="b">
        <v>0</v>
      </c>
      <c r="AA4074" t="b">
        <v>0</v>
      </c>
      <c r="AC4074" s="82"/>
      <c r="AD4074" t="str">
        <f t="shared" si="71"/>
        <v/>
      </c>
      <c r="AE4074" t="str">
        <f t="shared" si="72"/>
        <v/>
      </c>
    </row>
    <row r="4075">
      <c r="D4075" s="226"/>
      <c r="H4075" s="474"/>
      <c r="I4075" s="474"/>
      <c r="J4075" s="475"/>
      <c r="K4075" s="275"/>
      <c r="L4075" s="82"/>
      <c r="M4075" s="672"/>
      <c r="N4075" s="242"/>
      <c r="O4075" s="242"/>
      <c r="P4075" s="242"/>
      <c r="Q4075" s="242"/>
      <c r="R4075" s="539"/>
      <c r="S4075" s="540"/>
      <c r="T4075" s="543"/>
      <c r="U4075" s="673" t="b">
        <v>0</v>
      </c>
      <c r="Z4075" t="b">
        <v>0</v>
      </c>
      <c r="AA4075" t="b">
        <v>0</v>
      </c>
      <c r="AC4075" s="82"/>
      <c r="AD4075" t="str">
        <f t="shared" si="71"/>
        <v/>
      </c>
      <c r="AE4075" t="str">
        <f t="shared" si="72"/>
        <v/>
      </c>
    </row>
    <row r="4076">
      <c r="D4076" s="226"/>
      <c r="H4076" s="474"/>
      <c r="I4076" s="474"/>
      <c r="J4076" s="475"/>
      <c r="K4076" s="275"/>
      <c r="L4076" s="82"/>
      <c r="M4076" s="672"/>
      <c r="N4076" s="242"/>
      <c r="O4076" s="242"/>
      <c r="P4076" s="242"/>
      <c r="Q4076" s="242"/>
      <c r="R4076" s="539"/>
      <c r="S4076" s="540"/>
      <c r="T4076" s="543"/>
      <c r="U4076" s="673" t="b">
        <v>0</v>
      </c>
      <c r="Z4076" t="b">
        <v>0</v>
      </c>
      <c r="AA4076" t="b">
        <v>0</v>
      </c>
      <c r="AC4076" s="82"/>
      <c r="AD4076" t="str">
        <f t="shared" si="71"/>
        <v/>
      </c>
      <c r="AE4076" t="str">
        <f t="shared" si="72"/>
        <v/>
      </c>
    </row>
    <row r="4077">
      <c r="D4077" s="226"/>
      <c r="H4077" s="474"/>
      <c r="I4077" s="474"/>
      <c r="J4077" s="475"/>
      <c r="K4077" s="275"/>
      <c r="L4077" s="82"/>
      <c r="M4077" s="672"/>
      <c r="N4077" s="242"/>
      <c r="O4077" s="242"/>
      <c r="P4077" s="242"/>
      <c r="Q4077" s="242"/>
      <c r="R4077" s="539"/>
      <c r="S4077" s="540"/>
      <c r="T4077" s="543"/>
      <c r="U4077" s="673" t="b">
        <v>0</v>
      </c>
      <c r="Z4077" t="b">
        <v>0</v>
      </c>
      <c r="AA4077" t="b">
        <v>0</v>
      </c>
      <c r="AC4077" s="82"/>
      <c r="AD4077" t="str">
        <f t="shared" si="71"/>
        <v/>
      </c>
      <c r="AE4077" t="str">
        <f t="shared" si="72"/>
        <v/>
      </c>
    </row>
    <row r="4078">
      <c r="D4078" s="226"/>
      <c r="H4078" s="474"/>
      <c r="I4078" s="474"/>
      <c r="J4078" s="475"/>
      <c r="K4078" s="275"/>
      <c r="L4078" s="82"/>
      <c r="M4078" s="672"/>
      <c r="N4078" s="242"/>
      <c r="O4078" s="242"/>
      <c r="P4078" s="242"/>
      <c r="Q4078" s="242"/>
      <c r="R4078" s="539"/>
      <c r="S4078" s="540"/>
      <c r="T4078" s="543"/>
      <c r="U4078" s="673" t="b">
        <v>0</v>
      </c>
      <c r="Z4078" t="b">
        <v>0</v>
      </c>
      <c r="AA4078" t="b">
        <v>0</v>
      </c>
      <c r="AC4078" s="82"/>
      <c r="AD4078" t="str">
        <f t="shared" si="71"/>
        <v/>
      </c>
      <c r="AE4078" t="str">
        <f t="shared" si="72"/>
        <v/>
      </c>
    </row>
    <row r="4079">
      <c r="D4079" s="226"/>
      <c r="H4079" s="474"/>
      <c r="I4079" s="474"/>
      <c r="J4079" s="475"/>
      <c r="K4079" s="275"/>
      <c r="L4079" s="82"/>
      <c r="M4079" s="672"/>
      <c r="N4079" s="242"/>
      <c r="O4079" s="242"/>
      <c r="P4079" s="242"/>
      <c r="Q4079" s="242"/>
      <c r="R4079" s="539"/>
      <c r="S4079" s="540"/>
      <c r="T4079" s="543"/>
      <c r="U4079" s="673" t="b">
        <v>0</v>
      </c>
      <c r="Z4079" t="b">
        <v>0</v>
      </c>
      <c r="AA4079" t="b">
        <v>0</v>
      </c>
      <c r="AC4079" s="82"/>
      <c r="AD4079" t="str">
        <f t="shared" si="71"/>
        <v/>
      </c>
      <c r="AE4079" t="str">
        <f t="shared" si="72"/>
        <v/>
      </c>
    </row>
    <row r="4080">
      <c r="D4080" s="226"/>
      <c r="H4080" s="474"/>
      <c r="I4080" s="474"/>
      <c r="J4080" s="475"/>
      <c r="K4080" s="275"/>
      <c r="L4080" s="82"/>
      <c r="M4080" s="672"/>
      <c r="N4080" s="242"/>
      <c r="O4080" s="242"/>
      <c r="P4080" s="242"/>
      <c r="Q4080" s="242"/>
      <c r="R4080" s="539"/>
      <c r="S4080" s="540"/>
      <c r="T4080" s="543"/>
      <c r="U4080" s="673" t="b">
        <v>0</v>
      </c>
      <c r="Z4080" t="b">
        <v>0</v>
      </c>
      <c r="AA4080" t="b">
        <v>0</v>
      </c>
      <c r="AC4080" s="82"/>
      <c r="AD4080" t="str">
        <f t="shared" si="71"/>
        <v/>
      </c>
      <c r="AE4080" t="str">
        <f t="shared" si="72"/>
        <v/>
      </c>
    </row>
    <row r="4081">
      <c r="D4081" s="226"/>
      <c r="H4081" s="474"/>
      <c r="I4081" s="474"/>
      <c r="J4081" s="475"/>
      <c r="K4081" s="275"/>
      <c r="L4081" s="82"/>
      <c r="M4081" s="672"/>
      <c r="N4081" s="242"/>
      <c r="O4081" s="242"/>
      <c r="P4081" s="242"/>
      <c r="Q4081" s="242"/>
      <c r="R4081" s="539"/>
      <c r="S4081" s="540"/>
      <c r="T4081" s="543"/>
      <c r="U4081" s="673" t="b">
        <v>0</v>
      </c>
      <c r="Z4081" t="b">
        <v>0</v>
      </c>
      <c r="AA4081" t="b">
        <v>0</v>
      </c>
      <c r="AC4081" s="82"/>
      <c r="AD4081" t="str">
        <f t="shared" si="71"/>
        <v/>
      </c>
      <c r="AE4081" t="str">
        <f t="shared" si="72"/>
        <v/>
      </c>
    </row>
    <row r="4082">
      <c r="D4082" s="226"/>
      <c r="H4082" s="474"/>
      <c r="I4082" s="474"/>
      <c r="J4082" s="475"/>
      <c r="K4082" s="275"/>
      <c r="L4082" s="82"/>
      <c r="M4082" s="672"/>
      <c r="N4082" s="242"/>
      <c r="O4082" s="242"/>
      <c r="P4082" s="242"/>
      <c r="Q4082" s="242"/>
      <c r="R4082" s="539"/>
      <c r="S4082" s="540"/>
      <c r="T4082" s="543"/>
      <c r="U4082" s="673" t="b">
        <v>0</v>
      </c>
      <c r="Z4082" t="b">
        <v>0</v>
      </c>
      <c r="AA4082" t="b">
        <v>0</v>
      </c>
      <c r="AC4082" s="82"/>
      <c r="AD4082" t="str">
        <f t="shared" si="71"/>
        <v/>
      </c>
      <c r="AE4082" t="str">
        <f t="shared" si="72"/>
        <v/>
      </c>
    </row>
    <row r="4083">
      <c r="D4083" s="226"/>
      <c r="H4083" s="474"/>
      <c r="I4083" s="474"/>
      <c r="J4083" s="475"/>
      <c r="K4083" s="275"/>
      <c r="L4083" s="82"/>
      <c r="M4083" s="672"/>
      <c r="N4083" s="242"/>
      <c r="O4083" s="242"/>
      <c r="P4083" s="242"/>
      <c r="Q4083" s="242"/>
      <c r="R4083" s="539"/>
      <c r="S4083" s="540"/>
      <c r="T4083" s="543"/>
      <c r="U4083" s="673" t="b">
        <v>0</v>
      </c>
      <c r="Z4083" t="b">
        <v>0</v>
      </c>
      <c r="AA4083" t="b">
        <v>0</v>
      </c>
      <c r="AC4083" s="82"/>
      <c r="AD4083" t="str">
        <f t="shared" si="71"/>
        <v/>
      </c>
      <c r="AE4083" t="str">
        <f t="shared" si="72"/>
        <v/>
      </c>
    </row>
    <row r="4084">
      <c r="D4084" s="226"/>
      <c r="H4084" s="474"/>
      <c r="I4084" s="474"/>
      <c r="J4084" s="475"/>
      <c r="K4084" s="275"/>
      <c r="L4084" s="82"/>
      <c r="M4084" s="672"/>
      <c r="N4084" s="242"/>
      <c r="O4084" s="242"/>
      <c r="P4084" s="242"/>
      <c r="Q4084" s="242"/>
      <c r="R4084" s="539"/>
      <c r="S4084" s="540"/>
      <c r="T4084" s="543"/>
      <c r="U4084" s="673" t="b">
        <v>0</v>
      </c>
      <c r="Z4084" t="b">
        <v>0</v>
      </c>
      <c r="AA4084" t="b">
        <v>0</v>
      </c>
      <c r="AC4084" s="82"/>
      <c r="AD4084" t="str">
        <f t="shared" si="71"/>
        <v/>
      </c>
      <c r="AE4084" t="str">
        <f t="shared" si="72"/>
        <v/>
      </c>
    </row>
    <row r="4085">
      <c r="D4085" s="226"/>
      <c r="H4085" s="474"/>
      <c r="I4085" s="474"/>
      <c r="J4085" s="475"/>
      <c r="K4085" s="275"/>
      <c r="L4085" s="82"/>
      <c r="M4085" s="672"/>
      <c r="N4085" s="242"/>
      <c r="O4085" s="242"/>
      <c r="P4085" s="242"/>
      <c r="Q4085" s="242"/>
      <c r="R4085" s="539"/>
      <c r="S4085" s="540"/>
      <c r="T4085" s="543"/>
      <c r="U4085" s="673" t="b">
        <v>0</v>
      </c>
      <c r="Z4085" t="b">
        <v>0</v>
      </c>
      <c r="AA4085" t="b">
        <v>0</v>
      </c>
      <c r="AC4085" s="82"/>
      <c r="AD4085" t="str">
        <f t="shared" si="71"/>
        <v/>
      </c>
      <c r="AE4085" t="str">
        <f t="shared" si="72"/>
        <v/>
      </c>
    </row>
    <row r="4086">
      <c r="D4086" s="226"/>
      <c r="H4086" s="474"/>
      <c r="I4086" s="474"/>
      <c r="J4086" s="475"/>
      <c r="K4086" s="275"/>
      <c r="L4086" s="82"/>
      <c r="M4086" s="672"/>
      <c r="N4086" s="242"/>
      <c r="O4086" s="242"/>
      <c r="P4086" s="242"/>
      <c r="Q4086" s="242"/>
      <c r="R4086" s="539"/>
      <c r="S4086" s="540"/>
      <c r="T4086" s="543"/>
      <c r="U4086" s="673" t="b">
        <v>0</v>
      </c>
      <c r="Z4086" t="b">
        <v>0</v>
      </c>
      <c r="AA4086" t="b">
        <v>0</v>
      </c>
      <c r="AC4086" s="82"/>
      <c r="AD4086" t="str">
        <f t="shared" si="71"/>
        <v/>
      </c>
      <c r="AE4086" t="str">
        <f t="shared" si="72"/>
        <v/>
      </c>
    </row>
    <row r="4087">
      <c r="D4087" s="226"/>
      <c r="H4087" s="474"/>
      <c r="I4087" s="474"/>
      <c r="J4087" s="475"/>
      <c r="K4087" s="275"/>
      <c r="L4087" s="82"/>
      <c r="M4087" s="672"/>
      <c r="N4087" s="242"/>
      <c r="O4087" s="242"/>
      <c r="P4087" s="242"/>
      <c r="Q4087" s="242"/>
      <c r="R4087" s="539"/>
      <c r="S4087" s="540"/>
      <c r="T4087" s="543"/>
      <c r="U4087" s="673" t="b">
        <v>0</v>
      </c>
      <c r="Z4087" t="b">
        <v>0</v>
      </c>
      <c r="AA4087" t="b">
        <v>0</v>
      </c>
      <c r="AC4087" s="82"/>
      <c r="AD4087" t="str">
        <f t="shared" si="71"/>
        <v/>
      </c>
      <c r="AE4087" t="str">
        <f t="shared" si="72"/>
        <v/>
      </c>
    </row>
    <row r="4088">
      <c r="D4088" s="226"/>
      <c r="H4088" s="474"/>
      <c r="I4088" s="474"/>
      <c r="J4088" s="475"/>
      <c r="K4088" s="275"/>
      <c r="L4088" s="82"/>
      <c r="M4088" s="672"/>
      <c r="N4088" s="242"/>
      <c r="O4088" s="242"/>
      <c r="P4088" s="242"/>
      <c r="Q4088" s="242"/>
      <c r="R4088" s="539"/>
      <c r="S4088" s="540"/>
      <c r="T4088" s="543"/>
      <c r="U4088" s="673" t="b">
        <v>0</v>
      </c>
      <c r="Z4088" t="b">
        <v>0</v>
      </c>
      <c r="AA4088" t="b">
        <v>0</v>
      </c>
      <c r="AC4088" s="82"/>
      <c r="AD4088" t="str">
        <f t="shared" si="71"/>
        <v/>
      </c>
      <c r="AE4088" t="str">
        <f t="shared" si="72"/>
        <v/>
      </c>
    </row>
    <row r="4089">
      <c r="D4089" s="226"/>
      <c r="H4089" s="474"/>
      <c r="I4089" s="474"/>
      <c r="J4089" s="475"/>
      <c r="K4089" s="275"/>
      <c r="L4089" s="82"/>
      <c r="M4089" s="672"/>
      <c r="N4089" s="242"/>
      <c r="O4089" s="242"/>
      <c r="P4089" s="242"/>
      <c r="Q4089" s="242"/>
      <c r="R4089" s="539"/>
      <c r="S4089" s="540"/>
      <c r="T4089" s="543"/>
      <c r="U4089" s="673" t="b">
        <v>0</v>
      </c>
      <c r="Z4089" t="b">
        <v>0</v>
      </c>
      <c r="AA4089" t="b">
        <v>0</v>
      </c>
      <c r="AC4089" s="82"/>
      <c r="AD4089" t="str">
        <f t="shared" si="71"/>
        <v/>
      </c>
      <c r="AE4089" t="str">
        <f t="shared" si="72"/>
        <v/>
      </c>
    </row>
    <row r="4090">
      <c r="D4090" s="226"/>
      <c r="H4090" s="474"/>
      <c r="I4090" s="474"/>
      <c r="J4090" s="475"/>
      <c r="K4090" s="275"/>
      <c r="L4090" s="82"/>
      <c r="M4090" s="672"/>
      <c r="N4090" s="242"/>
      <c r="O4090" s="242"/>
      <c r="P4090" s="242"/>
      <c r="Q4090" s="242"/>
      <c r="R4090" s="539"/>
      <c r="S4090" s="540"/>
      <c r="T4090" s="543"/>
      <c r="U4090" s="673" t="b">
        <v>0</v>
      </c>
      <c r="Z4090" t="b">
        <v>0</v>
      </c>
      <c r="AA4090" t="b">
        <v>0</v>
      </c>
      <c r="AC4090" s="82"/>
      <c r="AD4090" t="str">
        <f t="shared" si="71"/>
        <v/>
      </c>
      <c r="AE4090" t="str">
        <f t="shared" si="72"/>
        <v/>
      </c>
    </row>
    <row r="4091">
      <c r="D4091" s="226"/>
      <c r="H4091" s="474"/>
      <c r="I4091" s="474"/>
      <c r="J4091" s="475"/>
      <c r="K4091" s="275"/>
      <c r="L4091" s="82"/>
      <c r="M4091" s="672"/>
      <c r="N4091" s="242"/>
      <c r="O4091" s="242"/>
      <c r="P4091" s="242"/>
      <c r="Q4091" s="242"/>
      <c r="R4091" s="539"/>
      <c r="S4091" s="540"/>
      <c r="T4091" s="543"/>
      <c r="U4091" s="673" t="b">
        <v>0</v>
      </c>
      <c r="Z4091" t="b">
        <v>0</v>
      </c>
      <c r="AA4091" t="b">
        <v>0</v>
      </c>
      <c r="AC4091" s="82"/>
      <c r="AD4091" t="str">
        <f t="shared" si="71"/>
        <v/>
      </c>
      <c r="AE4091" t="str">
        <f t="shared" si="72"/>
        <v/>
      </c>
    </row>
    <row r="4092">
      <c r="D4092" s="226"/>
      <c r="H4092" s="474"/>
      <c r="I4092" s="474"/>
      <c r="J4092" s="475"/>
      <c r="K4092" s="275"/>
      <c r="L4092" s="82"/>
      <c r="M4092" s="672"/>
      <c r="N4092" s="242"/>
      <c r="O4092" s="242"/>
      <c r="P4092" s="242"/>
      <c r="Q4092" s="242"/>
      <c r="R4092" s="539"/>
      <c r="S4092" s="540"/>
      <c r="T4092" s="543"/>
      <c r="U4092" s="673" t="b">
        <v>0</v>
      </c>
      <c r="Z4092" t="b">
        <v>0</v>
      </c>
      <c r="AA4092" t="b">
        <v>0</v>
      </c>
      <c r="AC4092" s="82"/>
      <c r="AD4092" t="str">
        <f t="shared" si="71"/>
        <v/>
      </c>
      <c r="AE4092" t="str">
        <f t="shared" si="72"/>
        <v/>
      </c>
    </row>
    <row r="4093">
      <c r="D4093" s="226"/>
      <c r="H4093" s="474"/>
      <c r="I4093" s="474"/>
      <c r="J4093" s="475"/>
      <c r="K4093" s="275"/>
      <c r="L4093" s="82"/>
      <c r="M4093" s="672"/>
      <c r="N4093" s="242"/>
      <c r="O4093" s="242"/>
      <c r="P4093" s="242"/>
      <c r="Q4093" s="242"/>
      <c r="R4093" s="539"/>
      <c r="S4093" s="540"/>
      <c r="T4093" s="543"/>
      <c r="U4093" s="673" t="b">
        <v>0</v>
      </c>
      <c r="Z4093" t="b">
        <v>0</v>
      </c>
      <c r="AA4093" t="b">
        <v>0</v>
      </c>
      <c r="AC4093" s="82"/>
      <c r="AD4093" t="str">
        <f t="shared" si="71"/>
        <v/>
      </c>
      <c r="AE4093" t="str">
        <f t="shared" si="72"/>
        <v/>
      </c>
    </row>
    <row r="4094">
      <c r="D4094" s="226"/>
      <c r="H4094" s="474"/>
      <c r="I4094" s="474"/>
      <c r="J4094" s="475"/>
      <c r="K4094" s="275"/>
      <c r="L4094" s="82"/>
      <c r="M4094" s="672"/>
      <c r="N4094" s="242"/>
      <c r="O4094" s="242"/>
      <c r="P4094" s="242"/>
      <c r="Q4094" s="242"/>
      <c r="R4094" s="539"/>
      <c r="S4094" s="540"/>
      <c r="T4094" s="543"/>
      <c r="U4094" s="673" t="b">
        <v>0</v>
      </c>
      <c r="Z4094" t="b">
        <v>0</v>
      </c>
      <c r="AA4094" t="b">
        <v>0</v>
      </c>
      <c r="AC4094" s="82"/>
      <c r="AD4094" t="str">
        <f t="shared" si="71"/>
        <v/>
      </c>
      <c r="AE4094" t="str">
        <f t="shared" si="72"/>
        <v/>
      </c>
    </row>
    <row r="4095">
      <c r="D4095" s="226"/>
      <c r="H4095" s="474"/>
      <c r="I4095" s="474"/>
      <c r="J4095" s="475"/>
      <c r="K4095" s="275"/>
      <c r="L4095" s="82"/>
      <c r="M4095" s="672"/>
      <c r="N4095" s="242"/>
      <c r="O4095" s="242"/>
      <c r="P4095" s="242"/>
      <c r="Q4095" s="242"/>
      <c r="R4095" s="539"/>
      <c r="S4095" s="540"/>
      <c r="T4095" s="543"/>
      <c r="U4095" s="673" t="b">
        <v>0</v>
      </c>
      <c r="Z4095" t="b">
        <v>0</v>
      </c>
      <c r="AA4095" t="b">
        <v>0</v>
      </c>
      <c r="AC4095" s="82"/>
      <c r="AD4095" t="str">
        <f t="shared" si="71"/>
        <v/>
      </c>
      <c r="AE4095" t="str">
        <f t="shared" si="72"/>
        <v/>
      </c>
    </row>
    <row r="4096">
      <c r="D4096" s="226"/>
      <c r="H4096" s="474"/>
      <c r="I4096" s="474"/>
      <c r="J4096" s="475"/>
      <c r="K4096" s="275"/>
      <c r="L4096" s="82"/>
      <c r="M4096" s="672"/>
      <c r="N4096" s="242"/>
      <c r="O4096" s="242"/>
      <c r="P4096" s="242"/>
      <c r="Q4096" s="242"/>
      <c r="R4096" s="539"/>
      <c r="S4096" s="540"/>
      <c r="T4096" s="543"/>
      <c r="U4096" s="673" t="b">
        <v>0</v>
      </c>
      <c r="Z4096" t="b">
        <v>0</v>
      </c>
      <c r="AA4096" t="b">
        <v>0</v>
      </c>
      <c r="AC4096" s="82"/>
      <c r="AD4096" t="str">
        <f t="shared" si="71"/>
        <v/>
      </c>
      <c r="AE4096" t="str">
        <f t="shared" si="72"/>
        <v/>
      </c>
    </row>
    <row r="4097">
      <c r="D4097" s="226"/>
      <c r="H4097" s="474"/>
      <c r="I4097" s="474"/>
      <c r="J4097" s="475"/>
      <c r="K4097" s="275"/>
      <c r="L4097" s="82"/>
      <c r="M4097" s="672"/>
      <c r="N4097" s="242"/>
      <c r="O4097" s="242"/>
      <c r="P4097" s="242"/>
      <c r="Q4097" s="242"/>
      <c r="R4097" s="539"/>
      <c r="S4097" s="540"/>
      <c r="T4097" s="543"/>
      <c r="U4097" s="673" t="b">
        <v>0</v>
      </c>
      <c r="Z4097" t="b">
        <v>0</v>
      </c>
      <c r="AA4097" t="b">
        <v>0</v>
      </c>
      <c r="AC4097" s="82"/>
      <c r="AD4097" t="str">
        <f t="shared" si="71"/>
        <v/>
      </c>
      <c r="AE4097" t="str">
        <f t="shared" si="72"/>
        <v/>
      </c>
    </row>
    <row r="4098">
      <c r="D4098" s="226"/>
      <c r="H4098" s="474"/>
      <c r="I4098" s="474"/>
      <c r="J4098" s="475"/>
      <c r="K4098" s="275"/>
      <c r="L4098" s="82"/>
      <c r="M4098" s="672"/>
      <c r="N4098" s="242"/>
      <c r="O4098" s="242"/>
      <c r="P4098" s="242"/>
      <c r="Q4098" s="242"/>
      <c r="R4098" s="539"/>
      <c r="S4098" s="540"/>
      <c r="T4098" s="543"/>
      <c r="U4098" s="673" t="b">
        <v>0</v>
      </c>
      <c r="Z4098" t="b">
        <v>0</v>
      </c>
      <c r="AA4098" t="b">
        <v>0</v>
      </c>
      <c r="AC4098" s="82"/>
      <c r="AD4098" t="str">
        <f t="shared" si="71"/>
        <v/>
      </c>
      <c r="AE4098" t="str">
        <f t="shared" si="72"/>
        <v/>
      </c>
    </row>
    <row r="4099">
      <c r="D4099" s="226"/>
      <c r="H4099" s="474"/>
      <c r="I4099" s="474"/>
      <c r="J4099" s="475"/>
      <c r="K4099" s="275"/>
      <c r="L4099" s="82"/>
      <c r="M4099" s="672"/>
      <c r="N4099" s="242"/>
      <c r="O4099" s="242"/>
      <c r="P4099" s="242"/>
      <c r="Q4099" s="242"/>
      <c r="R4099" s="539"/>
      <c r="S4099" s="540"/>
      <c r="T4099" s="543"/>
      <c r="U4099" s="673" t="b">
        <v>0</v>
      </c>
      <c r="Z4099" t="b">
        <v>0</v>
      </c>
      <c r="AA4099" t="b">
        <v>0</v>
      </c>
      <c r="AC4099" s="82"/>
      <c r="AD4099" t="str">
        <f t="shared" si="71"/>
        <v/>
      </c>
      <c r="AE4099" t="str">
        <f t="shared" si="72"/>
        <v/>
      </c>
    </row>
    <row r="4100">
      <c r="D4100" s="226"/>
      <c r="H4100" s="474"/>
      <c r="I4100" s="474"/>
      <c r="J4100" s="475"/>
      <c r="K4100" s="275"/>
      <c r="L4100" s="82"/>
      <c r="M4100" s="672"/>
      <c r="N4100" s="242"/>
      <c r="O4100" s="242"/>
      <c r="P4100" s="242"/>
      <c r="Q4100" s="242"/>
      <c r="R4100" s="539"/>
      <c r="S4100" s="540"/>
      <c r="T4100" s="543"/>
      <c r="U4100" s="673" t="b">
        <v>0</v>
      </c>
      <c r="Z4100" t="b">
        <v>0</v>
      </c>
      <c r="AA4100" t="b">
        <v>0</v>
      </c>
      <c r="AC4100" s="82"/>
      <c r="AD4100" t="str">
        <f t="shared" si="71"/>
        <v/>
      </c>
      <c r="AE4100" t="str">
        <f t="shared" si="72"/>
        <v/>
      </c>
    </row>
    <row r="4101">
      <c r="D4101" s="226"/>
      <c r="H4101" s="474"/>
      <c r="I4101" s="474"/>
      <c r="J4101" s="475"/>
      <c r="K4101" s="275"/>
      <c r="L4101" s="82"/>
      <c r="M4101" s="672"/>
      <c r="N4101" s="242"/>
      <c r="O4101" s="242"/>
      <c r="P4101" s="242"/>
      <c r="Q4101" s="242"/>
      <c r="R4101" s="539"/>
      <c r="S4101" s="540"/>
      <c r="T4101" s="543"/>
      <c r="U4101" s="673" t="b">
        <v>0</v>
      </c>
      <c r="Z4101" t="b">
        <v>0</v>
      </c>
      <c r="AA4101" t="b">
        <v>0</v>
      </c>
      <c r="AC4101" s="82"/>
      <c r="AD4101" t="str">
        <f t="shared" si="71"/>
        <v/>
      </c>
      <c r="AE4101" t="str">
        <f t="shared" si="72"/>
        <v/>
      </c>
    </row>
    <row r="4102">
      <c r="D4102" s="226"/>
      <c r="H4102" s="474"/>
      <c r="I4102" s="474"/>
      <c r="J4102" s="475"/>
      <c r="K4102" s="275"/>
      <c r="L4102" s="82"/>
      <c r="M4102" s="672"/>
      <c r="N4102" s="242"/>
      <c r="O4102" s="242"/>
      <c r="P4102" s="242"/>
      <c r="Q4102" s="242"/>
      <c r="R4102" s="539"/>
      <c r="S4102" s="540"/>
      <c r="T4102" s="543"/>
      <c r="U4102" s="673" t="b">
        <v>0</v>
      </c>
      <c r="Z4102" t="b">
        <v>0</v>
      </c>
      <c r="AA4102" t="b">
        <v>0</v>
      </c>
      <c r="AC4102" s="82"/>
      <c r="AD4102" t="str">
        <f t="shared" si="71"/>
        <v/>
      </c>
      <c r="AE4102" t="str">
        <f t="shared" si="72"/>
        <v/>
      </c>
    </row>
    <row r="4103">
      <c r="D4103" s="226"/>
      <c r="H4103" s="474"/>
      <c r="I4103" s="474"/>
      <c r="J4103" s="475"/>
      <c r="K4103" s="275"/>
      <c r="L4103" s="82"/>
      <c r="M4103" s="672"/>
      <c r="N4103" s="242"/>
      <c r="O4103" s="242"/>
      <c r="P4103" s="242"/>
      <c r="Q4103" s="242"/>
      <c r="R4103" s="539"/>
      <c r="S4103" s="540"/>
      <c r="T4103" s="543"/>
      <c r="U4103" s="673" t="b">
        <v>0</v>
      </c>
      <c r="Z4103" t="b">
        <v>0</v>
      </c>
      <c r="AA4103" t="b">
        <v>0</v>
      </c>
      <c r="AC4103" s="82"/>
      <c r="AD4103" t="str">
        <f t="shared" si="71"/>
        <v/>
      </c>
      <c r="AE4103" t="str">
        <f t="shared" si="72"/>
        <v/>
      </c>
    </row>
    <row r="4104">
      <c r="D4104" s="226"/>
      <c r="H4104" s="474"/>
      <c r="I4104" s="474"/>
      <c r="J4104" s="475"/>
      <c r="K4104" s="275"/>
      <c r="L4104" s="82"/>
      <c r="M4104" s="672"/>
      <c r="N4104" s="242"/>
      <c r="O4104" s="242"/>
      <c r="P4104" s="242"/>
      <c r="Q4104" s="242"/>
      <c r="R4104" s="539"/>
      <c r="S4104" s="540"/>
      <c r="T4104" s="543"/>
      <c r="U4104" s="673" t="b">
        <v>0</v>
      </c>
      <c r="Z4104" t="b">
        <v>0</v>
      </c>
      <c r="AA4104" t="b">
        <v>0</v>
      </c>
      <c r="AC4104" s="82"/>
      <c r="AD4104" t="str">
        <f t="shared" si="71"/>
        <v/>
      </c>
      <c r="AE4104" t="str">
        <f t="shared" si="72"/>
        <v/>
      </c>
    </row>
    <row r="4105">
      <c r="D4105" s="226"/>
      <c r="H4105" s="474"/>
      <c r="I4105" s="474"/>
      <c r="J4105" s="475"/>
      <c r="K4105" s="275"/>
      <c r="L4105" s="82"/>
      <c r="M4105" s="672"/>
      <c r="N4105" s="242"/>
      <c r="O4105" s="242"/>
      <c r="P4105" s="242"/>
      <c r="Q4105" s="242"/>
      <c r="R4105" s="539"/>
      <c r="S4105" s="540"/>
      <c r="T4105" s="543"/>
      <c r="U4105" s="673" t="b">
        <v>0</v>
      </c>
      <c r="Z4105" t="b">
        <v>0</v>
      </c>
      <c r="AA4105" t="b">
        <v>0</v>
      </c>
      <c r="AC4105" s="82"/>
      <c r="AD4105" t="str">
        <f t="shared" si="71"/>
        <v/>
      </c>
      <c r="AE4105" t="str">
        <f t="shared" si="72"/>
        <v/>
      </c>
    </row>
    <row r="4106">
      <c r="D4106" s="226"/>
      <c r="H4106" s="474"/>
      <c r="I4106" s="474"/>
      <c r="J4106" s="475"/>
      <c r="K4106" s="275"/>
      <c r="L4106" s="82"/>
      <c r="M4106" s="672"/>
      <c r="N4106" s="242"/>
      <c r="O4106" s="242"/>
      <c r="P4106" s="242"/>
      <c r="Q4106" s="242"/>
      <c r="R4106" s="539"/>
      <c r="S4106" s="540"/>
      <c r="T4106" s="543"/>
      <c r="U4106" s="673" t="b">
        <v>0</v>
      </c>
      <c r="Z4106" t="b">
        <v>0</v>
      </c>
      <c r="AA4106" t="b">
        <v>0</v>
      </c>
      <c r="AC4106" s="82"/>
      <c r="AD4106" t="str">
        <f t="shared" si="71"/>
        <v/>
      </c>
      <c r="AE4106" t="str">
        <f t="shared" si="72"/>
        <v/>
      </c>
    </row>
    <row r="4107">
      <c r="D4107" s="226"/>
      <c r="H4107" s="474"/>
      <c r="I4107" s="474"/>
      <c r="J4107" s="475"/>
      <c r="K4107" s="275"/>
      <c r="L4107" s="82"/>
      <c r="M4107" s="672"/>
      <c r="N4107" s="242"/>
      <c r="O4107" s="242"/>
      <c r="P4107" s="242"/>
      <c r="Q4107" s="242"/>
      <c r="R4107" s="539"/>
      <c r="S4107" s="540"/>
      <c r="T4107" s="543"/>
      <c r="U4107" s="673" t="b">
        <v>0</v>
      </c>
      <c r="Z4107" t="b">
        <v>0</v>
      </c>
      <c r="AA4107" t="b">
        <v>0</v>
      </c>
      <c r="AC4107" s="82"/>
      <c r="AD4107" t="str">
        <f t="shared" si="71"/>
        <v/>
      </c>
      <c r="AE4107" t="str">
        <f t="shared" si="72"/>
        <v/>
      </c>
    </row>
    <row r="4108">
      <c r="D4108" s="226"/>
      <c r="H4108" s="474"/>
      <c r="I4108" s="474"/>
      <c r="J4108" s="475"/>
      <c r="K4108" s="275"/>
      <c r="L4108" s="82"/>
      <c r="M4108" s="672"/>
      <c r="N4108" s="242"/>
      <c r="O4108" s="242"/>
      <c r="P4108" s="242"/>
      <c r="Q4108" s="242"/>
      <c r="R4108" s="539"/>
      <c r="S4108" s="540"/>
      <c r="T4108" s="543"/>
      <c r="U4108" s="673" t="b">
        <v>0</v>
      </c>
      <c r="Z4108" t="b">
        <v>0</v>
      </c>
      <c r="AA4108" t="b">
        <v>0</v>
      </c>
      <c r="AC4108" s="82"/>
      <c r="AD4108" t="str">
        <f t="shared" si="71"/>
        <v/>
      </c>
      <c r="AE4108" t="str">
        <f t="shared" si="72"/>
        <v/>
      </c>
    </row>
    <row r="4109">
      <c r="D4109" s="226"/>
      <c r="H4109" s="474"/>
      <c r="I4109" s="474"/>
      <c r="J4109" s="475"/>
      <c r="K4109" s="275"/>
      <c r="L4109" s="82"/>
      <c r="M4109" s="672"/>
      <c r="N4109" s="242"/>
      <c r="O4109" s="242"/>
      <c r="P4109" s="242"/>
      <c r="Q4109" s="242"/>
      <c r="R4109" s="539"/>
      <c r="S4109" s="540"/>
      <c r="T4109" s="543"/>
      <c r="U4109" s="673" t="b">
        <v>0</v>
      </c>
      <c r="Z4109" t="b">
        <v>0</v>
      </c>
      <c r="AA4109" t="b">
        <v>0</v>
      </c>
      <c r="AC4109" s="82"/>
      <c r="AD4109" t="str">
        <f t="shared" si="71"/>
        <v/>
      </c>
      <c r="AE4109" t="str">
        <f t="shared" si="72"/>
        <v/>
      </c>
    </row>
    <row r="4110">
      <c r="D4110" s="226"/>
      <c r="H4110" s="474"/>
      <c r="I4110" s="474"/>
      <c r="J4110" s="475"/>
      <c r="K4110" s="275"/>
      <c r="L4110" s="82"/>
      <c r="M4110" s="672"/>
      <c r="N4110" s="242"/>
      <c r="O4110" s="242"/>
      <c r="P4110" s="242"/>
      <c r="Q4110" s="242"/>
      <c r="R4110" s="539"/>
      <c r="S4110" s="540"/>
      <c r="T4110" s="543"/>
      <c r="U4110" s="673" t="b">
        <v>0</v>
      </c>
      <c r="Z4110" t="b">
        <v>0</v>
      </c>
      <c r="AA4110" t="b">
        <v>0</v>
      </c>
      <c r="AC4110" s="82"/>
      <c r="AD4110" t="str">
        <f t="shared" si="71"/>
        <v/>
      </c>
      <c r="AE4110" t="str">
        <f t="shared" si="72"/>
        <v/>
      </c>
    </row>
    <row r="4111">
      <c r="D4111" s="226"/>
      <c r="H4111" s="474"/>
      <c r="I4111" s="474"/>
      <c r="J4111" s="475"/>
      <c r="K4111" s="275"/>
      <c r="L4111" s="82"/>
      <c r="M4111" s="672"/>
      <c r="N4111" s="242"/>
      <c r="O4111" s="242"/>
      <c r="P4111" s="242"/>
      <c r="Q4111" s="242"/>
      <c r="R4111" s="539"/>
      <c r="S4111" s="540"/>
      <c r="T4111" s="543"/>
      <c r="U4111" s="673" t="b">
        <v>0</v>
      </c>
      <c r="Z4111" t="b">
        <v>0</v>
      </c>
      <c r="AA4111" t="b">
        <v>0</v>
      </c>
      <c r="AC4111" s="82"/>
      <c r="AD4111" t="str">
        <f t="shared" si="71"/>
        <v/>
      </c>
      <c r="AE4111" t="str">
        <f t="shared" si="72"/>
        <v/>
      </c>
    </row>
    <row r="4112">
      <c r="D4112" s="226"/>
      <c r="H4112" s="474"/>
      <c r="I4112" s="474"/>
      <c r="J4112" s="475"/>
      <c r="K4112" s="275"/>
      <c r="L4112" s="82"/>
      <c r="M4112" s="672"/>
      <c r="N4112" s="242"/>
      <c r="O4112" s="242"/>
      <c r="P4112" s="242"/>
      <c r="Q4112" s="242"/>
      <c r="R4112" s="539"/>
      <c r="S4112" s="540"/>
      <c r="T4112" s="543"/>
      <c r="U4112" s="673" t="b">
        <v>0</v>
      </c>
      <c r="Z4112" t="b">
        <v>0</v>
      </c>
      <c r="AA4112" t="b">
        <v>0</v>
      </c>
      <c r="AC4112" s="82"/>
      <c r="AD4112" t="str">
        <f t="shared" si="71"/>
        <v/>
      </c>
      <c r="AE4112" t="str">
        <f t="shared" si="72"/>
        <v/>
      </c>
    </row>
    <row r="4113">
      <c r="D4113" s="226"/>
      <c r="H4113" s="474"/>
      <c r="I4113" s="474"/>
      <c r="J4113" s="475"/>
      <c r="K4113" s="275"/>
      <c r="L4113" s="82"/>
      <c r="M4113" s="672"/>
      <c r="N4113" s="242"/>
      <c r="O4113" s="242"/>
      <c r="P4113" s="242"/>
      <c r="Q4113" s="242"/>
      <c r="R4113" s="539"/>
      <c r="S4113" s="540"/>
      <c r="T4113" s="543"/>
      <c r="U4113" s="673" t="b">
        <v>0</v>
      </c>
      <c r="Z4113" t="b">
        <v>0</v>
      </c>
      <c r="AA4113" t="b">
        <v>0</v>
      </c>
      <c r="AC4113" s="82"/>
      <c r="AD4113" t="str">
        <f t="shared" si="71"/>
        <v/>
      </c>
      <c r="AE4113" t="str">
        <f t="shared" si="72"/>
        <v/>
      </c>
    </row>
    <row r="4114">
      <c r="D4114" s="226"/>
      <c r="H4114" s="474"/>
      <c r="I4114" s="474"/>
      <c r="J4114" s="475"/>
      <c r="K4114" s="275"/>
      <c r="L4114" s="82"/>
      <c r="M4114" s="672"/>
      <c r="N4114" s="242"/>
      <c r="O4114" s="242"/>
      <c r="P4114" s="242"/>
      <c r="Q4114" s="242"/>
      <c r="R4114" s="539"/>
      <c r="S4114" s="540"/>
      <c r="T4114" s="543"/>
      <c r="U4114" s="673" t="b">
        <v>0</v>
      </c>
      <c r="Z4114" t="b">
        <v>0</v>
      </c>
      <c r="AA4114" t="b">
        <v>0</v>
      </c>
      <c r="AC4114" s="82"/>
      <c r="AD4114" t="str">
        <f t="shared" si="71"/>
        <v/>
      </c>
      <c r="AE4114" t="str">
        <f t="shared" si="72"/>
        <v/>
      </c>
    </row>
    <row r="4115">
      <c r="D4115" s="226"/>
      <c r="H4115" s="474"/>
      <c r="I4115" s="474"/>
      <c r="J4115" s="475"/>
      <c r="K4115" s="275"/>
      <c r="L4115" s="82"/>
      <c r="M4115" s="672"/>
      <c r="N4115" s="242"/>
      <c r="O4115" s="242"/>
      <c r="P4115" s="242"/>
      <c r="Q4115" s="242"/>
      <c r="R4115" s="539"/>
      <c r="S4115" s="540"/>
      <c r="T4115" s="543"/>
      <c r="U4115" s="673" t="b">
        <v>0</v>
      </c>
      <c r="Z4115" t="b">
        <v>0</v>
      </c>
      <c r="AA4115" t="b">
        <v>0</v>
      </c>
      <c r="AC4115" s="82"/>
      <c r="AD4115" t="str">
        <f t="shared" si="71"/>
        <v/>
      </c>
      <c r="AE4115" t="str">
        <f t="shared" si="72"/>
        <v/>
      </c>
    </row>
    <row r="4116">
      <c r="D4116" s="226"/>
      <c r="H4116" s="474"/>
      <c r="I4116" s="474"/>
      <c r="J4116" s="475"/>
      <c r="K4116" s="275"/>
      <c r="L4116" s="82"/>
      <c r="M4116" s="672"/>
      <c r="N4116" s="242"/>
      <c r="O4116" s="242"/>
      <c r="P4116" s="242"/>
      <c r="Q4116" s="242"/>
      <c r="R4116" s="539"/>
      <c r="S4116" s="540"/>
      <c r="T4116" s="543"/>
      <c r="U4116" s="673" t="b">
        <v>0</v>
      </c>
      <c r="Z4116" t="b">
        <v>0</v>
      </c>
      <c r="AA4116" t="b">
        <v>0</v>
      </c>
      <c r="AC4116" s="82"/>
      <c r="AD4116" t="str">
        <f t="shared" si="71"/>
        <v/>
      </c>
      <c r="AE4116" t="str">
        <f t="shared" si="72"/>
        <v/>
      </c>
    </row>
    <row r="4117">
      <c r="D4117" s="226"/>
      <c r="H4117" s="474"/>
      <c r="I4117" s="474"/>
      <c r="J4117" s="475"/>
      <c r="K4117" s="275"/>
      <c r="L4117" s="82"/>
      <c r="M4117" s="672"/>
      <c r="N4117" s="242"/>
      <c r="O4117" s="242"/>
      <c r="P4117" s="242"/>
      <c r="Q4117" s="242"/>
      <c r="R4117" s="539"/>
      <c r="S4117" s="540"/>
      <c r="T4117" s="543"/>
      <c r="U4117" s="673" t="b">
        <v>0</v>
      </c>
      <c r="Z4117" t="b">
        <v>0</v>
      </c>
      <c r="AA4117" t="b">
        <v>0</v>
      </c>
      <c r="AC4117" s="82"/>
      <c r="AD4117" t="str">
        <f t="shared" si="71"/>
        <v/>
      </c>
      <c r="AE4117" t="str">
        <f t="shared" si="72"/>
        <v/>
      </c>
    </row>
    <row r="4118">
      <c r="D4118" s="226"/>
      <c r="H4118" s="474"/>
      <c r="I4118" s="474"/>
      <c r="J4118" s="475"/>
      <c r="K4118" s="275"/>
      <c r="L4118" s="82"/>
      <c r="M4118" s="672"/>
      <c r="N4118" s="242"/>
      <c r="O4118" s="242"/>
      <c r="P4118" s="242"/>
      <c r="Q4118" s="242"/>
      <c r="R4118" s="539"/>
      <c r="S4118" s="540"/>
      <c r="T4118" s="543"/>
      <c r="U4118" s="673" t="b">
        <v>0</v>
      </c>
      <c r="Z4118" t="b">
        <v>0</v>
      </c>
      <c r="AA4118" t="b">
        <v>0</v>
      </c>
      <c r="AC4118" s="82"/>
      <c r="AD4118" t="str">
        <f t="shared" si="71"/>
        <v/>
      </c>
      <c r="AE4118" t="str">
        <f t="shared" si="72"/>
        <v/>
      </c>
    </row>
    <row r="4119">
      <c r="D4119" s="226"/>
      <c r="H4119" s="474"/>
      <c r="I4119" s="474"/>
      <c r="J4119" s="475"/>
      <c r="K4119" s="275"/>
      <c r="L4119" s="82"/>
      <c r="M4119" s="672"/>
      <c r="N4119" s="242"/>
      <c r="O4119" s="242"/>
      <c r="P4119" s="242"/>
      <c r="Q4119" s="242"/>
      <c r="R4119" s="539"/>
      <c r="S4119" s="540"/>
      <c r="T4119" s="543"/>
      <c r="U4119" s="673" t="b">
        <v>0</v>
      </c>
      <c r="Z4119" t="b">
        <v>0</v>
      </c>
      <c r="AA4119" t="b">
        <v>0</v>
      </c>
      <c r="AC4119" s="82"/>
      <c r="AD4119" t="str">
        <f t="shared" si="71"/>
        <v/>
      </c>
      <c r="AE4119" t="str">
        <f t="shared" si="72"/>
        <v/>
      </c>
    </row>
    <row r="4120">
      <c r="D4120" s="226"/>
      <c r="H4120" s="474"/>
      <c r="I4120" s="474"/>
      <c r="J4120" s="475"/>
      <c r="K4120" s="275"/>
      <c r="L4120" s="82"/>
      <c r="M4120" s="672"/>
      <c r="N4120" s="242"/>
      <c r="O4120" s="242"/>
      <c r="P4120" s="242"/>
      <c r="Q4120" s="242"/>
      <c r="R4120" s="539"/>
      <c r="S4120" s="540"/>
      <c r="T4120" s="543"/>
      <c r="U4120" s="673" t="b">
        <v>0</v>
      </c>
      <c r="Z4120" t="b">
        <v>0</v>
      </c>
      <c r="AA4120" t="b">
        <v>0</v>
      </c>
      <c r="AC4120" s="82"/>
      <c r="AD4120" t="str">
        <f t="shared" si="71"/>
        <v/>
      </c>
      <c r="AE4120" t="str">
        <f t="shared" si="72"/>
        <v/>
      </c>
    </row>
    <row r="4121">
      <c r="D4121" s="226"/>
      <c r="H4121" s="474"/>
      <c r="I4121" s="474"/>
      <c r="J4121" s="475"/>
      <c r="K4121" s="275"/>
      <c r="L4121" s="82"/>
      <c r="M4121" s="672"/>
      <c r="N4121" s="242"/>
      <c r="O4121" s="242"/>
      <c r="P4121" s="242"/>
      <c r="Q4121" s="242"/>
      <c r="R4121" s="539"/>
      <c r="S4121" s="540"/>
      <c r="T4121" s="543"/>
      <c r="U4121" s="673" t="b">
        <v>0</v>
      </c>
      <c r="Z4121" t="b">
        <v>0</v>
      </c>
      <c r="AA4121" t="b">
        <v>0</v>
      </c>
      <c r="AC4121" s="82"/>
      <c r="AD4121" t="str">
        <f t="shared" si="71"/>
        <v/>
      </c>
      <c r="AE4121" t="str">
        <f t="shared" si="72"/>
        <v/>
      </c>
    </row>
    <row r="4122">
      <c r="D4122" s="226"/>
      <c r="H4122" s="474"/>
      <c r="I4122" s="474"/>
      <c r="J4122" s="475"/>
      <c r="K4122" s="275"/>
      <c r="L4122" s="82"/>
      <c r="M4122" s="672"/>
      <c r="N4122" s="242"/>
      <c r="O4122" s="242"/>
      <c r="P4122" s="242"/>
      <c r="Q4122" s="242"/>
      <c r="R4122" s="539"/>
      <c r="S4122" s="540"/>
      <c r="T4122" s="543"/>
      <c r="U4122" s="673" t="b">
        <v>0</v>
      </c>
      <c r="Z4122" t="b">
        <v>0</v>
      </c>
      <c r="AA4122" t="b">
        <v>0</v>
      </c>
      <c r="AC4122" s="82"/>
      <c r="AD4122" t="str">
        <f t="shared" si="71"/>
        <v/>
      </c>
      <c r="AE4122" t="str">
        <f t="shared" si="72"/>
        <v/>
      </c>
    </row>
    <row r="4123">
      <c r="D4123" s="226"/>
      <c r="H4123" s="474"/>
      <c r="I4123" s="474"/>
      <c r="J4123" s="475"/>
      <c r="K4123" s="275"/>
      <c r="L4123" s="82"/>
      <c r="M4123" s="672"/>
      <c r="N4123" s="242"/>
      <c r="O4123" s="242"/>
      <c r="P4123" s="242"/>
      <c r="Q4123" s="242"/>
      <c r="R4123" s="539"/>
      <c r="S4123" s="540"/>
      <c r="T4123" s="543"/>
      <c r="U4123" s="673" t="b">
        <v>0</v>
      </c>
      <c r="Z4123" t="b">
        <v>0</v>
      </c>
      <c r="AA4123" t="b">
        <v>0</v>
      </c>
      <c r="AC4123" s="82"/>
      <c r="AD4123" t="str">
        <f t="shared" si="71"/>
        <v/>
      </c>
      <c r="AE4123" t="str">
        <f t="shared" si="72"/>
        <v/>
      </c>
    </row>
    <row r="4124">
      <c r="D4124" s="226"/>
      <c r="H4124" s="474"/>
      <c r="I4124" s="474"/>
      <c r="J4124" s="475"/>
      <c r="K4124" s="275"/>
      <c r="L4124" s="82"/>
      <c r="M4124" s="672"/>
      <c r="N4124" s="242"/>
      <c r="O4124" s="242"/>
      <c r="P4124" s="242"/>
      <c r="Q4124" s="242"/>
      <c r="R4124" s="539"/>
      <c r="S4124" s="540"/>
      <c r="T4124" s="543"/>
      <c r="U4124" s="673" t="b">
        <v>0</v>
      </c>
      <c r="Z4124" t="b">
        <v>0</v>
      </c>
      <c r="AA4124" t="b">
        <v>0</v>
      </c>
      <c r="AC4124" s="82"/>
      <c r="AD4124" t="str">
        <f t="shared" si="71"/>
        <v/>
      </c>
      <c r="AE4124" t="str">
        <f t="shared" si="72"/>
        <v/>
      </c>
    </row>
    <row r="4125">
      <c r="D4125" s="226"/>
      <c r="H4125" s="474"/>
      <c r="I4125" s="474"/>
      <c r="J4125" s="475"/>
      <c r="K4125" s="275"/>
      <c r="L4125" s="82"/>
      <c r="M4125" s="672"/>
      <c r="N4125" s="242"/>
      <c r="O4125" s="242"/>
      <c r="P4125" s="242"/>
      <c r="Q4125" s="242"/>
      <c r="R4125" s="539"/>
      <c r="S4125" s="540"/>
      <c r="T4125" s="543"/>
      <c r="U4125" s="673" t="b">
        <v>0</v>
      </c>
      <c r="Z4125" t="b">
        <v>0</v>
      </c>
      <c r="AA4125" t="b">
        <v>0</v>
      </c>
      <c r="AC4125" s="82"/>
      <c r="AD4125" t="str">
        <f t="shared" si="71"/>
        <v/>
      </c>
      <c r="AE4125" t="str">
        <f t="shared" si="72"/>
        <v/>
      </c>
    </row>
    <row r="4126">
      <c r="D4126" s="226"/>
      <c r="H4126" s="474"/>
      <c r="I4126" s="474"/>
      <c r="J4126" s="475"/>
      <c r="K4126" s="275"/>
      <c r="L4126" s="82"/>
      <c r="M4126" s="672"/>
      <c r="N4126" s="242"/>
      <c r="O4126" s="242"/>
      <c r="P4126" s="242"/>
      <c r="Q4126" s="242"/>
      <c r="R4126" s="539"/>
      <c r="S4126" s="540"/>
      <c r="T4126" s="543"/>
      <c r="U4126" s="673" t="b">
        <v>0</v>
      </c>
      <c r="Z4126" t="b">
        <v>0</v>
      </c>
      <c r="AA4126" t="b">
        <v>0</v>
      </c>
      <c r="AC4126" s="82"/>
      <c r="AD4126" t="str">
        <f t="shared" si="71"/>
        <v/>
      </c>
      <c r="AE4126" t="str">
        <f t="shared" si="72"/>
        <v/>
      </c>
    </row>
    <row r="4127">
      <c r="D4127" s="226"/>
      <c r="H4127" s="474"/>
      <c r="I4127" s="474"/>
      <c r="J4127" s="475"/>
      <c r="K4127" s="275"/>
      <c r="L4127" s="82"/>
      <c r="M4127" s="672"/>
      <c r="N4127" s="242"/>
      <c r="O4127" s="242"/>
      <c r="P4127" s="242"/>
      <c r="Q4127" s="242"/>
      <c r="R4127" s="539"/>
      <c r="S4127" s="540"/>
      <c r="T4127" s="543"/>
      <c r="U4127" s="673" t="b">
        <v>0</v>
      </c>
      <c r="Z4127" t="b">
        <v>0</v>
      </c>
      <c r="AA4127" t="b">
        <v>0</v>
      </c>
      <c r="AC4127" s="82"/>
      <c r="AD4127" t="str">
        <f t="shared" si="71"/>
        <v/>
      </c>
      <c r="AE4127" t="str">
        <f t="shared" si="72"/>
        <v/>
      </c>
    </row>
    <row r="4128">
      <c r="D4128" s="226"/>
      <c r="H4128" s="474"/>
      <c r="I4128" s="474"/>
      <c r="J4128" s="475"/>
      <c r="K4128" s="275"/>
      <c r="L4128" s="82"/>
      <c r="M4128" s="672"/>
      <c r="N4128" s="242"/>
      <c r="O4128" s="242"/>
      <c r="P4128" s="242"/>
      <c r="Q4128" s="242"/>
      <c r="R4128" s="539"/>
      <c r="S4128" s="540"/>
      <c r="T4128" s="543"/>
      <c r="U4128" s="673" t="b">
        <v>0</v>
      </c>
      <c r="Z4128" t="b">
        <v>0</v>
      </c>
      <c r="AA4128" t="b">
        <v>0</v>
      </c>
      <c r="AC4128" s="82"/>
      <c r="AD4128" t="str">
        <f t="shared" si="71"/>
        <v/>
      </c>
      <c r="AE4128" t="str">
        <f t="shared" si="72"/>
        <v/>
      </c>
    </row>
    <row r="4129">
      <c r="D4129" s="226"/>
      <c r="H4129" s="474"/>
      <c r="I4129" s="474"/>
      <c r="J4129" s="475"/>
      <c r="K4129" s="275"/>
      <c r="L4129" s="82"/>
      <c r="M4129" s="672"/>
      <c r="N4129" s="242"/>
      <c r="O4129" s="242"/>
      <c r="P4129" s="242"/>
      <c r="Q4129" s="242"/>
      <c r="R4129" s="539"/>
      <c r="S4129" s="540"/>
      <c r="T4129" s="543"/>
      <c r="U4129" s="673" t="b">
        <v>0</v>
      </c>
      <c r="Z4129" t="b">
        <v>0</v>
      </c>
      <c r="AA4129" t="b">
        <v>0</v>
      </c>
      <c r="AC4129" s="82"/>
      <c r="AD4129" t="str">
        <f t="shared" si="71"/>
        <v/>
      </c>
      <c r="AE4129" t="str">
        <f t="shared" si="72"/>
        <v/>
      </c>
    </row>
    <row r="4130">
      <c r="D4130" s="226"/>
      <c r="H4130" s="474"/>
      <c r="I4130" s="474"/>
      <c r="J4130" s="475"/>
      <c r="K4130" s="275"/>
      <c r="L4130" s="82"/>
      <c r="M4130" s="672"/>
      <c r="N4130" s="242"/>
      <c r="O4130" s="242"/>
      <c r="P4130" s="242"/>
      <c r="Q4130" s="242"/>
      <c r="R4130" s="539"/>
      <c r="S4130" s="540"/>
      <c r="T4130" s="543"/>
      <c r="U4130" s="673" t="b">
        <v>0</v>
      </c>
      <c r="Z4130" t="b">
        <v>0</v>
      </c>
      <c r="AA4130" t="b">
        <v>0</v>
      </c>
      <c r="AC4130" s="82"/>
      <c r="AD4130" t="str">
        <f t="shared" si="71"/>
        <v/>
      </c>
      <c r="AE4130" t="str">
        <f t="shared" si="72"/>
        <v/>
      </c>
    </row>
    <row r="4131">
      <c r="D4131" s="226"/>
      <c r="H4131" s="474"/>
      <c r="I4131" s="474"/>
      <c r="J4131" s="475"/>
      <c r="K4131" s="275"/>
      <c r="L4131" s="82"/>
      <c r="M4131" s="672"/>
      <c r="N4131" s="242"/>
      <c r="O4131" s="242"/>
      <c r="P4131" s="242"/>
      <c r="Q4131" s="242"/>
      <c r="R4131" s="539"/>
      <c r="S4131" s="540"/>
      <c r="T4131" s="543"/>
      <c r="U4131" s="673" t="b">
        <v>0</v>
      </c>
      <c r="Z4131" t="b">
        <v>0</v>
      </c>
      <c r="AA4131" t="b">
        <v>0</v>
      </c>
      <c r="AC4131" s="82"/>
      <c r="AD4131" t="str">
        <f t="shared" si="71"/>
        <v/>
      </c>
      <c r="AE4131" t="str">
        <f t="shared" si="72"/>
        <v/>
      </c>
    </row>
    <row r="4132">
      <c r="D4132" s="226"/>
      <c r="H4132" s="474"/>
      <c r="I4132" s="474"/>
      <c r="J4132" s="475"/>
      <c r="K4132" s="275"/>
      <c r="L4132" s="82"/>
      <c r="M4132" s="672"/>
      <c r="N4132" s="242"/>
      <c r="O4132" s="242"/>
      <c r="P4132" s="242"/>
      <c r="Q4132" s="242"/>
      <c r="R4132" s="539"/>
      <c r="S4132" s="540"/>
      <c r="T4132" s="543"/>
      <c r="U4132" s="673" t="b">
        <v>0</v>
      </c>
      <c r="Z4132" t="b">
        <v>0</v>
      </c>
      <c r="AA4132" t="b">
        <v>0</v>
      </c>
      <c r="AC4132" s="82"/>
      <c r="AD4132" t="str">
        <f t="shared" si="71"/>
        <v/>
      </c>
      <c r="AE4132" t="str">
        <f t="shared" si="72"/>
        <v/>
      </c>
    </row>
    <row r="4133">
      <c r="D4133" s="226"/>
      <c r="H4133" s="474"/>
      <c r="I4133" s="474"/>
      <c r="J4133" s="475"/>
      <c r="K4133" s="275"/>
      <c r="L4133" s="82"/>
      <c r="M4133" s="672"/>
      <c r="N4133" s="242"/>
      <c r="O4133" s="242"/>
      <c r="P4133" s="242"/>
      <c r="Q4133" s="242"/>
      <c r="R4133" s="539"/>
      <c r="S4133" s="540"/>
      <c r="T4133" s="543"/>
      <c r="U4133" s="673" t="b">
        <v>0</v>
      </c>
      <c r="Z4133" t="b">
        <v>0</v>
      </c>
      <c r="AA4133" t="b">
        <v>0</v>
      </c>
      <c r="AC4133" s="82"/>
      <c r="AD4133" t="str">
        <f t="shared" si="71"/>
        <v/>
      </c>
      <c r="AE4133" t="str">
        <f t="shared" si="72"/>
        <v/>
      </c>
    </row>
    <row r="4134">
      <c r="D4134" s="226"/>
      <c r="H4134" s="474"/>
      <c r="I4134" s="474"/>
      <c r="J4134" s="475"/>
      <c r="K4134" s="275"/>
      <c r="L4134" s="82"/>
      <c r="M4134" s="672"/>
      <c r="N4134" s="242"/>
      <c r="O4134" s="242"/>
      <c r="P4134" s="242"/>
      <c r="Q4134" s="242"/>
      <c r="R4134" s="539"/>
      <c r="S4134" s="540"/>
      <c r="T4134" s="543"/>
      <c r="U4134" s="673" t="b">
        <v>0</v>
      </c>
      <c r="Z4134" t="b">
        <v>0</v>
      </c>
      <c r="AA4134" t="b">
        <v>0</v>
      </c>
      <c r="AC4134" s="82"/>
      <c r="AD4134" t="str">
        <f t="shared" si="71"/>
        <v/>
      </c>
      <c r="AE4134" t="str">
        <f t="shared" si="72"/>
        <v/>
      </c>
    </row>
    <row r="4135">
      <c r="D4135" s="226"/>
      <c r="H4135" s="474"/>
      <c r="I4135" s="474"/>
      <c r="J4135" s="475"/>
      <c r="K4135" s="275"/>
      <c r="L4135" s="82"/>
      <c r="M4135" s="672"/>
      <c r="N4135" s="242"/>
      <c r="O4135" s="242"/>
      <c r="P4135" s="242"/>
      <c r="Q4135" s="242"/>
      <c r="R4135" s="539"/>
      <c r="S4135" s="540"/>
      <c r="T4135" s="543"/>
      <c r="U4135" s="673" t="b">
        <v>0</v>
      </c>
      <c r="Z4135" t="b">
        <v>0</v>
      </c>
      <c r="AA4135" t="b">
        <v>0</v>
      </c>
      <c r="AC4135" s="82"/>
      <c r="AD4135" t="str">
        <f t="shared" si="71"/>
        <v/>
      </c>
      <c r="AE4135" t="str">
        <f t="shared" si="72"/>
        <v/>
      </c>
    </row>
    <row r="4136">
      <c r="D4136" s="226"/>
      <c r="H4136" s="474"/>
      <c r="I4136" s="474"/>
      <c r="J4136" s="475"/>
      <c r="K4136" s="275"/>
      <c r="L4136" s="82"/>
      <c r="M4136" s="672"/>
      <c r="N4136" s="242"/>
      <c r="O4136" s="242"/>
      <c r="P4136" s="242"/>
      <c r="Q4136" s="242"/>
      <c r="R4136" s="539"/>
      <c r="S4136" s="540"/>
      <c r="T4136" s="543"/>
      <c r="U4136" s="673" t="b">
        <v>0</v>
      </c>
      <c r="Z4136" t="b">
        <v>0</v>
      </c>
      <c r="AA4136" t="b">
        <v>0</v>
      </c>
      <c r="AC4136" s="82"/>
      <c r="AD4136" t="str">
        <f t="shared" si="71"/>
        <v/>
      </c>
      <c r="AE4136" t="str">
        <f t="shared" si="72"/>
        <v/>
      </c>
    </row>
    <row r="4137">
      <c r="D4137" s="226"/>
      <c r="H4137" s="474"/>
      <c r="I4137" s="474"/>
      <c r="J4137" s="475"/>
      <c r="K4137" s="275"/>
      <c r="L4137" s="82"/>
      <c r="M4137" s="672"/>
      <c r="N4137" s="242"/>
      <c r="O4137" s="242"/>
      <c r="P4137" s="242"/>
      <c r="Q4137" s="242"/>
      <c r="R4137" s="539"/>
      <c r="S4137" s="540"/>
      <c r="T4137" s="543"/>
      <c r="U4137" s="673" t="b">
        <v>0</v>
      </c>
      <c r="Z4137" t="b">
        <v>0</v>
      </c>
      <c r="AA4137" t="b">
        <v>0</v>
      </c>
      <c r="AC4137" s="82"/>
      <c r="AD4137" t="str">
        <f t="shared" si="71"/>
        <v/>
      </c>
      <c r="AE4137" t="str">
        <f t="shared" si="72"/>
        <v/>
      </c>
    </row>
    <row r="4138">
      <c r="D4138" s="226"/>
      <c r="H4138" s="474"/>
      <c r="I4138" s="474"/>
      <c r="J4138" s="475"/>
      <c r="K4138" s="275"/>
      <c r="L4138" s="82"/>
      <c r="M4138" s="672"/>
      <c r="N4138" s="242"/>
      <c r="O4138" s="242"/>
      <c r="P4138" s="242"/>
      <c r="Q4138" s="242"/>
      <c r="R4138" s="539"/>
      <c r="S4138" s="540"/>
      <c r="T4138" s="543"/>
      <c r="U4138" s="673" t="b">
        <v>0</v>
      </c>
      <c r="Z4138" t="b">
        <v>0</v>
      </c>
      <c r="AA4138" t="b">
        <v>0</v>
      </c>
      <c r="AC4138" s="82"/>
      <c r="AD4138" t="str">
        <f t="shared" si="71"/>
        <v/>
      </c>
      <c r="AE4138" t="str">
        <f t="shared" si="72"/>
        <v/>
      </c>
    </row>
    <row r="4139">
      <c r="D4139" s="226"/>
      <c r="H4139" s="474"/>
      <c r="I4139" s="474"/>
      <c r="J4139" s="475"/>
      <c r="K4139" s="275"/>
      <c r="L4139" s="82"/>
      <c r="M4139" s="672"/>
      <c r="N4139" s="242"/>
      <c r="O4139" s="242"/>
      <c r="P4139" s="242"/>
      <c r="Q4139" s="242"/>
      <c r="R4139" s="539"/>
      <c r="S4139" s="540"/>
      <c r="T4139" s="543"/>
      <c r="U4139" s="673" t="b">
        <v>0</v>
      </c>
      <c r="Z4139" t="b">
        <v>0</v>
      </c>
      <c r="AA4139" t="b">
        <v>0</v>
      </c>
      <c r="AC4139" s="82"/>
      <c r="AD4139" t="str">
        <f t="shared" si="71"/>
        <v/>
      </c>
      <c r="AE4139" t="str">
        <f t="shared" si="72"/>
        <v/>
      </c>
    </row>
    <row r="4140">
      <c r="D4140" s="226"/>
      <c r="H4140" s="474"/>
      <c r="I4140" s="474"/>
      <c r="J4140" s="475"/>
      <c r="K4140" s="275"/>
      <c r="L4140" s="82"/>
      <c r="M4140" s="672"/>
      <c r="N4140" s="242"/>
      <c r="O4140" s="242"/>
      <c r="P4140" s="242"/>
      <c r="Q4140" s="242"/>
      <c r="R4140" s="539"/>
      <c r="S4140" s="540"/>
      <c r="T4140" s="543"/>
      <c r="U4140" s="673" t="b">
        <v>0</v>
      </c>
      <c r="Z4140" t="b">
        <v>0</v>
      </c>
      <c r="AA4140" t="b">
        <v>0</v>
      </c>
      <c r="AC4140" s="82"/>
      <c r="AD4140" t="str">
        <f t="shared" si="71"/>
        <v/>
      </c>
      <c r="AE4140" t="str">
        <f t="shared" si="72"/>
        <v/>
      </c>
    </row>
    <row r="4141">
      <c r="D4141" s="226"/>
      <c r="H4141" s="474"/>
      <c r="I4141" s="474"/>
      <c r="J4141" s="475"/>
      <c r="K4141" s="275"/>
      <c r="L4141" s="82"/>
      <c r="M4141" s="672"/>
      <c r="N4141" s="242"/>
      <c r="O4141" s="242"/>
      <c r="P4141" s="242"/>
      <c r="Q4141" s="242"/>
      <c r="R4141" s="539"/>
      <c r="S4141" s="540"/>
      <c r="T4141" s="543"/>
      <c r="U4141" s="673" t="b">
        <v>0</v>
      </c>
      <c r="Z4141" t="b">
        <v>0</v>
      </c>
      <c r="AA4141" t="b">
        <v>0</v>
      </c>
      <c r="AC4141" s="82"/>
      <c r="AD4141" t="str">
        <f t="shared" si="71"/>
        <v/>
      </c>
      <c r="AE4141" t="str">
        <f t="shared" si="72"/>
        <v/>
      </c>
    </row>
    <row r="4142">
      <c r="D4142" s="226"/>
      <c r="H4142" s="474"/>
      <c r="I4142" s="474"/>
      <c r="J4142" s="475"/>
      <c r="K4142" s="275"/>
      <c r="L4142" s="82"/>
      <c r="M4142" s="672"/>
      <c r="N4142" s="242"/>
      <c r="O4142" s="242"/>
      <c r="P4142" s="242"/>
      <c r="Q4142" s="242"/>
      <c r="R4142" s="539"/>
      <c r="S4142" s="540"/>
      <c r="T4142" s="543"/>
      <c r="U4142" s="673" t="b">
        <v>0</v>
      </c>
      <c r="Z4142" t="b">
        <v>0</v>
      </c>
      <c r="AA4142" t="b">
        <v>0</v>
      </c>
      <c r="AC4142" s="82"/>
      <c r="AD4142" t="str">
        <f t="shared" si="71"/>
        <v/>
      </c>
      <c r="AE4142" t="str">
        <f t="shared" si="72"/>
        <v/>
      </c>
    </row>
    <row r="4143">
      <c r="D4143" s="226"/>
      <c r="H4143" s="474"/>
      <c r="I4143" s="474"/>
      <c r="J4143" s="475"/>
      <c r="K4143" s="275"/>
      <c r="L4143" s="82"/>
      <c r="M4143" s="672"/>
      <c r="N4143" s="242"/>
      <c r="O4143" s="242"/>
      <c r="P4143" s="242"/>
      <c r="Q4143" s="242"/>
      <c r="R4143" s="539"/>
      <c r="S4143" s="540"/>
      <c r="T4143" s="543"/>
      <c r="U4143" s="673" t="b">
        <v>0</v>
      </c>
      <c r="Z4143" t="b">
        <v>0</v>
      </c>
      <c r="AA4143" t="b">
        <v>0</v>
      </c>
      <c r="AC4143" s="82"/>
      <c r="AD4143" t="str">
        <f t="shared" si="71"/>
        <v/>
      </c>
      <c r="AE4143" t="str">
        <f t="shared" si="72"/>
        <v/>
      </c>
    </row>
    <row r="4144">
      <c r="D4144" s="226"/>
      <c r="H4144" s="474"/>
      <c r="I4144" s="474"/>
      <c r="J4144" s="475"/>
      <c r="K4144" s="275"/>
      <c r="L4144" s="82"/>
      <c r="M4144" s="672"/>
      <c r="N4144" s="242"/>
      <c r="O4144" s="242"/>
      <c r="P4144" s="242"/>
      <c r="Q4144" s="242"/>
      <c r="R4144" s="539"/>
      <c r="S4144" s="540"/>
      <c r="T4144" s="543"/>
      <c r="U4144" s="673" t="b">
        <v>0</v>
      </c>
      <c r="Z4144" t="b">
        <v>0</v>
      </c>
      <c r="AA4144" t="b">
        <v>0</v>
      </c>
      <c r="AC4144" s="82"/>
      <c r="AD4144" t="str">
        <f t="shared" si="71"/>
        <v/>
      </c>
      <c r="AE4144" t="str">
        <f t="shared" si="72"/>
        <v/>
      </c>
    </row>
    <row r="4145">
      <c r="D4145" s="226"/>
      <c r="H4145" s="474"/>
      <c r="I4145" s="474"/>
      <c r="J4145" s="475"/>
      <c r="K4145" s="275"/>
      <c r="L4145" s="82"/>
      <c r="M4145" s="672"/>
      <c r="N4145" s="242"/>
      <c r="O4145" s="242"/>
      <c r="P4145" s="242"/>
      <c r="Q4145" s="242"/>
      <c r="R4145" s="539"/>
      <c r="S4145" s="540"/>
      <c r="T4145" s="543"/>
      <c r="U4145" s="673" t="b">
        <v>0</v>
      </c>
      <c r="Z4145" t="b">
        <v>0</v>
      </c>
      <c r="AA4145" t="b">
        <v>0</v>
      </c>
      <c r="AC4145" s="82"/>
      <c r="AD4145" t="str">
        <f t="shared" si="71"/>
        <v/>
      </c>
      <c r="AE4145" t="str">
        <f t="shared" si="72"/>
        <v/>
      </c>
    </row>
    <row r="4146">
      <c r="D4146" s="226"/>
      <c r="H4146" s="474"/>
      <c r="I4146" s="474"/>
      <c r="J4146" s="475"/>
      <c r="K4146" s="275"/>
      <c r="L4146" s="82"/>
      <c r="M4146" s="672"/>
      <c r="N4146" s="242"/>
      <c r="O4146" s="242"/>
      <c r="P4146" s="242"/>
      <c r="Q4146" s="242"/>
      <c r="R4146" s="539"/>
      <c r="S4146" s="540"/>
      <c r="T4146" s="543"/>
      <c r="U4146" s="673" t="b">
        <v>0</v>
      </c>
      <c r="Z4146" t="b">
        <v>0</v>
      </c>
      <c r="AA4146" t="b">
        <v>0</v>
      </c>
      <c r="AC4146" s="82"/>
      <c r="AD4146" t="str">
        <f t="shared" si="71"/>
        <v/>
      </c>
      <c r="AE4146" t="str">
        <f t="shared" si="72"/>
        <v/>
      </c>
    </row>
    <row r="4147">
      <c r="D4147" s="226"/>
      <c r="H4147" s="474"/>
      <c r="I4147" s="474"/>
      <c r="J4147" s="475"/>
      <c r="K4147" s="275"/>
      <c r="L4147" s="82"/>
      <c r="M4147" s="672"/>
      <c r="N4147" s="242"/>
      <c r="O4147" s="242"/>
      <c r="P4147" s="242"/>
      <c r="Q4147" s="242"/>
      <c r="R4147" s="539"/>
      <c r="S4147" s="540"/>
      <c r="T4147" s="543"/>
      <c r="U4147" s="673" t="b">
        <v>0</v>
      </c>
      <c r="Z4147" t="b">
        <v>0</v>
      </c>
      <c r="AA4147" t="b">
        <v>0</v>
      </c>
      <c r="AC4147" s="82"/>
      <c r="AD4147" t="str">
        <f t="shared" si="71"/>
        <v/>
      </c>
      <c r="AE4147" t="str">
        <f t="shared" si="72"/>
        <v/>
      </c>
    </row>
    <row r="4148">
      <c r="D4148" s="226"/>
      <c r="H4148" s="474"/>
      <c r="I4148" s="474"/>
      <c r="J4148" s="475"/>
      <c r="K4148" s="275"/>
      <c r="L4148" s="82"/>
      <c r="M4148" s="672"/>
      <c r="N4148" s="242"/>
      <c r="O4148" s="242"/>
      <c r="P4148" s="242"/>
      <c r="Q4148" s="242"/>
      <c r="R4148" s="539"/>
      <c r="S4148" s="540"/>
      <c r="T4148" s="543"/>
      <c r="U4148" s="673" t="b">
        <v>0</v>
      </c>
      <c r="Z4148" t="b">
        <v>0</v>
      </c>
      <c r="AA4148" t="b">
        <v>0</v>
      </c>
      <c r="AC4148" s="82"/>
      <c r="AD4148" t="str">
        <f t="shared" si="71"/>
        <v/>
      </c>
      <c r="AE4148" t="str">
        <f t="shared" si="72"/>
        <v/>
      </c>
    </row>
    <row r="4149">
      <c r="D4149" s="226"/>
      <c r="H4149" s="474"/>
      <c r="I4149" s="474"/>
      <c r="J4149" s="475"/>
      <c r="K4149" s="275"/>
      <c r="L4149" s="82"/>
      <c r="M4149" s="672"/>
      <c r="N4149" s="242"/>
      <c r="O4149" s="242"/>
      <c r="P4149" s="242"/>
      <c r="Q4149" s="242"/>
      <c r="R4149" s="539"/>
      <c r="S4149" s="540"/>
      <c r="T4149" s="543"/>
      <c r="U4149" s="673" t="b">
        <v>0</v>
      </c>
      <c r="Z4149" t="b">
        <v>0</v>
      </c>
      <c r="AA4149" t="b">
        <v>0</v>
      </c>
      <c r="AC4149" s="82"/>
      <c r="AD4149" t="str">
        <f t="shared" si="71"/>
        <v/>
      </c>
      <c r="AE4149" t="str">
        <f t="shared" si="72"/>
        <v/>
      </c>
    </row>
    <row r="4150">
      <c r="D4150" s="226"/>
      <c r="H4150" s="474"/>
      <c r="I4150" s="474"/>
      <c r="J4150" s="475"/>
      <c r="K4150" s="275"/>
      <c r="L4150" s="82"/>
      <c r="M4150" s="672"/>
      <c r="N4150" s="242"/>
      <c r="O4150" s="242"/>
      <c r="P4150" s="242"/>
      <c r="Q4150" s="242"/>
      <c r="R4150" s="539"/>
      <c r="S4150" s="540"/>
      <c r="T4150" s="543"/>
      <c r="U4150" s="673" t="b">
        <v>0</v>
      </c>
      <c r="Z4150" t="b">
        <v>0</v>
      </c>
      <c r="AA4150" t="b">
        <v>0</v>
      </c>
      <c r="AC4150" s="82"/>
      <c r="AD4150" t="str">
        <f t="shared" si="71"/>
        <v/>
      </c>
      <c r="AE4150" t="str">
        <f t="shared" si="72"/>
        <v/>
      </c>
    </row>
    <row r="4151">
      <c r="D4151" s="226"/>
      <c r="H4151" s="474"/>
      <c r="I4151" s="474"/>
      <c r="J4151" s="475"/>
      <c r="K4151" s="275"/>
      <c r="L4151" s="82"/>
      <c r="M4151" s="672"/>
      <c r="N4151" s="242"/>
      <c r="O4151" s="242"/>
      <c r="P4151" s="242"/>
      <c r="Q4151" s="242"/>
      <c r="R4151" s="539"/>
      <c r="S4151" s="540"/>
      <c r="T4151" s="543"/>
      <c r="U4151" s="673" t="b">
        <v>0</v>
      </c>
      <c r="Z4151" t="b">
        <v>0</v>
      </c>
      <c r="AA4151" t="b">
        <v>0</v>
      </c>
      <c r="AC4151" s="82"/>
      <c r="AD4151" t="str">
        <f t="shared" si="71"/>
        <v/>
      </c>
      <c r="AE4151" t="str">
        <f t="shared" si="72"/>
        <v/>
      </c>
    </row>
    <row r="4152">
      <c r="D4152" s="226"/>
      <c r="H4152" s="474"/>
      <c r="I4152" s="474"/>
      <c r="J4152" s="475"/>
      <c r="K4152" s="275"/>
      <c r="L4152" s="82"/>
      <c r="M4152" s="672"/>
      <c r="N4152" s="242"/>
      <c r="O4152" s="242"/>
      <c r="P4152" s="242"/>
      <c r="Q4152" s="242"/>
      <c r="R4152" s="539"/>
      <c r="S4152" s="540"/>
      <c r="T4152" s="543"/>
      <c r="U4152" s="673" t="b">
        <v>0</v>
      </c>
      <c r="Z4152" t="b">
        <v>0</v>
      </c>
      <c r="AA4152" t="b">
        <v>0</v>
      </c>
      <c r="AC4152" s="82"/>
      <c r="AD4152" t="str">
        <f t="shared" si="71"/>
        <v/>
      </c>
      <c r="AE4152" t="str">
        <f t="shared" si="72"/>
        <v/>
      </c>
    </row>
    <row r="4153">
      <c r="D4153" s="226"/>
      <c r="H4153" s="474"/>
      <c r="I4153" s="474"/>
      <c r="J4153" s="475"/>
      <c r="K4153" s="275"/>
      <c r="L4153" s="82"/>
      <c r="M4153" s="672"/>
      <c r="N4153" s="242"/>
      <c r="O4153" s="242"/>
      <c r="P4153" s="242"/>
      <c r="Q4153" s="242"/>
      <c r="R4153" s="539"/>
      <c r="S4153" s="540"/>
      <c r="T4153" s="543"/>
      <c r="U4153" s="673" t="b">
        <v>0</v>
      </c>
      <c r="Z4153" t="b">
        <v>0</v>
      </c>
      <c r="AA4153" t="b">
        <v>0</v>
      </c>
      <c r="AC4153" s="82"/>
      <c r="AD4153" t="str">
        <f t="shared" si="71"/>
        <v/>
      </c>
      <c r="AE4153" t="str">
        <f t="shared" si="72"/>
        <v/>
      </c>
    </row>
    <row r="4154">
      <c r="D4154" s="226"/>
      <c r="H4154" s="474"/>
      <c r="I4154" s="474"/>
      <c r="J4154" s="475"/>
      <c r="K4154" s="275"/>
      <c r="L4154" s="82"/>
      <c r="M4154" s="672"/>
      <c r="N4154" s="242"/>
      <c r="O4154" s="242"/>
      <c r="P4154" s="242"/>
      <c r="Q4154" s="242"/>
      <c r="R4154" s="539"/>
      <c r="S4154" s="540"/>
      <c r="T4154" s="543"/>
      <c r="U4154" s="673" t="b">
        <v>0</v>
      </c>
      <c r="Z4154" t="b">
        <v>0</v>
      </c>
      <c r="AA4154" t="b">
        <v>0</v>
      </c>
      <c r="AC4154" s="82"/>
      <c r="AD4154" t="str">
        <f t="shared" si="71"/>
        <v/>
      </c>
      <c r="AE4154" t="str">
        <f t="shared" si="72"/>
        <v/>
      </c>
    </row>
    <row r="4155">
      <c r="D4155" s="226"/>
      <c r="H4155" s="474"/>
      <c r="I4155" s="474"/>
      <c r="J4155" s="475"/>
      <c r="K4155" s="275"/>
      <c r="L4155" s="82"/>
      <c r="M4155" s="672"/>
      <c r="N4155" s="242"/>
      <c r="O4155" s="242"/>
      <c r="P4155" s="242"/>
      <c r="Q4155" s="242"/>
      <c r="R4155" s="539"/>
      <c r="S4155" s="540"/>
      <c r="T4155" s="543"/>
      <c r="U4155" s="673" t="b">
        <v>0</v>
      </c>
      <c r="Z4155" t="b">
        <v>0</v>
      </c>
      <c r="AA4155" t="b">
        <v>0</v>
      </c>
      <c r="AC4155" s="82"/>
      <c r="AD4155" t="str">
        <f t="shared" si="71"/>
        <v/>
      </c>
      <c r="AE4155" t="str">
        <f t="shared" si="72"/>
        <v/>
      </c>
    </row>
    <row r="4156">
      <c r="D4156" s="226"/>
      <c r="H4156" s="474"/>
      <c r="I4156" s="474"/>
      <c r="J4156" s="475"/>
      <c r="K4156" s="275"/>
      <c r="L4156" s="82"/>
      <c r="M4156" s="672"/>
      <c r="N4156" s="242"/>
      <c r="O4156" s="242"/>
      <c r="P4156" s="242"/>
      <c r="Q4156" s="242"/>
      <c r="R4156" s="539"/>
      <c r="S4156" s="540"/>
      <c r="T4156" s="543"/>
      <c r="U4156" s="673" t="b">
        <v>0</v>
      </c>
      <c r="Z4156" t="b">
        <v>0</v>
      </c>
      <c r="AA4156" t="b">
        <v>0</v>
      </c>
      <c r="AC4156" s="82"/>
      <c r="AD4156" t="str">
        <f t="shared" si="71"/>
        <v/>
      </c>
      <c r="AE4156" t="str">
        <f t="shared" si="72"/>
        <v/>
      </c>
    </row>
    <row r="4157">
      <c r="D4157" s="226"/>
      <c r="H4157" s="474"/>
      <c r="I4157" s="474"/>
      <c r="J4157" s="475"/>
      <c r="K4157" s="275"/>
      <c r="L4157" s="82"/>
      <c r="M4157" s="672"/>
      <c r="N4157" s="242"/>
      <c r="O4157" s="242"/>
      <c r="P4157" s="242"/>
      <c r="Q4157" s="242"/>
      <c r="R4157" s="539"/>
      <c r="S4157" s="540"/>
      <c r="T4157" s="543"/>
      <c r="U4157" s="673" t="b">
        <v>0</v>
      </c>
      <c r="Z4157" t="b">
        <v>0</v>
      </c>
      <c r="AA4157" t="b">
        <v>0</v>
      </c>
      <c r="AC4157" s="82"/>
      <c r="AD4157" t="str">
        <f t="shared" si="71"/>
        <v/>
      </c>
      <c r="AE4157" t="str">
        <f t="shared" si="72"/>
        <v/>
      </c>
    </row>
    <row r="4158">
      <c r="D4158" s="226"/>
      <c r="H4158" s="474"/>
      <c r="I4158" s="474"/>
      <c r="J4158" s="475"/>
      <c r="K4158" s="275"/>
      <c r="L4158" s="82"/>
      <c r="M4158" s="672"/>
      <c r="N4158" s="242"/>
      <c r="O4158" s="242"/>
      <c r="P4158" s="242"/>
      <c r="Q4158" s="242"/>
      <c r="R4158" s="539"/>
      <c r="S4158" s="540"/>
      <c r="T4158" s="543"/>
      <c r="U4158" s="673" t="b">
        <v>0</v>
      </c>
      <c r="Z4158" t="b">
        <v>0</v>
      </c>
      <c r="AA4158" t="b">
        <v>0</v>
      </c>
      <c r="AC4158" s="82"/>
      <c r="AD4158" t="str">
        <f t="shared" si="71"/>
        <v/>
      </c>
      <c r="AE4158" t="str">
        <f t="shared" si="72"/>
        <v/>
      </c>
    </row>
    <row r="4159">
      <c r="D4159" s="226"/>
      <c r="H4159" s="474"/>
      <c r="I4159" s="474"/>
      <c r="J4159" s="475"/>
      <c r="K4159" s="275"/>
      <c r="L4159" s="82"/>
      <c r="M4159" s="672"/>
      <c r="N4159" s="242"/>
      <c r="O4159" s="242"/>
      <c r="P4159" s="242"/>
      <c r="Q4159" s="242"/>
      <c r="R4159" s="539"/>
      <c r="S4159" s="540"/>
      <c r="T4159" s="543"/>
      <c r="U4159" s="673" t="b">
        <v>0</v>
      </c>
      <c r="Z4159" t="b">
        <v>0</v>
      </c>
      <c r="AA4159" t="b">
        <v>0</v>
      </c>
      <c r="AC4159" s="82"/>
      <c r="AD4159" t="str">
        <f t="shared" si="71"/>
        <v/>
      </c>
      <c r="AE4159" t="str">
        <f t="shared" si="72"/>
        <v/>
      </c>
    </row>
    <row r="4160">
      <c r="D4160" s="226"/>
      <c r="H4160" s="474"/>
      <c r="I4160" s="474"/>
      <c r="J4160" s="475"/>
      <c r="K4160" s="275"/>
      <c r="L4160" s="82"/>
      <c r="M4160" s="672"/>
      <c r="N4160" s="242"/>
      <c r="O4160" s="242"/>
      <c r="P4160" s="242"/>
      <c r="Q4160" s="242"/>
      <c r="R4160" s="539"/>
      <c r="S4160" s="540"/>
      <c r="T4160" s="543"/>
      <c r="U4160" s="673" t="b">
        <v>0</v>
      </c>
      <c r="Z4160" t="b">
        <v>0</v>
      </c>
      <c r="AA4160" t="b">
        <v>0</v>
      </c>
      <c r="AC4160" s="82"/>
      <c r="AD4160" t="str">
        <f t="shared" si="71"/>
        <v/>
      </c>
      <c r="AE4160" t="str">
        <f t="shared" si="72"/>
        <v/>
      </c>
    </row>
    <row r="4161">
      <c r="D4161" s="226"/>
      <c r="H4161" s="474"/>
      <c r="I4161" s="474"/>
      <c r="J4161" s="475"/>
      <c r="K4161" s="275"/>
      <c r="L4161" s="82"/>
      <c r="M4161" s="672"/>
      <c r="N4161" s="242"/>
      <c r="O4161" s="242"/>
      <c r="P4161" s="242"/>
      <c r="Q4161" s="242"/>
      <c r="R4161" s="539"/>
      <c r="S4161" s="540"/>
      <c r="T4161" s="543"/>
      <c r="U4161" s="673" t="b">
        <v>0</v>
      </c>
      <c r="Z4161" t="b">
        <v>0</v>
      </c>
      <c r="AA4161" t="b">
        <v>0</v>
      </c>
      <c r="AC4161" s="82"/>
      <c r="AD4161" t="str">
        <f t="shared" si="71"/>
        <v/>
      </c>
      <c r="AE4161" t="str">
        <f t="shared" si="72"/>
        <v/>
      </c>
    </row>
    <row r="4162">
      <c r="D4162" s="226"/>
      <c r="H4162" s="474"/>
      <c r="I4162" s="474"/>
      <c r="J4162" s="475"/>
      <c r="K4162" s="275"/>
      <c r="L4162" s="82"/>
      <c r="M4162" s="672"/>
      <c r="N4162" s="242"/>
      <c r="O4162" s="242"/>
      <c r="P4162" s="242"/>
      <c r="Q4162" s="242"/>
      <c r="R4162" s="539"/>
      <c r="S4162" s="540"/>
      <c r="T4162" s="543"/>
      <c r="U4162" s="673" t="b">
        <v>0</v>
      </c>
      <c r="Z4162" t="b">
        <v>0</v>
      </c>
      <c r="AA4162" t="b">
        <v>0</v>
      </c>
      <c r="AC4162" s="82"/>
      <c r="AD4162" t="str">
        <f t="shared" si="71"/>
        <v/>
      </c>
      <c r="AE4162" t="str">
        <f t="shared" si="72"/>
        <v/>
      </c>
    </row>
    <row r="4163">
      <c r="D4163" s="226"/>
      <c r="H4163" s="474"/>
      <c r="I4163" s="474"/>
      <c r="J4163" s="475"/>
      <c r="K4163" s="275"/>
      <c r="L4163" s="82"/>
      <c r="M4163" s="672"/>
      <c r="N4163" s="242"/>
      <c r="O4163" s="242"/>
      <c r="P4163" s="242"/>
      <c r="Q4163" s="242"/>
      <c r="R4163" s="539"/>
      <c r="S4163" s="540"/>
      <c r="T4163" s="543"/>
      <c r="U4163" s="673" t="b">
        <v>0</v>
      </c>
      <c r="Z4163" t="b">
        <v>0</v>
      </c>
      <c r="AA4163" t="b">
        <v>0</v>
      </c>
      <c r="AC4163" s="82"/>
      <c r="AD4163" t="str">
        <f t="shared" si="71"/>
        <v/>
      </c>
      <c r="AE4163" t="str">
        <f t="shared" si="72"/>
        <v/>
      </c>
    </row>
    <row r="4164">
      <c r="D4164" s="226"/>
      <c r="H4164" s="474"/>
      <c r="I4164" s="474"/>
      <c r="J4164" s="475"/>
      <c r="K4164" s="275"/>
      <c r="L4164" s="82"/>
      <c r="M4164" s="672"/>
      <c r="N4164" s="242"/>
      <c r="O4164" s="242"/>
      <c r="P4164" s="242"/>
      <c r="Q4164" s="242"/>
      <c r="R4164" s="539"/>
      <c r="S4164" s="540"/>
      <c r="T4164" s="543"/>
      <c r="U4164" s="673" t="b">
        <v>0</v>
      </c>
      <c r="Z4164" t="b">
        <v>0</v>
      </c>
      <c r="AA4164" t="b">
        <v>0</v>
      </c>
      <c r="AC4164" s="82"/>
      <c r="AD4164" t="str">
        <f t="shared" si="71"/>
        <v/>
      </c>
      <c r="AE4164" t="str">
        <f t="shared" si="72"/>
        <v/>
      </c>
    </row>
    <row r="4165">
      <c r="D4165" s="226"/>
      <c r="H4165" s="474"/>
      <c r="I4165" s="474"/>
      <c r="J4165" s="475"/>
      <c r="K4165" s="275"/>
      <c r="L4165" s="82"/>
      <c r="M4165" s="672"/>
      <c r="N4165" s="242"/>
      <c r="O4165" s="242"/>
      <c r="P4165" s="242"/>
      <c r="Q4165" s="242"/>
      <c r="R4165" s="539"/>
      <c r="S4165" s="540"/>
      <c r="T4165" s="543"/>
      <c r="U4165" s="673" t="b">
        <v>0</v>
      </c>
      <c r="Z4165" t="b">
        <v>0</v>
      </c>
      <c r="AA4165" t="b">
        <v>0</v>
      </c>
      <c r="AC4165" s="82"/>
      <c r="AD4165" t="str">
        <f t="shared" si="71"/>
        <v/>
      </c>
      <c r="AE4165" t="str">
        <f t="shared" si="72"/>
        <v/>
      </c>
    </row>
    <row r="4166">
      <c r="D4166" s="226"/>
      <c r="H4166" s="474"/>
      <c r="I4166" s="474"/>
      <c r="J4166" s="475"/>
      <c r="K4166" s="275"/>
      <c r="L4166" s="82"/>
      <c r="M4166" s="672"/>
      <c r="N4166" s="242"/>
      <c r="O4166" s="242"/>
      <c r="P4166" s="242"/>
      <c r="Q4166" s="242"/>
      <c r="R4166" s="539"/>
      <c r="S4166" s="540"/>
      <c r="T4166" s="543"/>
      <c r="U4166" s="673" t="b">
        <v>0</v>
      </c>
      <c r="Z4166" t="b">
        <v>0</v>
      </c>
      <c r="AA4166" t="b">
        <v>0</v>
      </c>
      <c r="AC4166" s="82"/>
      <c r="AD4166" t="str">
        <f t="shared" si="71"/>
        <v/>
      </c>
      <c r="AE4166" t="str">
        <f t="shared" si="72"/>
        <v/>
      </c>
    </row>
    <row r="4167">
      <c r="D4167" s="226"/>
      <c r="H4167" s="474"/>
      <c r="I4167" s="474"/>
      <c r="J4167" s="475"/>
      <c r="K4167" s="275"/>
      <c r="L4167" s="82"/>
      <c r="M4167" s="672"/>
      <c r="N4167" s="242"/>
      <c r="O4167" s="242"/>
      <c r="P4167" s="242"/>
      <c r="Q4167" s="242"/>
      <c r="R4167" s="539"/>
      <c r="S4167" s="540"/>
      <c r="T4167" s="543"/>
      <c r="U4167" s="673" t="b">
        <v>0</v>
      </c>
      <c r="Z4167" t="b">
        <v>0</v>
      </c>
      <c r="AA4167" t="b">
        <v>0</v>
      </c>
      <c r="AC4167" s="82"/>
      <c r="AD4167" t="str">
        <f t="shared" si="71"/>
        <v/>
      </c>
      <c r="AE4167" t="str">
        <f t="shared" si="72"/>
        <v/>
      </c>
    </row>
    <row r="4168">
      <c r="D4168" s="226"/>
      <c r="H4168" s="474"/>
      <c r="I4168" s="474"/>
      <c r="J4168" s="475"/>
      <c r="K4168" s="275"/>
      <c r="L4168" s="82"/>
      <c r="M4168" s="672"/>
      <c r="N4168" s="242"/>
      <c r="O4168" s="242"/>
      <c r="P4168" s="242"/>
      <c r="Q4168" s="242"/>
      <c r="R4168" s="539"/>
      <c r="S4168" s="540"/>
      <c r="T4168" s="543"/>
      <c r="U4168" s="673" t="b">
        <v>0</v>
      </c>
      <c r="Z4168" t="b">
        <v>0</v>
      </c>
      <c r="AA4168" t="b">
        <v>0</v>
      </c>
      <c r="AC4168" s="82"/>
      <c r="AD4168" t="str">
        <f t="shared" si="71"/>
        <v/>
      </c>
      <c r="AE4168" t="str">
        <f t="shared" si="72"/>
        <v/>
      </c>
    </row>
    <row r="4169">
      <c r="D4169" s="226"/>
      <c r="H4169" s="474"/>
      <c r="I4169" s="474"/>
      <c r="J4169" s="475"/>
      <c r="K4169" s="275"/>
      <c r="L4169" s="82"/>
      <c r="M4169" s="672"/>
      <c r="N4169" s="242"/>
      <c r="O4169" s="242"/>
      <c r="P4169" s="242"/>
      <c r="Q4169" s="242"/>
      <c r="R4169" s="539"/>
      <c r="S4169" s="540"/>
      <c r="T4169" s="543"/>
      <c r="U4169" s="673" t="b">
        <v>0</v>
      </c>
      <c r="Z4169" t="b">
        <v>0</v>
      </c>
      <c r="AA4169" t="b">
        <v>0</v>
      </c>
      <c r="AC4169" s="82"/>
      <c r="AD4169" t="str">
        <f t="shared" si="71"/>
        <v/>
      </c>
      <c r="AE4169" t="str">
        <f t="shared" si="72"/>
        <v/>
      </c>
    </row>
    <row r="4170">
      <c r="D4170" s="226"/>
      <c r="H4170" s="474"/>
      <c r="I4170" s="474"/>
      <c r="J4170" s="475"/>
      <c r="K4170" s="275"/>
      <c r="L4170" s="82"/>
      <c r="M4170" s="672"/>
      <c r="N4170" s="242"/>
      <c r="O4170" s="242"/>
      <c r="P4170" s="242"/>
      <c r="Q4170" s="242"/>
      <c r="R4170" s="539"/>
      <c r="S4170" s="540"/>
      <c r="T4170" s="543"/>
      <c r="U4170" s="673" t="b">
        <v>0</v>
      </c>
      <c r="Z4170" t="b">
        <v>0</v>
      </c>
      <c r="AA4170" t="b">
        <v>0</v>
      </c>
      <c r="AC4170" s="82"/>
      <c r="AD4170" t="str">
        <f t="shared" si="71"/>
        <v/>
      </c>
      <c r="AE4170" t="str">
        <f t="shared" si="72"/>
        <v/>
      </c>
    </row>
    <row r="4171">
      <c r="D4171" s="226"/>
      <c r="H4171" s="474"/>
      <c r="I4171" s="474"/>
      <c r="J4171" s="475"/>
      <c r="K4171" s="275"/>
      <c r="L4171" s="82"/>
      <c r="M4171" s="672"/>
      <c r="N4171" s="242"/>
      <c r="O4171" s="242"/>
      <c r="P4171" s="242"/>
      <c r="Q4171" s="242"/>
      <c r="R4171" s="539"/>
      <c r="S4171" s="540"/>
      <c r="T4171" s="543"/>
      <c r="U4171" s="673" t="b">
        <v>0</v>
      </c>
      <c r="Z4171" t="b">
        <v>0</v>
      </c>
      <c r="AA4171" t="b">
        <v>0</v>
      </c>
      <c r="AC4171" s="82"/>
      <c r="AD4171" t="str">
        <f t="shared" si="71"/>
        <v/>
      </c>
      <c r="AE4171" t="str">
        <f t="shared" si="72"/>
        <v/>
      </c>
    </row>
    <row r="4172">
      <c r="D4172" s="226"/>
      <c r="H4172" s="474"/>
      <c r="I4172" s="474"/>
      <c r="J4172" s="475"/>
      <c r="K4172" s="275"/>
      <c r="L4172" s="82"/>
      <c r="M4172" s="672"/>
      <c r="N4172" s="242"/>
      <c r="O4172" s="242"/>
      <c r="P4172" s="242"/>
      <c r="Q4172" s="242"/>
      <c r="R4172" s="539"/>
      <c r="S4172" s="540"/>
      <c r="T4172" s="543"/>
      <c r="U4172" s="673" t="b">
        <v>0</v>
      </c>
      <c r="Z4172" t="b">
        <v>0</v>
      </c>
      <c r="AA4172" t="b">
        <v>0</v>
      </c>
      <c r="AC4172" s="82"/>
      <c r="AD4172" t="str">
        <f t="shared" si="71"/>
        <v/>
      </c>
      <c r="AE4172" t="str">
        <f t="shared" si="72"/>
        <v/>
      </c>
    </row>
    <row r="4173">
      <c r="D4173" s="226"/>
      <c r="H4173" s="474"/>
      <c r="I4173" s="474"/>
      <c r="J4173" s="475"/>
      <c r="K4173" s="275"/>
      <c r="L4173" s="82"/>
      <c r="M4173" s="672"/>
      <c r="N4173" s="242"/>
      <c r="O4173" s="242"/>
      <c r="P4173" s="242"/>
      <c r="Q4173" s="242"/>
      <c r="R4173" s="539"/>
      <c r="S4173" s="540"/>
      <c r="T4173" s="543"/>
      <c r="U4173" s="673" t="b">
        <v>0</v>
      </c>
      <c r="Z4173" t="b">
        <v>0</v>
      </c>
      <c r="AA4173" t="b">
        <v>0</v>
      </c>
      <c r="AC4173" s="82"/>
      <c r="AD4173" t="str">
        <f t="shared" si="71"/>
        <v/>
      </c>
      <c r="AE4173" t="str">
        <f t="shared" si="72"/>
        <v/>
      </c>
    </row>
    <row r="4174">
      <c r="D4174" s="226"/>
      <c r="H4174" s="474"/>
      <c r="I4174" s="474"/>
      <c r="J4174" s="475"/>
      <c r="K4174" s="275"/>
      <c r="L4174" s="82"/>
      <c r="M4174" s="672"/>
      <c r="N4174" s="242"/>
      <c r="O4174" s="242"/>
      <c r="P4174" s="242"/>
      <c r="Q4174" s="242"/>
      <c r="R4174" s="539"/>
      <c r="S4174" s="540"/>
      <c r="T4174" s="543"/>
      <c r="U4174" s="673" t="b">
        <v>0</v>
      </c>
      <c r="Z4174" t="b">
        <v>0</v>
      </c>
      <c r="AA4174" t="b">
        <v>0</v>
      </c>
      <c r="AC4174" s="82"/>
      <c r="AD4174" t="str">
        <f t="shared" si="71"/>
        <v/>
      </c>
      <c r="AE4174" t="str">
        <f t="shared" si="72"/>
        <v/>
      </c>
    </row>
    <row r="4175">
      <c r="D4175" s="226"/>
      <c r="H4175" s="474"/>
      <c r="I4175" s="474"/>
      <c r="J4175" s="475"/>
      <c r="K4175" s="275"/>
      <c r="L4175" s="82"/>
      <c r="M4175" s="672"/>
      <c r="N4175" s="242"/>
      <c r="O4175" s="242"/>
      <c r="P4175" s="242"/>
      <c r="Q4175" s="242"/>
      <c r="R4175" s="539"/>
      <c r="S4175" s="540"/>
      <c r="T4175" s="543"/>
      <c r="U4175" s="673" t="b">
        <v>0</v>
      </c>
      <c r="Z4175" t="b">
        <v>0</v>
      </c>
      <c r="AA4175" t="b">
        <v>0</v>
      </c>
      <c r="AC4175" s="82"/>
      <c r="AD4175" t="str">
        <f t="shared" si="71"/>
        <v/>
      </c>
      <c r="AE4175" t="str">
        <f t="shared" si="72"/>
        <v/>
      </c>
    </row>
    <row r="4176">
      <c r="D4176" s="226"/>
      <c r="H4176" s="474"/>
      <c r="I4176" s="474"/>
      <c r="J4176" s="475"/>
      <c r="K4176" s="275"/>
      <c r="L4176" s="82"/>
      <c r="M4176" s="672"/>
      <c r="N4176" s="242"/>
      <c r="O4176" s="242"/>
      <c r="P4176" s="242"/>
      <c r="Q4176" s="242"/>
      <c r="R4176" s="539"/>
      <c r="S4176" s="540"/>
      <c r="T4176" s="543"/>
      <c r="U4176" s="673" t="b">
        <v>0</v>
      </c>
      <c r="Z4176" t="b">
        <v>0</v>
      </c>
      <c r="AA4176" t="b">
        <v>0</v>
      </c>
      <c r="AC4176" s="82"/>
      <c r="AD4176" t="str">
        <f t="shared" si="71"/>
        <v/>
      </c>
      <c r="AE4176" t="str">
        <f t="shared" si="72"/>
        <v/>
      </c>
    </row>
    <row r="4177">
      <c r="D4177" s="226"/>
      <c r="H4177" s="474"/>
      <c r="I4177" s="474"/>
      <c r="J4177" s="475"/>
      <c r="K4177" s="275"/>
      <c r="L4177" s="82"/>
      <c r="M4177" s="672"/>
      <c r="N4177" s="242"/>
      <c r="O4177" s="242"/>
      <c r="P4177" s="242"/>
      <c r="Q4177" s="242"/>
      <c r="R4177" s="539"/>
      <c r="S4177" s="540"/>
      <c r="T4177" s="543"/>
      <c r="U4177" s="673" t="b">
        <v>0</v>
      </c>
      <c r="Z4177" t="b">
        <v>0</v>
      </c>
      <c r="AA4177" t="b">
        <v>0</v>
      </c>
      <c r="AC4177" s="82"/>
      <c r="AD4177" t="str">
        <f t="shared" si="71"/>
        <v/>
      </c>
      <c r="AE4177" t="str">
        <f t="shared" si="72"/>
        <v/>
      </c>
    </row>
    <row r="4178">
      <c r="D4178" s="226"/>
      <c r="H4178" s="474"/>
      <c r="I4178" s="474"/>
      <c r="J4178" s="475"/>
      <c r="K4178" s="275"/>
      <c r="L4178" s="82"/>
      <c r="M4178" s="672"/>
      <c r="N4178" s="242"/>
      <c r="O4178" s="242"/>
      <c r="P4178" s="242"/>
      <c r="Q4178" s="242"/>
      <c r="R4178" s="539"/>
      <c r="S4178" s="540"/>
      <c r="T4178" s="543"/>
      <c r="U4178" s="673" t="b">
        <v>0</v>
      </c>
      <c r="Z4178" t="b">
        <v>0</v>
      </c>
      <c r="AA4178" t="b">
        <v>0</v>
      </c>
      <c r="AC4178" s="82"/>
      <c r="AD4178" t="str">
        <f t="shared" si="71"/>
        <v/>
      </c>
      <c r="AE4178" t="str">
        <f t="shared" si="72"/>
        <v/>
      </c>
    </row>
    <row r="4179">
      <c r="D4179" s="226"/>
      <c r="H4179" s="474"/>
      <c r="I4179" s="474"/>
      <c r="J4179" s="475"/>
      <c r="K4179" s="275"/>
      <c r="L4179" s="82"/>
      <c r="M4179" s="672"/>
      <c r="N4179" s="242"/>
      <c r="O4179" s="242"/>
      <c r="P4179" s="242"/>
      <c r="Q4179" s="242"/>
      <c r="R4179" s="539"/>
      <c r="S4179" s="540"/>
      <c r="T4179" s="543"/>
      <c r="U4179" s="673" t="b">
        <v>0</v>
      </c>
      <c r="Z4179" t="b">
        <v>0</v>
      </c>
      <c r="AA4179" t="b">
        <v>0</v>
      </c>
      <c r="AC4179" s="82"/>
      <c r="AD4179" t="str">
        <f t="shared" si="71"/>
        <v/>
      </c>
      <c r="AE4179" t="str">
        <f t="shared" si="72"/>
        <v/>
      </c>
    </row>
    <row r="4180">
      <c r="D4180" s="226"/>
      <c r="H4180" s="474"/>
      <c r="I4180" s="474"/>
      <c r="J4180" s="475"/>
      <c r="K4180" s="275"/>
      <c r="L4180" s="82"/>
      <c r="M4180" s="672"/>
      <c r="N4180" s="242"/>
      <c r="O4180" s="242"/>
      <c r="P4180" s="242"/>
      <c r="Q4180" s="242"/>
      <c r="R4180" s="539"/>
      <c r="S4180" s="540"/>
      <c r="T4180" s="543"/>
      <c r="U4180" s="673" t="b">
        <v>0</v>
      </c>
      <c r="Z4180" t="b">
        <v>0</v>
      </c>
      <c r="AA4180" t="b">
        <v>0</v>
      </c>
      <c r="AC4180" s="82"/>
      <c r="AD4180" t="str">
        <f t="shared" si="71"/>
        <v/>
      </c>
      <c r="AE4180" t="str">
        <f t="shared" si="72"/>
        <v/>
      </c>
    </row>
    <row r="4181">
      <c r="D4181" s="226"/>
      <c r="H4181" s="474"/>
      <c r="I4181" s="474"/>
      <c r="J4181" s="475"/>
      <c r="K4181" s="275"/>
      <c r="L4181" s="82"/>
      <c r="M4181" s="672"/>
      <c r="N4181" s="242"/>
      <c r="O4181" s="242"/>
      <c r="P4181" s="242"/>
      <c r="Q4181" s="242"/>
      <c r="R4181" s="539"/>
      <c r="S4181" s="540"/>
      <c r="T4181" s="543"/>
      <c r="U4181" s="673" t="b">
        <v>0</v>
      </c>
      <c r="Z4181" t="b">
        <v>0</v>
      </c>
      <c r="AA4181" t="b">
        <v>0</v>
      </c>
      <c r="AC4181" s="82"/>
      <c r="AD4181" t="str">
        <f t="shared" si="71"/>
        <v/>
      </c>
      <c r="AE4181" t="str">
        <f t="shared" si="72"/>
        <v/>
      </c>
    </row>
    <row r="4182">
      <c r="D4182" s="226"/>
      <c r="H4182" s="474"/>
      <c r="I4182" s="474"/>
      <c r="J4182" s="475"/>
      <c r="K4182" s="275"/>
      <c r="L4182" s="82"/>
      <c r="M4182" s="672"/>
      <c r="N4182" s="242"/>
      <c r="O4182" s="242"/>
      <c r="P4182" s="242"/>
      <c r="Q4182" s="242"/>
      <c r="R4182" s="539"/>
      <c r="S4182" s="540"/>
      <c r="T4182" s="543"/>
      <c r="U4182" s="673" t="b">
        <v>0</v>
      </c>
      <c r="Z4182" t="b">
        <v>0</v>
      </c>
      <c r="AA4182" t="b">
        <v>0</v>
      </c>
      <c r="AC4182" s="82"/>
      <c r="AD4182" t="str">
        <f t="shared" si="71"/>
        <v/>
      </c>
      <c r="AE4182" t="str">
        <f t="shared" si="72"/>
        <v/>
      </c>
    </row>
    <row r="4183">
      <c r="D4183" s="226"/>
      <c r="H4183" s="474"/>
      <c r="I4183" s="474"/>
      <c r="J4183" s="475"/>
      <c r="K4183" s="275"/>
      <c r="L4183" s="82"/>
      <c r="M4183" s="672"/>
      <c r="N4183" s="242"/>
      <c r="O4183" s="242"/>
      <c r="P4183" s="242"/>
      <c r="Q4183" s="242"/>
      <c r="R4183" s="539"/>
      <c r="S4183" s="540"/>
      <c r="T4183" s="543"/>
      <c r="U4183" s="673" t="b">
        <v>0</v>
      </c>
      <c r="Z4183" t="b">
        <v>0</v>
      </c>
      <c r="AA4183" t="b">
        <v>0</v>
      </c>
      <c r="AC4183" s="82"/>
      <c r="AD4183" t="str">
        <f t="shared" si="71"/>
        <v/>
      </c>
      <c r="AE4183" t="str">
        <f t="shared" si="72"/>
        <v/>
      </c>
    </row>
    <row r="4184">
      <c r="D4184" s="226"/>
      <c r="H4184" s="474"/>
      <c r="I4184" s="474"/>
      <c r="J4184" s="475"/>
      <c r="K4184" s="275"/>
      <c r="L4184" s="82"/>
      <c r="M4184" s="672"/>
      <c r="N4184" s="242"/>
      <c r="O4184" s="242"/>
      <c r="P4184" s="242"/>
      <c r="Q4184" s="242"/>
      <c r="R4184" s="539"/>
      <c r="S4184" s="540"/>
      <c r="T4184" s="543"/>
      <c r="U4184" s="673" t="b">
        <v>0</v>
      </c>
      <c r="Z4184" t="b">
        <v>0</v>
      </c>
      <c r="AA4184" t="b">
        <v>0</v>
      </c>
      <c r="AC4184" s="82"/>
      <c r="AD4184" t="str">
        <f t="shared" si="71"/>
        <v/>
      </c>
      <c r="AE4184" t="str">
        <f t="shared" si="72"/>
        <v/>
      </c>
    </row>
    <row r="4185">
      <c r="D4185" s="226"/>
      <c r="H4185" s="474"/>
      <c r="I4185" s="474"/>
      <c r="J4185" s="475"/>
      <c r="K4185" s="275"/>
      <c r="L4185" s="82"/>
      <c r="M4185" s="672"/>
      <c r="N4185" s="242"/>
      <c r="O4185" s="242"/>
      <c r="P4185" s="242"/>
      <c r="Q4185" s="242"/>
      <c r="R4185" s="539"/>
      <c r="S4185" s="540"/>
      <c r="T4185" s="543"/>
      <c r="U4185" s="673" t="b">
        <v>0</v>
      </c>
      <c r="Z4185" t="b">
        <v>0</v>
      </c>
      <c r="AA4185" t="b">
        <v>0</v>
      </c>
      <c r="AC4185" s="82"/>
      <c r="AD4185" t="str">
        <f t="shared" si="71"/>
        <v/>
      </c>
      <c r="AE4185" t="str">
        <f t="shared" si="72"/>
        <v/>
      </c>
    </row>
    <row r="4186">
      <c r="D4186" s="226"/>
      <c r="H4186" s="474"/>
      <c r="I4186" s="474"/>
      <c r="J4186" s="475"/>
      <c r="K4186" s="275"/>
      <c r="L4186" s="82"/>
      <c r="M4186" s="672"/>
      <c r="N4186" s="242"/>
      <c r="O4186" s="242"/>
      <c r="P4186" s="242"/>
      <c r="Q4186" s="242"/>
      <c r="R4186" s="539"/>
      <c r="S4186" s="540"/>
      <c r="T4186" s="543"/>
      <c r="U4186" s="673" t="b">
        <v>0</v>
      </c>
      <c r="Z4186" t="b">
        <v>0</v>
      </c>
      <c r="AA4186" t="b">
        <v>0</v>
      </c>
      <c r="AC4186" s="82"/>
      <c r="AD4186" t="str">
        <f t="shared" si="71"/>
        <v/>
      </c>
      <c r="AE4186" t="str">
        <f t="shared" si="72"/>
        <v/>
      </c>
    </row>
    <row r="4187">
      <c r="D4187" s="226"/>
      <c r="H4187" s="474"/>
      <c r="I4187" s="474"/>
      <c r="J4187" s="475"/>
      <c r="K4187" s="275"/>
      <c r="L4187" s="82"/>
      <c r="M4187" s="672"/>
      <c r="N4187" s="242"/>
      <c r="O4187" s="242"/>
      <c r="P4187" s="242"/>
      <c r="Q4187" s="242"/>
      <c r="R4187" s="539"/>
      <c r="S4187" s="540"/>
      <c r="T4187" s="543"/>
      <c r="U4187" s="673" t="b">
        <v>0</v>
      </c>
      <c r="Z4187" t="b">
        <v>0</v>
      </c>
      <c r="AA4187" t="b">
        <v>0</v>
      </c>
      <c r="AC4187" s="82"/>
      <c r="AD4187" t="str">
        <f t="shared" si="71"/>
        <v/>
      </c>
      <c r="AE4187" t="str">
        <f t="shared" si="72"/>
        <v/>
      </c>
    </row>
    <row r="4188">
      <c r="D4188" s="226"/>
      <c r="H4188" s="474"/>
      <c r="I4188" s="474"/>
      <c r="J4188" s="475"/>
      <c r="K4188" s="275"/>
      <c r="L4188" s="82"/>
      <c r="M4188" s="672"/>
      <c r="N4188" s="242"/>
      <c r="O4188" s="242"/>
      <c r="P4188" s="242"/>
      <c r="Q4188" s="242"/>
      <c r="R4188" s="539"/>
      <c r="S4188" s="540"/>
      <c r="T4188" s="543"/>
      <c r="U4188" s="673" t="b">
        <v>0</v>
      </c>
      <c r="Z4188" t="b">
        <v>0</v>
      </c>
      <c r="AA4188" t="b">
        <v>0</v>
      </c>
      <c r="AC4188" s="82"/>
      <c r="AD4188" t="str">
        <f t="shared" si="71"/>
        <v/>
      </c>
      <c r="AE4188" t="str">
        <f t="shared" si="72"/>
        <v/>
      </c>
    </row>
    <row r="4189">
      <c r="D4189" s="226"/>
      <c r="H4189" s="474"/>
      <c r="I4189" s="474"/>
      <c r="J4189" s="475"/>
      <c r="K4189" s="275"/>
      <c r="L4189" s="82"/>
      <c r="M4189" s="672"/>
      <c r="N4189" s="242"/>
      <c r="O4189" s="242"/>
      <c r="P4189" s="242"/>
      <c r="Q4189" s="242"/>
      <c r="R4189" s="539"/>
      <c r="S4189" s="540"/>
      <c r="T4189" s="543"/>
      <c r="U4189" s="673" t="b">
        <v>0</v>
      </c>
      <c r="Z4189" t="b">
        <v>0</v>
      </c>
      <c r="AA4189" t="b">
        <v>0</v>
      </c>
      <c r="AC4189" s="82"/>
      <c r="AD4189" t="str">
        <f t="shared" si="71"/>
        <v/>
      </c>
      <c r="AE4189" t="str">
        <f t="shared" si="72"/>
        <v/>
      </c>
    </row>
    <row r="4190">
      <c r="D4190" s="226"/>
      <c r="H4190" s="474"/>
      <c r="I4190" s="474"/>
      <c r="J4190" s="475"/>
      <c r="K4190" s="275"/>
      <c r="L4190" s="82"/>
      <c r="M4190" s="672"/>
      <c r="N4190" s="242"/>
      <c r="O4190" s="242"/>
      <c r="P4190" s="242"/>
      <c r="Q4190" s="242"/>
      <c r="R4190" s="539"/>
      <c r="S4190" s="540"/>
      <c r="T4190" s="543"/>
      <c r="U4190" s="673" t="b">
        <v>0</v>
      </c>
      <c r="Z4190" t="b">
        <v>0</v>
      </c>
      <c r="AA4190" t="b">
        <v>0</v>
      </c>
      <c r="AC4190" s="82"/>
      <c r="AD4190" t="str">
        <f t="shared" si="71"/>
        <v/>
      </c>
      <c r="AE4190" t="str">
        <f t="shared" si="72"/>
        <v/>
      </c>
    </row>
    <row r="4191">
      <c r="D4191" s="226"/>
      <c r="H4191" s="474"/>
      <c r="I4191" s="474"/>
      <c r="J4191" s="475"/>
      <c r="K4191" s="275"/>
      <c r="L4191" s="82"/>
      <c r="M4191" s="672"/>
      <c r="N4191" s="242"/>
      <c r="O4191" s="242"/>
      <c r="P4191" s="242"/>
      <c r="Q4191" s="242"/>
      <c r="R4191" s="539"/>
      <c r="S4191" s="540"/>
      <c r="T4191" s="543"/>
      <c r="U4191" s="673" t="b">
        <v>0</v>
      </c>
      <c r="Z4191" t="b">
        <v>0</v>
      </c>
      <c r="AA4191" t="b">
        <v>0</v>
      </c>
      <c r="AC4191" s="82"/>
      <c r="AD4191" t="str">
        <f t="shared" si="71"/>
        <v/>
      </c>
      <c r="AE4191" t="str">
        <f t="shared" si="72"/>
        <v/>
      </c>
    </row>
    <row r="4192">
      <c r="D4192" s="226"/>
      <c r="H4192" s="474"/>
      <c r="I4192" s="474"/>
      <c r="J4192" s="475"/>
      <c r="K4192" s="275"/>
      <c r="L4192" s="82"/>
      <c r="M4192" s="672"/>
      <c r="N4192" s="242"/>
      <c r="O4192" s="242"/>
      <c r="P4192" s="242"/>
      <c r="Q4192" s="242"/>
      <c r="R4192" s="539"/>
      <c r="S4192" s="540"/>
      <c r="T4192" s="543"/>
      <c r="U4192" s="673" t="b">
        <v>0</v>
      </c>
      <c r="Z4192" t="b">
        <v>0</v>
      </c>
      <c r="AA4192" t="b">
        <v>0</v>
      </c>
      <c r="AC4192" s="82"/>
      <c r="AD4192" t="str">
        <f t="shared" si="71"/>
        <v/>
      </c>
      <c r="AE4192" t="str">
        <f t="shared" si="72"/>
        <v/>
      </c>
    </row>
    <row r="4193">
      <c r="D4193" s="226"/>
      <c r="H4193" s="474"/>
      <c r="I4193" s="474"/>
      <c r="J4193" s="475"/>
      <c r="K4193" s="275"/>
      <c r="L4193" s="82"/>
      <c r="M4193" s="672"/>
      <c r="N4193" s="242"/>
      <c r="O4193" s="242"/>
      <c r="P4193" s="242"/>
      <c r="Q4193" s="242"/>
      <c r="R4193" s="539"/>
      <c r="S4193" s="540"/>
      <c r="T4193" s="543"/>
      <c r="U4193" s="673" t="b">
        <v>0</v>
      </c>
      <c r="Z4193" t="b">
        <v>0</v>
      </c>
      <c r="AA4193" t="b">
        <v>0</v>
      </c>
      <c r="AC4193" s="82"/>
      <c r="AD4193" t="str">
        <f t="shared" si="71"/>
        <v/>
      </c>
      <c r="AE4193" t="str">
        <f t="shared" si="72"/>
        <v/>
      </c>
    </row>
    <row r="4194">
      <c r="D4194" s="226"/>
      <c r="H4194" s="474"/>
      <c r="I4194" s="474"/>
      <c r="J4194" s="475"/>
      <c r="K4194" s="275"/>
      <c r="L4194" s="82"/>
      <c r="M4194" s="672"/>
      <c r="N4194" s="242"/>
      <c r="O4194" s="242"/>
      <c r="P4194" s="242"/>
      <c r="Q4194" s="242"/>
      <c r="R4194" s="539"/>
      <c r="S4194" s="540"/>
      <c r="T4194" s="543"/>
      <c r="U4194" s="673" t="b">
        <v>0</v>
      </c>
      <c r="Z4194" t="b">
        <v>0</v>
      </c>
      <c r="AA4194" t="b">
        <v>0</v>
      </c>
      <c r="AC4194" s="82"/>
      <c r="AD4194" t="str">
        <f t="shared" si="71"/>
        <v/>
      </c>
      <c r="AE4194" t="str">
        <f t="shared" si="72"/>
        <v/>
      </c>
    </row>
    <row r="4195">
      <c r="D4195" s="226"/>
      <c r="H4195" s="474"/>
      <c r="I4195" s="474"/>
      <c r="J4195" s="475"/>
      <c r="K4195" s="275"/>
      <c r="L4195" s="82"/>
      <c r="M4195" s="672"/>
      <c r="N4195" s="242"/>
      <c r="O4195" s="242"/>
      <c r="P4195" s="242"/>
      <c r="Q4195" s="242"/>
      <c r="R4195" s="539"/>
      <c r="S4195" s="540"/>
      <c r="T4195" s="543"/>
      <c r="U4195" s="673" t="b">
        <v>0</v>
      </c>
      <c r="Z4195" t="b">
        <v>0</v>
      </c>
      <c r="AA4195" t="b">
        <v>0</v>
      </c>
      <c r="AC4195" s="82"/>
      <c r="AD4195" t="str">
        <f t="shared" si="71"/>
        <v/>
      </c>
      <c r="AE4195" t="str">
        <f t="shared" si="72"/>
        <v/>
      </c>
    </row>
    <row r="4196">
      <c r="D4196" s="226"/>
      <c r="H4196" s="474"/>
      <c r="I4196" s="474"/>
      <c r="J4196" s="475"/>
      <c r="K4196" s="275"/>
      <c r="L4196" s="82"/>
      <c r="M4196" s="672"/>
      <c r="N4196" s="242"/>
      <c r="O4196" s="242"/>
      <c r="P4196" s="242"/>
      <c r="Q4196" s="242"/>
      <c r="R4196" s="539"/>
      <c r="S4196" s="540"/>
      <c r="T4196" s="543"/>
      <c r="U4196" s="673" t="b">
        <v>0</v>
      </c>
      <c r="Z4196" t="b">
        <v>0</v>
      </c>
      <c r="AA4196" t="b">
        <v>0</v>
      </c>
      <c r="AC4196" s="82"/>
      <c r="AD4196" t="str">
        <f t="shared" si="71"/>
        <v/>
      </c>
      <c r="AE4196" t="str">
        <f t="shared" si="72"/>
        <v/>
      </c>
    </row>
    <row r="4197">
      <c r="D4197" s="226"/>
      <c r="H4197" s="474"/>
      <c r="I4197" s="474"/>
      <c r="J4197" s="475"/>
      <c r="K4197" s="275"/>
      <c r="L4197" s="82"/>
      <c r="M4197" s="672"/>
      <c r="N4197" s="242"/>
      <c r="O4197" s="242"/>
      <c r="P4197" s="242"/>
      <c r="Q4197" s="242"/>
      <c r="R4197" s="539"/>
      <c r="S4197" s="540"/>
      <c r="T4197" s="543"/>
      <c r="U4197" s="673" t="b">
        <v>0</v>
      </c>
      <c r="Z4197" t="b">
        <v>0</v>
      </c>
      <c r="AA4197" t="b">
        <v>0</v>
      </c>
      <c r="AC4197" s="82"/>
      <c r="AD4197" t="str">
        <f t="shared" si="71"/>
        <v/>
      </c>
      <c r="AE4197" t="str">
        <f t="shared" si="72"/>
        <v/>
      </c>
    </row>
    <row r="4198">
      <c r="D4198" s="226"/>
      <c r="H4198" s="474"/>
      <c r="I4198" s="474"/>
      <c r="J4198" s="475"/>
      <c r="K4198" s="275"/>
      <c r="L4198" s="82"/>
      <c r="M4198" s="672"/>
      <c r="N4198" s="242"/>
      <c r="O4198" s="242"/>
      <c r="P4198" s="242"/>
      <c r="Q4198" s="242"/>
      <c r="R4198" s="539"/>
      <c r="S4198" s="540"/>
      <c r="T4198" s="543"/>
      <c r="U4198" s="673" t="b">
        <v>0</v>
      </c>
      <c r="Z4198" t="b">
        <v>0</v>
      </c>
      <c r="AA4198" t="b">
        <v>0</v>
      </c>
      <c r="AC4198" s="82"/>
      <c r="AD4198" t="str">
        <f t="shared" si="71"/>
        <v/>
      </c>
      <c r="AE4198" t="str">
        <f t="shared" si="72"/>
        <v/>
      </c>
    </row>
    <row r="4199">
      <c r="D4199" s="226"/>
      <c r="H4199" s="474"/>
      <c r="I4199" s="474"/>
      <c r="J4199" s="475"/>
      <c r="K4199" s="275"/>
      <c r="L4199" s="82"/>
      <c r="M4199" s="672"/>
      <c r="N4199" s="242"/>
      <c r="O4199" s="242"/>
      <c r="P4199" s="242"/>
      <c r="Q4199" s="242"/>
      <c r="R4199" s="539"/>
      <c r="S4199" s="540"/>
      <c r="T4199" s="543"/>
      <c r="U4199" s="673" t="b">
        <v>0</v>
      </c>
      <c r="Z4199" t="b">
        <v>0</v>
      </c>
      <c r="AA4199" t="b">
        <v>0</v>
      </c>
      <c r="AC4199" s="82"/>
      <c r="AD4199" t="str">
        <f t="shared" si="71"/>
        <v/>
      </c>
      <c r="AE4199" t="str">
        <f t="shared" si="72"/>
        <v/>
      </c>
    </row>
    <row r="4200">
      <c r="D4200" s="226"/>
      <c r="H4200" s="474"/>
      <c r="I4200" s="474"/>
      <c r="J4200" s="475"/>
      <c r="K4200" s="275"/>
      <c r="L4200" s="82"/>
      <c r="M4200" s="672"/>
      <c r="N4200" s="242"/>
      <c r="O4200" s="242"/>
      <c r="P4200" s="242"/>
      <c r="Q4200" s="242"/>
      <c r="R4200" s="539"/>
      <c r="S4200" s="540"/>
      <c r="T4200" s="543"/>
      <c r="U4200" s="673" t="b">
        <v>0</v>
      </c>
      <c r="Z4200" t="b">
        <v>0</v>
      </c>
      <c r="AA4200" t="b">
        <v>0</v>
      </c>
      <c r="AC4200" s="82"/>
      <c r="AD4200" t="str">
        <f t="shared" si="71"/>
        <v/>
      </c>
      <c r="AE4200" t="str">
        <f t="shared" si="72"/>
        <v/>
      </c>
    </row>
    <row r="4201">
      <c r="D4201" s="226"/>
      <c r="H4201" s="474"/>
      <c r="I4201" s="474"/>
      <c r="J4201" s="475"/>
      <c r="K4201" s="275"/>
      <c r="L4201" s="82"/>
      <c r="M4201" s="672"/>
      <c r="N4201" s="242"/>
      <c r="O4201" s="242"/>
      <c r="P4201" s="242"/>
      <c r="Q4201" s="242"/>
      <c r="R4201" s="539"/>
      <c r="S4201" s="540"/>
      <c r="T4201" s="543"/>
      <c r="U4201" s="673" t="b">
        <v>0</v>
      </c>
      <c r="Z4201" t="b">
        <v>0</v>
      </c>
      <c r="AA4201" t="b">
        <v>0</v>
      </c>
      <c r="AC4201" s="82"/>
      <c r="AD4201" t="str">
        <f t="shared" si="71"/>
        <v/>
      </c>
      <c r="AE4201" t="str">
        <f t="shared" si="72"/>
        <v/>
      </c>
    </row>
    <row r="4202">
      <c r="D4202" s="226"/>
      <c r="H4202" s="474"/>
      <c r="I4202" s="474"/>
      <c r="J4202" s="475"/>
      <c r="K4202" s="275"/>
      <c r="L4202" s="82"/>
      <c r="M4202" s="672"/>
      <c r="N4202" s="242"/>
      <c r="O4202" s="242"/>
      <c r="P4202" s="242"/>
      <c r="Q4202" s="242"/>
      <c r="R4202" s="539"/>
      <c r="S4202" s="540"/>
      <c r="T4202" s="543"/>
      <c r="U4202" s="673" t="b">
        <v>0</v>
      </c>
      <c r="Z4202" t="b">
        <v>0</v>
      </c>
      <c r="AA4202" t="b">
        <v>0</v>
      </c>
      <c r="AC4202" s="82"/>
      <c r="AD4202" t="str">
        <f t="shared" si="71"/>
        <v/>
      </c>
      <c r="AE4202" t="str">
        <f t="shared" si="72"/>
        <v/>
      </c>
    </row>
    <row r="4203">
      <c r="D4203" s="226"/>
      <c r="H4203" s="474"/>
      <c r="I4203" s="474"/>
      <c r="J4203" s="475"/>
      <c r="K4203" s="275"/>
      <c r="L4203" s="82"/>
      <c r="M4203" s="672"/>
      <c r="N4203" s="242"/>
      <c r="O4203" s="242"/>
      <c r="P4203" s="242"/>
      <c r="Q4203" s="242"/>
      <c r="R4203" s="539"/>
      <c r="S4203" s="540"/>
      <c r="T4203" s="543"/>
      <c r="U4203" s="673" t="b">
        <v>0</v>
      </c>
      <c r="Z4203" t="b">
        <v>0</v>
      </c>
      <c r="AA4203" t="b">
        <v>0</v>
      </c>
      <c r="AC4203" s="82"/>
      <c r="AD4203" t="str">
        <f t="shared" si="71"/>
        <v/>
      </c>
      <c r="AE4203" t="str">
        <f t="shared" si="72"/>
        <v/>
      </c>
    </row>
    <row r="4204">
      <c r="D4204" s="226"/>
      <c r="H4204" s="474"/>
      <c r="I4204" s="474"/>
      <c r="J4204" s="475"/>
      <c r="K4204" s="275"/>
      <c r="L4204" s="82"/>
      <c r="M4204" s="672"/>
      <c r="N4204" s="242"/>
      <c r="O4204" s="242"/>
      <c r="P4204" s="242"/>
      <c r="Q4204" s="242"/>
      <c r="R4204" s="539"/>
      <c r="S4204" s="540"/>
      <c r="T4204" s="543"/>
      <c r="U4204" s="673" t="b">
        <v>0</v>
      </c>
      <c r="Z4204" t="b">
        <v>0</v>
      </c>
      <c r="AA4204" t="b">
        <v>0</v>
      </c>
      <c r="AC4204" s="82"/>
      <c r="AD4204" t="str">
        <f t="shared" si="71"/>
        <v/>
      </c>
      <c r="AE4204" t="str">
        <f t="shared" si="72"/>
        <v/>
      </c>
    </row>
    <row r="4205">
      <c r="D4205" s="226"/>
      <c r="H4205" s="474"/>
      <c r="I4205" s="474"/>
      <c r="J4205" s="475"/>
      <c r="K4205" s="275"/>
      <c r="L4205" s="82"/>
      <c r="M4205" s="672"/>
      <c r="N4205" s="242"/>
      <c r="O4205" s="242"/>
      <c r="P4205" s="242"/>
      <c r="Q4205" s="242"/>
      <c r="R4205" s="539"/>
      <c r="S4205" s="540"/>
      <c r="T4205" s="543"/>
      <c r="U4205" s="673" t="b">
        <v>0</v>
      </c>
      <c r="Z4205" t="b">
        <v>0</v>
      </c>
      <c r="AA4205" t="b">
        <v>0</v>
      </c>
      <c r="AC4205" s="82"/>
      <c r="AD4205" t="str">
        <f t="shared" si="71"/>
        <v/>
      </c>
      <c r="AE4205" t="str">
        <f t="shared" si="72"/>
        <v/>
      </c>
    </row>
    <row r="4206">
      <c r="D4206" s="226"/>
      <c r="H4206" s="474"/>
      <c r="I4206" s="474"/>
      <c r="J4206" s="475"/>
      <c r="K4206" s="275"/>
      <c r="L4206" s="82"/>
      <c r="M4206" s="672"/>
      <c r="N4206" s="242"/>
      <c r="O4206" s="242"/>
      <c r="P4206" s="242"/>
      <c r="Q4206" s="242"/>
      <c r="R4206" s="539"/>
      <c r="S4206" s="540"/>
      <c r="T4206" s="543"/>
      <c r="U4206" s="673" t="b">
        <v>0</v>
      </c>
      <c r="Z4206" t="b">
        <v>0</v>
      </c>
      <c r="AA4206" t="b">
        <v>0</v>
      </c>
      <c r="AC4206" s="82"/>
      <c r="AD4206" t="str">
        <f t="shared" si="71"/>
        <v/>
      </c>
      <c r="AE4206" t="str">
        <f t="shared" si="72"/>
        <v/>
      </c>
    </row>
    <row r="4207">
      <c r="D4207" s="226"/>
      <c r="H4207" s="474"/>
      <c r="I4207" s="474"/>
      <c r="J4207" s="475"/>
      <c r="K4207" s="275"/>
      <c r="L4207" s="82"/>
      <c r="M4207" s="672"/>
      <c r="N4207" s="242"/>
      <c r="O4207" s="242"/>
      <c r="P4207" s="242"/>
      <c r="Q4207" s="242"/>
      <c r="R4207" s="539"/>
      <c r="S4207" s="540"/>
      <c r="T4207" s="543"/>
      <c r="U4207" s="673" t="b">
        <v>0</v>
      </c>
      <c r="Z4207" t="b">
        <v>0</v>
      </c>
      <c r="AA4207" t="b">
        <v>0</v>
      </c>
      <c r="AC4207" s="82"/>
      <c r="AD4207" t="str">
        <f t="shared" si="71"/>
        <v/>
      </c>
      <c r="AE4207" t="str">
        <f t="shared" si="72"/>
        <v/>
      </c>
    </row>
    <row r="4208">
      <c r="D4208" s="226"/>
      <c r="H4208" s="474"/>
      <c r="I4208" s="474"/>
      <c r="J4208" s="475"/>
      <c r="K4208" s="275"/>
      <c r="L4208" s="82"/>
      <c r="M4208" s="672"/>
      <c r="N4208" s="242"/>
      <c r="O4208" s="242"/>
      <c r="P4208" s="242"/>
      <c r="Q4208" s="242"/>
      <c r="R4208" s="539"/>
      <c r="S4208" s="540"/>
      <c r="T4208" s="543"/>
      <c r="U4208" s="673" t="b">
        <v>0</v>
      </c>
      <c r="Z4208" t="b">
        <v>0</v>
      </c>
      <c r="AA4208" t="b">
        <v>0</v>
      </c>
      <c r="AC4208" s="82"/>
      <c r="AD4208" t="str">
        <f t="shared" si="71"/>
        <v/>
      </c>
      <c r="AE4208" t="str">
        <f t="shared" si="72"/>
        <v/>
      </c>
    </row>
    <row r="4209">
      <c r="D4209" s="226"/>
      <c r="H4209" s="474"/>
      <c r="I4209" s="474"/>
      <c r="J4209" s="475"/>
      <c r="K4209" s="275"/>
      <c r="L4209" s="82"/>
      <c r="M4209" s="672"/>
      <c r="N4209" s="242"/>
      <c r="O4209" s="242"/>
      <c r="P4209" s="242"/>
      <c r="Q4209" s="242"/>
      <c r="R4209" s="539"/>
      <c r="S4209" s="540"/>
      <c r="T4209" s="543"/>
      <c r="U4209" s="673" t="b">
        <v>0</v>
      </c>
      <c r="Z4209" t="b">
        <v>0</v>
      </c>
      <c r="AA4209" t="b">
        <v>0</v>
      </c>
      <c r="AC4209" s="82"/>
      <c r="AD4209" t="str">
        <f t="shared" si="71"/>
        <v/>
      </c>
      <c r="AE4209" t="str">
        <f t="shared" si="72"/>
        <v/>
      </c>
    </row>
    <row r="4210">
      <c r="D4210" s="226"/>
      <c r="H4210" s="474"/>
      <c r="I4210" s="474"/>
      <c r="J4210" s="475"/>
      <c r="K4210" s="275"/>
      <c r="L4210" s="82"/>
      <c r="M4210" s="672"/>
      <c r="N4210" s="242"/>
      <c r="O4210" s="242"/>
      <c r="P4210" s="242"/>
      <c r="Q4210" s="242"/>
      <c r="R4210" s="539"/>
      <c r="S4210" s="540"/>
      <c r="T4210" s="543"/>
      <c r="U4210" s="673" t="b">
        <v>0</v>
      </c>
      <c r="Z4210" t="b">
        <v>0</v>
      </c>
      <c r="AA4210" t="b">
        <v>0</v>
      </c>
      <c r="AC4210" s="82"/>
      <c r="AD4210" t="str">
        <f t="shared" si="71"/>
        <v/>
      </c>
      <c r="AE4210" t="str">
        <f t="shared" si="72"/>
        <v/>
      </c>
    </row>
    <row r="4211">
      <c r="D4211" s="226"/>
      <c r="H4211" s="474"/>
      <c r="I4211" s="474"/>
      <c r="J4211" s="475"/>
      <c r="K4211" s="275"/>
      <c r="L4211" s="82"/>
      <c r="M4211" s="672"/>
      <c r="N4211" s="242"/>
      <c r="O4211" s="242"/>
      <c r="P4211" s="242"/>
      <c r="Q4211" s="242"/>
      <c r="R4211" s="539"/>
      <c r="S4211" s="540"/>
      <c r="T4211" s="543"/>
      <c r="U4211" s="673" t="b">
        <v>0</v>
      </c>
      <c r="Z4211" t="b">
        <v>0</v>
      </c>
      <c r="AA4211" t="b">
        <v>0</v>
      </c>
      <c r="AC4211" s="82"/>
      <c r="AD4211" t="str">
        <f t="shared" si="71"/>
        <v/>
      </c>
      <c r="AE4211" t="str">
        <f t="shared" si="72"/>
        <v/>
      </c>
    </row>
    <row r="4212">
      <c r="D4212" s="226"/>
      <c r="H4212" s="474"/>
      <c r="I4212" s="474"/>
      <c r="J4212" s="475"/>
      <c r="K4212" s="275"/>
      <c r="L4212" s="82"/>
      <c r="M4212" s="672"/>
      <c r="N4212" s="242"/>
      <c r="O4212" s="242"/>
      <c r="P4212" s="242"/>
      <c r="Q4212" s="242"/>
      <c r="R4212" s="539"/>
      <c r="S4212" s="540"/>
      <c r="T4212" s="543"/>
      <c r="U4212" s="673" t="b">
        <v>0</v>
      </c>
      <c r="Z4212" t="b">
        <v>0</v>
      </c>
      <c r="AA4212" t="b">
        <v>0</v>
      </c>
      <c r="AC4212" s="82"/>
      <c r="AD4212" t="str">
        <f t="shared" si="71"/>
        <v/>
      </c>
      <c r="AE4212" t="str">
        <f t="shared" si="72"/>
        <v/>
      </c>
    </row>
    <row r="4213">
      <c r="D4213" s="226"/>
      <c r="H4213" s="474"/>
      <c r="I4213" s="474"/>
      <c r="J4213" s="475"/>
      <c r="K4213" s="275"/>
      <c r="L4213" s="82"/>
      <c r="M4213" s="672"/>
      <c r="N4213" s="242"/>
      <c r="O4213" s="242"/>
      <c r="P4213" s="242"/>
      <c r="Q4213" s="242"/>
      <c r="R4213" s="539"/>
      <c r="S4213" s="540"/>
      <c r="T4213" s="543"/>
      <c r="U4213" s="673" t="b">
        <v>0</v>
      </c>
      <c r="Z4213" t="b">
        <v>0</v>
      </c>
      <c r="AA4213" t="b">
        <v>0</v>
      </c>
      <c r="AC4213" s="82"/>
      <c r="AD4213" t="str">
        <f t="shared" si="71"/>
        <v/>
      </c>
      <c r="AE4213" t="str">
        <f t="shared" si="72"/>
        <v/>
      </c>
    </row>
    <row r="4214">
      <c r="D4214" s="226"/>
      <c r="H4214" s="474"/>
      <c r="I4214" s="474"/>
      <c r="J4214" s="475"/>
      <c r="K4214" s="275"/>
      <c r="L4214" s="82"/>
      <c r="M4214" s="672"/>
      <c r="N4214" s="242"/>
      <c r="O4214" s="242"/>
      <c r="P4214" s="242"/>
      <c r="Q4214" s="242"/>
      <c r="R4214" s="539"/>
      <c r="S4214" s="540"/>
      <c r="T4214" s="543"/>
      <c r="U4214" s="673" t="b">
        <v>0</v>
      </c>
      <c r="Z4214" t="b">
        <v>0</v>
      </c>
      <c r="AA4214" t="b">
        <v>0</v>
      </c>
      <c r="AC4214" s="82"/>
      <c r="AD4214" t="str">
        <f t="shared" si="71"/>
        <v/>
      </c>
      <c r="AE4214" t="str">
        <f t="shared" si="72"/>
        <v/>
      </c>
    </row>
    <row r="4215">
      <c r="D4215" s="226"/>
      <c r="H4215" s="474"/>
      <c r="I4215" s="474"/>
      <c r="J4215" s="475"/>
      <c r="K4215" s="275"/>
      <c r="L4215" s="82"/>
      <c r="M4215" s="672"/>
      <c r="N4215" s="242"/>
      <c r="O4215" s="242"/>
      <c r="P4215" s="242"/>
      <c r="Q4215" s="242"/>
      <c r="R4215" s="539"/>
      <c r="S4215" s="540"/>
      <c r="T4215" s="543"/>
      <c r="U4215" s="673" t="b">
        <v>0</v>
      </c>
      <c r="Z4215" t="b">
        <v>0</v>
      </c>
      <c r="AA4215" t="b">
        <v>0</v>
      </c>
      <c r="AC4215" s="82"/>
      <c r="AD4215" t="str">
        <f t="shared" si="71"/>
        <v/>
      </c>
      <c r="AE4215" t="str">
        <f t="shared" si="72"/>
        <v/>
      </c>
    </row>
    <row r="4216">
      <c r="D4216" s="226"/>
      <c r="H4216" s="474"/>
      <c r="I4216" s="474"/>
      <c r="J4216" s="475"/>
      <c r="K4216" s="275"/>
      <c r="L4216" s="82"/>
      <c r="M4216" s="672"/>
      <c r="N4216" s="242"/>
      <c r="O4216" s="242"/>
      <c r="P4216" s="242"/>
      <c r="Q4216" s="242"/>
      <c r="R4216" s="539"/>
      <c r="S4216" s="540"/>
      <c r="T4216" s="543"/>
      <c r="U4216" s="673" t="b">
        <v>0</v>
      </c>
      <c r="Z4216" t="b">
        <v>0</v>
      </c>
      <c r="AA4216" t="b">
        <v>0</v>
      </c>
      <c r="AC4216" s="82"/>
      <c r="AD4216" t="str">
        <f t="shared" si="71"/>
        <v/>
      </c>
      <c r="AE4216" t="str">
        <f t="shared" si="72"/>
        <v/>
      </c>
    </row>
    <row r="4217">
      <c r="D4217" s="226"/>
      <c r="H4217" s="474"/>
      <c r="I4217" s="474"/>
      <c r="J4217" s="475"/>
      <c r="K4217" s="275"/>
      <c r="L4217" s="82"/>
      <c r="M4217" s="672"/>
      <c r="N4217" s="242"/>
      <c r="O4217" s="242"/>
      <c r="P4217" s="242"/>
      <c r="Q4217" s="242"/>
      <c r="R4217" s="539"/>
      <c r="S4217" s="540"/>
      <c r="T4217" s="543"/>
      <c r="U4217" s="673" t="b">
        <v>0</v>
      </c>
      <c r="Z4217" t="b">
        <v>0</v>
      </c>
      <c r="AA4217" t="b">
        <v>0</v>
      </c>
      <c r="AC4217" s="82"/>
      <c r="AD4217" t="str">
        <f t="shared" si="71"/>
        <v/>
      </c>
      <c r="AE4217" t="str">
        <f t="shared" si="72"/>
        <v/>
      </c>
    </row>
    <row r="4218">
      <c r="D4218" s="226"/>
      <c r="H4218" s="474"/>
      <c r="I4218" s="474"/>
      <c r="J4218" s="475"/>
      <c r="K4218" s="275"/>
      <c r="L4218" s="82"/>
      <c r="M4218" s="672"/>
      <c r="N4218" s="242"/>
      <c r="O4218" s="242"/>
      <c r="P4218" s="242"/>
      <c r="Q4218" s="242"/>
      <c r="R4218" s="539"/>
      <c r="S4218" s="540"/>
      <c r="T4218" s="543"/>
      <c r="U4218" s="673" t="b">
        <v>0</v>
      </c>
      <c r="Z4218" t="b">
        <v>0</v>
      </c>
      <c r="AA4218" t="b">
        <v>0</v>
      </c>
      <c r="AC4218" s="82"/>
      <c r="AD4218" t="str">
        <f t="shared" si="71"/>
        <v/>
      </c>
      <c r="AE4218" t="str">
        <f t="shared" si="72"/>
        <v/>
      </c>
    </row>
    <row r="4219">
      <c r="D4219" s="226"/>
      <c r="H4219" s="474"/>
      <c r="I4219" s="474"/>
      <c r="J4219" s="475"/>
      <c r="K4219" s="275"/>
      <c r="L4219" s="82"/>
      <c r="M4219" s="672"/>
      <c r="N4219" s="242"/>
      <c r="O4219" s="242"/>
      <c r="P4219" s="242"/>
      <c r="Q4219" s="242"/>
      <c r="R4219" s="539"/>
      <c r="S4219" s="540"/>
      <c r="T4219" s="543"/>
      <c r="U4219" s="673" t="b">
        <v>0</v>
      </c>
      <c r="Z4219" t="b">
        <v>0</v>
      </c>
      <c r="AA4219" t="b">
        <v>0</v>
      </c>
      <c r="AC4219" s="82"/>
      <c r="AD4219" t="str">
        <f t="shared" si="71"/>
        <v/>
      </c>
      <c r="AE4219" t="str">
        <f t="shared" si="72"/>
        <v/>
      </c>
    </row>
    <row r="4220">
      <c r="D4220" s="226"/>
      <c r="H4220" s="474"/>
      <c r="I4220" s="474"/>
      <c r="J4220" s="475"/>
      <c r="K4220" s="275"/>
      <c r="L4220" s="82"/>
      <c r="M4220" s="672"/>
      <c r="N4220" s="242"/>
      <c r="O4220" s="242"/>
      <c r="P4220" s="242"/>
      <c r="Q4220" s="242"/>
      <c r="R4220" s="539"/>
      <c r="S4220" s="540"/>
      <c r="T4220" s="543"/>
      <c r="U4220" s="673" t="b">
        <v>0</v>
      </c>
      <c r="Z4220" t="b">
        <v>0</v>
      </c>
      <c r="AA4220" t="b">
        <v>0</v>
      </c>
      <c r="AC4220" s="82"/>
      <c r="AD4220" t="str">
        <f t="shared" si="71"/>
        <v/>
      </c>
      <c r="AE4220" t="str">
        <f t="shared" si="72"/>
        <v/>
      </c>
    </row>
    <row r="4221">
      <c r="D4221" s="226"/>
      <c r="H4221" s="474"/>
      <c r="I4221" s="474"/>
      <c r="J4221" s="475"/>
      <c r="K4221" s="275"/>
      <c r="L4221" s="82"/>
      <c r="M4221" s="672"/>
      <c r="N4221" s="242"/>
      <c r="O4221" s="242"/>
      <c r="P4221" s="242"/>
      <c r="Q4221" s="242"/>
      <c r="R4221" s="539"/>
      <c r="S4221" s="540"/>
      <c r="T4221" s="543"/>
      <c r="U4221" s="673" t="b">
        <v>0</v>
      </c>
      <c r="Z4221" t="b">
        <v>0</v>
      </c>
      <c r="AA4221" t="b">
        <v>0</v>
      </c>
      <c r="AC4221" s="82"/>
      <c r="AD4221" t="str">
        <f t="shared" si="71"/>
        <v/>
      </c>
      <c r="AE4221" t="str">
        <f t="shared" si="72"/>
        <v/>
      </c>
    </row>
    <row r="4222">
      <c r="D4222" s="226"/>
      <c r="H4222" s="474"/>
      <c r="I4222" s="474"/>
      <c r="J4222" s="475"/>
      <c r="K4222" s="275"/>
      <c r="L4222" s="82"/>
      <c r="M4222" s="672"/>
      <c r="N4222" s="242"/>
      <c r="O4222" s="242"/>
      <c r="P4222" s="242"/>
      <c r="Q4222" s="242"/>
      <c r="R4222" s="539"/>
      <c r="S4222" s="540"/>
      <c r="T4222" s="543"/>
      <c r="U4222" s="673" t="b">
        <v>0</v>
      </c>
      <c r="Z4222" t="b">
        <v>0</v>
      </c>
      <c r="AA4222" t="b">
        <v>0</v>
      </c>
      <c r="AC4222" s="82"/>
      <c r="AD4222" t="str">
        <f t="shared" si="71"/>
        <v/>
      </c>
      <c r="AE4222" t="str">
        <f t="shared" si="72"/>
        <v/>
      </c>
    </row>
    <row r="4223">
      <c r="D4223" s="226"/>
      <c r="H4223" s="474"/>
      <c r="I4223" s="474"/>
      <c r="J4223" s="475"/>
      <c r="K4223" s="275"/>
      <c r="L4223" s="82"/>
      <c r="M4223" s="672"/>
      <c r="N4223" s="242"/>
      <c r="O4223" s="242"/>
      <c r="P4223" s="242"/>
      <c r="Q4223" s="242"/>
      <c r="R4223" s="539"/>
      <c r="S4223" s="540"/>
      <c r="T4223" s="543"/>
      <c r="U4223" s="673" t="b">
        <v>0</v>
      </c>
      <c r="Z4223" t="b">
        <v>0</v>
      </c>
      <c r="AA4223" t="b">
        <v>0</v>
      </c>
      <c r="AC4223" s="82"/>
      <c r="AD4223" t="str">
        <f t="shared" si="71"/>
        <v/>
      </c>
      <c r="AE4223" t="str">
        <f t="shared" si="72"/>
        <v/>
      </c>
    </row>
    <row r="4224">
      <c r="D4224" s="226"/>
      <c r="H4224" s="474"/>
      <c r="I4224" s="474"/>
      <c r="J4224" s="475"/>
      <c r="K4224" s="275"/>
      <c r="L4224" s="82"/>
      <c r="M4224" s="672"/>
      <c r="N4224" s="242"/>
      <c r="O4224" s="242"/>
      <c r="P4224" s="242"/>
      <c r="Q4224" s="242"/>
      <c r="R4224" s="539"/>
      <c r="S4224" s="540"/>
      <c r="T4224" s="543"/>
      <c r="U4224" s="673" t="b">
        <v>0</v>
      </c>
      <c r="Z4224" t="b">
        <v>0</v>
      </c>
      <c r="AA4224" t="b">
        <v>0</v>
      </c>
      <c r="AC4224" s="82"/>
      <c r="AD4224" t="str">
        <f t="shared" si="71"/>
        <v/>
      </c>
      <c r="AE4224" t="str">
        <f t="shared" si="72"/>
        <v/>
      </c>
    </row>
    <row r="4225">
      <c r="D4225" s="226"/>
      <c r="H4225" s="474"/>
      <c r="I4225" s="474"/>
      <c r="J4225" s="475"/>
      <c r="K4225" s="275"/>
      <c r="L4225" s="82"/>
      <c r="M4225" s="672"/>
      <c r="N4225" s="242"/>
      <c r="O4225" s="242"/>
      <c r="P4225" s="242"/>
      <c r="Q4225" s="242"/>
      <c r="R4225" s="539"/>
      <c r="S4225" s="540"/>
      <c r="T4225" s="543"/>
      <c r="U4225" s="673" t="b">
        <v>0</v>
      </c>
      <c r="Z4225" t="b">
        <v>0</v>
      </c>
      <c r="AA4225" t="b">
        <v>0</v>
      </c>
      <c r="AC4225" s="82"/>
      <c r="AD4225" t="str">
        <f t="shared" si="71"/>
        <v/>
      </c>
      <c r="AE4225" t="str">
        <f t="shared" si="72"/>
        <v/>
      </c>
    </row>
    <row r="4226">
      <c r="D4226" s="226"/>
      <c r="H4226" s="474"/>
      <c r="I4226" s="474"/>
      <c r="J4226" s="475"/>
      <c r="K4226" s="275"/>
      <c r="L4226" s="82"/>
      <c r="M4226" s="672"/>
      <c r="N4226" s="242"/>
      <c r="O4226" s="242"/>
      <c r="P4226" s="242"/>
      <c r="Q4226" s="242"/>
      <c r="R4226" s="539"/>
      <c r="S4226" s="540"/>
      <c r="T4226" s="543"/>
      <c r="U4226" s="673" t="b">
        <v>0</v>
      </c>
      <c r="Z4226" t="b">
        <v>0</v>
      </c>
      <c r="AA4226" t="b">
        <v>0</v>
      </c>
      <c r="AC4226" s="82"/>
      <c r="AD4226" t="str">
        <f t="shared" si="71"/>
        <v/>
      </c>
      <c r="AE4226" t="str">
        <f t="shared" si="72"/>
        <v/>
      </c>
    </row>
    <row r="4227">
      <c r="D4227" s="226"/>
      <c r="H4227" s="474"/>
      <c r="I4227" s="474"/>
      <c r="J4227" s="475"/>
      <c r="K4227" s="275"/>
      <c r="L4227" s="82"/>
      <c r="M4227" s="672"/>
      <c r="N4227" s="242"/>
      <c r="O4227" s="242"/>
      <c r="P4227" s="242"/>
      <c r="Q4227" s="242"/>
      <c r="R4227" s="539"/>
      <c r="S4227" s="540"/>
      <c r="T4227" s="543"/>
      <c r="U4227" s="673" t="b">
        <v>0</v>
      </c>
      <c r="Z4227" t="b">
        <v>0</v>
      </c>
      <c r="AA4227" t="b">
        <v>0</v>
      </c>
      <c r="AC4227" s="82"/>
      <c r="AD4227" t="str">
        <f t="shared" si="71"/>
        <v/>
      </c>
      <c r="AE4227" t="str">
        <f t="shared" si="72"/>
        <v/>
      </c>
    </row>
    <row r="4228">
      <c r="D4228" s="226"/>
      <c r="H4228" s="474"/>
      <c r="I4228" s="474"/>
      <c r="J4228" s="475"/>
      <c r="K4228" s="275"/>
      <c r="L4228" s="82"/>
      <c r="M4228" s="672"/>
      <c r="N4228" s="242"/>
      <c r="O4228" s="242"/>
      <c r="P4228" s="242"/>
      <c r="Q4228" s="242"/>
      <c r="R4228" s="539"/>
      <c r="S4228" s="540"/>
      <c r="T4228" s="543"/>
      <c r="U4228" s="673" t="b">
        <v>0</v>
      </c>
      <c r="Z4228" t="b">
        <v>0</v>
      </c>
      <c r="AA4228" t="b">
        <v>0</v>
      </c>
      <c r="AC4228" s="82"/>
      <c r="AD4228" t="str">
        <f t="shared" si="71"/>
        <v/>
      </c>
      <c r="AE4228" t="str">
        <f t="shared" si="72"/>
        <v/>
      </c>
    </row>
    <row r="4229">
      <c r="D4229" s="226"/>
      <c r="H4229" s="474"/>
      <c r="I4229" s="474"/>
      <c r="J4229" s="475"/>
      <c r="K4229" s="275"/>
      <c r="L4229" s="82"/>
      <c r="M4229" s="672"/>
      <c r="N4229" s="242"/>
      <c r="O4229" s="242"/>
      <c r="P4229" s="242"/>
      <c r="Q4229" s="242"/>
      <c r="R4229" s="539"/>
      <c r="S4229" s="540"/>
      <c r="T4229" s="543"/>
      <c r="U4229" s="673" t="b">
        <v>0</v>
      </c>
      <c r="Z4229" t="b">
        <v>0</v>
      </c>
      <c r="AA4229" t="b">
        <v>0</v>
      </c>
      <c r="AC4229" s="82"/>
      <c r="AD4229" t="str">
        <f t="shared" si="71"/>
        <v/>
      </c>
      <c r="AE4229" t="str">
        <f t="shared" si="72"/>
        <v/>
      </c>
    </row>
    <row r="4230">
      <c r="D4230" s="226"/>
      <c r="H4230" s="474"/>
      <c r="I4230" s="474"/>
      <c r="J4230" s="475"/>
      <c r="K4230" s="275"/>
      <c r="L4230" s="82"/>
      <c r="M4230" s="672"/>
      <c r="N4230" s="242"/>
      <c r="O4230" s="242"/>
      <c r="P4230" s="242"/>
      <c r="Q4230" s="242"/>
      <c r="R4230" s="539"/>
      <c r="S4230" s="540"/>
      <c r="T4230" s="543"/>
      <c r="U4230" s="673" t="b">
        <v>0</v>
      </c>
      <c r="Z4230" t="b">
        <v>0</v>
      </c>
      <c r="AA4230" t="b">
        <v>0</v>
      </c>
      <c r="AC4230" s="82"/>
      <c r="AD4230" t="str">
        <f t="shared" si="71"/>
        <v/>
      </c>
      <c r="AE4230" t="str">
        <f t="shared" si="72"/>
        <v/>
      </c>
    </row>
    <row r="4231">
      <c r="D4231" s="226"/>
      <c r="H4231" s="474"/>
      <c r="I4231" s="474"/>
      <c r="J4231" s="475"/>
      <c r="K4231" s="275"/>
      <c r="L4231" s="82"/>
      <c r="M4231" s="672"/>
      <c r="N4231" s="242"/>
      <c r="O4231" s="242"/>
      <c r="P4231" s="242"/>
      <c r="Q4231" s="242"/>
      <c r="R4231" s="539"/>
      <c r="S4231" s="540"/>
      <c r="T4231" s="543"/>
      <c r="U4231" s="673" t="b">
        <v>0</v>
      </c>
      <c r="Z4231" t="b">
        <v>0</v>
      </c>
      <c r="AA4231" t="b">
        <v>0</v>
      </c>
      <c r="AC4231" s="82"/>
      <c r="AD4231" t="str">
        <f t="shared" si="71"/>
        <v/>
      </c>
      <c r="AE4231" t="str">
        <f t="shared" si="72"/>
        <v/>
      </c>
    </row>
    <row r="4232">
      <c r="D4232" s="226"/>
      <c r="H4232" s="474"/>
      <c r="I4232" s="474"/>
      <c r="J4232" s="475"/>
      <c r="K4232" s="275"/>
      <c r="L4232" s="82"/>
      <c r="M4232" s="672"/>
      <c r="N4232" s="242"/>
      <c r="O4232" s="242"/>
      <c r="P4232" s="242"/>
      <c r="Q4232" s="242"/>
      <c r="R4232" s="539"/>
      <c r="S4232" s="540"/>
      <c r="T4232" s="543"/>
      <c r="U4232" s="673" t="b">
        <v>0</v>
      </c>
      <c r="Z4232" t="b">
        <v>0</v>
      </c>
      <c r="AA4232" t="b">
        <v>0</v>
      </c>
      <c r="AC4232" s="82"/>
      <c r="AD4232" t="str">
        <f t="shared" si="71"/>
        <v/>
      </c>
      <c r="AE4232" t="str">
        <f t="shared" si="72"/>
        <v/>
      </c>
    </row>
    <row r="4233">
      <c r="D4233" s="226"/>
      <c r="H4233" s="474"/>
      <c r="I4233" s="474"/>
      <c r="J4233" s="475"/>
      <c r="K4233" s="275"/>
      <c r="L4233" s="82"/>
      <c r="M4233" s="672"/>
      <c r="N4233" s="242"/>
      <c r="O4233" s="242"/>
      <c r="P4233" s="242"/>
      <c r="Q4233" s="242"/>
      <c r="R4233" s="539"/>
      <c r="S4233" s="540"/>
      <c r="T4233" s="543"/>
      <c r="U4233" s="673" t="b">
        <v>0</v>
      </c>
      <c r="Z4233" t="b">
        <v>0</v>
      </c>
      <c r="AA4233" t="b">
        <v>0</v>
      </c>
      <c r="AC4233" s="82"/>
      <c r="AD4233" t="str">
        <f t="shared" si="71"/>
        <v/>
      </c>
      <c r="AE4233" t="str">
        <f t="shared" si="72"/>
        <v/>
      </c>
    </row>
    <row r="4234">
      <c r="D4234" s="226"/>
      <c r="H4234" s="474"/>
      <c r="I4234" s="474"/>
      <c r="J4234" s="475"/>
      <c r="K4234" s="275"/>
      <c r="L4234" s="82"/>
      <c r="M4234" s="672"/>
      <c r="N4234" s="242"/>
      <c r="O4234" s="242"/>
      <c r="P4234" s="242"/>
      <c r="Q4234" s="242"/>
      <c r="R4234" s="539"/>
      <c r="S4234" s="540"/>
      <c r="T4234" s="543"/>
      <c r="U4234" s="673" t="b">
        <v>0</v>
      </c>
      <c r="Z4234" t="b">
        <v>0</v>
      </c>
      <c r="AA4234" t="b">
        <v>0</v>
      </c>
      <c r="AC4234" s="82"/>
      <c r="AD4234" t="str">
        <f t="shared" si="71"/>
        <v/>
      </c>
      <c r="AE4234" t="str">
        <f t="shared" si="72"/>
        <v/>
      </c>
    </row>
    <row r="4235">
      <c r="D4235" s="226"/>
      <c r="H4235" s="474"/>
      <c r="I4235" s="474"/>
      <c r="J4235" s="475"/>
      <c r="K4235" s="275"/>
      <c r="L4235" s="82"/>
      <c r="M4235" s="672"/>
      <c r="N4235" s="242"/>
      <c r="O4235" s="242"/>
      <c r="P4235" s="242"/>
      <c r="Q4235" s="242"/>
      <c r="R4235" s="539"/>
      <c r="S4235" s="540"/>
      <c r="T4235" s="543"/>
      <c r="U4235" s="673" t="b">
        <v>0</v>
      </c>
      <c r="Z4235" t="b">
        <v>0</v>
      </c>
      <c r="AA4235" t="b">
        <v>0</v>
      </c>
      <c r="AC4235" s="82"/>
      <c r="AD4235" t="str">
        <f t="shared" si="71"/>
        <v/>
      </c>
      <c r="AE4235" t="str">
        <f t="shared" si="72"/>
        <v/>
      </c>
    </row>
    <row r="4236">
      <c r="D4236" s="226"/>
      <c r="H4236" s="474"/>
      <c r="I4236" s="474"/>
      <c r="J4236" s="475"/>
      <c r="K4236" s="275"/>
      <c r="L4236" s="82"/>
      <c r="M4236" s="672"/>
      <c r="N4236" s="242"/>
      <c r="O4236" s="242"/>
      <c r="P4236" s="242"/>
      <c r="Q4236" s="242"/>
      <c r="R4236" s="539"/>
      <c r="S4236" s="540"/>
      <c r="T4236" s="543"/>
      <c r="U4236" s="673" t="b">
        <v>0</v>
      </c>
      <c r="Z4236" t="b">
        <v>0</v>
      </c>
      <c r="AA4236" t="b">
        <v>0</v>
      </c>
      <c r="AC4236" s="82"/>
      <c r="AD4236" t="str">
        <f t="shared" si="71"/>
        <v/>
      </c>
      <c r="AE4236" t="str">
        <f t="shared" si="72"/>
        <v/>
      </c>
    </row>
    <row r="4237">
      <c r="D4237" s="226"/>
      <c r="H4237" s="474"/>
      <c r="I4237" s="474"/>
      <c r="J4237" s="475"/>
      <c r="K4237" s="275"/>
      <c r="L4237" s="82"/>
      <c r="M4237" s="672"/>
      <c r="N4237" s="242"/>
      <c r="O4237" s="242"/>
      <c r="P4237" s="242"/>
      <c r="Q4237" s="242"/>
      <c r="R4237" s="539"/>
      <c r="S4237" s="540"/>
      <c r="T4237" s="543"/>
      <c r="U4237" s="673" t="b">
        <v>0</v>
      </c>
      <c r="Z4237" t="b">
        <v>0</v>
      </c>
      <c r="AA4237" t="b">
        <v>0</v>
      </c>
      <c r="AC4237" s="82"/>
      <c r="AD4237" t="str">
        <f t="shared" si="71"/>
        <v/>
      </c>
      <c r="AE4237" t="str">
        <f t="shared" si="72"/>
        <v/>
      </c>
    </row>
    <row r="4238">
      <c r="D4238" s="226"/>
      <c r="H4238" s="474"/>
      <c r="I4238" s="474"/>
      <c r="J4238" s="475"/>
      <c r="K4238" s="275"/>
      <c r="L4238" s="82"/>
      <c r="M4238" s="672"/>
      <c r="N4238" s="242"/>
      <c r="O4238" s="242"/>
      <c r="P4238" s="242"/>
      <c r="Q4238" s="242"/>
      <c r="R4238" s="539"/>
      <c r="S4238" s="540"/>
      <c r="T4238" s="543"/>
      <c r="U4238" s="673" t="b">
        <v>0</v>
      </c>
      <c r="Z4238" t="b">
        <v>0</v>
      </c>
      <c r="AA4238" t="b">
        <v>0</v>
      </c>
      <c r="AC4238" s="82"/>
      <c r="AD4238" t="str">
        <f t="shared" si="71"/>
        <v/>
      </c>
      <c r="AE4238" t="str">
        <f t="shared" si="72"/>
        <v/>
      </c>
    </row>
    <row r="4239">
      <c r="D4239" s="226"/>
      <c r="H4239" s="474"/>
      <c r="I4239" s="474"/>
      <c r="J4239" s="475"/>
      <c r="K4239" s="275"/>
      <c r="L4239" s="82"/>
      <c r="M4239" s="672"/>
      <c r="N4239" s="242"/>
      <c r="O4239" s="242"/>
      <c r="P4239" s="242"/>
      <c r="Q4239" s="242"/>
      <c r="R4239" s="539"/>
      <c r="S4239" s="540"/>
      <c r="T4239" s="543"/>
      <c r="U4239" s="673" t="b">
        <v>0</v>
      </c>
      <c r="Z4239" t="b">
        <v>0</v>
      </c>
      <c r="AA4239" t="b">
        <v>0</v>
      </c>
      <c r="AC4239" s="82"/>
      <c r="AD4239" t="str">
        <f t="shared" si="71"/>
        <v/>
      </c>
      <c r="AE4239" t="str">
        <f t="shared" si="72"/>
        <v/>
      </c>
    </row>
    <row r="4240">
      <c r="D4240" s="226"/>
      <c r="H4240" s="474"/>
      <c r="I4240" s="474"/>
      <c r="J4240" s="475"/>
      <c r="K4240" s="275"/>
      <c r="L4240" s="82"/>
      <c r="M4240" s="672"/>
      <c r="N4240" s="242"/>
      <c r="O4240" s="242"/>
      <c r="P4240" s="242"/>
      <c r="Q4240" s="242"/>
      <c r="R4240" s="539"/>
      <c r="S4240" s="540"/>
      <c r="T4240" s="543"/>
      <c r="U4240" s="673" t="b">
        <v>0</v>
      </c>
      <c r="Z4240" t="b">
        <v>0</v>
      </c>
      <c r="AA4240" t="b">
        <v>0</v>
      </c>
      <c r="AC4240" s="82"/>
      <c r="AD4240" t="str">
        <f t="shared" si="71"/>
        <v/>
      </c>
      <c r="AE4240" t="str">
        <f t="shared" si="72"/>
        <v/>
      </c>
    </row>
    <row r="4241">
      <c r="D4241" s="226"/>
      <c r="H4241" s="474"/>
      <c r="I4241" s="474"/>
      <c r="J4241" s="475"/>
      <c r="K4241" s="275"/>
      <c r="L4241" s="82"/>
      <c r="M4241" s="672"/>
      <c r="N4241" s="242"/>
      <c r="O4241" s="242"/>
      <c r="P4241" s="242"/>
      <c r="Q4241" s="242"/>
      <c r="R4241" s="539"/>
      <c r="S4241" s="540"/>
      <c r="T4241" s="543"/>
      <c r="U4241" s="673" t="b">
        <v>0</v>
      </c>
      <c r="Z4241" t="b">
        <v>0</v>
      </c>
      <c r="AA4241" t="b">
        <v>0</v>
      </c>
      <c r="AC4241" s="82"/>
      <c r="AD4241" t="str">
        <f t="shared" si="71"/>
        <v/>
      </c>
      <c r="AE4241" t="str">
        <f t="shared" si="72"/>
        <v/>
      </c>
    </row>
    <row r="4242">
      <c r="D4242" s="226"/>
      <c r="H4242" s="474"/>
      <c r="I4242" s="474"/>
      <c r="J4242" s="475"/>
      <c r="K4242" s="275"/>
      <c r="L4242" s="82"/>
      <c r="M4242" s="672"/>
      <c r="N4242" s="242"/>
      <c r="O4242" s="242"/>
      <c r="P4242" s="242"/>
      <c r="Q4242" s="242"/>
      <c r="R4242" s="539"/>
      <c r="S4242" s="540"/>
      <c r="T4242" s="543"/>
      <c r="U4242" s="673" t="b">
        <v>0</v>
      </c>
      <c r="Z4242" t="b">
        <v>0</v>
      </c>
      <c r="AA4242" t="b">
        <v>0</v>
      </c>
      <c r="AC4242" s="82"/>
      <c r="AD4242" t="str">
        <f t="shared" si="71"/>
        <v/>
      </c>
      <c r="AE4242" t="str">
        <f t="shared" si="72"/>
        <v/>
      </c>
    </row>
    <row r="4243">
      <c r="D4243" s="226"/>
      <c r="H4243" s="474"/>
      <c r="I4243" s="474"/>
      <c r="J4243" s="475"/>
      <c r="K4243" s="275"/>
      <c r="L4243" s="82"/>
      <c r="M4243" s="672"/>
      <c r="N4243" s="242"/>
      <c r="O4243" s="242"/>
      <c r="P4243" s="242"/>
      <c r="Q4243" s="242"/>
      <c r="R4243" s="539"/>
      <c r="S4243" s="540"/>
      <c r="T4243" s="543"/>
      <c r="U4243" s="673" t="b">
        <v>0</v>
      </c>
      <c r="Z4243" t="b">
        <v>0</v>
      </c>
      <c r="AA4243" t="b">
        <v>0</v>
      </c>
      <c r="AC4243" s="82"/>
      <c r="AD4243" t="str">
        <f t="shared" si="71"/>
        <v/>
      </c>
      <c r="AE4243" t="str">
        <f t="shared" si="72"/>
        <v/>
      </c>
    </row>
    <row r="4244">
      <c r="D4244" s="226"/>
      <c r="H4244" s="474"/>
      <c r="I4244" s="474"/>
      <c r="J4244" s="475"/>
      <c r="K4244" s="275"/>
      <c r="L4244" s="82"/>
      <c r="M4244" s="672"/>
      <c r="N4244" s="242"/>
      <c r="O4244" s="242"/>
      <c r="P4244" s="242"/>
      <c r="Q4244" s="242"/>
      <c r="R4244" s="539"/>
      <c r="S4244" s="540"/>
      <c r="T4244" s="543"/>
      <c r="U4244" s="673" t="b">
        <v>0</v>
      </c>
      <c r="Z4244" t="b">
        <v>0</v>
      </c>
      <c r="AA4244" t="b">
        <v>0</v>
      </c>
      <c r="AC4244" s="82"/>
      <c r="AD4244" t="str">
        <f t="shared" si="71"/>
        <v/>
      </c>
      <c r="AE4244" t="str">
        <f t="shared" si="72"/>
        <v/>
      </c>
    </row>
    <row r="4245">
      <c r="D4245" s="226"/>
      <c r="H4245" s="474"/>
      <c r="I4245" s="474"/>
      <c r="J4245" s="475"/>
      <c r="K4245" s="275"/>
      <c r="L4245" s="82"/>
      <c r="M4245" s="672"/>
      <c r="N4245" s="242"/>
      <c r="O4245" s="242"/>
      <c r="P4245" s="242"/>
      <c r="Q4245" s="242"/>
      <c r="R4245" s="539"/>
      <c r="S4245" s="540"/>
      <c r="T4245" s="543"/>
      <c r="U4245" s="673" t="b">
        <v>0</v>
      </c>
      <c r="Z4245" t="b">
        <v>0</v>
      </c>
      <c r="AA4245" t="b">
        <v>0</v>
      </c>
      <c r="AC4245" s="82"/>
      <c r="AD4245" t="str">
        <f t="shared" si="71"/>
        <v/>
      </c>
      <c r="AE4245" t="str">
        <f t="shared" si="72"/>
        <v/>
      </c>
    </row>
    <row r="4246">
      <c r="D4246" s="226"/>
      <c r="H4246" s="474"/>
      <c r="I4246" s="474"/>
      <c r="J4246" s="475"/>
      <c r="K4246" s="275"/>
      <c r="L4246" s="82"/>
      <c r="M4246" s="672"/>
      <c r="N4246" s="242"/>
      <c r="O4246" s="242"/>
      <c r="P4246" s="242"/>
      <c r="Q4246" s="242"/>
      <c r="R4246" s="539"/>
      <c r="S4246" s="540"/>
      <c r="T4246" s="543"/>
      <c r="U4246" s="673" t="b">
        <v>0</v>
      </c>
      <c r="Z4246" t="b">
        <v>0</v>
      </c>
      <c r="AA4246" t="b">
        <v>0</v>
      </c>
      <c r="AC4246" s="82"/>
      <c r="AD4246" t="str">
        <f t="shared" si="71"/>
        <v/>
      </c>
      <c r="AE4246" t="str">
        <f t="shared" si="72"/>
        <v/>
      </c>
    </row>
    <row r="4247">
      <c r="D4247" s="226"/>
      <c r="H4247" s="474"/>
      <c r="I4247" s="474"/>
      <c r="J4247" s="475"/>
      <c r="K4247" s="275"/>
      <c r="L4247" s="82"/>
      <c r="M4247" s="672"/>
      <c r="N4247" s="242"/>
      <c r="O4247" s="242"/>
      <c r="P4247" s="242"/>
      <c r="Q4247" s="242"/>
      <c r="R4247" s="539"/>
      <c r="S4247" s="540"/>
      <c r="T4247" s="543"/>
      <c r="U4247" s="673" t="b">
        <v>0</v>
      </c>
      <c r="Z4247" t="b">
        <v>0</v>
      </c>
      <c r="AA4247" t="b">
        <v>0</v>
      </c>
      <c r="AC4247" s="82"/>
      <c r="AD4247" t="str">
        <f t="shared" si="71"/>
        <v/>
      </c>
      <c r="AE4247" t="str">
        <f t="shared" si="72"/>
        <v/>
      </c>
    </row>
    <row r="4248">
      <c r="D4248" s="226"/>
      <c r="H4248" s="474"/>
      <c r="I4248" s="474"/>
      <c r="J4248" s="475"/>
      <c r="K4248" s="275"/>
      <c r="L4248" s="82"/>
      <c r="M4248" s="672"/>
      <c r="N4248" s="242"/>
      <c r="O4248" s="242"/>
      <c r="P4248" s="242"/>
      <c r="Q4248" s="242"/>
      <c r="R4248" s="539"/>
      <c r="S4248" s="540"/>
      <c r="T4248" s="543"/>
      <c r="U4248" s="673" t="b">
        <v>0</v>
      </c>
      <c r="Z4248" t="b">
        <v>0</v>
      </c>
      <c r="AA4248" t="b">
        <v>0</v>
      </c>
      <c r="AC4248" s="82"/>
      <c r="AD4248" t="str">
        <f t="shared" si="71"/>
        <v/>
      </c>
      <c r="AE4248" t="str">
        <f t="shared" si="72"/>
        <v/>
      </c>
    </row>
    <row r="4249">
      <c r="D4249" s="226"/>
      <c r="H4249" s="474"/>
      <c r="I4249" s="474"/>
      <c r="J4249" s="475"/>
      <c r="K4249" s="275"/>
      <c r="L4249" s="82"/>
      <c r="M4249" s="672"/>
      <c r="N4249" s="242"/>
      <c r="O4249" s="242"/>
      <c r="P4249" s="242"/>
      <c r="Q4249" s="242"/>
      <c r="R4249" s="539"/>
      <c r="S4249" s="540"/>
      <c r="T4249" s="543"/>
      <c r="U4249" s="673" t="b">
        <v>0</v>
      </c>
      <c r="Z4249" t="b">
        <v>0</v>
      </c>
      <c r="AA4249" t="b">
        <v>0</v>
      </c>
      <c r="AC4249" s="82"/>
      <c r="AD4249" t="str">
        <f t="shared" si="71"/>
        <v/>
      </c>
      <c r="AE4249" t="str">
        <f t="shared" si="72"/>
        <v/>
      </c>
    </row>
    <row r="4250">
      <c r="D4250" s="226"/>
      <c r="H4250" s="474"/>
      <c r="I4250" s="474"/>
      <c r="J4250" s="475"/>
      <c r="K4250" s="275"/>
      <c r="L4250" s="82"/>
      <c r="M4250" s="672"/>
      <c r="N4250" s="242"/>
      <c r="O4250" s="242"/>
      <c r="P4250" s="242"/>
      <c r="Q4250" s="242"/>
      <c r="R4250" s="539"/>
      <c r="S4250" s="540"/>
      <c r="T4250" s="543"/>
      <c r="U4250" s="673" t="b">
        <v>0</v>
      </c>
      <c r="Z4250" t="b">
        <v>0</v>
      </c>
      <c r="AA4250" t="b">
        <v>0</v>
      </c>
      <c r="AC4250" s="82"/>
      <c r="AD4250" t="str">
        <f t="shared" si="71"/>
        <v/>
      </c>
      <c r="AE4250" t="str">
        <f t="shared" si="72"/>
        <v/>
      </c>
    </row>
    <row r="4251">
      <c r="D4251" s="226"/>
      <c r="H4251" s="474"/>
      <c r="I4251" s="474"/>
      <c r="J4251" s="475"/>
      <c r="K4251" s="275"/>
      <c r="L4251" s="82"/>
      <c r="M4251" s="672"/>
      <c r="N4251" s="242"/>
      <c r="O4251" s="242"/>
      <c r="P4251" s="242"/>
      <c r="Q4251" s="242"/>
      <c r="R4251" s="539"/>
      <c r="S4251" s="540"/>
      <c r="T4251" s="543"/>
      <c r="U4251" s="673" t="b">
        <v>0</v>
      </c>
      <c r="Z4251" t="b">
        <v>0</v>
      </c>
      <c r="AA4251" t="b">
        <v>0</v>
      </c>
      <c r="AC4251" s="82"/>
      <c r="AD4251" t="str">
        <f t="shared" si="71"/>
        <v/>
      </c>
      <c r="AE4251" t="str">
        <f t="shared" si="72"/>
        <v/>
      </c>
    </row>
    <row r="4252">
      <c r="D4252" s="226"/>
      <c r="H4252" s="474"/>
      <c r="I4252" s="474"/>
      <c r="J4252" s="475"/>
      <c r="K4252" s="275"/>
      <c r="L4252" s="82"/>
      <c r="M4252" s="672"/>
      <c r="N4252" s="242"/>
      <c r="O4252" s="242"/>
      <c r="P4252" s="242"/>
      <c r="Q4252" s="242"/>
      <c r="R4252" s="539"/>
      <c r="S4252" s="540"/>
      <c r="T4252" s="543"/>
      <c r="U4252" s="673" t="b">
        <v>0</v>
      </c>
      <c r="Z4252" t="b">
        <v>0</v>
      </c>
      <c r="AA4252" t="b">
        <v>0</v>
      </c>
      <c r="AC4252" s="82"/>
      <c r="AD4252" t="str">
        <f t="shared" si="71"/>
        <v/>
      </c>
      <c r="AE4252" t="str">
        <f t="shared" si="72"/>
        <v/>
      </c>
    </row>
    <row r="4253">
      <c r="D4253" s="226"/>
      <c r="H4253" s="474"/>
      <c r="I4253" s="474"/>
      <c r="J4253" s="475"/>
      <c r="K4253" s="275"/>
      <c r="L4253" s="82"/>
      <c r="M4253" s="672"/>
      <c r="N4253" s="242"/>
      <c r="O4253" s="242"/>
      <c r="P4253" s="242"/>
      <c r="Q4253" s="242"/>
      <c r="R4253" s="539"/>
      <c r="S4253" s="540"/>
      <c r="T4253" s="543"/>
      <c r="U4253" s="673" t="b">
        <v>0</v>
      </c>
      <c r="Z4253" t="b">
        <v>0</v>
      </c>
      <c r="AA4253" t="b">
        <v>0</v>
      </c>
      <c r="AC4253" s="82"/>
      <c r="AD4253" t="str">
        <f t="shared" si="71"/>
        <v/>
      </c>
      <c r="AE4253" t="str">
        <f t="shared" si="72"/>
        <v/>
      </c>
    </row>
    <row r="4254">
      <c r="D4254" s="226"/>
      <c r="H4254" s="474"/>
      <c r="I4254" s="474"/>
      <c r="J4254" s="475"/>
      <c r="K4254" s="275"/>
      <c r="L4254" s="82"/>
      <c r="M4254" s="672"/>
      <c r="N4254" s="242"/>
      <c r="O4254" s="242"/>
      <c r="P4254" s="242"/>
      <c r="Q4254" s="242"/>
      <c r="R4254" s="539"/>
      <c r="S4254" s="540"/>
      <c r="T4254" s="543"/>
      <c r="U4254" s="673" t="b">
        <v>0</v>
      </c>
      <c r="Z4254" t="b">
        <v>0</v>
      </c>
      <c r="AA4254" t="b">
        <v>0</v>
      </c>
      <c r="AC4254" s="82"/>
      <c r="AD4254" t="str">
        <f t="shared" si="71"/>
        <v/>
      </c>
      <c r="AE4254" t="str">
        <f t="shared" si="72"/>
        <v/>
      </c>
    </row>
    <row r="4255">
      <c r="D4255" s="226"/>
      <c r="H4255" s="474"/>
      <c r="I4255" s="474"/>
      <c r="J4255" s="475"/>
      <c r="K4255" s="275"/>
      <c r="L4255" s="82"/>
      <c r="M4255" s="672"/>
      <c r="N4255" s="242"/>
      <c r="O4255" s="242"/>
      <c r="P4255" s="242"/>
      <c r="Q4255" s="242"/>
      <c r="R4255" s="539"/>
      <c r="S4255" s="540"/>
      <c r="T4255" s="543"/>
      <c r="U4255" s="673" t="b">
        <v>0</v>
      </c>
      <c r="Z4255" t="b">
        <v>0</v>
      </c>
      <c r="AA4255" t="b">
        <v>0</v>
      </c>
      <c r="AC4255" s="82"/>
      <c r="AD4255" t="str">
        <f t="shared" si="71"/>
        <v/>
      </c>
      <c r="AE4255" t="str">
        <f t="shared" si="72"/>
        <v/>
      </c>
    </row>
    <row r="4256">
      <c r="D4256" s="226"/>
      <c r="H4256" s="474"/>
      <c r="I4256" s="474"/>
      <c r="J4256" s="475"/>
      <c r="K4256" s="275"/>
      <c r="L4256" s="82"/>
      <c r="M4256" s="672"/>
      <c r="N4256" s="242"/>
      <c r="O4256" s="242"/>
      <c r="P4256" s="242"/>
      <c r="Q4256" s="242"/>
      <c r="R4256" s="539"/>
      <c r="S4256" s="540"/>
      <c r="T4256" s="543"/>
      <c r="U4256" s="673" t="b">
        <v>0</v>
      </c>
      <c r="Z4256" t="b">
        <v>0</v>
      </c>
      <c r="AA4256" t="b">
        <v>0</v>
      </c>
      <c r="AC4256" s="82"/>
      <c r="AD4256" t="str">
        <f t="shared" si="71"/>
        <v/>
      </c>
      <c r="AE4256" t="str">
        <f t="shared" si="72"/>
        <v/>
      </c>
    </row>
    <row r="4257">
      <c r="D4257" s="226"/>
      <c r="H4257" s="474"/>
      <c r="I4257" s="474"/>
      <c r="J4257" s="475"/>
      <c r="K4257" s="275"/>
      <c r="L4257" s="82"/>
      <c r="M4257" s="672"/>
      <c r="N4257" s="242"/>
      <c r="O4257" s="242"/>
      <c r="P4257" s="242"/>
      <c r="Q4257" s="242"/>
      <c r="R4257" s="539"/>
      <c r="S4257" s="540"/>
      <c r="T4257" s="543"/>
      <c r="U4257" s="673" t="b">
        <v>0</v>
      </c>
      <c r="Z4257" t="b">
        <v>0</v>
      </c>
      <c r="AA4257" t="b">
        <v>0</v>
      </c>
      <c r="AC4257" s="82"/>
      <c r="AD4257" t="str">
        <f t="shared" si="71"/>
        <v/>
      </c>
      <c r="AE4257" t="str">
        <f t="shared" si="72"/>
        <v/>
      </c>
    </row>
    <row r="4258">
      <c r="D4258" s="226"/>
      <c r="H4258" s="474"/>
      <c r="I4258" s="474"/>
      <c r="J4258" s="475"/>
      <c r="K4258" s="275"/>
      <c r="L4258" s="82"/>
      <c r="M4258" s="672"/>
      <c r="N4258" s="242"/>
      <c r="O4258" s="242"/>
      <c r="P4258" s="242"/>
      <c r="Q4258" s="242"/>
      <c r="R4258" s="539"/>
      <c r="S4258" s="540"/>
      <c r="T4258" s="543"/>
      <c r="U4258" s="673" t="b">
        <v>0</v>
      </c>
      <c r="Z4258" t="b">
        <v>0</v>
      </c>
      <c r="AA4258" t="b">
        <v>0</v>
      </c>
      <c r="AC4258" s="82"/>
      <c r="AD4258" t="str">
        <f t="shared" si="71"/>
        <v/>
      </c>
      <c r="AE4258" t="str">
        <f t="shared" si="72"/>
        <v/>
      </c>
    </row>
    <row r="4259">
      <c r="D4259" s="226"/>
      <c r="H4259" s="474"/>
      <c r="I4259" s="474"/>
      <c r="J4259" s="475"/>
      <c r="K4259" s="275"/>
      <c r="L4259" s="82"/>
      <c r="M4259" s="672"/>
      <c r="N4259" s="242"/>
      <c r="O4259" s="242"/>
      <c r="P4259" s="242"/>
      <c r="Q4259" s="242"/>
      <c r="R4259" s="539"/>
      <c r="S4259" s="540"/>
      <c r="T4259" s="543"/>
      <c r="U4259" s="673" t="b">
        <v>0</v>
      </c>
      <c r="Z4259" t="b">
        <v>0</v>
      </c>
      <c r="AA4259" t="b">
        <v>0</v>
      </c>
      <c r="AC4259" s="82"/>
      <c r="AD4259" t="str">
        <f t="shared" si="71"/>
        <v/>
      </c>
      <c r="AE4259" t="str">
        <f t="shared" si="72"/>
        <v/>
      </c>
    </row>
    <row r="4260">
      <c r="D4260" s="226"/>
      <c r="H4260" s="474"/>
      <c r="I4260" s="474"/>
      <c r="J4260" s="475"/>
      <c r="K4260" s="275"/>
      <c r="L4260" s="82"/>
      <c r="M4260" s="672"/>
      <c r="N4260" s="242"/>
      <c r="O4260" s="242"/>
      <c r="P4260" s="242"/>
      <c r="Q4260" s="242"/>
      <c r="R4260" s="539"/>
      <c r="S4260" s="540"/>
      <c r="T4260" s="543"/>
      <c r="U4260" s="673" t="b">
        <v>0</v>
      </c>
      <c r="Z4260" t="b">
        <v>0</v>
      </c>
      <c r="AA4260" t="b">
        <v>0</v>
      </c>
      <c r="AC4260" s="82"/>
      <c r="AD4260" t="str">
        <f t="shared" si="71"/>
        <v/>
      </c>
      <c r="AE4260" t="str">
        <f t="shared" si="72"/>
        <v/>
      </c>
    </row>
    <row r="4261">
      <c r="D4261" s="226"/>
      <c r="H4261" s="474"/>
      <c r="I4261" s="474"/>
      <c r="J4261" s="475"/>
      <c r="K4261" s="275"/>
      <c r="L4261" s="82"/>
      <c r="M4261" s="672"/>
      <c r="N4261" s="242"/>
      <c r="O4261" s="242"/>
      <c r="P4261" s="242"/>
      <c r="Q4261" s="242"/>
      <c r="R4261" s="539"/>
      <c r="S4261" s="540"/>
      <c r="T4261" s="543"/>
      <c r="U4261" s="673" t="b">
        <v>0</v>
      </c>
      <c r="Z4261" t="b">
        <v>0</v>
      </c>
      <c r="AA4261" t="b">
        <v>0</v>
      </c>
      <c r="AC4261" s="82"/>
      <c r="AD4261" t="str">
        <f t="shared" si="71"/>
        <v/>
      </c>
      <c r="AE4261" t="str">
        <f t="shared" si="72"/>
        <v/>
      </c>
    </row>
    <row r="4262">
      <c r="D4262" s="226"/>
      <c r="H4262" s="474"/>
      <c r="I4262" s="474"/>
      <c r="J4262" s="475"/>
      <c r="K4262" s="275"/>
      <c r="L4262" s="82"/>
      <c r="M4262" s="672"/>
      <c r="N4262" s="242"/>
      <c r="O4262" s="242"/>
      <c r="P4262" s="242"/>
      <c r="Q4262" s="242"/>
      <c r="R4262" s="539"/>
      <c r="S4262" s="540"/>
      <c r="T4262" s="543"/>
      <c r="U4262" s="673" t="b">
        <v>0</v>
      </c>
      <c r="Z4262" t="b">
        <v>0</v>
      </c>
      <c r="AA4262" t="b">
        <v>0</v>
      </c>
      <c r="AC4262" s="82"/>
      <c r="AD4262" t="str">
        <f t="shared" si="71"/>
        <v/>
      </c>
      <c r="AE4262" t="str">
        <f t="shared" si="72"/>
        <v/>
      </c>
    </row>
    <row r="4263">
      <c r="D4263" s="226"/>
      <c r="H4263" s="474"/>
      <c r="I4263" s="474"/>
      <c r="J4263" s="475"/>
      <c r="K4263" s="275"/>
      <c r="L4263" s="82"/>
      <c r="M4263" s="672"/>
      <c r="N4263" s="242"/>
      <c r="O4263" s="242"/>
      <c r="P4263" s="242"/>
      <c r="Q4263" s="242"/>
      <c r="R4263" s="539"/>
      <c r="S4263" s="540"/>
      <c r="T4263" s="543"/>
      <c r="U4263" s="673" t="b">
        <v>0</v>
      </c>
      <c r="Z4263" t="b">
        <v>0</v>
      </c>
      <c r="AA4263" t="b">
        <v>0</v>
      </c>
      <c r="AC4263" s="82"/>
      <c r="AD4263" t="str">
        <f t="shared" si="71"/>
        <v/>
      </c>
      <c r="AE4263" t="str">
        <f t="shared" si="72"/>
        <v/>
      </c>
    </row>
    <row r="4264">
      <c r="D4264" s="226"/>
      <c r="H4264" s="474"/>
      <c r="I4264" s="474"/>
      <c r="J4264" s="475"/>
      <c r="K4264" s="275"/>
      <c r="L4264" s="82"/>
      <c r="M4264" s="672"/>
      <c r="N4264" s="242"/>
      <c r="O4264" s="242"/>
      <c r="P4264" s="242"/>
      <c r="Q4264" s="242"/>
      <c r="R4264" s="539"/>
      <c r="S4264" s="540"/>
      <c r="T4264" s="543"/>
      <c r="U4264" s="673" t="b">
        <v>0</v>
      </c>
      <c r="Z4264" t="b">
        <v>0</v>
      </c>
      <c r="AA4264" t="b">
        <v>0</v>
      </c>
      <c r="AC4264" s="82"/>
      <c r="AD4264" t="str">
        <f t="shared" si="71"/>
        <v/>
      </c>
      <c r="AE4264" t="str">
        <f t="shared" si="72"/>
        <v/>
      </c>
    </row>
    <row r="4265">
      <c r="D4265" s="226"/>
      <c r="H4265" s="474"/>
      <c r="I4265" s="474"/>
      <c r="J4265" s="475"/>
      <c r="K4265" s="275"/>
      <c r="L4265" s="82"/>
      <c r="M4265" s="672"/>
      <c r="N4265" s="242"/>
      <c r="O4265" s="242"/>
      <c r="P4265" s="242"/>
      <c r="Q4265" s="242"/>
      <c r="R4265" s="539"/>
      <c r="S4265" s="540"/>
      <c r="T4265" s="543"/>
      <c r="U4265" s="673" t="b">
        <v>0</v>
      </c>
      <c r="Z4265" t="b">
        <v>0</v>
      </c>
      <c r="AA4265" t="b">
        <v>0</v>
      </c>
      <c r="AC4265" s="82"/>
      <c r="AD4265" t="str">
        <f t="shared" si="71"/>
        <v/>
      </c>
      <c r="AE4265" t="str">
        <f t="shared" si="72"/>
        <v/>
      </c>
    </row>
    <row r="4266">
      <c r="D4266" s="226"/>
      <c r="H4266" s="474"/>
      <c r="I4266" s="474"/>
      <c r="J4266" s="475"/>
      <c r="K4266" s="275"/>
      <c r="L4266" s="82"/>
      <c r="M4266" s="672"/>
      <c r="N4266" s="242"/>
      <c r="O4266" s="242"/>
      <c r="P4266" s="242"/>
      <c r="Q4266" s="242"/>
      <c r="R4266" s="539"/>
      <c r="S4266" s="540"/>
      <c r="T4266" s="543"/>
      <c r="U4266" s="673" t="b">
        <v>0</v>
      </c>
      <c r="Z4266" t="b">
        <v>0</v>
      </c>
      <c r="AA4266" t="b">
        <v>0</v>
      </c>
      <c r="AC4266" s="82"/>
      <c r="AD4266" t="str">
        <f t="shared" si="71"/>
        <v/>
      </c>
      <c r="AE4266" t="str">
        <f t="shared" si="72"/>
        <v/>
      </c>
    </row>
    <row r="4267">
      <c r="D4267" s="226"/>
      <c r="H4267" s="474"/>
      <c r="I4267" s="474"/>
      <c r="J4267" s="475"/>
      <c r="K4267" s="275"/>
      <c r="L4267" s="82"/>
      <c r="M4267" s="672"/>
      <c r="N4267" s="242"/>
      <c r="O4267" s="242"/>
      <c r="P4267" s="242"/>
      <c r="Q4267" s="242"/>
      <c r="R4267" s="539"/>
      <c r="S4267" s="540"/>
      <c r="T4267" s="543"/>
      <c r="U4267" s="673" t="b">
        <v>0</v>
      </c>
      <c r="Z4267" t="b">
        <v>0</v>
      </c>
      <c r="AA4267" t="b">
        <v>0</v>
      </c>
      <c r="AC4267" s="82"/>
      <c r="AD4267" t="str">
        <f t="shared" si="71"/>
        <v/>
      </c>
      <c r="AE4267" t="str">
        <f t="shared" si="72"/>
        <v/>
      </c>
    </row>
    <row r="4268">
      <c r="D4268" s="226"/>
      <c r="H4268" s="474"/>
      <c r="I4268" s="474"/>
      <c r="J4268" s="475"/>
      <c r="K4268" s="275"/>
      <c r="L4268" s="82"/>
      <c r="M4268" s="672"/>
      <c r="N4268" s="242"/>
      <c r="O4268" s="242"/>
      <c r="P4268" s="242"/>
      <c r="Q4268" s="242"/>
      <c r="R4268" s="539"/>
      <c r="S4268" s="540"/>
      <c r="T4268" s="543"/>
      <c r="U4268" s="673" t="b">
        <v>0</v>
      </c>
      <c r="Z4268" t="b">
        <v>0</v>
      </c>
      <c r="AA4268" t="b">
        <v>0</v>
      </c>
      <c r="AC4268" s="82"/>
      <c r="AD4268" t="str">
        <f t="shared" si="71"/>
        <v/>
      </c>
      <c r="AE4268" t="str">
        <f t="shared" si="72"/>
        <v/>
      </c>
    </row>
    <row r="4269">
      <c r="D4269" s="226"/>
      <c r="H4269" s="474"/>
      <c r="I4269" s="474"/>
      <c r="J4269" s="475"/>
      <c r="K4269" s="275"/>
      <c r="L4269" s="82"/>
      <c r="M4269" s="672"/>
      <c r="N4269" s="242"/>
      <c r="O4269" s="242"/>
      <c r="P4269" s="242"/>
      <c r="Q4269" s="242"/>
      <c r="R4269" s="539"/>
      <c r="S4269" s="540"/>
      <c r="T4269" s="543"/>
      <c r="U4269" s="673" t="b">
        <v>0</v>
      </c>
      <c r="Z4269" t="b">
        <v>0</v>
      </c>
      <c r="AA4269" t="b">
        <v>0</v>
      </c>
      <c r="AC4269" s="82"/>
      <c r="AD4269" t="str">
        <f t="shared" si="71"/>
        <v/>
      </c>
      <c r="AE4269" t="str">
        <f t="shared" si="72"/>
        <v/>
      </c>
    </row>
    <row r="4270">
      <c r="D4270" s="226"/>
      <c r="H4270" s="474"/>
      <c r="I4270" s="474"/>
      <c r="J4270" s="475"/>
      <c r="K4270" s="275"/>
      <c r="L4270" s="82"/>
      <c r="M4270" s="672"/>
      <c r="N4270" s="242"/>
      <c r="O4270" s="242"/>
      <c r="P4270" s="242"/>
      <c r="Q4270" s="242"/>
      <c r="R4270" s="539"/>
      <c r="S4270" s="540"/>
      <c r="T4270" s="543"/>
      <c r="U4270" s="673" t="b">
        <v>0</v>
      </c>
      <c r="Z4270" t="b">
        <v>0</v>
      </c>
      <c r="AA4270" t="b">
        <v>0</v>
      </c>
      <c r="AC4270" s="82"/>
      <c r="AD4270" t="str">
        <f t="shared" si="71"/>
        <v/>
      </c>
      <c r="AE4270" t="str">
        <f t="shared" si="72"/>
        <v/>
      </c>
    </row>
    <row r="4271">
      <c r="D4271" s="226"/>
      <c r="H4271" s="474"/>
      <c r="I4271" s="474"/>
      <c r="J4271" s="475"/>
      <c r="K4271" s="275"/>
      <c r="L4271" s="82"/>
      <c r="M4271" s="672"/>
      <c r="N4271" s="242"/>
      <c r="O4271" s="242"/>
      <c r="P4271" s="242"/>
      <c r="Q4271" s="242"/>
      <c r="R4271" s="539"/>
      <c r="S4271" s="540"/>
      <c r="T4271" s="543"/>
      <c r="U4271" s="673" t="b">
        <v>0</v>
      </c>
      <c r="Z4271" t="b">
        <v>0</v>
      </c>
      <c r="AA4271" t="b">
        <v>0</v>
      </c>
      <c r="AC4271" s="82"/>
      <c r="AD4271" t="str">
        <f t="shared" si="71"/>
        <v/>
      </c>
      <c r="AE4271" t="str">
        <f t="shared" si="72"/>
        <v/>
      </c>
    </row>
    <row r="4272">
      <c r="D4272" s="226"/>
      <c r="H4272" s="474"/>
      <c r="I4272" s="474"/>
      <c r="J4272" s="475"/>
      <c r="K4272" s="275"/>
      <c r="L4272" s="82"/>
      <c r="M4272" s="672"/>
      <c r="N4272" s="242"/>
      <c r="O4272" s="242"/>
      <c r="P4272" s="242"/>
      <c r="Q4272" s="242"/>
      <c r="R4272" s="539"/>
      <c r="S4272" s="540"/>
      <c r="T4272" s="543"/>
      <c r="U4272" s="673" t="b">
        <v>0</v>
      </c>
      <c r="Z4272" t="b">
        <v>0</v>
      </c>
      <c r="AA4272" t="b">
        <v>0</v>
      </c>
      <c r="AC4272" s="82"/>
      <c r="AD4272" t="str">
        <f t="shared" si="71"/>
        <v/>
      </c>
      <c r="AE4272" t="str">
        <f t="shared" si="72"/>
        <v/>
      </c>
    </row>
    <row r="4273">
      <c r="D4273" s="226"/>
      <c r="H4273" s="474"/>
      <c r="I4273" s="474"/>
      <c r="J4273" s="475"/>
      <c r="K4273" s="275"/>
      <c r="L4273" s="82"/>
      <c r="M4273" s="672"/>
      <c r="N4273" s="242"/>
      <c r="O4273" s="242"/>
      <c r="P4273" s="242"/>
      <c r="Q4273" s="242"/>
      <c r="R4273" s="539"/>
      <c r="S4273" s="540"/>
      <c r="T4273" s="543"/>
      <c r="U4273" s="673" t="b">
        <v>0</v>
      </c>
      <c r="Z4273" t="b">
        <v>0</v>
      </c>
      <c r="AA4273" t="b">
        <v>0</v>
      </c>
      <c r="AC4273" s="82"/>
      <c r="AD4273" t="str">
        <f t="shared" si="71"/>
        <v/>
      </c>
      <c r="AE4273" t="str">
        <f t="shared" si="72"/>
        <v/>
      </c>
    </row>
    <row r="4274">
      <c r="D4274" s="226"/>
      <c r="H4274" s="474"/>
      <c r="I4274" s="474"/>
      <c r="J4274" s="475"/>
      <c r="K4274" s="275"/>
      <c r="L4274" s="82"/>
      <c r="M4274" s="672"/>
      <c r="N4274" s="242"/>
      <c r="O4274" s="242"/>
      <c r="P4274" s="242"/>
      <c r="Q4274" s="242"/>
      <c r="R4274" s="539"/>
      <c r="S4274" s="540"/>
      <c r="T4274" s="543"/>
      <c r="U4274" s="673" t="b">
        <v>0</v>
      </c>
      <c r="Z4274" t="b">
        <v>0</v>
      </c>
      <c r="AA4274" t="b">
        <v>0</v>
      </c>
      <c r="AC4274" s="82"/>
      <c r="AD4274" t="str">
        <f t="shared" si="71"/>
        <v/>
      </c>
      <c r="AE4274" t="str">
        <f t="shared" si="72"/>
        <v/>
      </c>
    </row>
    <row r="4275">
      <c r="D4275" s="226"/>
      <c r="H4275" s="474"/>
      <c r="I4275" s="474"/>
      <c r="J4275" s="475"/>
      <c r="K4275" s="275"/>
      <c r="L4275" s="82"/>
      <c r="M4275" s="672"/>
      <c r="N4275" s="242"/>
      <c r="O4275" s="242"/>
      <c r="P4275" s="242"/>
      <c r="Q4275" s="242"/>
      <c r="R4275" s="539"/>
      <c r="S4275" s="540"/>
      <c r="T4275" s="543"/>
      <c r="U4275" s="673" t="b">
        <v>0</v>
      </c>
      <c r="Z4275" t="b">
        <v>0</v>
      </c>
      <c r="AA4275" t="b">
        <v>0</v>
      </c>
      <c r="AC4275" s="82"/>
      <c r="AD4275" t="str">
        <f t="shared" si="71"/>
        <v/>
      </c>
      <c r="AE4275" t="str">
        <f t="shared" si="72"/>
        <v/>
      </c>
    </row>
    <row r="4276">
      <c r="D4276" s="226"/>
      <c r="H4276" s="474"/>
      <c r="I4276" s="474"/>
      <c r="J4276" s="475"/>
      <c r="K4276" s="275"/>
      <c r="L4276" s="82"/>
      <c r="M4276" s="672"/>
      <c r="N4276" s="242"/>
      <c r="O4276" s="242"/>
      <c r="P4276" s="242"/>
      <c r="Q4276" s="242"/>
      <c r="R4276" s="539"/>
      <c r="S4276" s="540"/>
      <c r="T4276" s="543"/>
      <c r="U4276" s="673" t="b">
        <v>0</v>
      </c>
      <c r="Z4276" t="b">
        <v>0</v>
      </c>
      <c r="AA4276" t="b">
        <v>0</v>
      </c>
      <c r="AC4276" s="82"/>
      <c r="AD4276" t="str">
        <f t="shared" si="71"/>
        <v/>
      </c>
      <c r="AE4276" t="str">
        <f t="shared" si="72"/>
        <v/>
      </c>
    </row>
    <row r="4277">
      <c r="D4277" s="226"/>
      <c r="H4277" s="474"/>
      <c r="I4277" s="474"/>
      <c r="J4277" s="475"/>
      <c r="K4277" s="275"/>
      <c r="L4277" s="82"/>
      <c r="M4277" s="672"/>
      <c r="N4277" s="242"/>
      <c r="O4277" s="242"/>
      <c r="P4277" s="242"/>
      <c r="Q4277" s="242"/>
      <c r="R4277" s="539"/>
      <c r="S4277" s="540"/>
      <c r="T4277" s="543"/>
      <c r="U4277" s="673" t="b">
        <v>0</v>
      </c>
      <c r="Z4277" t="b">
        <v>0</v>
      </c>
      <c r="AA4277" t="b">
        <v>0</v>
      </c>
      <c r="AC4277" s="82"/>
      <c r="AD4277" t="str">
        <f t="shared" si="71"/>
        <v/>
      </c>
      <c r="AE4277" t="str">
        <f t="shared" si="72"/>
        <v/>
      </c>
    </row>
    <row r="4278">
      <c r="D4278" s="226"/>
      <c r="H4278" s="474"/>
      <c r="I4278" s="474"/>
      <c r="J4278" s="475"/>
      <c r="K4278" s="275"/>
      <c r="L4278" s="82"/>
      <c r="M4278" s="672"/>
      <c r="N4278" s="242"/>
      <c r="O4278" s="242"/>
      <c r="P4278" s="242"/>
      <c r="Q4278" s="242"/>
      <c r="R4278" s="539"/>
      <c r="S4278" s="540"/>
      <c r="T4278" s="543"/>
      <c r="U4278" s="673" t="b">
        <v>0</v>
      </c>
      <c r="Z4278" t="b">
        <v>0</v>
      </c>
      <c r="AA4278" t="b">
        <v>0</v>
      </c>
      <c r="AC4278" s="82"/>
      <c r="AD4278" t="str">
        <f t="shared" si="71"/>
        <v/>
      </c>
      <c r="AE4278" t="str">
        <f t="shared" si="72"/>
        <v/>
      </c>
    </row>
    <row r="4279">
      <c r="D4279" s="226"/>
      <c r="H4279" s="474"/>
      <c r="I4279" s="474"/>
      <c r="J4279" s="475"/>
      <c r="K4279" s="275"/>
      <c r="L4279" s="82"/>
      <c r="M4279" s="672"/>
      <c r="N4279" s="242"/>
      <c r="O4279" s="242"/>
      <c r="P4279" s="242"/>
      <c r="Q4279" s="242"/>
      <c r="R4279" s="539"/>
      <c r="S4279" s="540"/>
      <c r="T4279" s="543"/>
      <c r="U4279" s="673" t="b">
        <v>0</v>
      </c>
      <c r="Z4279" t="b">
        <v>0</v>
      </c>
      <c r="AA4279" t="b">
        <v>0</v>
      </c>
      <c r="AC4279" s="82"/>
      <c r="AD4279" t="str">
        <f t="shared" si="71"/>
        <v/>
      </c>
      <c r="AE4279" t="str">
        <f t="shared" si="72"/>
        <v/>
      </c>
    </row>
    <row r="4280">
      <c r="D4280" s="226"/>
      <c r="H4280" s="474"/>
      <c r="I4280" s="474"/>
      <c r="J4280" s="475"/>
      <c r="K4280" s="275"/>
      <c r="L4280" s="82"/>
      <c r="M4280" s="672"/>
      <c r="N4280" s="242"/>
      <c r="O4280" s="242"/>
      <c r="P4280" s="242"/>
      <c r="Q4280" s="242"/>
      <c r="R4280" s="539"/>
      <c r="S4280" s="540"/>
      <c r="T4280" s="543"/>
      <c r="U4280" s="673" t="b">
        <v>0</v>
      </c>
      <c r="Z4280" t="b">
        <v>0</v>
      </c>
      <c r="AA4280" t="b">
        <v>0</v>
      </c>
      <c r="AC4280" s="82"/>
      <c r="AD4280" t="str">
        <f t="shared" si="71"/>
        <v/>
      </c>
      <c r="AE4280" t="str">
        <f t="shared" si="72"/>
        <v/>
      </c>
    </row>
    <row r="4281">
      <c r="D4281" s="226"/>
      <c r="H4281" s="474"/>
      <c r="I4281" s="474"/>
      <c r="J4281" s="475"/>
      <c r="K4281" s="275"/>
      <c r="L4281" s="82"/>
      <c r="M4281" s="672"/>
      <c r="N4281" s="242"/>
      <c r="O4281" s="242"/>
      <c r="P4281" s="242"/>
      <c r="Q4281" s="242"/>
      <c r="R4281" s="539"/>
      <c r="S4281" s="540"/>
      <c r="T4281" s="543"/>
      <c r="U4281" s="673" t="b">
        <v>0</v>
      </c>
      <c r="Z4281" t="b">
        <v>0</v>
      </c>
      <c r="AA4281" t="b">
        <v>0</v>
      </c>
      <c r="AC4281" s="82"/>
      <c r="AD4281" t="str">
        <f t="shared" si="71"/>
        <v/>
      </c>
      <c r="AE4281" t="str">
        <f t="shared" si="72"/>
        <v/>
      </c>
    </row>
    <row r="4282">
      <c r="D4282" s="226"/>
      <c r="H4282" s="474"/>
      <c r="I4282" s="474"/>
      <c r="J4282" s="475"/>
      <c r="K4282" s="275"/>
      <c r="L4282" s="82"/>
      <c r="M4282" s="672"/>
      <c r="N4282" s="242"/>
      <c r="O4282" s="242"/>
      <c r="P4282" s="242"/>
      <c r="Q4282" s="242"/>
      <c r="R4282" s="539"/>
      <c r="S4282" s="540"/>
      <c r="T4282" s="543"/>
      <c r="U4282" s="673" t="b">
        <v>0</v>
      </c>
      <c r="Z4282" t="b">
        <v>0</v>
      </c>
      <c r="AA4282" t="b">
        <v>0</v>
      </c>
      <c r="AC4282" s="82"/>
      <c r="AD4282" t="str">
        <f t="shared" si="71"/>
        <v/>
      </c>
      <c r="AE4282" t="str">
        <f t="shared" si="72"/>
        <v/>
      </c>
    </row>
    <row r="4283">
      <c r="D4283" s="226"/>
      <c r="H4283" s="474"/>
      <c r="I4283" s="474"/>
      <c r="J4283" s="475"/>
      <c r="K4283" s="275"/>
      <c r="L4283" s="82"/>
      <c r="M4283" s="672"/>
      <c r="N4283" s="242"/>
      <c r="O4283" s="242"/>
      <c r="P4283" s="242"/>
      <c r="Q4283" s="242"/>
      <c r="R4283" s="539"/>
      <c r="S4283" s="540"/>
      <c r="T4283" s="543"/>
      <c r="U4283" s="673" t="b">
        <v>0</v>
      </c>
      <c r="Z4283" t="b">
        <v>0</v>
      </c>
      <c r="AA4283" t="b">
        <v>0</v>
      </c>
      <c r="AC4283" s="82"/>
      <c r="AD4283" t="str">
        <f t="shared" si="71"/>
        <v/>
      </c>
      <c r="AE4283" t="str">
        <f t="shared" si="72"/>
        <v/>
      </c>
    </row>
    <row r="4284">
      <c r="D4284" s="226"/>
      <c r="H4284" s="474"/>
      <c r="I4284" s="474"/>
      <c r="J4284" s="475"/>
      <c r="K4284" s="275"/>
      <c r="L4284" s="82"/>
      <c r="M4284" s="672"/>
      <c r="N4284" s="242"/>
      <c r="O4284" s="242"/>
      <c r="P4284" s="242"/>
      <c r="Q4284" s="242"/>
      <c r="R4284" s="539"/>
      <c r="S4284" s="540"/>
      <c r="T4284" s="543"/>
      <c r="U4284" s="673" t="b">
        <v>0</v>
      </c>
      <c r="Z4284" t="b">
        <v>0</v>
      </c>
      <c r="AA4284" t="b">
        <v>0</v>
      </c>
      <c r="AC4284" s="82"/>
      <c r="AD4284" t="str">
        <f t="shared" si="71"/>
        <v/>
      </c>
      <c r="AE4284" t="str">
        <f t="shared" si="72"/>
        <v/>
      </c>
    </row>
    <row r="4285">
      <c r="D4285" s="226"/>
      <c r="H4285" s="474"/>
      <c r="I4285" s="474"/>
      <c r="J4285" s="475"/>
      <c r="K4285" s="275"/>
      <c r="L4285" s="82"/>
      <c r="M4285" s="672"/>
      <c r="N4285" s="242"/>
      <c r="O4285" s="242"/>
      <c r="P4285" s="242"/>
      <c r="Q4285" s="242"/>
      <c r="R4285" s="539"/>
      <c r="S4285" s="540"/>
      <c r="T4285" s="543"/>
      <c r="U4285" s="673" t="b">
        <v>0</v>
      </c>
      <c r="Z4285" t="b">
        <v>0</v>
      </c>
      <c r="AA4285" t="b">
        <v>0</v>
      </c>
      <c r="AC4285" s="82"/>
      <c r="AD4285" t="str">
        <f t="shared" si="71"/>
        <v/>
      </c>
      <c r="AE4285" t="str">
        <f t="shared" si="72"/>
        <v/>
      </c>
    </row>
    <row r="4286">
      <c r="D4286" s="226"/>
      <c r="H4286" s="474"/>
      <c r="I4286" s="474"/>
      <c r="J4286" s="475"/>
      <c r="K4286" s="275"/>
      <c r="L4286" s="82"/>
      <c r="M4286" s="672"/>
      <c r="N4286" s="242"/>
      <c r="O4286" s="242"/>
      <c r="P4286" s="242"/>
      <c r="Q4286" s="242"/>
      <c r="R4286" s="539"/>
      <c r="S4286" s="540"/>
      <c r="T4286" s="543"/>
      <c r="U4286" s="673" t="b">
        <v>0</v>
      </c>
      <c r="Z4286" t="b">
        <v>0</v>
      </c>
      <c r="AA4286" t="b">
        <v>0</v>
      </c>
      <c r="AC4286" s="82"/>
      <c r="AD4286" t="str">
        <f t="shared" si="71"/>
        <v/>
      </c>
      <c r="AE4286" t="str">
        <f t="shared" si="72"/>
        <v/>
      </c>
    </row>
    <row r="4287">
      <c r="D4287" s="226"/>
      <c r="H4287" s="474"/>
      <c r="I4287" s="474"/>
      <c r="J4287" s="475"/>
      <c r="K4287" s="275"/>
      <c r="L4287" s="82"/>
      <c r="M4287" s="672"/>
      <c r="N4287" s="242"/>
      <c r="O4287" s="242"/>
      <c r="P4287" s="242"/>
      <c r="Q4287" s="242"/>
      <c r="R4287" s="539"/>
      <c r="S4287" s="540"/>
      <c r="T4287" s="543"/>
      <c r="U4287" s="673" t="b">
        <v>0</v>
      </c>
      <c r="Z4287" t="b">
        <v>0</v>
      </c>
      <c r="AA4287" t="b">
        <v>0</v>
      </c>
      <c r="AC4287" s="82"/>
      <c r="AD4287" t="str">
        <f t="shared" si="71"/>
        <v/>
      </c>
      <c r="AE4287" t="str">
        <f t="shared" si="72"/>
        <v/>
      </c>
    </row>
    <row r="4288">
      <c r="D4288" s="226"/>
      <c r="H4288" s="474"/>
      <c r="I4288" s="474"/>
      <c r="J4288" s="475"/>
      <c r="K4288" s="275"/>
      <c r="L4288" s="82"/>
      <c r="M4288" s="672"/>
      <c r="N4288" s="242"/>
      <c r="O4288" s="242"/>
      <c r="P4288" s="242"/>
      <c r="Q4288" s="242"/>
      <c r="R4288" s="539"/>
      <c r="S4288" s="540"/>
      <c r="T4288" s="543"/>
      <c r="U4288" s="673" t="b">
        <v>0</v>
      </c>
      <c r="Z4288" t="b">
        <v>0</v>
      </c>
      <c r="AA4288" t="b">
        <v>0</v>
      </c>
      <c r="AC4288" s="82"/>
      <c r="AD4288" t="str">
        <f t="shared" si="71"/>
        <v/>
      </c>
      <c r="AE4288" t="str">
        <f t="shared" si="72"/>
        <v/>
      </c>
    </row>
    <row r="4289">
      <c r="D4289" s="226"/>
      <c r="H4289" s="474"/>
      <c r="I4289" s="474"/>
      <c r="J4289" s="475"/>
      <c r="K4289" s="275"/>
      <c r="L4289" s="82"/>
      <c r="M4289" s="672"/>
      <c r="N4289" s="242"/>
      <c r="O4289" s="242"/>
      <c r="P4289" s="242"/>
      <c r="Q4289" s="242"/>
      <c r="R4289" s="539"/>
      <c r="S4289" s="540"/>
      <c r="T4289" s="543"/>
      <c r="U4289" s="673" t="b">
        <v>0</v>
      </c>
      <c r="Z4289" t="b">
        <v>0</v>
      </c>
      <c r="AA4289" t="b">
        <v>0</v>
      </c>
      <c r="AC4289" s="82"/>
      <c r="AD4289" t="str">
        <f t="shared" si="71"/>
        <v/>
      </c>
      <c r="AE4289" t="str">
        <f t="shared" si="72"/>
        <v/>
      </c>
    </row>
    <row r="4290">
      <c r="D4290" s="226"/>
      <c r="H4290" s="474"/>
      <c r="I4290" s="474"/>
      <c r="J4290" s="475"/>
      <c r="K4290" s="275"/>
      <c r="L4290" s="82"/>
      <c r="M4290" s="672"/>
      <c r="N4290" s="242"/>
      <c r="O4290" s="242"/>
      <c r="P4290" s="242"/>
      <c r="Q4290" s="242"/>
      <c r="R4290" s="539"/>
      <c r="S4290" s="540"/>
      <c r="T4290" s="543"/>
      <c r="U4290" s="673" t="b">
        <v>0</v>
      </c>
      <c r="Z4290" t="b">
        <v>0</v>
      </c>
      <c r="AA4290" t="b">
        <v>0</v>
      </c>
      <c r="AC4290" s="82"/>
      <c r="AD4290" t="str">
        <f t="shared" si="71"/>
        <v/>
      </c>
      <c r="AE4290" t="str">
        <f t="shared" si="72"/>
        <v/>
      </c>
    </row>
    <row r="4291">
      <c r="D4291" s="226"/>
      <c r="H4291" s="474"/>
      <c r="I4291" s="474"/>
      <c r="J4291" s="475"/>
      <c r="K4291" s="275"/>
      <c r="L4291" s="82"/>
      <c r="M4291" s="672"/>
      <c r="N4291" s="242"/>
      <c r="O4291" s="242"/>
      <c r="P4291" s="242"/>
      <c r="Q4291" s="242"/>
      <c r="R4291" s="539"/>
      <c r="S4291" s="540"/>
      <c r="T4291" s="543"/>
      <c r="U4291" s="673" t="b">
        <v>0</v>
      </c>
      <c r="Z4291" t="b">
        <v>0</v>
      </c>
      <c r="AA4291" t="b">
        <v>0</v>
      </c>
      <c r="AC4291" s="82"/>
      <c r="AD4291" t="str">
        <f t="shared" si="71"/>
        <v/>
      </c>
      <c r="AE4291" t="str">
        <f t="shared" si="72"/>
        <v/>
      </c>
    </row>
    <row r="4292">
      <c r="D4292" s="226"/>
      <c r="H4292" s="474"/>
      <c r="I4292" s="474"/>
      <c r="J4292" s="475"/>
      <c r="K4292" s="275"/>
      <c r="L4292" s="82"/>
      <c r="M4292" s="672"/>
      <c r="N4292" s="242"/>
      <c r="O4292" s="242"/>
      <c r="P4292" s="242"/>
      <c r="Q4292" s="242"/>
      <c r="R4292" s="539"/>
      <c r="S4292" s="540"/>
      <c r="T4292" s="543"/>
      <c r="U4292" s="673" t="b">
        <v>0</v>
      </c>
      <c r="Z4292" t="b">
        <v>0</v>
      </c>
      <c r="AA4292" t="b">
        <v>0</v>
      </c>
      <c r="AC4292" s="82"/>
      <c r="AD4292" t="str">
        <f t="shared" si="71"/>
        <v/>
      </c>
      <c r="AE4292" t="str">
        <f t="shared" si="72"/>
        <v/>
      </c>
    </row>
    <row r="4293">
      <c r="D4293" s="226"/>
      <c r="H4293" s="474"/>
      <c r="I4293" s="474"/>
      <c r="J4293" s="475"/>
      <c r="K4293" s="275"/>
      <c r="L4293" s="82"/>
      <c r="M4293" s="672"/>
      <c r="N4293" s="242"/>
      <c r="O4293" s="242"/>
      <c r="P4293" s="242"/>
      <c r="Q4293" s="242"/>
      <c r="R4293" s="539"/>
      <c r="S4293" s="540"/>
      <c r="T4293" s="543"/>
      <c r="U4293" s="673" t="b">
        <v>0</v>
      </c>
      <c r="Z4293" t="b">
        <v>0</v>
      </c>
      <c r="AA4293" t="b">
        <v>0</v>
      </c>
      <c r="AC4293" s="82"/>
      <c r="AD4293" t="str">
        <f t="shared" si="71"/>
        <v/>
      </c>
      <c r="AE4293" t="str">
        <f t="shared" si="72"/>
        <v/>
      </c>
    </row>
    <row r="4294">
      <c r="D4294" s="226"/>
      <c r="H4294" s="474"/>
      <c r="I4294" s="474"/>
      <c r="J4294" s="475"/>
      <c r="K4294" s="275"/>
      <c r="L4294" s="82"/>
      <c r="M4294" s="672"/>
      <c r="N4294" s="242"/>
      <c r="O4294" s="242"/>
      <c r="P4294" s="242"/>
      <c r="Q4294" s="242"/>
      <c r="R4294" s="539"/>
      <c r="S4294" s="540"/>
      <c r="T4294" s="543"/>
      <c r="U4294" s="673" t="b">
        <v>0</v>
      </c>
      <c r="Z4294" t="b">
        <v>0</v>
      </c>
      <c r="AA4294" t="b">
        <v>0</v>
      </c>
      <c r="AC4294" s="82"/>
      <c r="AD4294" t="str">
        <f t="shared" si="71"/>
        <v/>
      </c>
      <c r="AE4294" t="str">
        <f t="shared" si="72"/>
        <v/>
      </c>
    </row>
    <row r="4295">
      <c r="D4295" s="226"/>
      <c r="H4295" s="474"/>
      <c r="I4295" s="474"/>
      <c r="J4295" s="475"/>
      <c r="K4295" s="275"/>
      <c r="L4295" s="82"/>
      <c r="M4295" s="672"/>
      <c r="N4295" s="242"/>
      <c r="O4295" s="242"/>
      <c r="P4295" s="242"/>
      <c r="Q4295" s="242"/>
      <c r="R4295" s="539"/>
      <c r="S4295" s="540"/>
      <c r="T4295" s="543"/>
      <c r="U4295" s="673" t="b">
        <v>0</v>
      </c>
      <c r="Z4295" t="b">
        <v>0</v>
      </c>
      <c r="AA4295" t="b">
        <v>0</v>
      </c>
      <c r="AC4295" s="82"/>
      <c r="AD4295" t="str">
        <f t="shared" si="71"/>
        <v/>
      </c>
      <c r="AE4295" t="str">
        <f t="shared" si="72"/>
        <v/>
      </c>
    </row>
    <row r="4296">
      <c r="D4296" s="226"/>
      <c r="H4296" s="474"/>
      <c r="I4296" s="474"/>
      <c r="J4296" s="475"/>
      <c r="K4296" s="275"/>
      <c r="L4296" s="82"/>
      <c r="M4296" s="672"/>
      <c r="N4296" s="242"/>
      <c r="O4296" s="242"/>
      <c r="P4296" s="242"/>
      <c r="Q4296" s="242"/>
      <c r="R4296" s="539"/>
      <c r="S4296" s="540"/>
      <c r="T4296" s="543"/>
      <c r="U4296" s="673" t="b">
        <v>0</v>
      </c>
      <c r="Z4296" t="b">
        <v>0</v>
      </c>
      <c r="AA4296" t="b">
        <v>0</v>
      </c>
      <c r="AC4296" s="82"/>
      <c r="AD4296" t="str">
        <f t="shared" si="71"/>
        <v/>
      </c>
      <c r="AE4296" t="str">
        <f t="shared" si="72"/>
        <v/>
      </c>
    </row>
    <row r="4297">
      <c r="D4297" s="226"/>
      <c r="H4297" s="474"/>
      <c r="I4297" s="474"/>
      <c r="J4297" s="475"/>
      <c r="K4297" s="275"/>
      <c r="L4297" s="82"/>
      <c r="M4297" s="672"/>
      <c r="N4297" s="242"/>
      <c r="O4297" s="242"/>
      <c r="P4297" s="242"/>
      <c r="Q4297" s="242"/>
      <c r="R4297" s="539"/>
      <c r="S4297" s="540"/>
      <c r="T4297" s="543"/>
      <c r="U4297" s="673" t="b">
        <v>0</v>
      </c>
      <c r="Z4297" t="b">
        <v>0</v>
      </c>
      <c r="AA4297" t="b">
        <v>0</v>
      </c>
      <c r="AC4297" s="82"/>
      <c r="AD4297" t="str">
        <f t="shared" si="71"/>
        <v/>
      </c>
      <c r="AE4297" t="str">
        <f t="shared" si="72"/>
        <v/>
      </c>
    </row>
    <row r="4298">
      <c r="D4298" s="226"/>
      <c r="H4298" s="474"/>
      <c r="I4298" s="474"/>
      <c r="J4298" s="475"/>
      <c r="K4298" s="275"/>
      <c r="L4298" s="82"/>
      <c r="M4298" s="672"/>
      <c r="N4298" s="242"/>
      <c r="O4298" s="242"/>
      <c r="P4298" s="242"/>
      <c r="Q4298" s="242"/>
      <c r="R4298" s="539"/>
      <c r="S4298" s="540"/>
      <c r="T4298" s="543"/>
      <c r="U4298" s="673" t="b">
        <v>0</v>
      </c>
      <c r="Z4298" t="b">
        <v>0</v>
      </c>
      <c r="AA4298" t="b">
        <v>0</v>
      </c>
      <c r="AC4298" s="82"/>
      <c r="AD4298" t="str">
        <f t="shared" si="71"/>
        <v/>
      </c>
      <c r="AE4298" t="str">
        <f t="shared" si="72"/>
        <v/>
      </c>
    </row>
    <row r="4299">
      <c r="D4299" s="226"/>
      <c r="H4299" s="474"/>
      <c r="I4299" s="474"/>
      <c r="J4299" s="475"/>
      <c r="K4299" s="275"/>
      <c r="L4299" s="82"/>
      <c r="M4299" s="672"/>
      <c r="N4299" s="242"/>
      <c r="O4299" s="242"/>
      <c r="P4299" s="242"/>
      <c r="Q4299" s="242"/>
      <c r="R4299" s="539"/>
      <c r="S4299" s="540"/>
      <c r="T4299" s="543"/>
      <c r="U4299" s="673" t="b">
        <v>0</v>
      </c>
      <c r="Z4299" t="b">
        <v>0</v>
      </c>
      <c r="AA4299" t="b">
        <v>0</v>
      </c>
      <c r="AC4299" s="82"/>
      <c r="AD4299" t="str">
        <f t="shared" si="71"/>
        <v/>
      </c>
      <c r="AE4299" t="str">
        <f t="shared" si="72"/>
        <v/>
      </c>
    </row>
    <row r="4300">
      <c r="D4300" s="226"/>
      <c r="H4300" s="474"/>
      <c r="I4300" s="474"/>
      <c r="J4300" s="475"/>
      <c r="K4300" s="275"/>
      <c r="L4300" s="82"/>
      <c r="M4300" s="672"/>
      <c r="N4300" s="242"/>
      <c r="O4300" s="242"/>
      <c r="P4300" s="242"/>
      <c r="Q4300" s="242"/>
      <c r="R4300" s="539"/>
      <c r="S4300" s="540"/>
      <c r="T4300" s="543"/>
      <c r="U4300" s="673" t="b">
        <v>0</v>
      </c>
      <c r="Z4300" t="b">
        <v>0</v>
      </c>
      <c r="AA4300" t="b">
        <v>0</v>
      </c>
      <c r="AC4300" s="82"/>
      <c r="AD4300" t="str">
        <f t="shared" si="71"/>
        <v/>
      </c>
      <c r="AE4300" t="str">
        <f t="shared" si="72"/>
        <v/>
      </c>
    </row>
    <row r="4301">
      <c r="D4301" s="226"/>
      <c r="H4301" s="474"/>
      <c r="I4301" s="474"/>
      <c r="J4301" s="475"/>
      <c r="K4301" s="275"/>
      <c r="L4301" s="82"/>
      <c r="M4301" s="672"/>
      <c r="N4301" s="242"/>
      <c r="O4301" s="242"/>
      <c r="P4301" s="242"/>
      <c r="Q4301" s="242"/>
      <c r="R4301" s="539"/>
      <c r="S4301" s="540"/>
      <c r="T4301" s="543"/>
      <c r="U4301" s="673" t="b">
        <v>0</v>
      </c>
      <c r="Z4301" t="b">
        <v>0</v>
      </c>
      <c r="AA4301" t="b">
        <v>0</v>
      </c>
      <c r="AC4301" s="82"/>
      <c r="AD4301" t="str">
        <f t="shared" si="71"/>
        <v/>
      </c>
      <c r="AE4301" t="str">
        <f t="shared" si="72"/>
        <v/>
      </c>
    </row>
    <row r="4302">
      <c r="D4302" s="226"/>
      <c r="H4302" s="474"/>
      <c r="I4302" s="474"/>
      <c r="J4302" s="475"/>
      <c r="K4302" s="275"/>
      <c r="L4302" s="82"/>
      <c r="M4302" s="672"/>
      <c r="N4302" s="242"/>
      <c r="O4302" s="242"/>
      <c r="P4302" s="242"/>
      <c r="Q4302" s="242"/>
      <c r="R4302" s="539"/>
      <c r="S4302" s="540"/>
      <c r="T4302" s="543"/>
      <c r="U4302" s="673" t="b">
        <v>0</v>
      </c>
      <c r="Z4302" t="b">
        <v>0</v>
      </c>
      <c r="AA4302" t="b">
        <v>0</v>
      </c>
      <c r="AC4302" s="82"/>
      <c r="AD4302" t="str">
        <f t="shared" si="71"/>
        <v/>
      </c>
      <c r="AE4302" t="str">
        <f t="shared" si="72"/>
        <v/>
      </c>
    </row>
    <row r="4303">
      <c r="D4303" s="226"/>
      <c r="H4303" s="474"/>
      <c r="I4303" s="474"/>
      <c r="J4303" s="475"/>
      <c r="K4303" s="275"/>
      <c r="L4303" s="82"/>
      <c r="M4303" s="672"/>
      <c r="N4303" s="242"/>
      <c r="O4303" s="242"/>
      <c r="P4303" s="242"/>
      <c r="Q4303" s="242"/>
      <c r="R4303" s="539"/>
      <c r="S4303" s="540"/>
      <c r="T4303" s="543"/>
      <c r="U4303" s="673" t="b">
        <v>0</v>
      </c>
      <c r="Z4303" t="b">
        <v>0</v>
      </c>
      <c r="AA4303" t="b">
        <v>0</v>
      </c>
      <c r="AC4303" s="82"/>
      <c r="AD4303" t="str">
        <f t="shared" si="71"/>
        <v/>
      </c>
      <c r="AE4303" t="str">
        <f t="shared" si="72"/>
        <v/>
      </c>
    </row>
    <row r="4304">
      <c r="D4304" s="226"/>
      <c r="H4304" s="474"/>
      <c r="I4304" s="474"/>
      <c r="J4304" s="475"/>
      <c r="K4304" s="275"/>
      <c r="L4304" s="82"/>
      <c r="M4304" s="672"/>
      <c r="N4304" s="242"/>
      <c r="O4304" s="242"/>
      <c r="P4304" s="242"/>
      <c r="Q4304" s="242"/>
      <c r="R4304" s="539"/>
      <c r="S4304" s="540"/>
      <c r="T4304" s="543"/>
      <c r="U4304" s="673" t="b">
        <v>0</v>
      </c>
      <c r="Z4304" t="b">
        <v>0</v>
      </c>
      <c r="AA4304" t="b">
        <v>0</v>
      </c>
      <c r="AC4304" s="82"/>
      <c r="AD4304" t="str">
        <f t="shared" si="71"/>
        <v/>
      </c>
      <c r="AE4304" t="str">
        <f t="shared" si="72"/>
        <v/>
      </c>
    </row>
    <row r="4305">
      <c r="D4305" s="226"/>
      <c r="H4305" s="474"/>
      <c r="I4305" s="474"/>
      <c r="J4305" s="475"/>
      <c r="K4305" s="275"/>
      <c r="L4305" s="82"/>
      <c r="M4305" s="672"/>
      <c r="N4305" s="242"/>
      <c r="O4305" s="242"/>
      <c r="P4305" s="242"/>
      <c r="Q4305" s="242"/>
      <c r="R4305" s="539"/>
      <c r="S4305" s="540"/>
      <c r="T4305" s="543"/>
      <c r="U4305" s="673" t="b">
        <v>0</v>
      </c>
      <c r="Z4305" t="b">
        <v>0</v>
      </c>
      <c r="AA4305" t="b">
        <v>0</v>
      </c>
      <c r="AC4305" s="82"/>
      <c r="AD4305" t="str">
        <f t="shared" si="71"/>
        <v/>
      </c>
      <c r="AE4305" t="str">
        <f t="shared" si="72"/>
        <v/>
      </c>
    </row>
    <row r="4306">
      <c r="D4306" s="226"/>
      <c r="H4306" s="474"/>
      <c r="I4306" s="474"/>
      <c r="J4306" s="475"/>
      <c r="K4306" s="275"/>
      <c r="L4306" s="82"/>
      <c r="M4306" s="672"/>
      <c r="N4306" s="242"/>
      <c r="O4306" s="242"/>
      <c r="P4306" s="242"/>
      <c r="Q4306" s="242"/>
      <c r="R4306" s="539"/>
      <c r="S4306" s="540"/>
      <c r="T4306" s="543"/>
      <c r="U4306" s="673" t="b">
        <v>0</v>
      </c>
      <c r="Z4306" t="b">
        <v>0</v>
      </c>
      <c r="AA4306" t="b">
        <v>0</v>
      </c>
      <c r="AC4306" s="82"/>
      <c r="AD4306" t="str">
        <f t="shared" si="71"/>
        <v/>
      </c>
      <c r="AE4306" t="str">
        <f t="shared" si="72"/>
        <v/>
      </c>
    </row>
    <row r="4307">
      <c r="D4307" s="226"/>
      <c r="H4307" s="474"/>
      <c r="I4307" s="474"/>
      <c r="J4307" s="475"/>
      <c r="K4307" s="275"/>
      <c r="L4307" s="82"/>
      <c r="M4307" s="672"/>
      <c r="N4307" s="242"/>
      <c r="O4307" s="242"/>
      <c r="P4307" s="242"/>
      <c r="Q4307" s="242"/>
      <c r="R4307" s="539"/>
      <c r="S4307" s="540"/>
      <c r="T4307" s="543"/>
      <c r="U4307" s="673" t="b">
        <v>0</v>
      </c>
      <c r="Z4307" t="b">
        <v>0</v>
      </c>
      <c r="AA4307" t="b">
        <v>0</v>
      </c>
      <c r="AC4307" s="82"/>
      <c r="AD4307" t="str">
        <f t="shared" si="71"/>
        <v/>
      </c>
      <c r="AE4307" t="str">
        <f t="shared" si="72"/>
        <v/>
      </c>
    </row>
    <row r="4308">
      <c r="D4308" s="226"/>
      <c r="H4308" s="474"/>
      <c r="I4308" s="474"/>
      <c r="J4308" s="475"/>
      <c r="K4308" s="275"/>
      <c r="L4308" s="82"/>
      <c r="M4308" s="672"/>
      <c r="N4308" s="242"/>
      <c r="O4308" s="242"/>
      <c r="P4308" s="242"/>
      <c r="Q4308" s="242"/>
      <c r="R4308" s="539"/>
      <c r="S4308" s="540"/>
      <c r="T4308" s="543"/>
      <c r="U4308" s="673" t="b">
        <v>0</v>
      </c>
      <c r="Z4308" t="b">
        <v>0</v>
      </c>
      <c r="AA4308" t="b">
        <v>0</v>
      </c>
      <c r="AC4308" s="82"/>
      <c r="AD4308" t="str">
        <f t="shared" si="71"/>
        <v/>
      </c>
      <c r="AE4308" t="str">
        <f t="shared" si="72"/>
        <v/>
      </c>
    </row>
    <row r="4309">
      <c r="D4309" s="226"/>
      <c r="H4309" s="474"/>
      <c r="I4309" s="474"/>
      <c r="J4309" s="475"/>
      <c r="K4309" s="275"/>
      <c r="L4309" s="82"/>
      <c r="M4309" s="672"/>
      <c r="N4309" s="242"/>
      <c r="O4309" s="242"/>
      <c r="P4309" s="242"/>
      <c r="Q4309" s="242"/>
      <c r="R4309" s="539"/>
      <c r="S4309" s="540"/>
      <c r="T4309" s="543"/>
      <c r="U4309" s="673" t="b">
        <v>0</v>
      </c>
      <c r="Z4309" t="b">
        <v>0</v>
      </c>
      <c r="AA4309" t="b">
        <v>0</v>
      </c>
      <c r="AC4309" s="82"/>
      <c r="AD4309" t="str">
        <f t="shared" si="71"/>
        <v/>
      </c>
      <c r="AE4309" t="str">
        <f t="shared" si="72"/>
        <v/>
      </c>
    </row>
    <row r="4310">
      <c r="D4310" s="226"/>
      <c r="H4310" s="474"/>
      <c r="I4310" s="474"/>
      <c r="J4310" s="475"/>
      <c r="K4310" s="275"/>
      <c r="L4310" s="82"/>
      <c r="M4310" s="672"/>
      <c r="N4310" s="242"/>
      <c r="O4310" s="242"/>
      <c r="P4310" s="242"/>
      <c r="Q4310" s="242"/>
      <c r="R4310" s="539"/>
      <c r="S4310" s="540"/>
      <c r="T4310" s="543"/>
      <c r="U4310" s="673" t="b">
        <v>0</v>
      </c>
      <c r="Z4310" t="b">
        <v>0</v>
      </c>
      <c r="AA4310" t="b">
        <v>0</v>
      </c>
      <c r="AC4310" s="82"/>
      <c r="AD4310" t="str">
        <f t="shared" si="71"/>
        <v/>
      </c>
      <c r="AE4310" t="str">
        <f t="shared" si="72"/>
        <v/>
      </c>
    </row>
    <row r="4311">
      <c r="D4311" s="226"/>
      <c r="H4311" s="474"/>
      <c r="I4311" s="474"/>
      <c r="J4311" s="475"/>
      <c r="K4311" s="275"/>
      <c r="L4311" s="82"/>
      <c r="M4311" s="672"/>
      <c r="N4311" s="242"/>
      <c r="O4311" s="242"/>
      <c r="P4311" s="242"/>
      <c r="Q4311" s="242"/>
      <c r="R4311" s="539"/>
      <c r="S4311" s="540"/>
      <c r="T4311" s="543"/>
      <c r="U4311" s="673" t="b">
        <v>0</v>
      </c>
      <c r="Z4311" t="b">
        <v>0</v>
      </c>
      <c r="AA4311" t="b">
        <v>0</v>
      </c>
      <c r="AC4311" s="82"/>
      <c r="AD4311" t="str">
        <f t="shared" si="71"/>
        <v/>
      </c>
      <c r="AE4311" t="str">
        <f t="shared" si="72"/>
        <v/>
      </c>
    </row>
    <row r="4312">
      <c r="D4312" s="226"/>
      <c r="H4312" s="474"/>
      <c r="I4312" s="474"/>
      <c r="J4312" s="475"/>
      <c r="K4312" s="275"/>
      <c r="L4312" s="82"/>
      <c r="M4312" s="672"/>
      <c r="N4312" s="242"/>
      <c r="O4312" s="242"/>
      <c r="P4312" s="242"/>
      <c r="Q4312" s="242"/>
      <c r="R4312" s="539"/>
      <c r="S4312" s="540"/>
      <c r="T4312" s="543"/>
      <c r="U4312" s="673" t="b">
        <v>0</v>
      </c>
      <c r="Z4312" t="b">
        <v>0</v>
      </c>
      <c r="AA4312" t="b">
        <v>0</v>
      </c>
      <c r="AC4312" s="82"/>
      <c r="AD4312" t="str">
        <f t="shared" si="71"/>
        <v/>
      </c>
      <c r="AE4312" t="str">
        <f t="shared" si="72"/>
        <v/>
      </c>
    </row>
    <row r="4313">
      <c r="D4313" s="226"/>
      <c r="H4313" s="474"/>
      <c r="I4313" s="474"/>
      <c r="J4313" s="475"/>
      <c r="K4313" s="275"/>
      <c r="L4313" s="82"/>
      <c r="M4313" s="672"/>
      <c r="N4313" s="242"/>
      <c r="O4313" s="242"/>
      <c r="P4313" s="242"/>
      <c r="Q4313" s="242"/>
      <c r="R4313" s="539"/>
      <c r="S4313" s="540"/>
      <c r="T4313" s="543"/>
      <c r="U4313" s="673" t="b">
        <v>0</v>
      </c>
      <c r="Z4313" t="b">
        <v>0</v>
      </c>
      <c r="AA4313" t="b">
        <v>0</v>
      </c>
      <c r="AC4313" s="82"/>
      <c r="AD4313" t="str">
        <f t="shared" si="71"/>
        <v/>
      </c>
      <c r="AE4313" t="str">
        <f t="shared" si="72"/>
        <v/>
      </c>
    </row>
    <row r="4314">
      <c r="D4314" s="226"/>
      <c r="H4314" s="474"/>
      <c r="I4314" s="474"/>
      <c r="J4314" s="475"/>
      <c r="K4314" s="275"/>
      <c r="L4314" s="82"/>
      <c r="M4314" s="672"/>
      <c r="N4314" s="242"/>
      <c r="O4314" s="242"/>
      <c r="P4314" s="242"/>
      <c r="Q4314" s="242"/>
      <c r="R4314" s="539"/>
      <c r="S4314" s="540"/>
      <c r="T4314" s="543"/>
      <c r="U4314" s="673" t="b">
        <v>0</v>
      </c>
      <c r="Z4314" t="b">
        <v>0</v>
      </c>
      <c r="AA4314" t="b">
        <v>0</v>
      </c>
      <c r="AC4314" s="82"/>
      <c r="AD4314" t="str">
        <f t="shared" si="71"/>
        <v/>
      </c>
      <c r="AE4314" t="str">
        <f t="shared" si="72"/>
        <v/>
      </c>
    </row>
    <row r="4315">
      <c r="D4315" s="226"/>
      <c r="H4315" s="474"/>
      <c r="I4315" s="474"/>
      <c r="J4315" s="475"/>
      <c r="K4315" s="275"/>
      <c r="L4315" s="82"/>
      <c r="M4315" s="672"/>
      <c r="N4315" s="242"/>
      <c r="O4315" s="242"/>
      <c r="P4315" s="242"/>
      <c r="Q4315" s="242"/>
      <c r="R4315" s="539"/>
      <c r="S4315" s="540"/>
      <c r="T4315" s="543"/>
      <c r="U4315" s="673" t="b">
        <v>0</v>
      </c>
      <c r="Z4315" t="b">
        <v>0</v>
      </c>
      <c r="AA4315" t="b">
        <v>0</v>
      </c>
      <c r="AC4315" s="82"/>
      <c r="AD4315" t="str">
        <f t="shared" si="71"/>
        <v/>
      </c>
      <c r="AE4315" t="str">
        <f t="shared" si="72"/>
        <v/>
      </c>
    </row>
    <row r="4316">
      <c r="D4316" s="226"/>
      <c r="H4316" s="474"/>
      <c r="I4316" s="474"/>
      <c r="J4316" s="475"/>
      <c r="K4316" s="275"/>
      <c r="L4316" s="82"/>
      <c r="M4316" s="672"/>
      <c r="N4316" s="242"/>
      <c r="O4316" s="242"/>
      <c r="P4316" s="242"/>
      <c r="Q4316" s="242"/>
      <c r="R4316" s="539"/>
      <c r="S4316" s="540"/>
      <c r="T4316" s="543"/>
      <c r="U4316" s="673" t="b">
        <v>0</v>
      </c>
      <c r="Z4316" t="b">
        <v>0</v>
      </c>
      <c r="AA4316" t="b">
        <v>0</v>
      </c>
      <c r="AC4316" s="82"/>
      <c r="AD4316" t="str">
        <f t="shared" si="71"/>
        <v/>
      </c>
      <c r="AE4316" t="str">
        <f t="shared" si="72"/>
        <v/>
      </c>
    </row>
    <row r="4317">
      <c r="D4317" s="226"/>
      <c r="H4317" s="474"/>
      <c r="I4317" s="474"/>
      <c r="J4317" s="475"/>
      <c r="K4317" s="275"/>
      <c r="L4317" s="82"/>
      <c r="M4317" s="672"/>
      <c r="N4317" s="242"/>
      <c r="O4317" s="242"/>
      <c r="P4317" s="242"/>
      <c r="Q4317" s="242"/>
      <c r="R4317" s="539"/>
      <c r="S4317" s="540"/>
      <c r="T4317" s="543"/>
      <c r="U4317" s="673" t="b">
        <v>0</v>
      </c>
      <c r="Z4317" t="b">
        <v>0</v>
      </c>
      <c r="AA4317" t="b">
        <v>0</v>
      </c>
      <c r="AC4317" s="82"/>
      <c r="AD4317" t="str">
        <f t="shared" si="71"/>
        <v/>
      </c>
      <c r="AE4317" t="str">
        <f t="shared" si="72"/>
        <v/>
      </c>
    </row>
    <row r="4318">
      <c r="D4318" s="226"/>
      <c r="H4318" s="474"/>
      <c r="I4318" s="474"/>
      <c r="J4318" s="475"/>
      <c r="K4318" s="275"/>
      <c r="L4318" s="82"/>
      <c r="M4318" s="672"/>
      <c r="N4318" s="242"/>
      <c r="O4318" s="242"/>
      <c r="P4318" s="242"/>
      <c r="Q4318" s="242"/>
      <c r="R4318" s="539"/>
      <c r="S4318" s="540"/>
      <c r="T4318" s="543"/>
      <c r="U4318" s="673" t="b">
        <v>0</v>
      </c>
      <c r="Z4318" t="b">
        <v>0</v>
      </c>
      <c r="AA4318" t="b">
        <v>0</v>
      </c>
      <c r="AC4318" s="82"/>
      <c r="AD4318" t="str">
        <f t="shared" si="71"/>
        <v/>
      </c>
      <c r="AE4318" t="str">
        <f t="shared" si="72"/>
        <v/>
      </c>
    </row>
    <row r="4319">
      <c r="D4319" s="226"/>
      <c r="H4319" s="474"/>
      <c r="I4319" s="474"/>
      <c r="J4319" s="475"/>
      <c r="K4319" s="275"/>
      <c r="L4319" s="82"/>
      <c r="M4319" s="672"/>
      <c r="N4319" s="242"/>
      <c r="O4319" s="242"/>
      <c r="P4319" s="242"/>
      <c r="Q4319" s="242"/>
      <c r="R4319" s="539"/>
      <c r="S4319" s="540"/>
      <c r="T4319" s="543"/>
      <c r="U4319" s="673" t="b">
        <v>0</v>
      </c>
      <c r="Z4319" t="b">
        <v>0</v>
      </c>
      <c r="AA4319" t="b">
        <v>0</v>
      </c>
      <c r="AC4319" s="82"/>
      <c r="AD4319" t="str">
        <f t="shared" si="71"/>
        <v/>
      </c>
      <c r="AE4319" t="str">
        <f t="shared" si="72"/>
        <v/>
      </c>
    </row>
    <row r="4320">
      <c r="D4320" s="226"/>
      <c r="H4320" s="474"/>
      <c r="I4320" s="474"/>
      <c r="J4320" s="475"/>
      <c r="K4320" s="275"/>
      <c r="L4320" s="82"/>
      <c r="M4320" s="672"/>
      <c r="N4320" s="242"/>
      <c r="O4320" s="242"/>
      <c r="P4320" s="242"/>
      <c r="Q4320" s="242"/>
      <c r="R4320" s="539"/>
      <c r="S4320" s="540"/>
      <c r="T4320" s="543"/>
      <c r="U4320" s="673" t="b">
        <v>0</v>
      </c>
      <c r="Z4320" t="b">
        <v>0</v>
      </c>
      <c r="AA4320" t="b">
        <v>0</v>
      </c>
      <c r="AC4320" s="82"/>
      <c r="AD4320" t="str">
        <f t="shared" si="71"/>
        <v/>
      </c>
      <c r="AE4320" t="str">
        <f t="shared" si="72"/>
        <v/>
      </c>
    </row>
    <row r="4321">
      <c r="D4321" s="226"/>
      <c r="H4321" s="474"/>
      <c r="I4321" s="474"/>
      <c r="J4321" s="475"/>
      <c r="K4321" s="275"/>
      <c r="L4321" s="82"/>
      <c r="M4321" s="672"/>
      <c r="N4321" s="242"/>
      <c r="O4321" s="242"/>
      <c r="P4321" s="242"/>
      <c r="Q4321" s="242"/>
      <c r="R4321" s="539"/>
      <c r="S4321" s="540"/>
      <c r="T4321" s="543"/>
      <c r="U4321" s="673" t="b">
        <v>0</v>
      </c>
      <c r="Z4321" t="b">
        <v>0</v>
      </c>
      <c r="AA4321" t="b">
        <v>0</v>
      </c>
      <c r="AC4321" s="82"/>
      <c r="AD4321" t="str">
        <f t="shared" si="71"/>
        <v/>
      </c>
      <c r="AE4321" t="str">
        <f t="shared" si="72"/>
        <v/>
      </c>
    </row>
    <row r="4322">
      <c r="D4322" s="226"/>
      <c r="H4322" s="474"/>
      <c r="I4322" s="474"/>
      <c r="J4322" s="475"/>
      <c r="K4322" s="275"/>
      <c r="L4322" s="82"/>
      <c r="M4322" s="672"/>
      <c r="N4322" s="242"/>
      <c r="O4322" s="242"/>
      <c r="P4322" s="242"/>
      <c r="Q4322" s="242"/>
      <c r="R4322" s="539"/>
      <c r="S4322" s="540"/>
      <c r="T4322" s="543"/>
      <c r="U4322" s="673" t="b">
        <v>0</v>
      </c>
      <c r="Z4322" t="b">
        <v>0</v>
      </c>
      <c r="AA4322" t="b">
        <v>0</v>
      </c>
      <c r="AC4322" s="82"/>
      <c r="AD4322" t="str">
        <f t="shared" si="71"/>
        <v/>
      </c>
      <c r="AE4322" t="str">
        <f t="shared" si="72"/>
        <v/>
      </c>
    </row>
    <row r="4323">
      <c r="D4323" s="226"/>
      <c r="H4323" s="474"/>
      <c r="I4323" s="474"/>
      <c r="J4323" s="475"/>
      <c r="K4323" s="275"/>
      <c r="L4323" s="82"/>
      <c r="M4323" s="672"/>
      <c r="N4323" s="242"/>
      <c r="O4323" s="242"/>
      <c r="P4323" s="242"/>
      <c r="Q4323" s="242"/>
      <c r="R4323" s="539"/>
      <c r="S4323" s="540"/>
      <c r="T4323" s="543"/>
      <c r="U4323" s="673" t="b">
        <v>0</v>
      </c>
      <c r="Z4323" t="b">
        <v>0</v>
      </c>
      <c r="AA4323" t="b">
        <v>0</v>
      </c>
      <c r="AC4323" s="82"/>
      <c r="AD4323" t="str">
        <f t="shared" si="71"/>
        <v/>
      </c>
      <c r="AE4323" t="str">
        <f t="shared" si="72"/>
        <v/>
      </c>
    </row>
    <row r="4324">
      <c r="D4324" s="226"/>
      <c r="H4324" s="474"/>
      <c r="I4324" s="474"/>
      <c r="J4324" s="475"/>
      <c r="K4324" s="275"/>
      <c r="L4324" s="82"/>
      <c r="M4324" s="672"/>
      <c r="N4324" s="242"/>
      <c r="O4324" s="242"/>
      <c r="P4324" s="242"/>
      <c r="Q4324" s="242"/>
      <c r="R4324" s="539"/>
      <c r="S4324" s="540"/>
      <c r="T4324" s="543"/>
      <c r="U4324" s="673" t="b">
        <v>0</v>
      </c>
      <c r="Z4324" t="b">
        <v>0</v>
      </c>
      <c r="AA4324" t="b">
        <v>0</v>
      </c>
      <c r="AC4324" s="82"/>
      <c r="AD4324" t="str">
        <f t="shared" si="71"/>
        <v/>
      </c>
      <c r="AE4324" t="str">
        <f t="shared" si="72"/>
        <v/>
      </c>
    </row>
    <row r="4325">
      <c r="D4325" s="226"/>
      <c r="H4325" s="474"/>
      <c r="I4325" s="474"/>
      <c r="J4325" s="475"/>
      <c r="K4325" s="275"/>
      <c r="L4325" s="82"/>
      <c r="M4325" s="672"/>
      <c r="N4325" s="242"/>
      <c r="O4325" s="242"/>
      <c r="P4325" s="242"/>
      <c r="Q4325" s="242"/>
      <c r="R4325" s="539"/>
      <c r="S4325" s="540"/>
      <c r="T4325" s="543"/>
      <c r="U4325" s="673" t="b">
        <v>0</v>
      </c>
      <c r="Z4325" t="b">
        <v>0</v>
      </c>
      <c r="AA4325" t="b">
        <v>0</v>
      </c>
      <c r="AC4325" s="82"/>
      <c r="AD4325" t="str">
        <f t="shared" si="71"/>
        <v/>
      </c>
      <c r="AE4325" t="str">
        <f t="shared" si="72"/>
        <v/>
      </c>
    </row>
    <row r="4326">
      <c r="D4326" s="226"/>
      <c r="H4326" s="474"/>
      <c r="I4326" s="474"/>
      <c r="J4326" s="475"/>
      <c r="K4326" s="275"/>
      <c r="L4326" s="82"/>
      <c r="M4326" s="672"/>
      <c r="N4326" s="242"/>
      <c r="O4326" s="242"/>
      <c r="P4326" s="242"/>
      <c r="Q4326" s="242"/>
      <c r="R4326" s="539"/>
      <c r="S4326" s="540"/>
      <c r="T4326" s="543"/>
      <c r="U4326" s="673" t="b">
        <v>0</v>
      </c>
      <c r="Z4326" t="b">
        <v>0</v>
      </c>
      <c r="AA4326" t="b">
        <v>0</v>
      </c>
      <c r="AC4326" s="82"/>
      <c r="AD4326" t="str">
        <f t="shared" si="71"/>
        <v/>
      </c>
      <c r="AE4326" t="str">
        <f t="shared" si="72"/>
        <v/>
      </c>
    </row>
    <row r="4327">
      <c r="D4327" s="226"/>
      <c r="H4327" s="474"/>
      <c r="I4327" s="474"/>
      <c r="J4327" s="475"/>
      <c r="K4327" s="275"/>
      <c r="L4327" s="82"/>
      <c r="M4327" s="672"/>
      <c r="N4327" s="242"/>
      <c r="O4327" s="242"/>
      <c r="P4327" s="242"/>
      <c r="Q4327" s="242"/>
      <c r="R4327" s="539"/>
      <c r="S4327" s="540"/>
      <c r="T4327" s="543"/>
      <c r="U4327" s="673" t="b">
        <v>0</v>
      </c>
      <c r="Z4327" t="b">
        <v>0</v>
      </c>
      <c r="AA4327" t="b">
        <v>0</v>
      </c>
      <c r="AC4327" s="82"/>
      <c r="AD4327" t="str">
        <f t="shared" si="71"/>
        <v/>
      </c>
      <c r="AE4327" t="str">
        <f t="shared" si="72"/>
        <v/>
      </c>
    </row>
    <row r="4328">
      <c r="D4328" s="226"/>
      <c r="H4328" s="474"/>
      <c r="I4328" s="474"/>
      <c r="J4328" s="475"/>
      <c r="K4328" s="275"/>
      <c r="L4328" s="82"/>
      <c r="M4328" s="672"/>
      <c r="N4328" s="242"/>
      <c r="O4328" s="242"/>
      <c r="P4328" s="242"/>
      <c r="Q4328" s="242"/>
      <c r="R4328" s="539"/>
      <c r="S4328" s="540"/>
      <c r="T4328" s="543"/>
      <c r="U4328" s="673" t="b">
        <v>0</v>
      </c>
      <c r="Z4328" t="b">
        <v>0</v>
      </c>
      <c r="AA4328" t="b">
        <v>0</v>
      </c>
      <c r="AC4328" s="82"/>
      <c r="AD4328" t="str">
        <f t="shared" si="71"/>
        <v/>
      </c>
      <c r="AE4328" t="str">
        <f t="shared" si="72"/>
        <v/>
      </c>
    </row>
    <row r="4329">
      <c r="D4329" s="226"/>
      <c r="H4329" s="474"/>
      <c r="I4329" s="474"/>
      <c r="J4329" s="475"/>
      <c r="K4329" s="275"/>
      <c r="L4329" s="82"/>
      <c r="M4329" s="672"/>
      <c r="N4329" s="242"/>
      <c r="O4329" s="242"/>
      <c r="P4329" s="242"/>
      <c r="Q4329" s="242"/>
      <c r="R4329" s="539"/>
      <c r="S4329" s="540"/>
      <c r="T4329" s="543"/>
      <c r="U4329" s="673" t="b">
        <v>0</v>
      </c>
      <c r="Z4329" t="b">
        <v>0</v>
      </c>
      <c r="AA4329" t="b">
        <v>0</v>
      </c>
      <c r="AC4329" s="82"/>
      <c r="AD4329" t="str">
        <f t="shared" si="71"/>
        <v/>
      </c>
      <c r="AE4329" t="str">
        <f t="shared" si="72"/>
        <v/>
      </c>
    </row>
    <row r="4330">
      <c r="D4330" s="226"/>
      <c r="H4330" s="474"/>
      <c r="I4330" s="474"/>
      <c r="J4330" s="475"/>
      <c r="K4330" s="275"/>
      <c r="L4330" s="82"/>
      <c r="M4330" s="672"/>
      <c r="N4330" s="242"/>
      <c r="O4330" s="242"/>
      <c r="P4330" s="242"/>
      <c r="Q4330" s="242"/>
      <c r="R4330" s="539"/>
      <c r="S4330" s="540"/>
      <c r="T4330" s="543"/>
      <c r="U4330" s="673" t="b">
        <v>0</v>
      </c>
      <c r="Z4330" t="b">
        <v>0</v>
      </c>
      <c r="AA4330" t="b">
        <v>0</v>
      </c>
      <c r="AC4330" s="82"/>
      <c r="AD4330" t="str">
        <f t="shared" si="71"/>
        <v/>
      </c>
      <c r="AE4330" t="str">
        <f t="shared" si="72"/>
        <v/>
      </c>
    </row>
    <row r="4331">
      <c r="D4331" s="226"/>
      <c r="H4331" s="474"/>
      <c r="I4331" s="474"/>
      <c r="J4331" s="475"/>
      <c r="K4331" s="275"/>
      <c r="L4331" s="82"/>
      <c r="M4331" s="672"/>
      <c r="N4331" s="242"/>
      <c r="O4331" s="242"/>
      <c r="P4331" s="242"/>
      <c r="Q4331" s="242"/>
      <c r="R4331" s="539"/>
      <c r="S4331" s="540"/>
      <c r="T4331" s="543"/>
      <c r="U4331" s="673" t="b">
        <v>0</v>
      </c>
      <c r="Z4331" t="b">
        <v>0</v>
      </c>
      <c r="AA4331" t="b">
        <v>0</v>
      </c>
      <c r="AC4331" s="82"/>
      <c r="AD4331" t="str">
        <f t="shared" si="71"/>
        <v/>
      </c>
      <c r="AE4331" t="str">
        <f t="shared" si="72"/>
        <v/>
      </c>
    </row>
    <row r="4332">
      <c r="D4332" s="226"/>
      <c r="H4332" s="474"/>
      <c r="I4332" s="474"/>
      <c r="J4332" s="475"/>
      <c r="K4332" s="275"/>
      <c r="L4332" s="82"/>
      <c r="M4332" s="672"/>
      <c r="N4332" s="242"/>
      <c r="O4332" s="242"/>
      <c r="P4332" s="242"/>
      <c r="Q4332" s="242"/>
      <c r="R4332" s="539"/>
      <c r="S4332" s="540"/>
      <c r="T4332" s="543"/>
      <c r="U4332" s="673" t="b">
        <v>0</v>
      </c>
      <c r="Z4332" t="b">
        <v>0</v>
      </c>
      <c r="AA4332" t="b">
        <v>0</v>
      </c>
      <c r="AC4332" s="82"/>
      <c r="AD4332" t="str">
        <f t="shared" si="71"/>
        <v/>
      </c>
      <c r="AE4332" t="str">
        <f t="shared" si="72"/>
        <v/>
      </c>
    </row>
    <row r="4333">
      <c r="D4333" s="226"/>
      <c r="H4333" s="474"/>
      <c r="I4333" s="474"/>
      <c r="J4333" s="475"/>
      <c r="K4333" s="275"/>
      <c r="L4333" s="82"/>
      <c r="M4333" s="672"/>
      <c r="N4333" s="242"/>
      <c r="O4333" s="242"/>
      <c r="P4333" s="242"/>
      <c r="Q4333" s="242"/>
      <c r="R4333" s="539"/>
      <c r="S4333" s="540"/>
      <c r="T4333" s="543"/>
      <c r="U4333" s="673" t="b">
        <v>0</v>
      </c>
      <c r="Z4333" t="b">
        <v>0</v>
      </c>
      <c r="AA4333" t="b">
        <v>0</v>
      </c>
      <c r="AC4333" s="82"/>
      <c r="AD4333" t="str">
        <f t="shared" si="71"/>
        <v/>
      </c>
      <c r="AE4333" t="str">
        <f t="shared" si="72"/>
        <v/>
      </c>
    </row>
    <row r="4334">
      <c r="D4334" s="226"/>
      <c r="H4334" s="474"/>
      <c r="I4334" s="474"/>
      <c r="J4334" s="475"/>
      <c r="K4334" s="275"/>
      <c r="L4334" s="82"/>
      <c r="M4334" s="672"/>
      <c r="N4334" s="242"/>
      <c r="O4334" s="242"/>
      <c r="P4334" s="242"/>
      <c r="Q4334" s="242"/>
      <c r="R4334" s="539"/>
      <c r="S4334" s="540"/>
      <c r="T4334" s="543"/>
      <c r="U4334" s="673" t="b">
        <v>0</v>
      </c>
      <c r="Z4334" t="b">
        <v>0</v>
      </c>
      <c r="AA4334" t="b">
        <v>0</v>
      </c>
      <c r="AC4334" s="82"/>
      <c r="AD4334" t="str">
        <f t="shared" si="71"/>
        <v/>
      </c>
      <c r="AE4334" t="str">
        <f t="shared" si="72"/>
        <v/>
      </c>
    </row>
    <row r="4335">
      <c r="D4335" s="226"/>
      <c r="H4335" s="474"/>
      <c r="I4335" s="474"/>
      <c r="J4335" s="475"/>
      <c r="K4335" s="275"/>
      <c r="L4335" s="82"/>
      <c r="M4335" s="672"/>
      <c r="N4335" s="242"/>
      <c r="O4335" s="242"/>
      <c r="P4335" s="242"/>
      <c r="Q4335" s="242"/>
      <c r="R4335" s="539"/>
      <c r="S4335" s="540"/>
      <c r="T4335" s="543"/>
      <c r="U4335" s="673" t="b">
        <v>0</v>
      </c>
      <c r="Z4335" t="b">
        <v>0</v>
      </c>
      <c r="AA4335" t="b">
        <v>0</v>
      </c>
      <c r="AC4335" s="82"/>
      <c r="AD4335" t="str">
        <f t="shared" si="71"/>
        <v/>
      </c>
      <c r="AE4335" t="str">
        <f t="shared" si="72"/>
        <v/>
      </c>
    </row>
    <row r="4336">
      <c r="D4336" s="226"/>
      <c r="H4336" s="474"/>
      <c r="I4336" s="474"/>
      <c r="J4336" s="475"/>
      <c r="K4336" s="275"/>
      <c r="L4336" s="82"/>
      <c r="M4336" s="672"/>
      <c r="N4336" s="242"/>
      <c r="O4336" s="242"/>
      <c r="P4336" s="242"/>
      <c r="Q4336" s="242"/>
      <c r="R4336" s="539"/>
      <c r="S4336" s="540"/>
      <c r="T4336" s="543"/>
      <c r="U4336" s="673" t="b">
        <v>0</v>
      </c>
      <c r="Z4336" t="b">
        <v>0</v>
      </c>
      <c r="AA4336" t="b">
        <v>0</v>
      </c>
      <c r="AC4336" s="82"/>
      <c r="AD4336" t="str">
        <f t="shared" si="71"/>
        <v/>
      </c>
      <c r="AE4336" t="str">
        <f t="shared" si="72"/>
        <v/>
      </c>
    </row>
    <row r="4337">
      <c r="D4337" s="226"/>
      <c r="H4337" s="474"/>
      <c r="I4337" s="474"/>
      <c r="J4337" s="475"/>
      <c r="K4337" s="275"/>
      <c r="L4337" s="82"/>
      <c r="M4337" s="672"/>
      <c r="N4337" s="242"/>
      <c r="O4337" s="242"/>
      <c r="P4337" s="242"/>
      <c r="Q4337" s="242"/>
      <c r="R4337" s="539"/>
      <c r="S4337" s="540"/>
      <c r="T4337" s="543"/>
      <c r="U4337" s="673" t="b">
        <v>0</v>
      </c>
      <c r="Z4337" t="b">
        <v>0</v>
      </c>
      <c r="AA4337" t="b">
        <v>0</v>
      </c>
      <c r="AC4337" s="82"/>
      <c r="AD4337" t="str">
        <f t="shared" si="71"/>
        <v/>
      </c>
      <c r="AE4337" t="str">
        <f t="shared" si="72"/>
        <v/>
      </c>
    </row>
    <row r="4338">
      <c r="D4338" s="226"/>
      <c r="H4338" s="474"/>
      <c r="I4338" s="474"/>
      <c r="J4338" s="475"/>
      <c r="K4338" s="275"/>
      <c r="L4338" s="82"/>
      <c r="M4338" s="672"/>
      <c r="N4338" s="242"/>
      <c r="O4338" s="242"/>
      <c r="P4338" s="242"/>
      <c r="Q4338" s="242"/>
      <c r="R4338" s="539"/>
      <c r="S4338" s="540"/>
      <c r="T4338" s="543"/>
      <c r="U4338" s="673" t="b">
        <v>0</v>
      </c>
      <c r="Z4338" t="b">
        <v>0</v>
      </c>
      <c r="AA4338" t="b">
        <v>0</v>
      </c>
      <c r="AC4338" s="82"/>
      <c r="AD4338" t="str">
        <f t="shared" si="71"/>
        <v/>
      </c>
      <c r="AE4338" t="str">
        <f t="shared" si="72"/>
        <v/>
      </c>
    </row>
    <row r="4339">
      <c r="D4339" s="226"/>
      <c r="H4339" s="474"/>
      <c r="I4339" s="474"/>
      <c r="J4339" s="475"/>
      <c r="K4339" s="275"/>
      <c r="L4339" s="82"/>
      <c r="M4339" s="672"/>
      <c r="N4339" s="242"/>
      <c r="O4339" s="242"/>
      <c r="P4339" s="242"/>
      <c r="Q4339" s="242"/>
      <c r="R4339" s="539"/>
      <c r="S4339" s="540"/>
      <c r="T4339" s="543"/>
      <c r="U4339" s="673" t="b">
        <v>0</v>
      </c>
      <c r="Z4339" t="b">
        <v>0</v>
      </c>
      <c r="AA4339" t="b">
        <v>0</v>
      </c>
      <c r="AC4339" s="82"/>
      <c r="AD4339" t="str">
        <f t="shared" si="71"/>
        <v/>
      </c>
      <c r="AE4339" t="str">
        <f t="shared" si="72"/>
        <v/>
      </c>
    </row>
    <row r="4340">
      <c r="D4340" s="226"/>
      <c r="H4340" s="474"/>
      <c r="I4340" s="474"/>
      <c r="J4340" s="475"/>
      <c r="K4340" s="275"/>
      <c r="L4340" s="82"/>
      <c r="M4340" s="672"/>
      <c r="N4340" s="242"/>
      <c r="O4340" s="242"/>
      <c r="P4340" s="242"/>
      <c r="Q4340" s="242"/>
      <c r="R4340" s="539"/>
      <c r="S4340" s="540"/>
      <c r="T4340" s="543"/>
      <c r="U4340" s="673" t="b">
        <v>0</v>
      </c>
      <c r="Z4340" t="b">
        <v>0</v>
      </c>
      <c r="AA4340" t="b">
        <v>0</v>
      </c>
      <c r="AC4340" s="82"/>
      <c r="AD4340" t="str">
        <f t="shared" si="71"/>
        <v/>
      </c>
      <c r="AE4340" t="str">
        <f t="shared" si="72"/>
        <v/>
      </c>
    </row>
    <row r="4341">
      <c r="D4341" s="226"/>
      <c r="H4341" s="474"/>
      <c r="I4341" s="474"/>
      <c r="J4341" s="475"/>
      <c r="K4341" s="275"/>
      <c r="L4341" s="82"/>
      <c r="M4341" s="672"/>
      <c r="N4341" s="242"/>
      <c r="O4341" s="242"/>
      <c r="P4341" s="242"/>
      <c r="Q4341" s="242"/>
      <c r="R4341" s="539"/>
      <c r="S4341" s="540"/>
      <c r="T4341" s="543"/>
      <c r="U4341" s="673" t="b">
        <v>0</v>
      </c>
      <c r="Z4341" t="b">
        <v>0</v>
      </c>
      <c r="AA4341" t="b">
        <v>0</v>
      </c>
      <c r="AC4341" s="82"/>
      <c r="AD4341" t="str">
        <f t="shared" si="71"/>
        <v/>
      </c>
      <c r="AE4341" t="str">
        <f t="shared" si="72"/>
        <v/>
      </c>
    </row>
    <row r="4342">
      <c r="D4342" s="226"/>
      <c r="H4342" s="474"/>
      <c r="I4342" s="474"/>
      <c r="J4342" s="475"/>
      <c r="K4342" s="275"/>
      <c r="L4342" s="82"/>
      <c r="M4342" s="672"/>
      <c r="N4342" s="242"/>
      <c r="O4342" s="242"/>
      <c r="P4342" s="242"/>
      <c r="Q4342" s="242"/>
      <c r="R4342" s="539"/>
      <c r="S4342" s="540"/>
      <c r="T4342" s="543"/>
      <c r="U4342" s="673" t="b">
        <v>0</v>
      </c>
      <c r="Z4342" t="b">
        <v>0</v>
      </c>
      <c r="AA4342" t="b">
        <v>0</v>
      </c>
      <c r="AC4342" s="82"/>
      <c r="AD4342" t="str">
        <f t="shared" si="71"/>
        <v/>
      </c>
      <c r="AE4342" t="str">
        <f t="shared" si="72"/>
        <v/>
      </c>
    </row>
    <row r="4343">
      <c r="D4343" s="226"/>
      <c r="H4343" s="474"/>
      <c r="I4343" s="474"/>
      <c r="J4343" s="475"/>
      <c r="K4343" s="275"/>
      <c r="L4343" s="82"/>
      <c r="M4343" s="672"/>
      <c r="N4343" s="242"/>
      <c r="O4343" s="242"/>
      <c r="P4343" s="242"/>
      <c r="Q4343" s="242"/>
      <c r="R4343" s="539"/>
      <c r="S4343" s="540"/>
      <c r="T4343" s="543"/>
      <c r="U4343" s="673" t="b">
        <v>0</v>
      </c>
      <c r="Z4343" t="b">
        <v>0</v>
      </c>
      <c r="AA4343" t="b">
        <v>0</v>
      </c>
      <c r="AC4343" s="82"/>
      <c r="AD4343" t="str">
        <f t="shared" si="71"/>
        <v/>
      </c>
      <c r="AE4343" t="str">
        <f t="shared" si="72"/>
        <v/>
      </c>
    </row>
    <row r="4344">
      <c r="D4344" s="226"/>
      <c r="H4344" s="474"/>
      <c r="I4344" s="474"/>
      <c r="J4344" s="475"/>
      <c r="K4344" s="275"/>
      <c r="L4344" s="82"/>
      <c r="M4344" s="672"/>
      <c r="N4344" s="242"/>
      <c r="O4344" s="242"/>
      <c r="P4344" s="242"/>
      <c r="Q4344" s="242"/>
      <c r="R4344" s="539"/>
      <c r="S4344" s="540"/>
      <c r="T4344" s="543"/>
      <c r="U4344" s="673" t="b">
        <v>0</v>
      </c>
      <c r="Z4344" t="b">
        <v>0</v>
      </c>
      <c r="AA4344" t="b">
        <v>0</v>
      </c>
      <c r="AC4344" s="82"/>
      <c r="AD4344" t="str">
        <f t="shared" si="71"/>
        <v/>
      </c>
      <c r="AE4344" t="str">
        <f t="shared" si="72"/>
        <v/>
      </c>
    </row>
    <row r="4345">
      <c r="D4345" s="226"/>
      <c r="H4345" s="474"/>
      <c r="I4345" s="474"/>
      <c r="J4345" s="475"/>
      <c r="K4345" s="275"/>
      <c r="L4345" s="82"/>
      <c r="M4345" s="672"/>
      <c r="N4345" s="242"/>
      <c r="O4345" s="242"/>
      <c r="P4345" s="242"/>
      <c r="Q4345" s="242"/>
      <c r="R4345" s="539"/>
      <c r="S4345" s="540"/>
      <c r="T4345" s="543"/>
      <c r="U4345" s="673" t="b">
        <v>0</v>
      </c>
      <c r="Z4345" t="b">
        <v>0</v>
      </c>
      <c r="AA4345" t="b">
        <v>0</v>
      </c>
      <c r="AC4345" s="82"/>
      <c r="AD4345" t="str">
        <f t="shared" si="71"/>
        <v/>
      </c>
      <c r="AE4345" t="str">
        <f t="shared" si="72"/>
        <v/>
      </c>
    </row>
    <row r="4346">
      <c r="D4346" s="226"/>
      <c r="H4346" s="474"/>
      <c r="I4346" s="474"/>
      <c r="J4346" s="475"/>
      <c r="K4346" s="275"/>
      <c r="L4346" s="82"/>
      <c r="M4346" s="672"/>
      <c r="N4346" s="242"/>
      <c r="O4346" s="242"/>
      <c r="P4346" s="242"/>
      <c r="Q4346" s="242"/>
      <c r="R4346" s="539"/>
      <c r="S4346" s="540"/>
      <c r="T4346" s="543"/>
      <c r="U4346" s="673" t="b">
        <v>0</v>
      </c>
      <c r="Z4346" t="b">
        <v>0</v>
      </c>
      <c r="AA4346" t="b">
        <v>0</v>
      </c>
      <c r="AC4346" s="82"/>
      <c r="AD4346" t="str">
        <f t="shared" si="71"/>
        <v/>
      </c>
      <c r="AE4346" t="str">
        <f t="shared" si="72"/>
        <v/>
      </c>
    </row>
    <row r="4347">
      <c r="D4347" s="226"/>
      <c r="H4347" s="474"/>
      <c r="I4347" s="474"/>
      <c r="J4347" s="475"/>
      <c r="K4347" s="275"/>
      <c r="L4347" s="82"/>
      <c r="M4347" s="672"/>
      <c r="N4347" s="242"/>
      <c r="O4347" s="242"/>
      <c r="P4347" s="242"/>
      <c r="Q4347" s="242"/>
      <c r="R4347" s="539"/>
      <c r="S4347" s="540"/>
      <c r="T4347" s="543"/>
      <c r="U4347" s="673" t="b">
        <v>0</v>
      </c>
      <c r="Z4347" t="b">
        <v>0</v>
      </c>
      <c r="AA4347" t="b">
        <v>0</v>
      </c>
      <c r="AC4347" s="82"/>
      <c r="AD4347" t="str">
        <f t="shared" si="71"/>
        <v/>
      </c>
      <c r="AE4347" t="str">
        <f t="shared" si="72"/>
        <v/>
      </c>
    </row>
    <row r="4348">
      <c r="D4348" s="226"/>
      <c r="H4348" s="474"/>
      <c r="I4348" s="474"/>
      <c r="J4348" s="475"/>
      <c r="K4348" s="275"/>
      <c r="L4348" s="82"/>
      <c r="M4348" s="672"/>
      <c r="N4348" s="242"/>
      <c r="O4348" s="242"/>
      <c r="P4348" s="242"/>
      <c r="Q4348" s="242"/>
      <c r="R4348" s="539"/>
      <c r="S4348" s="540"/>
      <c r="T4348" s="543"/>
      <c r="U4348" s="673" t="b">
        <v>0</v>
      </c>
      <c r="Z4348" t="b">
        <v>0</v>
      </c>
      <c r="AA4348" t="b">
        <v>0</v>
      </c>
      <c r="AC4348" s="82"/>
      <c r="AD4348" t="str">
        <f t="shared" si="71"/>
        <v/>
      </c>
      <c r="AE4348" t="str">
        <f t="shared" si="72"/>
        <v/>
      </c>
    </row>
    <row r="4349">
      <c r="D4349" s="226"/>
      <c r="H4349" s="474"/>
      <c r="I4349" s="474"/>
      <c r="J4349" s="475"/>
      <c r="K4349" s="275"/>
      <c r="L4349" s="82"/>
      <c r="M4349" s="672"/>
      <c r="N4349" s="242"/>
      <c r="O4349" s="242"/>
      <c r="P4349" s="242"/>
      <c r="Q4349" s="242"/>
      <c r="R4349" s="539"/>
      <c r="S4349" s="540"/>
      <c r="T4349" s="543"/>
      <c r="U4349" s="673" t="b">
        <v>0</v>
      </c>
      <c r="Z4349" t="b">
        <v>0</v>
      </c>
      <c r="AA4349" t="b">
        <v>0</v>
      </c>
      <c r="AC4349" s="82"/>
      <c r="AD4349" t="str">
        <f t="shared" si="71"/>
        <v/>
      </c>
      <c r="AE4349" t="str">
        <f t="shared" si="72"/>
        <v/>
      </c>
    </row>
    <row r="4350">
      <c r="D4350" s="226"/>
      <c r="H4350" s="474"/>
      <c r="I4350" s="474"/>
      <c r="J4350" s="475"/>
      <c r="K4350" s="275"/>
      <c r="L4350" s="82"/>
      <c r="M4350" s="672"/>
      <c r="N4350" s="242"/>
      <c r="O4350" s="242"/>
      <c r="P4350" s="242"/>
      <c r="Q4350" s="242"/>
      <c r="R4350" s="539"/>
      <c r="S4350" s="540"/>
      <c r="T4350" s="543"/>
      <c r="U4350" s="673" t="b">
        <v>0</v>
      </c>
      <c r="Z4350" t="b">
        <v>0</v>
      </c>
      <c r="AA4350" t="b">
        <v>0</v>
      </c>
      <c r="AC4350" s="82"/>
      <c r="AD4350" t="str">
        <f t="shared" si="71"/>
        <v/>
      </c>
      <c r="AE4350" t="str">
        <f t="shared" si="72"/>
        <v/>
      </c>
    </row>
    <row r="4351">
      <c r="D4351" s="226"/>
      <c r="H4351" s="474"/>
      <c r="I4351" s="474"/>
      <c r="J4351" s="475"/>
      <c r="K4351" s="275"/>
      <c r="L4351" s="82"/>
      <c r="M4351" s="672"/>
      <c r="N4351" s="242"/>
      <c r="O4351" s="242"/>
      <c r="P4351" s="242"/>
      <c r="Q4351" s="242"/>
      <c r="R4351" s="539"/>
      <c r="S4351" s="540"/>
      <c r="T4351" s="543"/>
      <c r="U4351" s="673" t="b">
        <v>0</v>
      </c>
      <c r="Z4351" t="b">
        <v>0</v>
      </c>
      <c r="AA4351" t="b">
        <v>0</v>
      </c>
      <c r="AC4351" s="82"/>
      <c r="AD4351" t="str">
        <f t="shared" si="71"/>
        <v/>
      </c>
      <c r="AE4351" t="str">
        <f t="shared" si="72"/>
        <v/>
      </c>
    </row>
    <row r="4352">
      <c r="D4352" s="226"/>
      <c r="H4352" s="474"/>
      <c r="I4352" s="474"/>
      <c r="J4352" s="475"/>
      <c r="K4352" s="275"/>
      <c r="L4352" s="82"/>
      <c r="M4352" s="672"/>
      <c r="N4352" s="242"/>
      <c r="O4352" s="242"/>
      <c r="P4352" s="242"/>
      <c r="Q4352" s="242"/>
      <c r="R4352" s="539"/>
      <c r="S4352" s="540"/>
      <c r="T4352" s="543"/>
      <c r="U4352" s="673" t="b">
        <v>0</v>
      </c>
      <c r="Z4352" t="b">
        <v>0</v>
      </c>
      <c r="AA4352" t="b">
        <v>0</v>
      </c>
      <c r="AC4352" s="82"/>
      <c r="AD4352" t="str">
        <f t="shared" si="71"/>
        <v/>
      </c>
      <c r="AE4352" t="str">
        <f t="shared" si="72"/>
        <v/>
      </c>
    </row>
    <row r="4353">
      <c r="D4353" s="226"/>
      <c r="H4353" s="474"/>
      <c r="I4353" s="474"/>
      <c r="J4353" s="475"/>
      <c r="K4353" s="275"/>
      <c r="L4353" s="82"/>
      <c r="M4353" s="672"/>
      <c r="N4353" s="242"/>
      <c r="O4353" s="242"/>
      <c r="P4353" s="242"/>
      <c r="Q4353" s="242"/>
      <c r="R4353" s="539"/>
      <c r="S4353" s="540"/>
      <c r="T4353" s="543"/>
      <c r="U4353" s="673" t="b">
        <v>0</v>
      </c>
      <c r="Z4353" t="b">
        <v>0</v>
      </c>
      <c r="AA4353" t="b">
        <v>0</v>
      </c>
      <c r="AC4353" s="82"/>
      <c r="AD4353" t="str">
        <f t="shared" si="71"/>
        <v/>
      </c>
      <c r="AE4353" t="str">
        <f t="shared" si="72"/>
        <v/>
      </c>
    </row>
    <row r="4354">
      <c r="D4354" s="226"/>
      <c r="H4354" s="474"/>
      <c r="I4354" s="474"/>
      <c r="J4354" s="475"/>
      <c r="K4354" s="275"/>
      <c r="L4354" s="82"/>
      <c r="M4354" s="672"/>
      <c r="N4354" s="242"/>
      <c r="O4354" s="242"/>
      <c r="P4354" s="242"/>
      <c r="Q4354" s="242"/>
      <c r="R4354" s="539"/>
      <c r="S4354" s="540"/>
      <c r="T4354" s="543"/>
      <c r="U4354" s="673" t="b">
        <v>0</v>
      </c>
      <c r="Z4354" t="b">
        <v>0</v>
      </c>
      <c r="AA4354" t="b">
        <v>0</v>
      </c>
      <c r="AC4354" s="82"/>
      <c r="AD4354" t="str">
        <f t="shared" si="71"/>
        <v/>
      </c>
      <c r="AE4354" t="str">
        <f t="shared" si="72"/>
        <v/>
      </c>
    </row>
    <row r="4355">
      <c r="D4355" s="226"/>
      <c r="H4355" s="474"/>
      <c r="I4355" s="474"/>
      <c r="J4355" s="475"/>
      <c r="K4355" s="275"/>
      <c r="L4355" s="82"/>
      <c r="M4355" s="672"/>
      <c r="N4355" s="242"/>
      <c r="O4355" s="242"/>
      <c r="P4355" s="242"/>
      <c r="Q4355" s="242"/>
      <c r="R4355" s="539"/>
      <c r="S4355" s="540"/>
      <c r="T4355" s="543"/>
      <c r="U4355" s="673" t="b">
        <v>0</v>
      </c>
      <c r="Z4355" t="b">
        <v>0</v>
      </c>
      <c r="AA4355" t="b">
        <v>0</v>
      </c>
      <c r="AC4355" s="82"/>
      <c r="AD4355" t="str">
        <f t="shared" si="71"/>
        <v/>
      </c>
      <c r="AE4355" t="str">
        <f t="shared" si="72"/>
        <v/>
      </c>
    </row>
    <row r="4356">
      <c r="D4356" s="226"/>
      <c r="H4356" s="474"/>
      <c r="I4356" s="474"/>
      <c r="J4356" s="475"/>
      <c r="K4356" s="275"/>
      <c r="L4356" s="82"/>
      <c r="M4356" s="672"/>
      <c r="N4356" s="242"/>
      <c r="O4356" s="242"/>
      <c r="P4356" s="242"/>
      <c r="Q4356" s="242"/>
      <c r="R4356" s="539"/>
      <c r="S4356" s="540"/>
      <c r="T4356" s="543"/>
      <c r="U4356" s="673" t="b">
        <v>0</v>
      </c>
      <c r="Z4356" t="b">
        <v>0</v>
      </c>
      <c r="AA4356" t="b">
        <v>0</v>
      </c>
      <c r="AC4356" s="82"/>
      <c r="AD4356" t="str">
        <f t="shared" si="71"/>
        <v/>
      </c>
      <c r="AE4356" t="str">
        <f t="shared" si="72"/>
        <v/>
      </c>
    </row>
    <row r="4357">
      <c r="D4357" s="226"/>
      <c r="H4357" s="474"/>
      <c r="I4357" s="474"/>
      <c r="J4357" s="475"/>
      <c r="K4357" s="275"/>
      <c r="L4357" s="82"/>
      <c r="M4357" s="672"/>
      <c r="N4357" s="242"/>
      <c r="O4357" s="242"/>
      <c r="P4357" s="242"/>
      <c r="Q4357" s="242"/>
      <c r="R4357" s="539"/>
      <c r="S4357" s="540"/>
      <c r="T4357" s="543"/>
      <c r="U4357" s="673" t="b">
        <v>0</v>
      </c>
      <c r="Z4357" t="b">
        <v>0</v>
      </c>
      <c r="AA4357" t="b">
        <v>0</v>
      </c>
      <c r="AC4357" s="82"/>
      <c r="AD4357" t="str">
        <f t="shared" si="71"/>
        <v/>
      </c>
      <c r="AE4357" t="str">
        <f t="shared" si="72"/>
        <v/>
      </c>
    </row>
    <row r="4358">
      <c r="D4358" s="226"/>
      <c r="H4358" s="474"/>
      <c r="I4358" s="474"/>
      <c r="J4358" s="475"/>
      <c r="K4358" s="275"/>
      <c r="L4358" s="82"/>
      <c r="M4358" s="672"/>
      <c r="N4358" s="242"/>
      <c r="O4358" s="242"/>
      <c r="P4358" s="242"/>
      <c r="Q4358" s="242"/>
      <c r="R4358" s="539"/>
      <c r="S4358" s="540"/>
      <c r="T4358" s="543"/>
      <c r="U4358" s="673" t="b">
        <v>0</v>
      </c>
      <c r="Z4358" t="b">
        <v>0</v>
      </c>
      <c r="AA4358" t="b">
        <v>0</v>
      </c>
      <c r="AC4358" s="82"/>
      <c r="AD4358" t="str">
        <f t="shared" si="71"/>
        <v/>
      </c>
      <c r="AE4358" t="str">
        <f t="shared" si="72"/>
        <v/>
      </c>
    </row>
    <row r="4359">
      <c r="D4359" s="226"/>
      <c r="H4359" s="474"/>
      <c r="I4359" s="474"/>
      <c r="J4359" s="475"/>
      <c r="K4359" s="275"/>
      <c r="L4359" s="82"/>
      <c r="M4359" s="672"/>
      <c r="N4359" s="242"/>
      <c r="O4359" s="242"/>
      <c r="P4359" s="242"/>
      <c r="Q4359" s="242"/>
      <c r="R4359" s="539"/>
      <c r="S4359" s="540"/>
      <c r="T4359" s="543"/>
      <c r="U4359" s="673" t="b">
        <v>0</v>
      </c>
      <c r="Z4359" t="b">
        <v>0</v>
      </c>
      <c r="AA4359" t="b">
        <v>0</v>
      </c>
      <c r="AC4359" s="82"/>
      <c r="AD4359" t="str">
        <f t="shared" si="71"/>
        <v/>
      </c>
      <c r="AE4359" t="str">
        <f t="shared" si="72"/>
        <v/>
      </c>
    </row>
    <row r="4360">
      <c r="D4360" s="226"/>
      <c r="H4360" s="474"/>
      <c r="I4360" s="474"/>
      <c r="J4360" s="475"/>
      <c r="K4360" s="275"/>
      <c r="L4360" s="82"/>
      <c r="M4360" s="672"/>
      <c r="N4360" s="242"/>
      <c r="O4360" s="242"/>
      <c r="P4360" s="242"/>
      <c r="Q4360" s="242"/>
      <c r="R4360" s="539"/>
      <c r="S4360" s="540"/>
      <c r="T4360" s="543"/>
      <c r="U4360" s="673" t="b">
        <v>0</v>
      </c>
      <c r="Z4360" t="b">
        <v>0</v>
      </c>
      <c r="AA4360" t="b">
        <v>0</v>
      </c>
      <c r="AC4360" s="82"/>
      <c r="AD4360" t="str">
        <f t="shared" si="71"/>
        <v/>
      </c>
      <c r="AE4360" t="str">
        <f t="shared" si="72"/>
        <v/>
      </c>
    </row>
    <row r="4361">
      <c r="D4361" s="226"/>
      <c r="H4361" s="474"/>
      <c r="I4361" s="474"/>
      <c r="J4361" s="475"/>
      <c r="K4361" s="275"/>
      <c r="L4361" s="82"/>
      <c r="M4361" s="672"/>
      <c r="N4361" s="242"/>
      <c r="O4361" s="242"/>
      <c r="P4361" s="242"/>
      <c r="Q4361" s="242"/>
      <c r="R4361" s="539"/>
      <c r="S4361" s="540"/>
      <c r="T4361" s="543"/>
      <c r="U4361" s="673" t="b">
        <v>0</v>
      </c>
      <c r="Z4361" t="b">
        <v>0</v>
      </c>
      <c r="AA4361" t="b">
        <v>0</v>
      </c>
      <c r="AC4361" s="82"/>
      <c r="AD4361" t="str">
        <f t="shared" si="71"/>
        <v/>
      </c>
      <c r="AE4361" t="str">
        <f t="shared" si="72"/>
        <v/>
      </c>
    </row>
    <row r="4362">
      <c r="D4362" s="226"/>
      <c r="H4362" s="474"/>
      <c r="I4362" s="474"/>
      <c r="J4362" s="475"/>
      <c r="K4362" s="275"/>
      <c r="L4362" s="82"/>
      <c r="M4362" s="672"/>
      <c r="N4362" s="242"/>
      <c r="O4362" s="242"/>
      <c r="P4362" s="242"/>
      <c r="Q4362" s="242"/>
      <c r="R4362" s="539"/>
      <c r="S4362" s="540"/>
      <c r="T4362" s="543"/>
      <c r="U4362" s="673" t="b">
        <v>0</v>
      </c>
      <c r="Z4362" t="b">
        <v>0</v>
      </c>
      <c r="AA4362" t="b">
        <v>0</v>
      </c>
      <c r="AC4362" s="82"/>
      <c r="AD4362" t="str">
        <f t="shared" si="71"/>
        <v/>
      </c>
      <c r="AE4362" t="str">
        <f t="shared" si="72"/>
        <v/>
      </c>
    </row>
    <row r="4363">
      <c r="D4363" s="226"/>
      <c r="H4363" s="474"/>
      <c r="I4363" s="474"/>
      <c r="J4363" s="475"/>
      <c r="K4363" s="275"/>
      <c r="L4363" s="82"/>
      <c r="M4363" s="672"/>
      <c r="N4363" s="242"/>
      <c r="O4363" s="242"/>
      <c r="P4363" s="242"/>
      <c r="Q4363" s="242"/>
      <c r="R4363" s="539"/>
      <c r="S4363" s="540"/>
      <c r="T4363" s="543"/>
      <c r="U4363" s="673" t="b">
        <v>0</v>
      </c>
      <c r="Z4363" t="b">
        <v>0</v>
      </c>
      <c r="AA4363" t="b">
        <v>0</v>
      </c>
      <c r="AC4363" s="82"/>
      <c r="AD4363" t="str">
        <f t="shared" si="71"/>
        <v/>
      </c>
      <c r="AE4363" t="str">
        <f t="shared" si="72"/>
        <v/>
      </c>
    </row>
    <row r="4364">
      <c r="D4364" s="226"/>
      <c r="H4364" s="474"/>
      <c r="I4364" s="474"/>
      <c r="J4364" s="475"/>
      <c r="K4364" s="275"/>
      <c r="L4364" s="82"/>
      <c r="M4364" s="672"/>
      <c r="N4364" s="242"/>
      <c r="O4364" s="242"/>
      <c r="P4364" s="242"/>
      <c r="Q4364" s="242"/>
      <c r="R4364" s="539"/>
      <c r="S4364" s="540"/>
      <c r="T4364" s="543"/>
      <c r="U4364" s="673" t="b">
        <v>0</v>
      </c>
      <c r="Z4364" t="b">
        <v>0</v>
      </c>
      <c r="AA4364" t="b">
        <v>0</v>
      </c>
      <c r="AC4364" s="82"/>
      <c r="AD4364" t="str">
        <f t="shared" si="71"/>
        <v/>
      </c>
      <c r="AE4364" t="str">
        <f t="shared" si="72"/>
        <v/>
      </c>
    </row>
    <row r="4365">
      <c r="D4365" s="226"/>
      <c r="H4365" s="474"/>
      <c r="I4365" s="474"/>
      <c r="J4365" s="475"/>
      <c r="K4365" s="275"/>
      <c r="L4365" s="82"/>
      <c r="M4365" s="672"/>
      <c r="N4365" s="242"/>
      <c r="O4365" s="242"/>
      <c r="P4365" s="242"/>
      <c r="Q4365" s="242"/>
      <c r="R4365" s="539"/>
      <c r="S4365" s="540"/>
      <c r="T4365" s="543"/>
      <c r="U4365" s="673" t="b">
        <v>0</v>
      </c>
      <c r="Z4365" t="b">
        <v>0</v>
      </c>
      <c r="AA4365" t="b">
        <v>0</v>
      </c>
      <c r="AC4365" s="82"/>
      <c r="AD4365" t="str">
        <f t="shared" si="71"/>
        <v/>
      </c>
      <c r="AE4365" t="str">
        <f t="shared" si="72"/>
        <v/>
      </c>
    </row>
    <row r="4366">
      <c r="D4366" s="226"/>
      <c r="H4366" s="474"/>
      <c r="I4366" s="474"/>
      <c r="J4366" s="475"/>
      <c r="K4366" s="275"/>
      <c r="L4366" s="82"/>
      <c r="M4366" s="672"/>
      <c r="N4366" s="242"/>
      <c r="O4366" s="242"/>
      <c r="P4366" s="242"/>
      <c r="Q4366" s="242"/>
      <c r="R4366" s="539"/>
      <c r="S4366" s="540"/>
      <c r="T4366" s="543"/>
      <c r="U4366" s="673" t="b">
        <v>0</v>
      </c>
      <c r="Z4366" t="b">
        <v>0</v>
      </c>
      <c r="AA4366" t="b">
        <v>0</v>
      </c>
      <c r="AC4366" s="82"/>
      <c r="AD4366" t="str">
        <f t="shared" si="71"/>
        <v/>
      </c>
      <c r="AE4366" t="str">
        <f t="shared" si="72"/>
        <v/>
      </c>
    </row>
    <row r="4367">
      <c r="D4367" s="226"/>
      <c r="H4367" s="474"/>
      <c r="I4367" s="474"/>
      <c r="J4367" s="475"/>
      <c r="K4367" s="275"/>
      <c r="L4367" s="82"/>
      <c r="M4367" s="672"/>
      <c r="N4367" s="242"/>
      <c r="O4367" s="242"/>
      <c r="P4367" s="242"/>
      <c r="Q4367" s="242"/>
      <c r="R4367" s="539"/>
      <c r="S4367" s="540"/>
      <c r="T4367" s="543"/>
      <c r="U4367" s="673" t="b">
        <v>0</v>
      </c>
      <c r="Z4367" t="b">
        <v>0</v>
      </c>
      <c r="AA4367" t="b">
        <v>0</v>
      </c>
      <c r="AC4367" s="82"/>
      <c r="AD4367" t="str">
        <f t="shared" si="71"/>
        <v/>
      </c>
      <c r="AE4367" t="str">
        <f t="shared" si="72"/>
        <v/>
      </c>
    </row>
    <row r="4368">
      <c r="D4368" s="226"/>
      <c r="H4368" s="474"/>
      <c r="I4368" s="474"/>
      <c r="J4368" s="475"/>
      <c r="K4368" s="275"/>
      <c r="L4368" s="82"/>
      <c r="M4368" s="672"/>
      <c r="N4368" s="242"/>
      <c r="O4368" s="242"/>
      <c r="P4368" s="242"/>
      <c r="Q4368" s="242"/>
      <c r="R4368" s="539"/>
      <c r="S4368" s="540"/>
      <c r="T4368" s="543"/>
      <c r="U4368" s="673" t="b">
        <v>0</v>
      </c>
      <c r="Z4368" t="b">
        <v>0</v>
      </c>
      <c r="AA4368" t="b">
        <v>0</v>
      </c>
      <c r="AC4368" s="82"/>
      <c r="AD4368" t="str">
        <f t="shared" si="71"/>
        <v/>
      </c>
      <c r="AE4368" t="str">
        <f t="shared" si="72"/>
        <v/>
      </c>
    </row>
    <row r="4369">
      <c r="D4369" s="226"/>
      <c r="H4369" s="474"/>
      <c r="I4369" s="474"/>
      <c r="J4369" s="475"/>
      <c r="K4369" s="275"/>
      <c r="L4369" s="82"/>
      <c r="M4369" s="672"/>
      <c r="N4369" s="242"/>
      <c r="O4369" s="242"/>
      <c r="P4369" s="242"/>
      <c r="Q4369" s="242"/>
      <c r="R4369" s="539"/>
      <c r="S4369" s="540"/>
      <c r="T4369" s="543"/>
      <c r="U4369" s="673" t="b">
        <v>0</v>
      </c>
      <c r="Z4369" t="b">
        <v>0</v>
      </c>
      <c r="AA4369" t="b">
        <v>0</v>
      </c>
      <c r="AC4369" s="82"/>
      <c r="AD4369" t="str">
        <f t="shared" si="71"/>
        <v/>
      </c>
      <c r="AE4369" t="str">
        <f t="shared" si="72"/>
        <v/>
      </c>
    </row>
    <row r="4370">
      <c r="D4370" s="226"/>
      <c r="H4370" s="474"/>
      <c r="I4370" s="474"/>
      <c r="J4370" s="475"/>
      <c r="K4370" s="275"/>
      <c r="L4370" s="82"/>
      <c r="M4370" s="672"/>
      <c r="N4370" s="242"/>
      <c r="O4370" s="242"/>
      <c r="P4370" s="242"/>
      <c r="Q4370" s="242"/>
      <c r="R4370" s="539"/>
      <c r="S4370" s="540"/>
      <c r="T4370" s="543"/>
      <c r="U4370" s="673" t="b">
        <v>0</v>
      </c>
      <c r="Z4370" t="b">
        <v>0</v>
      </c>
      <c r="AA4370" t="b">
        <v>0</v>
      </c>
      <c r="AC4370" s="82"/>
      <c r="AD4370" t="str">
        <f t="shared" si="71"/>
        <v/>
      </c>
      <c r="AE4370" t="str">
        <f t="shared" si="72"/>
        <v/>
      </c>
    </row>
    <row r="4371">
      <c r="D4371" s="226"/>
      <c r="H4371" s="474"/>
      <c r="I4371" s="474"/>
      <c r="J4371" s="475"/>
      <c r="K4371" s="275"/>
      <c r="L4371" s="82"/>
      <c r="M4371" s="672"/>
      <c r="N4371" s="242"/>
      <c r="O4371" s="242"/>
      <c r="P4371" s="242"/>
      <c r="Q4371" s="242"/>
      <c r="R4371" s="539"/>
      <c r="S4371" s="540"/>
      <c r="T4371" s="543"/>
      <c r="U4371" s="673" t="b">
        <v>0</v>
      </c>
      <c r="Z4371" t="b">
        <v>0</v>
      </c>
      <c r="AA4371" t="b">
        <v>0</v>
      </c>
      <c r="AC4371" s="82"/>
      <c r="AD4371" t="str">
        <f t="shared" si="71"/>
        <v/>
      </c>
      <c r="AE4371" t="str">
        <f t="shared" si="72"/>
        <v/>
      </c>
    </row>
    <row r="4372">
      <c r="D4372" s="226"/>
      <c r="H4372" s="474"/>
      <c r="I4372" s="474"/>
      <c r="J4372" s="475"/>
      <c r="K4372" s="275"/>
      <c r="L4372" s="82"/>
      <c r="M4372" s="672"/>
      <c r="N4372" s="242"/>
      <c r="O4372" s="242"/>
      <c r="P4372" s="242"/>
      <c r="Q4372" s="242"/>
      <c r="R4372" s="539"/>
      <c r="S4372" s="540"/>
      <c r="T4372" s="543"/>
      <c r="U4372" s="673" t="b">
        <v>0</v>
      </c>
      <c r="Z4372" t="b">
        <v>0</v>
      </c>
      <c r="AA4372" t="b">
        <v>0</v>
      </c>
      <c r="AC4372" s="82"/>
      <c r="AD4372" t="str">
        <f t="shared" si="71"/>
        <v/>
      </c>
      <c r="AE4372" t="str">
        <f t="shared" si="72"/>
        <v/>
      </c>
    </row>
    <row r="4373">
      <c r="D4373" s="226"/>
      <c r="H4373" s="474"/>
      <c r="I4373" s="474"/>
      <c r="J4373" s="475"/>
      <c r="K4373" s="275"/>
      <c r="L4373" s="82"/>
      <c r="M4373" s="672"/>
      <c r="N4373" s="242"/>
      <c r="O4373" s="242"/>
      <c r="P4373" s="242"/>
      <c r="Q4373" s="242"/>
      <c r="R4373" s="539"/>
      <c r="S4373" s="540"/>
      <c r="T4373" s="543"/>
      <c r="U4373" s="673" t="b">
        <v>0</v>
      </c>
      <c r="Z4373" t="b">
        <v>0</v>
      </c>
      <c r="AA4373" t="b">
        <v>0</v>
      </c>
      <c r="AC4373" s="82"/>
      <c r="AD4373" t="str">
        <f t="shared" si="71"/>
        <v/>
      </c>
      <c r="AE4373" t="str">
        <f t="shared" si="72"/>
        <v/>
      </c>
    </row>
    <row r="4374">
      <c r="D4374" s="226"/>
      <c r="H4374" s="474"/>
      <c r="I4374" s="474"/>
      <c r="J4374" s="475"/>
      <c r="K4374" s="275"/>
      <c r="L4374" s="82"/>
      <c r="M4374" s="672"/>
      <c r="N4374" s="242"/>
      <c r="O4374" s="242"/>
      <c r="P4374" s="242"/>
      <c r="Q4374" s="242"/>
      <c r="R4374" s="539"/>
      <c r="S4374" s="540"/>
      <c r="T4374" s="543"/>
      <c r="U4374" s="673" t="b">
        <v>0</v>
      </c>
      <c r="Z4374" t="b">
        <v>0</v>
      </c>
      <c r="AA4374" t="b">
        <v>0</v>
      </c>
      <c r="AC4374" s="82"/>
      <c r="AD4374" t="str">
        <f t="shared" si="71"/>
        <v/>
      </c>
      <c r="AE4374" t="str">
        <f t="shared" si="72"/>
        <v/>
      </c>
    </row>
    <row r="4375">
      <c r="D4375" s="226"/>
      <c r="H4375" s="474"/>
      <c r="I4375" s="474"/>
      <c r="J4375" s="475"/>
      <c r="K4375" s="275"/>
      <c r="L4375" s="82"/>
      <c r="M4375" s="672"/>
      <c r="N4375" s="242"/>
      <c r="O4375" s="242"/>
      <c r="P4375" s="242"/>
      <c r="Q4375" s="242"/>
      <c r="R4375" s="539"/>
      <c r="S4375" s="540"/>
      <c r="T4375" s="543"/>
      <c r="U4375" s="673" t="b">
        <v>0</v>
      </c>
      <c r="Z4375" t="b">
        <v>0</v>
      </c>
      <c r="AA4375" t="b">
        <v>0</v>
      </c>
      <c r="AC4375" s="82"/>
      <c r="AD4375" t="str">
        <f t="shared" si="71"/>
        <v/>
      </c>
      <c r="AE4375" t="str">
        <f t="shared" si="72"/>
        <v/>
      </c>
    </row>
    <row r="4376">
      <c r="D4376" s="226"/>
      <c r="H4376" s="474"/>
      <c r="I4376" s="474"/>
      <c r="J4376" s="475"/>
      <c r="K4376" s="275"/>
      <c r="L4376" s="82"/>
      <c r="M4376" s="672"/>
      <c r="N4376" s="242"/>
      <c r="O4376" s="242"/>
      <c r="P4376" s="242"/>
      <c r="Q4376" s="242"/>
      <c r="R4376" s="539"/>
      <c r="S4376" s="540"/>
      <c r="T4376" s="543"/>
      <c r="U4376" s="673" t="b">
        <v>0</v>
      </c>
      <c r="Z4376" t="b">
        <v>0</v>
      </c>
      <c r="AA4376" t="b">
        <v>0</v>
      </c>
      <c r="AC4376" s="82"/>
      <c r="AD4376" t="str">
        <f t="shared" si="71"/>
        <v/>
      </c>
      <c r="AE4376" t="str">
        <f t="shared" si="72"/>
        <v/>
      </c>
    </row>
    <row r="4377">
      <c r="D4377" s="226"/>
      <c r="H4377" s="474"/>
      <c r="I4377" s="474"/>
      <c r="J4377" s="475"/>
      <c r="K4377" s="275"/>
      <c r="L4377" s="82"/>
      <c r="M4377" s="672"/>
      <c r="N4377" s="242"/>
      <c r="O4377" s="242"/>
      <c r="P4377" s="242"/>
      <c r="Q4377" s="242"/>
      <c r="R4377" s="539"/>
      <c r="S4377" s="540"/>
      <c r="T4377" s="543"/>
      <c r="U4377" s="673" t="b">
        <v>0</v>
      </c>
      <c r="Z4377" t="b">
        <v>0</v>
      </c>
      <c r="AA4377" t="b">
        <v>0</v>
      </c>
      <c r="AC4377" s="82"/>
      <c r="AD4377" t="str">
        <f t="shared" si="71"/>
        <v/>
      </c>
      <c r="AE4377" t="str">
        <f t="shared" si="72"/>
        <v/>
      </c>
    </row>
    <row r="4378">
      <c r="D4378" s="226"/>
      <c r="H4378" s="474"/>
      <c r="I4378" s="474"/>
      <c r="J4378" s="475"/>
      <c r="K4378" s="275"/>
      <c r="L4378" s="82"/>
      <c r="M4378" s="672"/>
      <c r="N4378" s="242"/>
      <c r="O4378" s="242"/>
      <c r="P4378" s="242"/>
      <c r="Q4378" s="242"/>
      <c r="R4378" s="539"/>
      <c r="S4378" s="540"/>
      <c r="T4378" s="543"/>
      <c r="U4378" s="673" t="b">
        <v>0</v>
      </c>
      <c r="Z4378" t="b">
        <v>0</v>
      </c>
      <c r="AA4378" t="b">
        <v>0</v>
      </c>
      <c r="AC4378" s="82"/>
      <c r="AD4378" t="str">
        <f t="shared" si="71"/>
        <v/>
      </c>
      <c r="AE4378" t="str">
        <f t="shared" si="72"/>
        <v/>
      </c>
    </row>
    <row r="4379">
      <c r="D4379" s="226"/>
      <c r="H4379" s="474"/>
      <c r="I4379" s="474"/>
      <c r="J4379" s="475"/>
      <c r="K4379" s="275"/>
      <c r="L4379" s="82"/>
      <c r="M4379" s="672"/>
      <c r="N4379" s="242"/>
      <c r="O4379" s="242"/>
      <c r="P4379" s="242"/>
      <c r="Q4379" s="242"/>
      <c r="R4379" s="539"/>
      <c r="S4379" s="540"/>
      <c r="T4379" s="543"/>
      <c r="U4379" s="673" t="b">
        <v>0</v>
      </c>
      <c r="Z4379" t="b">
        <v>0</v>
      </c>
      <c r="AA4379" t="b">
        <v>0</v>
      </c>
      <c r="AC4379" s="82"/>
      <c r="AD4379" t="str">
        <f t="shared" si="71"/>
        <v/>
      </c>
      <c r="AE4379" t="str">
        <f t="shared" si="72"/>
        <v/>
      </c>
    </row>
    <row r="4380">
      <c r="D4380" s="226"/>
      <c r="H4380" s="474"/>
      <c r="I4380" s="474"/>
      <c r="J4380" s="475"/>
      <c r="K4380" s="275"/>
      <c r="L4380" s="82"/>
      <c r="M4380" s="672"/>
      <c r="N4380" s="242"/>
      <c r="O4380" s="242"/>
      <c r="P4380" s="242"/>
      <c r="Q4380" s="242"/>
      <c r="R4380" s="539"/>
      <c r="S4380" s="540"/>
      <c r="T4380" s="543"/>
      <c r="U4380" s="673" t="b">
        <v>0</v>
      </c>
      <c r="Z4380" t="b">
        <v>0</v>
      </c>
      <c r="AA4380" t="b">
        <v>0</v>
      </c>
      <c r="AC4380" s="82"/>
      <c r="AD4380" t="str">
        <f t="shared" si="71"/>
        <v/>
      </c>
      <c r="AE4380" t="str">
        <f t="shared" si="72"/>
        <v/>
      </c>
    </row>
    <row r="4381">
      <c r="D4381" s="226"/>
      <c r="H4381" s="474"/>
      <c r="I4381" s="474"/>
      <c r="J4381" s="475"/>
      <c r="K4381" s="275"/>
      <c r="L4381" s="82"/>
      <c r="M4381" s="672"/>
      <c r="N4381" s="242"/>
      <c r="O4381" s="242"/>
      <c r="P4381" s="242"/>
      <c r="Q4381" s="242"/>
      <c r="R4381" s="539"/>
      <c r="S4381" s="540"/>
      <c r="T4381" s="543"/>
      <c r="U4381" s="673" t="b">
        <v>0</v>
      </c>
      <c r="Z4381" t="b">
        <v>0</v>
      </c>
      <c r="AA4381" t="b">
        <v>0</v>
      </c>
      <c r="AC4381" s="82"/>
      <c r="AD4381" t="str">
        <f t="shared" si="71"/>
        <v/>
      </c>
      <c r="AE4381" t="str">
        <f t="shared" si="72"/>
        <v/>
      </c>
    </row>
    <row r="4382">
      <c r="D4382" s="226"/>
      <c r="H4382" s="474"/>
      <c r="I4382" s="474"/>
      <c r="J4382" s="475"/>
      <c r="K4382" s="275"/>
      <c r="L4382" s="82"/>
      <c r="M4382" s="672"/>
      <c r="N4382" s="242"/>
      <c r="O4382" s="242"/>
      <c r="P4382" s="242"/>
      <c r="Q4382" s="242"/>
      <c r="R4382" s="539"/>
      <c r="S4382" s="540"/>
      <c r="T4382" s="543"/>
      <c r="U4382" s="673" t="b">
        <v>0</v>
      </c>
      <c r="Z4382" t="b">
        <v>0</v>
      </c>
      <c r="AA4382" t="b">
        <v>0</v>
      </c>
      <c r="AC4382" s="82"/>
      <c r="AD4382" t="str">
        <f t="shared" si="71"/>
        <v/>
      </c>
      <c r="AE4382" t="str">
        <f t="shared" si="72"/>
        <v/>
      </c>
    </row>
    <row r="4383">
      <c r="D4383" s="226"/>
      <c r="H4383" s="474"/>
      <c r="I4383" s="474"/>
      <c r="J4383" s="475"/>
      <c r="K4383" s="275"/>
      <c r="L4383" s="82"/>
      <c r="M4383" s="672"/>
      <c r="N4383" s="242"/>
      <c r="O4383" s="242"/>
      <c r="P4383" s="242"/>
      <c r="Q4383" s="242"/>
      <c r="R4383" s="539"/>
      <c r="S4383" s="540"/>
      <c r="T4383" s="543"/>
      <c r="U4383" s="673" t="b">
        <v>0</v>
      </c>
      <c r="Z4383" t="b">
        <v>0</v>
      </c>
      <c r="AA4383" t="b">
        <v>0</v>
      </c>
      <c r="AC4383" s="82"/>
      <c r="AD4383" t="str">
        <f t="shared" si="71"/>
        <v/>
      </c>
      <c r="AE4383" t="str">
        <f t="shared" si="72"/>
        <v/>
      </c>
    </row>
    <row r="4384">
      <c r="D4384" s="226"/>
      <c r="H4384" s="474"/>
      <c r="I4384" s="474"/>
      <c r="J4384" s="475"/>
      <c r="K4384" s="275"/>
      <c r="L4384" s="82"/>
      <c r="M4384" s="672"/>
      <c r="N4384" s="242"/>
      <c r="O4384" s="242"/>
      <c r="P4384" s="242"/>
      <c r="Q4384" s="242"/>
      <c r="R4384" s="539"/>
      <c r="S4384" s="540"/>
      <c r="T4384" s="543"/>
      <c r="U4384" s="673" t="b">
        <v>0</v>
      </c>
      <c r="Z4384" t="b">
        <v>0</v>
      </c>
      <c r="AA4384" t="b">
        <v>0</v>
      </c>
      <c r="AC4384" s="82"/>
      <c r="AD4384" t="str">
        <f t="shared" si="71"/>
        <v/>
      </c>
      <c r="AE4384" t="str">
        <f t="shared" si="72"/>
        <v/>
      </c>
    </row>
    <row r="4385">
      <c r="D4385" s="226"/>
      <c r="H4385" s="474"/>
      <c r="I4385" s="474"/>
      <c r="J4385" s="475"/>
      <c r="K4385" s="275"/>
      <c r="L4385" s="82"/>
      <c r="M4385" s="672"/>
      <c r="N4385" s="242"/>
      <c r="O4385" s="242"/>
      <c r="P4385" s="242"/>
      <c r="Q4385" s="242"/>
      <c r="R4385" s="539"/>
      <c r="S4385" s="540"/>
      <c r="T4385" s="543"/>
      <c r="U4385" s="673" t="b">
        <v>0</v>
      </c>
      <c r="Z4385" t="b">
        <v>0</v>
      </c>
      <c r="AA4385" t="b">
        <v>0</v>
      </c>
      <c r="AC4385" s="82"/>
      <c r="AD4385" t="str">
        <f t="shared" si="71"/>
        <v/>
      </c>
      <c r="AE4385" t="str">
        <f t="shared" si="72"/>
        <v/>
      </c>
    </row>
    <row r="4386">
      <c r="D4386" s="226"/>
      <c r="H4386" s="474"/>
      <c r="I4386" s="474"/>
      <c r="J4386" s="475"/>
      <c r="K4386" s="275"/>
      <c r="L4386" s="82"/>
      <c r="M4386" s="672"/>
      <c r="N4386" s="242"/>
      <c r="O4386" s="242"/>
      <c r="P4386" s="242"/>
      <c r="Q4386" s="242"/>
      <c r="R4386" s="539"/>
      <c r="S4386" s="540"/>
      <c r="T4386" s="543"/>
      <c r="U4386" s="673" t="b">
        <v>0</v>
      </c>
      <c r="Z4386" t="b">
        <v>0</v>
      </c>
      <c r="AA4386" t="b">
        <v>0</v>
      </c>
      <c r="AC4386" s="82"/>
      <c r="AD4386" t="str">
        <f t="shared" si="71"/>
        <v/>
      </c>
      <c r="AE4386" t="str">
        <f t="shared" si="72"/>
        <v/>
      </c>
    </row>
    <row r="4387">
      <c r="D4387" s="226"/>
      <c r="H4387" s="474"/>
      <c r="I4387" s="474"/>
      <c r="J4387" s="475"/>
      <c r="K4387" s="275"/>
      <c r="L4387" s="82"/>
      <c r="M4387" s="672"/>
      <c r="N4387" s="242"/>
      <c r="O4387" s="242"/>
      <c r="P4387" s="242"/>
      <c r="Q4387" s="242"/>
      <c r="R4387" s="539"/>
      <c r="S4387" s="540"/>
      <c r="T4387" s="543"/>
      <c r="U4387" s="673" t="b">
        <v>0</v>
      </c>
      <c r="Z4387" t="b">
        <v>0</v>
      </c>
      <c r="AA4387" t="b">
        <v>0</v>
      </c>
      <c r="AC4387" s="82"/>
      <c r="AD4387" t="str">
        <f t="shared" si="71"/>
        <v/>
      </c>
      <c r="AE4387" t="str">
        <f t="shared" si="72"/>
        <v/>
      </c>
    </row>
    <row r="4388">
      <c r="D4388" s="226"/>
      <c r="H4388" s="474"/>
      <c r="I4388" s="474"/>
      <c r="J4388" s="475"/>
      <c r="K4388" s="275"/>
      <c r="L4388" s="82"/>
      <c r="M4388" s="672"/>
      <c r="N4388" s="242"/>
      <c r="O4388" s="242"/>
      <c r="P4388" s="242"/>
      <c r="Q4388" s="242"/>
      <c r="R4388" s="539"/>
      <c r="S4388" s="540"/>
      <c r="T4388" s="543"/>
      <c r="U4388" s="673" t="b">
        <v>0</v>
      </c>
      <c r="Z4388" t="b">
        <v>0</v>
      </c>
      <c r="AA4388" t="b">
        <v>0</v>
      </c>
      <c r="AC4388" s="82"/>
      <c r="AD4388" t="str">
        <f t="shared" si="71"/>
        <v/>
      </c>
      <c r="AE4388" t="str">
        <f t="shared" si="72"/>
        <v/>
      </c>
    </row>
    <row r="4389">
      <c r="D4389" s="226"/>
      <c r="H4389" s="474"/>
      <c r="I4389" s="474"/>
      <c r="J4389" s="475"/>
      <c r="K4389" s="275"/>
      <c r="L4389" s="82"/>
      <c r="M4389" s="672"/>
      <c r="N4389" s="242"/>
      <c r="O4389" s="242"/>
      <c r="P4389" s="242"/>
      <c r="Q4389" s="242"/>
      <c r="R4389" s="539"/>
      <c r="S4389" s="540"/>
      <c r="T4389" s="543"/>
      <c r="U4389" s="673" t="b">
        <v>0</v>
      </c>
      <c r="Z4389" t="b">
        <v>0</v>
      </c>
      <c r="AA4389" t="b">
        <v>0</v>
      </c>
      <c r="AC4389" s="82"/>
      <c r="AD4389" t="str">
        <f t="shared" si="71"/>
        <v/>
      </c>
      <c r="AE4389" t="str">
        <f t="shared" si="72"/>
        <v/>
      </c>
    </row>
    <row r="4390">
      <c r="D4390" s="226"/>
      <c r="H4390" s="474"/>
      <c r="I4390" s="474"/>
      <c r="J4390" s="475"/>
      <c r="K4390" s="275"/>
      <c r="L4390" s="82"/>
      <c r="M4390" s="672"/>
      <c r="N4390" s="242"/>
      <c r="O4390" s="242"/>
      <c r="P4390" s="242"/>
      <c r="Q4390" s="242"/>
      <c r="R4390" s="539"/>
      <c r="S4390" s="540"/>
      <c r="T4390" s="543"/>
      <c r="U4390" s="673" t="b">
        <v>0</v>
      </c>
      <c r="Z4390" t="b">
        <v>0</v>
      </c>
      <c r="AA4390" t="b">
        <v>0</v>
      </c>
      <c r="AC4390" s="82"/>
      <c r="AD4390" t="str">
        <f t="shared" si="71"/>
        <v/>
      </c>
      <c r="AE4390" t="str">
        <f t="shared" si="72"/>
        <v/>
      </c>
    </row>
    <row r="4391">
      <c r="D4391" s="226"/>
      <c r="H4391" s="474"/>
      <c r="I4391" s="474"/>
      <c r="J4391" s="475"/>
      <c r="K4391" s="275"/>
      <c r="L4391" s="82"/>
      <c r="M4391" s="672"/>
      <c r="N4391" s="242"/>
      <c r="O4391" s="242"/>
      <c r="P4391" s="242"/>
      <c r="Q4391" s="242"/>
      <c r="R4391" s="539"/>
      <c r="S4391" s="540"/>
      <c r="T4391" s="543"/>
      <c r="U4391" s="673" t="b">
        <v>0</v>
      </c>
      <c r="Z4391" t="b">
        <v>0</v>
      </c>
      <c r="AA4391" t="b">
        <v>0</v>
      </c>
      <c r="AC4391" s="82"/>
      <c r="AD4391" t="str">
        <f t="shared" si="71"/>
        <v/>
      </c>
      <c r="AE4391" t="str">
        <f t="shared" si="72"/>
        <v/>
      </c>
    </row>
    <row r="4392">
      <c r="D4392" s="226"/>
      <c r="H4392" s="474"/>
      <c r="I4392" s="474"/>
      <c r="J4392" s="475"/>
      <c r="K4392" s="275"/>
      <c r="L4392" s="82"/>
      <c r="M4392" s="672"/>
      <c r="N4392" s="242"/>
      <c r="O4392" s="242"/>
      <c r="P4392" s="242"/>
      <c r="Q4392" s="242"/>
      <c r="R4392" s="539"/>
      <c r="S4392" s="540"/>
      <c r="T4392" s="543"/>
      <c r="U4392" s="673" t="b">
        <v>0</v>
      </c>
      <c r="Z4392" t="b">
        <v>0</v>
      </c>
      <c r="AA4392" t="b">
        <v>0</v>
      </c>
      <c r="AC4392" s="82"/>
      <c r="AD4392" t="str">
        <f t="shared" si="71"/>
        <v/>
      </c>
      <c r="AE4392" t="str">
        <f t="shared" si="72"/>
        <v/>
      </c>
    </row>
    <row r="4393">
      <c r="D4393" s="226"/>
      <c r="H4393" s="474"/>
      <c r="I4393" s="474"/>
      <c r="J4393" s="475"/>
      <c r="K4393" s="275"/>
      <c r="L4393" s="82"/>
      <c r="M4393" s="672"/>
      <c r="N4393" s="242"/>
      <c r="O4393" s="242"/>
      <c r="P4393" s="242"/>
      <c r="Q4393" s="242"/>
      <c r="R4393" s="539"/>
      <c r="S4393" s="540"/>
      <c r="T4393" s="543"/>
      <c r="U4393" s="673" t="b">
        <v>0</v>
      </c>
      <c r="Z4393" t="b">
        <v>0</v>
      </c>
      <c r="AA4393" t="b">
        <v>0</v>
      </c>
      <c r="AC4393" s="82"/>
      <c r="AD4393" t="str">
        <f t="shared" si="71"/>
        <v/>
      </c>
      <c r="AE4393" t="str">
        <f t="shared" si="72"/>
        <v/>
      </c>
    </row>
    <row r="4394">
      <c r="D4394" s="226"/>
      <c r="H4394" s="474"/>
      <c r="I4394" s="474"/>
      <c r="J4394" s="475"/>
      <c r="K4394" s="275"/>
      <c r="L4394" s="82"/>
      <c r="M4394" s="672"/>
      <c r="N4394" s="242"/>
      <c r="O4394" s="242"/>
      <c r="P4394" s="242"/>
      <c r="Q4394" s="242"/>
      <c r="R4394" s="539"/>
      <c r="S4394" s="540"/>
      <c r="T4394" s="543"/>
      <c r="U4394" s="673" t="b">
        <v>0</v>
      </c>
      <c r="Z4394" t="b">
        <v>0</v>
      </c>
      <c r="AA4394" t="b">
        <v>0</v>
      </c>
      <c r="AC4394" s="82"/>
      <c r="AD4394" t="str">
        <f t="shared" si="71"/>
        <v/>
      </c>
      <c r="AE4394" t="str">
        <f t="shared" si="72"/>
        <v/>
      </c>
    </row>
    <row r="4395">
      <c r="D4395" s="226"/>
      <c r="H4395" s="474"/>
      <c r="I4395" s="474"/>
      <c r="J4395" s="475"/>
      <c r="K4395" s="275"/>
      <c r="L4395" s="82"/>
      <c r="M4395" s="672"/>
      <c r="N4395" s="242"/>
      <c r="O4395" s="242"/>
      <c r="P4395" s="242"/>
      <c r="Q4395" s="242"/>
      <c r="R4395" s="539"/>
      <c r="S4395" s="540"/>
      <c r="T4395" s="543"/>
      <c r="U4395" s="673" t="b">
        <v>0</v>
      </c>
      <c r="Z4395" t="b">
        <v>0</v>
      </c>
      <c r="AA4395" t="b">
        <v>0</v>
      </c>
      <c r="AC4395" s="82"/>
      <c r="AD4395" t="str">
        <f t="shared" si="71"/>
        <v/>
      </c>
      <c r="AE4395" t="str">
        <f t="shared" si="72"/>
        <v/>
      </c>
    </row>
    <row r="4396">
      <c r="D4396" s="226"/>
      <c r="H4396" s="474"/>
      <c r="I4396" s="474"/>
      <c r="J4396" s="475"/>
      <c r="K4396" s="275"/>
      <c r="L4396" s="82"/>
      <c r="M4396" s="672"/>
      <c r="N4396" s="242"/>
      <c r="O4396" s="242"/>
      <c r="P4396" s="242"/>
      <c r="Q4396" s="242"/>
      <c r="R4396" s="539"/>
      <c r="S4396" s="540"/>
      <c r="T4396" s="543"/>
      <c r="U4396" s="673" t="b">
        <v>0</v>
      </c>
      <c r="Z4396" t="b">
        <v>0</v>
      </c>
      <c r="AA4396" t="b">
        <v>0</v>
      </c>
      <c r="AC4396" s="82"/>
      <c r="AD4396" t="str">
        <f t="shared" si="71"/>
        <v/>
      </c>
      <c r="AE4396" t="str">
        <f t="shared" si="72"/>
        <v/>
      </c>
    </row>
    <row r="4397">
      <c r="D4397" s="226"/>
      <c r="H4397" s="474"/>
      <c r="I4397" s="474"/>
      <c r="J4397" s="475"/>
      <c r="K4397" s="275"/>
      <c r="L4397" s="82"/>
      <c r="M4397" s="672"/>
      <c r="N4397" s="242"/>
      <c r="O4397" s="242"/>
      <c r="P4397" s="242"/>
      <c r="Q4397" s="242"/>
      <c r="R4397" s="539"/>
      <c r="S4397" s="540"/>
      <c r="T4397" s="543"/>
      <c r="U4397" s="673" t="b">
        <v>0</v>
      </c>
      <c r="Z4397" t="b">
        <v>0</v>
      </c>
      <c r="AA4397" t="b">
        <v>0</v>
      </c>
      <c r="AC4397" s="82"/>
      <c r="AD4397" t="str">
        <f t="shared" si="71"/>
        <v/>
      </c>
      <c r="AE4397" t="str">
        <f t="shared" si="72"/>
        <v/>
      </c>
    </row>
    <row r="4398">
      <c r="D4398" s="226"/>
      <c r="H4398" s="474"/>
      <c r="I4398" s="474"/>
      <c r="J4398" s="475"/>
      <c r="K4398" s="275"/>
      <c r="L4398" s="82"/>
      <c r="M4398" s="672"/>
      <c r="N4398" s="242"/>
      <c r="O4398" s="242"/>
      <c r="P4398" s="242"/>
      <c r="Q4398" s="242"/>
      <c r="R4398" s="539"/>
      <c r="S4398" s="540"/>
      <c r="T4398" s="543"/>
      <c r="U4398" s="673" t="b">
        <v>0</v>
      </c>
      <c r="Z4398" t="b">
        <v>0</v>
      </c>
      <c r="AA4398" t="b">
        <v>0</v>
      </c>
      <c r="AC4398" s="82"/>
      <c r="AD4398" t="str">
        <f t="shared" si="71"/>
        <v/>
      </c>
      <c r="AE4398" t="str">
        <f t="shared" si="72"/>
        <v/>
      </c>
    </row>
    <row r="4399">
      <c r="D4399" s="226"/>
      <c r="H4399" s="474"/>
      <c r="I4399" s="474"/>
      <c r="J4399" s="475"/>
      <c r="K4399" s="275"/>
      <c r="L4399" s="82"/>
      <c r="M4399" s="672"/>
      <c r="N4399" s="242"/>
      <c r="O4399" s="242"/>
      <c r="P4399" s="242"/>
      <c r="Q4399" s="242"/>
      <c r="R4399" s="539"/>
      <c r="S4399" s="540"/>
      <c r="T4399" s="543"/>
      <c r="U4399" s="673" t="b">
        <v>0</v>
      </c>
      <c r="Z4399" t="b">
        <v>0</v>
      </c>
      <c r="AA4399" t="b">
        <v>0</v>
      </c>
      <c r="AC4399" s="82"/>
      <c r="AD4399" t="str">
        <f t="shared" si="71"/>
        <v/>
      </c>
      <c r="AE4399" t="str">
        <f t="shared" si="72"/>
        <v/>
      </c>
    </row>
    <row r="4400">
      <c r="D4400" s="226"/>
      <c r="H4400" s="474"/>
      <c r="I4400" s="474"/>
      <c r="J4400" s="475"/>
      <c r="K4400" s="275"/>
      <c r="L4400" s="82"/>
      <c r="M4400" s="672"/>
      <c r="N4400" s="242"/>
      <c r="O4400" s="242"/>
      <c r="P4400" s="242"/>
      <c r="Q4400" s="242"/>
      <c r="R4400" s="539"/>
      <c r="S4400" s="540"/>
      <c r="T4400" s="543"/>
      <c r="U4400" s="673" t="b">
        <v>0</v>
      </c>
      <c r="Z4400" t="b">
        <v>0</v>
      </c>
      <c r="AA4400" t="b">
        <v>0</v>
      </c>
      <c r="AC4400" s="82"/>
      <c r="AD4400" t="str">
        <f t="shared" si="71"/>
        <v/>
      </c>
      <c r="AE4400" t="str">
        <f t="shared" si="72"/>
        <v/>
      </c>
    </row>
    <row r="4401">
      <c r="D4401" s="226"/>
      <c r="H4401" s="474"/>
      <c r="I4401" s="474"/>
      <c r="J4401" s="475"/>
      <c r="K4401" s="275"/>
      <c r="L4401" s="82"/>
      <c r="M4401" s="672"/>
      <c r="N4401" s="242"/>
      <c r="O4401" s="242"/>
      <c r="P4401" s="242"/>
      <c r="Q4401" s="242"/>
      <c r="R4401" s="539"/>
      <c r="S4401" s="540"/>
      <c r="T4401" s="543"/>
      <c r="U4401" s="673" t="b">
        <v>0</v>
      </c>
      <c r="Z4401" t="b">
        <v>0</v>
      </c>
      <c r="AA4401" t="b">
        <v>0</v>
      </c>
      <c r="AC4401" s="82"/>
      <c r="AD4401" t="str">
        <f t="shared" si="71"/>
        <v/>
      </c>
      <c r="AE4401" t="str">
        <f t="shared" si="72"/>
        <v/>
      </c>
    </row>
    <row r="4402">
      <c r="D4402" s="226"/>
      <c r="H4402" s="474"/>
      <c r="I4402" s="474"/>
      <c r="J4402" s="475"/>
      <c r="K4402" s="275"/>
      <c r="L4402" s="82"/>
      <c r="M4402" s="672"/>
      <c r="N4402" s="242"/>
      <c r="O4402" s="242"/>
      <c r="P4402" s="242"/>
      <c r="Q4402" s="242"/>
      <c r="R4402" s="539"/>
      <c r="S4402" s="540"/>
      <c r="T4402" s="543"/>
      <c r="U4402" s="673" t="b">
        <v>0</v>
      </c>
      <c r="Z4402" t="b">
        <v>0</v>
      </c>
      <c r="AA4402" t="b">
        <v>0</v>
      </c>
      <c r="AC4402" s="82"/>
      <c r="AD4402" t="str">
        <f t="shared" si="71"/>
        <v/>
      </c>
      <c r="AE4402" t="str">
        <f t="shared" si="72"/>
        <v/>
      </c>
    </row>
    <row r="4403">
      <c r="D4403" s="226"/>
      <c r="H4403" s="474"/>
      <c r="I4403" s="474"/>
      <c r="J4403" s="475"/>
      <c r="K4403" s="275"/>
      <c r="L4403" s="82"/>
      <c r="M4403" s="672"/>
      <c r="N4403" s="242"/>
      <c r="O4403" s="242"/>
      <c r="P4403" s="242"/>
      <c r="Q4403" s="242"/>
      <c r="R4403" s="539"/>
      <c r="S4403" s="540"/>
      <c r="T4403" s="543"/>
      <c r="U4403" s="673" t="b">
        <v>0</v>
      </c>
      <c r="Z4403" t="b">
        <v>0</v>
      </c>
      <c r="AA4403" t="b">
        <v>0</v>
      </c>
      <c r="AC4403" s="82"/>
      <c r="AD4403" t="str">
        <f t="shared" si="71"/>
        <v/>
      </c>
      <c r="AE4403" t="str">
        <f t="shared" si="72"/>
        <v/>
      </c>
    </row>
    <row r="4404">
      <c r="D4404" s="226"/>
      <c r="H4404" s="474"/>
      <c r="I4404" s="474"/>
      <c r="J4404" s="475"/>
      <c r="K4404" s="275"/>
      <c r="L4404" s="82"/>
      <c r="M4404" s="672"/>
      <c r="N4404" s="242"/>
      <c r="O4404" s="242"/>
      <c r="P4404" s="242"/>
      <c r="Q4404" s="242"/>
      <c r="R4404" s="539"/>
      <c r="S4404" s="540"/>
      <c r="T4404" s="543"/>
      <c r="U4404" s="673" t="b">
        <v>0</v>
      </c>
      <c r="Z4404" t="b">
        <v>0</v>
      </c>
      <c r="AA4404" t="b">
        <v>0</v>
      </c>
      <c r="AC4404" s="82"/>
      <c r="AD4404" t="str">
        <f t="shared" si="71"/>
        <v/>
      </c>
      <c r="AE4404" t="str">
        <f t="shared" si="72"/>
        <v/>
      </c>
    </row>
    <row r="4405">
      <c r="D4405" s="226"/>
      <c r="H4405" s="474"/>
      <c r="I4405" s="474"/>
      <c r="J4405" s="475"/>
      <c r="K4405" s="275"/>
      <c r="L4405" s="82"/>
      <c r="M4405" s="672"/>
      <c r="N4405" s="242"/>
      <c r="O4405" s="242"/>
      <c r="P4405" s="242"/>
      <c r="Q4405" s="242"/>
      <c r="R4405" s="539"/>
      <c r="S4405" s="540"/>
      <c r="T4405" s="543"/>
      <c r="U4405" s="673" t="b">
        <v>0</v>
      </c>
      <c r="Z4405" t="b">
        <v>0</v>
      </c>
      <c r="AA4405" t="b">
        <v>0</v>
      </c>
      <c r="AC4405" s="82"/>
      <c r="AD4405" t="str">
        <f t="shared" si="71"/>
        <v/>
      </c>
      <c r="AE4405" t="str">
        <f t="shared" si="72"/>
        <v/>
      </c>
    </row>
    <row r="4406">
      <c r="D4406" s="226"/>
      <c r="H4406" s="474"/>
      <c r="I4406" s="474"/>
      <c r="J4406" s="475"/>
      <c r="K4406" s="275"/>
      <c r="L4406" s="82"/>
      <c r="M4406" s="672"/>
      <c r="N4406" s="242"/>
      <c r="O4406" s="242"/>
      <c r="P4406" s="242"/>
      <c r="Q4406" s="242"/>
      <c r="R4406" s="539"/>
      <c r="S4406" s="540"/>
      <c r="T4406" s="543"/>
      <c r="U4406" s="673" t="b">
        <v>0</v>
      </c>
      <c r="Z4406" t="b">
        <v>0</v>
      </c>
      <c r="AA4406" t="b">
        <v>0</v>
      </c>
      <c r="AC4406" s="82"/>
      <c r="AD4406" t="str">
        <f t="shared" si="71"/>
        <v/>
      </c>
      <c r="AE4406" t="str">
        <f t="shared" si="72"/>
        <v/>
      </c>
    </row>
    <row r="4407">
      <c r="D4407" s="226"/>
      <c r="H4407" s="474"/>
      <c r="I4407" s="474"/>
      <c r="J4407" s="475"/>
      <c r="K4407" s="275"/>
      <c r="L4407" s="82"/>
      <c r="M4407" s="672"/>
      <c r="N4407" s="242"/>
      <c r="O4407" s="242"/>
      <c r="P4407" s="242"/>
      <c r="Q4407" s="242"/>
      <c r="R4407" s="539"/>
      <c r="S4407" s="540"/>
      <c r="T4407" s="543"/>
      <c r="U4407" s="673" t="b">
        <v>0</v>
      </c>
      <c r="Z4407" t="b">
        <v>0</v>
      </c>
      <c r="AA4407" t="b">
        <v>0</v>
      </c>
      <c r="AC4407" s="82"/>
      <c r="AD4407" t="str">
        <f t="shared" si="71"/>
        <v/>
      </c>
      <c r="AE4407" t="str">
        <f t="shared" si="72"/>
        <v/>
      </c>
    </row>
    <row r="4408">
      <c r="D4408" s="226"/>
      <c r="H4408" s="474"/>
      <c r="I4408" s="474"/>
      <c r="J4408" s="475"/>
      <c r="K4408" s="275"/>
      <c r="L4408" s="82"/>
      <c r="M4408" s="672"/>
      <c r="N4408" s="242"/>
      <c r="O4408" s="242"/>
      <c r="P4408" s="242"/>
      <c r="Q4408" s="242"/>
      <c r="R4408" s="539"/>
      <c r="S4408" s="540"/>
      <c r="T4408" s="543"/>
      <c r="U4408" s="673" t="b">
        <v>0</v>
      </c>
      <c r="Z4408" t="b">
        <v>0</v>
      </c>
      <c r="AA4408" t="b">
        <v>0</v>
      </c>
      <c r="AC4408" s="82"/>
      <c r="AD4408" t="str">
        <f t="shared" si="71"/>
        <v/>
      </c>
      <c r="AE4408" t="str">
        <f t="shared" si="72"/>
        <v/>
      </c>
    </row>
    <row r="4409">
      <c r="D4409" s="226"/>
      <c r="H4409" s="474"/>
      <c r="I4409" s="474"/>
      <c r="J4409" s="475"/>
      <c r="K4409" s="275"/>
      <c r="L4409" s="82"/>
      <c r="M4409" s="672"/>
      <c r="N4409" s="242"/>
      <c r="O4409" s="242"/>
      <c r="P4409" s="242"/>
      <c r="Q4409" s="242"/>
      <c r="R4409" s="539"/>
      <c r="S4409" s="540"/>
      <c r="T4409" s="543"/>
      <c r="U4409" s="673" t="b">
        <v>0</v>
      </c>
      <c r="Z4409" t="b">
        <v>0</v>
      </c>
      <c r="AA4409" t="b">
        <v>0</v>
      </c>
      <c r="AC4409" s="82"/>
      <c r="AD4409" t="str">
        <f t="shared" si="71"/>
        <v/>
      </c>
      <c r="AE4409" t="str">
        <f t="shared" si="72"/>
        <v/>
      </c>
    </row>
    <row r="4410">
      <c r="D4410" s="226"/>
      <c r="H4410" s="474"/>
      <c r="I4410" s="474"/>
      <c r="J4410" s="475"/>
      <c r="K4410" s="275"/>
      <c r="L4410" s="82"/>
      <c r="M4410" s="672"/>
      <c r="N4410" s="242"/>
      <c r="O4410" s="242"/>
      <c r="P4410" s="242"/>
      <c r="Q4410" s="242"/>
      <c r="R4410" s="539"/>
      <c r="S4410" s="540"/>
      <c r="T4410" s="543"/>
      <c r="U4410" s="673" t="b">
        <v>0</v>
      </c>
      <c r="Z4410" t="b">
        <v>0</v>
      </c>
      <c r="AA4410" t="b">
        <v>0</v>
      </c>
      <c r="AC4410" s="82"/>
      <c r="AD4410" t="str">
        <f t="shared" si="71"/>
        <v/>
      </c>
      <c r="AE4410" t="str">
        <f t="shared" si="72"/>
        <v/>
      </c>
    </row>
    <row r="4411">
      <c r="D4411" s="226"/>
      <c r="H4411" s="474"/>
      <c r="I4411" s="474"/>
      <c r="J4411" s="475"/>
      <c r="K4411" s="275"/>
      <c r="L4411" s="82"/>
      <c r="M4411" s="672"/>
      <c r="N4411" s="242"/>
      <c r="O4411" s="242"/>
      <c r="P4411" s="242"/>
      <c r="Q4411" s="242"/>
      <c r="R4411" s="539"/>
      <c r="S4411" s="540"/>
      <c r="T4411" s="543"/>
      <c r="U4411" s="673" t="b">
        <v>0</v>
      </c>
      <c r="Z4411" t="b">
        <v>0</v>
      </c>
      <c r="AA4411" t="b">
        <v>0</v>
      </c>
      <c r="AC4411" s="82"/>
      <c r="AD4411" t="str">
        <f t="shared" si="71"/>
        <v/>
      </c>
      <c r="AE4411" t="str">
        <f t="shared" si="72"/>
        <v/>
      </c>
    </row>
    <row r="4412">
      <c r="D4412" s="226"/>
      <c r="H4412" s="474"/>
      <c r="I4412" s="474"/>
      <c r="J4412" s="475"/>
      <c r="K4412" s="275"/>
      <c r="L4412" s="82"/>
      <c r="M4412" s="672"/>
      <c r="N4412" s="242"/>
      <c r="O4412" s="242"/>
      <c r="P4412" s="242"/>
      <c r="Q4412" s="242"/>
      <c r="R4412" s="539"/>
      <c r="S4412" s="540"/>
      <c r="T4412" s="543"/>
      <c r="U4412" s="673" t="b">
        <v>0</v>
      </c>
      <c r="Z4412" t="b">
        <v>0</v>
      </c>
      <c r="AA4412" t="b">
        <v>0</v>
      </c>
      <c r="AC4412" s="82"/>
      <c r="AD4412" t="str">
        <f t="shared" si="71"/>
        <v/>
      </c>
      <c r="AE4412" t="str">
        <f t="shared" si="72"/>
        <v/>
      </c>
    </row>
    <row r="4413">
      <c r="D4413" s="226"/>
      <c r="H4413" s="474"/>
      <c r="I4413" s="474"/>
      <c r="J4413" s="475"/>
      <c r="K4413" s="275"/>
      <c r="L4413" s="82"/>
      <c r="M4413" s="672"/>
      <c r="N4413" s="242"/>
      <c r="O4413" s="242"/>
      <c r="P4413" s="242"/>
      <c r="Q4413" s="242"/>
      <c r="R4413" s="539"/>
      <c r="S4413" s="540"/>
      <c r="T4413" s="543"/>
      <c r="U4413" s="673" t="b">
        <v>0</v>
      </c>
      <c r="Z4413" t="b">
        <v>0</v>
      </c>
      <c r="AA4413" t="b">
        <v>0</v>
      </c>
      <c r="AC4413" s="82"/>
      <c r="AD4413" t="str">
        <f t="shared" si="71"/>
        <v/>
      </c>
      <c r="AE4413" t="str">
        <f t="shared" si="72"/>
        <v/>
      </c>
    </row>
    <row r="4414">
      <c r="D4414" s="226"/>
      <c r="H4414" s="474"/>
      <c r="I4414" s="474"/>
      <c r="J4414" s="475"/>
      <c r="K4414" s="275"/>
      <c r="L4414" s="82"/>
      <c r="M4414" s="672"/>
      <c r="N4414" s="242"/>
      <c r="O4414" s="242"/>
      <c r="P4414" s="242"/>
      <c r="Q4414" s="242"/>
      <c r="R4414" s="539"/>
      <c r="S4414" s="540"/>
      <c r="T4414" s="543"/>
      <c r="U4414" s="673" t="b">
        <v>0</v>
      </c>
      <c r="Z4414" t="b">
        <v>0</v>
      </c>
      <c r="AA4414" t="b">
        <v>0</v>
      </c>
      <c r="AC4414" s="82"/>
      <c r="AD4414" t="str">
        <f t="shared" si="71"/>
        <v/>
      </c>
      <c r="AE4414" t="str">
        <f t="shared" si="72"/>
        <v/>
      </c>
    </row>
    <row r="4415">
      <c r="D4415" s="226"/>
      <c r="H4415" s="474"/>
      <c r="I4415" s="474"/>
      <c r="J4415" s="475"/>
      <c r="K4415" s="275"/>
      <c r="L4415" s="82"/>
      <c r="M4415" s="672"/>
      <c r="N4415" s="242"/>
      <c r="O4415" s="242"/>
      <c r="P4415" s="242"/>
      <c r="Q4415" s="242"/>
      <c r="R4415" s="539"/>
      <c r="S4415" s="540"/>
      <c r="T4415" s="543"/>
      <c r="U4415" s="673" t="b">
        <v>0</v>
      </c>
      <c r="Z4415" t="b">
        <v>0</v>
      </c>
      <c r="AA4415" t="b">
        <v>0</v>
      </c>
      <c r="AC4415" s="82"/>
      <c r="AD4415" t="str">
        <f t="shared" si="71"/>
        <v/>
      </c>
      <c r="AE4415" t="str">
        <f t="shared" si="72"/>
        <v/>
      </c>
    </row>
    <row r="4416">
      <c r="D4416" s="226"/>
      <c r="H4416" s="474"/>
      <c r="I4416" s="474"/>
      <c r="J4416" s="475"/>
      <c r="K4416" s="275"/>
      <c r="L4416" s="82"/>
      <c r="M4416" s="672"/>
      <c r="N4416" s="242"/>
      <c r="O4416" s="242"/>
      <c r="P4416" s="242"/>
      <c r="Q4416" s="242"/>
      <c r="R4416" s="539"/>
      <c r="S4416" s="540"/>
      <c r="T4416" s="543"/>
      <c r="U4416" s="673" t="b">
        <v>0</v>
      </c>
      <c r="Z4416" t="b">
        <v>0</v>
      </c>
      <c r="AA4416" t="b">
        <v>0</v>
      </c>
      <c r="AC4416" s="82"/>
      <c r="AD4416" t="str">
        <f t="shared" si="71"/>
        <v/>
      </c>
      <c r="AE4416" t="str">
        <f t="shared" si="72"/>
        <v/>
      </c>
    </row>
    <row r="4417">
      <c r="D4417" s="226"/>
      <c r="H4417" s="474"/>
      <c r="I4417" s="474"/>
      <c r="J4417" s="475"/>
      <c r="K4417" s="275"/>
      <c r="L4417" s="82"/>
      <c r="M4417" s="672"/>
      <c r="N4417" s="242"/>
      <c r="O4417" s="242"/>
      <c r="P4417" s="242"/>
      <c r="Q4417" s="242"/>
      <c r="R4417" s="539"/>
      <c r="S4417" s="540"/>
      <c r="T4417" s="543"/>
      <c r="U4417" s="673" t="b">
        <v>0</v>
      </c>
      <c r="Z4417" t="b">
        <v>0</v>
      </c>
      <c r="AA4417" t="b">
        <v>0</v>
      </c>
      <c r="AC4417" s="82"/>
      <c r="AD4417" t="str">
        <f t="shared" si="71"/>
        <v/>
      </c>
      <c r="AE4417" t="str">
        <f t="shared" si="72"/>
        <v/>
      </c>
    </row>
    <row r="4418">
      <c r="D4418" s="226"/>
      <c r="H4418" s="474"/>
      <c r="I4418" s="474"/>
      <c r="J4418" s="475"/>
      <c r="K4418" s="275"/>
      <c r="L4418" s="82"/>
      <c r="M4418" s="672"/>
      <c r="N4418" s="242"/>
      <c r="O4418" s="242"/>
      <c r="P4418" s="242"/>
      <c r="Q4418" s="242"/>
      <c r="R4418" s="539"/>
      <c r="S4418" s="540"/>
      <c r="T4418" s="543"/>
      <c r="U4418" s="673" t="b">
        <v>0</v>
      </c>
      <c r="Z4418" t="b">
        <v>0</v>
      </c>
      <c r="AA4418" t="b">
        <v>0</v>
      </c>
      <c r="AC4418" s="82"/>
      <c r="AD4418" t="str">
        <f t="shared" si="71"/>
        <v/>
      </c>
      <c r="AE4418" t="str">
        <f t="shared" si="72"/>
        <v/>
      </c>
    </row>
    <row r="4419">
      <c r="D4419" s="226"/>
      <c r="H4419" s="474"/>
      <c r="I4419" s="474"/>
      <c r="J4419" s="475"/>
      <c r="K4419" s="275"/>
      <c r="L4419" s="82"/>
      <c r="M4419" s="672"/>
      <c r="N4419" s="242"/>
      <c r="O4419" s="242"/>
      <c r="P4419" s="242"/>
      <c r="Q4419" s="242"/>
      <c r="R4419" s="539"/>
      <c r="S4419" s="540"/>
      <c r="T4419" s="543"/>
      <c r="U4419" s="673" t="b">
        <v>0</v>
      </c>
      <c r="Z4419" t="b">
        <v>0</v>
      </c>
      <c r="AA4419" t="b">
        <v>0</v>
      </c>
      <c r="AC4419" s="82"/>
      <c r="AD4419" t="str">
        <f t="shared" si="71"/>
        <v/>
      </c>
      <c r="AE4419" t="str">
        <f t="shared" si="72"/>
        <v/>
      </c>
    </row>
    <row r="4420">
      <c r="D4420" s="226"/>
      <c r="H4420" s="474"/>
      <c r="I4420" s="474"/>
      <c r="J4420" s="475"/>
      <c r="K4420" s="275"/>
      <c r="L4420" s="82"/>
      <c r="M4420" s="672"/>
      <c r="N4420" s="242"/>
      <c r="O4420" s="242"/>
      <c r="P4420" s="242"/>
      <c r="Q4420" s="242"/>
      <c r="R4420" s="539"/>
      <c r="S4420" s="540"/>
      <c r="T4420" s="543"/>
      <c r="U4420" s="673" t="b">
        <v>0</v>
      </c>
      <c r="Z4420" t="b">
        <v>0</v>
      </c>
      <c r="AA4420" t="b">
        <v>0</v>
      </c>
      <c r="AC4420" s="82"/>
      <c r="AD4420" t="str">
        <f t="shared" si="71"/>
        <v/>
      </c>
      <c r="AE4420" t="str">
        <f t="shared" si="72"/>
        <v/>
      </c>
    </row>
    <row r="4421">
      <c r="D4421" s="226"/>
      <c r="H4421" s="474"/>
      <c r="I4421" s="474"/>
      <c r="J4421" s="475"/>
      <c r="K4421" s="275"/>
      <c r="L4421" s="82"/>
      <c r="M4421" s="672"/>
      <c r="N4421" s="242"/>
      <c r="O4421" s="242"/>
      <c r="P4421" s="242"/>
      <c r="Q4421" s="242"/>
      <c r="R4421" s="539"/>
      <c r="S4421" s="540"/>
      <c r="T4421" s="543"/>
      <c r="U4421" s="673" t="b">
        <v>0</v>
      </c>
      <c r="Z4421" t="b">
        <v>0</v>
      </c>
      <c r="AA4421" t="b">
        <v>0</v>
      </c>
      <c r="AC4421" s="82"/>
      <c r="AD4421" t="str">
        <f t="shared" si="71"/>
        <v/>
      </c>
      <c r="AE4421" t="str">
        <f t="shared" si="72"/>
        <v/>
      </c>
    </row>
    <row r="4422">
      <c r="D4422" s="226"/>
      <c r="H4422" s="474"/>
      <c r="I4422" s="474"/>
      <c r="J4422" s="475"/>
      <c r="K4422" s="275"/>
      <c r="L4422" s="82"/>
      <c r="M4422" s="672"/>
      <c r="N4422" s="242"/>
      <c r="O4422" s="242"/>
      <c r="P4422" s="242"/>
      <c r="Q4422" s="242"/>
      <c r="R4422" s="539"/>
      <c r="S4422" s="540"/>
      <c r="T4422" s="543"/>
      <c r="U4422" s="673" t="b">
        <v>0</v>
      </c>
      <c r="Z4422" t="b">
        <v>0</v>
      </c>
      <c r="AA4422" t="b">
        <v>0</v>
      </c>
      <c r="AC4422" s="82"/>
      <c r="AD4422" t="str">
        <f t="shared" si="71"/>
        <v/>
      </c>
      <c r="AE4422" t="str">
        <f t="shared" si="72"/>
        <v/>
      </c>
    </row>
    <row r="4423">
      <c r="D4423" s="226"/>
      <c r="H4423" s="474"/>
      <c r="I4423" s="474"/>
      <c r="J4423" s="475"/>
      <c r="K4423" s="275"/>
      <c r="L4423" s="82"/>
      <c r="M4423" s="672"/>
      <c r="N4423" s="242"/>
      <c r="O4423" s="242"/>
      <c r="P4423" s="242"/>
      <c r="Q4423" s="242"/>
      <c r="R4423" s="539"/>
      <c r="S4423" s="540"/>
      <c r="T4423" s="543"/>
      <c r="U4423" s="673" t="b">
        <v>0</v>
      </c>
      <c r="Z4423" t="b">
        <v>0</v>
      </c>
      <c r="AA4423" t="b">
        <v>0</v>
      </c>
      <c r="AC4423" s="82"/>
      <c r="AD4423" t="str">
        <f t="shared" si="71"/>
        <v/>
      </c>
      <c r="AE4423" t="str">
        <f t="shared" si="72"/>
        <v/>
      </c>
    </row>
    <row r="4424">
      <c r="D4424" s="226"/>
      <c r="H4424" s="474"/>
      <c r="I4424" s="474"/>
      <c r="J4424" s="475"/>
      <c r="K4424" s="275"/>
      <c r="L4424" s="82"/>
      <c r="M4424" s="672"/>
      <c r="N4424" s="242"/>
      <c r="O4424" s="242"/>
      <c r="P4424" s="242"/>
      <c r="Q4424" s="242"/>
      <c r="R4424" s="539"/>
      <c r="S4424" s="540"/>
      <c r="T4424" s="543"/>
      <c r="U4424" s="673" t="b">
        <v>0</v>
      </c>
      <c r="Z4424" t="b">
        <v>0</v>
      </c>
      <c r="AA4424" t="b">
        <v>0</v>
      </c>
      <c r="AC4424" s="82"/>
      <c r="AD4424" t="str">
        <f t="shared" si="71"/>
        <v/>
      </c>
      <c r="AE4424" t="str">
        <f t="shared" si="72"/>
        <v/>
      </c>
    </row>
    <row r="4425">
      <c r="D4425" s="226"/>
      <c r="H4425" s="474"/>
      <c r="I4425" s="474"/>
      <c r="J4425" s="475"/>
      <c r="K4425" s="275"/>
      <c r="L4425" s="82"/>
      <c r="M4425" s="672"/>
      <c r="N4425" s="242"/>
      <c r="O4425" s="242"/>
      <c r="P4425" s="242"/>
      <c r="Q4425" s="242"/>
      <c r="R4425" s="539"/>
      <c r="S4425" s="540"/>
      <c r="T4425" s="543"/>
      <c r="U4425" s="673" t="b">
        <v>0</v>
      </c>
      <c r="Z4425" t="b">
        <v>0</v>
      </c>
      <c r="AA4425" t="b">
        <v>0</v>
      </c>
      <c r="AC4425" s="82"/>
      <c r="AD4425" t="str">
        <f t="shared" si="71"/>
        <v/>
      </c>
      <c r="AE4425" t="str">
        <f t="shared" si="72"/>
        <v/>
      </c>
    </row>
    <row r="4426">
      <c r="D4426" s="226"/>
      <c r="H4426" s="474"/>
      <c r="I4426" s="474"/>
      <c r="J4426" s="475"/>
      <c r="K4426" s="275"/>
      <c r="L4426" s="82"/>
      <c r="M4426" s="672"/>
      <c r="N4426" s="242"/>
      <c r="O4426" s="242"/>
      <c r="P4426" s="242"/>
      <c r="Q4426" s="242"/>
      <c r="R4426" s="539"/>
      <c r="S4426" s="540"/>
      <c r="T4426" s="543"/>
      <c r="U4426" s="673" t="b">
        <v>0</v>
      </c>
      <c r="Z4426" t="b">
        <v>0</v>
      </c>
      <c r="AA4426" t="b">
        <v>0</v>
      </c>
      <c r="AC4426" s="82"/>
      <c r="AD4426" t="str">
        <f t="shared" si="71"/>
        <v/>
      </c>
      <c r="AE4426" t="str">
        <f t="shared" si="72"/>
        <v/>
      </c>
    </row>
    <row r="4427">
      <c r="D4427" s="226"/>
      <c r="H4427" s="474"/>
      <c r="I4427" s="474"/>
      <c r="J4427" s="475"/>
      <c r="K4427" s="275"/>
      <c r="L4427" s="82"/>
      <c r="M4427" s="672"/>
      <c r="N4427" s="242"/>
      <c r="O4427" s="242"/>
      <c r="P4427" s="242"/>
      <c r="Q4427" s="242"/>
      <c r="R4427" s="539"/>
      <c r="S4427" s="540"/>
      <c r="T4427" s="543"/>
      <c r="U4427" s="673" t="b">
        <v>0</v>
      </c>
      <c r="Z4427" t="b">
        <v>0</v>
      </c>
      <c r="AA4427" t="b">
        <v>0</v>
      </c>
      <c r="AC4427" s="82"/>
      <c r="AD4427" t="str">
        <f t="shared" si="71"/>
        <v/>
      </c>
      <c r="AE4427" t="str">
        <f t="shared" si="72"/>
        <v/>
      </c>
    </row>
    <row r="4428">
      <c r="D4428" s="226"/>
      <c r="H4428" s="474"/>
      <c r="I4428" s="474"/>
      <c r="J4428" s="475"/>
      <c r="K4428" s="275"/>
      <c r="L4428" s="82"/>
      <c r="M4428" s="672"/>
      <c r="N4428" s="242"/>
      <c r="O4428" s="242"/>
      <c r="P4428" s="242"/>
      <c r="Q4428" s="242"/>
      <c r="R4428" s="539"/>
      <c r="S4428" s="540"/>
      <c r="T4428" s="543"/>
      <c r="U4428" s="673" t="b">
        <v>0</v>
      </c>
      <c r="Z4428" t="b">
        <v>0</v>
      </c>
      <c r="AA4428" t="b">
        <v>0</v>
      </c>
      <c r="AC4428" s="82"/>
      <c r="AD4428" t="str">
        <f t="shared" si="71"/>
        <v/>
      </c>
      <c r="AE4428" t="str">
        <f t="shared" si="72"/>
        <v/>
      </c>
    </row>
    <row r="4429">
      <c r="D4429" s="226"/>
      <c r="H4429" s="474"/>
      <c r="I4429" s="474"/>
      <c r="J4429" s="475"/>
      <c r="K4429" s="275"/>
      <c r="L4429" s="82"/>
      <c r="M4429" s="672"/>
      <c r="N4429" s="242"/>
      <c r="O4429" s="242"/>
      <c r="P4429" s="242"/>
      <c r="Q4429" s="242"/>
      <c r="R4429" s="539"/>
      <c r="S4429" s="540"/>
      <c r="T4429" s="543"/>
      <c r="U4429" s="673" t="b">
        <v>0</v>
      </c>
      <c r="Z4429" t="b">
        <v>0</v>
      </c>
      <c r="AA4429" t="b">
        <v>0</v>
      </c>
      <c r="AC4429" s="82"/>
      <c r="AD4429" t="str">
        <f t="shared" si="71"/>
        <v/>
      </c>
      <c r="AE4429" t="str">
        <f t="shared" si="72"/>
        <v/>
      </c>
    </row>
    <row r="4430">
      <c r="D4430" s="226"/>
      <c r="H4430" s="474"/>
      <c r="I4430" s="474"/>
      <c r="J4430" s="475"/>
      <c r="K4430" s="275"/>
      <c r="L4430" s="82"/>
      <c r="M4430" s="672"/>
      <c r="N4430" s="242"/>
      <c r="O4430" s="242"/>
      <c r="P4430" s="242"/>
      <c r="Q4430" s="242"/>
      <c r="R4430" s="539"/>
      <c r="S4430" s="540"/>
      <c r="T4430" s="543"/>
      <c r="U4430" s="673" t="b">
        <v>0</v>
      </c>
      <c r="Z4430" t="b">
        <v>0</v>
      </c>
      <c r="AA4430" t="b">
        <v>0</v>
      </c>
      <c r="AC4430" s="82"/>
      <c r="AD4430" t="str">
        <f t="shared" si="71"/>
        <v/>
      </c>
      <c r="AE4430" t="str">
        <f t="shared" si="72"/>
        <v/>
      </c>
    </row>
    <row r="4431">
      <c r="D4431" s="226"/>
      <c r="H4431" s="474"/>
      <c r="I4431" s="474"/>
      <c r="J4431" s="475"/>
      <c r="K4431" s="275"/>
      <c r="L4431" s="82"/>
      <c r="M4431" s="672"/>
      <c r="N4431" s="242"/>
      <c r="O4431" s="242"/>
      <c r="P4431" s="242"/>
      <c r="Q4431" s="242"/>
      <c r="R4431" s="539"/>
      <c r="S4431" s="540"/>
      <c r="T4431" s="543"/>
      <c r="U4431" s="673" t="b">
        <v>0</v>
      </c>
      <c r="Z4431" t="b">
        <v>0</v>
      </c>
      <c r="AA4431" t="b">
        <v>0</v>
      </c>
      <c r="AC4431" s="82"/>
      <c r="AD4431" t="str">
        <f t="shared" si="71"/>
        <v/>
      </c>
      <c r="AE4431" t="str">
        <f t="shared" si="72"/>
        <v/>
      </c>
    </row>
    <row r="4432">
      <c r="D4432" s="226"/>
      <c r="H4432" s="474"/>
      <c r="I4432" s="474"/>
      <c r="J4432" s="475"/>
      <c r="K4432" s="275"/>
      <c r="L4432" s="82"/>
      <c r="M4432" s="672"/>
      <c r="N4432" s="242"/>
      <c r="O4432" s="242"/>
      <c r="P4432" s="242"/>
      <c r="Q4432" s="242"/>
      <c r="R4432" s="539"/>
      <c r="S4432" s="540"/>
      <c r="T4432" s="543"/>
      <c r="U4432" s="673" t="b">
        <v>0</v>
      </c>
      <c r="Z4432" t="b">
        <v>0</v>
      </c>
      <c r="AA4432" t="b">
        <v>0</v>
      </c>
      <c r="AC4432" s="82"/>
      <c r="AD4432" t="str">
        <f t="shared" si="71"/>
        <v/>
      </c>
      <c r="AE4432" t="str">
        <f t="shared" si="72"/>
        <v/>
      </c>
    </row>
    <row r="4433">
      <c r="D4433" s="226"/>
      <c r="H4433" s="474"/>
      <c r="I4433" s="474"/>
      <c r="J4433" s="475"/>
      <c r="K4433" s="275"/>
      <c r="L4433" s="82"/>
      <c r="M4433" s="672"/>
      <c r="N4433" s="242"/>
      <c r="O4433" s="242"/>
      <c r="P4433" s="242"/>
      <c r="Q4433" s="242"/>
      <c r="R4433" s="539"/>
      <c r="S4433" s="540"/>
      <c r="T4433" s="543"/>
      <c r="U4433" s="673" t="b">
        <v>0</v>
      </c>
      <c r="Z4433" t="b">
        <v>0</v>
      </c>
      <c r="AA4433" t="b">
        <v>0</v>
      </c>
      <c r="AC4433" s="82"/>
      <c r="AD4433" t="str">
        <f t="shared" si="71"/>
        <v/>
      </c>
      <c r="AE4433" t="str">
        <f t="shared" si="72"/>
        <v/>
      </c>
    </row>
    <row r="4434">
      <c r="D4434" s="226"/>
      <c r="H4434" s="474"/>
      <c r="I4434" s="474"/>
      <c r="J4434" s="475"/>
      <c r="K4434" s="275"/>
      <c r="L4434" s="82"/>
      <c r="M4434" s="672"/>
      <c r="N4434" s="242"/>
      <c r="O4434" s="242"/>
      <c r="P4434" s="242"/>
      <c r="Q4434" s="242"/>
      <c r="R4434" s="539"/>
      <c r="S4434" s="540"/>
      <c r="T4434" s="543"/>
      <c r="U4434" s="673" t="b">
        <v>0</v>
      </c>
      <c r="Z4434" t="b">
        <v>0</v>
      </c>
      <c r="AA4434" t="b">
        <v>0</v>
      </c>
      <c r="AC4434" s="82"/>
      <c r="AD4434" t="str">
        <f t="shared" si="71"/>
        <v/>
      </c>
      <c r="AE4434" t="str">
        <f t="shared" si="72"/>
        <v/>
      </c>
    </row>
    <row r="4435">
      <c r="D4435" s="226"/>
      <c r="H4435" s="474"/>
      <c r="I4435" s="474"/>
      <c r="J4435" s="475"/>
      <c r="K4435" s="275"/>
      <c r="L4435" s="82"/>
      <c r="M4435" s="672"/>
      <c r="N4435" s="242"/>
      <c r="O4435" s="242"/>
      <c r="P4435" s="242"/>
      <c r="Q4435" s="242"/>
      <c r="R4435" s="539"/>
      <c r="S4435" s="540"/>
      <c r="T4435" s="543"/>
      <c r="U4435" s="673" t="b">
        <v>0</v>
      </c>
      <c r="Z4435" t="b">
        <v>0</v>
      </c>
      <c r="AA4435" t="b">
        <v>0</v>
      </c>
      <c r="AC4435" s="82"/>
      <c r="AD4435" t="str">
        <f t="shared" si="71"/>
        <v/>
      </c>
      <c r="AE4435" t="str">
        <f t="shared" si="72"/>
        <v/>
      </c>
    </row>
    <row r="4436">
      <c r="D4436" s="226"/>
      <c r="H4436" s="474"/>
      <c r="I4436" s="474"/>
      <c r="J4436" s="475"/>
      <c r="K4436" s="275"/>
      <c r="L4436" s="82"/>
      <c r="M4436" s="672"/>
      <c r="N4436" s="242"/>
      <c r="O4436" s="242"/>
      <c r="P4436" s="242"/>
      <c r="Q4436" s="242"/>
      <c r="R4436" s="539"/>
      <c r="S4436" s="540"/>
      <c r="T4436" s="543"/>
      <c r="U4436" s="673" t="b">
        <v>0</v>
      </c>
      <c r="Z4436" t="b">
        <v>0</v>
      </c>
      <c r="AA4436" t="b">
        <v>0</v>
      </c>
      <c r="AC4436" s="82"/>
      <c r="AD4436" t="str">
        <f t="shared" si="71"/>
        <v/>
      </c>
      <c r="AE4436" t="str">
        <f t="shared" si="72"/>
        <v/>
      </c>
    </row>
    <row r="4437">
      <c r="D4437" s="226"/>
      <c r="H4437" s="474"/>
      <c r="I4437" s="474"/>
      <c r="J4437" s="475"/>
      <c r="K4437" s="275"/>
      <c r="L4437" s="82"/>
      <c r="M4437" s="672"/>
      <c r="N4437" s="242"/>
      <c r="O4437" s="242"/>
      <c r="P4437" s="242"/>
      <c r="Q4437" s="242"/>
      <c r="R4437" s="539"/>
      <c r="S4437" s="540"/>
      <c r="T4437" s="543"/>
      <c r="U4437" s="673" t="b">
        <v>0</v>
      </c>
      <c r="Z4437" t="b">
        <v>0</v>
      </c>
      <c r="AA4437" t="b">
        <v>0</v>
      </c>
      <c r="AC4437" s="82"/>
      <c r="AD4437" t="str">
        <f t="shared" si="71"/>
        <v/>
      </c>
      <c r="AE4437" t="str">
        <f t="shared" si="72"/>
        <v/>
      </c>
    </row>
    <row r="4438">
      <c r="D4438" s="226"/>
      <c r="H4438" s="474"/>
      <c r="I4438" s="474"/>
      <c r="J4438" s="475"/>
      <c r="K4438" s="275"/>
      <c r="L4438" s="82"/>
      <c r="M4438" s="672"/>
      <c r="N4438" s="242"/>
      <c r="O4438" s="242"/>
      <c r="P4438" s="242"/>
      <c r="Q4438" s="242"/>
      <c r="R4438" s="539"/>
      <c r="S4438" s="540"/>
      <c r="T4438" s="543"/>
      <c r="U4438" s="673" t="b">
        <v>0</v>
      </c>
      <c r="Z4438" t="b">
        <v>0</v>
      </c>
      <c r="AA4438" t="b">
        <v>0</v>
      </c>
      <c r="AC4438" s="82"/>
      <c r="AD4438" t="str">
        <f t="shared" si="71"/>
        <v/>
      </c>
      <c r="AE4438" t="str">
        <f t="shared" si="72"/>
        <v/>
      </c>
    </row>
    <row r="4439">
      <c r="D4439" s="226"/>
      <c r="H4439" s="474"/>
      <c r="I4439" s="474"/>
      <c r="J4439" s="475"/>
      <c r="K4439" s="275"/>
      <c r="L4439" s="82"/>
      <c r="M4439" s="672"/>
      <c r="N4439" s="242"/>
      <c r="O4439" s="242"/>
      <c r="P4439" s="242"/>
      <c r="Q4439" s="242"/>
      <c r="R4439" s="539"/>
      <c r="S4439" s="540"/>
      <c r="T4439" s="543"/>
      <c r="U4439" s="673" t="b">
        <v>0</v>
      </c>
      <c r="Z4439" t="b">
        <v>0</v>
      </c>
      <c r="AA4439" t="b">
        <v>0</v>
      </c>
      <c r="AC4439" s="82"/>
      <c r="AD4439" t="str">
        <f t="shared" si="71"/>
        <v/>
      </c>
      <c r="AE4439" t="str">
        <f t="shared" si="72"/>
        <v/>
      </c>
    </row>
    <row r="4440">
      <c r="D4440" s="226"/>
      <c r="H4440" s="474"/>
      <c r="I4440" s="474"/>
      <c r="J4440" s="475"/>
      <c r="K4440" s="275"/>
      <c r="L4440" s="82"/>
      <c r="M4440" s="672"/>
      <c r="N4440" s="242"/>
      <c r="O4440" s="242"/>
      <c r="P4440" s="242"/>
      <c r="Q4440" s="242"/>
      <c r="R4440" s="539"/>
      <c r="S4440" s="540"/>
      <c r="T4440" s="543"/>
      <c r="U4440" s="673" t="b">
        <v>0</v>
      </c>
      <c r="Z4440" t="b">
        <v>0</v>
      </c>
      <c r="AA4440" t="b">
        <v>0</v>
      </c>
      <c r="AC4440" s="82"/>
      <c r="AD4440" t="str">
        <f t="shared" si="71"/>
        <v/>
      </c>
      <c r="AE4440" t="str">
        <f t="shared" si="72"/>
        <v/>
      </c>
    </row>
    <row r="4441">
      <c r="D4441" s="226"/>
      <c r="H4441" s="474"/>
      <c r="I4441" s="474"/>
      <c r="J4441" s="475"/>
      <c r="K4441" s="275"/>
      <c r="L4441" s="82"/>
      <c r="M4441" s="672"/>
      <c r="N4441" s="242"/>
      <c r="O4441" s="242"/>
      <c r="P4441" s="242"/>
      <c r="Q4441" s="242"/>
      <c r="R4441" s="539"/>
      <c r="S4441" s="540"/>
      <c r="T4441" s="543"/>
      <c r="U4441" s="673" t="b">
        <v>0</v>
      </c>
      <c r="Z4441" t="b">
        <v>0</v>
      </c>
      <c r="AA4441" t="b">
        <v>0</v>
      </c>
      <c r="AC4441" s="82"/>
      <c r="AD4441" t="str">
        <f t="shared" si="71"/>
        <v/>
      </c>
      <c r="AE4441" t="str">
        <f t="shared" si="72"/>
        <v/>
      </c>
    </row>
    <row r="4442">
      <c r="D4442" s="226"/>
      <c r="H4442" s="474"/>
      <c r="I4442" s="474"/>
      <c r="J4442" s="475"/>
      <c r="K4442" s="275"/>
      <c r="L4442" s="82"/>
      <c r="M4442" s="672"/>
      <c r="N4442" s="242"/>
      <c r="O4442" s="242"/>
      <c r="P4442" s="242"/>
      <c r="Q4442" s="242"/>
      <c r="R4442" s="539"/>
      <c r="S4442" s="540"/>
      <c r="T4442" s="543"/>
      <c r="U4442" s="673" t="b">
        <v>0</v>
      </c>
      <c r="Z4442" t="b">
        <v>0</v>
      </c>
      <c r="AA4442" t="b">
        <v>0</v>
      </c>
      <c r="AC4442" s="82"/>
      <c r="AD4442" t="str">
        <f t="shared" si="71"/>
        <v/>
      </c>
      <c r="AE4442" t="str">
        <f t="shared" si="72"/>
        <v/>
      </c>
    </row>
    <row r="4443">
      <c r="D4443" s="226"/>
      <c r="H4443" s="474"/>
      <c r="I4443" s="474"/>
      <c r="J4443" s="475"/>
      <c r="K4443" s="275"/>
      <c r="L4443" s="82"/>
      <c r="M4443" s="672"/>
      <c r="N4443" s="242"/>
      <c r="O4443" s="242"/>
      <c r="P4443" s="242"/>
      <c r="Q4443" s="242"/>
      <c r="R4443" s="539"/>
      <c r="S4443" s="540"/>
      <c r="T4443" s="543"/>
      <c r="U4443" s="673" t="b">
        <v>0</v>
      </c>
      <c r="Z4443" t="b">
        <v>0</v>
      </c>
      <c r="AA4443" t="b">
        <v>0</v>
      </c>
      <c r="AC4443" s="82"/>
      <c r="AD4443" t="str">
        <f t="shared" si="71"/>
        <v/>
      </c>
      <c r="AE4443" t="str">
        <f t="shared" si="72"/>
        <v/>
      </c>
    </row>
    <row r="4444">
      <c r="D4444" s="226"/>
      <c r="H4444" s="474"/>
      <c r="I4444" s="474"/>
      <c r="J4444" s="475"/>
      <c r="K4444" s="275"/>
      <c r="L4444" s="82"/>
      <c r="M4444" s="672"/>
      <c r="N4444" s="242"/>
      <c r="O4444" s="242"/>
      <c r="P4444" s="242"/>
      <c r="Q4444" s="242"/>
      <c r="R4444" s="539"/>
      <c r="S4444" s="540"/>
      <c r="T4444" s="543"/>
      <c r="U4444" s="673" t="b">
        <v>0</v>
      </c>
      <c r="Z4444" t="b">
        <v>0</v>
      </c>
      <c r="AA4444" t="b">
        <v>0</v>
      </c>
      <c r="AC4444" s="82"/>
      <c r="AD4444" t="str">
        <f t="shared" si="71"/>
        <v/>
      </c>
      <c r="AE4444" t="str">
        <f t="shared" si="72"/>
        <v/>
      </c>
    </row>
    <row r="4445">
      <c r="D4445" s="226"/>
      <c r="H4445" s="474"/>
      <c r="I4445" s="474"/>
      <c r="J4445" s="475"/>
      <c r="K4445" s="275"/>
      <c r="L4445" s="82"/>
      <c r="M4445" s="672"/>
      <c r="N4445" s="242"/>
      <c r="O4445" s="242"/>
      <c r="P4445" s="242"/>
      <c r="Q4445" s="242"/>
      <c r="R4445" s="539"/>
      <c r="S4445" s="540"/>
      <c r="T4445" s="543"/>
      <c r="U4445" s="673" t="b">
        <v>0</v>
      </c>
      <c r="Z4445" t="b">
        <v>0</v>
      </c>
      <c r="AA4445" t="b">
        <v>0</v>
      </c>
      <c r="AC4445" s="82"/>
      <c r="AD4445" t="str">
        <f t="shared" si="71"/>
        <v/>
      </c>
      <c r="AE4445" t="str">
        <f t="shared" si="72"/>
        <v/>
      </c>
    </row>
    <row r="4446">
      <c r="D4446" s="226"/>
      <c r="H4446" s="474"/>
      <c r="I4446" s="474"/>
      <c r="J4446" s="475"/>
      <c r="K4446" s="275"/>
      <c r="L4446" s="82"/>
      <c r="M4446" s="672"/>
      <c r="N4446" s="242"/>
      <c r="O4446" s="242"/>
      <c r="P4446" s="242"/>
      <c r="Q4446" s="242"/>
      <c r="R4446" s="539"/>
      <c r="S4446" s="540"/>
      <c r="T4446" s="543"/>
      <c r="U4446" s="673" t="b">
        <v>0</v>
      </c>
      <c r="Z4446" t="b">
        <v>0</v>
      </c>
      <c r="AA4446" t="b">
        <v>0</v>
      </c>
      <c r="AC4446" s="82"/>
      <c r="AD4446" t="str">
        <f t="shared" si="71"/>
        <v/>
      </c>
      <c r="AE4446" t="str">
        <f t="shared" si="72"/>
        <v/>
      </c>
    </row>
    <row r="4447">
      <c r="D4447" s="226"/>
      <c r="H4447" s="474"/>
      <c r="I4447" s="474"/>
      <c r="J4447" s="475"/>
      <c r="K4447" s="275"/>
      <c r="L4447" s="82"/>
      <c r="M4447" s="672"/>
      <c r="N4447" s="242"/>
      <c r="O4447" s="242"/>
      <c r="P4447" s="242"/>
      <c r="Q4447" s="242"/>
      <c r="R4447" s="539"/>
      <c r="S4447" s="540"/>
      <c r="T4447" s="543"/>
      <c r="U4447" s="673" t="b">
        <v>0</v>
      </c>
      <c r="Z4447" t="b">
        <v>0</v>
      </c>
      <c r="AA4447" t="b">
        <v>0</v>
      </c>
      <c r="AC4447" s="82"/>
      <c r="AD4447" t="str">
        <f t="shared" si="71"/>
        <v/>
      </c>
      <c r="AE4447" t="str">
        <f t="shared" si="72"/>
        <v/>
      </c>
    </row>
    <row r="4448">
      <c r="D4448" s="226"/>
      <c r="H4448" s="474"/>
      <c r="I4448" s="474"/>
      <c r="J4448" s="475"/>
      <c r="K4448" s="275"/>
      <c r="L4448" s="82"/>
      <c r="M4448" s="672"/>
      <c r="N4448" s="242"/>
      <c r="O4448" s="242"/>
      <c r="P4448" s="242"/>
      <c r="Q4448" s="242"/>
      <c r="R4448" s="539"/>
      <c r="S4448" s="540"/>
      <c r="T4448" s="543"/>
      <c r="U4448" s="673" t="b">
        <v>0</v>
      </c>
      <c r="Z4448" t="b">
        <v>0</v>
      </c>
      <c r="AA4448" t="b">
        <v>0</v>
      </c>
      <c r="AC4448" s="82"/>
      <c r="AD4448" t="str">
        <f t="shared" si="71"/>
        <v/>
      </c>
      <c r="AE4448" t="str">
        <f t="shared" si="72"/>
        <v/>
      </c>
    </row>
    <row r="4449">
      <c r="D4449" s="226"/>
      <c r="H4449" s="474"/>
      <c r="I4449" s="474"/>
      <c r="J4449" s="475"/>
      <c r="K4449" s="275"/>
      <c r="L4449" s="82"/>
      <c r="M4449" s="672"/>
      <c r="N4449" s="242"/>
      <c r="O4449" s="242"/>
      <c r="P4449" s="242"/>
      <c r="Q4449" s="242"/>
      <c r="R4449" s="539"/>
      <c r="S4449" s="540"/>
      <c r="T4449" s="543"/>
      <c r="U4449" s="673" t="b">
        <v>0</v>
      </c>
      <c r="Z4449" t="b">
        <v>0</v>
      </c>
      <c r="AA4449" t="b">
        <v>0</v>
      </c>
      <c r="AC4449" s="82"/>
      <c r="AD4449" t="str">
        <f t="shared" si="71"/>
        <v/>
      </c>
      <c r="AE4449" t="str">
        <f t="shared" si="72"/>
        <v/>
      </c>
    </row>
    <row r="4450">
      <c r="D4450" s="226"/>
      <c r="H4450" s="474"/>
      <c r="I4450" s="474"/>
      <c r="J4450" s="475"/>
      <c r="K4450" s="275"/>
      <c r="L4450" s="82"/>
      <c r="M4450" s="672"/>
      <c r="N4450" s="242"/>
      <c r="O4450" s="242"/>
      <c r="P4450" s="242"/>
      <c r="Q4450" s="242"/>
      <c r="R4450" s="539"/>
      <c r="S4450" s="540"/>
      <c r="T4450" s="543"/>
      <c r="U4450" s="673" t="b">
        <v>0</v>
      </c>
      <c r="Z4450" t="b">
        <v>0</v>
      </c>
      <c r="AA4450" t="b">
        <v>0</v>
      </c>
      <c r="AC4450" s="82"/>
      <c r="AD4450" t="str">
        <f t="shared" si="71"/>
        <v/>
      </c>
      <c r="AE4450" t="str">
        <f t="shared" si="72"/>
        <v/>
      </c>
    </row>
    <row r="4451">
      <c r="D4451" s="226"/>
      <c r="H4451" s="474"/>
      <c r="I4451" s="474"/>
      <c r="J4451" s="475"/>
      <c r="K4451" s="275"/>
      <c r="L4451" s="82"/>
      <c r="M4451" s="672"/>
      <c r="N4451" s="242"/>
      <c r="O4451" s="242"/>
      <c r="P4451" s="242"/>
      <c r="Q4451" s="242"/>
      <c r="R4451" s="539"/>
      <c r="S4451" s="540"/>
      <c r="T4451" s="543"/>
      <c r="U4451" s="673" t="b">
        <v>0</v>
      </c>
      <c r="Z4451" t="b">
        <v>0</v>
      </c>
      <c r="AA4451" t="b">
        <v>0</v>
      </c>
      <c r="AC4451" s="82"/>
      <c r="AD4451" t="str">
        <f t="shared" si="71"/>
        <v/>
      </c>
      <c r="AE4451" t="str">
        <f t="shared" si="72"/>
        <v/>
      </c>
    </row>
    <row r="4452">
      <c r="D4452" s="226"/>
      <c r="H4452" s="474"/>
      <c r="I4452" s="474"/>
      <c r="J4452" s="475"/>
      <c r="K4452" s="275"/>
      <c r="L4452" s="82"/>
      <c r="M4452" s="672"/>
      <c r="N4452" s="242"/>
      <c r="O4452" s="242"/>
      <c r="P4452" s="242"/>
      <c r="Q4452" s="242"/>
      <c r="R4452" s="539"/>
      <c r="S4452" s="540"/>
      <c r="T4452" s="543"/>
      <c r="U4452" s="673" t="b">
        <v>0</v>
      </c>
      <c r="Z4452" t="b">
        <v>0</v>
      </c>
      <c r="AA4452" t="b">
        <v>0</v>
      </c>
      <c r="AC4452" s="82"/>
      <c r="AD4452" t="str">
        <f t="shared" si="71"/>
        <v/>
      </c>
      <c r="AE4452" t="str">
        <f t="shared" si="72"/>
        <v/>
      </c>
    </row>
    <row r="4453">
      <c r="D4453" s="226"/>
      <c r="H4453" s="474"/>
      <c r="I4453" s="474"/>
      <c r="J4453" s="475"/>
      <c r="K4453" s="275"/>
      <c r="L4453" s="82"/>
      <c r="M4453" s="672"/>
      <c r="N4453" s="242"/>
      <c r="O4453" s="242"/>
      <c r="P4453" s="242"/>
      <c r="Q4453" s="242"/>
      <c r="R4453" s="539"/>
      <c r="S4453" s="540"/>
      <c r="T4453" s="543"/>
      <c r="U4453" s="673" t="b">
        <v>0</v>
      </c>
      <c r="Z4453" t="b">
        <v>0</v>
      </c>
      <c r="AA4453" t="b">
        <v>0</v>
      </c>
      <c r="AC4453" s="82"/>
      <c r="AD4453" t="str">
        <f t="shared" si="71"/>
        <v/>
      </c>
      <c r="AE4453" t="str">
        <f t="shared" si="72"/>
        <v/>
      </c>
    </row>
    <row r="4454">
      <c r="D4454" s="226"/>
      <c r="H4454" s="474"/>
      <c r="I4454" s="474"/>
      <c r="J4454" s="475"/>
      <c r="K4454" s="275"/>
      <c r="L4454" s="82"/>
      <c r="M4454" s="672"/>
      <c r="N4454" s="242"/>
      <c r="O4454" s="242"/>
      <c r="P4454" s="242"/>
      <c r="Q4454" s="242"/>
      <c r="R4454" s="539"/>
      <c r="S4454" s="540"/>
      <c r="T4454" s="543"/>
      <c r="U4454" s="673" t="b">
        <v>0</v>
      </c>
      <c r="Z4454" t="b">
        <v>0</v>
      </c>
      <c r="AA4454" t="b">
        <v>0</v>
      </c>
      <c r="AC4454" s="82"/>
      <c r="AD4454" t="str">
        <f t="shared" si="71"/>
        <v/>
      </c>
      <c r="AE4454" t="str">
        <f t="shared" si="72"/>
        <v/>
      </c>
    </row>
    <row r="4455">
      <c r="D4455" s="226"/>
      <c r="H4455" s="474"/>
      <c r="I4455" s="474"/>
      <c r="J4455" s="475"/>
      <c r="K4455" s="275"/>
      <c r="L4455" s="82"/>
      <c r="M4455" s="672"/>
      <c r="N4455" s="242"/>
      <c r="O4455" s="242"/>
      <c r="P4455" s="242"/>
      <c r="Q4455" s="242"/>
      <c r="R4455" s="539"/>
      <c r="S4455" s="540"/>
      <c r="T4455" s="543"/>
      <c r="U4455" s="673" t="b">
        <v>0</v>
      </c>
      <c r="Z4455" t="b">
        <v>0</v>
      </c>
      <c r="AA4455" t="b">
        <v>0</v>
      </c>
      <c r="AC4455" s="82"/>
      <c r="AD4455" t="str">
        <f t="shared" si="71"/>
        <v/>
      </c>
      <c r="AE4455" t="str">
        <f t="shared" si="72"/>
        <v/>
      </c>
    </row>
    <row r="4456">
      <c r="D4456" s="226"/>
      <c r="H4456" s="474"/>
      <c r="I4456" s="474"/>
      <c r="J4456" s="475"/>
      <c r="K4456" s="275"/>
      <c r="L4456" s="82"/>
      <c r="M4456" s="672"/>
      <c r="N4456" s="242"/>
      <c r="O4456" s="242"/>
      <c r="P4456" s="242"/>
      <c r="Q4456" s="242"/>
      <c r="R4456" s="539"/>
      <c r="S4456" s="540"/>
      <c r="T4456" s="543"/>
      <c r="U4456" s="673" t="b">
        <v>0</v>
      </c>
      <c r="Z4456" t="b">
        <v>0</v>
      </c>
      <c r="AA4456" t="b">
        <v>0</v>
      </c>
      <c r="AC4456" s="82"/>
      <c r="AD4456" t="str">
        <f t="shared" si="71"/>
        <v/>
      </c>
      <c r="AE4456" t="str">
        <f t="shared" si="72"/>
        <v/>
      </c>
    </row>
    <row r="4457">
      <c r="D4457" s="226"/>
      <c r="H4457" s="474"/>
      <c r="I4457" s="474"/>
      <c r="J4457" s="475"/>
      <c r="K4457" s="275"/>
      <c r="L4457" s="82"/>
      <c r="M4457" s="672"/>
      <c r="N4457" s="242"/>
      <c r="O4457" s="242"/>
      <c r="P4457" s="242"/>
      <c r="Q4457" s="242"/>
      <c r="R4457" s="539"/>
      <c r="S4457" s="540"/>
      <c r="T4457" s="543"/>
      <c r="U4457" s="673" t="b">
        <v>0</v>
      </c>
      <c r="Z4457" t="b">
        <v>0</v>
      </c>
      <c r="AA4457" t="b">
        <v>0</v>
      </c>
      <c r="AC4457" s="82"/>
      <c r="AD4457" t="str">
        <f t="shared" si="71"/>
        <v/>
      </c>
      <c r="AE4457" t="str">
        <f t="shared" si="72"/>
        <v/>
      </c>
    </row>
    <row r="4458">
      <c r="D4458" s="226"/>
      <c r="H4458" s="474"/>
      <c r="I4458" s="474"/>
      <c r="J4458" s="475"/>
      <c r="K4458" s="275"/>
      <c r="L4458" s="82"/>
      <c r="M4458" s="672"/>
      <c r="N4458" s="242"/>
      <c r="O4458" s="242"/>
      <c r="P4458" s="242"/>
      <c r="Q4458" s="242"/>
      <c r="R4458" s="539"/>
      <c r="S4458" s="540"/>
      <c r="T4458" s="543"/>
      <c r="U4458" s="673" t="b">
        <v>0</v>
      </c>
      <c r="Z4458" t="b">
        <v>0</v>
      </c>
      <c r="AA4458" t="b">
        <v>0</v>
      </c>
      <c r="AC4458" s="82"/>
      <c r="AD4458" t="str">
        <f t="shared" si="71"/>
        <v/>
      </c>
      <c r="AE4458" t="str">
        <f t="shared" si="72"/>
        <v/>
      </c>
    </row>
    <row r="4459">
      <c r="D4459" s="226"/>
      <c r="H4459" s="474"/>
      <c r="I4459" s="474"/>
      <c r="J4459" s="475"/>
      <c r="K4459" s="275"/>
      <c r="L4459" s="82"/>
      <c r="M4459" s="672"/>
      <c r="N4459" s="242"/>
      <c r="O4459" s="242"/>
      <c r="P4459" s="242"/>
      <c r="Q4459" s="242"/>
      <c r="R4459" s="539"/>
      <c r="S4459" s="540"/>
      <c r="T4459" s="543"/>
      <c r="U4459" s="673" t="b">
        <v>0</v>
      </c>
      <c r="Z4459" t="b">
        <v>0</v>
      </c>
      <c r="AA4459" t="b">
        <v>0</v>
      </c>
      <c r="AC4459" s="82"/>
      <c r="AD4459" t="str">
        <f t="shared" si="71"/>
        <v/>
      </c>
      <c r="AE4459" t="str">
        <f t="shared" si="72"/>
        <v/>
      </c>
    </row>
    <row r="4460">
      <c r="D4460" s="226"/>
      <c r="H4460" s="474"/>
      <c r="I4460" s="474"/>
      <c r="J4460" s="475"/>
      <c r="K4460" s="275"/>
      <c r="L4460" s="82"/>
      <c r="M4460" s="672"/>
      <c r="N4460" s="242"/>
      <c r="O4460" s="242"/>
      <c r="P4460" s="242"/>
      <c r="Q4460" s="242"/>
      <c r="R4460" s="539"/>
      <c r="S4460" s="540"/>
      <c r="T4460" s="543"/>
      <c r="U4460" s="673" t="b">
        <v>0</v>
      </c>
      <c r="Z4460" t="b">
        <v>0</v>
      </c>
      <c r="AA4460" t="b">
        <v>0</v>
      </c>
      <c r="AC4460" s="82"/>
      <c r="AD4460" t="str">
        <f t="shared" si="71"/>
        <v/>
      </c>
      <c r="AE4460" t="str">
        <f t="shared" si="72"/>
        <v/>
      </c>
    </row>
    <row r="4461">
      <c r="D4461" s="226"/>
      <c r="H4461" s="474"/>
      <c r="I4461" s="474"/>
      <c r="J4461" s="475"/>
      <c r="K4461" s="275"/>
      <c r="L4461" s="82"/>
      <c r="M4461" s="672"/>
      <c r="N4461" s="242"/>
      <c r="O4461" s="242"/>
      <c r="P4461" s="242"/>
      <c r="Q4461" s="242"/>
      <c r="R4461" s="539"/>
      <c r="S4461" s="540"/>
      <c r="T4461" s="543"/>
      <c r="U4461" s="673" t="b">
        <v>0</v>
      </c>
      <c r="Z4461" t="b">
        <v>0</v>
      </c>
      <c r="AA4461" t="b">
        <v>0</v>
      </c>
      <c r="AC4461" s="82"/>
      <c r="AD4461" t="str">
        <f t="shared" si="71"/>
        <v/>
      </c>
      <c r="AE4461" t="str">
        <f t="shared" si="72"/>
        <v/>
      </c>
    </row>
    <row r="4462">
      <c r="D4462" s="226"/>
      <c r="H4462" s="474"/>
      <c r="I4462" s="474"/>
      <c r="J4462" s="475"/>
      <c r="K4462" s="275"/>
      <c r="L4462" s="82"/>
      <c r="M4462" s="672"/>
      <c r="N4462" s="242"/>
      <c r="O4462" s="242"/>
      <c r="P4462" s="242"/>
      <c r="Q4462" s="242"/>
      <c r="R4462" s="539"/>
      <c r="S4462" s="540"/>
      <c r="T4462" s="543"/>
      <c r="U4462" s="673" t="b">
        <v>0</v>
      </c>
      <c r="Z4462" t="b">
        <v>0</v>
      </c>
      <c r="AA4462" t="b">
        <v>0</v>
      </c>
      <c r="AC4462" s="82"/>
      <c r="AD4462" t="str">
        <f t="shared" si="71"/>
        <v/>
      </c>
      <c r="AE4462" t="str">
        <f t="shared" si="72"/>
        <v/>
      </c>
    </row>
    <row r="4463">
      <c r="D4463" s="226"/>
      <c r="H4463" s="474"/>
      <c r="I4463" s="474"/>
      <c r="J4463" s="475"/>
      <c r="K4463" s="275"/>
      <c r="L4463" s="82"/>
      <c r="M4463" s="672"/>
      <c r="N4463" s="242"/>
      <c r="O4463" s="242"/>
      <c r="P4463" s="242"/>
      <c r="Q4463" s="242"/>
      <c r="R4463" s="539"/>
      <c r="S4463" s="540"/>
      <c r="T4463" s="543"/>
      <c r="U4463" s="673" t="b">
        <v>0</v>
      </c>
      <c r="Z4463" t="b">
        <v>0</v>
      </c>
      <c r="AA4463" t="b">
        <v>0</v>
      </c>
      <c r="AC4463" s="82"/>
      <c r="AD4463" t="str">
        <f t="shared" si="71"/>
        <v/>
      </c>
      <c r="AE4463" t="str">
        <f t="shared" si="72"/>
        <v/>
      </c>
    </row>
    <row r="4464">
      <c r="D4464" s="226"/>
      <c r="H4464" s="474"/>
      <c r="I4464" s="474"/>
      <c r="J4464" s="475"/>
      <c r="K4464" s="275"/>
      <c r="L4464" s="82"/>
      <c r="M4464" s="672"/>
      <c r="N4464" s="242"/>
      <c r="O4464" s="242"/>
      <c r="P4464" s="242"/>
      <c r="Q4464" s="242"/>
      <c r="R4464" s="539"/>
      <c r="S4464" s="540"/>
      <c r="T4464" s="543"/>
      <c r="U4464" s="673" t="b">
        <v>0</v>
      </c>
      <c r="Z4464" t="b">
        <v>0</v>
      </c>
      <c r="AA4464" t="b">
        <v>0</v>
      </c>
      <c r="AC4464" s="82"/>
      <c r="AD4464" t="str">
        <f t="shared" si="71"/>
        <v/>
      </c>
      <c r="AE4464" t="str">
        <f t="shared" si="72"/>
        <v/>
      </c>
    </row>
    <row r="4465">
      <c r="D4465" s="226"/>
      <c r="H4465" s="474"/>
      <c r="I4465" s="474"/>
      <c r="J4465" s="475"/>
      <c r="K4465" s="275"/>
      <c r="L4465" s="82"/>
      <c r="M4465" s="672"/>
      <c r="N4465" s="242"/>
      <c r="O4465" s="242"/>
      <c r="P4465" s="242"/>
      <c r="Q4465" s="242"/>
      <c r="R4465" s="539"/>
      <c r="S4465" s="540"/>
      <c r="T4465" s="543"/>
      <c r="U4465" s="673" t="b">
        <v>0</v>
      </c>
      <c r="Z4465" t="b">
        <v>0</v>
      </c>
      <c r="AA4465" t="b">
        <v>0</v>
      </c>
      <c r="AC4465" s="82"/>
      <c r="AD4465" t="str">
        <f t="shared" si="71"/>
        <v/>
      </c>
      <c r="AE4465" t="str">
        <f t="shared" si="72"/>
        <v/>
      </c>
    </row>
    <row r="4466">
      <c r="D4466" s="226"/>
      <c r="H4466" s="474"/>
      <c r="I4466" s="474"/>
      <c r="J4466" s="475"/>
      <c r="K4466" s="275"/>
      <c r="L4466" s="82"/>
      <c r="M4466" s="672"/>
      <c r="N4466" s="242"/>
      <c r="O4466" s="242"/>
      <c r="P4466" s="242"/>
      <c r="Q4466" s="242"/>
      <c r="R4466" s="539"/>
      <c r="S4466" s="540"/>
      <c r="T4466" s="543"/>
      <c r="U4466" s="673" t="b">
        <v>0</v>
      </c>
      <c r="Z4466" t="b">
        <v>0</v>
      </c>
      <c r="AA4466" t="b">
        <v>0</v>
      </c>
      <c r="AC4466" s="82"/>
      <c r="AD4466" t="str">
        <f t="shared" si="71"/>
        <v/>
      </c>
      <c r="AE4466" t="str">
        <f t="shared" si="72"/>
        <v/>
      </c>
    </row>
    <row r="4467">
      <c r="D4467" s="226"/>
      <c r="H4467" s="474"/>
      <c r="I4467" s="474"/>
      <c r="J4467" s="475"/>
      <c r="K4467" s="275"/>
      <c r="L4467" s="82"/>
      <c r="M4467" s="672"/>
      <c r="N4467" s="242"/>
      <c r="O4467" s="242"/>
      <c r="P4467" s="242"/>
      <c r="Q4467" s="242"/>
      <c r="R4467" s="539"/>
      <c r="S4467" s="540"/>
      <c r="T4467" s="543"/>
      <c r="U4467" s="673" t="b">
        <v>0</v>
      </c>
      <c r="Z4467" t="b">
        <v>0</v>
      </c>
      <c r="AA4467" t="b">
        <v>0</v>
      </c>
      <c r="AC4467" s="82"/>
      <c r="AD4467" t="str">
        <f t="shared" si="71"/>
        <v/>
      </c>
      <c r="AE4467" t="str">
        <f t="shared" si="72"/>
        <v/>
      </c>
    </row>
    <row r="4468">
      <c r="D4468" s="226"/>
      <c r="H4468" s="474"/>
      <c r="I4468" s="474"/>
      <c r="J4468" s="475"/>
      <c r="K4468" s="275"/>
      <c r="L4468" s="82"/>
      <c r="M4468" s="672"/>
      <c r="N4468" s="242"/>
      <c r="O4468" s="242"/>
      <c r="P4468" s="242"/>
      <c r="Q4468" s="242"/>
      <c r="R4468" s="539"/>
      <c r="S4468" s="540"/>
      <c r="T4468" s="543"/>
      <c r="U4468" s="673" t="b">
        <v>0</v>
      </c>
      <c r="Z4468" t="b">
        <v>0</v>
      </c>
      <c r="AA4468" t="b">
        <v>0</v>
      </c>
      <c r="AC4468" s="82"/>
      <c r="AD4468" t="str">
        <f t="shared" si="71"/>
        <v/>
      </c>
      <c r="AE4468" t="str">
        <f t="shared" si="72"/>
        <v/>
      </c>
    </row>
    <row r="4469">
      <c r="D4469" s="226"/>
      <c r="H4469" s="474"/>
      <c r="I4469" s="474"/>
      <c r="J4469" s="475"/>
      <c r="K4469" s="275"/>
      <c r="L4469" s="82"/>
      <c r="M4469" s="672"/>
      <c r="N4469" s="242"/>
      <c r="O4469" s="242"/>
      <c r="P4469" s="242"/>
      <c r="Q4469" s="242"/>
      <c r="R4469" s="539"/>
      <c r="S4469" s="540"/>
      <c r="T4469" s="543"/>
      <c r="U4469" s="673" t="b">
        <v>0</v>
      </c>
      <c r="Z4469" t="b">
        <v>0</v>
      </c>
      <c r="AA4469" t="b">
        <v>0</v>
      </c>
      <c r="AC4469" s="82"/>
      <c r="AD4469" t="str">
        <f t="shared" si="71"/>
        <v/>
      </c>
      <c r="AE4469" t="str">
        <f t="shared" si="72"/>
        <v/>
      </c>
    </row>
    <row r="4470">
      <c r="D4470" s="226"/>
      <c r="H4470" s="474"/>
      <c r="I4470" s="474"/>
      <c r="J4470" s="475"/>
      <c r="K4470" s="275"/>
      <c r="L4470" s="82"/>
      <c r="M4470" s="672"/>
      <c r="N4470" s="242"/>
      <c r="O4470" s="242"/>
      <c r="P4470" s="242"/>
      <c r="Q4470" s="242"/>
      <c r="R4470" s="539"/>
      <c r="S4470" s="540"/>
      <c r="T4470" s="543"/>
      <c r="U4470" s="673" t="b">
        <v>0</v>
      </c>
      <c r="Z4470" t="b">
        <v>0</v>
      </c>
      <c r="AA4470" t="b">
        <v>0</v>
      </c>
      <c r="AC4470" s="82"/>
      <c r="AD4470" t="str">
        <f t="shared" si="71"/>
        <v/>
      </c>
      <c r="AE4470" t="str">
        <f t="shared" si="72"/>
        <v/>
      </c>
    </row>
    <row r="4471">
      <c r="D4471" s="226"/>
      <c r="H4471" s="474"/>
      <c r="I4471" s="474"/>
      <c r="J4471" s="475"/>
      <c r="K4471" s="275"/>
      <c r="L4471" s="82"/>
      <c r="M4471" s="672"/>
      <c r="N4471" s="242"/>
      <c r="O4471" s="242"/>
      <c r="P4471" s="242"/>
      <c r="Q4471" s="242"/>
      <c r="R4471" s="539"/>
      <c r="S4471" s="540"/>
      <c r="T4471" s="543"/>
      <c r="U4471" s="673" t="b">
        <v>0</v>
      </c>
      <c r="Z4471" t="b">
        <v>0</v>
      </c>
      <c r="AA4471" t="b">
        <v>0</v>
      </c>
      <c r="AC4471" s="82"/>
      <c r="AD4471" t="str">
        <f t="shared" si="71"/>
        <v/>
      </c>
      <c r="AE4471" t="str">
        <f t="shared" si="72"/>
        <v/>
      </c>
    </row>
    <row r="4472">
      <c r="D4472" s="226"/>
      <c r="H4472" s="474"/>
      <c r="I4472" s="474"/>
      <c r="J4472" s="475"/>
      <c r="K4472" s="275"/>
      <c r="L4472" s="82"/>
      <c r="M4472" s="672"/>
      <c r="N4472" s="242"/>
      <c r="O4472" s="242"/>
      <c r="P4472" s="242"/>
      <c r="Q4472" s="242"/>
      <c r="R4472" s="539"/>
      <c r="S4472" s="540"/>
      <c r="T4472" s="543"/>
      <c r="U4472" s="673" t="b">
        <v>0</v>
      </c>
      <c r="Z4472" t="b">
        <v>0</v>
      </c>
      <c r="AA4472" t="b">
        <v>0</v>
      </c>
      <c r="AC4472" s="82"/>
      <c r="AD4472" t="str">
        <f t="shared" si="71"/>
        <v/>
      </c>
      <c r="AE4472" t="str">
        <f t="shared" si="72"/>
        <v/>
      </c>
    </row>
    <row r="4473">
      <c r="D4473" s="226"/>
      <c r="H4473" s="474"/>
      <c r="I4473" s="474"/>
      <c r="J4473" s="475"/>
      <c r="K4473" s="275"/>
      <c r="L4473" s="82"/>
      <c r="M4473" s="672"/>
      <c r="N4473" s="242"/>
      <c r="O4473" s="242"/>
      <c r="P4473" s="242"/>
      <c r="Q4473" s="242"/>
      <c r="R4473" s="539"/>
      <c r="S4473" s="540"/>
      <c r="T4473" s="543"/>
      <c r="U4473" s="673" t="b">
        <v>0</v>
      </c>
      <c r="Z4473" t="b">
        <v>0</v>
      </c>
      <c r="AA4473" t="b">
        <v>0</v>
      </c>
      <c r="AC4473" s="82"/>
      <c r="AD4473" t="str">
        <f t="shared" si="71"/>
        <v/>
      </c>
      <c r="AE4473" t="str">
        <f t="shared" si="72"/>
        <v/>
      </c>
    </row>
    <row r="4474">
      <c r="D4474" s="226"/>
      <c r="H4474" s="474"/>
      <c r="I4474" s="474"/>
      <c r="J4474" s="475"/>
      <c r="K4474" s="275"/>
      <c r="L4474" s="82"/>
      <c r="M4474" s="672"/>
      <c r="N4474" s="242"/>
      <c r="O4474" s="242"/>
      <c r="P4474" s="242"/>
      <c r="Q4474" s="242"/>
      <c r="R4474" s="539"/>
      <c r="S4474" s="540"/>
      <c r="T4474" s="543"/>
      <c r="U4474" s="673" t="b">
        <v>0</v>
      </c>
      <c r="Z4474" t="b">
        <v>0</v>
      </c>
      <c r="AA4474" t="b">
        <v>0</v>
      </c>
      <c r="AC4474" s="82"/>
      <c r="AD4474" t="str">
        <f t="shared" si="71"/>
        <v/>
      </c>
      <c r="AE4474" t="str">
        <f t="shared" si="72"/>
        <v/>
      </c>
    </row>
    <row r="4475">
      <c r="D4475" s="226"/>
      <c r="H4475" s="474"/>
      <c r="I4475" s="474"/>
      <c r="J4475" s="475"/>
      <c r="K4475" s="275"/>
      <c r="L4475" s="82"/>
      <c r="M4475" s="672"/>
      <c r="N4475" s="242"/>
      <c r="O4475" s="242"/>
      <c r="P4475" s="242"/>
      <c r="Q4475" s="242"/>
      <c r="R4475" s="539"/>
      <c r="S4475" s="540"/>
      <c r="T4475" s="543"/>
      <c r="U4475" s="673" t="b">
        <v>0</v>
      </c>
      <c r="Z4475" t="b">
        <v>0</v>
      </c>
      <c r="AA4475" t="b">
        <v>0</v>
      </c>
      <c r="AC4475" s="82"/>
      <c r="AD4475" t="str">
        <f t="shared" si="71"/>
        <v/>
      </c>
      <c r="AE4475" t="str">
        <f t="shared" si="72"/>
        <v/>
      </c>
    </row>
    <row r="4476">
      <c r="D4476" s="226"/>
      <c r="H4476" s="474"/>
      <c r="I4476" s="474"/>
      <c r="J4476" s="475"/>
      <c r="K4476" s="275"/>
      <c r="L4476" s="82"/>
      <c r="M4476" s="672"/>
      <c r="N4476" s="242"/>
      <c r="O4476" s="242"/>
      <c r="P4476" s="242"/>
      <c r="Q4476" s="242"/>
      <c r="R4476" s="539"/>
      <c r="S4476" s="540"/>
      <c r="T4476" s="543"/>
      <c r="U4476" s="673" t="b">
        <v>0</v>
      </c>
      <c r="Z4476" t="b">
        <v>0</v>
      </c>
      <c r="AA4476" t="b">
        <v>0</v>
      </c>
      <c r="AC4476" s="82"/>
      <c r="AD4476" t="str">
        <f t="shared" si="71"/>
        <v/>
      </c>
      <c r="AE4476" t="str">
        <f t="shared" si="72"/>
        <v/>
      </c>
    </row>
    <row r="4477">
      <c r="D4477" s="226"/>
      <c r="H4477" s="474"/>
      <c r="I4477" s="474"/>
      <c r="J4477" s="475"/>
      <c r="K4477" s="275"/>
      <c r="L4477" s="82"/>
      <c r="M4477" s="672"/>
      <c r="N4477" s="242"/>
      <c r="O4477" s="242"/>
      <c r="P4477" s="242"/>
      <c r="Q4477" s="242"/>
      <c r="R4477" s="539"/>
      <c r="S4477" s="540"/>
      <c r="T4477" s="543"/>
      <c r="U4477" s="673" t="b">
        <v>0</v>
      </c>
      <c r="Z4477" t="b">
        <v>0</v>
      </c>
      <c r="AA4477" t="b">
        <v>0</v>
      </c>
      <c r="AC4477" s="82"/>
      <c r="AD4477" t="str">
        <f t="shared" si="71"/>
        <v/>
      </c>
      <c r="AE4477" t="str">
        <f t="shared" si="72"/>
        <v/>
      </c>
    </row>
    <row r="4478">
      <c r="D4478" s="226"/>
      <c r="H4478" s="474"/>
      <c r="I4478" s="474"/>
      <c r="J4478" s="475"/>
      <c r="K4478" s="275"/>
      <c r="L4478" s="82"/>
      <c r="M4478" s="672"/>
      <c r="N4478" s="242"/>
      <c r="O4478" s="242"/>
      <c r="P4478" s="242"/>
      <c r="Q4478" s="242"/>
      <c r="R4478" s="539"/>
      <c r="S4478" s="540"/>
      <c r="T4478" s="543"/>
      <c r="U4478" s="673" t="b">
        <v>0</v>
      </c>
      <c r="Z4478" t="b">
        <v>0</v>
      </c>
      <c r="AA4478" t="b">
        <v>0</v>
      </c>
      <c r="AC4478" s="82"/>
      <c r="AD4478" t="str">
        <f t="shared" si="71"/>
        <v/>
      </c>
      <c r="AE4478" t="str">
        <f t="shared" si="72"/>
        <v/>
      </c>
    </row>
    <row r="4479">
      <c r="D4479" s="226"/>
      <c r="H4479" s="474"/>
      <c r="I4479" s="474"/>
      <c r="J4479" s="475"/>
      <c r="K4479" s="275"/>
      <c r="L4479" s="82"/>
      <c r="M4479" s="672"/>
      <c r="N4479" s="242"/>
      <c r="O4479" s="242"/>
      <c r="P4479" s="242"/>
      <c r="Q4479" s="242"/>
      <c r="R4479" s="539"/>
      <c r="S4479" s="540"/>
      <c r="T4479" s="543"/>
      <c r="U4479" s="673" t="b">
        <v>0</v>
      </c>
      <c r="Z4479" t="b">
        <v>0</v>
      </c>
      <c r="AA4479" t="b">
        <v>0</v>
      </c>
      <c r="AC4479" s="82"/>
      <c r="AD4479" t="str">
        <f t="shared" si="71"/>
        <v/>
      </c>
      <c r="AE4479" t="str">
        <f t="shared" si="72"/>
        <v/>
      </c>
    </row>
    <row r="4480">
      <c r="D4480" s="226"/>
      <c r="H4480" s="474"/>
      <c r="I4480" s="474"/>
      <c r="J4480" s="475"/>
      <c r="K4480" s="275"/>
      <c r="L4480" s="82"/>
      <c r="M4480" s="672"/>
      <c r="N4480" s="242"/>
      <c r="O4480" s="242"/>
      <c r="P4480" s="242"/>
      <c r="Q4480" s="242"/>
      <c r="R4480" s="539"/>
      <c r="S4480" s="540"/>
      <c r="T4480" s="543"/>
      <c r="U4480" s="673" t="b">
        <v>0</v>
      </c>
      <c r="Z4480" t="b">
        <v>0</v>
      </c>
      <c r="AA4480" t="b">
        <v>0</v>
      </c>
      <c r="AC4480" s="82"/>
      <c r="AD4480" t="str">
        <f t="shared" si="71"/>
        <v/>
      </c>
      <c r="AE4480" t="str">
        <f t="shared" si="72"/>
        <v/>
      </c>
    </row>
    <row r="4481">
      <c r="D4481" s="226"/>
      <c r="H4481" s="474"/>
      <c r="I4481" s="474"/>
      <c r="J4481" s="475"/>
      <c r="K4481" s="275"/>
      <c r="L4481" s="82"/>
      <c r="M4481" s="672"/>
      <c r="N4481" s="242"/>
      <c r="O4481" s="242"/>
      <c r="P4481" s="242"/>
      <c r="Q4481" s="242"/>
      <c r="R4481" s="539"/>
      <c r="S4481" s="540"/>
      <c r="T4481" s="543"/>
      <c r="U4481" s="673" t="b">
        <v>0</v>
      </c>
      <c r="Z4481" t="b">
        <v>0</v>
      </c>
      <c r="AA4481" t="b">
        <v>0</v>
      </c>
      <c r="AC4481" s="82"/>
      <c r="AD4481" t="str">
        <f t="shared" si="71"/>
        <v/>
      </c>
      <c r="AE4481" t="str">
        <f t="shared" si="72"/>
        <v/>
      </c>
    </row>
    <row r="4482">
      <c r="D4482" s="226"/>
      <c r="H4482" s="474"/>
      <c r="I4482" s="474"/>
      <c r="J4482" s="475"/>
      <c r="K4482" s="275"/>
      <c r="L4482" s="82"/>
      <c r="M4482" s="672"/>
      <c r="N4482" s="242"/>
      <c r="O4482" s="242"/>
      <c r="P4482" s="242"/>
      <c r="Q4482" s="242"/>
      <c r="R4482" s="539"/>
      <c r="S4482" s="540"/>
      <c r="T4482" s="543"/>
      <c r="U4482" s="673" t="b">
        <v>0</v>
      </c>
      <c r="Z4482" t="b">
        <v>0</v>
      </c>
      <c r="AA4482" t="b">
        <v>0</v>
      </c>
      <c r="AC4482" s="82"/>
      <c r="AD4482" t="str">
        <f t="shared" si="71"/>
        <v/>
      </c>
      <c r="AE4482" t="str">
        <f t="shared" si="72"/>
        <v/>
      </c>
    </row>
    <row r="4483">
      <c r="D4483" s="226"/>
      <c r="H4483" s="474"/>
      <c r="I4483" s="474"/>
      <c r="J4483" s="475"/>
      <c r="K4483" s="275"/>
      <c r="L4483" s="82"/>
      <c r="M4483" s="672"/>
      <c r="N4483" s="242"/>
      <c r="O4483" s="242"/>
      <c r="P4483" s="242"/>
      <c r="Q4483" s="242"/>
      <c r="R4483" s="539"/>
      <c r="S4483" s="540"/>
      <c r="T4483" s="543"/>
      <c r="U4483" s="673" t="b">
        <v>0</v>
      </c>
      <c r="Z4483" t="b">
        <v>0</v>
      </c>
      <c r="AA4483" t="b">
        <v>0</v>
      </c>
      <c r="AC4483" s="82"/>
      <c r="AD4483" t="str">
        <f t="shared" si="71"/>
        <v/>
      </c>
      <c r="AE4483" t="str">
        <f t="shared" si="72"/>
        <v/>
      </c>
    </row>
    <row r="4484">
      <c r="D4484" s="226"/>
      <c r="H4484" s="474"/>
      <c r="I4484" s="474"/>
      <c r="J4484" s="475"/>
      <c r="K4484" s="275"/>
      <c r="L4484" s="82"/>
      <c r="M4484" s="672"/>
      <c r="N4484" s="242"/>
      <c r="O4484" s="242"/>
      <c r="P4484" s="242"/>
      <c r="Q4484" s="242"/>
      <c r="R4484" s="539"/>
      <c r="S4484" s="540"/>
      <c r="T4484" s="543"/>
      <c r="U4484" s="673" t="b">
        <v>0</v>
      </c>
      <c r="Z4484" t="b">
        <v>0</v>
      </c>
      <c r="AA4484" t="b">
        <v>0</v>
      </c>
      <c r="AC4484" s="82"/>
      <c r="AD4484" t="str">
        <f t="shared" si="71"/>
        <v/>
      </c>
      <c r="AE4484" t="str">
        <f t="shared" si="72"/>
        <v/>
      </c>
    </row>
    <row r="4485">
      <c r="D4485" s="226"/>
      <c r="H4485" s="474"/>
      <c r="I4485" s="474"/>
      <c r="J4485" s="475"/>
      <c r="K4485" s="275"/>
      <c r="L4485" s="82"/>
      <c r="M4485" s="672"/>
      <c r="N4485" s="242"/>
      <c r="O4485" s="242"/>
      <c r="P4485" s="242"/>
      <c r="Q4485" s="242"/>
      <c r="R4485" s="539"/>
      <c r="S4485" s="540"/>
      <c r="T4485" s="543"/>
      <c r="U4485" s="673" t="b">
        <v>0</v>
      </c>
      <c r="Z4485" t="b">
        <v>0</v>
      </c>
      <c r="AA4485" t="b">
        <v>0</v>
      </c>
      <c r="AC4485" s="82"/>
      <c r="AD4485" t="str">
        <f t="shared" si="71"/>
        <v/>
      </c>
      <c r="AE4485" t="str">
        <f t="shared" si="72"/>
        <v/>
      </c>
    </row>
    <row r="4486">
      <c r="D4486" s="226"/>
      <c r="H4486" s="474"/>
      <c r="I4486" s="474"/>
      <c r="J4486" s="475"/>
      <c r="K4486" s="275"/>
      <c r="L4486" s="82"/>
      <c r="M4486" s="672"/>
      <c r="N4486" s="242"/>
      <c r="O4486" s="242"/>
      <c r="P4486" s="242"/>
      <c r="Q4486" s="242"/>
      <c r="R4486" s="539"/>
      <c r="S4486" s="540"/>
      <c r="T4486" s="543"/>
      <c r="U4486" s="673" t="b">
        <v>0</v>
      </c>
      <c r="Z4486" t="b">
        <v>0</v>
      </c>
      <c r="AA4486" t="b">
        <v>0</v>
      </c>
      <c r="AC4486" s="82"/>
      <c r="AD4486" t="str">
        <f t="shared" si="71"/>
        <v/>
      </c>
      <c r="AE4486" t="str">
        <f t="shared" si="72"/>
        <v/>
      </c>
    </row>
    <row r="4487">
      <c r="D4487" s="226"/>
      <c r="H4487" s="474"/>
      <c r="I4487" s="474"/>
      <c r="J4487" s="475"/>
      <c r="K4487" s="275"/>
      <c r="L4487" s="82"/>
      <c r="M4487" s="672"/>
      <c r="N4487" s="242"/>
      <c r="O4487" s="242"/>
      <c r="P4487" s="242"/>
      <c r="Q4487" s="242"/>
      <c r="R4487" s="539"/>
      <c r="S4487" s="540"/>
      <c r="T4487" s="543"/>
      <c r="U4487" s="673" t="b">
        <v>0</v>
      </c>
      <c r="Z4487" t="b">
        <v>0</v>
      </c>
      <c r="AA4487" t="b">
        <v>0</v>
      </c>
      <c r="AC4487" s="82"/>
      <c r="AD4487" t="str">
        <f t="shared" si="71"/>
        <v/>
      </c>
      <c r="AE4487" t="str">
        <f t="shared" si="72"/>
        <v/>
      </c>
    </row>
    <row r="4488">
      <c r="D4488" s="226"/>
      <c r="H4488" s="474"/>
      <c r="I4488" s="474"/>
      <c r="J4488" s="475"/>
      <c r="K4488" s="275"/>
      <c r="L4488" s="82"/>
      <c r="M4488" s="672"/>
      <c r="N4488" s="242"/>
      <c r="O4488" s="242"/>
      <c r="P4488" s="242"/>
      <c r="Q4488" s="242"/>
      <c r="R4488" s="539"/>
      <c r="S4488" s="540"/>
      <c r="T4488" s="543"/>
      <c r="U4488" s="673" t="b">
        <v>0</v>
      </c>
      <c r="Z4488" t="b">
        <v>0</v>
      </c>
      <c r="AA4488" t="b">
        <v>0</v>
      </c>
      <c r="AC4488" s="82"/>
      <c r="AD4488" t="str">
        <f t="shared" si="71"/>
        <v/>
      </c>
      <c r="AE4488" t="str">
        <f t="shared" si="72"/>
        <v/>
      </c>
    </row>
    <row r="4489">
      <c r="D4489" s="226"/>
      <c r="H4489" s="474"/>
      <c r="I4489" s="474"/>
      <c r="J4489" s="475"/>
      <c r="K4489" s="275"/>
      <c r="L4489" s="82"/>
      <c r="M4489" s="672"/>
      <c r="N4489" s="242"/>
      <c r="O4489" s="242"/>
      <c r="P4489" s="242"/>
      <c r="Q4489" s="242"/>
      <c r="R4489" s="539"/>
      <c r="S4489" s="540"/>
      <c r="T4489" s="543"/>
      <c r="U4489" s="673" t="b">
        <v>0</v>
      </c>
      <c r="Z4489" t="b">
        <v>0</v>
      </c>
      <c r="AA4489" t="b">
        <v>0</v>
      </c>
      <c r="AC4489" s="82"/>
      <c r="AD4489" t="str">
        <f t="shared" si="71"/>
        <v/>
      </c>
      <c r="AE4489" t="str">
        <f t="shared" si="72"/>
        <v/>
      </c>
    </row>
    <row r="4490">
      <c r="D4490" s="226"/>
      <c r="H4490" s="474"/>
      <c r="I4490" s="474"/>
      <c r="J4490" s="475"/>
      <c r="K4490" s="275"/>
      <c r="L4490" s="82"/>
      <c r="M4490" s="672"/>
      <c r="N4490" s="242"/>
      <c r="O4490" s="242"/>
      <c r="P4490" s="242"/>
      <c r="Q4490" s="242"/>
      <c r="R4490" s="539"/>
      <c r="S4490" s="540"/>
      <c r="T4490" s="543"/>
      <c r="U4490" s="673" t="b">
        <v>0</v>
      </c>
      <c r="Z4490" t="b">
        <v>0</v>
      </c>
      <c r="AA4490" t="b">
        <v>0</v>
      </c>
      <c r="AC4490" s="82"/>
      <c r="AD4490" t="str">
        <f t="shared" si="71"/>
        <v/>
      </c>
      <c r="AE4490" t="str">
        <f t="shared" si="72"/>
        <v/>
      </c>
    </row>
    <row r="4491">
      <c r="D4491" s="226"/>
      <c r="H4491" s="474"/>
      <c r="I4491" s="474"/>
      <c r="J4491" s="475"/>
      <c r="K4491" s="275"/>
      <c r="L4491" s="82"/>
      <c r="M4491" s="672"/>
      <c r="N4491" s="242"/>
      <c r="O4491" s="242"/>
      <c r="P4491" s="242"/>
      <c r="Q4491" s="242"/>
      <c r="R4491" s="539"/>
      <c r="S4491" s="540"/>
      <c r="T4491" s="543"/>
      <c r="U4491" s="673" t="b">
        <v>0</v>
      </c>
      <c r="Z4491" t="b">
        <v>0</v>
      </c>
      <c r="AA4491" t="b">
        <v>0</v>
      </c>
      <c r="AC4491" s="82"/>
      <c r="AD4491" t="str">
        <f t="shared" si="71"/>
        <v/>
      </c>
      <c r="AE4491" t="str">
        <f t="shared" si="72"/>
        <v/>
      </c>
    </row>
    <row r="4492">
      <c r="D4492" s="226"/>
      <c r="H4492" s="474"/>
      <c r="I4492" s="474"/>
      <c r="J4492" s="475"/>
      <c r="K4492" s="275"/>
      <c r="L4492" s="82"/>
      <c r="M4492" s="672"/>
      <c r="N4492" s="242"/>
      <c r="O4492" s="242"/>
      <c r="P4492" s="242"/>
      <c r="Q4492" s="242"/>
      <c r="R4492" s="539"/>
      <c r="S4492" s="540"/>
      <c r="T4492" s="543"/>
      <c r="U4492" s="673" t="b">
        <v>0</v>
      </c>
      <c r="Z4492" t="b">
        <v>0</v>
      </c>
      <c r="AA4492" t="b">
        <v>0</v>
      </c>
      <c r="AC4492" s="82"/>
      <c r="AD4492" t="str">
        <f t="shared" si="71"/>
        <v/>
      </c>
      <c r="AE4492" t="str">
        <f t="shared" si="72"/>
        <v/>
      </c>
    </row>
    <row r="4493">
      <c r="D4493" s="226"/>
      <c r="H4493" s="474"/>
      <c r="I4493" s="474"/>
      <c r="J4493" s="475"/>
      <c r="K4493" s="275"/>
      <c r="L4493" s="82"/>
      <c r="M4493" s="672"/>
      <c r="N4493" s="242"/>
      <c r="O4493" s="242"/>
      <c r="P4493" s="242"/>
      <c r="Q4493" s="242"/>
      <c r="R4493" s="539"/>
      <c r="S4493" s="540"/>
      <c r="T4493" s="543"/>
      <c r="U4493" s="673" t="b">
        <v>0</v>
      </c>
      <c r="Z4493" t="b">
        <v>0</v>
      </c>
      <c r="AA4493" t="b">
        <v>0</v>
      </c>
      <c r="AC4493" s="82"/>
      <c r="AD4493" t="str">
        <f t="shared" si="71"/>
        <v/>
      </c>
      <c r="AE4493" t="str">
        <f t="shared" si="72"/>
        <v/>
      </c>
    </row>
    <row r="4494">
      <c r="D4494" s="226"/>
      <c r="H4494" s="474"/>
      <c r="I4494" s="474"/>
      <c r="J4494" s="475"/>
      <c r="K4494" s="275"/>
      <c r="L4494" s="82"/>
      <c r="M4494" s="672"/>
      <c r="N4494" s="242"/>
      <c r="O4494" s="242"/>
      <c r="P4494" s="242"/>
      <c r="Q4494" s="242"/>
      <c r="R4494" s="539"/>
      <c r="S4494" s="540"/>
      <c r="T4494" s="543"/>
      <c r="U4494" s="673" t="b">
        <v>0</v>
      </c>
      <c r="Z4494" t="b">
        <v>0</v>
      </c>
      <c r="AA4494" t="b">
        <v>0</v>
      </c>
      <c r="AC4494" s="82"/>
      <c r="AD4494" t="str">
        <f t="shared" si="71"/>
        <v/>
      </c>
      <c r="AE4494" t="str">
        <f t="shared" si="72"/>
        <v/>
      </c>
    </row>
    <row r="4495">
      <c r="D4495" s="226"/>
      <c r="H4495" s="474"/>
      <c r="I4495" s="474"/>
      <c r="J4495" s="475"/>
      <c r="K4495" s="275"/>
      <c r="L4495" s="82"/>
      <c r="M4495" s="672"/>
      <c r="N4495" s="242"/>
      <c r="O4495" s="242"/>
      <c r="P4495" s="242"/>
      <c r="Q4495" s="242"/>
      <c r="R4495" s="539"/>
      <c r="S4495" s="540"/>
      <c r="T4495" s="543"/>
      <c r="U4495" s="673" t="b">
        <v>0</v>
      </c>
      <c r="Z4495" t="b">
        <v>0</v>
      </c>
      <c r="AA4495" t="b">
        <v>0</v>
      </c>
      <c r="AC4495" s="82"/>
      <c r="AD4495" t="str">
        <f t="shared" si="71"/>
        <v/>
      </c>
      <c r="AE4495" t="str">
        <f t="shared" si="72"/>
        <v/>
      </c>
    </row>
    <row r="4496">
      <c r="D4496" s="226"/>
      <c r="H4496" s="474"/>
      <c r="I4496" s="474"/>
      <c r="J4496" s="475"/>
      <c r="K4496" s="275"/>
      <c r="L4496" s="82"/>
      <c r="M4496" s="672"/>
      <c r="N4496" s="242"/>
      <c r="O4496" s="242"/>
      <c r="P4496" s="242"/>
      <c r="Q4496" s="242"/>
      <c r="R4496" s="539"/>
      <c r="S4496" s="540"/>
      <c r="T4496" s="543"/>
      <c r="U4496" s="673" t="b">
        <v>0</v>
      </c>
      <c r="Z4496" t="b">
        <v>0</v>
      </c>
      <c r="AA4496" t="b">
        <v>0</v>
      </c>
      <c r="AC4496" s="82"/>
      <c r="AD4496" t="str">
        <f t="shared" si="71"/>
        <v/>
      </c>
      <c r="AE4496" t="str">
        <f t="shared" si="72"/>
        <v/>
      </c>
    </row>
    <row r="4497">
      <c r="D4497" s="226"/>
      <c r="H4497" s="474"/>
      <c r="I4497" s="474"/>
      <c r="J4497" s="475"/>
      <c r="K4497" s="275"/>
      <c r="L4497" s="82"/>
      <c r="M4497" s="672"/>
      <c r="N4497" s="242"/>
      <c r="O4497" s="242"/>
      <c r="P4497" s="242"/>
      <c r="Q4497" s="242"/>
      <c r="R4497" s="539"/>
      <c r="S4497" s="540"/>
      <c r="T4497" s="543"/>
      <c r="U4497" s="673" t="b">
        <v>0</v>
      </c>
      <c r="Z4497" t="b">
        <v>0</v>
      </c>
      <c r="AA4497" t="b">
        <v>0</v>
      </c>
      <c r="AC4497" s="82"/>
      <c r="AD4497" t="str">
        <f t="shared" si="71"/>
        <v/>
      </c>
      <c r="AE4497" t="str">
        <f t="shared" si="72"/>
        <v/>
      </c>
    </row>
    <row r="4498">
      <c r="D4498" s="226"/>
      <c r="H4498" s="474"/>
      <c r="I4498" s="474"/>
      <c r="J4498" s="475"/>
      <c r="K4498" s="275"/>
      <c r="L4498" s="82"/>
      <c r="M4498" s="672"/>
      <c r="N4498" s="242"/>
      <c r="O4498" s="242"/>
      <c r="P4498" s="242"/>
      <c r="Q4498" s="242"/>
      <c r="R4498" s="539"/>
      <c r="S4498" s="540"/>
      <c r="T4498" s="543"/>
      <c r="U4498" s="673" t="b">
        <v>0</v>
      </c>
      <c r="Z4498" t="b">
        <v>0</v>
      </c>
      <c r="AA4498" t="b">
        <v>0</v>
      </c>
      <c r="AC4498" s="82"/>
      <c r="AD4498" t="str">
        <f t="shared" si="71"/>
        <v/>
      </c>
      <c r="AE4498" t="str">
        <f t="shared" si="72"/>
        <v/>
      </c>
    </row>
    <row r="4499">
      <c r="D4499" s="226"/>
      <c r="H4499" s="474"/>
      <c r="I4499" s="474"/>
      <c r="J4499" s="475"/>
      <c r="K4499" s="275"/>
      <c r="L4499" s="82"/>
      <c r="M4499" s="672"/>
      <c r="N4499" s="242"/>
      <c r="O4499" s="242"/>
      <c r="P4499" s="242"/>
      <c r="Q4499" s="242"/>
      <c r="R4499" s="539"/>
      <c r="S4499" s="540"/>
      <c r="T4499" s="543"/>
      <c r="U4499" s="673" t="b">
        <v>0</v>
      </c>
      <c r="Z4499" t="b">
        <v>0</v>
      </c>
      <c r="AA4499" t="b">
        <v>0</v>
      </c>
      <c r="AC4499" s="82"/>
      <c r="AD4499" t="str">
        <f t="shared" si="71"/>
        <v/>
      </c>
      <c r="AE4499" t="str">
        <f t="shared" si="72"/>
        <v/>
      </c>
    </row>
    <row r="4500">
      <c r="D4500" s="226"/>
      <c r="H4500" s="474"/>
      <c r="I4500" s="474"/>
      <c r="J4500" s="475"/>
      <c r="K4500" s="275"/>
      <c r="L4500" s="82"/>
      <c r="M4500" s="672"/>
      <c r="N4500" s="242"/>
      <c r="O4500" s="242"/>
      <c r="P4500" s="242"/>
      <c r="Q4500" s="242"/>
      <c r="R4500" s="539"/>
      <c r="S4500" s="540"/>
      <c r="T4500" s="543"/>
      <c r="U4500" s="673" t="b">
        <v>0</v>
      </c>
      <c r="Z4500" t="b">
        <v>0</v>
      </c>
      <c r="AA4500" t="b">
        <v>0</v>
      </c>
      <c r="AC4500" s="82"/>
      <c r="AD4500" t="str">
        <f t="shared" si="71"/>
        <v/>
      </c>
      <c r="AE4500" t="str">
        <f t="shared" si="72"/>
        <v/>
      </c>
    </row>
    <row r="4501">
      <c r="D4501" s="226"/>
      <c r="H4501" s="474"/>
      <c r="I4501" s="474"/>
      <c r="J4501" s="475"/>
      <c r="K4501" s="275"/>
      <c r="L4501" s="82"/>
      <c r="M4501" s="672"/>
      <c r="N4501" s="242"/>
      <c r="O4501" s="242"/>
      <c r="P4501" s="242"/>
      <c r="Q4501" s="242"/>
      <c r="R4501" s="539"/>
      <c r="S4501" s="540"/>
      <c r="T4501" s="543"/>
      <c r="U4501" s="673" t="b">
        <v>0</v>
      </c>
      <c r="Z4501" t="b">
        <v>0</v>
      </c>
      <c r="AA4501" t="b">
        <v>0</v>
      </c>
      <c r="AC4501" s="82"/>
      <c r="AD4501" t="str">
        <f t="shared" si="71"/>
        <v/>
      </c>
      <c r="AE4501" t="str">
        <f t="shared" si="72"/>
        <v/>
      </c>
    </row>
    <row r="4502">
      <c r="D4502" s="226"/>
      <c r="H4502" s="474"/>
      <c r="I4502" s="474"/>
      <c r="J4502" s="475"/>
      <c r="K4502" s="275"/>
      <c r="L4502" s="82"/>
      <c r="M4502" s="672"/>
      <c r="N4502" s="242"/>
      <c r="O4502" s="242"/>
      <c r="P4502" s="242"/>
      <c r="Q4502" s="242"/>
      <c r="R4502" s="539"/>
      <c r="S4502" s="540"/>
      <c r="T4502" s="543"/>
      <c r="U4502" s="673" t="b">
        <v>0</v>
      </c>
      <c r="Z4502" t="b">
        <v>0</v>
      </c>
      <c r="AA4502" t="b">
        <v>0</v>
      </c>
      <c r="AC4502" s="82"/>
      <c r="AD4502" t="str">
        <f t="shared" si="71"/>
        <v/>
      </c>
      <c r="AE4502" t="str">
        <f t="shared" si="72"/>
        <v/>
      </c>
    </row>
    <row r="4503">
      <c r="D4503" s="226"/>
      <c r="H4503" s="474"/>
      <c r="I4503" s="474"/>
      <c r="J4503" s="475"/>
      <c r="K4503" s="275"/>
      <c r="L4503" s="82"/>
      <c r="M4503" s="672"/>
      <c r="N4503" s="242"/>
      <c r="O4503" s="242"/>
      <c r="P4503" s="242"/>
      <c r="Q4503" s="242"/>
      <c r="R4503" s="539"/>
      <c r="S4503" s="540"/>
      <c r="T4503" s="543"/>
      <c r="U4503" s="673" t="b">
        <v>0</v>
      </c>
      <c r="Z4503" t="b">
        <v>0</v>
      </c>
      <c r="AA4503" t="b">
        <v>0</v>
      </c>
      <c r="AC4503" s="82"/>
      <c r="AD4503" t="str">
        <f t="shared" si="71"/>
        <v/>
      </c>
      <c r="AE4503" t="str">
        <f t="shared" si="72"/>
        <v/>
      </c>
    </row>
    <row r="4504">
      <c r="D4504" s="226"/>
      <c r="H4504" s="474"/>
      <c r="I4504" s="474"/>
      <c r="J4504" s="475"/>
      <c r="K4504" s="275"/>
      <c r="L4504" s="82"/>
      <c r="M4504" s="672"/>
      <c r="N4504" s="242"/>
      <c r="O4504" s="242"/>
      <c r="P4504" s="242"/>
      <c r="Q4504" s="242"/>
      <c r="R4504" s="539"/>
      <c r="S4504" s="540"/>
      <c r="T4504" s="543"/>
      <c r="U4504" s="673" t="b">
        <v>0</v>
      </c>
      <c r="Z4504" t="b">
        <v>0</v>
      </c>
      <c r="AA4504" t="b">
        <v>0</v>
      </c>
      <c r="AC4504" s="82"/>
      <c r="AD4504" t="str">
        <f t="shared" si="71"/>
        <v/>
      </c>
      <c r="AE4504" t="str">
        <f t="shared" si="72"/>
        <v/>
      </c>
    </row>
    <row r="4505">
      <c r="D4505" s="226"/>
      <c r="H4505" s="474"/>
      <c r="I4505" s="474"/>
      <c r="J4505" s="475"/>
      <c r="K4505" s="275"/>
      <c r="L4505" s="82"/>
      <c r="M4505" s="672"/>
      <c r="N4505" s="242"/>
      <c r="O4505" s="242"/>
      <c r="P4505" s="242"/>
      <c r="Q4505" s="242"/>
      <c r="R4505" s="539"/>
      <c r="S4505" s="540"/>
      <c r="T4505" s="543"/>
      <c r="U4505" s="673" t="b">
        <v>0</v>
      </c>
      <c r="Z4505" t="b">
        <v>0</v>
      </c>
      <c r="AA4505" t="b">
        <v>0</v>
      </c>
      <c r="AC4505" s="82"/>
      <c r="AD4505" t="str">
        <f t="shared" si="71"/>
        <v/>
      </c>
      <c r="AE4505" t="str">
        <f t="shared" si="72"/>
        <v/>
      </c>
    </row>
    <row r="4506">
      <c r="D4506" s="226"/>
      <c r="H4506" s="474"/>
      <c r="I4506" s="474"/>
      <c r="J4506" s="475"/>
      <c r="K4506" s="275"/>
      <c r="L4506" s="82"/>
      <c r="M4506" s="672"/>
      <c r="N4506" s="242"/>
      <c r="O4506" s="242"/>
      <c r="P4506" s="242"/>
      <c r="Q4506" s="242"/>
      <c r="R4506" s="539"/>
      <c r="S4506" s="540"/>
      <c r="T4506" s="543"/>
      <c r="U4506" s="673" t="b">
        <v>0</v>
      </c>
      <c r="Z4506" t="b">
        <v>0</v>
      </c>
      <c r="AA4506" t="b">
        <v>0</v>
      </c>
      <c r="AC4506" s="82"/>
      <c r="AD4506" t="str">
        <f t="shared" si="71"/>
        <v/>
      </c>
      <c r="AE4506" t="str">
        <f t="shared" si="72"/>
        <v/>
      </c>
    </row>
    <row r="4507">
      <c r="D4507" s="226"/>
      <c r="H4507" s="474"/>
      <c r="I4507" s="474"/>
      <c r="J4507" s="475"/>
      <c r="K4507" s="275"/>
      <c r="L4507" s="82"/>
      <c r="M4507" s="672"/>
      <c r="N4507" s="242"/>
      <c r="O4507" s="242"/>
      <c r="P4507" s="242"/>
      <c r="Q4507" s="242"/>
      <c r="R4507" s="539"/>
      <c r="S4507" s="540"/>
      <c r="T4507" s="543"/>
      <c r="U4507" s="673" t="b">
        <v>0</v>
      </c>
      <c r="Z4507" t="b">
        <v>0</v>
      </c>
      <c r="AA4507" t="b">
        <v>0</v>
      </c>
      <c r="AC4507" s="82"/>
      <c r="AD4507" t="str">
        <f t="shared" si="71"/>
        <v/>
      </c>
      <c r="AE4507" t="str">
        <f t="shared" si="72"/>
        <v/>
      </c>
    </row>
    <row r="4508">
      <c r="D4508" s="226"/>
      <c r="H4508" s="474"/>
      <c r="I4508" s="474"/>
      <c r="J4508" s="475"/>
      <c r="K4508" s="275"/>
      <c r="L4508" s="82"/>
      <c r="M4508" s="672"/>
      <c r="N4508" s="242"/>
      <c r="O4508" s="242"/>
      <c r="P4508" s="242"/>
      <c r="Q4508" s="242"/>
      <c r="R4508" s="539"/>
      <c r="S4508" s="540"/>
      <c r="T4508" s="543"/>
      <c r="U4508" s="673" t="b">
        <v>0</v>
      </c>
      <c r="Z4508" t="b">
        <v>0</v>
      </c>
      <c r="AA4508" t="b">
        <v>0</v>
      </c>
      <c r="AC4508" s="82"/>
      <c r="AD4508" t="str">
        <f t="shared" si="71"/>
        <v/>
      </c>
      <c r="AE4508" t="str">
        <f t="shared" si="72"/>
        <v/>
      </c>
    </row>
    <row r="4509">
      <c r="D4509" s="226"/>
      <c r="H4509" s="474"/>
      <c r="I4509" s="474"/>
      <c r="J4509" s="475"/>
      <c r="K4509" s="275"/>
      <c r="L4509" s="82"/>
      <c r="M4509" s="672"/>
      <c r="N4509" s="242"/>
      <c r="O4509" s="242"/>
      <c r="P4509" s="242"/>
      <c r="Q4509" s="242"/>
      <c r="R4509" s="539"/>
      <c r="S4509" s="540"/>
      <c r="T4509" s="543"/>
      <c r="U4509" s="673" t="b">
        <v>0</v>
      </c>
      <c r="Z4509" t="b">
        <v>0</v>
      </c>
      <c r="AA4509" t="b">
        <v>0</v>
      </c>
      <c r="AC4509" s="82"/>
      <c r="AD4509" t="str">
        <f t="shared" si="71"/>
        <v/>
      </c>
      <c r="AE4509" t="str">
        <f t="shared" si="72"/>
        <v/>
      </c>
    </row>
    <row r="4510">
      <c r="D4510" s="226"/>
      <c r="H4510" s="474"/>
      <c r="I4510" s="474"/>
      <c r="J4510" s="475"/>
      <c r="K4510" s="275"/>
      <c r="L4510" s="82"/>
      <c r="M4510" s="672"/>
      <c r="N4510" s="242"/>
      <c r="O4510" s="242"/>
      <c r="P4510" s="242"/>
      <c r="Q4510" s="242"/>
      <c r="R4510" s="539"/>
      <c r="S4510" s="540"/>
      <c r="T4510" s="543"/>
      <c r="U4510" s="673" t="b">
        <v>0</v>
      </c>
      <c r="Z4510" t="b">
        <v>0</v>
      </c>
      <c r="AA4510" t="b">
        <v>0</v>
      </c>
      <c r="AC4510" s="82"/>
      <c r="AD4510" t="str">
        <f t="shared" si="71"/>
        <v/>
      </c>
      <c r="AE4510" t="str">
        <f t="shared" si="72"/>
        <v/>
      </c>
    </row>
    <row r="4511">
      <c r="D4511" s="226"/>
      <c r="H4511" s="474"/>
      <c r="I4511" s="474"/>
      <c r="J4511" s="475"/>
      <c r="K4511" s="275"/>
      <c r="L4511" s="82"/>
      <c r="M4511" s="672"/>
      <c r="N4511" s="242"/>
      <c r="O4511" s="242"/>
      <c r="P4511" s="242"/>
      <c r="Q4511" s="242"/>
      <c r="R4511" s="539"/>
      <c r="S4511" s="540"/>
      <c r="T4511" s="543"/>
      <c r="U4511" s="673" t="b">
        <v>0</v>
      </c>
      <c r="Z4511" t="b">
        <v>0</v>
      </c>
      <c r="AA4511" t="b">
        <v>0</v>
      </c>
      <c r="AC4511" s="82"/>
      <c r="AD4511" t="str">
        <f t="shared" si="71"/>
        <v/>
      </c>
      <c r="AE4511" t="str">
        <f t="shared" si="72"/>
        <v/>
      </c>
    </row>
    <row r="4512">
      <c r="D4512" s="226"/>
      <c r="H4512" s="474"/>
      <c r="I4512" s="474"/>
      <c r="J4512" s="475"/>
      <c r="K4512" s="275"/>
      <c r="L4512" s="82"/>
      <c r="M4512" s="672"/>
      <c r="N4512" s="242"/>
      <c r="O4512" s="242"/>
      <c r="P4512" s="242"/>
      <c r="Q4512" s="242"/>
      <c r="R4512" s="539"/>
      <c r="S4512" s="540"/>
      <c r="T4512" s="543"/>
      <c r="U4512" s="673" t="b">
        <v>0</v>
      </c>
      <c r="Z4512" t="b">
        <v>0</v>
      </c>
      <c r="AA4512" t="b">
        <v>0</v>
      </c>
      <c r="AC4512" s="82"/>
      <c r="AD4512" t="str">
        <f t="shared" si="71"/>
        <v/>
      </c>
      <c r="AE4512" t="str">
        <f t="shared" si="72"/>
        <v/>
      </c>
    </row>
    <row r="4513">
      <c r="D4513" s="226"/>
      <c r="H4513" s="474"/>
      <c r="I4513" s="474"/>
      <c r="J4513" s="475"/>
      <c r="K4513" s="275"/>
      <c r="L4513" s="82"/>
      <c r="M4513" s="672"/>
      <c r="N4513" s="242"/>
      <c r="O4513" s="242"/>
      <c r="P4513" s="242"/>
      <c r="Q4513" s="242"/>
      <c r="R4513" s="539"/>
      <c r="S4513" s="540"/>
      <c r="T4513" s="543"/>
      <c r="U4513" s="673" t="b">
        <v>0</v>
      </c>
      <c r="Z4513" t="b">
        <v>0</v>
      </c>
      <c r="AA4513" t="b">
        <v>0</v>
      </c>
      <c r="AC4513" s="82"/>
      <c r="AD4513" t="str">
        <f t="shared" si="71"/>
        <v/>
      </c>
      <c r="AE4513" t="str">
        <f t="shared" si="72"/>
        <v/>
      </c>
    </row>
    <row r="4514">
      <c r="D4514" s="226"/>
      <c r="H4514" s="474"/>
      <c r="I4514" s="474"/>
      <c r="J4514" s="475"/>
      <c r="K4514" s="275"/>
      <c r="L4514" s="82"/>
      <c r="M4514" s="672"/>
      <c r="N4514" s="242"/>
      <c r="O4514" s="242"/>
      <c r="P4514" s="242"/>
      <c r="Q4514" s="242"/>
      <c r="R4514" s="539"/>
      <c r="S4514" s="540"/>
      <c r="T4514" s="543"/>
      <c r="U4514" s="673" t="b">
        <v>0</v>
      </c>
      <c r="Z4514" t="b">
        <v>0</v>
      </c>
      <c r="AA4514" t="b">
        <v>0</v>
      </c>
      <c r="AC4514" s="82"/>
      <c r="AD4514" t="str">
        <f t="shared" si="71"/>
        <v/>
      </c>
      <c r="AE4514" t="str">
        <f t="shared" si="72"/>
        <v/>
      </c>
    </row>
    <row r="4515">
      <c r="D4515" s="226"/>
      <c r="H4515" s="474"/>
      <c r="I4515" s="474"/>
      <c r="J4515" s="475"/>
      <c r="K4515" s="275"/>
      <c r="L4515" s="82"/>
      <c r="M4515" s="672"/>
      <c r="N4515" s="242"/>
      <c r="O4515" s="242"/>
      <c r="P4515" s="242"/>
      <c r="Q4515" s="242"/>
      <c r="R4515" s="539"/>
      <c r="S4515" s="540"/>
      <c r="T4515" s="543"/>
      <c r="U4515" s="673" t="b">
        <v>0</v>
      </c>
      <c r="Z4515" t="b">
        <v>0</v>
      </c>
      <c r="AA4515" t="b">
        <v>0</v>
      </c>
      <c r="AC4515" s="82"/>
      <c r="AD4515" t="str">
        <f t="shared" si="71"/>
        <v/>
      </c>
      <c r="AE4515" t="str">
        <f t="shared" si="72"/>
        <v/>
      </c>
    </row>
    <row r="4516">
      <c r="D4516" s="226"/>
      <c r="H4516" s="474"/>
      <c r="I4516" s="474"/>
      <c r="J4516" s="475"/>
      <c r="K4516" s="275"/>
      <c r="L4516" s="82"/>
      <c r="M4516" s="672"/>
      <c r="N4516" s="242"/>
      <c r="O4516" s="242"/>
      <c r="P4516" s="242"/>
      <c r="Q4516" s="242"/>
      <c r="R4516" s="539"/>
      <c r="S4516" s="540"/>
      <c r="T4516" s="543"/>
      <c r="U4516" s="673" t="b">
        <v>0</v>
      </c>
      <c r="Z4516" t="b">
        <v>0</v>
      </c>
      <c r="AA4516" t="b">
        <v>0</v>
      </c>
      <c r="AC4516" s="82"/>
      <c r="AD4516" t="str">
        <f t="shared" si="71"/>
        <v/>
      </c>
      <c r="AE4516" t="str">
        <f t="shared" si="72"/>
        <v/>
      </c>
    </row>
    <row r="4517">
      <c r="D4517" s="226"/>
      <c r="H4517" s="474"/>
      <c r="I4517" s="474"/>
      <c r="J4517" s="475"/>
      <c r="K4517" s="275"/>
      <c r="L4517" s="82"/>
      <c r="M4517" s="672"/>
      <c r="N4517" s="242"/>
      <c r="O4517" s="242"/>
      <c r="P4517" s="242"/>
      <c r="Q4517" s="242"/>
      <c r="R4517" s="539"/>
      <c r="S4517" s="540"/>
      <c r="T4517" s="543"/>
      <c r="U4517" s="673" t="b">
        <v>0</v>
      </c>
      <c r="Z4517" t="b">
        <v>0</v>
      </c>
      <c r="AA4517" t="b">
        <v>0</v>
      </c>
      <c r="AC4517" s="82"/>
      <c r="AD4517" t="str">
        <f t="shared" si="71"/>
        <v/>
      </c>
      <c r="AE4517" t="str">
        <f t="shared" si="72"/>
        <v/>
      </c>
    </row>
    <row r="4518">
      <c r="D4518" s="226"/>
      <c r="H4518" s="474"/>
      <c r="I4518" s="474"/>
      <c r="J4518" s="475"/>
      <c r="K4518" s="275"/>
      <c r="L4518" s="82"/>
      <c r="M4518" s="672"/>
      <c r="N4518" s="242"/>
      <c r="O4518" s="242"/>
      <c r="P4518" s="242"/>
      <c r="Q4518" s="242"/>
      <c r="R4518" s="539"/>
      <c r="S4518" s="540"/>
      <c r="T4518" s="543"/>
      <c r="U4518" s="673" t="b">
        <v>0</v>
      </c>
      <c r="Z4518" t="b">
        <v>0</v>
      </c>
      <c r="AA4518" t="b">
        <v>0</v>
      </c>
      <c r="AC4518" s="82"/>
      <c r="AD4518" t="str">
        <f t="shared" si="71"/>
        <v/>
      </c>
      <c r="AE4518" t="str">
        <f t="shared" si="72"/>
        <v/>
      </c>
    </row>
    <row r="4519">
      <c r="D4519" s="226"/>
      <c r="H4519" s="474"/>
      <c r="I4519" s="474"/>
      <c r="J4519" s="475"/>
      <c r="K4519" s="275"/>
      <c r="L4519" s="82"/>
      <c r="M4519" s="672"/>
      <c r="N4519" s="242"/>
      <c r="O4519" s="242"/>
      <c r="P4519" s="242"/>
      <c r="Q4519" s="242"/>
      <c r="R4519" s="539"/>
      <c r="S4519" s="540"/>
      <c r="T4519" s="543"/>
      <c r="U4519" s="673" t="b">
        <v>0</v>
      </c>
      <c r="Z4519" t="b">
        <v>0</v>
      </c>
      <c r="AA4519" t="b">
        <v>0</v>
      </c>
      <c r="AC4519" s="82"/>
      <c r="AD4519" t="str">
        <f t="shared" si="71"/>
        <v/>
      </c>
      <c r="AE4519" t="str">
        <f t="shared" si="72"/>
        <v/>
      </c>
    </row>
    <row r="4520">
      <c r="D4520" s="226"/>
      <c r="H4520" s="474"/>
      <c r="I4520" s="474"/>
      <c r="J4520" s="475"/>
      <c r="K4520" s="275"/>
      <c r="L4520" s="82"/>
      <c r="M4520" s="672"/>
      <c r="N4520" s="242"/>
      <c r="O4520" s="242"/>
      <c r="P4520" s="242"/>
      <c r="Q4520" s="242"/>
      <c r="R4520" s="539"/>
      <c r="S4520" s="540"/>
      <c r="T4520" s="543"/>
      <c r="U4520" s="673" t="b">
        <v>0</v>
      </c>
      <c r="Z4520" t="b">
        <v>0</v>
      </c>
      <c r="AA4520" t="b">
        <v>0</v>
      </c>
      <c r="AC4520" s="82"/>
      <c r="AD4520" t="str">
        <f t="shared" si="71"/>
        <v/>
      </c>
      <c r="AE4520" t="str">
        <f t="shared" si="72"/>
        <v/>
      </c>
    </row>
    <row r="4521">
      <c r="D4521" s="226"/>
      <c r="H4521" s="474"/>
      <c r="I4521" s="474"/>
      <c r="J4521" s="475"/>
      <c r="K4521" s="275"/>
      <c r="L4521" s="82"/>
      <c r="M4521" s="672"/>
      <c r="N4521" s="242"/>
      <c r="O4521" s="242"/>
      <c r="P4521" s="242"/>
      <c r="Q4521" s="242"/>
      <c r="R4521" s="539"/>
      <c r="S4521" s="540"/>
      <c r="T4521" s="543"/>
      <c r="U4521" s="673" t="b">
        <v>0</v>
      </c>
      <c r="Z4521" t="b">
        <v>0</v>
      </c>
      <c r="AA4521" t="b">
        <v>0</v>
      </c>
      <c r="AC4521" s="82"/>
      <c r="AD4521" t="str">
        <f t="shared" si="71"/>
        <v/>
      </c>
      <c r="AE4521" t="str">
        <f t="shared" si="72"/>
        <v/>
      </c>
    </row>
    <row r="4522">
      <c r="D4522" s="226"/>
      <c r="H4522" s="474"/>
      <c r="I4522" s="474"/>
      <c r="J4522" s="475"/>
      <c r="K4522" s="275"/>
      <c r="L4522" s="82"/>
      <c r="M4522" s="672"/>
      <c r="N4522" s="242"/>
      <c r="O4522" s="242"/>
      <c r="P4522" s="242"/>
      <c r="Q4522" s="242"/>
      <c r="R4522" s="539"/>
      <c r="S4522" s="540"/>
      <c r="T4522" s="543"/>
      <c r="U4522" s="673" t="b">
        <v>0</v>
      </c>
      <c r="Z4522" t="b">
        <v>0</v>
      </c>
      <c r="AA4522" t="b">
        <v>0</v>
      </c>
      <c r="AC4522" s="82"/>
      <c r="AD4522" t="str">
        <f t="shared" si="71"/>
        <v/>
      </c>
      <c r="AE4522" t="str">
        <f t="shared" si="72"/>
        <v/>
      </c>
    </row>
    <row r="4523">
      <c r="D4523" s="226"/>
      <c r="H4523" s="474"/>
      <c r="I4523" s="474"/>
      <c r="J4523" s="475"/>
      <c r="K4523" s="275"/>
      <c r="L4523" s="82"/>
      <c r="M4523" s="672"/>
      <c r="N4523" s="242"/>
      <c r="O4523" s="242"/>
      <c r="P4523" s="242"/>
      <c r="Q4523" s="242"/>
      <c r="R4523" s="539"/>
      <c r="S4523" s="540"/>
      <c r="T4523" s="543"/>
      <c r="U4523" s="673" t="b">
        <v>0</v>
      </c>
      <c r="Z4523" t="b">
        <v>0</v>
      </c>
      <c r="AA4523" t="b">
        <v>0</v>
      </c>
      <c r="AC4523" s="82"/>
      <c r="AD4523" t="str">
        <f t="shared" si="71"/>
        <v/>
      </c>
      <c r="AE4523" t="str">
        <f t="shared" si="72"/>
        <v/>
      </c>
    </row>
    <row r="4524">
      <c r="D4524" s="226"/>
      <c r="H4524" s="474"/>
      <c r="I4524" s="474"/>
      <c r="J4524" s="475"/>
      <c r="K4524" s="275"/>
      <c r="L4524" s="82"/>
      <c r="M4524" s="672"/>
      <c r="N4524" s="242"/>
      <c r="O4524" s="242"/>
      <c r="P4524" s="242"/>
      <c r="Q4524" s="242"/>
      <c r="R4524" s="539"/>
      <c r="S4524" s="540"/>
      <c r="T4524" s="543"/>
      <c r="U4524" s="673" t="b">
        <v>0</v>
      </c>
      <c r="Z4524" t="b">
        <v>0</v>
      </c>
      <c r="AA4524" t="b">
        <v>0</v>
      </c>
      <c r="AC4524" s="82"/>
      <c r="AD4524" t="str">
        <f t="shared" si="71"/>
        <v/>
      </c>
      <c r="AE4524" t="str">
        <f t="shared" si="72"/>
        <v/>
      </c>
    </row>
    <row r="4525">
      <c r="D4525" s="226"/>
      <c r="H4525" s="474"/>
      <c r="I4525" s="474"/>
      <c r="J4525" s="475"/>
      <c r="K4525" s="275"/>
      <c r="L4525" s="82"/>
      <c r="M4525" s="672"/>
      <c r="N4525" s="242"/>
      <c r="O4525" s="242"/>
      <c r="P4525" s="242"/>
      <c r="Q4525" s="242"/>
      <c r="R4525" s="539"/>
      <c r="S4525" s="540"/>
      <c r="T4525" s="543"/>
      <c r="U4525" s="673" t="b">
        <v>0</v>
      </c>
      <c r="Z4525" t="b">
        <v>0</v>
      </c>
      <c r="AA4525" t="b">
        <v>0</v>
      </c>
      <c r="AC4525" s="82"/>
      <c r="AD4525" t="str">
        <f t="shared" si="71"/>
        <v/>
      </c>
      <c r="AE4525" t="str">
        <f t="shared" si="72"/>
        <v/>
      </c>
    </row>
    <row r="4526">
      <c r="D4526" s="226"/>
      <c r="H4526" s="474"/>
      <c r="I4526" s="474"/>
      <c r="J4526" s="475"/>
      <c r="K4526" s="275"/>
      <c r="L4526" s="82"/>
      <c r="M4526" s="672"/>
      <c r="N4526" s="242"/>
      <c r="O4526" s="242"/>
      <c r="P4526" s="242"/>
      <c r="Q4526" s="242"/>
      <c r="R4526" s="539"/>
      <c r="S4526" s="540"/>
      <c r="T4526" s="543"/>
      <c r="U4526" s="673" t="b">
        <v>0</v>
      </c>
      <c r="Z4526" t="b">
        <v>0</v>
      </c>
      <c r="AA4526" t="b">
        <v>0</v>
      </c>
      <c r="AC4526" s="82"/>
      <c r="AD4526" t="str">
        <f t="shared" si="71"/>
        <v/>
      </c>
      <c r="AE4526" t="str">
        <f t="shared" si="72"/>
        <v/>
      </c>
    </row>
    <row r="4527">
      <c r="D4527" s="226"/>
      <c r="H4527" s="474"/>
      <c r="I4527" s="474"/>
      <c r="J4527" s="475"/>
      <c r="K4527" s="275"/>
      <c r="L4527" s="82"/>
      <c r="M4527" s="672"/>
      <c r="N4527" s="242"/>
      <c r="O4527" s="242"/>
      <c r="P4527" s="242"/>
      <c r="Q4527" s="242"/>
      <c r="R4527" s="539"/>
      <c r="S4527" s="540"/>
      <c r="T4527" s="543"/>
      <c r="U4527" s="673" t="b">
        <v>0</v>
      </c>
      <c r="Z4527" t="b">
        <v>0</v>
      </c>
      <c r="AA4527" t="b">
        <v>0</v>
      </c>
      <c r="AC4527" s="82"/>
      <c r="AD4527" t="str">
        <f t="shared" si="71"/>
        <v/>
      </c>
      <c r="AE4527" t="str">
        <f t="shared" si="72"/>
        <v/>
      </c>
    </row>
    <row r="4528">
      <c r="D4528" s="226"/>
      <c r="H4528" s="474"/>
      <c r="I4528" s="474"/>
      <c r="J4528" s="475"/>
      <c r="K4528" s="275"/>
      <c r="L4528" s="82"/>
      <c r="M4528" s="672"/>
      <c r="N4528" s="242"/>
      <c r="O4528" s="242"/>
      <c r="P4528" s="242"/>
      <c r="Q4528" s="242"/>
      <c r="R4528" s="539"/>
      <c r="S4528" s="540"/>
      <c r="T4528" s="543"/>
      <c r="U4528" s="673" t="b">
        <v>0</v>
      </c>
      <c r="Z4528" t="b">
        <v>0</v>
      </c>
      <c r="AA4528" t="b">
        <v>0</v>
      </c>
      <c r="AC4528" s="82"/>
      <c r="AD4528" t="str">
        <f t="shared" si="71"/>
        <v/>
      </c>
      <c r="AE4528" t="str">
        <f t="shared" si="72"/>
        <v/>
      </c>
    </row>
    <row r="4529">
      <c r="D4529" s="226"/>
      <c r="H4529" s="474"/>
      <c r="I4529" s="474"/>
      <c r="J4529" s="475"/>
      <c r="K4529" s="275"/>
      <c r="L4529" s="82"/>
      <c r="M4529" s="672"/>
      <c r="N4529" s="242"/>
      <c r="O4529" s="242"/>
      <c r="P4529" s="242"/>
      <c r="Q4529" s="242"/>
      <c r="R4529" s="539"/>
      <c r="S4529" s="540"/>
      <c r="T4529" s="543"/>
      <c r="U4529" s="673" t="b">
        <v>0</v>
      </c>
      <c r="Z4529" t="b">
        <v>0</v>
      </c>
      <c r="AA4529" t="b">
        <v>0</v>
      </c>
      <c r="AC4529" s="82"/>
      <c r="AD4529" t="str">
        <f t="shared" si="71"/>
        <v/>
      </c>
      <c r="AE4529" t="str">
        <f t="shared" si="72"/>
        <v/>
      </c>
    </row>
    <row r="4530">
      <c r="D4530" s="226"/>
      <c r="H4530" s="474"/>
      <c r="I4530" s="474"/>
      <c r="J4530" s="475"/>
      <c r="K4530" s="275"/>
      <c r="L4530" s="82"/>
      <c r="M4530" s="672"/>
      <c r="N4530" s="242"/>
      <c r="O4530" s="242"/>
      <c r="P4530" s="242"/>
      <c r="Q4530" s="242"/>
      <c r="R4530" s="539"/>
      <c r="S4530" s="540"/>
      <c r="T4530" s="543"/>
      <c r="U4530" s="673" t="b">
        <v>0</v>
      </c>
      <c r="Z4530" t="b">
        <v>0</v>
      </c>
      <c r="AA4530" t="b">
        <v>0</v>
      </c>
      <c r="AC4530" s="82"/>
      <c r="AD4530" t="str">
        <f t="shared" si="71"/>
        <v/>
      </c>
      <c r="AE4530" t="str">
        <f t="shared" si="72"/>
        <v/>
      </c>
    </row>
    <row r="4531">
      <c r="D4531" s="226"/>
      <c r="H4531" s="474"/>
      <c r="I4531" s="474"/>
      <c r="J4531" s="475"/>
      <c r="K4531" s="275"/>
      <c r="L4531" s="82"/>
      <c r="M4531" s="672"/>
      <c r="N4531" s="242"/>
      <c r="O4531" s="242"/>
      <c r="P4531" s="242"/>
      <c r="Q4531" s="242"/>
      <c r="R4531" s="539"/>
      <c r="S4531" s="540"/>
      <c r="T4531" s="543"/>
      <c r="U4531" s="673" t="b">
        <v>0</v>
      </c>
      <c r="Z4531" t="b">
        <v>0</v>
      </c>
      <c r="AA4531" t="b">
        <v>0</v>
      </c>
      <c r="AC4531" s="82"/>
      <c r="AD4531" t="str">
        <f t="shared" si="71"/>
        <v/>
      </c>
      <c r="AE4531" t="str">
        <f t="shared" si="72"/>
        <v/>
      </c>
    </row>
    <row r="4532">
      <c r="D4532" s="226"/>
      <c r="H4532" s="474"/>
      <c r="I4532" s="474"/>
      <c r="J4532" s="475"/>
      <c r="K4532" s="275"/>
      <c r="L4532" s="82"/>
      <c r="M4532" s="672"/>
      <c r="N4532" s="242"/>
      <c r="O4532" s="242"/>
      <c r="P4532" s="242"/>
      <c r="Q4532" s="242"/>
      <c r="R4532" s="539"/>
      <c r="S4532" s="540"/>
      <c r="T4532" s="543"/>
      <c r="U4532" s="673" t="b">
        <v>0</v>
      </c>
      <c r="Z4532" t="b">
        <v>0</v>
      </c>
      <c r="AA4532" t="b">
        <v>0</v>
      </c>
      <c r="AC4532" s="82"/>
      <c r="AD4532" t="str">
        <f t="shared" si="71"/>
        <v/>
      </c>
      <c r="AE4532" t="str">
        <f t="shared" si="72"/>
        <v/>
      </c>
    </row>
    <row r="4533">
      <c r="D4533" s="226"/>
      <c r="H4533" s="474"/>
      <c r="I4533" s="474"/>
      <c r="J4533" s="475"/>
      <c r="K4533" s="275"/>
      <c r="L4533" s="82"/>
      <c r="M4533" s="672"/>
      <c r="N4533" s="242"/>
      <c r="O4533" s="242"/>
      <c r="P4533" s="242"/>
      <c r="Q4533" s="242"/>
      <c r="R4533" s="539"/>
      <c r="S4533" s="540"/>
      <c r="T4533" s="543"/>
      <c r="U4533" s="673" t="b">
        <v>0</v>
      </c>
      <c r="Z4533" t="b">
        <v>0</v>
      </c>
      <c r="AA4533" t="b">
        <v>0</v>
      </c>
      <c r="AC4533" s="82"/>
      <c r="AD4533" t="str">
        <f t="shared" si="71"/>
        <v/>
      </c>
      <c r="AE4533" t="str">
        <f t="shared" si="72"/>
        <v/>
      </c>
    </row>
    <row r="4534">
      <c r="D4534" s="226"/>
      <c r="H4534" s="474"/>
      <c r="I4534" s="474"/>
      <c r="J4534" s="475"/>
      <c r="K4534" s="275"/>
      <c r="L4534" s="82"/>
      <c r="M4534" s="672"/>
      <c r="N4534" s="242"/>
      <c r="O4534" s="242"/>
      <c r="P4534" s="242"/>
      <c r="Q4534" s="242"/>
      <c r="R4534" s="539"/>
      <c r="S4534" s="540"/>
      <c r="T4534" s="543"/>
      <c r="U4534" s="673" t="b">
        <v>0</v>
      </c>
      <c r="Z4534" t="b">
        <v>0</v>
      </c>
      <c r="AA4534" t="b">
        <v>0</v>
      </c>
      <c r="AC4534" s="82"/>
      <c r="AD4534" t="str">
        <f t="shared" si="71"/>
        <v/>
      </c>
      <c r="AE4534" t="str">
        <f t="shared" si="72"/>
        <v/>
      </c>
    </row>
    <row r="4535">
      <c r="D4535" s="226"/>
      <c r="H4535" s="474"/>
      <c r="I4535" s="474"/>
      <c r="J4535" s="475"/>
      <c r="K4535" s="275"/>
      <c r="L4535" s="82"/>
      <c r="M4535" s="672"/>
      <c r="N4535" s="242"/>
      <c r="O4535" s="242"/>
      <c r="P4535" s="242"/>
      <c r="Q4535" s="242"/>
      <c r="R4535" s="539"/>
      <c r="S4535" s="540"/>
      <c r="T4535" s="543"/>
      <c r="U4535" s="673" t="b">
        <v>0</v>
      </c>
      <c r="Z4535" t="b">
        <v>0</v>
      </c>
      <c r="AA4535" t="b">
        <v>0</v>
      </c>
      <c r="AC4535" s="82"/>
      <c r="AD4535" t="str">
        <f t="shared" si="71"/>
        <v/>
      </c>
      <c r="AE4535" t="str">
        <f t="shared" si="72"/>
        <v/>
      </c>
    </row>
    <row r="4536">
      <c r="D4536" s="226"/>
      <c r="H4536" s="474"/>
      <c r="I4536" s="474"/>
      <c r="J4536" s="475"/>
      <c r="K4536" s="275"/>
      <c r="L4536" s="82"/>
      <c r="M4536" s="672"/>
      <c r="N4536" s="242"/>
      <c r="O4536" s="242"/>
      <c r="P4536" s="242"/>
      <c r="Q4536" s="242"/>
      <c r="R4536" s="539"/>
      <c r="S4536" s="540"/>
      <c r="T4536" s="543"/>
      <c r="U4536" s="673" t="b">
        <v>0</v>
      </c>
      <c r="Z4536" t="b">
        <v>0</v>
      </c>
      <c r="AA4536" t="b">
        <v>0</v>
      </c>
      <c r="AC4536" s="82"/>
      <c r="AD4536" t="str">
        <f t="shared" si="71"/>
        <v/>
      </c>
      <c r="AE4536" t="str">
        <f t="shared" si="72"/>
        <v/>
      </c>
    </row>
    <row r="4537">
      <c r="D4537" s="226"/>
      <c r="H4537" s="474"/>
      <c r="I4537" s="474"/>
      <c r="J4537" s="475"/>
      <c r="K4537" s="275"/>
      <c r="L4537" s="82"/>
      <c r="M4537" s="672"/>
      <c r="N4537" s="242"/>
      <c r="O4537" s="242"/>
      <c r="P4537" s="242"/>
      <c r="Q4537" s="242"/>
      <c r="R4537" s="539"/>
      <c r="S4537" s="540"/>
      <c r="T4537" s="543"/>
      <c r="U4537" s="673" t="b">
        <v>0</v>
      </c>
      <c r="Z4537" t="b">
        <v>0</v>
      </c>
      <c r="AA4537" t="b">
        <v>0</v>
      </c>
      <c r="AC4537" s="82"/>
      <c r="AD4537" t="str">
        <f t="shared" si="71"/>
        <v/>
      </c>
      <c r="AE4537" t="str">
        <f t="shared" si="72"/>
        <v/>
      </c>
    </row>
    <row r="4538">
      <c r="D4538" s="226"/>
      <c r="H4538" s="474"/>
      <c r="I4538" s="474"/>
      <c r="J4538" s="475"/>
      <c r="K4538" s="275"/>
      <c r="L4538" s="82"/>
      <c r="M4538" s="672"/>
      <c r="N4538" s="242"/>
      <c r="O4538" s="242"/>
      <c r="P4538" s="242"/>
      <c r="Q4538" s="242"/>
      <c r="R4538" s="539"/>
      <c r="S4538" s="540"/>
      <c r="T4538" s="543"/>
      <c r="U4538" s="673" t="b">
        <v>0</v>
      </c>
      <c r="Z4538" t="b">
        <v>0</v>
      </c>
      <c r="AA4538" t="b">
        <v>0</v>
      </c>
      <c r="AC4538" s="82"/>
      <c r="AD4538" t="str">
        <f t="shared" si="71"/>
        <v/>
      </c>
      <c r="AE4538" t="str">
        <f t="shared" si="72"/>
        <v/>
      </c>
    </row>
    <row r="4539">
      <c r="D4539" s="226"/>
      <c r="H4539" s="474"/>
      <c r="I4539" s="474"/>
      <c r="J4539" s="475"/>
      <c r="K4539" s="275"/>
      <c r="L4539" s="82"/>
      <c r="M4539" s="672"/>
      <c r="N4539" s="242"/>
      <c r="O4539" s="242"/>
      <c r="P4539" s="242"/>
      <c r="Q4539" s="242"/>
      <c r="R4539" s="539"/>
      <c r="S4539" s="540"/>
      <c r="T4539" s="543"/>
      <c r="U4539" s="673" t="b">
        <v>0</v>
      </c>
      <c r="Z4539" t="b">
        <v>0</v>
      </c>
      <c r="AA4539" t="b">
        <v>0</v>
      </c>
      <c r="AC4539" s="82"/>
      <c r="AD4539" t="str">
        <f t="shared" si="71"/>
        <v/>
      </c>
      <c r="AE4539" t="str">
        <f t="shared" si="72"/>
        <v/>
      </c>
    </row>
    <row r="4540">
      <c r="D4540" s="226"/>
      <c r="H4540" s="474"/>
      <c r="I4540" s="474"/>
      <c r="J4540" s="475"/>
      <c r="K4540" s="275"/>
      <c r="L4540" s="82"/>
      <c r="M4540" s="672"/>
      <c r="N4540" s="242"/>
      <c r="O4540" s="242"/>
      <c r="P4540" s="242"/>
      <c r="Q4540" s="242"/>
      <c r="R4540" s="539"/>
      <c r="S4540" s="540"/>
      <c r="T4540" s="543"/>
      <c r="U4540" s="673" t="b">
        <v>0</v>
      </c>
      <c r="Z4540" t="b">
        <v>0</v>
      </c>
      <c r="AA4540" t="b">
        <v>0</v>
      </c>
      <c r="AC4540" s="82"/>
      <c r="AD4540" t="str">
        <f t="shared" si="71"/>
        <v/>
      </c>
      <c r="AE4540" t="str">
        <f t="shared" si="72"/>
        <v/>
      </c>
    </row>
    <row r="4541">
      <c r="D4541" s="226"/>
      <c r="H4541" s="474"/>
      <c r="I4541" s="474"/>
      <c r="J4541" s="475"/>
      <c r="K4541" s="275"/>
      <c r="L4541" s="82"/>
      <c r="M4541" s="672"/>
      <c r="N4541" s="242"/>
      <c r="O4541" s="242"/>
      <c r="P4541" s="242"/>
      <c r="Q4541" s="242"/>
      <c r="R4541" s="539"/>
      <c r="S4541" s="540"/>
      <c r="T4541" s="543"/>
      <c r="U4541" s="673" t="b">
        <v>0</v>
      </c>
      <c r="Z4541" t="b">
        <v>0</v>
      </c>
      <c r="AA4541" t="b">
        <v>0</v>
      </c>
      <c r="AC4541" s="82"/>
      <c r="AD4541" t="str">
        <f t="shared" si="71"/>
        <v/>
      </c>
      <c r="AE4541" t="str">
        <f t="shared" si="72"/>
        <v/>
      </c>
    </row>
    <row r="4542">
      <c r="D4542" s="226"/>
      <c r="H4542" s="474"/>
      <c r="I4542" s="474"/>
      <c r="J4542" s="475"/>
      <c r="K4542" s="275"/>
      <c r="L4542" s="82"/>
      <c r="M4542" s="672"/>
      <c r="N4542" s="242"/>
      <c r="O4542" s="242"/>
      <c r="P4542" s="242"/>
      <c r="Q4542" s="242"/>
      <c r="R4542" s="539"/>
      <c r="S4542" s="540"/>
      <c r="T4542" s="543"/>
      <c r="U4542" s="673" t="b">
        <v>0</v>
      </c>
      <c r="Z4542" t="b">
        <v>0</v>
      </c>
      <c r="AA4542" t="b">
        <v>0</v>
      </c>
      <c r="AC4542" s="82"/>
      <c r="AD4542" t="str">
        <f t="shared" si="71"/>
        <v/>
      </c>
      <c r="AE4542" t="str">
        <f t="shared" si="72"/>
        <v/>
      </c>
    </row>
    <row r="4543">
      <c r="D4543" s="226"/>
      <c r="H4543" s="474"/>
      <c r="I4543" s="474"/>
      <c r="J4543" s="475"/>
      <c r="K4543" s="275"/>
      <c r="L4543" s="82"/>
      <c r="M4543" s="672"/>
      <c r="N4543" s="242"/>
      <c r="O4543" s="242"/>
      <c r="P4543" s="242"/>
      <c r="Q4543" s="242"/>
      <c r="R4543" s="539"/>
      <c r="S4543" s="540"/>
      <c r="T4543" s="543"/>
      <c r="U4543" s="673" t="b">
        <v>0</v>
      </c>
      <c r="Z4543" t="b">
        <v>0</v>
      </c>
      <c r="AA4543" t="b">
        <v>0</v>
      </c>
      <c r="AC4543" s="82"/>
      <c r="AD4543" t="str">
        <f t="shared" si="71"/>
        <v/>
      </c>
      <c r="AE4543" t="str">
        <f t="shared" si="72"/>
        <v/>
      </c>
    </row>
    <row r="4544">
      <c r="D4544" s="226"/>
      <c r="H4544" s="474"/>
      <c r="I4544" s="474"/>
      <c r="J4544" s="475"/>
      <c r="K4544" s="275"/>
      <c r="L4544" s="82"/>
      <c r="M4544" s="672"/>
      <c r="N4544" s="242"/>
      <c r="O4544" s="242"/>
      <c r="P4544" s="242"/>
      <c r="Q4544" s="242"/>
      <c r="R4544" s="539"/>
      <c r="S4544" s="540"/>
      <c r="T4544" s="543"/>
      <c r="U4544" s="673" t="b">
        <v>0</v>
      </c>
      <c r="Z4544" t="b">
        <v>0</v>
      </c>
      <c r="AA4544" t="b">
        <v>0</v>
      </c>
      <c r="AC4544" s="82"/>
      <c r="AD4544" t="str">
        <f t="shared" si="71"/>
        <v/>
      </c>
      <c r="AE4544" t="str">
        <f t="shared" si="72"/>
        <v/>
      </c>
    </row>
    <row r="4545">
      <c r="D4545" s="226"/>
      <c r="H4545" s="474"/>
      <c r="I4545" s="474"/>
      <c r="J4545" s="475"/>
      <c r="K4545" s="275"/>
      <c r="L4545" s="82"/>
      <c r="M4545" s="672"/>
      <c r="N4545" s="242"/>
      <c r="O4545" s="242"/>
      <c r="P4545" s="242"/>
      <c r="Q4545" s="242"/>
      <c r="R4545" s="539"/>
      <c r="S4545" s="540"/>
      <c r="T4545" s="543"/>
      <c r="U4545" s="673" t="b">
        <v>0</v>
      </c>
      <c r="Z4545" t="b">
        <v>0</v>
      </c>
      <c r="AA4545" t="b">
        <v>0</v>
      </c>
      <c r="AC4545" s="82"/>
      <c r="AD4545" t="str">
        <f t="shared" si="71"/>
        <v/>
      </c>
      <c r="AE4545" t="str">
        <f t="shared" si="72"/>
        <v/>
      </c>
    </row>
    <row r="4546">
      <c r="D4546" s="226"/>
      <c r="H4546" s="474"/>
      <c r="I4546" s="474"/>
      <c r="J4546" s="475"/>
      <c r="K4546" s="275"/>
      <c r="L4546" s="82"/>
      <c r="M4546" s="672"/>
      <c r="N4546" s="242"/>
      <c r="O4546" s="242"/>
      <c r="P4546" s="242"/>
      <c r="Q4546" s="242"/>
      <c r="R4546" s="539"/>
      <c r="S4546" s="540"/>
      <c r="T4546" s="543"/>
      <c r="U4546" s="673" t="b">
        <v>0</v>
      </c>
      <c r="Z4546" t="b">
        <v>0</v>
      </c>
      <c r="AA4546" t="b">
        <v>0</v>
      </c>
      <c r="AC4546" s="82"/>
      <c r="AD4546" t="str">
        <f t="shared" si="71"/>
        <v/>
      </c>
      <c r="AE4546" t="str">
        <f t="shared" si="72"/>
        <v/>
      </c>
    </row>
    <row r="4547">
      <c r="D4547" s="226"/>
      <c r="H4547" s="474"/>
      <c r="I4547" s="474"/>
      <c r="J4547" s="475"/>
      <c r="K4547" s="275"/>
      <c r="L4547" s="82"/>
      <c r="M4547" s="672"/>
      <c r="N4547" s="242"/>
      <c r="O4547" s="242"/>
      <c r="P4547" s="242"/>
      <c r="Q4547" s="242"/>
      <c r="R4547" s="539"/>
      <c r="S4547" s="540"/>
      <c r="T4547" s="543"/>
      <c r="U4547" s="673" t="b">
        <v>0</v>
      </c>
      <c r="Z4547" t="b">
        <v>0</v>
      </c>
      <c r="AA4547" t="b">
        <v>0</v>
      </c>
      <c r="AC4547" s="82"/>
      <c r="AD4547" t="str">
        <f t="shared" si="71"/>
        <v/>
      </c>
      <c r="AE4547" t="str">
        <f t="shared" si="72"/>
        <v/>
      </c>
    </row>
    <row r="4548">
      <c r="D4548" s="226"/>
      <c r="H4548" s="474"/>
      <c r="I4548" s="474"/>
      <c r="J4548" s="475"/>
      <c r="K4548" s="275"/>
      <c r="L4548" s="82"/>
      <c r="M4548" s="672"/>
      <c r="N4548" s="242"/>
      <c r="O4548" s="242"/>
      <c r="P4548" s="242"/>
      <c r="Q4548" s="242"/>
      <c r="R4548" s="539"/>
      <c r="S4548" s="540"/>
      <c r="T4548" s="543"/>
      <c r="U4548" s="673" t="b">
        <v>0</v>
      </c>
      <c r="Z4548" t="b">
        <v>0</v>
      </c>
      <c r="AA4548" t="b">
        <v>0</v>
      </c>
      <c r="AC4548" s="82"/>
      <c r="AD4548" t="str">
        <f t="shared" si="71"/>
        <v/>
      </c>
      <c r="AE4548" t="str">
        <f t="shared" si="72"/>
        <v/>
      </c>
    </row>
    <row r="4549">
      <c r="D4549" s="226"/>
      <c r="H4549" s="474"/>
      <c r="I4549" s="474"/>
      <c r="J4549" s="475"/>
      <c r="K4549" s="275"/>
      <c r="L4549" s="82"/>
      <c r="M4549" s="672"/>
      <c r="N4549" s="242"/>
      <c r="O4549" s="242"/>
      <c r="P4549" s="242"/>
      <c r="Q4549" s="242"/>
      <c r="R4549" s="539"/>
      <c r="S4549" s="540"/>
      <c r="T4549" s="543"/>
      <c r="U4549" s="673" t="b">
        <v>0</v>
      </c>
      <c r="Z4549" t="b">
        <v>0</v>
      </c>
      <c r="AA4549" t="b">
        <v>0</v>
      </c>
      <c r="AC4549" s="82"/>
      <c r="AD4549" t="str">
        <f t="shared" si="71"/>
        <v/>
      </c>
      <c r="AE4549" t="str">
        <f t="shared" si="72"/>
        <v/>
      </c>
    </row>
    <row r="4550">
      <c r="D4550" s="226"/>
      <c r="H4550" s="474"/>
      <c r="I4550" s="474"/>
      <c r="J4550" s="475"/>
      <c r="K4550" s="275"/>
      <c r="L4550" s="82"/>
      <c r="M4550" s="672"/>
      <c r="N4550" s="242"/>
      <c r="O4550" s="242"/>
      <c r="P4550" s="242"/>
      <c r="Q4550" s="242"/>
      <c r="R4550" s="539"/>
      <c r="S4550" s="540"/>
      <c r="T4550" s="543"/>
      <c r="U4550" s="673" t="b">
        <v>0</v>
      </c>
      <c r="Z4550" t="b">
        <v>0</v>
      </c>
      <c r="AA4550" t="b">
        <v>0</v>
      </c>
      <c r="AC4550" s="82"/>
      <c r="AD4550" t="str">
        <f t="shared" si="71"/>
        <v/>
      </c>
      <c r="AE4550" t="str">
        <f t="shared" si="72"/>
        <v/>
      </c>
    </row>
    <row r="4551">
      <c r="D4551" s="226"/>
      <c r="H4551" s="474"/>
      <c r="I4551" s="474"/>
      <c r="J4551" s="475"/>
      <c r="K4551" s="275"/>
      <c r="L4551" s="82"/>
      <c r="M4551" s="672"/>
      <c r="N4551" s="242"/>
      <c r="O4551" s="242"/>
      <c r="P4551" s="242"/>
      <c r="Q4551" s="242"/>
      <c r="R4551" s="539"/>
      <c r="S4551" s="540"/>
      <c r="T4551" s="543"/>
      <c r="U4551" s="673" t="b">
        <v>0</v>
      </c>
      <c r="Z4551" t="b">
        <v>0</v>
      </c>
      <c r="AA4551" t="b">
        <v>0</v>
      </c>
      <c r="AC4551" s="82"/>
      <c r="AD4551" t="str">
        <f t="shared" si="71"/>
        <v/>
      </c>
      <c r="AE4551" t="str">
        <f t="shared" si="72"/>
        <v/>
      </c>
    </row>
    <row r="4552">
      <c r="D4552" s="226"/>
      <c r="H4552" s="474"/>
      <c r="I4552" s="474"/>
      <c r="J4552" s="475"/>
      <c r="K4552" s="275"/>
      <c r="L4552" s="82"/>
      <c r="M4552" s="672"/>
      <c r="N4552" s="242"/>
      <c r="O4552" s="242"/>
      <c r="P4552" s="242"/>
      <c r="Q4552" s="242"/>
      <c r="R4552" s="539"/>
      <c r="S4552" s="540"/>
      <c r="T4552" s="543"/>
      <c r="U4552" s="673" t="b">
        <v>0</v>
      </c>
      <c r="Z4552" t="b">
        <v>0</v>
      </c>
      <c r="AA4552" t="b">
        <v>0</v>
      </c>
      <c r="AC4552" s="82"/>
      <c r="AD4552" t="str">
        <f t="shared" si="71"/>
        <v/>
      </c>
      <c r="AE4552" t="str">
        <f t="shared" si="72"/>
        <v/>
      </c>
    </row>
    <row r="4553">
      <c r="D4553" s="226"/>
      <c r="H4553" s="474"/>
      <c r="I4553" s="474"/>
      <c r="J4553" s="475"/>
      <c r="K4553" s="275"/>
      <c r="L4553" s="82"/>
      <c r="M4553" s="672"/>
      <c r="N4553" s="242"/>
      <c r="O4553" s="242"/>
      <c r="P4553" s="242"/>
      <c r="Q4553" s="242"/>
      <c r="R4553" s="539"/>
      <c r="S4553" s="540"/>
      <c r="T4553" s="543"/>
      <c r="U4553" s="673" t="b">
        <v>0</v>
      </c>
      <c r="Z4553" t="b">
        <v>0</v>
      </c>
      <c r="AA4553" t="b">
        <v>0</v>
      </c>
      <c r="AC4553" s="82"/>
      <c r="AD4553" t="str">
        <f t="shared" si="71"/>
        <v/>
      </c>
      <c r="AE4553" t="str">
        <f t="shared" si="72"/>
        <v/>
      </c>
    </row>
    <row r="4554">
      <c r="D4554" s="226"/>
      <c r="H4554" s="474"/>
      <c r="I4554" s="474"/>
      <c r="J4554" s="475"/>
      <c r="K4554" s="275"/>
      <c r="L4554" s="82"/>
      <c r="M4554" s="672"/>
      <c r="N4554" s="242"/>
      <c r="O4554" s="242"/>
      <c r="P4554" s="242"/>
      <c r="Q4554" s="242"/>
      <c r="R4554" s="539"/>
      <c r="S4554" s="540"/>
      <c r="T4554" s="543"/>
      <c r="U4554" s="673" t="b">
        <v>0</v>
      </c>
      <c r="Z4554" t="b">
        <v>0</v>
      </c>
      <c r="AA4554" t="b">
        <v>0</v>
      </c>
      <c r="AC4554" s="82"/>
      <c r="AD4554" t="str">
        <f t="shared" si="71"/>
        <v/>
      </c>
      <c r="AE4554" t="str">
        <f t="shared" si="72"/>
        <v/>
      </c>
    </row>
    <row r="4555">
      <c r="D4555" s="226"/>
      <c r="H4555" s="474"/>
      <c r="I4555" s="474"/>
      <c r="J4555" s="475"/>
      <c r="K4555" s="275"/>
      <c r="L4555" s="82"/>
      <c r="M4555" s="672"/>
      <c r="N4555" s="242"/>
      <c r="O4555" s="242"/>
      <c r="P4555" s="242"/>
      <c r="Q4555" s="242"/>
      <c r="R4555" s="539"/>
      <c r="S4555" s="540"/>
      <c r="T4555" s="543"/>
      <c r="U4555" s="673" t="b">
        <v>0</v>
      </c>
      <c r="Z4555" t="b">
        <v>0</v>
      </c>
      <c r="AA4555" t="b">
        <v>0</v>
      </c>
      <c r="AC4555" s="82"/>
      <c r="AD4555" t="str">
        <f t="shared" si="71"/>
        <v/>
      </c>
      <c r="AE4555" t="str">
        <f t="shared" si="72"/>
        <v/>
      </c>
    </row>
    <row r="4556">
      <c r="D4556" s="226"/>
      <c r="H4556" s="474"/>
      <c r="I4556" s="474"/>
      <c r="J4556" s="475"/>
      <c r="K4556" s="275"/>
      <c r="L4556" s="82"/>
      <c r="M4556" s="672"/>
      <c r="N4556" s="242"/>
      <c r="O4556" s="242"/>
      <c r="P4556" s="242"/>
      <c r="Q4556" s="242"/>
      <c r="R4556" s="539"/>
      <c r="S4556" s="540"/>
      <c r="T4556" s="543"/>
      <c r="U4556" s="673" t="b">
        <v>0</v>
      </c>
      <c r="Z4556" t="b">
        <v>0</v>
      </c>
      <c r="AA4556" t="b">
        <v>0</v>
      </c>
      <c r="AC4556" s="82"/>
      <c r="AD4556" t="str">
        <f t="shared" si="71"/>
        <v/>
      </c>
      <c r="AE4556" t="str">
        <f t="shared" si="72"/>
        <v/>
      </c>
    </row>
    <row r="4557">
      <c r="D4557" s="226"/>
      <c r="H4557" s="474"/>
      <c r="I4557" s="474"/>
      <c r="J4557" s="475"/>
      <c r="K4557" s="275"/>
      <c r="L4557" s="82"/>
      <c r="M4557" s="672"/>
      <c r="N4557" s="242"/>
      <c r="O4557" s="242"/>
      <c r="P4557" s="242"/>
      <c r="Q4557" s="242"/>
      <c r="R4557" s="539"/>
      <c r="S4557" s="540"/>
      <c r="T4557" s="543"/>
      <c r="U4557" s="673" t="b">
        <v>0</v>
      </c>
      <c r="Z4557" t="b">
        <v>0</v>
      </c>
      <c r="AA4557" t="b">
        <v>0</v>
      </c>
      <c r="AC4557" s="82"/>
      <c r="AD4557" t="str">
        <f t="shared" si="71"/>
        <v/>
      </c>
      <c r="AE4557" t="str">
        <f t="shared" si="72"/>
        <v/>
      </c>
    </row>
    <row r="4558">
      <c r="D4558" s="226"/>
      <c r="H4558" s="474"/>
      <c r="I4558" s="474"/>
      <c r="J4558" s="475"/>
      <c r="K4558" s="275"/>
      <c r="L4558" s="82"/>
      <c r="M4558" s="672"/>
      <c r="N4558" s="242"/>
      <c r="O4558" s="242"/>
      <c r="P4558" s="242"/>
      <c r="Q4558" s="242"/>
      <c r="R4558" s="539"/>
      <c r="S4558" s="540"/>
      <c r="T4558" s="543"/>
      <c r="U4558" s="673" t="b">
        <v>0</v>
      </c>
      <c r="Z4558" t="b">
        <v>0</v>
      </c>
      <c r="AA4558" t="b">
        <v>0</v>
      </c>
      <c r="AC4558" s="82"/>
      <c r="AD4558" t="str">
        <f t="shared" si="71"/>
        <v/>
      </c>
      <c r="AE4558" t="str">
        <f t="shared" si="72"/>
        <v/>
      </c>
    </row>
    <row r="4559">
      <c r="D4559" s="226"/>
      <c r="H4559" s="474"/>
      <c r="I4559" s="474"/>
      <c r="J4559" s="475"/>
      <c r="K4559" s="275"/>
      <c r="L4559" s="82"/>
      <c r="M4559" s="672"/>
      <c r="N4559" s="242"/>
      <c r="O4559" s="242"/>
      <c r="P4559" s="242"/>
      <c r="Q4559" s="242"/>
      <c r="R4559" s="539"/>
      <c r="S4559" s="540"/>
      <c r="T4559" s="543"/>
      <c r="U4559" s="673" t="b">
        <v>0</v>
      </c>
      <c r="Z4559" t="b">
        <v>0</v>
      </c>
      <c r="AA4559" t="b">
        <v>0</v>
      </c>
      <c r="AC4559" s="82"/>
      <c r="AD4559" t="str">
        <f t="shared" si="71"/>
        <v/>
      </c>
      <c r="AE4559" t="str">
        <f t="shared" si="72"/>
        <v/>
      </c>
    </row>
    <row r="4560">
      <c r="D4560" s="226"/>
      <c r="H4560" s="474"/>
      <c r="I4560" s="474"/>
      <c r="J4560" s="475"/>
      <c r="K4560" s="275"/>
      <c r="L4560" s="82"/>
      <c r="M4560" s="672"/>
      <c r="N4560" s="242"/>
      <c r="O4560" s="242"/>
      <c r="P4560" s="242"/>
      <c r="Q4560" s="242"/>
      <c r="R4560" s="539"/>
      <c r="S4560" s="540"/>
      <c r="T4560" s="543"/>
      <c r="U4560" s="673" t="b">
        <v>0</v>
      </c>
      <c r="Z4560" t="b">
        <v>0</v>
      </c>
      <c r="AA4560" t="b">
        <v>0</v>
      </c>
      <c r="AC4560" s="82"/>
      <c r="AD4560" t="str">
        <f t="shared" si="71"/>
        <v/>
      </c>
      <c r="AE4560" t="str">
        <f t="shared" si="72"/>
        <v/>
      </c>
    </row>
    <row r="4561">
      <c r="D4561" s="226"/>
      <c r="H4561" s="474"/>
      <c r="I4561" s="474"/>
      <c r="J4561" s="475"/>
      <c r="K4561" s="275"/>
      <c r="L4561" s="82"/>
      <c r="M4561" s="672"/>
      <c r="N4561" s="242"/>
      <c r="O4561" s="242"/>
      <c r="P4561" s="242"/>
      <c r="Q4561" s="242"/>
      <c r="R4561" s="539"/>
      <c r="S4561" s="540"/>
      <c r="T4561" s="543"/>
      <c r="U4561" s="673" t="b">
        <v>0</v>
      </c>
      <c r="Z4561" t="b">
        <v>0</v>
      </c>
      <c r="AA4561" t="b">
        <v>0</v>
      </c>
      <c r="AC4561" s="82"/>
      <c r="AD4561" t="str">
        <f t="shared" si="71"/>
        <v/>
      </c>
      <c r="AE4561" t="str">
        <f t="shared" si="72"/>
        <v/>
      </c>
    </row>
    <row r="4562">
      <c r="D4562" s="226"/>
      <c r="H4562" s="474"/>
      <c r="I4562" s="474"/>
      <c r="J4562" s="475"/>
      <c r="K4562" s="275"/>
      <c r="L4562" s="82"/>
      <c r="M4562" s="672"/>
      <c r="N4562" s="242"/>
      <c r="O4562" s="242"/>
      <c r="P4562" s="242"/>
      <c r="Q4562" s="242"/>
      <c r="R4562" s="539"/>
      <c r="S4562" s="540"/>
      <c r="T4562" s="543"/>
      <c r="U4562" s="673" t="b">
        <v>0</v>
      </c>
      <c r="Z4562" t="b">
        <v>0</v>
      </c>
      <c r="AA4562" t="b">
        <v>0</v>
      </c>
      <c r="AC4562" s="82"/>
      <c r="AD4562" t="str">
        <f t="shared" si="71"/>
        <v/>
      </c>
      <c r="AE4562" t="str">
        <f t="shared" si="72"/>
        <v/>
      </c>
    </row>
    <row r="4563">
      <c r="D4563" s="226"/>
      <c r="H4563" s="474"/>
      <c r="I4563" s="474"/>
      <c r="J4563" s="475"/>
      <c r="K4563" s="275"/>
      <c r="L4563" s="82"/>
      <c r="M4563" s="672"/>
      <c r="N4563" s="242"/>
      <c r="O4563" s="242"/>
      <c r="P4563" s="242"/>
      <c r="Q4563" s="242"/>
      <c r="R4563" s="539"/>
      <c r="S4563" s="540"/>
      <c r="T4563" s="543"/>
      <c r="U4563" s="673" t="b">
        <v>0</v>
      </c>
      <c r="Z4563" t="b">
        <v>0</v>
      </c>
      <c r="AA4563" t="b">
        <v>0</v>
      </c>
      <c r="AC4563" s="82"/>
      <c r="AD4563" t="str">
        <f t="shared" si="71"/>
        <v/>
      </c>
      <c r="AE4563" t="str">
        <f t="shared" si="72"/>
        <v/>
      </c>
    </row>
    <row r="4564">
      <c r="D4564" s="226"/>
      <c r="H4564" s="474"/>
      <c r="I4564" s="474"/>
      <c r="J4564" s="475"/>
      <c r="K4564" s="275"/>
      <c r="L4564" s="82"/>
      <c r="M4564" s="672"/>
      <c r="N4564" s="242"/>
      <c r="O4564" s="242"/>
      <c r="P4564" s="242"/>
      <c r="Q4564" s="242"/>
      <c r="R4564" s="539"/>
      <c r="S4564" s="540"/>
      <c r="T4564" s="543"/>
      <c r="U4564" s="673" t="b">
        <v>0</v>
      </c>
      <c r="Z4564" t="b">
        <v>0</v>
      </c>
      <c r="AA4564" t="b">
        <v>0</v>
      </c>
      <c r="AC4564" s="82"/>
      <c r="AD4564" t="str">
        <f t="shared" si="71"/>
        <v/>
      </c>
      <c r="AE4564" t="str">
        <f t="shared" si="72"/>
        <v/>
      </c>
    </row>
    <row r="4565">
      <c r="D4565" s="226"/>
      <c r="H4565" s="474"/>
      <c r="I4565" s="474"/>
      <c r="J4565" s="475"/>
      <c r="K4565" s="275"/>
      <c r="L4565" s="82"/>
      <c r="M4565" s="672"/>
      <c r="N4565" s="242"/>
      <c r="O4565" s="242"/>
      <c r="P4565" s="242"/>
      <c r="Q4565" s="242"/>
      <c r="R4565" s="539"/>
      <c r="S4565" s="540"/>
      <c r="T4565" s="543"/>
      <c r="U4565" s="673" t="b">
        <v>0</v>
      </c>
      <c r="Z4565" t="b">
        <v>0</v>
      </c>
      <c r="AA4565" t="b">
        <v>0</v>
      </c>
      <c r="AC4565" s="82"/>
      <c r="AD4565" t="str">
        <f t="shared" si="71"/>
        <v/>
      </c>
      <c r="AE4565" t="str">
        <f t="shared" si="72"/>
        <v/>
      </c>
    </row>
    <row r="4566">
      <c r="D4566" s="226"/>
      <c r="H4566" s="474"/>
      <c r="I4566" s="474"/>
      <c r="J4566" s="475"/>
      <c r="K4566" s="275"/>
      <c r="L4566" s="82"/>
      <c r="M4566" s="672"/>
      <c r="N4566" s="242"/>
      <c r="O4566" s="242"/>
      <c r="P4566" s="242"/>
      <c r="Q4566" s="242"/>
      <c r="R4566" s="539"/>
      <c r="S4566" s="540"/>
      <c r="T4566" s="543"/>
      <c r="U4566" s="673" t="b">
        <v>0</v>
      </c>
      <c r="Z4566" t="b">
        <v>0</v>
      </c>
      <c r="AA4566" t="b">
        <v>0</v>
      </c>
      <c r="AC4566" s="82"/>
      <c r="AD4566" t="str">
        <f t="shared" si="71"/>
        <v/>
      </c>
      <c r="AE4566" t="str">
        <f t="shared" si="72"/>
        <v/>
      </c>
    </row>
    <row r="4567">
      <c r="D4567" s="226"/>
      <c r="H4567" s="474"/>
      <c r="I4567" s="474"/>
      <c r="J4567" s="475"/>
      <c r="K4567" s="275"/>
      <c r="L4567" s="82"/>
      <c r="M4567" s="672"/>
      <c r="N4567" s="242"/>
      <c r="O4567" s="242"/>
      <c r="P4567" s="242"/>
      <c r="Q4567" s="242"/>
      <c r="R4567" s="539"/>
      <c r="S4567" s="540"/>
      <c r="T4567" s="543"/>
      <c r="U4567" s="673" t="b">
        <v>0</v>
      </c>
      <c r="Z4567" t="b">
        <v>0</v>
      </c>
      <c r="AA4567" t="b">
        <v>0</v>
      </c>
      <c r="AC4567" s="82"/>
      <c r="AD4567" t="str">
        <f t="shared" si="71"/>
        <v/>
      </c>
      <c r="AE4567" t="str">
        <f t="shared" si="72"/>
        <v/>
      </c>
    </row>
    <row r="4568">
      <c r="D4568" s="226"/>
      <c r="H4568" s="474"/>
      <c r="I4568" s="474"/>
      <c r="J4568" s="475"/>
      <c r="K4568" s="275"/>
      <c r="L4568" s="82"/>
      <c r="M4568" s="672"/>
      <c r="N4568" s="242"/>
      <c r="O4568" s="242"/>
      <c r="P4568" s="242"/>
      <c r="Q4568" s="242"/>
      <c r="R4568" s="539"/>
      <c r="S4568" s="540"/>
      <c r="T4568" s="543"/>
      <c r="U4568" s="673" t="b">
        <v>0</v>
      </c>
      <c r="Z4568" t="b">
        <v>0</v>
      </c>
      <c r="AA4568" t="b">
        <v>0</v>
      </c>
      <c r="AC4568" s="82"/>
      <c r="AD4568" t="str">
        <f t="shared" si="71"/>
        <v/>
      </c>
      <c r="AE4568" t="str">
        <f t="shared" si="72"/>
        <v/>
      </c>
    </row>
    <row r="4569">
      <c r="D4569" s="226"/>
      <c r="H4569" s="474"/>
      <c r="I4569" s="474"/>
      <c r="J4569" s="475"/>
      <c r="K4569" s="275"/>
      <c r="L4569" s="82"/>
      <c r="M4569" s="672"/>
      <c r="N4569" s="242"/>
      <c r="O4569" s="242"/>
      <c r="P4569" s="242"/>
      <c r="Q4569" s="242"/>
      <c r="R4569" s="539"/>
      <c r="S4569" s="540"/>
      <c r="T4569" s="543"/>
      <c r="U4569" s="673" t="b">
        <v>0</v>
      </c>
      <c r="Z4569" t="b">
        <v>0</v>
      </c>
      <c r="AA4569" t="b">
        <v>0</v>
      </c>
      <c r="AC4569" s="82"/>
      <c r="AD4569" t="str">
        <f t="shared" si="71"/>
        <v/>
      </c>
      <c r="AE4569" t="str">
        <f t="shared" si="72"/>
        <v/>
      </c>
    </row>
    <row r="4570">
      <c r="D4570" s="226"/>
      <c r="H4570" s="474"/>
      <c r="I4570" s="474"/>
      <c r="J4570" s="475"/>
      <c r="K4570" s="275"/>
      <c r="L4570" s="82"/>
      <c r="M4570" s="672"/>
      <c r="N4570" s="242"/>
      <c r="O4570" s="242"/>
      <c r="P4570" s="242"/>
      <c r="Q4570" s="242"/>
      <c r="R4570" s="539"/>
      <c r="S4570" s="540"/>
      <c r="T4570" s="543"/>
      <c r="U4570" s="673" t="b">
        <v>0</v>
      </c>
      <c r="Z4570" t="b">
        <v>0</v>
      </c>
      <c r="AA4570" t="b">
        <v>0</v>
      </c>
      <c r="AC4570" s="82"/>
      <c r="AD4570" t="str">
        <f t="shared" si="71"/>
        <v/>
      </c>
      <c r="AE4570" t="str">
        <f t="shared" si="72"/>
        <v/>
      </c>
    </row>
    <row r="4571">
      <c r="D4571" s="226"/>
      <c r="H4571" s="474"/>
      <c r="I4571" s="474"/>
      <c r="J4571" s="475"/>
      <c r="K4571" s="275"/>
      <c r="L4571" s="82"/>
      <c r="M4571" s="672"/>
      <c r="N4571" s="242"/>
      <c r="O4571" s="242"/>
      <c r="P4571" s="242"/>
      <c r="Q4571" s="242"/>
      <c r="R4571" s="539"/>
      <c r="S4571" s="540"/>
      <c r="T4571" s="543"/>
      <c r="U4571" s="673" t="b">
        <v>0</v>
      </c>
      <c r="Z4571" t="b">
        <v>0</v>
      </c>
      <c r="AA4571" t="b">
        <v>0</v>
      </c>
      <c r="AC4571" s="82"/>
      <c r="AD4571" t="str">
        <f t="shared" si="71"/>
        <v/>
      </c>
      <c r="AE4571" t="str">
        <f t="shared" si="72"/>
        <v/>
      </c>
    </row>
    <row r="4572">
      <c r="D4572" s="226"/>
      <c r="H4572" s="474"/>
      <c r="I4572" s="474"/>
      <c r="J4572" s="475"/>
      <c r="K4572" s="275"/>
      <c r="L4572" s="82"/>
      <c r="M4572" s="672"/>
      <c r="N4572" s="242"/>
      <c r="O4572" s="242"/>
      <c r="P4572" s="242"/>
      <c r="Q4572" s="242"/>
      <c r="R4572" s="539"/>
      <c r="S4572" s="540"/>
      <c r="T4572" s="543"/>
      <c r="U4572" s="673" t="b">
        <v>0</v>
      </c>
      <c r="Z4572" t="b">
        <v>0</v>
      </c>
      <c r="AA4572" t="b">
        <v>0</v>
      </c>
      <c r="AC4572" s="82"/>
      <c r="AD4572" t="str">
        <f t="shared" si="71"/>
        <v/>
      </c>
      <c r="AE4572" t="str">
        <f t="shared" si="72"/>
        <v/>
      </c>
    </row>
    <row r="4573">
      <c r="D4573" s="226"/>
      <c r="H4573" s="474"/>
      <c r="I4573" s="474"/>
      <c r="J4573" s="475"/>
      <c r="K4573" s="275"/>
      <c r="L4573" s="82"/>
      <c r="M4573" s="672"/>
      <c r="N4573" s="242"/>
      <c r="O4573" s="242"/>
      <c r="P4573" s="242"/>
      <c r="Q4573" s="242"/>
      <c r="R4573" s="539"/>
      <c r="S4573" s="540"/>
      <c r="T4573" s="543"/>
      <c r="U4573" s="673" t="b">
        <v>0</v>
      </c>
      <c r="Z4573" t="b">
        <v>0</v>
      </c>
      <c r="AA4573" t="b">
        <v>0</v>
      </c>
      <c r="AC4573" s="82"/>
      <c r="AD4573" t="str">
        <f t="shared" si="71"/>
        <v/>
      </c>
      <c r="AE4573" t="str">
        <f t="shared" si="72"/>
        <v/>
      </c>
    </row>
    <row r="4574">
      <c r="D4574" s="226"/>
      <c r="H4574" s="474"/>
      <c r="I4574" s="474"/>
      <c r="J4574" s="475"/>
      <c r="K4574" s="275"/>
      <c r="L4574" s="82"/>
      <c r="M4574" s="672"/>
      <c r="N4574" s="242"/>
      <c r="O4574" s="242"/>
      <c r="P4574" s="242"/>
      <c r="Q4574" s="242"/>
      <c r="R4574" s="539"/>
      <c r="S4574" s="540"/>
      <c r="T4574" s="543"/>
      <c r="U4574" s="673" t="b">
        <v>0</v>
      </c>
      <c r="Z4574" t="b">
        <v>0</v>
      </c>
      <c r="AA4574" t="b">
        <v>0</v>
      </c>
      <c r="AC4574" s="82"/>
      <c r="AD4574" t="str">
        <f t="shared" si="71"/>
        <v/>
      </c>
      <c r="AE4574" t="str">
        <f t="shared" si="72"/>
        <v/>
      </c>
    </row>
    <row r="4575">
      <c r="D4575" s="226"/>
      <c r="H4575" s="474"/>
      <c r="I4575" s="474"/>
      <c r="J4575" s="475"/>
      <c r="K4575" s="275"/>
      <c r="L4575" s="82"/>
      <c r="M4575" s="672"/>
      <c r="N4575" s="242"/>
      <c r="O4575" s="242"/>
      <c r="P4575" s="242"/>
      <c r="Q4575" s="242"/>
      <c r="R4575" s="539"/>
      <c r="S4575" s="540"/>
      <c r="T4575" s="543"/>
      <c r="U4575" s="673" t="b">
        <v>0</v>
      </c>
      <c r="Z4575" t="b">
        <v>0</v>
      </c>
      <c r="AA4575" t="b">
        <v>0</v>
      </c>
      <c r="AC4575" s="82"/>
      <c r="AD4575" t="str">
        <f t="shared" si="71"/>
        <v/>
      </c>
      <c r="AE4575" t="str">
        <f t="shared" si="72"/>
        <v/>
      </c>
    </row>
    <row r="4576">
      <c r="D4576" s="226"/>
      <c r="H4576" s="474"/>
      <c r="I4576" s="474"/>
      <c r="J4576" s="475"/>
      <c r="K4576" s="275"/>
      <c r="L4576" s="82"/>
      <c r="M4576" s="672"/>
      <c r="N4576" s="242"/>
      <c r="O4576" s="242"/>
      <c r="P4576" s="242"/>
      <c r="Q4576" s="242"/>
      <c r="R4576" s="539"/>
      <c r="S4576" s="540"/>
      <c r="T4576" s="543"/>
      <c r="U4576" s="673" t="b">
        <v>0</v>
      </c>
      <c r="Z4576" t="b">
        <v>0</v>
      </c>
      <c r="AA4576" t="b">
        <v>0</v>
      </c>
      <c r="AC4576" s="82"/>
      <c r="AD4576" t="str">
        <f t="shared" si="71"/>
        <v/>
      </c>
      <c r="AE4576" t="str">
        <f t="shared" si="72"/>
        <v/>
      </c>
    </row>
    <row r="4577">
      <c r="D4577" s="226"/>
      <c r="H4577" s="474"/>
      <c r="I4577" s="474"/>
      <c r="J4577" s="475"/>
      <c r="K4577" s="275"/>
      <c r="L4577" s="82"/>
      <c r="M4577" s="672"/>
      <c r="N4577" s="242"/>
      <c r="O4577" s="242"/>
      <c r="P4577" s="242"/>
      <c r="Q4577" s="242"/>
      <c r="R4577" s="539"/>
      <c r="S4577" s="540"/>
      <c r="T4577" s="543"/>
      <c r="U4577" s="673" t="b">
        <v>0</v>
      </c>
      <c r="Z4577" t="b">
        <v>0</v>
      </c>
      <c r="AA4577" t="b">
        <v>0</v>
      </c>
      <c r="AC4577" s="82"/>
      <c r="AD4577" t="str">
        <f t="shared" si="71"/>
        <v/>
      </c>
      <c r="AE4577" t="str">
        <f t="shared" si="72"/>
        <v/>
      </c>
    </row>
    <row r="4578">
      <c r="D4578" s="226"/>
      <c r="H4578" s="474"/>
      <c r="I4578" s="474"/>
      <c r="J4578" s="475"/>
      <c r="K4578" s="275"/>
      <c r="L4578" s="82"/>
      <c r="M4578" s="672"/>
      <c r="N4578" s="242"/>
      <c r="O4578" s="242"/>
      <c r="P4578" s="242"/>
      <c r="Q4578" s="242"/>
      <c r="R4578" s="539"/>
      <c r="S4578" s="540"/>
      <c r="T4578" s="543"/>
      <c r="U4578" s="673" t="b">
        <v>0</v>
      </c>
      <c r="Z4578" t="b">
        <v>0</v>
      </c>
      <c r="AA4578" t="b">
        <v>0</v>
      </c>
      <c r="AC4578" s="82"/>
      <c r="AD4578" t="str">
        <f t="shared" si="71"/>
        <v/>
      </c>
      <c r="AE4578" t="str">
        <f t="shared" si="72"/>
        <v/>
      </c>
    </row>
    <row r="4579">
      <c r="D4579" s="226"/>
      <c r="H4579" s="474"/>
      <c r="I4579" s="474"/>
      <c r="J4579" s="475"/>
      <c r="K4579" s="275"/>
      <c r="L4579" s="82"/>
      <c r="M4579" s="672"/>
      <c r="N4579" s="242"/>
      <c r="O4579" s="242"/>
      <c r="P4579" s="242"/>
      <c r="Q4579" s="242"/>
      <c r="R4579" s="539"/>
      <c r="S4579" s="540"/>
      <c r="T4579" s="543"/>
      <c r="U4579" s="673" t="b">
        <v>0</v>
      </c>
      <c r="Z4579" t="b">
        <v>0</v>
      </c>
      <c r="AA4579" t="b">
        <v>0</v>
      </c>
      <c r="AC4579" s="82"/>
      <c r="AD4579" t="str">
        <f t="shared" si="71"/>
        <v/>
      </c>
      <c r="AE4579" t="str">
        <f t="shared" si="72"/>
        <v/>
      </c>
    </row>
    <row r="4580">
      <c r="D4580" s="226"/>
      <c r="H4580" s="474"/>
      <c r="I4580" s="474"/>
      <c r="J4580" s="475"/>
      <c r="K4580" s="275"/>
      <c r="L4580" s="82"/>
      <c r="M4580" s="672"/>
      <c r="N4580" s="242"/>
      <c r="O4580" s="242"/>
      <c r="P4580" s="242"/>
      <c r="Q4580" s="242"/>
      <c r="R4580" s="539"/>
      <c r="S4580" s="540"/>
      <c r="T4580" s="543"/>
      <c r="U4580" s="673" t="b">
        <v>0</v>
      </c>
      <c r="Z4580" t="b">
        <v>0</v>
      </c>
      <c r="AA4580" t="b">
        <v>0</v>
      </c>
      <c r="AC4580" s="82"/>
      <c r="AD4580" t="str">
        <f t="shared" si="71"/>
        <v/>
      </c>
      <c r="AE4580" t="str">
        <f t="shared" si="72"/>
        <v/>
      </c>
    </row>
    <row r="4581">
      <c r="D4581" s="226"/>
      <c r="H4581" s="474"/>
      <c r="I4581" s="474"/>
      <c r="J4581" s="475"/>
      <c r="K4581" s="275"/>
      <c r="L4581" s="82"/>
      <c r="M4581" s="672"/>
      <c r="N4581" s="242"/>
      <c r="O4581" s="242"/>
      <c r="P4581" s="242"/>
      <c r="Q4581" s="242"/>
      <c r="R4581" s="539"/>
      <c r="S4581" s="540"/>
      <c r="T4581" s="543"/>
      <c r="U4581" s="673" t="b">
        <v>0</v>
      </c>
      <c r="Z4581" t="b">
        <v>0</v>
      </c>
      <c r="AA4581" t="b">
        <v>0</v>
      </c>
      <c r="AC4581" s="82"/>
      <c r="AD4581" t="str">
        <f t="shared" si="71"/>
        <v/>
      </c>
      <c r="AE4581" t="str">
        <f t="shared" si="72"/>
        <v/>
      </c>
    </row>
    <row r="4582">
      <c r="D4582" s="226"/>
      <c r="H4582" s="474"/>
      <c r="I4582" s="474"/>
      <c r="J4582" s="475"/>
      <c r="K4582" s="275"/>
      <c r="L4582" s="82"/>
      <c r="M4582" s="672"/>
      <c r="N4582" s="242"/>
      <c r="O4582" s="242"/>
      <c r="P4582" s="242"/>
      <c r="Q4582" s="242"/>
      <c r="R4582" s="539"/>
      <c r="S4582" s="540"/>
      <c r="T4582" s="543"/>
      <c r="U4582" s="673" t="b">
        <v>0</v>
      </c>
      <c r="Z4582" t="b">
        <v>0</v>
      </c>
      <c r="AA4582" t="b">
        <v>0</v>
      </c>
      <c r="AC4582" s="82"/>
      <c r="AD4582" t="str">
        <f t="shared" si="71"/>
        <v/>
      </c>
      <c r="AE4582" t="str">
        <f t="shared" si="72"/>
        <v/>
      </c>
    </row>
    <row r="4583">
      <c r="D4583" s="226"/>
      <c r="H4583" s="474"/>
      <c r="I4583" s="474"/>
      <c r="J4583" s="475"/>
      <c r="K4583" s="275"/>
      <c r="L4583" s="82"/>
      <c r="M4583" s="672"/>
      <c r="N4583" s="242"/>
      <c r="O4583" s="242"/>
      <c r="P4583" s="242"/>
      <c r="Q4583" s="242"/>
      <c r="R4583" s="539"/>
      <c r="S4583" s="540"/>
      <c r="T4583" s="543"/>
      <c r="U4583" s="673" t="b">
        <v>0</v>
      </c>
      <c r="Z4583" t="b">
        <v>0</v>
      </c>
      <c r="AA4583" t="b">
        <v>0</v>
      </c>
      <c r="AC4583" s="82"/>
      <c r="AD4583" t="str">
        <f t="shared" si="71"/>
        <v/>
      </c>
      <c r="AE4583" t="str">
        <f t="shared" si="72"/>
        <v/>
      </c>
    </row>
    <row r="4584">
      <c r="D4584" s="226"/>
      <c r="H4584" s="474"/>
      <c r="I4584" s="474"/>
      <c r="J4584" s="475"/>
      <c r="K4584" s="275"/>
      <c r="L4584" s="82"/>
      <c r="M4584" s="672"/>
      <c r="N4584" s="242"/>
      <c r="O4584" s="242"/>
      <c r="P4584" s="242"/>
      <c r="Q4584" s="242"/>
      <c r="R4584" s="539"/>
      <c r="S4584" s="540"/>
      <c r="T4584" s="543"/>
      <c r="U4584" s="673" t="b">
        <v>0</v>
      </c>
      <c r="Z4584" t="b">
        <v>0</v>
      </c>
      <c r="AA4584" t="b">
        <v>0</v>
      </c>
      <c r="AC4584" s="82"/>
      <c r="AD4584" t="str">
        <f t="shared" si="71"/>
        <v/>
      </c>
      <c r="AE4584" t="str">
        <f t="shared" si="72"/>
        <v/>
      </c>
    </row>
    <row r="4585">
      <c r="D4585" s="226"/>
      <c r="H4585" s="474"/>
      <c r="I4585" s="474"/>
      <c r="J4585" s="475"/>
      <c r="K4585" s="275"/>
      <c r="L4585" s="82"/>
      <c r="M4585" s="672"/>
      <c r="N4585" s="242"/>
      <c r="O4585" s="242"/>
      <c r="P4585" s="242"/>
      <c r="Q4585" s="242"/>
      <c r="R4585" s="539"/>
      <c r="S4585" s="540"/>
      <c r="T4585" s="543"/>
      <c r="U4585" s="673" t="b">
        <v>0</v>
      </c>
      <c r="Z4585" t="b">
        <v>0</v>
      </c>
      <c r="AA4585" t="b">
        <v>0</v>
      </c>
      <c r="AC4585" s="82"/>
      <c r="AD4585" t="str">
        <f t="shared" si="71"/>
        <v/>
      </c>
      <c r="AE4585" t="str">
        <f t="shared" si="72"/>
        <v/>
      </c>
    </row>
    <row r="4586">
      <c r="D4586" s="226"/>
      <c r="H4586" s="474"/>
      <c r="I4586" s="474"/>
      <c r="J4586" s="475"/>
      <c r="K4586" s="275"/>
      <c r="L4586" s="82"/>
      <c r="M4586" s="672"/>
      <c r="N4586" s="242"/>
      <c r="O4586" s="242"/>
      <c r="P4586" s="242"/>
      <c r="Q4586" s="242"/>
      <c r="R4586" s="539"/>
      <c r="S4586" s="540"/>
      <c r="T4586" s="543"/>
      <c r="U4586" s="673" t="b">
        <v>0</v>
      </c>
      <c r="Z4586" t="b">
        <v>0</v>
      </c>
      <c r="AA4586" t="b">
        <v>0</v>
      </c>
      <c r="AC4586" s="82"/>
      <c r="AD4586" t="str">
        <f t="shared" si="71"/>
        <v/>
      </c>
      <c r="AE4586" t="str">
        <f t="shared" si="72"/>
        <v/>
      </c>
    </row>
    <row r="4587">
      <c r="D4587" s="226"/>
      <c r="H4587" s="474"/>
      <c r="I4587" s="474"/>
      <c r="J4587" s="475"/>
      <c r="K4587" s="275"/>
      <c r="L4587" s="82"/>
      <c r="M4587" s="672"/>
      <c r="N4587" s="242"/>
      <c r="O4587" s="242"/>
      <c r="P4587" s="242"/>
      <c r="Q4587" s="242"/>
      <c r="R4587" s="539"/>
      <c r="S4587" s="540"/>
      <c r="T4587" s="543"/>
      <c r="U4587" s="673" t="b">
        <v>0</v>
      </c>
      <c r="Z4587" t="b">
        <v>0</v>
      </c>
      <c r="AA4587" t="b">
        <v>0</v>
      </c>
      <c r="AC4587" s="82"/>
      <c r="AD4587" t="str">
        <f t="shared" si="71"/>
        <v/>
      </c>
      <c r="AE4587" t="str">
        <f t="shared" si="72"/>
        <v/>
      </c>
    </row>
    <row r="4588">
      <c r="D4588" s="226"/>
      <c r="H4588" s="474"/>
      <c r="I4588" s="474"/>
      <c r="J4588" s="475"/>
      <c r="K4588" s="275"/>
      <c r="L4588" s="82"/>
      <c r="M4588" s="672"/>
      <c r="N4588" s="242"/>
      <c r="O4588" s="242"/>
      <c r="P4588" s="242"/>
      <c r="Q4588" s="242"/>
      <c r="R4588" s="539"/>
      <c r="S4588" s="540"/>
      <c r="T4588" s="543"/>
      <c r="U4588" s="673" t="b">
        <v>0</v>
      </c>
      <c r="Z4588" t="b">
        <v>0</v>
      </c>
      <c r="AA4588" t="b">
        <v>0</v>
      </c>
      <c r="AC4588" s="82"/>
      <c r="AD4588" t="str">
        <f t="shared" si="71"/>
        <v/>
      </c>
      <c r="AE4588" t="str">
        <f t="shared" si="72"/>
        <v/>
      </c>
    </row>
    <row r="4589">
      <c r="D4589" s="226"/>
      <c r="H4589" s="474"/>
      <c r="I4589" s="474"/>
      <c r="J4589" s="475"/>
      <c r="K4589" s="275"/>
      <c r="L4589" s="82"/>
      <c r="M4589" s="672"/>
      <c r="N4589" s="242"/>
      <c r="O4589" s="242"/>
      <c r="P4589" s="242"/>
      <c r="Q4589" s="242"/>
      <c r="R4589" s="539"/>
      <c r="S4589" s="540"/>
      <c r="T4589" s="543"/>
      <c r="U4589" s="673" t="b">
        <v>0</v>
      </c>
      <c r="Z4589" t="b">
        <v>0</v>
      </c>
      <c r="AA4589" t="b">
        <v>0</v>
      </c>
      <c r="AC4589" s="82"/>
      <c r="AD4589" t="str">
        <f t="shared" si="71"/>
        <v/>
      </c>
      <c r="AE4589" t="str">
        <f t="shared" si="72"/>
        <v/>
      </c>
    </row>
    <row r="4590">
      <c r="D4590" s="226"/>
      <c r="H4590" s="474"/>
      <c r="I4590" s="474"/>
      <c r="J4590" s="475"/>
      <c r="K4590" s="275"/>
      <c r="L4590" s="82"/>
      <c r="M4590" s="672"/>
      <c r="N4590" s="242"/>
      <c r="O4590" s="242"/>
      <c r="P4590" s="242"/>
      <c r="Q4590" s="242"/>
      <c r="R4590" s="539"/>
      <c r="S4590" s="540"/>
      <c r="T4590" s="543"/>
      <c r="U4590" s="673" t="b">
        <v>0</v>
      </c>
      <c r="Z4590" t="b">
        <v>0</v>
      </c>
      <c r="AA4590" t="b">
        <v>0</v>
      </c>
      <c r="AC4590" s="82"/>
      <c r="AD4590" t="str">
        <f t="shared" si="71"/>
        <v/>
      </c>
      <c r="AE4590" t="str">
        <f t="shared" si="72"/>
        <v/>
      </c>
    </row>
    <row r="4591">
      <c r="D4591" s="226"/>
      <c r="H4591" s="474"/>
      <c r="I4591" s="474"/>
      <c r="J4591" s="475"/>
      <c r="K4591" s="275"/>
      <c r="L4591" s="82"/>
      <c r="M4591" s="672"/>
      <c r="N4591" s="242"/>
      <c r="O4591" s="242"/>
      <c r="P4591" s="242"/>
      <c r="Q4591" s="242"/>
      <c r="R4591" s="539"/>
      <c r="S4591" s="540"/>
      <c r="T4591" s="543"/>
      <c r="U4591" s="673" t="b">
        <v>0</v>
      </c>
      <c r="Z4591" t="b">
        <v>0</v>
      </c>
      <c r="AA4591" t="b">
        <v>0</v>
      </c>
      <c r="AC4591" s="82"/>
      <c r="AD4591" t="str">
        <f t="shared" si="71"/>
        <v/>
      </c>
      <c r="AE4591" t="str">
        <f t="shared" si="72"/>
        <v/>
      </c>
    </row>
    <row r="4592">
      <c r="D4592" s="226"/>
      <c r="H4592" s="474"/>
      <c r="I4592" s="474"/>
      <c r="J4592" s="475"/>
      <c r="K4592" s="275"/>
      <c r="L4592" s="82"/>
      <c r="M4592" s="672"/>
      <c r="N4592" s="242"/>
      <c r="O4592" s="242"/>
      <c r="P4592" s="242"/>
      <c r="Q4592" s="242"/>
      <c r="R4592" s="539"/>
      <c r="S4592" s="540"/>
      <c r="T4592" s="543"/>
      <c r="U4592" s="673" t="b">
        <v>0</v>
      </c>
      <c r="Z4592" t="b">
        <v>0</v>
      </c>
      <c r="AA4592" t="b">
        <v>0</v>
      </c>
      <c r="AC4592" s="82"/>
      <c r="AD4592" t="str">
        <f t="shared" si="71"/>
        <v/>
      </c>
      <c r="AE4592" t="str">
        <f t="shared" si="72"/>
        <v/>
      </c>
    </row>
    <row r="4593">
      <c r="D4593" s="226"/>
      <c r="H4593" s="474"/>
      <c r="I4593" s="474"/>
      <c r="J4593" s="475"/>
      <c r="K4593" s="275"/>
      <c r="L4593" s="82"/>
      <c r="M4593" s="672"/>
      <c r="N4593" s="242"/>
      <c r="O4593" s="242"/>
      <c r="P4593" s="242"/>
      <c r="Q4593" s="242"/>
      <c r="R4593" s="539"/>
      <c r="S4593" s="540"/>
      <c r="T4593" s="543"/>
      <c r="U4593" s="673" t="b">
        <v>0</v>
      </c>
      <c r="Z4593" t="b">
        <v>0</v>
      </c>
      <c r="AA4593" t="b">
        <v>0</v>
      </c>
      <c r="AC4593" s="82"/>
      <c r="AD4593" t="str">
        <f t="shared" si="71"/>
        <v/>
      </c>
      <c r="AE4593" t="str">
        <f t="shared" si="72"/>
        <v/>
      </c>
    </row>
    <row r="4594">
      <c r="D4594" s="226"/>
      <c r="H4594" s="474"/>
      <c r="I4594" s="474"/>
      <c r="J4594" s="475"/>
      <c r="K4594" s="275"/>
      <c r="L4594" s="82"/>
      <c r="M4594" s="672"/>
      <c r="N4594" s="242"/>
      <c r="O4594" s="242"/>
      <c r="P4594" s="242"/>
      <c r="Q4594" s="242"/>
      <c r="R4594" s="539"/>
      <c r="S4594" s="540"/>
      <c r="T4594" s="543"/>
      <c r="U4594" s="673" t="b">
        <v>0</v>
      </c>
      <c r="Z4594" t="b">
        <v>0</v>
      </c>
      <c r="AA4594" t="b">
        <v>0</v>
      </c>
      <c r="AC4594" s="82"/>
      <c r="AD4594" t="str">
        <f t="shared" si="71"/>
        <v/>
      </c>
      <c r="AE4594" t="str">
        <f t="shared" si="72"/>
        <v/>
      </c>
    </row>
    <row r="4595">
      <c r="D4595" s="226"/>
      <c r="H4595" s="474"/>
      <c r="I4595" s="474"/>
      <c r="J4595" s="475"/>
      <c r="K4595" s="275"/>
      <c r="L4595" s="82"/>
      <c r="M4595" s="672"/>
      <c r="N4595" s="242"/>
      <c r="O4595" s="242"/>
      <c r="P4595" s="242"/>
      <c r="Q4595" s="242"/>
      <c r="R4595" s="539"/>
      <c r="S4595" s="540"/>
      <c r="T4595" s="543"/>
      <c r="U4595" s="673" t="b">
        <v>0</v>
      </c>
      <c r="Z4595" t="b">
        <v>0</v>
      </c>
      <c r="AA4595" t="b">
        <v>0</v>
      </c>
      <c r="AC4595" s="82"/>
      <c r="AD4595" t="str">
        <f t="shared" si="71"/>
        <v/>
      </c>
      <c r="AE4595" t="str">
        <f t="shared" si="72"/>
        <v/>
      </c>
    </row>
    <row r="4596">
      <c r="D4596" s="226"/>
      <c r="H4596" s="474"/>
      <c r="I4596" s="474"/>
      <c r="J4596" s="475"/>
      <c r="K4596" s="275"/>
      <c r="L4596" s="82"/>
      <c r="M4596" s="672"/>
      <c r="N4596" s="242"/>
      <c r="O4596" s="242"/>
      <c r="P4596" s="242"/>
      <c r="Q4596" s="242"/>
      <c r="R4596" s="539"/>
      <c r="S4596" s="540"/>
      <c r="T4596" s="543"/>
      <c r="U4596" s="673" t="b">
        <v>0</v>
      </c>
      <c r="Z4596" t="b">
        <v>0</v>
      </c>
      <c r="AA4596" t="b">
        <v>0</v>
      </c>
      <c r="AC4596" s="82"/>
      <c r="AD4596" t="str">
        <f t="shared" si="71"/>
        <v/>
      </c>
      <c r="AE4596" t="str">
        <f t="shared" si="72"/>
        <v/>
      </c>
    </row>
    <row r="4597">
      <c r="D4597" s="226"/>
      <c r="H4597" s="474"/>
      <c r="I4597" s="474"/>
      <c r="J4597" s="475"/>
      <c r="K4597" s="275"/>
      <c r="L4597" s="82"/>
      <c r="M4597" s="672"/>
      <c r="N4597" s="242"/>
      <c r="O4597" s="242"/>
      <c r="P4597" s="242"/>
      <c r="Q4597" s="242"/>
      <c r="R4597" s="539"/>
      <c r="S4597" s="540"/>
      <c r="T4597" s="543"/>
      <c r="U4597" s="673" t="b">
        <v>0</v>
      </c>
      <c r="Z4597" t="b">
        <v>0</v>
      </c>
      <c r="AA4597" t="b">
        <v>0</v>
      </c>
      <c r="AC4597" s="82"/>
      <c r="AD4597" t="str">
        <f t="shared" si="71"/>
        <v/>
      </c>
      <c r="AE4597" t="str">
        <f t="shared" si="72"/>
        <v/>
      </c>
    </row>
    <row r="4598">
      <c r="D4598" s="226"/>
      <c r="H4598" s="474"/>
      <c r="I4598" s="474"/>
      <c r="J4598" s="475"/>
      <c r="K4598" s="275"/>
      <c r="L4598" s="82"/>
      <c r="M4598" s="672"/>
      <c r="N4598" s="242"/>
      <c r="O4598" s="242"/>
      <c r="P4598" s="242"/>
      <c r="Q4598" s="242"/>
      <c r="R4598" s="539"/>
      <c r="S4598" s="540"/>
      <c r="T4598" s="543"/>
      <c r="U4598" s="673" t="b">
        <v>0</v>
      </c>
      <c r="Z4598" t="b">
        <v>0</v>
      </c>
      <c r="AA4598" t="b">
        <v>0</v>
      </c>
      <c r="AC4598" s="82"/>
      <c r="AD4598" t="str">
        <f t="shared" si="71"/>
        <v/>
      </c>
      <c r="AE4598" t="str">
        <f t="shared" si="72"/>
        <v/>
      </c>
    </row>
    <row r="4599">
      <c r="D4599" s="226"/>
      <c r="H4599" s="474"/>
      <c r="I4599" s="474"/>
      <c r="J4599" s="475"/>
      <c r="K4599" s="275"/>
      <c r="L4599" s="82"/>
      <c r="M4599" s="672"/>
      <c r="N4599" s="242"/>
      <c r="O4599" s="242"/>
      <c r="P4599" s="242"/>
      <c r="Q4599" s="242"/>
      <c r="R4599" s="539"/>
      <c r="S4599" s="540"/>
      <c r="T4599" s="543"/>
      <c r="U4599" s="673" t="b">
        <v>0</v>
      </c>
      <c r="Z4599" t="b">
        <v>0</v>
      </c>
      <c r="AA4599" t="b">
        <v>0</v>
      </c>
      <c r="AC4599" s="82"/>
      <c r="AD4599" t="str">
        <f t="shared" si="71"/>
        <v/>
      </c>
      <c r="AE4599" t="str">
        <f t="shared" si="72"/>
        <v/>
      </c>
    </row>
    <row r="4600">
      <c r="D4600" s="226"/>
      <c r="H4600" s="474"/>
      <c r="I4600" s="474"/>
      <c r="J4600" s="475"/>
      <c r="K4600" s="275"/>
      <c r="L4600" s="82"/>
      <c r="M4600" s="672"/>
      <c r="N4600" s="242"/>
      <c r="O4600" s="242"/>
      <c r="P4600" s="242"/>
      <c r="Q4600" s="242"/>
      <c r="R4600" s="539"/>
      <c r="S4600" s="540"/>
      <c r="T4600" s="543"/>
      <c r="U4600" s="673" t="b">
        <v>0</v>
      </c>
      <c r="Z4600" t="b">
        <v>0</v>
      </c>
      <c r="AA4600" t="b">
        <v>0</v>
      </c>
      <c r="AC4600" s="82"/>
      <c r="AD4600" t="str">
        <f t="shared" si="71"/>
        <v/>
      </c>
      <c r="AE4600" t="str">
        <f t="shared" si="72"/>
        <v/>
      </c>
    </row>
    <row r="4601">
      <c r="D4601" s="226"/>
      <c r="H4601" s="474"/>
      <c r="I4601" s="474"/>
      <c r="J4601" s="475"/>
      <c r="K4601" s="275"/>
      <c r="L4601" s="82"/>
      <c r="M4601" s="672"/>
      <c r="N4601" s="242"/>
      <c r="O4601" s="242"/>
      <c r="P4601" s="242"/>
      <c r="Q4601" s="242"/>
      <c r="R4601" s="539"/>
      <c r="S4601" s="540"/>
      <c r="T4601" s="543"/>
      <c r="U4601" s="673" t="b">
        <v>0</v>
      </c>
      <c r="Z4601" t="b">
        <v>0</v>
      </c>
      <c r="AA4601" t="b">
        <v>0</v>
      </c>
      <c r="AC4601" s="82"/>
      <c r="AD4601" t="str">
        <f t="shared" si="71"/>
        <v/>
      </c>
      <c r="AE4601" t="str">
        <f t="shared" si="72"/>
        <v/>
      </c>
    </row>
    <row r="4602">
      <c r="D4602" s="226"/>
      <c r="H4602" s="474"/>
      <c r="I4602" s="474"/>
      <c r="J4602" s="475"/>
      <c r="K4602" s="275"/>
      <c r="L4602" s="82"/>
      <c r="M4602" s="672"/>
      <c r="N4602" s="242"/>
      <c r="O4602" s="242"/>
      <c r="P4602" s="242"/>
      <c r="Q4602" s="242"/>
      <c r="R4602" s="539"/>
      <c r="S4602" s="540"/>
      <c r="T4602" s="543"/>
      <c r="U4602" s="673" t="b">
        <v>0</v>
      </c>
      <c r="Z4602" t="b">
        <v>0</v>
      </c>
      <c r="AA4602" t="b">
        <v>0</v>
      </c>
      <c r="AC4602" s="82"/>
      <c r="AD4602" t="str">
        <f t="shared" si="71"/>
        <v/>
      </c>
      <c r="AE4602" t="str">
        <f t="shared" si="72"/>
        <v/>
      </c>
    </row>
    <row r="4603">
      <c r="D4603" s="226"/>
      <c r="H4603" s="474"/>
      <c r="I4603" s="474"/>
      <c r="J4603" s="475"/>
      <c r="K4603" s="275"/>
      <c r="L4603" s="82"/>
      <c r="M4603" s="672"/>
      <c r="N4603" s="242"/>
      <c r="O4603" s="242"/>
      <c r="P4603" s="242"/>
      <c r="Q4603" s="242"/>
      <c r="R4603" s="539"/>
      <c r="S4603" s="540"/>
      <c r="T4603" s="543"/>
      <c r="U4603" s="673" t="b">
        <v>0</v>
      </c>
      <c r="Z4603" t="b">
        <v>0</v>
      </c>
      <c r="AA4603" t="b">
        <v>0</v>
      </c>
      <c r="AC4603" s="82"/>
      <c r="AD4603" t="str">
        <f t="shared" si="71"/>
        <v/>
      </c>
      <c r="AE4603" t="str">
        <f t="shared" si="72"/>
        <v/>
      </c>
    </row>
    <row r="4604">
      <c r="D4604" s="226"/>
      <c r="H4604" s="474"/>
      <c r="I4604" s="474"/>
      <c r="J4604" s="475"/>
      <c r="K4604" s="275"/>
      <c r="L4604" s="82"/>
      <c r="M4604" s="672"/>
      <c r="N4604" s="242"/>
      <c r="O4604" s="242"/>
      <c r="P4604" s="242"/>
      <c r="Q4604" s="242"/>
      <c r="R4604" s="539"/>
      <c r="S4604" s="540"/>
      <c r="T4604" s="543"/>
      <c r="U4604" s="673" t="b">
        <v>0</v>
      </c>
      <c r="Z4604" t="b">
        <v>0</v>
      </c>
      <c r="AA4604" t="b">
        <v>0</v>
      </c>
      <c r="AC4604" s="82"/>
      <c r="AD4604" t="str">
        <f t="shared" si="71"/>
        <v/>
      </c>
      <c r="AE4604" t="str">
        <f t="shared" si="72"/>
        <v/>
      </c>
    </row>
    <row r="4605">
      <c r="D4605" s="226"/>
      <c r="H4605" s="474"/>
      <c r="I4605" s="474"/>
      <c r="J4605" s="475"/>
      <c r="K4605" s="275"/>
      <c r="L4605" s="82"/>
      <c r="M4605" s="672"/>
      <c r="N4605" s="242"/>
      <c r="O4605" s="242"/>
      <c r="P4605" s="242"/>
      <c r="Q4605" s="242"/>
      <c r="R4605" s="539"/>
      <c r="S4605" s="540"/>
      <c r="T4605" s="543"/>
      <c r="U4605" s="673" t="b">
        <v>0</v>
      </c>
      <c r="Z4605" t="b">
        <v>0</v>
      </c>
      <c r="AA4605" t="b">
        <v>0</v>
      </c>
      <c r="AC4605" s="82"/>
      <c r="AD4605" t="str">
        <f t="shared" si="71"/>
        <v/>
      </c>
      <c r="AE4605" t="str">
        <f t="shared" si="72"/>
        <v/>
      </c>
    </row>
    <row r="4606">
      <c r="D4606" s="226"/>
      <c r="H4606" s="474"/>
      <c r="I4606" s="474"/>
      <c r="J4606" s="475"/>
      <c r="K4606" s="275"/>
      <c r="L4606" s="82"/>
      <c r="M4606" s="672"/>
      <c r="N4606" s="242"/>
      <c r="O4606" s="242"/>
      <c r="P4606" s="242"/>
      <c r="Q4606" s="242"/>
      <c r="R4606" s="539"/>
      <c r="S4606" s="540"/>
      <c r="T4606" s="543"/>
      <c r="U4606" s="673" t="b">
        <v>0</v>
      </c>
      <c r="Z4606" t="b">
        <v>0</v>
      </c>
      <c r="AA4606" t="b">
        <v>0</v>
      </c>
      <c r="AC4606" s="82"/>
      <c r="AD4606" t="str">
        <f t="shared" si="71"/>
        <v/>
      </c>
      <c r="AE4606" t="str">
        <f t="shared" si="72"/>
        <v/>
      </c>
    </row>
    <row r="4607">
      <c r="D4607" s="226"/>
      <c r="H4607" s="474"/>
      <c r="I4607" s="474"/>
      <c r="J4607" s="475"/>
      <c r="K4607" s="275"/>
      <c r="L4607" s="82"/>
      <c r="M4607" s="672"/>
      <c r="N4607" s="242"/>
      <c r="O4607" s="242"/>
      <c r="P4607" s="242"/>
      <c r="Q4607" s="242"/>
      <c r="R4607" s="539"/>
      <c r="S4607" s="540"/>
      <c r="T4607" s="543"/>
      <c r="U4607" s="673" t="b">
        <v>0</v>
      </c>
      <c r="Z4607" t="b">
        <v>0</v>
      </c>
      <c r="AA4607" t="b">
        <v>0</v>
      </c>
      <c r="AC4607" s="82"/>
      <c r="AD4607" t="str">
        <f t="shared" si="71"/>
        <v/>
      </c>
      <c r="AE4607" t="str">
        <f t="shared" si="72"/>
        <v/>
      </c>
    </row>
    <row r="4608">
      <c r="D4608" s="226"/>
      <c r="H4608" s="474"/>
      <c r="I4608" s="474"/>
      <c r="J4608" s="475"/>
      <c r="K4608" s="275"/>
      <c r="L4608" s="82"/>
      <c r="M4608" s="672"/>
      <c r="N4608" s="242"/>
      <c r="O4608" s="242"/>
      <c r="P4608" s="242"/>
      <c r="Q4608" s="242"/>
      <c r="R4608" s="539"/>
      <c r="S4608" s="540"/>
      <c r="T4608" s="543"/>
      <c r="U4608" s="673" t="b">
        <v>0</v>
      </c>
      <c r="Z4608" t="b">
        <v>0</v>
      </c>
      <c r="AA4608" t="b">
        <v>0</v>
      </c>
      <c r="AC4608" s="82"/>
      <c r="AD4608" t="str">
        <f t="shared" si="71"/>
        <v/>
      </c>
      <c r="AE4608" t="str">
        <f t="shared" si="72"/>
        <v/>
      </c>
    </row>
    <row r="4609">
      <c r="D4609" s="226"/>
      <c r="H4609" s="474"/>
      <c r="I4609" s="474"/>
      <c r="J4609" s="475"/>
      <c r="K4609" s="275"/>
      <c r="L4609" s="82"/>
      <c r="M4609" s="672"/>
      <c r="N4609" s="242"/>
      <c r="O4609" s="242"/>
      <c r="P4609" s="242"/>
      <c r="Q4609" s="242"/>
      <c r="R4609" s="539"/>
      <c r="S4609" s="540"/>
      <c r="T4609" s="543"/>
      <c r="U4609" s="673" t="b">
        <v>0</v>
      </c>
      <c r="Z4609" t="b">
        <v>0</v>
      </c>
      <c r="AA4609" t="b">
        <v>0</v>
      </c>
      <c r="AC4609" s="82"/>
      <c r="AD4609" t="str">
        <f t="shared" si="71"/>
        <v/>
      </c>
      <c r="AE4609" t="str">
        <f t="shared" si="72"/>
        <v/>
      </c>
    </row>
    <row r="4610">
      <c r="D4610" s="226"/>
      <c r="H4610" s="474"/>
      <c r="I4610" s="474"/>
      <c r="J4610" s="475"/>
      <c r="K4610" s="275"/>
      <c r="L4610" s="82"/>
      <c r="M4610" s="672"/>
      <c r="N4610" s="242"/>
      <c r="O4610" s="242"/>
      <c r="P4610" s="242"/>
      <c r="Q4610" s="242"/>
      <c r="R4610" s="539"/>
      <c r="S4610" s="540"/>
      <c r="T4610" s="543"/>
      <c r="U4610" s="673" t="b">
        <v>0</v>
      </c>
      <c r="Z4610" t="b">
        <v>0</v>
      </c>
      <c r="AA4610" t="b">
        <v>0</v>
      </c>
      <c r="AC4610" s="82"/>
      <c r="AD4610" t="str">
        <f t="shared" si="71"/>
        <v/>
      </c>
      <c r="AE4610" t="str">
        <f t="shared" si="72"/>
        <v/>
      </c>
    </row>
    <row r="4611">
      <c r="D4611" s="226"/>
      <c r="H4611" s="474"/>
      <c r="I4611" s="474"/>
      <c r="J4611" s="475"/>
      <c r="K4611" s="275"/>
      <c r="L4611" s="82"/>
      <c r="M4611" s="672"/>
      <c r="N4611" s="242"/>
      <c r="O4611" s="242"/>
      <c r="P4611" s="242"/>
      <c r="Q4611" s="242"/>
      <c r="R4611" s="539"/>
      <c r="S4611" s="540"/>
      <c r="T4611" s="543"/>
      <c r="U4611" s="673" t="b">
        <v>0</v>
      </c>
      <c r="Z4611" t="b">
        <v>0</v>
      </c>
      <c r="AA4611" t="b">
        <v>0</v>
      </c>
      <c r="AC4611" s="82"/>
      <c r="AD4611" t="str">
        <f t="shared" si="71"/>
        <v/>
      </c>
      <c r="AE4611" t="str">
        <f t="shared" si="72"/>
        <v/>
      </c>
    </row>
    <row r="4612">
      <c r="D4612" s="226"/>
      <c r="H4612" s="474"/>
      <c r="I4612" s="474"/>
      <c r="J4612" s="475"/>
      <c r="K4612" s="275"/>
      <c r="L4612" s="82"/>
      <c r="M4612" s="672"/>
      <c r="N4612" s="242"/>
      <c r="O4612" s="242"/>
      <c r="P4612" s="242"/>
      <c r="Q4612" s="242"/>
      <c r="R4612" s="539"/>
      <c r="S4612" s="540"/>
      <c r="T4612" s="543"/>
      <c r="U4612" s="673" t="b">
        <v>0</v>
      </c>
      <c r="Z4612" t="b">
        <v>0</v>
      </c>
      <c r="AA4612" t="b">
        <v>0</v>
      </c>
      <c r="AC4612" s="82"/>
      <c r="AD4612" t="str">
        <f t="shared" si="71"/>
        <v/>
      </c>
      <c r="AE4612" t="str">
        <f t="shared" si="72"/>
        <v/>
      </c>
    </row>
    <row r="4613">
      <c r="D4613" s="226"/>
      <c r="H4613" s="474"/>
      <c r="I4613" s="474"/>
      <c r="J4613" s="475"/>
      <c r="K4613" s="275"/>
      <c r="L4613" s="82"/>
      <c r="M4613" s="672"/>
      <c r="N4613" s="242"/>
      <c r="O4613" s="242"/>
      <c r="P4613" s="242"/>
      <c r="Q4613" s="242"/>
      <c r="R4613" s="539"/>
      <c r="S4613" s="540"/>
      <c r="T4613" s="543"/>
      <c r="U4613" s="673" t="b">
        <v>0</v>
      </c>
      <c r="Z4613" t="b">
        <v>0</v>
      </c>
      <c r="AA4613" t="b">
        <v>0</v>
      </c>
      <c r="AC4613" s="82"/>
      <c r="AD4613" t="str">
        <f t="shared" si="71"/>
        <v/>
      </c>
      <c r="AE4613" t="str">
        <f t="shared" si="72"/>
        <v/>
      </c>
    </row>
    <row r="4614">
      <c r="D4614" s="226"/>
      <c r="H4614" s="474"/>
      <c r="I4614" s="474"/>
      <c r="J4614" s="475"/>
      <c r="K4614" s="275"/>
      <c r="L4614" s="82"/>
      <c r="M4614" s="672"/>
      <c r="N4614" s="242"/>
      <c r="O4614" s="242"/>
      <c r="P4614" s="242"/>
      <c r="Q4614" s="242"/>
      <c r="R4614" s="539"/>
      <c r="S4614" s="540"/>
      <c r="T4614" s="543"/>
      <c r="U4614" s="673" t="b">
        <v>0</v>
      </c>
      <c r="Z4614" t="b">
        <v>0</v>
      </c>
      <c r="AA4614" t="b">
        <v>0</v>
      </c>
      <c r="AC4614" s="82"/>
      <c r="AD4614" t="str">
        <f t="shared" si="71"/>
        <v/>
      </c>
      <c r="AE4614" t="str">
        <f t="shared" si="72"/>
        <v/>
      </c>
    </row>
    <row r="4615">
      <c r="D4615" s="226"/>
      <c r="H4615" s="474"/>
      <c r="I4615" s="474"/>
      <c r="J4615" s="475"/>
      <c r="K4615" s="275"/>
      <c r="L4615" s="82"/>
      <c r="M4615" s="672"/>
      <c r="N4615" s="242"/>
      <c r="O4615" s="242"/>
      <c r="P4615" s="242"/>
      <c r="Q4615" s="242"/>
      <c r="R4615" s="539"/>
      <c r="S4615" s="540"/>
      <c r="T4615" s="543"/>
      <c r="U4615" s="673" t="b">
        <v>0</v>
      </c>
      <c r="Z4615" t="b">
        <v>0</v>
      </c>
      <c r="AA4615" t="b">
        <v>0</v>
      </c>
      <c r="AC4615" s="82"/>
      <c r="AD4615" t="str">
        <f t="shared" si="71"/>
        <v/>
      </c>
      <c r="AE4615" t="str">
        <f t="shared" si="72"/>
        <v/>
      </c>
    </row>
    <row r="4616">
      <c r="D4616" s="226"/>
      <c r="H4616" s="474"/>
      <c r="I4616" s="474"/>
      <c r="J4616" s="475"/>
      <c r="K4616" s="275"/>
      <c r="L4616" s="82"/>
      <c r="M4616" s="672"/>
      <c r="N4616" s="242"/>
      <c r="O4616" s="242"/>
      <c r="P4616" s="242"/>
      <c r="Q4616" s="242"/>
      <c r="R4616" s="539"/>
      <c r="S4616" s="540"/>
      <c r="T4616" s="543"/>
      <c r="U4616" s="673" t="b">
        <v>0</v>
      </c>
      <c r="Z4616" t="b">
        <v>0</v>
      </c>
      <c r="AA4616" t="b">
        <v>0</v>
      </c>
      <c r="AC4616" s="82"/>
      <c r="AD4616" t="str">
        <f t="shared" si="71"/>
        <v/>
      </c>
      <c r="AE4616" t="str">
        <f t="shared" si="72"/>
        <v/>
      </c>
    </row>
    <row r="4617">
      <c r="D4617" s="226"/>
      <c r="H4617" s="474"/>
      <c r="I4617" s="474"/>
      <c r="J4617" s="475"/>
      <c r="K4617" s="275"/>
      <c r="L4617" s="82"/>
      <c r="M4617" s="672"/>
      <c r="N4617" s="242"/>
      <c r="O4617" s="242"/>
      <c r="P4617" s="242"/>
      <c r="Q4617" s="242"/>
      <c r="R4617" s="539"/>
      <c r="S4617" s="540"/>
      <c r="T4617" s="543"/>
      <c r="U4617" s="673" t="b">
        <v>0</v>
      </c>
      <c r="Z4617" t="b">
        <v>0</v>
      </c>
      <c r="AA4617" t="b">
        <v>0</v>
      </c>
      <c r="AC4617" s="82"/>
      <c r="AD4617" t="str">
        <f t="shared" si="71"/>
        <v/>
      </c>
      <c r="AE4617" t="str">
        <f t="shared" si="72"/>
        <v/>
      </c>
    </row>
    <row r="4618">
      <c r="D4618" s="226"/>
      <c r="H4618" s="474"/>
      <c r="I4618" s="474"/>
      <c r="J4618" s="475"/>
      <c r="K4618" s="275"/>
      <c r="L4618" s="82"/>
      <c r="M4618" s="672"/>
      <c r="N4618" s="242"/>
      <c r="O4618" s="242"/>
      <c r="P4618" s="242"/>
      <c r="Q4618" s="242"/>
      <c r="R4618" s="539"/>
      <c r="S4618" s="540"/>
      <c r="T4618" s="543"/>
      <c r="U4618" s="673" t="b">
        <v>0</v>
      </c>
      <c r="Z4618" t="b">
        <v>0</v>
      </c>
      <c r="AA4618" t="b">
        <v>0</v>
      </c>
      <c r="AC4618" s="82"/>
      <c r="AD4618" t="str">
        <f t="shared" si="71"/>
        <v/>
      </c>
      <c r="AE4618" t="str">
        <f t="shared" si="72"/>
        <v/>
      </c>
    </row>
    <row r="4619">
      <c r="D4619" s="226"/>
      <c r="H4619" s="474"/>
      <c r="I4619" s="474"/>
      <c r="J4619" s="475"/>
      <c r="K4619" s="275"/>
      <c r="L4619" s="82"/>
      <c r="M4619" s="672"/>
      <c r="N4619" s="242"/>
      <c r="O4619" s="242"/>
      <c r="P4619" s="242"/>
      <c r="Q4619" s="242"/>
      <c r="R4619" s="539"/>
      <c r="S4619" s="540"/>
      <c r="T4619" s="543"/>
      <c r="U4619" s="673" t="b">
        <v>0</v>
      </c>
      <c r="Z4619" t="b">
        <v>0</v>
      </c>
      <c r="AA4619" t="b">
        <v>0</v>
      </c>
      <c r="AC4619" s="82"/>
      <c r="AD4619" t="str">
        <f t="shared" si="71"/>
        <v/>
      </c>
      <c r="AE4619" t="str">
        <f t="shared" si="72"/>
        <v/>
      </c>
    </row>
    <row r="4620">
      <c r="D4620" s="226"/>
      <c r="H4620" s="474"/>
      <c r="I4620" s="474"/>
      <c r="J4620" s="475"/>
      <c r="K4620" s="275"/>
      <c r="L4620" s="82"/>
      <c r="M4620" s="672"/>
      <c r="N4620" s="242"/>
      <c r="O4620" s="242"/>
      <c r="P4620" s="242"/>
      <c r="Q4620" s="242"/>
      <c r="R4620" s="539"/>
      <c r="S4620" s="540"/>
      <c r="T4620" s="543"/>
      <c r="U4620" s="673" t="b">
        <v>0</v>
      </c>
      <c r="Z4620" t="b">
        <v>0</v>
      </c>
      <c r="AA4620" t="b">
        <v>0</v>
      </c>
      <c r="AC4620" s="82"/>
      <c r="AD4620" t="str">
        <f t="shared" si="71"/>
        <v/>
      </c>
      <c r="AE4620" t="str">
        <f t="shared" si="72"/>
        <v/>
      </c>
    </row>
    <row r="4621">
      <c r="D4621" s="226"/>
      <c r="H4621" s="474"/>
      <c r="I4621" s="474"/>
      <c r="J4621" s="475"/>
      <c r="K4621" s="275"/>
      <c r="L4621" s="82"/>
      <c r="M4621" s="672"/>
      <c r="N4621" s="242"/>
      <c r="O4621" s="242"/>
      <c r="P4621" s="242"/>
      <c r="Q4621" s="242"/>
      <c r="R4621" s="539"/>
      <c r="S4621" s="540"/>
      <c r="T4621" s="543"/>
      <c r="U4621" s="673" t="b">
        <v>0</v>
      </c>
      <c r="Z4621" t="b">
        <v>0</v>
      </c>
      <c r="AA4621" t="b">
        <v>0</v>
      </c>
      <c r="AC4621" s="82"/>
      <c r="AD4621" t="str">
        <f t="shared" si="71"/>
        <v/>
      </c>
      <c r="AE4621" t="str">
        <f t="shared" si="72"/>
        <v/>
      </c>
    </row>
    <row r="4622">
      <c r="D4622" s="226"/>
      <c r="H4622" s="474"/>
      <c r="I4622" s="474"/>
      <c r="J4622" s="475"/>
      <c r="K4622" s="275"/>
      <c r="L4622" s="82"/>
      <c r="M4622" s="672"/>
      <c r="N4622" s="242"/>
      <c r="O4622" s="242"/>
      <c r="P4622" s="242"/>
      <c r="Q4622" s="242"/>
      <c r="R4622" s="539"/>
      <c r="S4622" s="540"/>
      <c r="T4622" s="543"/>
      <c r="U4622" s="673" t="b">
        <v>0</v>
      </c>
      <c r="Z4622" t="b">
        <v>0</v>
      </c>
      <c r="AA4622" t="b">
        <v>0</v>
      </c>
      <c r="AC4622" s="82"/>
      <c r="AD4622" t="str">
        <f t="shared" si="71"/>
        <v/>
      </c>
      <c r="AE4622" t="str">
        <f t="shared" si="72"/>
        <v/>
      </c>
    </row>
    <row r="4623">
      <c r="D4623" s="226"/>
      <c r="H4623" s="474"/>
      <c r="I4623" s="474"/>
      <c r="J4623" s="475"/>
      <c r="K4623" s="275"/>
      <c r="L4623" s="82"/>
      <c r="M4623" s="672"/>
      <c r="N4623" s="242"/>
      <c r="O4623" s="242"/>
      <c r="P4623" s="242"/>
      <c r="Q4623" s="242"/>
      <c r="R4623" s="539"/>
      <c r="S4623" s="540"/>
      <c r="T4623" s="543"/>
      <c r="U4623" s="673" t="b">
        <v>0</v>
      </c>
      <c r="Z4623" t="b">
        <v>0</v>
      </c>
      <c r="AA4623" t="b">
        <v>0</v>
      </c>
      <c r="AC4623" s="82"/>
      <c r="AD4623" t="str">
        <f t="shared" si="71"/>
        <v/>
      </c>
      <c r="AE4623" t="str">
        <f t="shared" si="72"/>
        <v/>
      </c>
    </row>
    <row r="4624">
      <c r="D4624" s="226"/>
      <c r="H4624" s="474"/>
      <c r="I4624" s="474"/>
      <c r="J4624" s="475"/>
      <c r="K4624" s="275"/>
      <c r="L4624" s="82"/>
      <c r="M4624" s="672"/>
      <c r="N4624" s="242"/>
      <c r="O4624" s="242"/>
      <c r="P4624" s="242"/>
      <c r="Q4624" s="242"/>
      <c r="R4624" s="539"/>
      <c r="S4624" s="540"/>
      <c r="T4624" s="543"/>
      <c r="U4624" s="673" t="b">
        <v>0</v>
      </c>
      <c r="Z4624" t="b">
        <v>0</v>
      </c>
      <c r="AA4624" t="b">
        <v>0</v>
      </c>
      <c r="AC4624" s="82"/>
      <c r="AD4624" t="str">
        <f t="shared" si="71"/>
        <v/>
      </c>
      <c r="AE4624" t="str">
        <f t="shared" si="72"/>
        <v/>
      </c>
    </row>
    <row r="4625">
      <c r="D4625" s="226"/>
      <c r="H4625" s="474"/>
      <c r="I4625" s="474"/>
      <c r="J4625" s="475"/>
      <c r="K4625" s="275"/>
      <c r="L4625" s="82"/>
      <c r="M4625" s="672"/>
      <c r="N4625" s="242"/>
      <c r="O4625" s="242"/>
      <c r="P4625" s="242"/>
      <c r="Q4625" s="242"/>
      <c r="R4625" s="539"/>
      <c r="S4625" s="540"/>
      <c r="T4625" s="543"/>
      <c r="U4625" s="673" t="b">
        <v>0</v>
      </c>
      <c r="Z4625" t="b">
        <v>0</v>
      </c>
      <c r="AA4625" t="b">
        <v>0</v>
      </c>
      <c r="AC4625" s="82"/>
      <c r="AD4625" t="str">
        <f t="shared" si="71"/>
        <v/>
      </c>
      <c r="AE4625" t="str">
        <f t="shared" si="72"/>
        <v/>
      </c>
    </row>
    <row r="4626">
      <c r="D4626" s="226"/>
      <c r="H4626" s="474"/>
      <c r="I4626" s="474"/>
      <c r="J4626" s="475"/>
      <c r="K4626" s="275"/>
      <c r="L4626" s="82"/>
      <c r="M4626" s="672"/>
      <c r="N4626" s="242"/>
      <c r="O4626" s="242"/>
      <c r="P4626" s="242"/>
      <c r="Q4626" s="242"/>
      <c r="R4626" s="539"/>
      <c r="S4626" s="540"/>
      <c r="T4626" s="543"/>
      <c r="U4626" s="673" t="b">
        <v>0</v>
      </c>
      <c r="Z4626" t="b">
        <v>0</v>
      </c>
      <c r="AA4626" t="b">
        <v>0</v>
      </c>
      <c r="AC4626" s="82"/>
      <c r="AD4626" t="str">
        <f t="shared" si="71"/>
        <v/>
      </c>
      <c r="AE4626" t="str">
        <f t="shared" si="72"/>
        <v/>
      </c>
    </row>
    <row r="4627">
      <c r="D4627" s="226"/>
      <c r="H4627" s="474"/>
      <c r="I4627" s="474"/>
      <c r="J4627" s="475"/>
      <c r="K4627" s="275"/>
      <c r="L4627" s="82"/>
      <c r="M4627" s="672"/>
      <c r="N4627" s="242"/>
      <c r="O4627" s="242"/>
      <c r="P4627" s="242"/>
      <c r="Q4627" s="242"/>
      <c r="R4627" s="539"/>
      <c r="S4627" s="540"/>
      <c r="T4627" s="543"/>
      <c r="U4627" s="673" t="b">
        <v>0</v>
      </c>
      <c r="Z4627" t="b">
        <v>0</v>
      </c>
      <c r="AA4627" t="b">
        <v>0</v>
      </c>
      <c r="AC4627" s="82"/>
      <c r="AD4627" t="str">
        <f t="shared" si="71"/>
        <v/>
      </c>
      <c r="AE4627" t="str">
        <f t="shared" si="72"/>
        <v/>
      </c>
    </row>
    <row r="4628">
      <c r="D4628" s="226"/>
      <c r="H4628" s="474"/>
      <c r="I4628" s="474"/>
      <c r="J4628" s="475"/>
      <c r="K4628" s="275"/>
      <c r="L4628" s="82"/>
      <c r="M4628" s="672"/>
      <c r="N4628" s="242"/>
      <c r="O4628" s="242"/>
      <c r="P4628" s="242"/>
      <c r="Q4628" s="242"/>
      <c r="R4628" s="539"/>
      <c r="S4628" s="540"/>
      <c r="T4628" s="543"/>
      <c r="U4628" s="673" t="b">
        <v>0</v>
      </c>
      <c r="Z4628" t="b">
        <v>0</v>
      </c>
      <c r="AA4628" t="b">
        <v>0</v>
      </c>
      <c r="AC4628" s="82"/>
      <c r="AD4628" t="str">
        <f t="shared" si="71"/>
        <v/>
      </c>
      <c r="AE4628" t="str">
        <f t="shared" si="72"/>
        <v/>
      </c>
    </row>
    <row r="4629">
      <c r="D4629" s="226"/>
      <c r="H4629" s="474"/>
      <c r="I4629" s="474"/>
      <c r="J4629" s="475"/>
      <c r="K4629" s="275"/>
      <c r="L4629" s="82"/>
      <c r="M4629" s="672"/>
      <c r="N4629" s="242"/>
      <c r="O4629" s="242"/>
      <c r="P4629" s="242"/>
      <c r="Q4629" s="242"/>
      <c r="R4629" s="539"/>
      <c r="S4629" s="540"/>
      <c r="T4629" s="543"/>
      <c r="U4629" s="673" t="b">
        <v>0</v>
      </c>
      <c r="Z4629" t="b">
        <v>0</v>
      </c>
      <c r="AA4629" t="b">
        <v>0</v>
      </c>
      <c r="AC4629" s="82"/>
      <c r="AD4629" t="str">
        <f t="shared" si="71"/>
        <v/>
      </c>
      <c r="AE4629" t="str">
        <f t="shared" si="72"/>
        <v/>
      </c>
    </row>
    <row r="4630">
      <c r="D4630" s="226"/>
      <c r="H4630" s="474"/>
      <c r="I4630" s="474"/>
      <c r="J4630" s="475"/>
      <c r="K4630" s="275"/>
      <c r="L4630" s="82"/>
      <c r="M4630" s="672"/>
      <c r="N4630" s="242"/>
      <c r="O4630" s="242"/>
      <c r="P4630" s="242"/>
      <c r="Q4630" s="242"/>
      <c r="R4630" s="539"/>
      <c r="S4630" s="540"/>
      <c r="T4630" s="543"/>
      <c r="U4630" s="673" t="b">
        <v>0</v>
      </c>
      <c r="Z4630" t="b">
        <v>0</v>
      </c>
      <c r="AA4630" t="b">
        <v>0</v>
      </c>
      <c r="AC4630" s="82"/>
      <c r="AD4630" t="str">
        <f t="shared" si="71"/>
        <v/>
      </c>
      <c r="AE4630" t="str">
        <f t="shared" si="72"/>
        <v/>
      </c>
    </row>
    <row r="4631">
      <c r="D4631" s="226"/>
      <c r="H4631" s="474"/>
      <c r="I4631" s="474"/>
      <c r="J4631" s="475"/>
      <c r="K4631" s="275"/>
      <c r="L4631" s="82"/>
      <c r="M4631" s="672"/>
      <c r="N4631" s="242"/>
      <c r="O4631" s="242"/>
      <c r="P4631" s="242"/>
      <c r="Q4631" s="242"/>
      <c r="R4631" s="539"/>
      <c r="S4631" s="540"/>
      <c r="T4631" s="543"/>
      <c r="U4631" s="673" t="b">
        <v>0</v>
      </c>
      <c r="Z4631" t="b">
        <v>0</v>
      </c>
      <c r="AA4631" t="b">
        <v>0</v>
      </c>
      <c r="AC4631" s="82"/>
      <c r="AD4631" t="str">
        <f t="shared" si="71"/>
        <v/>
      </c>
      <c r="AE4631" t="str">
        <f t="shared" si="72"/>
        <v/>
      </c>
    </row>
    <row r="4632">
      <c r="D4632" s="226"/>
      <c r="H4632" s="474"/>
      <c r="I4632" s="474"/>
      <c r="J4632" s="475"/>
      <c r="K4632" s="275"/>
      <c r="L4632" s="82"/>
      <c r="M4632" s="672"/>
      <c r="N4632" s="242"/>
      <c r="O4632" s="242"/>
      <c r="P4632" s="242"/>
      <c r="Q4632" s="242"/>
      <c r="R4632" s="539"/>
      <c r="S4632" s="540"/>
      <c r="T4632" s="543"/>
      <c r="U4632" s="673" t="b">
        <v>0</v>
      </c>
      <c r="Z4632" t="b">
        <v>0</v>
      </c>
      <c r="AA4632" t="b">
        <v>0</v>
      </c>
      <c r="AC4632" s="82"/>
      <c r="AD4632" t="str">
        <f t="shared" si="71"/>
        <v/>
      </c>
      <c r="AE4632" t="str">
        <f t="shared" si="72"/>
        <v/>
      </c>
    </row>
    <row r="4633">
      <c r="D4633" s="226"/>
      <c r="H4633" s="474"/>
      <c r="I4633" s="474"/>
      <c r="J4633" s="475"/>
      <c r="K4633" s="275"/>
      <c r="L4633" s="82"/>
      <c r="M4633" s="672"/>
      <c r="N4633" s="242"/>
      <c r="O4633" s="242"/>
      <c r="P4633" s="242"/>
      <c r="Q4633" s="242"/>
      <c r="R4633" s="539"/>
      <c r="S4633" s="540"/>
      <c r="T4633" s="543"/>
      <c r="U4633" s="673" t="b">
        <v>0</v>
      </c>
      <c r="Z4633" t="b">
        <v>0</v>
      </c>
      <c r="AA4633" t="b">
        <v>0</v>
      </c>
      <c r="AC4633" s="82"/>
      <c r="AD4633" t="str">
        <f t="shared" si="71"/>
        <v/>
      </c>
      <c r="AE4633" t="str">
        <f t="shared" si="72"/>
        <v/>
      </c>
    </row>
    <row r="4634">
      <c r="D4634" s="226"/>
      <c r="H4634" s="474"/>
      <c r="I4634" s="474"/>
      <c r="J4634" s="475"/>
      <c r="K4634" s="275"/>
      <c r="L4634" s="82"/>
      <c r="M4634" s="672"/>
      <c r="N4634" s="242"/>
      <c r="O4634" s="242"/>
      <c r="P4634" s="242"/>
      <c r="Q4634" s="242"/>
      <c r="R4634" s="539"/>
      <c r="S4634" s="540"/>
      <c r="T4634" s="543"/>
      <c r="U4634" s="673" t="b">
        <v>0</v>
      </c>
      <c r="Z4634" t="b">
        <v>0</v>
      </c>
      <c r="AA4634" t="b">
        <v>0</v>
      </c>
      <c r="AC4634" s="82"/>
      <c r="AD4634" t="str">
        <f t="shared" si="71"/>
        <v/>
      </c>
      <c r="AE4634" t="str">
        <f t="shared" si="72"/>
        <v/>
      </c>
    </row>
    <row r="4635">
      <c r="D4635" s="226"/>
      <c r="H4635" s="474"/>
      <c r="I4635" s="474"/>
      <c r="J4635" s="475"/>
      <c r="K4635" s="275"/>
      <c r="L4635" s="82"/>
      <c r="M4635" s="672"/>
      <c r="N4635" s="242"/>
      <c r="O4635" s="242"/>
      <c r="P4635" s="242"/>
      <c r="Q4635" s="242"/>
      <c r="R4635" s="539"/>
      <c r="S4635" s="540"/>
      <c r="T4635" s="543"/>
      <c r="U4635" s="673" t="b">
        <v>0</v>
      </c>
      <c r="Z4635" t="b">
        <v>0</v>
      </c>
      <c r="AA4635" t="b">
        <v>0</v>
      </c>
      <c r="AC4635" s="82"/>
      <c r="AD4635" t="str">
        <f t="shared" si="71"/>
        <v/>
      </c>
      <c r="AE4635" t="str">
        <f t="shared" si="72"/>
        <v/>
      </c>
    </row>
    <row r="4636">
      <c r="D4636" s="226"/>
      <c r="H4636" s="474"/>
      <c r="I4636" s="474"/>
      <c r="J4636" s="475"/>
      <c r="K4636" s="275"/>
      <c r="L4636" s="82"/>
      <c r="M4636" s="672"/>
      <c r="N4636" s="242"/>
      <c r="O4636" s="242"/>
      <c r="P4636" s="242"/>
      <c r="Q4636" s="242"/>
      <c r="R4636" s="539"/>
      <c r="S4636" s="540"/>
      <c r="T4636" s="543"/>
      <c r="U4636" s="673" t="b">
        <v>0</v>
      </c>
      <c r="Z4636" t="b">
        <v>0</v>
      </c>
      <c r="AA4636" t="b">
        <v>0</v>
      </c>
      <c r="AC4636" s="82"/>
      <c r="AD4636" t="str">
        <f t="shared" si="71"/>
        <v/>
      </c>
      <c r="AE4636" t="str">
        <f t="shared" si="72"/>
        <v/>
      </c>
    </row>
    <row r="4637">
      <c r="D4637" s="226"/>
      <c r="H4637" s="474"/>
      <c r="I4637" s="474"/>
      <c r="J4637" s="475"/>
      <c r="K4637" s="275"/>
      <c r="L4637" s="82"/>
      <c r="M4637" s="672"/>
      <c r="N4637" s="242"/>
      <c r="O4637" s="242"/>
      <c r="P4637" s="242"/>
      <c r="Q4637" s="242"/>
      <c r="R4637" s="539"/>
      <c r="S4637" s="540"/>
      <c r="T4637" s="543"/>
      <c r="U4637" s="673" t="b">
        <v>0</v>
      </c>
      <c r="Z4637" t="b">
        <v>0</v>
      </c>
      <c r="AA4637" t="b">
        <v>0</v>
      </c>
      <c r="AC4637" s="82"/>
      <c r="AD4637" t="str">
        <f t="shared" si="71"/>
        <v/>
      </c>
      <c r="AE4637" t="str">
        <f t="shared" si="72"/>
        <v/>
      </c>
    </row>
    <row r="4638">
      <c r="D4638" s="226"/>
      <c r="H4638" s="474"/>
      <c r="I4638" s="474"/>
      <c r="J4638" s="475"/>
      <c r="K4638" s="275"/>
      <c r="L4638" s="82"/>
      <c r="M4638" s="672"/>
      <c r="N4638" s="242"/>
      <c r="O4638" s="242"/>
      <c r="P4638" s="242"/>
      <c r="Q4638" s="242"/>
      <c r="R4638" s="539"/>
      <c r="S4638" s="540"/>
      <c r="T4638" s="543"/>
      <c r="U4638" s="673" t="b">
        <v>0</v>
      </c>
      <c r="Z4638" t="b">
        <v>0</v>
      </c>
      <c r="AA4638" t="b">
        <v>0</v>
      </c>
      <c r="AC4638" s="82"/>
      <c r="AD4638" t="str">
        <f t="shared" si="71"/>
        <v/>
      </c>
      <c r="AE4638" t="str">
        <f t="shared" si="72"/>
        <v/>
      </c>
    </row>
    <row r="4639">
      <c r="D4639" s="226"/>
      <c r="H4639" s="474"/>
      <c r="I4639" s="474"/>
      <c r="J4639" s="475"/>
      <c r="K4639" s="275"/>
      <c r="L4639" s="82"/>
      <c r="M4639" s="672"/>
      <c r="N4639" s="242"/>
      <c r="O4639" s="242"/>
      <c r="P4639" s="242"/>
      <c r="Q4639" s="242"/>
      <c r="R4639" s="539"/>
      <c r="S4639" s="540"/>
      <c r="T4639" s="543"/>
      <c r="U4639" s="673" t="b">
        <v>0</v>
      </c>
      <c r="Z4639" t="b">
        <v>0</v>
      </c>
      <c r="AA4639" t="b">
        <v>0</v>
      </c>
      <c r="AC4639" s="82"/>
      <c r="AD4639" t="str">
        <f t="shared" si="71"/>
        <v/>
      </c>
      <c r="AE4639" t="str">
        <f t="shared" si="72"/>
        <v/>
      </c>
    </row>
    <row r="4640">
      <c r="D4640" s="226"/>
      <c r="H4640" s="474"/>
      <c r="I4640" s="474"/>
      <c r="J4640" s="475"/>
      <c r="K4640" s="275"/>
      <c r="L4640" s="82"/>
      <c r="M4640" s="672"/>
      <c r="N4640" s="242"/>
      <c r="O4640" s="242"/>
      <c r="P4640" s="242"/>
      <c r="Q4640" s="242"/>
      <c r="R4640" s="539"/>
      <c r="S4640" s="540"/>
      <c r="T4640" s="543"/>
      <c r="U4640" s="673" t="b">
        <v>0</v>
      </c>
      <c r="Z4640" t="b">
        <v>0</v>
      </c>
      <c r="AA4640" t="b">
        <v>0</v>
      </c>
      <c r="AC4640" s="82"/>
      <c r="AD4640" t="str">
        <f t="shared" si="71"/>
        <v/>
      </c>
      <c r="AE4640" t="str">
        <f t="shared" si="72"/>
        <v/>
      </c>
    </row>
    <row r="4641">
      <c r="D4641" s="226"/>
      <c r="H4641" s="474"/>
      <c r="I4641" s="474"/>
      <c r="J4641" s="475"/>
      <c r="K4641" s="275"/>
      <c r="L4641" s="82"/>
      <c r="M4641" s="672"/>
      <c r="N4641" s="242"/>
      <c r="O4641" s="242"/>
      <c r="P4641" s="242"/>
      <c r="Q4641" s="242"/>
      <c r="R4641" s="539"/>
      <c r="S4641" s="540"/>
      <c r="T4641" s="543"/>
      <c r="U4641" s="673" t="b">
        <v>0</v>
      </c>
      <c r="Z4641" t="b">
        <v>0</v>
      </c>
      <c r="AA4641" t="b">
        <v>0</v>
      </c>
      <c r="AC4641" s="82"/>
      <c r="AD4641" t="str">
        <f t="shared" si="71"/>
        <v/>
      </c>
      <c r="AE4641" t="str">
        <f t="shared" si="72"/>
        <v/>
      </c>
    </row>
    <row r="4642">
      <c r="D4642" s="226"/>
      <c r="H4642" s="474"/>
      <c r="I4642" s="474"/>
      <c r="J4642" s="475"/>
      <c r="K4642" s="275"/>
      <c r="L4642" s="82"/>
      <c r="M4642" s="672"/>
      <c r="N4642" s="242"/>
      <c r="O4642" s="242"/>
      <c r="P4642" s="242"/>
      <c r="Q4642" s="242"/>
      <c r="R4642" s="539"/>
      <c r="S4642" s="540"/>
      <c r="T4642" s="543"/>
      <c r="U4642" s="673" t="b">
        <v>0</v>
      </c>
      <c r="Z4642" t="b">
        <v>0</v>
      </c>
      <c r="AA4642" t="b">
        <v>0</v>
      </c>
      <c r="AC4642" s="82"/>
      <c r="AD4642" t="str">
        <f t="shared" si="71"/>
        <v/>
      </c>
      <c r="AE4642" t="str">
        <f t="shared" si="72"/>
        <v/>
      </c>
    </row>
    <row r="4643">
      <c r="D4643" s="226"/>
      <c r="H4643" s="474"/>
      <c r="I4643" s="474"/>
      <c r="J4643" s="475"/>
      <c r="K4643" s="275"/>
      <c r="L4643" s="82"/>
      <c r="M4643" s="672"/>
      <c r="N4643" s="242"/>
      <c r="O4643" s="242"/>
      <c r="P4643" s="242"/>
      <c r="Q4643" s="242"/>
      <c r="R4643" s="539"/>
      <c r="S4643" s="540"/>
      <c r="T4643" s="543"/>
      <c r="U4643" s="673" t="b">
        <v>0</v>
      </c>
      <c r="Z4643" t="b">
        <v>0</v>
      </c>
      <c r="AA4643" t="b">
        <v>0</v>
      </c>
      <c r="AC4643" s="82"/>
      <c r="AD4643" t="str">
        <f t="shared" si="71"/>
        <v/>
      </c>
      <c r="AE4643" t="str">
        <f t="shared" si="72"/>
        <v/>
      </c>
    </row>
    <row r="4644">
      <c r="D4644" s="226"/>
      <c r="H4644" s="474"/>
      <c r="I4644" s="474"/>
      <c r="J4644" s="475"/>
      <c r="K4644" s="275"/>
      <c r="L4644" s="82"/>
      <c r="M4644" s="672"/>
      <c r="N4644" s="242"/>
      <c r="O4644" s="242"/>
      <c r="P4644" s="242"/>
      <c r="Q4644" s="242"/>
      <c r="R4644" s="539"/>
      <c r="S4644" s="540"/>
      <c r="T4644" s="543"/>
      <c r="U4644" s="673" t="b">
        <v>0</v>
      </c>
      <c r="Z4644" t="b">
        <v>0</v>
      </c>
      <c r="AA4644" t="b">
        <v>0</v>
      </c>
      <c r="AC4644" s="82"/>
      <c r="AD4644" t="str">
        <f t="shared" si="71"/>
        <v/>
      </c>
      <c r="AE4644" t="str">
        <f t="shared" si="72"/>
        <v/>
      </c>
    </row>
    <row r="4645">
      <c r="D4645" s="226"/>
      <c r="H4645" s="474"/>
      <c r="I4645" s="474"/>
      <c r="J4645" s="475"/>
      <c r="K4645" s="275"/>
      <c r="L4645" s="82"/>
      <c r="M4645" s="672"/>
      <c r="N4645" s="242"/>
      <c r="O4645" s="242"/>
      <c r="P4645" s="242"/>
      <c r="Q4645" s="242"/>
      <c r="R4645" s="539"/>
      <c r="S4645" s="540"/>
      <c r="T4645" s="543"/>
      <c r="U4645" s="673" t="b">
        <v>0</v>
      </c>
      <c r="Z4645" t="b">
        <v>0</v>
      </c>
      <c r="AA4645" t="b">
        <v>0</v>
      </c>
      <c r="AC4645" s="82"/>
      <c r="AD4645" t="str">
        <f t="shared" si="71"/>
        <v/>
      </c>
      <c r="AE4645" t="str">
        <f t="shared" si="72"/>
        <v/>
      </c>
    </row>
    <row r="4646">
      <c r="D4646" s="226"/>
      <c r="H4646" s="474"/>
      <c r="I4646" s="474"/>
      <c r="J4646" s="475"/>
      <c r="K4646" s="275"/>
      <c r="L4646" s="82"/>
      <c r="M4646" s="672"/>
      <c r="N4646" s="242"/>
      <c r="O4646" s="242"/>
      <c r="P4646" s="242"/>
      <c r="Q4646" s="242"/>
      <c r="R4646" s="539"/>
      <c r="S4646" s="540"/>
      <c r="T4646" s="543"/>
      <c r="U4646" s="673" t="b">
        <v>0</v>
      </c>
      <c r="Z4646" t="b">
        <v>0</v>
      </c>
      <c r="AA4646" t="b">
        <v>0</v>
      </c>
      <c r="AC4646" s="82"/>
      <c r="AD4646" t="str">
        <f t="shared" si="71"/>
        <v/>
      </c>
      <c r="AE4646" t="str">
        <f t="shared" si="72"/>
        <v/>
      </c>
    </row>
    <row r="4647">
      <c r="D4647" s="226"/>
      <c r="H4647" s="474"/>
      <c r="I4647" s="474"/>
      <c r="J4647" s="475"/>
      <c r="K4647" s="275"/>
      <c r="L4647" s="82"/>
      <c r="M4647" s="672"/>
      <c r="N4647" s="242"/>
      <c r="O4647" s="242"/>
      <c r="P4647" s="242"/>
      <c r="Q4647" s="242"/>
      <c r="R4647" s="539"/>
      <c r="S4647" s="540"/>
      <c r="T4647" s="543"/>
      <c r="U4647" s="673" t="b">
        <v>0</v>
      </c>
      <c r="Z4647" t="b">
        <v>0</v>
      </c>
      <c r="AA4647" t="b">
        <v>0</v>
      </c>
      <c r="AC4647" s="82"/>
      <c r="AD4647" t="str">
        <f t="shared" si="71"/>
        <v/>
      </c>
      <c r="AE4647" t="str">
        <f t="shared" si="72"/>
        <v/>
      </c>
    </row>
    <row r="4648">
      <c r="D4648" s="226"/>
      <c r="H4648" s="474"/>
      <c r="I4648" s="474"/>
      <c r="J4648" s="475"/>
      <c r="K4648" s="275"/>
      <c r="L4648" s="82"/>
      <c r="M4648" s="672"/>
      <c r="N4648" s="242"/>
      <c r="O4648" s="242"/>
      <c r="P4648" s="242"/>
      <c r="Q4648" s="242"/>
      <c r="R4648" s="539"/>
      <c r="S4648" s="540"/>
      <c r="T4648" s="543"/>
      <c r="U4648" s="673" t="b">
        <v>0</v>
      </c>
      <c r="Z4648" t="b">
        <v>0</v>
      </c>
      <c r="AA4648" t="b">
        <v>0</v>
      </c>
      <c r="AC4648" s="82"/>
      <c r="AD4648" t="str">
        <f t="shared" si="71"/>
        <v/>
      </c>
      <c r="AE4648" t="str">
        <f t="shared" si="72"/>
        <v/>
      </c>
    </row>
    <row r="4649">
      <c r="D4649" s="226"/>
      <c r="H4649" s="474"/>
      <c r="I4649" s="474"/>
      <c r="J4649" s="475"/>
      <c r="K4649" s="275"/>
      <c r="L4649" s="82"/>
      <c r="M4649" s="672"/>
      <c r="N4649" s="242"/>
      <c r="O4649" s="242"/>
      <c r="P4649" s="242"/>
      <c r="Q4649" s="242"/>
      <c r="R4649" s="539"/>
      <c r="S4649" s="540"/>
      <c r="T4649" s="543"/>
      <c r="U4649" s="673" t="b">
        <v>0</v>
      </c>
      <c r="Z4649" t="b">
        <v>0</v>
      </c>
      <c r="AA4649" t="b">
        <v>0</v>
      </c>
      <c r="AC4649" s="82"/>
      <c r="AD4649" t="str">
        <f t="shared" si="71"/>
        <v/>
      </c>
      <c r="AE4649" t="str">
        <f t="shared" si="72"/>
        <v/>
      </c>
    </row>
    <row r="4650">
      <c r="D4650" s="226"/>
      <c r="H4650" s="474"/>
      <c r="I4650" s="474"/>
      <c r="J4650" s="475"/>
      <c r="K4650" s="275"/>
      <c r="L4650" s="82"/>
      <c r="M4650" s="672"/>
      <c r="N4650" s="242"/>
      <c r="O4650" s="242"/>
      <c r="P4650" s="242"/>
      <c r="Q4650" s="242"/>
      <c r="R4650" s="539"/>
      <c r="S4650" s="540"/>
      <c r="T4650" s="543"/>
      <c r="U4650" s="673" t="b">
        <v>0</v>
      </c>
      <c r="Z4650" t="b">
        <v>0</v>
      </c>
      <c r="AA4650" t="b">
        <v>0</v>
      </c>
      <c r="AC4650" s="82"/>
      <c r="AD4650" t="str">
        <f t="shared" si="71"/>
        <v/>
      </c>
      <c r="AE4650" t="str">
        <f t="shared" si="72"/>
        <v/>
      </c>
    </row>
    <row r="4651">
      <c r="D4651" s="226"/>
      <c r="H4651" s="474"/>
      <c r="I4651" s="474"/>
      <c r="J4651" s="475"/>
      <c r="K4651" s="275"/>
      <c r="L4651" s="82"/>
      <c r="M4651" s="672"/>
      <c r="N4651" s="242"/>
      <c r="O4651" s="242"/>
      <c r="P4651" s="242"/>
      <c r="Q4651" s="242"/>
      <c r="R4651" s="539"/>
      <c r="S4651" s="540"/>
      <c r="T4651" s="543"/>
      <c r="U4651" s="673" t="b">
        <v>0</v>
      </c>
      <c r="Z4651" t="b">
        <v>0</v>
      </c>
      <c r="AA4651" t="b">
        <v>0</v>
      </c>
      <c r="AC4651" s="82"/>
      <c r="AD4651" t="str">
        <f t="shared" si="71"/>
        <v/>
      </c>
      <c r="AE4651" t="str">
        <f t="shared" si="72"/>
        <v/>
      </c>
    </row>
    <row r="4652">
      <c r="D4652" s="226"/>
      <c r="H4652" s="474"/>
      <c r="I4652" s="474"/>
      <c r="J4652" s="475"/>
      <c r="K4652" s="275"/>
      <c r="L4652" s="82"/>
      <c r="M4652" s="672"/>
      <c r="N4652" s="242"/>
      <c r="O4652" s="242"/>
      <c r="P4652" s="242"/>
      <c r="Q4652" s="242"/>
      <c r="R4652" s="539"/>
      <c r="S4652" s="540"/>
      <c r="T4652" s="543"/>
      <c r="U4652" s="673" t="b">
        <v>0</v>
      </c>
      <c r="Z4652" t="b">
        <v>0</v>
      </c>
      <c r="AA4652" t="b">
        <v>0</v>
      </c>
      <c r="AC4652" s="82"/>
      <c r="AD4652" t="str">
        <f t="shared" si="71"/>
        <v/>
      </c>
      <c r="AE4652" t="str">
        <f t="shared" si="72"/>
        <v/>
      </c>
    </row>
    <row r="4653">
      <c r="D4653" s="226"/>
      <c r="H4653" s="474"/>
      <c r="I4653" s="474"/>
      <c r="J4653" s="475"/>
      <c r="K4653" s="275"/>
      <c r="L4653" s="82"/>
      <c r="M4653" s="672"/>
      <c r="N4653" s="242"/>
      <c r="O4653" s="242"/>
      <c r="P4653" s="242"/>
      <c r="Q4653" s="242"/>
      <c r="R4653" s="539"/>
      <c r="S4653" s="540"/>
      <c r="T4653" s="543"/>
      <c r="U4653" s="673" t="b">
        <v>0</v>
      </c>
      <c r="Z4653" t="b">
        <v>0</v>
      </c>
      <c r="AA4653" t="b">
        <v>0</v>
      </c>
      <c r="AC4653" s="82"/>
      <c r="AD4653" t="str">
        <f t="shared" si="71"/>
        <v/>
      </c>
      <c r="AE4653" t="str">
        <f t="shared" si="72"/>
        <v/>
      </c>
    </row>
    <row r="4654">
      <c r="D4654" s="226"/>
      <c r="H4654" s="474"/>
      <c r="I4654" s="474"/>
      <c r="J4654" s="475"/>
      <c r="K4654" s="275"/>
      <c r="L4654" s="82"/>
      <c r="M4654" s="672"/>
      <c r="N4654" s="242"/>
      <c r="O4654" s="242"/>
      <c r="P4654" s="242"/>
      <c r="Q4654" s="242"/>
      <c r="R4654" s="539"/>
      <c r="S4654" s="540"/>
      <c r="T4654" s="543"/>
      <c r="U4654" s="673" t="b">
        <v>0</v>
      </c>
      <c r="Z4654" t="b">
        <v>0</v>
      </c>
      <c r="AA4654" t="b">
        <v>0</v>
      </c>
      <c r="AC4654" s="82"/>
      <c r="AD4654" t="str">
        <f t="shared" si="71"/>
        <v/>
      </c>
      <c r="AE4654" t="str">
        <f t="shared" si="72"/>
        <v/>
      </c>
    </row>
    <row r="4655">
      <c r="D4655" s="226"/>
      <c r="H4655" s="474"/>
      <c r="I4655" s="474"/>
      <c r="J4655" s="475"/>
      <c r="K4655" s="275"/>
      <c r="L4655" s="82"/>
      <c r="M4655" s="672"/>
      <c r="N4655" s="242"/>
      <c r="O4655" s="242"/>
      <c r="P4655" s="242"/>
      <c r="Q4655" s="242"/>
      <c r="R4655" s="539"/>
      <c r="S4655" s="540"/>
      <c r="T4655" s="543"/>
      <c r="U4655" s="673" t="b">
        <v>0</v>
      </c>
      <c r="Z4655" t="b">
        <v>0</v>
      </c>
      <c r="AA4655" t="b">
        <v>0</v>
      </c>
      <c r="AC4655" s="82"/>
      <c r="AD4655" t="str">
        <f t="shared" si="71"/>
        <v/>
      </c>
      <c r="AE4655" t="str">
        <f t="shared" si="72"/>
        <v/>
      </c>
    </row>
    <row r="4656">
      <c r="D4656" s="226"/>
      <c r="H4656" s="474"/>
      <c r="I4656" s="474"/>
      <c r="J4656" s="475"/>
      <c r="K4656" s="275"/>
      <c r="L4656" s="82"/>
      <c r="M4656" s="672"/>
      <c r="N4656" s="242"/>
      <c r="O4656" s="242"/>
      <c r="P4656" s="242"/>
      <c r="Q4656" s="242"/>
      <c r="R4656" s="539"/>
      <c r="S4656" s="540"/>
      <c r="T4656" s="543"/>
      <c r="U4656" s="673" t="b">
        <v>0</v>
      </c>
      <c r="Z4656" t="b">
        <v>0</v>
      </c>
      <c r="AA4656" t="b">
        <v>0</v>
      </c>
      <c r="AC4656" s="82"/>
      <c r="AD4656" t="str">
        <f t="shared" si="71"/>
        <v/>
      </c>
      <c r="AE4656" t="str">
        <f t="shared" si="72"/>
        <v/>
      </c>
    </row>
    <row r="4657">
      <c r="D4657" s="226"/>
      <c r="H4657" s="474"/>
      <c r="I4657" s="474"/>
      <c r="J4657" s="475"/>
      <c r="K4657" s="275"/>
      <c r="L4657" s="82"/>
      <c r="M4657" s="672"/>
      <c r="N4657" s="242"/>
      <c r="O4657" s="242"/>
      <c r="P4657" s="242"/>
      <c r="Q4657" s="242"/>
      <c r="R4657" s="539"/>
      <c r="S4657" s="540"/>
      <c r="T4657" s="543"/>
      <c r="U4657" s="673" t="b">
        <v>0</v>
      </c>
      <c r="Z4657" t="b">
        <v>0</v>
      </c>
      <c r="AA4657" t="b">
        <v>0</v>
      </c>
      <c r="AC4657" s="82"/>
      <c r="AD4657" t="str">
        <f t="shared" si="71"/>
        <v/>
      </c>
      <c r="AE4657" t="str">
        <f t="shared" si="72"/>
        <v/>
      </c>
    </row>
    <row r="4658">
      <c r="D4658" s="226"/>
      <c r="H4658" s="474"/>
      <c r="I4658" s="474"/>
      <c r="J4658" s="475"/>
      <c r="K4658" s="275"/>
      <c r="L4658" s="82"/>
      <c r="M4658" s="672"/>
      <c r="N4658" s="242"/>
      <c r="O4658" s="242"/>
      <c r="P4658" s="242"/>
      <c r="Q4658" s="242"/>
      <c r="R4658" s="539"/>
      <c r="S4658" s="540"/>
      <c r="T4658" s="543"/>
      <c r="U4658" s="673" t="b">
        <v>0</v>
      </c>
      <c r="Z4658" t="b">
        <v>0</v>
      </c>
      <c r="AA4658" t="b">
        <v>0</v>
      </c>
      <c r="AC4658" s="82"/>
      <c r="AD4658" t="str">
        <f t="shared" si="71"/>
        <v/>
      </c>
      <c r="AE4658" t="str">
        <f t="shared" si="72"/>
        <v/>
      </c>
    </row>
    <row r="4659">
      <c r="D4659" s="226"/>
      <c r="H4659" s="474"/>
      <c r="I4659" s="474"/>
      <c r="J4659" s="475"/>
      <c r="K4659" s="275"/>
      <c r="L4659" s="82"/>
      <c r="M4659" s="672"/>
      <c r="N4659" s="242"/>
      <c r="O4659" s="242"/>
      <c r="P4659" s="242"/>
      <c r="Q4659" s="242"/>
      <c r="R4659" s="539"/>
      <c r="S4659" s="540"/>
      <c r="T4659" s="543"/>
      <c r="U4659" s="673" t="b">
        <v>0</v>
      </c>
      <c r="Z4659" t="b">
        <v>0</v>
      </c>
      <c r="AA4659" t="b">
        <v>0</v>
      </c>
      <c r="AC4659" s="82"/>
      <c r="AD4659" t="str">
        <f t="shared" si="71"/>
        <v/>
      </c>
      <c r="AE4659" t="str">
        <f t="shared" si="72"/>
        <v/>
      </c>
    </row>
    <row r="4660">
      <c r="D4660" s="226"/>
      <c r="H4660" s="474"/>
      <c r="I4660" s="474"/>
      <c r="J4660" s="475"/>
      <c r="K4660" s="275"/>
      <c r="L4660" s="82"/>
      <c r="M4660" s="672"/>
      <c r="N4660" s="242"/>
      <c r="O4660" s="242"/>
      <c r="P4660" s="242"/>
      <c r="Q4660" s="242"/>
      <c r="R4660" s="539"/>
      <c r="S4660" s="540"/>
      <c r="T4660" s="543"/>
      <c r="U4660" s="673" t="b">
        <v>0</v>
      </c>
      <c r="Z4660" t="b">
        <v>0</v>
      </c>
      <c r="AA4660" t="b">
        <v>0</v>
      </c>
      <c r="AC4660" s="82"/>
      <c r="AD4660" t="str">
        <f t="shared" si="71"/>
        <v/>
      </c>
      <c r="AE4660" t="str">
        <f t="shared" si="72"/>
        <v/>
      </c>
    </row>
    <row r="4661">
      <c r="D4661" s="226"/>
      <c r="H4661" s="474"/>
      <c r="I4661" s="474"/>
      <c r="J4661" s="475"/>
      <c r="K4661" s="275"/>
      <c r="L4661" s="82"/>
      <c r="M4661" s="672"/>
      <c r="N4661" s="242"/>
      <c r="O4661" s="242"/>
      <c r="P4661" s="242"/>
      <c r="Q4661" s="242"/>
      <c r="R4661" s="539"/>
      <c r="S4661" s="540"/>
      <c r="T4661" s="543"/>
      <c r="U4661" s="673" t="b">
        <v>0</v>
      </c>
      <c r="Z4661" t="b">
        <v>0</v>
      </c>
      <c r="AA4661" t="b">
        <v>0</v>
      </c>
      <c r="AC4661" s="82"/>
      <c r="AD4661" t="str">
        <f t="shared" si="71"/>
        <v/>
      </c>
      <c r="AE4661" t="str">
        <f t="shared" si="72"/>
        <v/>
      </c>
    </row>
    <row r="4662">
      <c r="D4662" s="226"/>
      <c r="H4662" s="474"/>
      <c r="I4662" s="474"/>
      <c r="J4662" s="475"/>
      <c r="K4662" s="275"/>
      <c r="L4662" s="82"/>
      <c r="M4662" s="672"/>
      <c r="N4662" s="242"/>
      <c r="O4662" s="242"/>
      <c r="P4662" s="242"/>
      <c r="Q4662" s="242"/>
      <c r="R4662" s="539"/>
      <c r="S4662" s="540"/>
      <c r="T4662" s="543"/>
      <c r="U4662" s="673" t="b">
        <v>0</v>
      </c>
      <c r="Z4662" t="b">
        <v>0</v>
      </c>
      <c r="AA4662" t="b">
        <v>0</v>
      </c>
      <c r="AC4662" s="82"/>
      <c r="AD4662" t="str">
        <f t="shared" si="71"/>
        <v/>
      </c>
      <c r="AE4662" t="str">
        <f t="shared" si="72"/>
        <v/>
      </c>
    </row>
    <row r="4663">
      <c r="D4663" s="226"/>
      <c r="H4663" s="474"/>
      <c r="I4663" s="474"/>
      <c r="J4663" s="475"/>
      <c r="K4663" s="275"/>
      <c r="L4663" s="82"/>
      <c r="M4663" s="672"/>
      <c r="N4663" s="242"/>
      <c r="O4663" s="242"/>
      <c r="P4663" s="242"/>
      <c r="Q4663" s="242"/>
      <c r="R4663" s="539"/>
      <c r="S4663" s="540"/>
      <c r="T4663" s="543"/>
      <c r="U4663" s="673" t="b">
        <v>0</v>
      </c>
      <c r="Z4663" t="b">
        <v>0</v>
      </c>
      <c r="AA4663" t="b">
        <v>0</v>
      </c>
      <c r="AC4663" s="82"/>
      <c r="AD4663" t="str">
        <f t="shared" si="71"/>
        <v/>
      </c>
      <c r="AE4663" t="str">
        <f t="shared" si="72"/>
        <v/>
      </c>
    </row>
    <row r="4664">
      <c r="D4664" s="226"/>
      <c r="H4664" s="474"/>
      <c r="I4664" s="474"/>
      <c r="J4664" s="475"/>
      <c r="K4664" s="275"/>
      <c r="L4664" s="82"/>
      <c r="M4664" s="672"/>
      <c r="N4664" s="242"/>
      <c r="O4664" s="242"/>
      <c r="P4664" s="242"/>
      <c r="Q4664" s="242"/>
      <c r="R4664" s="539"/>
      <c r="S4664" s="540"/>
      <c r="T4664" s="543"/>
      <c r="U4664" s="673" t="b">
        <v>0</v>
      </c>
      <c r="Z4664" t="b">
        <v>0</v>
      </c>
      <c r="AA4664" t="b">
        <v>0</v>
      </c>
      <c r="AC4664" s="82"/>
      <c r="AD4664" t="str">
        <f t="shared" si="71"/>
        <v/>
      </c>
      <c r="AE4664" t="str">
        <f t="shared" si="72"/>
        <v/>
      </c>
    </row>
    <row r="4665">
      <c r="D4665" s="226"/>
      <c r="H4665" s="474"/>
      <c r="I4665" s="474"/>
      <c r="J4665" s="475"/>
      <c r="K4665" s="275"/>
      <c r="L4665" s="82"/>
      <c r="M4665" s="672"/>
      <c r="N4665" s="242"/>
      <c r="O4665" s="242"/>
      <c r="P4665" s="242"/>
      <c r="Q4665" s="242"/>
      <c r="R4665" s="539"/>
      <c r="S4665" s="540"/>
      <c r="T4665" s="543"/>
      <c r="U4665" s="673" t="b">
        <v>0</v>
      </c>
      <c r="Z4665" t="b">
        <v>0</v>
      </c>
      <c r="AA4665" t="b">
        <v>0</v>
      </c>
      <c r="AC4665" s="82"/>
      <c r="AD4665" t="str">
        <f t="shared" si="71"/>
        <v/>
      </c>
      <c r="AE4665" t="str">
        <f t="shared" si="72"/>
        <v/>
      </c>
    </row>
    <row r="4666">
      <c r="D4666" s="226"/>
      <c r="H4666" s="474"/>
      <c r="I4666" s="474"/>
      <c r="J4666" s="475"/>
      <c r="K4666" s="275"/>
      <c r="L4666" s="82"/>
      <c r="M4666" s="672"/>
      <c r="N4666" s="242"/>
      <c r="O4666" s="242"/>
      <c r="P4666" s="242"/>
      <c r="Q4666" s="242"/>
      <c r="R4666" s="539"/>
      <c r="S4666" s="540"/>
      <c r="T4666" s="543"/>
      <c r="U4666" s="673" t="b">
        <v>0</v>
      </c>
      <c r="Z4666" t="b">
        <v>0</v>
      </c>
      <c r="AA4666" t="b">
        <v>0</v>
      </c>
      <c r="AC4666" s="82"/>
      <c r="AD4666" t="str">
        <f t="shared" si="71"/>
        <v/>
      </c>
      <c r="AE4666" t="str">
        <f t="shared" si="72"/>
        <v/>
      </c>
    </row>
    <row r="4667">
      <c r="D4667" s="226"/>
      <c r="H4667" s="474"/>
      <c r="I4667" s="474"/>
      <c r="J4667" s="475"/>
      <c r="K4667" s="275"/>
      <c r="L4667" s="82"/>
      <c r="M4667" s="672"/>
      <c r="N4667" s="242"/>
      <c r="O4667" s="242"/>
      <c r="P4667" s="242"/>
      <c r="Q4667" s="242"/>
      <c r="R4667" s="539"/>
      <c r="S4667" s="540"/>
      <c r="T4667" s="543"/>
      <c r="U4667" s="673" t="b">
        <v>0</v>
      </c>
      <c r="Z4667" t="b">
        <v>0</v>
      </c>
      <c r="AA4667" t="b">
        <v>0</v>
      </c>
      <c r="AC4667" s="82"/>
      <c r="AD4667" t="str">
        <f t="shared" si="71"/>
        <v/>
      </c>
      <c r="AE4667" t="str">
        <f t="shared" si="72"/>
        <v/>
      </c>
    </row>
    <row r="4668">
      <c r="D4668" s="226"/>
      <c r="H4668" s="474"/>
      <c r="I4668" s="474"/>
      <c r="J4668" s="475"/>
      <c r="K4668" s="275"/>
      <c r="L4668" s="82"/>
      <c r="M4668" s="672"/>
      <c r="N4668" s="242"/>
      <c r="O4668" s="242"/>
      <c r="P4668" s="242"/>
      <c r="Q4668" s="242"/>
      <c r="R4668" s="539"/>
      <c r="S4668" s="540"/>
      <c r="T4668" s="543"/>
      <c r="U4668" s="673" t="b">
        <v>0</v>
      </c>
      <c r="Z4668" t="b">
        <v>0</v>
      </c>
      <c r="AA4668" t="b">
        <v>0</v>
      </c>
      <c r="AC4668" s="82"/>
      <c r="AD4668" t="str">
        <f t="shared" si="71"/>
        <v/>
      </c>
      <c r="AE4668" t="str">
        <f t="shared" si="72"/>
        <v/>
      </c>
    </row>
    <row r="4669">
      <c r="D4669" s="226"/>
      <c r="H4669" s="474"/>
      <c r="I4669" s="474"/>
      <c r="J4669" s="475"/>
      <c r="K4669" s="275"/>
      <c r="L4669" s="82"/>
      <c r="M4669" s="672"/>
      <c r="N4669" s="242"/>
      <c r="O4669" s="242"/>
      <c r="P4669" s="242"/>
      <c r="Q4669" s="242"/>
      <c r="R4669" s="539"/>
      <c r="S4669" s="540"/>
      <c r="T4669" s="543"/>
      <c r="U4669" s="673" t="b">
        <v>0</v>
      </c>
      <c r="Z4669" t="b">
        <v>0</v>
      </c>
      <c r="AA4669" t="b">
        <v>0</v>
      </c>
      <c r="AC4669" s="82"/>
      <c r="AD4669" t="str">
        <f t="shared" si="71"/>
        <v/>
      </c>
      <c r="AE4669" t="str">
        <f t="shared" si="72"/>
        <v/>
      </c>
    </row>
    <row r="4670">
      <c r="D4670" s="226"/>
      <c r="H4670" s="474"/>
      <c r="I4670" s="474"/>
      <c r="J4670" s="475"/>
      <c r="K4670" s="275"/>
      <c r="L4670" s="82"/>
      <c r="M4670" s="672"/>
      <c r="N4670" s="242"/>
      <c r="O4670" s="242"/>
      <c r="P4670" s="242"/>
      <c r="Q4670" s="242"/>
      <c r="R4670" s="539"/>
      <c r="S4670" s="540"/>
      <c r="T4670" s="543"/>
      <c r="U4670" s="673" t="b">
        <v>0</v>
      </c>
      <c r="Z4670" t="b">
        <v>0</v>
      </c>
      <c r="AA4670" t="b">
        <v>0</v>
      </c>
      <c r="AC4670" s="82"/>
      <c r="AD4670" t="str">
        <f t="shared" si="71"/>
        <v/>
      </c>
      <c r="AE4670" t="str">
        <f t="shared" si="72"/>
        <v/>
      </c>
    </row>
    <row r="4671">
      <c r="D4671" s="226"/>
      <c r="H4671" s="474"/>
      <c r="I4671" s="474"/>
      <c r="J4671" s="475"/>
      <c r="K4671" s="275"/>
      <c r="L4671" s="82"/>
      <c r="M4671" s="672"/>
      <c r="N4671" s="242"/>
      <c r="O4671" s="242"/>
      <c r="P4671" s="242"/>
      <c r="Q4671" s="242"/>
      <c r="R4671" s="539"/>
      <c r="S4671" s="540"/>
      <c r="T4671" s="543"/>
      <c r="U4671" s="673" t="b">
        <v>0</v>
      </c>
      <c r="Z4671" t="b">
        <v>0</v>
      </c>
      <c r="AA4671" t="b">
        <v>0</v>
      </c>
      <c r="AC4671" s="82"/>
      <c r="AD4671" t="str">
        <f t="shared" si="71"/>
        <v/>
      </c>
      <c r="AE4671" t="str">
        <f t="shared" si="72"/>
        <v/>
      </c>
    </row>
    <row r="4672">
      <c r="D4672" s="226"/>
      <c r="H4672" s="474"/>
      <c r="I4672" s="474"/>
      <c r="J4672" s="475"/>
      <c r="K4672" s="275"/>
      <c r="L4672" s="82"/>
      <c r="M4672" s="672"/>
      <c r="N4672" s="242"/>
      <c r="O4672" s="242"/>
      <c r="P4672" s="242"/>
      <c r="Q4672" s="242"/>
      <c r="R4672" s="539"/>
      <c r="S4672" s="540"/>
      <c r="T4672" s="543"/>
      <c r="U4672" s="673" t="b">
        <v>0</v>
      </c>
      <c r="Z4672" t="b">
        <v>0</v>
      </c>
      <c r="AA4672" t="b">
        <v>0</v>
      </c>
      <c r="AC4672" s="82"/>
      <c r="AD4672" t="str">
        <f t="shared" si="71"/>
        <v/>
      </c>
      <c r="AE4672" t="str">
        <f t="shared" si="72"/>
        <v/>
      </c>
    </row>
    <row r="4673">
      <c r="D4673" s="226"/>
      <c r="H4673" s="474"/>
      <c r="I4673" s="474"/>
      <c r="J4673" s="475"/>
      <c r="K4673" s="275"/>
      <c r="L4673" s="82"/>
      <c r="M4673" s="672"/>
      <c r="N4673" s="242"/>
      <c r="O4673" s="242"/>
      <c r="P4673" s="242"/>
      <c r="Q4673" s="242"/>
      <c r="R4673" s="539"/>
      <c r="S4673" s="540"/>
      <c r="T4673" s="543"/>
      <c r="U4673" s="673" t="b">
        <v>0</v>
      </c>
      <c r="Z4673" t="b">
        <v>0</v>
      </c>
      <c r="AA4673" t="b">
        <v>0</v>
      </c>
      <c r="AC4673" s="82"/>
      <c r="AD4673" t="str">
        <f t="shared" si="71"/>
        <v/>
      </c>
      <c r="AE4673" t="str">
        <f t="shared" si="72"/>
        <v/>
      </c>
    </row>
    <row r="4674">
      <c r="D4674" s="226"/>
      <c r="H4674" s="474"/>
      <c r="I4674" s="474"/>
      <c r="J4674" s="475"/>
      <c r="K4674" s="275"/>
      <c r="L4674" s="82"/>
      <c r="M4674" s="672"/>
      <c r="N4674" s="242"/>
      <c r="O4674" s="242"/>
      <c r="P4674" s="242"/>
      <c r="Q4674" s="242"/>
      <c r="R4674" s="539"/>
      <c r="S4674" s="540"/>
      <c r="T4674" s="543"/>
      <c r="U4674" s="673" t="b">
        <v>0</v>
      </c>
      <c r="Z4674" t="b">
        <v>0</v>
      </c>
      <c r="AA4674" t="b">
        <v>0</v>
      </c>
      <c r="AC4674" s="82"/>
      <c r="AD4674" t="str">
        <f t="shared" si="71"/>
        <v/>
      </c>
      <c r="AE4674" t="str">
        <f t="shared" si="72"/>
        <v/>
      </c>
    </row>
    <row r="4675">
      <c r="D4675" s="226"/>
      <c r="H4675" s="474"/>
      <c r="I4675" s="474"/>
      <c r="J4675" s="475"/>
      <c r="K4675" s="275"/>
      <c r="L4675" s="82"/>
      <c r="M4675" s="672"/>
      <c r="N4675" s="242"/>
      <c r="O4675" s="242"/>
      <c r="P4675" s="242"/>
      <c r="Q4675" s="242"/>
      <c r="R4675" s="539"/>
      <c r="S4675" s="540"/>
      <c r="T4675" s="543"/>
      <c r="U4675" s="673" t="b">
        <v>0</v>
      </c>
      <c r="Z4675" t="b">
        <v>0</v>
      </c>
      <c r="AA4675" t="b">
        <v>0</v>
      </c>
      <c r="AC4675" s="82"/>
      <c r="AD4675" t="str">
        <f t="shared" si="71"/>
        <v/>
      </c>
      <c r="AE4675" t="str">
        <f t="shared" si="72"/>
        <v/>
      </c>
    </row>
    <row r="4676">
      <c r="D4676" s="226"/>
      <c r="H4676" s="474"/>
      <c r="I4676" s="474"/>
      <c r="J4676" s="475"/>
      <c r="K4676" s="275"/>
      <c r="L4676" s="82"/>
      <c r="M4676" s="672"/>
      <c r="N4676" s="242"/>
      <c r="O4676" s="242"/>
      <c r="P4676" s="242"/>
      <c r="Q4676" s="242"/>
      <c r="R4676" s="539"/>
      <c r="S4676" s="540"/>
      <c r="T4676" s="543"/>
      <c r="U4676" s="673" t="b">
        <v>0</v>
      </c>
      <c r="Z4676" t="b">
        <v>0</v>
      </c>
      <c r="AA4676" t="b">
        <v>0</v>
      </c>
      <c r="AC4676" s="82"/>
      <c r="AD4676" t="str">
        <f t="shared" si="71"/>
        <v/>
      </c>
      <c r="AE4676" t="str">
        <f t="shared" si="72"/>
        <v/>
      </c>
    </row>
    <row r="4677">
      <c r="D4677" s="226"/>
      <c r="H4677" s="474"/>
      <c r="I4677" s="474"/>
      <c r="J4677" s="475"/>
      <c r="K4677" s="275"/>
      <c r="L4677" s="82"/>
      <c r="M4677" s="672"/>
      <c r="N4677" s="242"/>
      <c r="O4677" s="242"/>
      <c r="P4677" s="242"/>
      <c r="Q4677" s="242"/>
      <c r="R4677" s="539"/>
      <c r="S4677" s="540"/>
      <c r="T4677" s="543"/>
      <c r="U4677" s="673" t="b">
        <v>0</v>
      </c>
      <c r="Z4677" t="b">
        <v>0</v>
      </c>
      <c r="AA4677" t="b">
        <v>0</v>
      </c>
      <c r="AC4677" s="82"/>
      <c r="AD4677" t="str">
        <f t="shared" si="71"/>
        <v/>
      </c>
      <c r="AE4677" t="str">
        <f t="shared" si="72"/>
        <v/>
      </c>
    </row>
    <row r="4678">
      <c r="D4678" s="226"/>
      <c r="H4678" s="474"/>
      <c r="I4678" s="474"/>
      <c r="J4678" s="475"/>
      <c r="K4678" s="275"/>
      <c r="L4678" s="82"/>
      <c r="M4678" s="672"/>
      <c r="N4678" s="242"/>
      <c r="O4678" s="242"/>
      <c r="P4678" s="242"/>
      <c r="Q4678" s="242"/>
      <c r="R4678" s="539"/>
      <c r="S4678" s="540"/>
      <c r="T4678" s="543"/>
      <c r="U4678" s="673" t="b">
        <v>0</v>
      </c>
      <c r="Z4678" t="b">
        <v>0</v>
      </c>
      <c r="AA4678" t="b">
        <v>0</v>
      </c>
      <c r="AC4678" s="82"/>
      <c r="AD4678" t="str">
        <f t="shared" si="71"/>
        <v/>
      </c>
      <c r="AE4678" t="str">
        <f t="shared" si="72"/>
        <v/>
      </c>
    </row>
    <row r="4679">
      <c r="D4679" s="226"/>
      <c r="H4679" s="474"/>
      <c r="I4679" s="474"/>
      <c r="J4679" s="475"/>
      <c r="K4679" s="275"/>
      <c r="L4679" s="82"/>
      <c r="M4679" s="672"/>
      <c r="N4679" s="242"/>
      <c r="O4679" s="242"/>
      <c r="P4679" s="242"/>
      <c r="Q4679" s="242"/>
      <c r="R4679" s="539"/>
      <c r="S4679" s="540"/>
      <c r="T4679" s="543"/>
      <c r="U4679" s="673" t="b">
        <v>0</v>
      </c>
      <c r="Z4679" t="b">
        <v>0</v>
      </c>
      <c r="AA4679" t="b">
        <v>0</v>
      </c>
      <c r="AC4679" s="82"/>
      <c r="AD4679" t="str">
        <f t="shared" si="71"/>
        <v/>
      </c>
      <c r="AE4679" t="str">
        <f t="shared" si="72"/>
        <v/>
      </c>
    </row>
    <row r="4680">
      <c r="D4680" s="226"/>
      <c r="H4680" s="474"/>
      <c r="I4680" s="474"/>
      <c r="J4680" s="475"/>
      <c r="K4680" s="275"/>
      <c r="L4680" s="82"/>
      <c r="M4680" s="672"/>
      <c r="N4680" s="242"/>
      <c r="O4680" s="242"/>
      <c r="P4680" s="242"/>
      <c r="Q4680" s="242"/>
      <c r="R4680" s="539"/>
      <c r="S4680" s="540"/>
      <c r="T4680" s="543"/>
      <c r="U4680" s="673" t="b">
        <v>0</v>
      </c>
      <c r="Z4680" t="b">
        <v>0</v>
      </c>
      <c r="AA4680" t="b">
        <v>0</v>
      </c>
      <c r="AC4680" s="82"/>
      <c r="AD4680" t="str">
        <f t="shared" si="71"/>
        <v/>
      </c>
      <c r="AE4680" t="str">
        <f t="shared" si="72"/>
        <v/>
      </c>
    </row>
    <row r="4681">
      <c r="D4681" s="226"/>
      <c r="H4681" s="474"/>
      <c r="I4681" s="474"/>
      <c r="J4681" s="475"/>
      <c r="K4681" s="275"/>
      <c r="L4681" s="82"/>
      <c r="M4681" s="672"/>
      <c r="N4681" s="242"/>
      <c r="O4681" s="242"/>
      <c r="P4681" s="242"/>
      <c r="Q4681" s="242"/>
      <c r="R4681" s="539"/>
      <c r="S4681" s="540"/>
      <c r="T4681" s="543"/>
      <c r="U4681" s="673" t="b">
        <v>0</v>
      </c>
      <c r="Z4681" t="b">
        <v>0</v>
      </c>
      <c r="AA4681" t="b">
        <v>0</v>
      </c>
      <c r="AC4681" s="82"/>
      <c r="AD4681" t="str">
        <f t="shared" si="71"/>
        <v/>
      </c>
      <c r="AE4681" t="str">
        <f t="shared" si="72"/>
        <v/>
      </c>
    </row>
    <row r="4682">
      <c r="D4682" s="226"/>
      <c r="H4682" s="474"/>
      <c r="I4682" s="474"/>
      <c r="J4682" s="475"/>
      <c r="K4682" s="275"/>
      <c r="L4682" s="82"/>
      <c r="M4682" s="672"/>
      <c r="N4682" s="242"/>
      <c r="O4682" s="242"/>
      <c r="P4682" s="242"/>
      <c r="Q4682" s="242"/>
      <c r="R4682" s="539"/>
      <c r="S4682" s="540"/>
      <c r="T4682" s="543"/>
      <c r="U4682" s="673" t="b">
        <v>0</v>
      </c>
      <c r="Z4682" t="b">
        <v>0</v>
      </c>
      <c r="AA4682" t="b">
        <v>0</v>
      </c>
      <c r="AC4682" s="82"/>
      <c r="AD4682" t="str">
        <f t="shared" si="71"/>
        <v/>
      </c>
      <c r="AE4682" t="str">
        <f t="shared" si="72"/>
        <v/>
      </c>
    </row>
    <row r="4683">
      <c r="D4683" s="226"/>
      <c r="H4683" s="474"/>
      <c r="I4683" s="474"/>
      <c r="J4683" s="475"/>
      <c r="K4683" s="275"/>
      <c r="L4683" s="82"/>
      <c r="M4683" s="672"/>
      <c r="N4683" s="242"/>
      <c r="O4683" s="242"/>
      <c r="P4683" s="242"/>
      <c r="Q4683" s="242"/>
      <c r="R4683" s="539"/>
      <c r="S4683" s="540"/>
      <c r="T4683" s="543"/>
      <c r="U4683" s="673" t="b">
        <v>0</v>
      </c>
      <c r="Z4683" t="b">
        <v>0</v>
      </c>
      <c r="AA4683" t="b">
        <v>0</v>
      </c>
      <c r="AC4683" s="82"/>
      <c r="AD4683" t="str">
        <f t="shared" si="71"/>
        <v/>
      </c>
      <c r="AE4683" t="str">
        <f t="shared" si="72"/>
        <v/>
      </c>
    </row>
    <row r="4684">
      <c r="D4684" s="226"/>
      <c r="H4684" s="474"/>
      <c r="I4684" s="474"/>
      <c r="J4684" s="475"/>
      <c r="K4684" s="275"/>
      <c r="L4684" s="82"/>
      <c r="M4684" s="672"/>
      <c r="N4684" s="242"/>
      <c r="O4684" s="242"/>
      <c r="P4684" s="242"/>
      <c r="Q4684" s="242"/>
      <c r="R4684" s="539"/>
      <c r="S4684" s="540"/>
      <c r="T4684" s="543"/>
      <c r="U4684" s="673" t="b">
        <v>0</v>
      </c>
      <c r="Z4684" t="b">
        <v>0</v>
      </c>
      <c r="AA4684" t="b">
        <v>0</v>
      </c>
      <c r="AC4684" s="82"/>
      <c r="AD4684" t="str">
        <f t="shared" si="71"/>
        <v/>
      </c>
      <c r="AE4684" t="str">
        <f t="shared" si="72"/>
        <v/>
      </c>
    </row>
    <row r="4685">
      <c r="D4685" s="226"/>
      <c r="H4685" s="474"/>
      <c r="I4685" s="474"/>
      <c r="J4685" s="475"/>
      <c r="K4685" s="275"/>
      <c r="L4685" s="82"/>
      <c r="M4685" s="672"/>
      <c r="N4685" s="242"/>
      <c r="O4685" s="242"/>
      <c r="P4685" s="242"/>
      <c r="Q4685" s="242"/>
      <c r="R4685" s="539"/>
      <c r="S4685" s="540"/>
      <c r="T4685" s="543"/>
      <c r="U4685" s="673" t="b">
        <v>0</v>
      </c>
      <c r="Z4685" t="b">
        <v>0</v>
      </c>
      <c r="AA4685" t="b">
        <v>0</v>
      </c>
      <c r="AC4685" s="82"/>
      <c r="AD4685" t="str">
        <f t="shared" si="71"/>
        <v/>
      </c>
      <c r="AE4685" t="str">
        <f t="shared" si="72"/>
        <v/>
      </c>
    </row>
    <row r="4686">
      <c r="D4686" s="226"/>
      <c r="H4686" s="474"/>
      <c r="I4686" s="474"/>
      <c r="J4686" s="475"/>
      <c r="K4686" s="275"/>
      <c r="L4686" s="82"/>
      <c r="M4686" s="672"/>
      <c r="N4686" s="242"/>
      <c r="O4686" s="242"/>
      <c r="P4686" s="242"/>
      <c r="Q4686" s="242"/>
      <c r="R4686" s="539"/>
      <c r="S4686" s="540"/>
      <c r="T4686" s="543"/>
      <c r="U4686" s="673" t="b">
        <v>0</v>
      </c>
      <c r="Z4686" t="b">
        <v>0</v>
      </c>
      <c r="AA4686" t="b">
        <v>0</v>
      </c>
      <c r="AC4686" s="82"/>
      <c r="AD4686" t="str">
        <f t="shared" si="71"/>
        <v/>
      </c>
      <c r="AE4686" t="str">
        <f t="shared" si="72"/>
        <v/>
      </c>
    </row>
    <row r="4687">
      <c r="D4687" s="226"/>
      <c r="H4687" s="474"/>
      <c r="I4687" s="474"/>
      <c r="J4687" s="475"/>
      <c r="K4687" s="275"/>
      <c r="L4687" s="82"/>
      <c r="M4687" s="672"/>
      <c r="N4687" s="242"/>
      <c r="O4687" s="242"/>
      <c r="P4687" s="242"/>
      <c r="Q4687" s="242"/>
      <c r="R4687" s="539"/>
      <c r="S4687" s="540"/>
      <c r="T4687" s="543"/>
      <c r="U4687" s="673" t="b">
        <v>0</v>
      </c>
      <c r="Z4687" t="b">
        <v>0</v>
      </c>
      <c r="AA4687" t="b">
        <v>0</v>
      </c>
      <c r="AC4687" s="82"/>
      <c r="AD4687" t="str">
        <f t="shared" si="71"/>
        <v/>
      </c>
      <c r="AE4687" t="str">
        <f t="shared" si="72"/>
        <v/>
      </c>
    </row>
    <row r="4688">
      <c r="D4688" s="226"/>
      <c r="H4688" s="474"/>
      <c r="I4688" s="474"/>
      <c r="J4688" s="475"/>
      <c r="K4688" s="275"/>
      <c r="L4688" s="82"/>
      <c r="M4688" s="672"/>
      <c r="N4688" s="242"/>
      <c r="O4688" s="242"/>
      <c r="P4688" s="242"/>
      <c r="Q4688" s="242"/>
      <c r="R4688" s="539"/>
      <c r="S4688" s="540"/>
      <c r="T4688" s="543"/>
      <c r="U4688" s="673" t="b">
        <v>0</v>
      </c>
      <c r="Z4688" t="b">
        <v>0</v>
      </c>
      <c r="AA4688" t="b">
        <v>0</v>
      </c>
      <c r="AC4688" s="82"/>
      <c r="AD4688" t="str">
        <f t="shared" si="71"/>
        <v/>
      </c>
      <c r="AE4688" t="str">
        <f t="shared" si="72"/>
        <v/>
      </c>
    </row>
    <row r="4689">
      <c r="D4689" s="226"/>
      <c r="H4689" s="474"/>
      <c r="I4689" s="474"/>
      <c r="J4689" s="475"/>
      <c r="K4689" s="275"/>
      <c r="L4689" s="82"/>
      <c r="M4689" s="672"/>
      <c r="N4689" s="242"/>
      <c r="O4689" s="242"/>
      <c r="P4689" s="242"/>
      <c r="Q4689" s="242"/>
      <c r="R4689" s="539"/>
      <c r="S4689" s="540"/>
      <c r="T4689" s="543"/>
      <c r="U4689" s="673" t="b">
        <v>0</v>
      </c>
      <c r="Z4689" t="b">
        <v>0</v>
      </c>
      <c r="AA4689" t="b">
        <v>0</v>
      </c>
      <c r="AC4689" s="82"/>
      <c r="AD4689" t="str">
        <f t="shared" si="71"/>
        <v/>
      </c>
      <c r="AE4689" t="str">
        <f t="shared" si="72"/>
        <v/>
      </c>
    </row>
    <row r="4690">
      <c r="D4690" s="226"/>
      <c r="H4690" s="474"/>
      <c r="I4690" s="474"/>
      <c r="J4690" s="475"/>
      <c r="K4690" s="275"/>
      <c r="L4690" s="82"/>
      <c r="M4690" s="672"/>
      <c r="N4690" s="242"/>
      <c r="O4690" s="242"/>
      <c r="P4690" s="242"/>
      <c r="Q4690" s="242"/>
      <c r="R4690" s="539"/>
      <c r="S4690" s="540"/>
      <c r="T4690" s="543"/>
      <c r="U4690" s="673" t="b">
        <v>0</v>
      </c>
      <c r="Z4690" t="b">
        <v>0</v>
      </c>
      <c r="AA4690" t="b">
        <v>0</v>
      </c>
      <c r="AC4690" s="82"/>
      <c r="AD4690" t="str">
        <f t="shared" si="71"/>
        <v/>
      </c>
      <c r="AE4690" t="str">
        <f t="shared" si="72"/>
        <v/>
      </c>
    </row>
    <row r="4691">
      <c r="D4691" s="226"/>
      <c r="H4691" s="474"/>
      <c r="I4691" s="474"/>
      <c r="J4691" s="475"/>
      <c r="K4691" s="275"/>
      <c r="L4691" s="82"/>
      <c r="M4691" s="672"/>
      <c r="N4691" s="242"/>
      <c r="O4691" s="242"/>
      <c r="P4691" s="242"/>
      <c r="Q4691" s="242"/>
      <c r="R4691" s="539"/>
      <c r="S4691" s="540"/>
      <c r="T4691" s="543"/>
      <c r="U4691" s="673" t="b">
        <v>0</v>
      </c>
      <c r="Z4691" t="b">
        <v>0</v>
      </c>
      <c r="AA4691" t="b">
        <v>0</v>
      </c>
      <c r="AC4691" s="82"/>
      <c r="AD4691" t="str">
        <f t="shared" si="71"/>
        <v/>
      </c>
      <c r="AE4691" t="str">
        <f t="shared" si="72"/>
        <v/>
      </c>
    </row>
    <row r="4692">
      <c r="D4692" s="226"/>
      <c r="H4692" s="474"/>
      <c r="I4692" s="474"/>
      <c r="J4692" s="475"/>
      <c r="K4692" s="275"/>
      <c r="L4692" s="82"/>
      <c r="M4692" s="672"/>
      <c r="N4692" s="242"/>
      <c r="O4692" s="242"/>
      <c r="P4692" s="242"/>
      <c r="Q4692" s="242"/>
      <c r="R4692" s="539"/>
      <c r="S4692" s="540"/>
      <c r="T4692" s="543"/>
      <c r="U4692" s="673" t="b">
        <v>0</v>
      </c>
      <c r="Z4692" t="b">
        <v>0</v>
      </c>
      <c r="AA4692" t="b">
        <v>0</v>
      </c>
      <c r="AC4692" s="82"/>
      <c r="AD4692" t="str">
        <f t="shared" si="71"/>
        <v/>
      </c>
      <c r="AE4692" t="str">
        <f t="shared" si="72"/>
        <v/>
      </c>
    </row>
    <row r="4693">
      <c r="D4693" s="226"/>
      <c r="H4693" s="474"/>
      <c r="I4693" s="474"/>
      <c r="J4693" s="475"/>
      <c r="K4693" s="275"/>
      <c r="L4693" s="82"/>
      <c r="M4693" s="672"/>
      <c r="N4693" s="242"/>
      <c r="O4693" s="242"/>
      <c r="P4693" s="242"/>
      <c r="Q4693" s="242"/>
      <c r="R4693" s="539"/>
      <c r="S4693" s="540"/>
      <c r="T4693" s="543"/>
      <c r="U4693" s="673" t="b">
        <v>0</v>
      </c>
      <c r="Z4693" t="b">
        <v>0</v>
      </c>
      <c r="AA4693" t="b">
        <v>0</v>
      </c>
      <c r="AC4693" s="82"/>
      <c r="AD4693" t="str">
        <f t="shared" si="71"/>
        <v/>
      </c>
      <c r="AE4693" t="str">
        <f t="shared" si="72"/>
        <v/>
      </c>
    </row>
    <row r="4694">
      <c r="D4694" s="226"/>
      <c r="H4694" s="474"/>
      <c r="I4694" s="474"/>
      <c r="J4694" s="475"/>
      <c r="K4694" s="275"/>
      <c r="L4694" s="82"/>
      <c r="M4694" s="672"/>
      <c r="N4694" s="242"/>
      <c r="O4694" s="242"/>
      <c r="P4694" s="242"/>
      <c r="Q4694" s="242"/>
      <c r="R4694" s="539"/>
      <c r="S4694" s="540"/>
      <c r="T4694" s="543"/>
      <c r="U4694" s="673" t="b">
        <v>0</v>
      </c>
      <c r="Z4694" t="b">
        <v>0</v>
      </c>
      <c r="AA4694" t="b">
        <v>0</v>
      </c>
      <c r="AC4694" s="82"/>
      <c r="AD4694" t="str">
        <f t="shared" si="71"/>
        <v/>
      </c>
      <c r="AE4694" t="str">
        <f t="shared" si="72"/>
        <v/>
      </c>
    </row>
    <row r="4695">
      <c r="D4695" s="226"/>
      <c r="H4695" s="474"/>
      <c r="I4695" s="474"/>
      <c r="J4695" s="475"/>
      <c r="K4695" s="275"/>
      <c r="L4695" s="82"/>
      <c r="M4695" s="672"/>
      <c r="N4695" s="242"/>
      <c r="O4695" s="242"/>
      <c r="P4695" s="242"/>
      <c r="Q4695" s="242"/>
      <c r="R4695" s="539"/>
      <c r="S4695" s="540"/>
      <c r="T4695" s="543"/>
      <c r="U4695" s="673" t="b">
        <v>0</v>
      </c>
      <c r="Z4695" t="b">
        <v>0</v>
      </c>
      <c r="AA4695" t="b">
        <v>0</v>
      </c>
      <c r="AC4695" s="82"/>
      <c r="AD4695" t="str">
        <f t="shared" si="71"/>
        <v/>
      </c>
      <c r="AE4695" t="str">
        <f t="shared" si="72"/>
        <v/>
      </c>
    </row>
    <row r="4696">
      <c r="D4696" s="226"/>
      <c r="H4696" s="474"/>
      <c r="I4696" s="474"/>
      <c r="J4696" s="475"/>
      <c r="K4696" s="275"/>
      <c r="L4696" s="82"/>
      <c r="M4696" s="672"/>
      <c r="N4696" s="242"/>
      <c r="O4696" s="242"/>
      <c r="P4696" s="242"/>
      <c r="Q4696" s="242"/>
      <c r="R4696" s="539"/>
      <c r="S4696" s="540"/>
      <c r="T4696" s="543"/>
      <c r="U4696" s="673" t="b">
        <v>0</v>
      </c>
      <c r="Z4696" t="b">
        <v>0</v>
      </c>
      <c r="AA4696" t="b">
        <v>0</v>
      </c>
      <c r="AC4696" s="82"/>
      <c r="AD4696" t="str">
        <f t="shared" si="71"/>
        <v/>
      </c>
      <c r="AE4696" t="str">
        <f t="shared" si="72"/>
        <v/>
      </c>
    </row>
    <row r="4697">
      <c r="D4697" s="226"/>
      <c r="H4697" s="474"/>
      <c r="I4697" s="474"/>
      <c r="J4697" s="475"/>
      <c r="K4697" s="275"/>
      <c r="L4697" s="82"/>
      <c r="M4697" s="672"/>
      <c r="N4697" s="242"/>
      <c r="O4697" s="242"/>
      <c r="P4697" s="242"/>
      <c r="Q4697" s="242"/>
      <c r="R4697" s="539"/>
      <c r="S4697" s="540"/>
      <c r="T4697" s="543"/>
      <c r="U4697" s="673" t="b">
        <v>0</v>
      </c>
      <c r="Z4697" t="b">
        <v>0</v>
      </c>
      <c r="AA4697" t="b">
        <v>0</v>
      </c>
      <c r="AC4697" s="82"/>
      <c r="AD4697" t="str">
        <f t="shared" si="71"/>
        <v/>
      </c>
      <c r="AE4697" t="str">
        <f t="shared" si="72"/>
        <v/>
      </c>
    </row>
    <row r="4698">
      <c r="D4698" s="226"/>
      <c r="H4698" s="474"/>
      <c r="I4698" s="474"/>
      <c r="J4698" s="475"/>
      <c r="K4698" s="275"/>
      <c r="L4698" s="82"/>
      <c r="M4698" s="672"/>
      <c r="N4698" s="242"/>
      <c r="O4698" s="242"/>
      <c r="P4698" s="242"/>
      <c r="Q4698" s="242"/>
      <c r="R4698" s="539"/>
      <c r="S4698" s="540"/>
      <c r="T4698" s="543"/>
      <c r="U4698" s="673" t="b">
        <v>0</v>
      </c>
      <c r="Z4698" t="b">
        <v>0</v>
      </c>
      <c r="AA4698" t="b">
        <v>0</v>
      </c>
      <c r="AC4698" s="82"/>
      <c r="AD4698" t="str">
        <f t="shared" si="71"/>
        <v/>
      </c>
      <c r="AE4698" t="str">
        <f t="shared" si="72"/>
        <v/>
      </c>
    </row>
    <row r="4699">
      <c r="D4699" s="226"/>
      <c r="H4699" s="474"/>
      <c r="I4699" s="474"/>
      <c r="J4699" s="475"/>
      <c r="K4699" s="275"/>
      <c r="L4699" s="82"/>
      <c r="M4699" s="672"/>
      <c r="N4699" s="242"/>
      <c r="O4699" s="242"/>
      <c r="P4699" s="242"/>
      <c r="Q4699" s="242"/>
      <c r="R4699" s="539"/>
      <c r="S4699" s="540"/>
      <c r="T4699" s="543"/>
      <c r="U4699" s="673" t="b">
        <v>0</v>
      </c>
      <c r="Z4699" t="b">
        <v>0</v>
      </c>
      <c r="AA4699" t="b">
        <v>0</v>
      </c>
      <c r="AC4699" s="82"/>
      <c r="AD4699" t="str">
        <f t="shared" si="71"/>
        <v/>
      </c>
      <c r="AE4699" t="str">
        <f t="shared" si="72"/>
        <v/>
      </c>
    </row>
    <row r="4700">
      <c r="D4700" s="226"/>
      <c r="H4700" s="474"/>
      <c r="I4700" s="474"/>
      <c r="J4700" s="475"/>
      <c r="K4700" s="275"/>
      <c r="L4700" s="82"/>
      <c r="M4700" s="672"/>
      <c r="N4700" s="242"/>
      <c r="O4700" s="242"/>
      <c r="P4700" s="242"/>
      <c r="Q4700" s="242"/>
      <c r="R4700" s="539"/>
      <c r="S4700" s="540"/>
      <c r="T4700" s="543"/>
      <c r="U4700" s="673" t="b">
        <v>0</v>
      </c>
      <c r="Z4700" t="b">
        <v>0</v>
      </c>
      <c r="AA4700" t="b">
        <v>0</v>
      </c>
      <c r="AC4700" s="82"/>
      <c r="AD4700" t="str">
        <f t="shared" si="71"/>
        <v/>
      </c>
      <c r="AE4700" t="str">
        <f t="shared" si="72"/>
        <v/>
      </c>
    </row>
    <row r="4701">
      <c r="D4701" s="226"/>
      <c r="H4701" s="474"/>
      <c r="I4701" s="474"/>
      <c r="J4701" s="475"/>
      <c r="K4701" s="275"/>
      <c r="L4701" s="82"/>
      <c r="M4701" s="672"/>
      <c r="N4701" s="242"/>
      <c r="O4701" s="242"/>
      <c r="P4701" s="242"/>
      <c r="Q4701" s="242"/>
      <c r="R4701" s="539"/>
      <c r="S4701" s="540"/>
      <c r="T4701" s="543"/>
      <c r="U4701" s="673" t="b">
        <v>0</v>
      </c>
      <c r="Z4701" t="b">
        <v>0</v>
      </c>
      <c r="AA4701" t="b">
        <v>0</v>
      </c>
      <c r="AC4701" s="82"/>
      <c r="AD4701" t="str">
        <f t="shared" si="71"/>
        <v/>
      </c>
      <c r="AE4701" t="str">
        <f t="shared" si="72"/>
        <v/>
      </c>
    </row>
    <row r="4702">
      <c r="D4702" s="226"/>
      <c r="H4702" s="474"/>
      <c r="I4702" s="474"/>
      <c r="J4702" s="475"/>
      <c r="K4702" s="275"/>
      <c r="L4702" s="82"/>
      <c r="M4702" s="672"/>
      <c r="N4702" s="242"/>
      <c r="O4702" s="242"/>
      <c r="P4702" s="242"/>
      <c r="Q4702" s="242"/>
      <c r="R4702" s="539"/>
      <c r="S4702" s="540"/>
      <c r="T4702" s="543"/>
      <c r="U4702" s="673" t="b">
        <v>0</v>
      </c>
      <c r="Z4702" t="b">
        <v>0</v>
      </c>
      <c r="AA4702" t="b">
        <v>0</v>
      </c>
      <c r="AC4702" s="82"/>
      <c r="AD4702" t="str">
        <f t="shared" si="71"/>
        <v/>
      </c>
      <c r="AE4702" t="str">
        <f t="shared" si="72"/>
        <v/>
      </c>
    </row>
    <row r="4703">
      <c r="D4703" s="226"/>
      <c r="H4703" s="474"/>
      <c r="I4703" s="474"/>
      <c r="J4703" s="475"/>
      <c r="K4703" s="275"/>
      <c r="L4703" s="82"/>
      <c r="M4703" s="672"/>
      <c r="N4703" s="242"/>
      <c r="O4703" s="242"/>
      <c r="P4703" s="242"/>
      <c r="Q4703" s="242"/>
      <c r="R4703" s="539"/>
      <c r="S4703" s="540"/>
      <c r="T4703" s="543"/>
      <c r="U4703" s="673" t="b">
        <v>0</v>
      </c>
      <c r="Z4703" t="b">
        <v>0</v>
      </c>
      <c r="AA4703" t="b">
        <v>0</v>
      </c>
      <c r="AC4703" s="82"/>
      <c r="AD4703" t="str">
        <f t="shared" si="71"/>
        <v/>
      </c>
      <c r="AE4703" t="str">
        <f t="shared" si="72"/>
        <v/>
      </c>
    </row>
    <row r="4704">
      <c r="D4704" s="226"/>
      <c r="H4704" s="474"/>
      <c r="I4704" s="474"/>
      <c r="J4704" s="475"/>
      <c r="K4704" s="275"/>
      <c r="L4704" s="82"/>
      <c r="M4704" s="672"/>
      <c r="N4704" s="242"/>
      <c r="O4704" s="242"/>
      <c r="P4704" s="242"/>
      <c r="Q4704" s="242"/>
      <c r="R4704" s="539"/>
      <c r="S4704" s="540"/>
      <c r="T4704" s="543"/>
      <c r="U4704" s="673" t="b">
        <v>0</v>
      </c>
      <c r="Z4704" t="b">
        <v>0</v>
      </c>
      <c r="AA4704" t="b">
        <v>0</v>
      </c>
      <c r="AC4704" s="82"/>
      <c r="AD4704" t="str">
        <f t="shared" si="71"/>
        <v/>
      </c>
      <c r="AE4704" t="str">
        <f t="shared" si="72"/>
        <v/>
      </c>
    </row>
    <row r="4705">
      <c r="D4705" s="226"/>
      <c r="H4705" s="474"/>
      <c r="I4705" s="474"/>
      <c r="J4705" s="475"/>
      <c r="K4705" s="275"/>
      <c r="L4705" s="82"/>
      <c r="M4705" s="672"/>
      <c r="N4705" s="242"/>
      <c r="O4705" s="242"/>
      <c r="P4705" s="242"/>
      <c r="Q4705" s="242"/>
      <c r="R4705" s="539"/>
      <c r="S4705" s="540"/>
      <c r="T4705" s="543"/>
      <c r="U4705" s="673" t="b">
        <v>0</v>
      </c>
      <c r="Z4705" t="b">
        <v>0</v>
      </c>
      <c r="AA4705" t="b">
        <v>0</v>
      </c>
      <c r="AC4705" s="82"/>
      <c r="AD4705" t="str">
        <f t="shared" si="71"/>
        <v/>
      </c>
      <c r="AE4705" t="str">
        <f t="shared" si="72"/>
        <v/>
      </c>
    </row>
    <row r="4706">
      <c r="D4706" s="226"/>
      <c r="H4706" s="474"/>
      <c r="I4706" s="474"/>
      <c r="J4706" s="475"/>
      <c r="K4706" s="275"/>
      <c r="L4706" s="82"/>
      <c r="M4706" s="672"/>
      <c r="N4706" s="242"/>
      <c r="O4706" s="242"/>
      <c r="P4706" s="242"/>
      <c r="Q4706" s="242"/>
      <c r="R4706" s="539"/>
      <c r="S4706" s="540"/>
      <c r="T4706" s="543"/>
      <c r="U4706" s="673" t="b">
        <v>0</v>
      </c>
      <c r="Z4706" t="b">
        <v>0</v>
      </c>
      <c r="AA4706" t="b">
        <v>0</v>
      </c>
      <c r="AC4706" s="82"/>
      <c r="AD4706" t="str">
        <f t="shared" si="71"/>
        <v/>
      </c>
      <c r="AE4706" t="str">
        <f t="shared" si="72"/>
        <v/>
      </c>
    </row>
    <row r="4707">
      <c r="D4707" s="226"/>
      <c r="H4707" s="474"/>
      <c r="I4707" s="474"/>
      <c r="J4707" s="475"/>
      <c r="K4707" s="275"/>
      <c r="L4707" s="82"/>
      <c r="M4707" s="672"/>
      <c r="N4707" s="242"/>
      <c r="O4707" s="242"/>
      <c r="P4707" s="242"/>
      <c r="Q4707" s="242"/>
      <c r="R4707" s="539"/>
      <c r="S4707" s="540"/>
      <c r="T4707" s="543"/>
      <c r="U4707" s="673" t="b">
        <v>0</v>
      </c>
      <c r="Z4707" t="b">
        <v>0</v>
      </c>
      <c r="AA4707" t="b">
        <v>0</v>
      </c>
      <c r="AC4707" s="82"/>
      <c r="AD4707" t="str">
        <f t="shared" si="71"/>
        <v/>
      </c>
      <c r="AE4707" t="str">
        <f t="shared" si="72"/>
        <v/>
      </c>
    </row>
    <row r="4708">
      <c r="D4708" s="226"/>
      <c r="H4708" s="474"/>
      <c r="I4708" s="474"/>
      <c r="J4708" s="475"/>
      <c r="K4708" s="275"/>
      <c r="L4708" s="82"/>
      <c r="M4708" s="672"/>
      <c r="N4708" s="242"/>
      <c r="O4708" s="242"/>
      <c r="P4708" s="242"/>
      <c r="Q4708" s="242"/>
      <c r="R4708" s="539"/>
      <c r="S4708" s="540"/>
      <c r="T4708" s="543"/>
      <c r="U4708" s="673" t="b">
        <v>0</v>
      </c>
      <c r="Z4708" t="b">
        <v>0</v>
      </c>
      <c r="AA4708" t="b">
        <v>0</v>
      </c>
      <c r="AC4708" s="82"/>
      <c r="AD4708" t="str">
        <f t="shared" si="71"/>
        <v/>
      </c>
      <c r="AE4708" t="str">
        <f t="shared" si="72"/>
        <v/>
      </c>
    </row>
    <row r="4709">
      <c r="D4709" s="226"/>
      <c r="H4709" s="474"/>
      <c r="I4709" s="474"/>
      <c r="J4709" s="475"/>
      <c r="K4709" s="275"/>
      <c r="L4709" s="82"/>
      <c r="M4709" s="672"/>
      <c r="N4709" s="242"/>
      <c r="O4709" s="242"/>
      <c r="P4709" s="242"/>
      <c r="Q4709" s="242"/>
      <c r="R4709" s="539"/>
      <c r="S4709" s="540"/>
      <c r="T4709" s="543"/>
      <c r="U4709" s="673" t="b">
        <v>0</v>
      </c>
      <c r="Z4709" t="b">
        <v>0</v>
      </c>
      <c r="AA4709" t="b">
        <v>0</v>
      </c>
      <c r="AC4709" s="82"/>
      <c r="AD4709" t="str">
        <f t="shared" si="71"/>
        <v/>
      </c>
      <c r="AE4709" t="str">
        <f t="shared" si="72"/>
        <v/>
      </c>
    </row>
    <row r="4710">
      <c r="D4710" s="226"/>
      <c r="H4710" s="474"/>
      <c r="I4710" s="474"/>
      <c r="J4710" s="475"/>
      <c r="K4710" s="275"/>
      <c r="L4710" s="82"/>
      <c r="M4710" s="672"/>
      <c r="N4710" s="242"/>
      <c r="O4710" s="242"/>
      <c r="P4710" s="242"/>
      <c r="Q4710" s="242"/>
      <c r="R4710" s="539"/>
      <c r="S4710" s="540"/>
      <c r="T4710" s="543"/>
      <c r="U4710" s="673" t="b">
        <v>0</v>
      </c>
      <c r="Z4710" t="b">
        <v>0</v>
      </c>
      <c r="AA4710" t="b">
        <v>0</v>
      </c>
      <c r="AC4710" s="82"/>
      <c r="AD4710" t="str">
        <f t="shared" si="71"/>
        <v/>
      </c>
      <c r="AE4710" t="str">
        <f t="shared" si="72"/>
        <v/>
      </c>
    </row>
    <row r="4711">
      <c r="D4711" s="226"/>
      <c r="H4711" s="474"/>
      <c r="I4711" s="474"/>
      <c r="J4711" s="475"/>
      <c r="K4711" s="275"/>
      <c r="L4711" s="82"/>
      <c r="M4711" s="672"/>
      <c r="N4711" s="242"/>
      <c r="O4711" s="242"/>
      <c r="P4711" s="242"/>
      <c r="Q4711" s="242"/>
      <c r="R4711" s="539"/>
      <c r="S4711" s="540"/>
      <c r="T4711" s="543"/>
      <c r="U4711" s="673" t="b">
        <v>0</v>
      </c>
      <c r="Z4711" t="b">
        <v>0</v>
      </c>
      <c r="AA4711" t="b">
        <v>0</v>
      </c>
      <c r="AC4711" s="82"/>
      <c r="AD4711" t="str">
        <f t="shared" si="71"/>
        <v/>
      </c>
      <c r="AE4711" t="str">
        <f t="shared" si="72"/>
        <v/>
      </c>
    </row>
    <row r="4712">
      <c r="D4712" s="226"/>
      <c r="H4712" s="474"/>
      <c r="I4712" s="474"/>
      <c r="J4712" s="475"/>
      <c r="K4712" s="275"/>
      <c r="L4712" s="82"/>
      <c r="M4712" s="672"/>
      <c r="N4712" s="242"/>
      <c r="O4712" s="242"/>
      <c r="P4712" s="242"/>
      <c r="Q4712" s="242"/>
      <c r="R4712" s="539"/>
      <c r="S4712" s="540"/>
      <c r="T4712" s="543"/>
      <c r="U4712" s="673" t="b">
        <v>0</v>
      </c>
      <c r="Z4712" t="b">
        <v>0</v>
      </c>
      <c r="AA4712" t="b">
        <v>0</v>
      </c>
      <c r="AC4712" s="82"/>
      <c r="AD4712" t="str">
        <f t="shared" si="71"/>
        <v/>
      </c>
      <c r="AE4712" t="str">
        <f t="shared" si="72"/>
        <v/>
      </c>
    </row>
    <row r="4713">
      <c r="D4713" s="226"/>
      <c r="H4713" s="474"/>
      <c r="I4713" s="474"/>
      <c r="J4713" s="475"/>
      <c r="K4713" s="275"/>
      <c r="L4713" s="82"/>
      <c r="M4713" s="672"/>
      <c r="N4713" s="242"/>
      <c r="O4713" s="242"/>
      <c r="P4713" s="242"/>
      <c r="Q4713" s="242"/>
      <c r="R4713" s="539"/>
      <c r="S4713" s="540"/>
      <c r="T4713" s="543"/>
      <c r="U4713" s="673" t="b">
        <v>0</v>
      </c>
      <c r="Z4713" t="b">
        <v>0</v>
      </c>
      <c r="AA4713" t="b">
        <v>0</v>
      </c>
      <c r="AC4713" s="82"/>
      <c r="AD4713" t="str">
        <f t="shared" si="71"/>
        <v/>
      </c>
      <c r="AE4713" t="str">
        <f t="shared" si="72"/>
        <v/>
      </c>
    </row>
    <row r="4714">
      <c r="D4714" s="226"/>
      <c r="H4714" s="474"/>
      <c r="I4714" s="474"/>
      <c r="J4714" s="475"/>
      <c r="K4714" s="275"/>
      <c r="L4714" s="82"/>
      <c r="M4714" s="672"/>
      <c r="N4714" s="242"/>
      <c r="O4714" s="242"/>
      <c r="P4714" s="242"/>
      <c r="Q4714" s="242"/>
      <c r="R4714" s="539"/>
      <c r="S4714" s="540"/>
      <c r="T4714" s="543"/>
      <c r="U4714" s="673" t="b">
        <v>0</v>
      </c>
      <c r="Z4714" t="b">
        <v>0</v>
      </c>
      <c r="AA4714" t="b">
        <v>0</v>
      </c>
      <c r="AC4714" s="82"/>
      <c r="AD4714" t="str">
        <f t="shared" si="71"/>
        <v/>
      </c>
      <c r="AE4714" t="str">
        <f t="shared" si="72"/>
        <v/>
      </c>
    </row>
    <row r="4715">
      <c r="D4715" s="226"/>
      <c r="H4715" s="474"/>
      <c r="I4715" s="474"/>
      <c r="J4715" s="475"/>
      <c r="K4715" s="275"/>
      <c r="L4715" s="82"/>
      <c r="M4715" s="672"/>
      <c r="N4715" s="242"/>
      <c r="O4715" s="242"/>
      <c r="P4715" s="242"/>
      <c r="Q4715" s="242"/>
      <c r="R4715" s="539"/>
      <c r="S4715" s="540"/>
      <c r="T4715" s="543"/>
      <c r="U4715" s="673" t="b">
        <v>0</v>
      </c>
      <c r="Z4715" t="b">
        <v>0</v>
      </c>
      <c r="AA4715" t="b">
        <v>0</v>
      </c>
      <c r="AC4715" s="82"/>
      <c r="AD4715" t="str">
        <f t="shared" si="71"/>
        <v/>
      </c>
      <c r="AE4715" t="str">
        <f t="shared" si="72"/>
        <v/>
      </c>
    </row>
    <row r="4716">
      <c r="D4716" s="226"/>
      <c r="H4716" s="474"/>
      <c r="I4716" s="474"/>
      <c r="J4716" s="475"/>
      <c r="K4716" s="275"/>
      <c r="L4716" s="82"/>
      <c r="M4716" s="672"/>
      <c r="N4716" s="242"/>
      <c r="O4716" s="242"/>
      <c r="P4716" s="242"/>
      <c r="Q4716" s="242"/>
      <c r="R4716" s="539"/>
      <c r="S4716" s="540"/>
      <c r="T4716" s="543"/>
      <c r="U4716" s="673" t="b">
        <v>0</v>
      </c>
      <c r="Z4716" t="b">
        <v>0</v>
      </c>
      <c r="AA4716" t="b">
        <v>0</v>
      </c>
      <c r="AC4716" s="82"/>
      <c r="AD4716" t="str">
        <f t="shared" si="71"/>
        <v/>
      </c>
      <c r="AE4716" t="str">
        <f t="shared" si="72"/>
        <v/>
      </c>
    </row>
    <row r="4717">
      <c r="D4717" s="226"/>
      <c r="H4717" s="474"/>
      <c r="I4717" s="474"/>
      <c r="J4717" s="475"/>
      <c r="K4717" s="275"/>
      <c r="L4717" s="82"/>
      <c r="M4717" s="672"/>
      <c r="N4717" s="242"/>
      <c r="O4717" s="242"/>
      <c r="P4717" s="242"/>
      <c r="Q4717" s="242"/>
      <c r="R4717" s="539"/>
      <c r="S4717" s="540"/>
      <c r="T4717" s="543"/>
      <c r="U4717" s="673" t="b">
        <v>0</v>
      </c>
      <c r="Z4717" t="b">
        <v>0</v>
      </c>
      <c r="AA4717" t="b">
        <v>0</v>
      </c>
      <c r="AC4717" s="82"/>
      <c r="AD4717" t="str">
        <f t="shared" si="71"/>
        <v/>
      </c>
      <c r="AE4717" t="str">
        <f t="shared" si="72"/>
        <v/>
      </c>
    </row>
    <row r="4718">
      <c r="D4718" s="226"/>
      <c r="H4718" s="474"/>
      <c r="I4718" s="474"/>
      <c r="J4718" s="475"/>
      <c r="K4718" s="275"/>
      <c r="L4718" s="82"/>
      <c r="M4718" s="672"/>
      <c r="N4718" s="242"/>
      <c r="O4718" s="242"/>
      <c r="P4718" s="242"/>
      <c r="Q4718" s="242"/>
      <c r="R4718" s="539"/>
      <c r="S4718" s="540"/>
      <c r="T4718" s="543"/>
      <c r="U4718" s="673" t="b">
        <v>0</v>
      </c>
      <c r="Z4718" t="b">
        <v>0</v>
      </c>
      <c r="AA4718" t="b">
        <v>0</v>
      </c>
      <c r="AC4718" s="82"/>
      <c r="AD4718" t="str">
        <f t="shared" si="71"/>
        <v/>
      </c>
      <c r="AE4718" t="str">
        <f t="shared" si="72"/>
        <v/>
      </c>
    </row>
    <row r="4719">
      <c r="D4719" s="226"/>
      <c r="H4719" s="474"/>
      <c r="I4719" s="474"/>
      <c r="J4719" s="475"/>
      <c r="K4719" s="275"/>
      <c r="L4719" s="82"/>
      <c r="M4719" s="672"/>
      <c r="N4719" s="242"/>
      <c r="O4719" s="242"/>
      <c r="P4719" s="242"/>
      <c r="Q4719" s="242"/>
      <c r="R4719" s="539"/>
      <c r="S4719" s="540"/>
      <c r="T4719" s="543"/>
      <c r="U4719" s="673" t="b">
        <v>0</v>
      </c>
      <c r="Z4719" t="b">
        <v>0</v>
      </c>
      <c r="AA4719" t="b">
        <v>0</v>
      </c>
      <c r="AC4719" s="82"/>
      <c r="AD4719" t="str">
        <f t="shared" si="71"/>
        <v/>
      </c>
      <c r="AE4719" t="str">
        <f t="shared" si="72"/>
        <v/>
      </c>
    </row>
    <row r="4720">
      <c r="D4720" s="226"/>
      <c r="H4720" s="474"/>
      <c r="I4720" s="474"/>
      <c r="J4720" s="475"/>
      <c r="K4720" s="275"/>
      <c r="L4720" s="82"/>
      <c r="M4720" s="672"/>
      <c r="N4720" s="242"/>
      <c r="O4720" s="242"/>
      <c r="P4720" s="242"/>
      <c r="Q4720" s="242"/>
      <c r="R4720" s="539"/>
      <c r="S4720" s="540"/>
      <c r="T4720" s="543"/>
      <c r="U4720" s="673" t="b">
        <v>0</v>
      </c>
      <c r="Z4720" t="b">
        <v>0</v>
      </c>
      <c r="AA4720" t="b">
        <v>0</v>
      </c>
      <c r="AC4720" s="82"/>
      <c r="AD4720" t="str">
        <f t="shared" si="71"/>
        <v/>
      </c>
      <c r="AE4720" t="str">
        <f t="shared" si="72"/>
        <v/>
      </c>
    </row>
    <row r="4721">
      <c r="D4721" s="226"/>
      <c r="H4721" s="474"/>
      <c r="I4721" s="474"/>
      <c r="J4721" s="475"/>
      <c r="K4721" s="275"/>
      <c r="L4721" s="82"/>
      <c r="M4721" s="672"/>
      <c r="N4721" s="242"/>
      <c r="O4721" s="242"/>
      <c r="P4721" s="242"/>
      <c r="Q4721" s="242"/>
      <c r="R4721" s="539"/>
      <c r="S4721" s="540"/>
      <c r="T4721" s="543"/>
      <c r="U4721" s="673" t="b">
        <v>0</v>
      </c>
      <c r="Z4721" t="b">
        <v>0</v>
      </c>
      <c r="AA4721" t="b">
        <v>0</v>
      </c>
      <c r="AC4721" s="82"/>
      <c r="AD4721" t="str">
        <f t="shared" si="71"/>
        <v/>
      </c>
      <c r="AE4721" t="str">
        <f t="shared" si="72"/>
        <v/>
      </c>
    </row>
    <row r="4722">
      <c r="D4722" s="226"/>
      <c r="H4722" s="474"/>
      <c r="I4722" s="474"/>
      <c r="J4722" s="475"/>
      <c r="K4722" s="275"/>
      <c r="L4722" s="82"/>
      <c r="M4722" s="672"/>
      <c r="N4722" s="242"/>
      <c r="O4722" s="242"/>
      <c r="P4722" s="242"/>
      <c r="Q4722" s="242"/>
      <c r="R4722" s="539"/>
      <c r="S4722" s="540"/>
      <c r="T4722" s="543"/>
      <c r="U4722" s="673" t="b">
        <v>0</v>
      </c>
      <c r="Z4722" t="b">
        <v>0</v>
      </c>
      <c r="AA4722" t="b">
        <v>0</v>
      </c>
      <c r="AC4722" s="82"/>
      <c r="AD4722" t="str">
        <f t="shared" si="71"/>
        <v/>
      </c>
      <c r="AE4722" t="str">
        <f t="shared" si="72"/>
        <v/>
      </c>
    </row>
    <row r="4723">
      <c r="D4723" s="226"/>
      <c r="H4723" s="474"/>
      <c r="I4723" s="474"/>
      <c r="J4723" s="475"/>
      <c r="K4723" s="275"/>
      <c r="L4723" s="82"/>
      <c r="M4723" s="672"/>
      <c r="N4723" s="242"/>
      <c r="O4723" s="242"/>
      <c r="P4723" s="242"/>
      <c r="Q4723" s="242"/>
      <c r="R4723" s="539"/>
      <c r="S4723" s="540"/>
      <c r="T4723" s="543"/>
      <c r="U4723" s="673" t="b">
        <v>0</v>
      </c>
      <c r="Z4723" t="b">
        <v>0</v>
      </c>
      <c r="AA4723" t="b">
        <v>0</v>
      </c>
      <c r="AC4723" s="82"/>
      <c r="AD4723" t="str">
        <f t="shared" si="71"/>
        <v/>
      </c>
      <c r="AE4723" t="str">
        <f t="shared" si="72"/>
        <v/>
      </c>
    </row>
    <row r="4724">
      <c r="D4724" s="226"/>
      <c r="H4724" s="474"/>
      <c r="I4724" s="474"/>
      <c r="J4724" s="475"/>
      <c r="K4724" s="275"/>
      <c r="L4724" s="82"/>
      <c r="M4724" s="672"/>
      <c r="N4724" s="242"/>
      <c r="O4724" s="242"/>
      <c r="P4724" s="242"/>
      <c r="Q4724" s="242"/>
      <c r="R4724" s="539"/>
      <c r="S4724" s="540"/>
      <c r="T4724" s="543"/>
      <c r="U4724" s="673" t="b">
        <v>0</v>
      </c>
      <c r="Z4724" t="b">
        <v>0</v>
      </c>
      <c r="AA4724" t="b">
        <v>0</v>
      </c>
      <c r="AC4724" s="82"/>
      <c r="AD4724" t="str">
        <f t="shared" si="71"/>
        <v/>
      </c>
      <c r="AE4724" t="str">
        <f t="shared" si="72"/>
        <v/>
      </c>
    </row>
    <row r="4725">
      <c r="D4725" s="226"/>
      <c r="H4725" s="474"/>
      <c r="I4725" s="474"/>
      <c r="J4725" s="475"/>
      <c r="K4725" s="275"/>
      <c r="L4725" s="82"/>
      <c r="M4725" s="672"/>
      <c r="N4725" s="242"/>
      <c r="O4725" s="242"/>
      <c r="P4725" s="242"/>
      <c r="Q4725" s="242"/>
      <c r="R4725" s="539"/>
      <c r="S4725" s="540"/>
      <c r="T4725" s="543"/>
      <c r="U4725" s="673" t="b">
        <v>0</v>
      </c>
      <c r="Z4725" t="b">
        <v>0</v>
      </c>
      <c r="AA4725" t="b">
        <v>0</v>
      </c>
      <c r="AC4725" s="82"/>
      <c r="AD4725" t="str">
        <f t="shared" si="71"/>
        <v/>
      </c>
      <c r="AE4725" t="str">
        <f t="shared" si="72"/>
        <v/>
      </c>
    </row>
    <row r="4726">
      <c r="D4726" s="226"/>
      <c r="H4726" s="474"/>
      <c r="I4726" s="474"/>
      <c r="J4726" s="475"/>
      <c r="K4726" s="275"/>
      <c r="L4726" s="82"/>
      <c r="M4726" s="672"/>
      <c r="N4726" s="242"/>
      <c r="O4726" s="242"/>
      <c r="P4726" s="242"/>
      <c r="Q4726" s="242"/>
      <c r="R4726" s="539"/>
      <c r="S4726" s="540"/>
      <c r="T4726" s="543"/>
      <c r="U4726" s="673" t="b">
        <v>0</v>
      </c>
      <c r="Z4726" t="b">
        <v>0</v>
      </c>
      <c r="AA4726" t="b">
        <v>0</v>
      </c>
      <c r="AC4726" s="82"/>
      <c r="AD4726" t="str">
        <f t="shared" si="71"/>
        <v/>
      </c>
      <c r="AE4726" t="str">
        <f t="shared" si="72"/>
        <v/>
      </c>
    </row>
    <row r="4727">
      <c r="D4727" s="226"/>
      <c r="H4727" s="474"/>
      <c r="I4727" s="474"/>
      <c r="J4727" s="475"/>
      <c r="K4727" s="275"/>
      <c r="L4727" s="82"/>
      <c r="M4727" s="672"/>
      <c r="N4727" s="242"/>
      <c r="O4727" s="242"/>
      <c r="P4727" s="242"/>
      <c r="Q4727" s="242"/>
      <c r="R4727" s="539"/>
      <c r="S4727" s="540"/>
      <c r="T4727" s="543"/>
      <c r="U4727" s="673" t="b">
        <v>0</v>
      </c>
      <c r="Z4727" t="b">
        <v>0</v>
      </c>
      <c r="AA4727" t="b">
        <v>0</v>
      </c>
      <c r="AC4727" s="82"/>
      <c r="AD4727" t="str">
        <f t="shared" si="71"/>
        <v/>
      </c>
      <c r="AE4727" t="str">
        <f t="shared" si="72"/>
        <v/>
      </c>
    </row>
    <row r="4728">
      <c r="D4728" s="226"/>
      <c r="H4728" s="474"/>
      <c r="I4728" s="474"/>
      <c r="J4728" s="475"/>
      <c r="K4728" s="275"/>
      <c r="L4728" s="82"/>
      <c r="M4728" s="672"/>
      <c r="N4728" s="242"/>
      <c r="O4728" s="242"/>
      <c r="P4728" s="242"/>
      <c r="Q4728" s="242"/>
      <c r="R4728" s="539"/>
      <c r="S4728" s="540"/>
      <c r="T4728" s="543"/>
      <c r="U4728" s="673" t="b">
        <v>0</v>
      </c>
      <c r="Z4728" t="b">
        <v>0</v>
      </c>
      <c r="AA4728" t="b">
        <v>0</v>
      </c>
      <c r="AC4728" s="82"/>
      <c r="AD4728" t="str">
        <f t="shared" si="71"/>
        <v/>
      </c>
      <c r="AE4728" t="str">
        <f t="shared" si="72"/>
        <v/>
      </c>
    </row>
    <row r="4729">
      <c r="D4729" s="226"/>
      <c r="H4729" s="474"/>
      <c r="I4729" s="474"/>
      <c r="J4729" s="475"/>
      <c r="K4729" s="275"/>
      <c r="L4729" s="82"/>
      <c r="M4729" s="672"/>
      <c r="N4729" s="242"/>
      <c r="O4729" s="242"/>
      <c r="P4729" s="242"/>
      <c r="Q4729" s="242"/>
      <c r="R4729" s="539"/>
      <c r="S4729" s="540"/>
      <c r="T4729" s="543"/>
      <c r="U4729" s="673" t="b">
        <v>0</v>
      </c>
      <c r="Z4729" t="b">
        <v>0</v>
      </c>
      <c r="AA4729" t="b">
        <v>0</v>
      </c>
      <c r="AC4729" s="82"/>
      <c r="AD4729" t="str">
        <f t="shared" si="71"/>
        <v/>
      </c>
      <c r="AE4729" t="str">
        <f t="shared" si="72"/>
        <v/>
      </c>
    </row>
    <row r="4730">
      <c r="D4730" s="226"/>
      <c r="H4730" s="474"/>
      <c r="I4730" s="474"/>
      <c r="J4730" s="475"/>
      <c r="K4730" s="275"/>
      <c r="L4730" s="82"/>
      <c r="M4730" s="672"/>
      <c r="N4730" s="242"/>
      <c r="O4730" s="242"/>
      <c r="P4730" s="242"/>
      <c r="Q4730" s="242"/>
      <c r="R4730" s="539"/>
      <c r="S4730" s="540"/>
      <c r="T4730" s="543"/>
      <c r="U4730" s="673" t="b">
        <v>0</v>
      </c>
      <c r="Z4730" t="b">
        <v>0</v>
      </c>
      <c r="AA4730" t="b">
        <v>0</v>
      </c>
      <c r="AC4730" s="82"/>
      <c r="AD4730" t="str">
        <f t="shared" si="71"/>
        <v/>
      </c>
      <c r="AE4730" t="str">
        <f t="shared" si="72"/>
        <v/>
      </c>
    </row>
    <row r="4731">
      <c r="D4731" s="226"/>
      <c r="H4731" s="474"/>
      <c r="I4731" s="474"/>
      <c r="J4731" s="475"/>
      <c r="K4731" s="275"/>
      <c r="L4731" s="82"/>
      <c r="M4731" s="672"/>
      <c r="N4731" s="242"/>
      <c r="O4731" s="242"/>
      <c r="P4731" s="242"/>
      <c r="Q4731" s="242"/>
      <c r="R4731" s="539"/>
      <c r="S4731" s="540"/>
      <c r="T4731" s="543"/>
      <c r="U4731" s="673" t="b">
        <v>0</v>
      </c>
      <c r="Z4731" t="b">
        <v>0</v>
      </c>
      <c r="AA4731" t="b">
        <v>0</v>
      </c>
      <c r="AC4731" s="82"/>
      <c r="AD4731" t="str">
        <f t="shared" si="71"/>
        <v/>
      </c>
      <c r="AE4731" t="str">
        <f t="shared" si="72"/>
        <v/>
      </c>
    </row>
    <row r="4732">
      <c r="D4732" s="226"/>
      <c r="H4732" s="474"/>
      <c r="I4732" s="474"/>
      <c r="J4732" s="475"/>
      <c r="K4732" s="275"/>
      <c r="L4732" s="82"/>
      <c r="M4732" s="672"/>
      <c r="N4732" s="242"/>
      <c r="O4732" s="242"/>
      <c r="P4732" s="242"/>
      <c r="Q4732" s="242"/>
      <c r="R4732" s="539"/>
      <c r="S4732" s="540"/>
      <c r="T4732" s="543"/>
      <c r="U4732" s="673" t="b">
        <v>0</v>
      </c>
      <c r="Z4732" t="b">
        <v>0</v>
      </c>
      <c r="AA4732" t="b">
        <v>0</v>
      </c>
      <c r="AC4732" s="82"/>
      <c r="AD4732" t="str">
        <f t="shared" si="71"/>
        <v/>
      </c>
      <c r="AE4732" t="str">
        <f t="shared" si="72"/>
        <v/>
      </c>
    </row>
    <row r="4733">
      <c r="D4733" s="226"/>
      <c r="H4733" s="474"/>
      <c r="I4733" s="474"/>
      <c r="J4733" s="475"/>
      <c r="K4733" s="275"/>
      <c r="L4733" s="82"/>
      <c r="M4733" s="672"/>
      <c r="N4733" s="242"/>
      <c r="O4733" s="242"/>
      <c r="P4733" s="242"/>
      <c r="Q4733" s="242"/>
      <c r="R4733" s="539"/>
      <c r="S4733" s="540"/>
      <c r="T4733" s="543"/>
      <c r="U4733" s="673" t="b">
        <v>0</v>
      </c>
      <c r="Z4733" t="b">
        <v>0</v>
      </c>
      <c r="AA4733" t="b">
        <v>0</v>
      </c>
      <c r="AC4733" s="82"/>
      <c r="AD4733" t="str">
        <f t="shared" si="71"/>
        <v/>
      </c>
      <c r="AE4733" t="str">
        <f t="shared" si="72"/>
        <v/>
      </c>
    </row>
    <row r="4734">
      <c r="D4734" s="226"/>
      <c r="H4734" s="474"/>
      <c r="I4734" s="474"/>
      <c r="J4734" s="475"/>
      <c r="K4734" s="275"/>
      <c r="L4734" s="82"/>
      <c r="M4734" s="672"/>
      <c r="N4734" s="242"/>
      <c r="O4734" s="242"/>
      <c r="P4734" s="242"/>
      <c r="Q4734" s="242"/>
      <c r="R4734" s="539"/>
      <c r="S4734" s="540"/>
      <c r="T4734" s="543"/>
      <c r="U4734" s="673" t="b">
        <v>0</v>
      </c>
      <c r="Z4734" t="b">
        <v>0</v>
      </c>
      <c r="AA4734" t="b">
        <v>0</v>
      </c>
      <c r="AC4734" s="82"/>
      <c r="AD4734" t="str">
        <f t="shared" si="71"/>
        <v/>
      </c>
      <c r="AE4734" t="str">
        <f t="shared" si="72"/>
        <v/>
      </c>
    </row>
    <row r="4735">
      <c r="D4735" s="226"/>
      <c r="H4735" s="474"/>
      <c r="I4735" s="474"/>
      <c r="J4735" s="475"/>
      <c r="K4735" s="275"/>
      <c r="L4735" s="82"/>
      <c r="M4735" s="672"/>
      <c r="N4735" s="242"/>
      <c r="O4735" s="242"/>
      <c r="P4735" s="242"/>
      <c r="Q4735" s="242"/>
      <c r="R4735" s="539"/>
      <c r="S4735" s="540"/>
      <c r="T4735" s="543"/>
      <c r="U4735" s="673" t="b">
        <v>0</v>
      </c>
      <c r="Z4735" t="b">
        <v>0</v>
      </c>
      <c r="AA4735" t="b">
        <v>0</v>
      </c>
      <c r="AC4735" s="82"/>
      <c r="AD4735" t="str">
        <f t="shared" si="71"/>
        <v/>
      </c>
      <c r="AE4735" t="str">
        <f t="shared" si="72"/>
        <v/>
      </c>
    </row>
    <row r="4736">
      <c r="D4736" s="226"/>
      <c r="H4736" s="474"/>
      <c r="I4736" s="474"/>
      <c r="J4736" s="475"/>
      <c r="K4736" s="275"/>
      <c r="L4736" s="82"/>
      <c r="M4736" s="672"/>
      <c r="N4736" s="242"/>
      <c r="O4736" s="242"/>
      <c r="P4736" s="242"/>
      <c r="Q4736" s="242"/>
      <c r="R4736" s="539"/>
      <c r="S4736" s="540"/>
      <c r="T4736" s="543"/>
      <c r="U4736" s="673" t="b">
        <v>0</v>
      </c>
      <c r="Z4736" t="b">
        <v>0</v>
      </c>
      <c r="AA4736" t="b">
        <v>0</v>
      </c>
      <c r="AC4736" s="82"/>
      <c r="AD4736" t="str">
        <f t="shared" si="71"/>
        <v/>
      </c>
      <c r="AE4736" t="str">
        <f t="shared" si="72"/>
        <v/>
      </c>
    </row>
    <row r="4737">
      <c r="D4737" s="226"/>
      <c r="H4737" s="474"/>
      <c r="I4737" s="474"/>
      <c r="J4737" s="475"/>
      <c r="K4737" s="275"/>
      <c r="L4737" s="82"/>
      <c r="M4737" s="672"/>
      <c r="N4737" s="242"/>
      <c r="O4737" s="242"/>
      <c r="P4737" s="242"/>
      <c r="Q4737" s="242"/>
      <c r="R4737" s="539"/>
      <c r="S4737" s="540"/>
      <c r="T4737" s="543"/>
      <c r="U4737" s="673" t="b">
        <v>0</v>
      </c>
      <c r="Z4737" t="b">
        <v>0</v>
      </c>
      <c r="AA4737" t="b">
        <v>0</v>
      </c>
      <c r="AC4737" s="82"/>
      <c r="AD4737" t="str">
        <f t="shared" si="71"/>
        <v/>
      </c>
      <c r="AE4737" t="str">
        <f t="shared" si="72"/>
        <v/>
      </c>
    </row>
    <row r="4738">
      <c r="D4738" s="226"/>
      <c r="H4738" s="474"/>
      <c r="I4738" s="474"/>
      <c r="J4738" s="475"/>
      <c r="K4738" s="275"/>
      <c r="L4738" s="82"/>
      <c r="M4738" s="672"/>
      <c r="N4738" s="242"/>
      <c r="O4738" s="242"/>
      <c r="P4738" s="242"/>
      <c r="Q4738" s="242"/>
      <c r="R4738" s="539"/>
      <c r="S4738" s="540"/>
      <c r="T4738" s="543"/>
      <c r="U4738" s="673" t="b">
        <v>0</v>
      </c>
      <c r="Z4738" t="b">
        <v>0</v>
      </c>
      <c r="AA4738" t="b">
        <v>0</v>
      </c>
      <c r="AC4738" s="82"/>
      <c r="AD4738" t="str">
        <f t="shared" si="71"/>
        <v/>
      </c>
      <c r="AE4738" t="str">
        <f t="shared" si="72"/>
        <v/>
      </c>
    </row>
    <row r="4739">
      <c r="D4739" s="226"/>
      <c r="H4739" s="474"/>
      <c r="I4739" s="474"/>
      <c r="J4739" s="475"/>
      <c r="K4739" s="275"/>
      <c r="L4739" s="82"/>
      <c r="M4739" s="672"/>
      <c r="N4739" s="242"/>
      <c r="O4739" s="242"/>
      <c r="P4739" s="242"/>
      <c r="Q4739" s="242"/>
      <c r="R4739" s="539"/>
      <c r="S4739" s="540"/>
      <c r="T4739" s="543"/>
      <c r="U4739" s="673" t="b">
        <v>0</v>
      </c>
      <c r="Z4739" t="b">
        <v>0</v>
      </c>
      <c r="AA4739" t="b">
        <v>0</v>
      </c>
      <c r="AC4739" s="82"/>
      <c r="AD4739" t="str">
        <f t="shared" si="71"/>
        <v/>
      </c>
      <c r="AE4739" t="str">
        <f t="shared" si="72"/>
        <v/>
      </c>
    </row>
    <row r="4740">
      <c r="D4740" s="226"/>
      <c r="H4740" s="474"/>
      <c r="I4740" s="474"/>
      <c r="J4740" s="475"/>
      <c r="K4740" s="275"/>
      <c r="L4740" s="82"/>
      <c r="M4740" s="672"/>
      <c r="N4740" s="242"/>
      <c r="O4740" s="242"/>
      <c r="P4740" s="242"/>
      <c r="Q4740" s="242"/>
      <c r="R4740" s="539"/>
      <c r="S4740" s="540"/>
      <c r="T4740" s="543"/>
      <c r="U4740" s="673" t="b">
        <v>0</v>
      </c>
      <c r="Z4740" t="b">
        <v>0</v>
      </c>
      <c r="AA4740" t="b">
        <v>0</v>
      </c>
      <c r="AC4740" s="82"/>
      <c r="AD4740" t="str">
        <f t="shared" si="71"/>
        <v/>
      </c>
      <c r="AE4740" t="str">
        <f t="shared" si="72"/>
        <v/>
      </c>
    </row>
    <row r="4741">
      <c r="D4741" s="226"/>
      <c r="H4741" s="474"/>
      <c r="I4741" s="474"/>
      <c r="J4741" s="475"/>
      <c r="K4741" s="275"/>
      <c r="L4741" s="82"/>
      <c r="M4741" s="672"/>
      <c r="N4741" s="242"/>
      <c r="O4741" s="242"/>
      <c r="P4741" s="242"/>
      <c r="Q4741" s="242"/>
      <c r="R4741" s="539"/>
      <c r="S4741" s="540"/>
      <c r="T4741" s="543"/>
      <c r="U4741" s="673" t="b">
        <v>0</v>
      </c>
      <c r="Z4741" t="b">
        <v>0</v>
      </c>
      <c r="AA4741" t="b">
        <v>0</v>
      </c>
      <c r="AC4741" s="82"/>
      <c r="AD4741" t="str">
        <f t="shared" si="71"/>
        <v/>
      </c>
      <c r="AE4741" t="str">
        <f t="shared" si="72"/>
        <v/>
      </c>
    </row>
    <row r="4742">
      <c r="D4742" s="226"/>
      <c r="H4742" s="474"/>
      <c r="I4742" s="474"/>
      <c r="J4742" s="475"/>
      <c r="K4742" s="275"/>
      <c r="L4742" s="82"/>
      <c r="M4742" s="672"/>
      <c r="N4742" s="242"/>
      <c r="O4742" s="242"/>
      <c r="P4742" s="242"/>
      <c r="Q4742" s="242"/>
      <c r="R4742" s="539"/>
      <c r="S4742" s="540"/>
      <c r="T4742" s="543"/>
      <c r="U4742" s="673" t="b">
        <v>0</v>
      </c>
      <c r="Z4742" t="b">
        <v>0</v>
      </c>
      <c r="AA4742" t="b">
        <v>0</v>
      </c>
      <c r="AC4742" s="82"/>
      <c r="AD4742" t="str">
        <f t="shared" si="71"/>
        <v/>
      </c>
      <c r="AE4742" t="str">
        <f t="shared" si="72"/>
        <v/>
      </c>
    </row>
    <row r="4743">
      <c r="D4743" s="226"/>
      <c r="H4743" s="474"/>
      <c r="I4743" s="474"/>
      <c r="J4743" s="475"/>
      <c r="K4743" s="275"/>
      <c r="L4743" s="82"/>
      <c r="M4743" s="672"/>
      <c r="N4743" s="242"/>
      <c r="O4743" s="242"/>
      <c r="P4743" s="242"/>
      <c r="Q4743" s="242"/>
      <c r="R4743" s="539"/>
      <c r="S4743" s="540"/>
      <c r="T4743" s="543"/>
      <c r="U4743" s="673" t="b">
        <v>0</v>
      </c>
      <c r="Z4743" t="b">
        <v>0</v>
      </c>
      <c r="AA4743" t="b">
        <v>0</v>
      </c>
      <c r="AC4743" s="82"/>
      <c r="AD4743" t="str">
        <f t="shared" si="71"/>
        <v/>
      </c>
      <c r="AE4743" t="str">
        <f t="shared" si="72"/>
        <v/>
      </c>
    </row>
    <row r="4744">
      <c r="D4744" s="226"/>
      <c r="H4744" s="474"/>
      <c r="I4744" s="474"/>
      <c r="J4744" s="475"/>
      <c r="K4744" s="275"/>
      <c r="L4744" s="82"/>
      <c r="M4744" s="672"/>
      <c r="N4744" s="242"/>
      <c r="O4744" s="242"/>
      <c r="P4744" s="242"/>
      <c r="Q4744" s="242"/>
      <c r="R4744" s="539"/>
      <c r="S4744" s="540"/>
      <c r="T4744" s="543"/>
      <c r="U4744" s="673" t="b">
        <v>0</v>
      </c>
      <c r="Z4744" t="b">
        <v>0</v>
      </c>
      <c r="AA4744" t="b">
        <v>0</v>
      </c>
      <c r="AC4744" s="82"/>
      <c r="AD4744" t="str">
        <f t="shared" si="71"/>
        <v/>
      </c>
      <c r="AE4744" t="str">
        <f t="shared" si="72"/>
        <v/>
      </c>
    </row>
    <row r="4745">
      <c r="D4745" s="226"/>
      <c r="H4745" s="474"/>
      <c r="I4745" s="474"/>
      <c r="J4745" s="475"/>
      <c r="K4745" s="275"/>
      <c r="L4745" s="82"/>
      <c r="M4745" s="672"/>
      <c r="N4745" s="242"/>
      <c r="O4745" s="242"/>
      <c r="P4745" s="242"/>
      <c r="Q4745" s="242"/>
      <c r="R4745" s="539"/>
      <c r="S4745" s="540"/>
      <c r="T4745" s="543"/>
      <c r="U4745" s="673" t="b">
        <v>0</v>
      </c>
      <c r="Z4745" t="b">
        <v>0</v>
      </c>
      <c r="AA4745" t="b">
        <v>0</v>
      </c>
      <c r="AC4745" s="82"/>
      <c r="AD4745" t="str">
        <f t="shared" si="71"/>
        <v/>
      </c>
      <c r="AE4745" t="str">
        <f t="shared" si="72"/>
        <v/>
      </c>
    </row>
    <row r="4746">
      <c r="D4746" s="226"/>
      <c r="H4746" s="474"/>
      <c r="I4746" s="474"/>
      <c r="J4746" s="475"/>
      <c r="K4746" s="275"/>
      <c r="L4746" s="82"/>
      <c r="M4746" s="672"/>
      <c r="N4746" s="242"/>
      <c r="O4746" s="242"/>
      <c r="P4746" s="242"/>
      <c r="Q4746" s="242"/>
      <c r="R4746" s="539"/>
      <c r="S4746" s="540"/>
      <c r="T4746" s="543"/>
      <c r="U4746" s="673" t="b">
        <v>0</v>
      </c>
      <c r="Z4746" t="b">
        <v>0</v>
      </c>
      <c r="AA4746" t="b">
        <v>0</v>
      </c>
      <c r="AC4746" s="82"/>
      <c r="AD4746" t="str">
        <f t="shared" si="71"/>
        <v/>
      </c>
      <c r="AE4746" t="str">
        <f t="shared" si="72"/>
        <v/>
      </c>
    </row>
    <row r="4747">
      <c r="D4747" s="226"/>
      <c r="H4747" s="474"/>
      <c r="I4747" s="474"/>
      <c r="J4747" s="475"/>
      <c r="K4747" s="275"/>
      <c r="L4747" s="82"/>
      <c r="M4747" s="672"/>
      <c r="N4747" s="242"/>
      <c r="O4747" s="242"/>
      <c r="P4747" s="242"/>
      <c r="Q4747" s="242"/>
      <c r="R4747" s="539"/>
      <c r="S4747" s="540"/>
      <c r="T4747" s="543"/>
      <c r="U4747" s="673" t="b">
        <v>0</v>
      </c>
      <c r="Z4747" t="b">
        <v>0</v>
      </c>
      <c r="AA4747" t="b">
        <v>0</v>
      </c>
      <c r="AC4747" s="82"/>
      <c r="AD4747" t="str">
        <f t="shared" si="71"/>
        <v/>
      </c>
      <c r="AE4747" t="str">
        <f t="shared" si="72"/>
        <v/>
      </c>
    </row>
    <row r="4748">
      <c r="D4748" s="226"/>
      <c r="H4748" s="474"/>
      <c r="I4748" s="474"/>
      <c r="J4748" s="475"/>
      <c r="K4748" s="275"/>
      <c r="L4748" s="82"/>
      <c r="M4748" s="672"/>
      <c r="N4748" s="242"/>
      <c r="O4748" s="242"/>
      <c r="P4748" s="242"/>
      <c r="Q4748" s="242"/>
      <c r="R4748" s="539"/>
      <c r="S4748" s="540"/>
      <c r="T4748" s="543"/>
      <c r="U4748" s="673" t="b">
        <v>0</v>
      </c>
      <c r="Z4748" t="b">
        <v>0</v>
      </c>
      <c r="AA4748" t="b">
        <v>0</v>
      </c>
      <c r="AC4748" s="82"/>
      <c r="AD4748" t="str">
        <f t="shared" si="71"/>
        <v/>
      </c>
      <c r="AE4748" t="str">
        <f t="shared" si="72"/>
        <v/>
      </c>
    </row>
    <row r="4749">
      <c r="D4749" s="226"/>
      <c r="H4749" s="474"/>
      <c r="I4749" s="474"/>
      <c r="J4749" s="475"/>
      <c r="K4749" s="275"/>
      <c r="L4749" s="82"/>
      <c r="M4749" s="672"/>
      <c r="N4749" s="242"/>
      <c r="O4749" s="242"/>
      <c r="P4749" s="242"/>
      <c r="Q4749" s="242"/>
      <c r="R4749" s="539"/>
      <c r="S4749" s="540"/>
      <c r="T4749" s="543"/>
      <c r="U4749" s="673" t="b">
        <v>0</v>
      </c>
      <c r="Z4749" t="b">
        <v>0</v>
      </c>
      <c r="AA4749" t="b">
        <v>0</v>
      </c>
      <c r="AC4749" s="82"/>
      <c r="AD4749" t="str">
        <f t="shared" si="71"/>
        <v/>
      </c>
      <c r="AE4749" t="str">
        <f t="shared" si="72"/>
        <v/>
      </c>
    </row>
    <row r="4750">
      <c r="D4750" s="226"/>
      <c r="H4750" s="474"/>
      <c r="I4750" s="474"/>
      <c r="J4750" s="475"/>
      <c r="K4750" s="275"/>
      <c r="L4750" s="82"/>
      <c r="M4750" s="672"/>
      <c r="N4750" s="242"/>
      <c r="O4750" s="242"/>
      <c r="P4750" s="242"/>
      <c r="Q4750" s="242"/>
      <c r="R4750" s="539"/>
      <c r="S4750" s="540"/>
      <c r="T4750" s="543"/>
      <c r="U4750" s="673" t="b">
        <v>0</v>
      </c>
      <c r="Z4750" t="b">
        <v>0</v>
      </c>
      <c r="AA4750" t="b">
        <v>0</v>
      </c>
      <c r="AC4750" s="82"/>
      <c r="AD4750" t="str">
        <f t="shared" si="71"/>
        <v/>
      </c>
      <c r="AE4750" t="str">
        <f t="shared" si="72"/>
        <v/>
      </c>
    </row>
    <row r="4751">
      <c r="D4751" s="226"/>
      <c r="H4751" s="474"/>
      <c r="I4751" s="474"/>
      <c r="J4751" s="475"/>
      <c r="K4751" s="275"/>
      <c r="L4751" s="82"/>
      <c r="M4751" s="672"/>
      <c r="N4751" s="242"/>
      <c r="O4751" s="242"/>
      <c r="P4751" s="242"/>
      <c r="Q4751" s="242"/>
      <c r="R4751" s="539"/>
      <c r="S4751" s="540"/>
      <c r="T4751" s="543"/>
      <c r="U4751" s="673" t="b">
        <v>0</v>
      </c>
      <c r="Z4751" t="b">
        <v>0</v>
      </c>
      <c r="AA4751" t="b">
        <v>0</v>
      </c>
      <c r="AC4751" s="82"/>
      <c r="AD4751" t="str">
        <f t="shared" si="71"/>
        <v/>
      </c>
      <c r="AE4751" t="str">
        <f t="shared" si="72"/>
        <v/>
      </c>
    </row>
    <row r="4752">
      <c r="D4752" s="226"/>
      <c r="H4752" s="474"/>
      <c r="I4752" s="474"/>
      <c r="J4752" s="475"/>
      <c r="K4752" s="275"/>
      <c r="L4752" s="82"/>
      <c r="M4752" s="672"/>
      <c r="N4752" s="242"/>
      <c r="O4752" s="242"/>
      <c r="P4752" s="242"/>
      <c r="Q4752" s="242"/>
      <c r="R4752" s="539"/>
      <c r="S4752" s="540"/>
      <c r="T4752" s="543"/>
      <c r="U4752" s="673" t="b">
        <v>0</v>
      </c>
      <c r="Z4752" t="b">
        <v>0</v>
      </c>
      <c r="AA4752" t="b">
        <v>0</v>
      </c>
      <c r="AC4752" s="82"/>
      <c r="AD4752" t="str">
        <f t="shared" si="71"/>
        <v/>
      </c>
      <c r="AE4752" t="str">
        <f t="shared" si="72"/>
        <v/>
      </c>
    </row>
    <row r="4753">
      <c r="D4753" s="226"/>
      <c r="H4753" s="474"/>
      <c r="I4753" s="474"/>
      <c r="J4753" s="475"/>
      <c r="K4753" s="275"/>
      <c r="L4753" s="82"/>
      <c r="M4753" s="672"/>
      <c r="N4753" s="242"/>
      <c r="O4753" s="242"/>
      <c r="P4753" s="242"/>
      <c r="Q4753" s="242"/>
      <c r="R4753" s="539"/>
      <c r="S4753" s="540"/>
      <c r="T4753" s="543"/>
      <c r="U4753" s="673" t="b">
        <v>0</v>
      </c>
      <c r="Z4753" t="b">
        <v>0</v>
      </c>
      <c r="AA4753" t="b">
        <v>0</v>
      </c>
      <c r="AC4753" s="82"/>
      <c r="AD4753" t="str">
        <f t="shared" si="71"/>
        <v/>
      </c>
      <c r="AE4753" t="str">
        <f t="shared" si="72"/>
        <v/>
      </c>
    </row>
    <row r="4754">
      <c r="D4754" s="226"/>
      <c r="H4754" s="474"/>
      <c r="I4754" s="474"/>
      <c r="J4754" s="475"/>
      <c r="K4754" s="275"/>
      <c r="L4754" s="82"/>
      <c r="M4754" s="672"/>
      <c r="N4754" s="242"/>
      <c r="O4754" s="242"/>
      <c r="P4754" s="242"/>
      <c r="Q4754" s="242"/>
      <c r="R4754" s="539"/>
      <c r="S4754" s="540"/>
      <c r="T4754" s="543"/>
      <c r="U4754" s="673" t="b">
        <v>0</v>
      </c>
      <c r="Z4754" t="b">
        <v>0</v>
      </c>
      <c r="AA4754" t="b">
        <v>0</v>
      </c>
      <c r="AC4754" s="82"/>
      <c r="AD4754" t="str">
        <f t="shared" si="71"/>
        <v/>
      </c>
      <c r="AE4754" t="str">
        <f t="shared" si="72"/>
        <v/>
      </c>
    </row>
    <row r="4755">
      <c r="D4755" s="226"/>
      <c r="H4755" s="474"/>
      <c r="I4755" s="474"/>
      <c r="J4755" s="475"/>
      <c r="K4755" s="275"/>
      <c r="L4755" s="82"/>
      <c r="M4755" s="672"/>
      <c r="N4755" s="242"/>
      <c r="O4755" s="242"/>
      <c r="P4755" s="242"/>
      <c r="Q4755" s="242"/>
      <c r="R4755" s="539"/>
      <c r="S4755" s="540"/>
      <c r="T4755" s="543"/>
      <c r="U4755" s="673" t="b">
        <v>0</v>
      </c>
      <c r="Z4755" t="b">
        <v>0</v>
      </c>
      <c r="AA4755" t="b">
        <v>0</v>
      </c>
      <c r="AC4755" s="82"/>
      <c r="AD4755" t="str">
        <f t="shared" si="71"/>
        <v/>
      </c>
      <c r="AE4755" t="str">
        <f t="shared" si="72"/>
        <v/>
      </c>
    </row>
    <row r="4756">
      <c r="D4756" s="226"/>
      <c r="H4756" s="474"/>
      <c r="I4756" s="474"/>
      <c r="J4756" s="475"/>
      <c r="K4756" s="275"/>
      <c r="L4756" s="82"/>
      <c r="M4756" s="672"/>
      <c r="N4756" s="242"/>
      <c r="O4756" s="242"/>
      <c r="P4756" s="242"/>
      <c r="Q4756" s="242"/>
      <c r="R4756" s="539"/>
      <c r="S4756" s="540"/>
      <c r="T4756" s="543"/>
      <c r="U4756" s="673" t="b">
        <v>0</v>
      </c>
      <c r="Z4756" t="b">
        <v>0</v>
      </c>
      <c r="AA4756" t="b">
        <v>0</v>
      </c>
      <c r="AC4756" s="82"/>
      <c r="AD4756" t="str">
        <f t="shared" si="71"/>
        <v/>
      </c>
      <c r="AE4756" t="str">
        <f t="shared" si="72"/>
        <v/>
      </c>
    </row>
    <row r="4757">
      <c r="D4757" s="226"/>
      <c r="H4757" s="474"/>
      <c r="I4757" s="474"/>
      <c r="J4757" s="475"/>
      <c r="K4757" s="275"/>
      <c r="L4757" s="82"/>
      <c r="M4757" s="672"/>
      <c r="N4757" s="242"/>
      <c r="O4757" s="242"/>
      <c r="P4757" s="242"/>
      <c r="Q4757" s="242"/>
      <c r="R4757" s="539"/>
      <c r="S4757" s="540"/>
      <c r="T4757" s="543"/>
      <c r="U4757" s="673" t="b">
        <v>0</v>
      </c>
      <c r="Z4757" t="b">
        <v>0</v>
      </c>
      <c r="AA4757" t="b">
        <v>0</v>
      </c>
      <c r="AC4757" s="82"/>
      <c r="AD4757" t="str">
        <f t="shared" si="71"/>
        <v/>
      </c>
      <c r="AE4757" t="str">
        <f t="shared" si="72"/>
        <v/>
      </c>
    </row>
    <row r="4758">
      <c r="D4758" s="226"/>
      <c r="H4758" s="474"/>
      <c r="I4758" s="474"/>
      <c r="J4758" s="475"/>
      <c r="K4758" s="275"/>
      <c r="L4758" s="82"/>
      <c r="M4758" s="672"/>
      <c r="N4758" s="242"/>
      <c r="O4758" s="242"/>
      <c r="P4758" s="242"/>
      <c r="Q4758" s="242"/>
      <c r="R4758" s="539"/>
      <c r="S4758" s="540"/>
      <c r="T4758" s="543"/>
      <c r="U4758" s="673" t="b">
        <v>0</v>
      </c>
      <c r="Z4758" t="b">
        <v>0</v>
      </c>
      <c r="AA4758" t="b">
        <v>0</v>
      </c>
      <c r="AC4758" s="82"/>
      <c r="AD4758" t="str">
        <f t="shared" si="71"/>
        <v/>
      </c>
      <c r="AE4758" t="str">
        <f t="shared" si="72"/>
        <v/>
      </c>
    </row>
    <row r="4759">
      <c r="D4759" s="226"/>
      <c r="H4759" s="474"/>
      <c r="I4759" s="474"/>
      <c r="J4759" s="475"/>
      <c r="K4759" s="275"/>
      <c r="L4759" s="82"/>
      <c r="M4759" s="672"/>
      <c r="N4759" s="242"/>
      <c r="O4759" s="242"/>
      <c r="P4759" s="242"/>
      <c r="Q4759" s="242"/>
      <c r="R4759" s="539"/>
      <c r="S4759" s="540"/>
      <c r="T4759" s="543"/>
      <c r="U4759" s="673" t="b">
        <v>0</v>
      </c>
      <c r="Z4759" t="b">
        <v>0</v>
      </c>
      <c r="AA4759" t="b">
        <v>0</v>
      </c>
      <c r="AC4759" s="82"/>
      <c r="AD4759" t="str">
        <f t="shared" si="71"/>
        <v/>
      </c>
      <c r="AE4759" t="str">
        <f t="shared" si="72"/>
        <v/>
      </c>
    </row>
    <row r="4760">
      <c r="D4760" s="226"/>
      <c r="H4760" s="474"/>
      <c r="I4760" s="474"/>
      <c r="J4760" s="475"/>
      <c r="K4760" s="275"/>
      <c r="L4760" s="82"/>
      <c r="M4760" s="672"/>
      <c r="N4760" s="242"/>
      <c r="O4760" s="242"/>
      <c r="P4760" s="242"/>
      <c r="Q4760" s="242"/>
      <c r="R4760" s="539"/>
      <c r="S4760" s="540"/>
      <c r="T4760" s="543"/>
      <c r="U4760" s="673" t="b">
        <v>0</v>
      </c>
      <c r="Z4760" t="b">
        <v>0</v>
      </c>
      <c r="AA4760" t="b">
        <v>0</v>
      </c>
      <c r="AC4760" s="82"/>
      <c r="AD4760" t="str">
        <f t="shared" si="71"/>
        <v/>
      </c>
      <c r="AE4760" t="str">
        <f t="shared" si="72"/>
        <v/>
      </c>
    </row>
    <row r="4761">
      <c r="D4761" s="226"/>
      <c r="H4761" s="474"/>
      <c r="I4761" s="474"/>
      <c r="J4761" s="475"/>
      <c r="K4761" s="275"/>
      <c r="L4761" s="82"/>
      <c r="M4761" s="672"/>
      <c r="N4761" s="242"/>
      <c r="O4761" s="242"/>
      <c r="P4761" s="242"/>
      <c r="Q4761" s="242"/>
      <c r="R4761" s="539"/>
      <c r="S4761" s="540"/>
      <c r="T4761" s="543"/>
      <c r="U4761" s="673" t="b">
        <v>0</v>
      </c>
      <c r="Z4761" t="b">
        <v>0</v>
      </c>
      <c r="AA4761" t="b">
        <v>0</v>
      </c>
      <c r="AC4761" s="82"/>
      <c r="AD4761" t="str">
        <f t="shared" si="71"/>
        <v/>
      </c>
      <c r="AE4761" t="str">
        <f t="shared" si="72"/>
        <v/>
      </c>
    </row>
    <row r="4762">
      <c r="D4762" s="226"/>
      <c r="H4762" s="474"/>
      <c r="I4762" s="474"/>
      <c r="J4762" s="475"/>
      <c r="K4762" s="275"/>
      <c r="L4762" s="82"/>
      <c r="M4762" s="672"/>
      <c r="N4762" s="242"/>
      <c r="O4762" s="242"/>
      <c r="P4762" s="242"/>
      <c r="Q4762" s="242"/>
      <c r="R4762" s="539"/>
      <c r="S4762" s="540"/>
      <c r="T4762" s="543"/>
      <c r="U4762" s="673" t="b">
        <v>0</v>
      </c>
      <c r="Z4762" t="b">
        <v>0</v>
      </c>
      <c r="AA4762" t="b">
        <v>0</v>
      </c>
      <c r="AC4762" s="82"/>
      <c r="AD4762" t="str">
        <f t="shared" si="71"/>
        <v/>
      </c>
      <c r="AE4762" t="str">
        <f t="shared" si="72"/>
        <v/>
      </c>
    </row>
    <row r="4763">
      <c r="D4763" s="226"/>
      <c r="H4763" s="474"/>
      <c r="I4763" s="474"/>
      <c r="J4763" s="475"/>
      <c r="K4763" s="275"/>
      <c r="L4763" s="82"/>
      <c r="M4763" s="672"/>
      <c r="N4763" s="242"/>
      <c r="O4763" s="242"/>
      <c r="P4763" s="242"/>
      <c r="Q4763" s="242"/>
      <c r="R4763" s="539"/>
      <c r="S4763" s="540"/>
      <c r="T4763" s="543"/>
      <c r="U4763" s="673" t="b">
        <v>0</v>
      </c>
      <c r="Z4763" t="b">
        <v>0</v>
      </c>
      <c r="AA4763" t="b">
        <v>0</v>
      </c>
      <c r="AC4763" s="82"/>
      <c r="AD4763" t="str">
        <f t="shared" si="71"/>
        <v/>
      </c>
      <c r="AE4763" t="str">
        <f t="shared" si="72"/>
        <v/>
      </c>
    </row>
    <row r="4764">
      <c r="D4764" s="226"/>
      <c r="H4764" s="474"/>
      <c r="I4764" s="474"/>
      <c r="J4764" s="475"/>
      <c r="K4764" s="275"/>
      <c r="L4764" s="82"/>
      <c r="M4764" s="672"/>
      <c r="N4764" s="242"/>
      <c r="O4764" s="242"/>
      <c r="P4764" s="242"/>
      <c r="Q4764" s="242"/>
      <c r="R4764" s="539"/>
      <c r="S4764" s="540"/>
      <c r="T4764" s="543"/>
      <c r="U4764" s="673" t="b">
        <v>0</v>
      </c>
      <c r="Z4764" t="b">
        <v>0</v>
      </c>
      <c r="AA4764" t="b">
        <v>0</v>
      </c>
      <c r="AC4764" s="82"/>
      <c r="AD4764" t="str">
        <f t="shared" si="71"/>
        <v/>
      </c>
      <c r="AE4764" t="str">
        <f t="shared" si="72"/>
        <v/>
      </c>
    </row>
    <row r="4765">
      <c r="D4765" s="226"/>
      <c r="H4765" s="474"/>
      <c r="I4765" s="474"/>
      <c r="J4765" s="475"/>
      <c r="K4765" s="275"/>
      <c r="L4765" s="82"/>
      <c r="M4765" s="672"/>
      <c r="N4765" s="242"/>
      <c r="O4765" s="242"/>
      <c r="P4765" s="242"/>
      <c r="Q4765" s="242"/>
      <c r="R4765" s="539"/>
      <c r="S4765" s="540"/>
      <c r="T4765" s="543"/>
      <c r="U4765" s="673" t="b">
        <v>0</v>
      </c>
      <c r="Z4765" t="b">
        <v>0</v>
      </c>
      <c r="AA4765" t="b">
        <v>0</v>
      </c>
      <c r="AC4765" s="82"/>
      <c r="AD4765" t="str">
        <f t="shared" si="71"/>
        <v/>
      </c>
      <c r="AE4765" t="str">
        <f t="shared" si="72"/>
        <v/>
      </c>
    </row>
    <row r="4766">
      <c r="D4766" s="226"/>
      <c r="H4766" s="474"/>
      <c r="I4766" s="474"/>
      <c r="J4766" s="475"/>
      <c r="K4766" s="275"/>
      <c r="L4766" s="82"/>
      <c r="M4766" s="672"/>
      <c r="N4766" s="242"/>
      <c r="O4766" s="242"/>
      <c r="P4766" s="242"/>
      <c r="Q4766" s="242"/>
      <c r="R4766" s="539"/>
      <c r="S4766" s="540"/>
      <c r="T4766" s="543"/>
      <c r="U4766" s="673" t="b">
        <v>0</v>
      </c>
      <c r="Z4766" t="b">
        <v>0</v>
      </c>
      <c r="AA4766" t="b">
        <v>0</v>
      </c>
      <c r="AC4766" s="82"/>
      <c r="AD4766" t="str">
        <f t="shared" si="71"/>
        <v/>
      </c>
      <c r="AE4766" t="str">
        <f t="shared" si="72"/>
        <v/>
      </c>
    </row>
    <row r="4767">
      <c r="D4767" s="226"/>
      <c r="H4767" s="474"/>
      <c r="I4767" s="474"/>
      <c r="J4767" s="475"/>
      <c r="K4767" s="275"/>
      <c r="L4767" s="82"/>
      <c r="M4767" s="672"/>
      <c r="N4767" s="242"/>
      <c r="O4767" s="242"/>
      <c r="P4767" s="242"/>
      <c r="Q4767" s="242"/>
      <c r="R4767" s="539"/>
      <c r="S4767" s="540"/>
      <c r="T4767" s="543"/>
      <c r="U4767" s="673" t="b">
        <v>0</v>
      </c>
      <c r="Z4767" t="b">
        <v>0</v>
      </c>
      <c r="AA4767" t="b">
        <v>0</v>
      </c>
      <c r="AC4767" s="82"/>
      <c r="AD4767" t="str">
        <f t="shared" si="71"/>
        <v/>
      </c>
      <c r="AE4767" t="str">
        <f t="shared" si="72"/>
        <v/>
      </c>
    </row>
    <row r="4768">
      <c r="D4768" s="226"/>
      <c r="H4768" s="474"/>
      <c r="I4768" s="474"/>
      <c r="J4768" s="475"/>
      <c r="K4768" s="275"/>
      <c r="L4768" s="82"/>
      <c r="M4768" s="672"/>
      <c r="N4768" s="242"/>
      <c r="O4768" s="242"/>
      <c r="P4768" s="242"/>
      <c r="Q4768" s="242"/>
      <c r="R4768" s="539"/>
      <c r="S4768" s="540"/>
      <c r="T4768" s="543"/>
      <c r="U4768" s="673" t="b">
        <v>0</v>
      </c>
      <c r="Z4768" t="b">
        <v>0</v>
      </c>
      <c r="AA4768" t="b">
        <v>0</v>
      </c>
      <c r="AC4768" s="82"/>
      <c r="AD4768" t="str">
        <f t="shared" si="71"/>
        <v/>
      </c>
      <c r="AE4768" t="str">
        <f t="shared" si="72"/>
        <v/>
      </c>
    </row>
    <row r="4769">
      <c r="D4769" s="226"/>
      <c r="H4769" s="474"/>
      <c r="I4769" s="474"/>
      <c r="J4769" s="475"/>
      <c r="K4769" s="275"/>
      <c r="L4769" s="82"/>
      <c r="M4769" s="672"/>
      <c r="N4769" s="242"/>
      <c r="O4769" s="242"/>
      <c r="P4769" s="242"/>
      <c r="Q4769" s="242"/>
      <c r="R4769" s="539"/>
      <c r="S4769" s="540"/>
      <c r="T4769" s="543"/>
      <c r="U4769" s="673" t="b">
        <v>0</v>
      </c>
      <c r="Z4769" t="b">
        <v>0</v>
      </c>
      <c r="AA4769" t="b">
        <v>0</v>
      </c>
      <c r="AC4769" s="82"/>
      <c r="AD4769" t="str">
        <f t="shared" si="71"/>
        <v/>
      </c>
      <c r="AE4769" t="str">
        <f t="shared" si="72"/>
        <v/>
      </c>
    </row>
    <row r="4770">
      <c r="D4770" s="226"/>
      <c r="H4770" s="474"/>
      <c r="I4770" s="474"/>
      <c r="J4770" s="475"/>
      <c r="K4770" s="275"/>
      <c r="L4770" s="82"/>
      <c r="M4770" s="672"/>
      <c r="N4770" s="242"/>
      <c r="O4770" s="242"/>
      <c r="P4770" s="242"/>
      <c r="Q4770" s="242"/>
      <c r="R4770" s="539"/>
      <c r="S4770" s="540"/>
      <c r="T4770" s="543"/>
      <c r="U4770" s="673" t="b">
        <v>0</v>
      </c>
      <c r="Z4770" t="b">
        <v>0</v>
      </c>
      <c r="AA4770" t="b">
        <v>0</v>
      </c>
      <c r="AC4770" s="82"/>
      <c r="AD4770" t="str">
        <f t="shared" si="71"/>
        <v/>
      </c>
      <c r="AE4770" t="str">
        <f t="shared" si="72"/>
        <v/>
      </c>
    </row>
    <row r="4771">
      <c r="D4771" s="226"/>
      <c r="H4771" s="474"/>
      <c r="I4771" s="474"/>
      <c r="J4771" s="475"/>
      <c r="K4771" s="275"/>
      <c r="L4771" s="82"/>
      <c r="M4771" s="672"/>
      <c r="N4771" s="242"/>
      <c r="O4771" s="242"/>
      <c r="P4771" s="242"/>
      <c r="Q4771" s="242"/>
      <c r="R4771" s="539"/>
      <c r="S4771" s="540"/>
      <c r="T4771" s="543"/>
      <c r="U4771" s="673" t="b">
        <v>0</v>
      </c>
      <c r="Z4771" t="b">
        <v>0</v>
      </c>
      <c r="AA4771" t="b">
        <v>0</v>
      </c>
      <c r="AC4771" s="82"/>
      <c r="AD4771" t="str">
        <f t="shared" si="71"/>
        <v/>
      </c>
      <c r="AE4771" t="str">
        <f t="shared" si="72"/>
        <v/>
      </c>
    </row>
    <row r="4772">
      <c r="D4772" s="226"/>
      <c r="H4772" s="474"/>
      <c r="I4772" s="474"/>
      <c r="J4772" s="475"/>
      <c r="K4772" s="275"/>
      <c r="L4772" s="82"/>
      <c r="M4772" s="672"/>
      <c r="N4772" s="242"/>
      <c r="O4772" s="242"/>
      <c r="P4772" s="242"/>
      <c r="Q4772" s="242"/>
      <c r="R4772" s="539"/>
      <c r="S4772" s="540"/>
      <c r="T4772" s="543"/>
      <c r="U4772" s="673" t="b">
        <v>0</v>
      </c>
      <c r="Z4772" t="b">
        <v>0</v>
      </c>
      <c r="AA4772" t="b">
        <v>0</v>
      </c>
      <c r="AC4772" s="82"/>
      <c r="AD4772" t="str">
        <f t="shared" si="71"/>
        <v/>
      </c>
      <c r="AE4772" t="str">
        <f t="shared" si="72"/>
        <v/>
      </c>
    </row>
    <row r="4773">
      <c r="D4773" s="226"/>
      <c r="H4773" s="474"/>
      <c r="I4773" s="474"/>
      <c r="J4773" s="475"/>
      <c r="K4773" s="275"/>
      <c r="L4773" s="82"/>
      <c r="M4773" s="672"/>
      <c r="N4773" s="242"/>
      <c r="O4773" s="242"/>
      <c r="P4773" s="242"/>
      <c r="Q4773" s="242"/>
      <c r="R4773" s="539"/>
      <c r="S4773" s="540"/>
      <c r="T4773" s="543"/>
      <c r="U4773" s="673" t="b">
        <v>0</v>
      </c>
      <c r="Z4773" t="b">
        <v>0</v>
      </c>
      <c r="AA4773" t="b">
        <v>0</v>
      </c>
      <c r="AC4773" s="82"/>
      <c r="AD4773" t="str">
        <f t="shared" si="71"/>
        <v/>
      </c>
      <c r="AE4773" t="str">
        <f t="shared" si="72"/>
        <v/>
      </c>
    </row>
    <row r="4774">
      <c r="D4774" s="226"/>
      <c r="H4774" s="474"/>
      <c r="I4774" s="474"/>
      <c r="J4774" s="475"/>
      <c r="K4774" s="275"/>
      <c r="L4774" s="82"/>
      <c r="M4774" s="672"/>
      <c r="N4774" s="242"/>
      <c r="O4774" s="242"/>
      <c r="P4774" s="242"/>
      <c r="Q4774" s="242"/>
      <c r="R4774" s="539"/>
      <c r="S4774" s="540"/>
      <c r="T4774" s="543"/>
      <c r="U4774" s="673" t="b">
        <v>0</v>
      </c>
      <c r="Z4774" t="b">
        <v>0</v>
      </c>
      <c r="AA4774" t="b">
        <v>0</v>
      </c>
      <c r="AC4774" s="82"/>
      <c r="AD4774" t="str">
        <f t="shared" si="71"/>
        <v/>
      </c>
      <c r="AE4774" t="str">
        <f t="shared" si="72"/>
        <v/>
      </c>
    </row>
    <row r="4775">
      <c r="D4775" s="226"/>
      <c r="H4775" s="474"/>
      <c r="I4775" s="474"/>
      <c r="J4775" s="475"/>
      <c r="K4775" s="275"/>
      <c r="L4775" s="82"/>
      <c r="M4775" s="672"/>
      <c r="N4775" s="242"/>
      <c r="O4775" s="242"/>
      <c r="P4775" s="242"/>
      <c r="Q4775" s="242"/>
      <c r="R4775" s="539"/>
      <c r="S4775" s="540"/>
      <c r="T4775" s="543"/>
      <c r="U4775" s="673" t="b">
        <v>0</v>
      </c>
      <c r="Z4775" t="b">
        <v>0</v>
      </c>
      <c r="AA4775" t="b">
        <v>0</v>
      </c>
      <c r="AC4775" s="82"/>
      <c r="AD4775" t="str">
        <f t="shared" si="71"/>
        <v/>
      </c>
      <c r="AE4775" t="str">
        <f t="shared" si="72"/>
        <v/>
      </c>
    </row>
    <row r="4776">
      <c r="D4776" s="226"/>
      <c r="H4776" s="474"/>
      <c r="I4776" s="474"/>
      <c r="J4776" s="475"/>
      <c r="K4776" s="275"/>
      <c r="L4776" s="82"/>
      <c r="M4776" s="672"/>
      <c r="N4776" s="242"/>
      <c r="O4776" s="242"/>
      <c r="P4776" s="242"/>
      <c r="Q4776" s="242"/>
      <c r="R4776" s="539"/>
      <c r="S4776" s="540"/>
      <c r="T4776" s="543"/>
      <c r="U4776" s="673" t="b">
        <v>0</v>
      </c>
      <c r="Z4776" t="b">
        <v>0</v>
      </c>
      <c r="AA4776" t="b">
        <v>0</v>
      </c>
      <c r="AC4776" s="82"/>
      <c r="AD4776" t="str">
        <f t="shared" si="71"/>
        <v/>
      </c>
      <c r="AE4776" t="str">
        <f t="shared" si="72"/>
        <v/>
      </c>
    </row>
    <row r="4777">
      <c r="D4777" s="226"/>
      <c r="H4777" s="474"/>
      <c r="I4777" s="474"/>
      <c r="J4777" s="475"/>
      <c r="K4777" s="275"/>
      <c r="L4777" s="82"/>
      <c r="M4777" s="672"/>
      <c r="N4777" s="242"/>
      <c r="O4777" s="242"/>
      <c r="P4777" s="242"/>
      <c r="Q4777" s="242"/>
      <c r="R4777" s="539"/>
      <c r="S4777" s="540"/>
      <c r="T4777" s="543"/>
      <c r="U4777" s="673" t="b">
        <v>0</v>
      </c>
      <c r="Z4777" t="b">
        <v>0</v>
      </c>
      <c r="AA4777" t="b">
        <v>0</v>
      </c>
      <c r="AC4777" s="82"/>
      <c r="AD4777" t="str">
        <f t="shared" si="71"/>
        <v/>
      </c>
      <c r="AE4777" t="str">
        <f t="shared" si="72"/>
        <v/>
      </c>
    </row>
    <row r="4778">
      <c r="D4778" s="226"/>
      <c r="H4778" s="474"/>
      <c r="I4778" s="474"/>
      <c r="J4778" s="475"/>
      <c r="K4778" s="275"/>
      <c r="L4778" s="82"/>
      <c r="M4778" s="672"/>
      <c r="N4778" s="242"/>
      <c r="O4778" s="242"/>
      <c r="P4778" s="242"/>
      <c r="Q4778" s="242"/>
      <c r="R4778" s="539"/>
      <c r="S4778" s="540"/>
      <c r="T4778" s="543"/>
      <c r="U4778" s="673" t="b">
        <v>0</v>
      </c>
      <c r="Z4778" t="b">
        <v>0</v>
      </c>
      <c r="AA4778" t="b">
        <v>0</v>
      </c>
      <c r="AC4778" s="82"/>
      <c r="AD4778" t="str">
        <f t="shared" si="71"/>
        <v/>
      </c>
      <c r="AE4778" t="str">
        <f t="shared" si="72"/>
        <v/>
      </c>
    </row>
    <row r="4779">
      <c r="D4779" s="226"/>
      <c r="H4779" s="474"/>
      <c r="I4779" s="474"/>
      <c r="J4779" s="475"/>
      <c r="K4779" s="275"/>
      <c r="L4779" s="82"/>
      <c r="M4779" s="672"/>
      <c r="N4779" s="242"/>
      <c r="O4779" s="242"/>
      <c r="P4779" s="242"/>
      <c r="Q4779" s="242"/>
      <c r="R4779" s="539"/>
      <c r="S4779" s="540"/>
      <c r="T4779" s="543"/>
      <c r="U4779" s="673" t="b">
        <v>0</v>
      </c>
      <c r="Z4779" t="b">
        <v>0</v>
      </c>
      <c r="AA4779" t="b">
        <v>0</v>
      </c>
      <c r="AC4779" s="82"/>
      <c r="AD4779" t="str">
        <f t="shared" si="71"/>
        <v/>
      </c>
      <c r="AE4779" t="str">
        <f t="shared" si="72"/>
        <v/>
      </c>
    </row>
    <row r="4780">
      <c r="D4780" s="226"/>
      <c r="H4780" s="474"/>
      <c r="I4780" s="474"/>
      <c r="J4780" s="475"/>
      <c r="K4780" s="275"/>
      <c r="L4780" s="82"/>
      <c r="M4780" s="672"/>
      <c r="N4780" s="242"/>
      <c r="O4780" s="242"/>
      <c r="P4780" s="242"/>
      <c r="Q4780" s="242"/>
      <c r="R4780" s="539"/>
      <c r="S4780" s="540"/>
      <c r="T4780" s="543"/>
      <c r="U4780" s="673" t="b">
        <v>0</v>
      </c>
      <c r="Z4780" t="b">
        <v>0</v>
      </c>
      <c r="AA4780" t="b">
        <v>0</v>
      </c>
      <c r="AC4780" s="82"/>
      <c r="AD4780" t="str">
        <f t="shared" si="71"/>
        <v/>
      </c>
      <c r="AE4780" t="str">
        <f t="shared" si="72"/>
        <v/>
      </c>
    </row>
    <row r="4781">
      <c r="D4781" s="226"/>
      <c r="H4781" s="474"/>
      <c r="I4781" s="474"/>
      <c r="J4781" s="475"/>
      <c r="K4781" s="275"/>
      <c r="L4781" s="82"/>
      <c r="M4781" s="672"/>
      <c r="N4781" s="242"/>
      <c r="O4781" s="242"/>
      <c r="P4781" s="242"/>
      <c r="Q4781" s="242"/>
      <c r="R4781" s="539"/>
      <c r="S4781" s="540"/>
      <c r="T4781" s="543"/>
      <c r="U4781" s="673" t="b">
        <v>0</v>
      </c>
      <c r="Z4781" t="b">
        <v>0</v>
      </c>
      <c r="AA4781" t="b">
        <v>0</v>
      </c>
      <c r="AC4781" s="82"/>
      <c r="AD4781" t="str">
        <f t="shared" si="71"/>
        <v/>
      </c>
      <c r="AE4781" t="str">
        <f t="shared" si="72"/>
        <v/>
      </c>
    </row>
    <row r="4782">
      <c r="D4782" s="226"/>
      <c r="H4782" s="474"/>
      <c r="I4782" s="474"/>
      <c r="J4782" s="475"/>
      <c r="K4782" s="275"/>
      <c r="L4782" s="82"/>
      <c r="M4782" s="672"/>
      <c r="N4782" s="242"/>
      <c r="O4782" s="242"/>
      <c r="P4782" s="242"/>
      <c r="Q4782" s="242"/>
      <c r="R4782" s="539"/>
      <c r="S4782" s="540"/>
      <c r="T4782" s="543"/>
      <c r="U4782" s="673" t="b">
        <v>0</v>
      </c>
      <c r="Z4782" t="b">
        <v>0</v>
      </c>
      <c r="AA4782" t="b">
        <v>0</v>
      </c>
      <c r="AC4782" s="82"/>
      <c r="AD4782" t="str">
        <f t="shared" si="71"/>
        <v/>
      </c>
      <c r="AE4782" t="str">
        <f t="shared" si="72"/>
        <v/>
      </c>
    </row>
    <row r="4783">
      <c r="D4783" s="226"/>
      <c r="H4783" s="474"/>
      <c r="I4783" s="474"/>
      <c r="J4783" s="475"/>
      <c r="K4783" s="275"/>
      <c r="L4783" s="82"/>
      <c r="M4783" s="672"/>
      <c r="N4783" s="242"/>
      <c r="O4783" s="242"/>
      <c r="P4783" s="242"/>
      <c r="Q4783" s="242"/>
      <c r="R4783" s="539"/>
      <c r="S4783" s="540"/>
      <c r="T4783" s="543"/>
      <c r="U4783" s="673" t="b">
        <v>0</v>
      </c>
      <c r="Z4783" t="b">
        <v>0</v>
      </c>
      <c r="AA4783" t="b">
        <v>0</v>
      </c>
      <c r="AC4783" s="82"/>
      <c r="AD4783" t="str">
        <f t="shared" si="71"/>
        <v/>
      </c>
      <c r="AE4783" t="str">
        <f t="shared" si="72"/>
        <v/>
      </c>
    </row>
    <row r="4784">
      <c r="D4784" s="226"/>
      <c r="H4784" s="474"/>
      <c r="I4784" s="474"/>
      <c r="J4784" s="475"/>
      <c r="K4784" s="275"/>
      <c r="L4784" s="82"/>
      <c r="M4784" s="672"/>
      <c r="N4784" s="242"/>
      <c r="O4784" s="242"/>
      <c r="P4784" s="242"/>
      <c r="Q4784" s="242"/>
      <c r="R4784" s="539"/>
      <c r="S4784" s="540"/>
      <c r="T4784" s="543"/>
      <c r="U4784" s="673" t="b">
        <v>0</v>
      </c>
      <c r="Z4784" t="b">
        <v>0</v>
      </c>
      <c r="AA4784" t="b">
        <v>0</v>
      </c>
      <c r="AC4784" s="82"/>
      <c r="AD4784" t="str">
        <f t="shared" si="71"/>
        <v/>
      </c>
      <c r="AE4784" t="str">
        <f t="shared" si="72"/>
        <v/>
      </c>
    </row>
    <row r="4785">
      <c r="D4785" s="226"/>
      <c r="H4785" s="474"/>
      <c r="I4785" s="474"/>
      <c r="J4785" s="475"/>
      <c r="K4785" s="275"/>
      <c r="L4785" s="82"/>
      <c r="M4785" s="672"/>
      <c r="N4785" s="242"/>
      <c r="O4785" s="242"/>
      <c r="P4785" s="242"/>
      <c r="Q4785" s="242"/>
      <c r="R4785" s="539"/>
      <c r="S4785" s="540"/>
      <c r="T4785" s="543"/>
      <c r="U4785" s="673" t="b">
        <v>0</v>
      </c>
      <c r="Z4785" t="b">
        <v>0</v>
      </c>
      <c r="AA4785" t="b">
        <v>0</v>
      </c>
      <c r="AC4785" s="82"/>
      <c r="AD4785" t="str">
        <f t="shared" si="71"/>
        <v/>
      </c>
      <c r="AE4785" t="str">
        <f t="shared" si="72"/>
        <v/>
      </c>
    </row>
    <row r="4786">
      <c r="D4786" s="226"/>
      <c r="H4786" s="474"/>
      <c r="I4786" s="474"/>
      <c r="J4786" s="475"/>
      <c r="K4786" s="275"/>
      <c r="L4786" s="82"/>
      <c r="M4786" s="672"/>
      <c r="N4786" s="242"/>
      <c r="O4786" s="242"/>
      <c r="P4786" s="242"/>
      <c r="Q4786" s="242"/>
      <c r="R4786" s="539"/>
      <c r="S4786" s="540"/>
      <c r="T4786" s="543"/>
      <c r="U4786" s="673" t="b">
        <v>0</v>
      </c>
      <c r="Z4786" t="b">
        <v>0</v>
      </c>
      <c r="AA4786" t="b">
        <v>0</v>
      </c>
      <c r="AC4786" s="82"/>
      <c r="AD4786" t="str">
        <f t="shared" si="71"/>
        <v/>
      </c>
      <c r="AE4786" t="str">
        <f t="shared" si="72"/>
        <v/>
      </c>
    </row>
    <row r="4787">
      <c r="D4787" s="226"/>
      <c r="H4787" s="474"/>
      <c r="I4787" s="474"/>
      <c r="J4787" s="475"/>
      <c r="K4787" s="275"/>
      <c r="L4787" s="82"/>
      <c r="M4787" s="672"/>
      <c r="N4787" s="242"/>
      <c r="O4787" s="242"/>
      <c r="P4787" s="242"/>
      <c r="Q4787" s="242"/>
      <c r="R4787" s="539"/>
      <c r="S4787" s="540"/>
      <c r="T4787" s="543"/>
      <c r="U4787" s="673" t="b">
        <v>0</v>
      </c>
      <c r="Z4787" t="b">
        <v>0</v>
      </c>
      <c r="AA4787" t="b">
        <v>0</v>
      </c>
      <c r="AC4787" s="82"/>
      <c r="AD4787" t="str">
        <f t="shared" si="71"/>
        <v/>
      </c>
      <c r="AE4787" t="str">
        <f t="shared" si="72"/>
        <v/>
      </c>
    </row>
    <row r="4788">
      <c r="D4788" s="226"/>
      <c r="H4788" s="474"/>
      <c r="I4788" s="474"/>
      <c r="J4788" s="475"/>
      <c r="K4788" s="275"/>
      <c r="L4788" s="82"/>
      <c r="M4788" s="672"/>
      <c r="N4788" s="242"/>
      <c r="O4788" s="242"/>
      <c r="P4788" s="242"/>
      <c r="Q4788" s="242"/>
      <c r="R4788" s="539"/>
      <c r="S4788" s="540"/>
      <c r="T4788" s="543"/>
      <c r="U4788" s="673" t="b">
        <v>0</v>
      </c>
      <c r="Z4788" t="b">
        <v>0</v>
      </c>
      <c r="AA4788" t="b">
        <v>0</v>
      </c>
      <c r="AC4788" s="82"/>
      <c r="AD4788" t="str">
        <f t="shared" si="71"/>
        <v/>
      </c>
      <c r="AE4788" t="str">
        <f t="shared" si="72"/>
        <v/>
      </c>
    </row>
    <row r="4789">
      <c r="D4789" s="226"/>
      <c r="H4789" s="474"/>
      <c r="I4789" s="474"/>
      <c r="J4789" s="475"/>
      <c r="K4789" s="275"/>
      <c r="L4789" s="82"/>
      <c r="M4789" s="672"/>
      <c r="N4789" s="242"/>
      <c r="O4789" s="242"/>
      <c r="P4789" s="242"/>
      <c r="Q4789" s="242"/>
      <c r="R4789" s="539"/>
      <c r="S4789" s="540"/>
      <c r="T4789" s="543"/>
      <c r="U4789" s="673" t="b">
        <v>0</v>
      </c>
      <c r="Z4789" t="b">
        <v>0</v>
      </c>
      <c r="AA4789" t="b">
        <v>0</v>
      </c>
      <c r="AC4789" s="82"/>
      <c r="AD4789" t="str">
        <f t="shared" si="71"/>
        <v/>
      </c>
      <c r="AE4789" t="str">
        <f t="shared" si="72"/>
        <v/>
      </c>
    </row>
    <row r="4790">
      <c r="D4790" s="226"/>
      <c r="H4790" s="474"/>
      <c r="I4790" s="474"/>
      <c r="J4790" s="475"/>
      <c r="K4790" s="275"/>
      <c r="L4790" s="82"/>
      <c r="M4790" s="672"/>
      <c r="N4790" s="242"/>
      <c r="O4790" s="242"/>
      <c r="P4790" s="242"/>
      <c r="Q4790" s="242"/>
      <c r="R4790" s="539"/>
      <c r="S4790" s="540"/>
      <c r="T4790" s="543"/>
      <c r="U4790" s="673" t="b">
        <v>0</v>
      </c>
      <c r="Z4790" t="b">
        <v>0</v>
      </c>
      <c r="AA4790" t="b">
        <v>0</v>
      </c>
      <c r="AC4790" s="82"/>
      <c r="AD4790" t="str">
        <f t="shared" si="71"/>
        <v/>
      </c>
      <c r="AE4790" t="str">
        <f t="shared" si="72"/>
        <v/>
      </c>
    </row>
    <row r="4791">
      <c r="D4791" s="226"/>
      <c r="H4791" s="474"/>
      <c r="I4791" s="474"/>
      <c r="J4791" s="475"/>
      <c r="K4791" s="275"/>
      <c r="L4791" s="82"/>
      <c r="M4791" s="672"/>
      <c r="N4791" s="242"/>
      <c r="O4791" s="242"/>
      <c r="P4791" s="242"/>
      <c r="Q4791" s="242"/>
      <c r="R4791" s="539"/>
      <c r="S4791" s="540"/>
      <c r="T4791" s="543"/>
      <c r="U4791" s="673" t="b">
        <v>0</v>
      </c>
      <c r="Z4791" t="b">
        <v>0</v>
      </c>
      <c r="AA4791" t="b">
        <v>0</v>
      </c>
      <c r="AC4791" s="82"/>
      <c r="AD4791" t="str">
        <f t="shared" si="71"/>
        <v/>
      </c>
      <c r="AE4791" t="str">
        <f t="shared" si="72"/>
        <v/>
      </c>
    </row>
    <row r="4792">
      <c r="D4792" s="226"/>
      <c r="H4792" s="474"/>
      <c r="I4792" s="474"/>
      <c r="J4792" s="475"/>
      <c r="K4792" s="275"/>
      <c r="L4792" s="82"/>
      <c r="M4792" s="672"/>
      <c r="N4792" s="242"/>
      <c r="O4792" s="242"/>
      <c r="P4792" s="242"/>
      <c r="Q4792" s="242"/>
      <c r="R4792" s="539"/>
      <c r="S4792" s="540"/>
      <c r="T4792" s="543"/>
      <c r="U4792" s="673" t="b">
        <v>0</v>
      </c>
      <c r="Z4792" t="b">
        <v>0</v>
      </c>
      <c r="AA4792" t="b">
        <v>0</v>
      </c>
      <c r="AC4792" s="82"/>
      <c r="AD4792" t="str">
        <f t="shared" si="71"/>
        <v/>
      </c>
      <c r="AE4792" t="str">
        <f t="shared" si="72"/>
        <v/>
      </c>
    </row>
    <row r="4793">
      <c r="D4793" s="226"/>
      <c r="H4793" s="474"/>
      <c r="I4793" s="474"/>
      <c r="J4793" s="475"/>
      <c r="K4793" s="275"/>
      <c r="L4793" s="82"/>
      <c r="M4793" s="672"/>
      <c r="N4793" s="242"/>
      <c r="O4793" s="242"/>
      <c r="P4793" s="242"/>
      <c r="Q4793" s="242"/>
      <c r="R4793" s="539"/>
      <c r="S4793" s="540"/>
      <c r="T4793" s="543"/>
      <c r="U4793" s="673" t="b">
        <v>0</v>
      </c>
      <c r="Z4793" t="b">
        <v>0</v>
      </c>
      <c r="AA4793" t="b">
        <v>0</v>
      </c>
      <c r="AC4793" s="82"/>
      <c r="AD4793" t="str">
        <f t="shared" si="71"/>
        <v/>
      </c>
      <c r="AE4793" t="str">
        <f t="shared" si="72"/>
        <v/>
      </c>
    </row>
    <row r="4794">
      <c r="D4794" s="226"/>
      <c r="H4794" s="474"/>
      <c r="I4794" s="474"/>
      <c r="J4794" s="475"/>
      <c r="K4794" s="275"/>
      <c r="L4794" s="82"/>
      <c r="M4794" s="672"/>
      <c r="N4794" s="242"/>
      <c r="O4794" s="242"/>
      <c r="P4794" s="242"/>
      <c r="Q4794" s="242"/>
      <c r="R4794" s="539"/>
      <c r="S4794" s="540"/>
      <c r="T4794" s="543"/>
      <c r="U4794" s="673" t="b">
        <v>0</v>
      </c>
      <c r="Z4794" t="b">
        <v>0</v>
      </c>
      <c r="AA4794" t="b">
        <v>0</v>
      </c>
      <c r="AC4794" s="82"/>
      <c r="AD4794" t="str">
        <f t="shared" si="71"/>
        <v/>
      </c>
      <c r="AE4794" t="str">
        <f t="shared" si="72"/>
        <v/>
      </c>
    </row>
    <row r="4795">
      <c r="D4795" s="226"/>
      <c r="H4795" s="474"/>
      <c r="I4795" s="474"/>
      <c r="J4795" s="475"/>
      <c r="K4795" s="275"/>
      <c r="L4795" s="82"/>
      <c r="M4795" s="672"/>
      <c r="N4795" s="242"/>
      <c r="O4795" s="242"/>
      <c r="P4795" s="242"/>
      <c r="Q4795" s="242"/>
      <c r="R4795" s="539"/>
      <c r="S4795" s="540"/>
      <c r="T4795" s="543"/>
      <c r="U4795" s="673" t="b">
        <v>0</v>
      </c>
      <c r="Z4795" t="b">
        <v>0</v>
      </c>
      <c r="AA4795" t="b">
        <v>0</v>
      </c>
      <c r="AC4795" s="82"/>
      <c r="AD4795" t="str">
        <f t="shared" si="71"/>
        <v/>
      </c>
      <c r="AE4795" t="str">
        <f t="shared" si="72"/>
        <v/>
      </c>
    </row>
    <row r="4796">
      <c r="D4796" s="226"/>
      <c r="H4796" s="474"/>
      <c r="I4796" s="474"/>
      <c r="J4796" s="475"/>
      <c r="K4796" s="275"/>
      <c r="L4796" s="82"/>
      <c r="M4796" s="672"/>
      <c r="N4796" s="242"/>
      <c r="O4796" s="242"/>
      <c r="P4796" s="242"/>
      <c r="Q4796" s="242"/>
      <c r="R4796" s="539"/>
      <c r="S4796" s="540"/>
      <c r="T4796" s="543"/>
      <c r="U4796" s="673" t="b">
        <v>0</v>
      </c>
      <c r="Z4796" t="b">
        <v>0</v>
      </c>
      <c r="AA4796" t="b">
        <v>0</v>
      </c>
      <c r="AC4796" s="82"/>
      <c r="AD4796" t="str">
        <f t="shared" si="71"/>
        <v/>
      </c>
      <c r="AE4796" t="str">
        <f t="shared" si="72"/>
        <v/>
      </c>
    </row>
    <row r="4797">
      <c r="D4797" s="226"/>
      <c r="H4797" s="474"/>
      <c r="I4797" s="474"/>
      <c r="J4797" s="475"/>
      <c r="K4797" s="275"/>
      <c r="L4797" s="82"/>
      <c r="M4797" s="672"/>
      <c r="N4797" s="242"/>
      <c r="O4797" s="242"/>
      <c r="P4797" s="242"/>
      <c r="Q4797" s="242"/>
      <c r="R4797" s="539"/>
      <c r="S4797" s="540"/>
      <c r="T4797" s="543"/>
      <c r="U4797" s="673" t="b">
        <v>0</v>
      </c>
      <c r="Z4797" t="b">
        <v>0</v>
      </c>
      <c r="AA4797" t="b">
        <v>0</v>
      </c>
      <c r="AC4797" s="82"/>
      <c r="AD4797" t="str">
        <f t="shared" si="71"/>
        <v/>
      </c>
      <c r="AE4797" t="str">
        <f t="shared" si="72"/>
        <v/>
      </c>
    </row>
    <row r="4798">
      <c r="D4798" s="226"/>
      <c r="H4798" s="474"/>
      <c r="I4798" s="474"/>
      <c r="J4798" s="475"/>
      <c r="K4798" s="275"/>
      <c r="L4798" s="82"/>
      <c r="M4798" s="672"/>
      <c r="N4798" s="242"/>
      <c r="O4798" s="242"/>
      <c r="P4798" s="242"/>
      <c r="Q4798" s="242"/>
      <c r="R4798" s="539"/>
      <c r="S4798" s="540"/>
      <c r="T4798" s="543"/>
      <c r="U4798" s="673" t="b">
        <v>0</v>
      </c>
      <c r="Z4798" t="b">
        <v>0</v>
      </c>
      <c r="AA4798" t="b">
        <v>0</v>
      </c>
      <c r="AC4798" s="82"/>
      <c r="AD4798" t="str">
        <f t="shared" si="71"/>
        <v/>
      </c>
      <c r="AE4798" t="str">
        <f t="shared" si="72"/>
        <v/>
      </c>
    </row>
    <row r="4799">
      <c r="D4799" s="226"/>
      <c r="H4799" s="474"/>
      <c r="I4799" s="474"/>
      <c r="J4799" s="475"/>
      <c r="K4799" s="275"/>
      <c r="L4799" s="82"/>
      <c r="M4799" s="672"/>
      <c r="N4799" s="242"/>
      <c r="O4799" s="242"/>
      <c r="P4799" s="242"/>
      <c r="Q4799" s="242"/>
      <c r="R4799" s="539"/>
      <c r="S4799" s="540"/>
      <c r="T4799" s="543"/>
      <c r="U4799" s="673" t="b">
        <v>0</v>
      </c>
      <c r="Z4799" t="b">
        <v>0</v>
      </c>
      <c r="AA4799" t="b">
        <v>0</v>
      </c>
      <c r="AC4799" s="82"/>
      <c r="AD4799" t="str">
        <f t="shared" si="71"/>
        <v/>
      </c>
      <c r="AE4799" t="str">
        <f t="shared" si="72"/>
        <v/>
      </c>
    </row>
    <row r="4800">
      <c r="D4800" s="226"/>
      <c r="H4800" s="474"/>
      <c r="I4800" s="474"/>
      <c r="J4800" s="475"/>
      <c r="K4800" s="275"/>
      <c r="L4800" s="82"/>
      <c r="M4800" s="672"/>
      <c r="N4800" s="242"/>
      <c r="O4800" s="242"/>
      <c r="P4800" s="242"/>
      <c r="Q4800" s="242"/>
      <c r="R4800" s="539"/>
      <c r="S4800" s="540"/>
      <c r="T4800" s="543"/>
      <c r="U4800" s="673" t="b">
        <v>0</v>
      </c>
      <c r="Z4800" t="b">
        <v>0</v>
      </c>
      <c r="AA4800" t="b">
        <v>0</v>
      </c>
      <c r="AC4800" s="82"/>
      <c r="AD4800" t="str">
        <f t="shared" si="71"/>
        <v/>
      </c>
      <c r="AE4800" t="str">
        <f t="shared" si="72"/>
        <v/>
      </c>
    </row>
    <row r="4801">
      <c r="D4801" s="226"/>
      <c r="H4801" s="474"/>
      <c r="I4801" s="474"/>
      <c r="J4801" s="475"/>
      <c r="K4801" s="275"/>
      <c r="L4801" s="82"/>
      <c r="M4801" s="672"/>
      <c r="N4801" s="242"/>
      <c r="O4801" s="242"/>
      <c r="P4801" s="242"/>
      <c r="Q4801" s="242"/>
      <c r="R4801" s="539"/>
      <c r="S4801" s="540"/>
      <c r="T4801" s="543"/>
      <c r="U4801" s="673" t="b">
        <v>0</v>
      </c>
      <c r="Z4801" t="b">
        <v>0</v>
      </c>
      <c r="AA4801" t="b">
        <v>0</v>
      </c>
      <c r="AC4801" s="82"/>
      <c r="AD4801" t="str">
        <f t="shared" si="71"/>
        <v/>
      </c>
      <c r="AE4801" t="str">
        <f t="shared" si="72"/>
        <v/>
      </c>
    </row>
    <row r="4802">
      <c r="D4802" s="226"/>
      <c r="H4802" s="474"/>
      <c r="I4802" s="474"/>
      <c r="J4802" s="475"/>
      <c r="K4802" s="275"/>
      <c r="L4802" s="82"/>
      <c r="M4802" s="672"/>
      <c r="N4802" s="242"/>
      <c r="O4802" s="242"/>
      <c r="P4802" s="242"/>
      <c r="Q4802" s="242"/>
      <c r="R4802" s="539"/>
      <c r="S4802" s="540"/>
      <c r="T4802" s="543"/>
      <c r="U4802" s="673" t="b">
        <v>0</v>
      </c>
      <c r="Z4802" t="b">
        <v>0</v>
      </c>
      <c r="AA4802" t="b">
        <v>0</v>
      </c>
      <c r="AC4802" s="82"/>
      <c r="AD4802" t="str">
        <f t="shared" si="71"/>
        <v/>
      </c>
      <c r="AE4802" t="str">
        <f t="shared" si="72"/>
        <v/>
      </c>
    </row>
    <row r="4803">
      <c r="D4803" s="226"/>
      <c r="H4803" s="474"/>
      <c r="I4803" s="474"/>
      <c r="J4803" s="475"/>
      <c r="K4803" s="275"/>
      <c r="L4803" s="82"/>
      <c r="M4803" s="672"/>
      <c r="N4803" s="242"/>
      <c r="O4803" s="242"/>
      <c r="P4803" s="242"/>
      <c r="Q4803" s="242"/>
      <c r="R4803" s="539"/>
      <c r="S4803" s="540"/>
      <c r="T4803" s="543"/>
      <c r="U4803" s="673" t="b">
        <v>0</v>
      </c>
      <c r="Z4803" t="b">
        <v>0</v>
      </c>
      <c r="AA4803" t="b">
        <v>0</v>
      </c>
      <c r="AC4803" s="82"/>
      <c r="AD4803" t="str">
        <f t="shared" si="71"/>
        <v/>
      </c>
      <c r="AE4803" t="str">
        <f t="shared" si="72"/>
        <v/>
      </c>
    </row>
    <row r="4804">
      <c r="D4804" s="226"/>
      <c r="H4804" s="474"/>
      <c r="I4804" s="474"/>
      <c r="J4804" s="475"/>
      <c r="K4804" s="275"/>
      <c r="L4804" s="82"/>
      <c r="M4804" s="672"/>
      <c r="N4804" s="242"/>
      <c r="O4804" s="242"/>
      <c r="P4804" s="242"/>
      <c r="Q4804" s="242"/>
      <c r="R4804" s="539"/>
      <c r="S4804" s="540"/>
      <c r="T4804" s="543"/>
      <c r="U4804" s="673" t="b">
        <v>0</v>
      </c>
      <c r="Z4804" t="b">
        <v>0</v>
      </c>
      <c r="AA4804" t="b">
        <v>0</v>
      </c>
      <c r="AC4804" s="82"/>
      <c r="AD4804" t="str">
        <f t="shared" si="71"/>
        <v/>
      </c>
      <c r="AE4804" t="str">
        <f t="shared" si="72"/>
        <v/>
      </c>
    </row>
    <row r="4805">
      <c r="D4805" s="226"/>
      <c r="H4805" s="474"/>
      <c r="I4805" s="474"/>
      <c r="J4805" s="475"/>
      <c r="K4805" s="275"/>
      <c r="L4805" s="82"/>
      <c r="M4805" s="672"/>
      <c r="N4805" s="242"/>
      <c r="O4805" s="242"/>
      <c r="P4805" s="242"/>
      <c r="Q4805" s="242"/>
      <c r="R4805" s="539"/>
      <c r="S4805" s="540"/>
      <c r="T4805" s="543"/>
      <c r="U4805" s="673" t="b">
        <v>0</v>
      </c>
      <c r="Z4805" t="b">
        <v>0</v>
      </c>
      <c r="AA4805" t="b">
        <v>0</v>
      </c>
      <c r="AC4805" s="82"/>
      <c r="AD4805" t="str">
        <f t="shared" si="71"/>
        <v/>
      </c>
      <c r="AE4805" t="str">
        <f t="shared" si="72"/>
        <v/>
      </c>
    </row>
    <row r="4806">
      <c r="D4806" s="226"/>
      <c r="H4806" s="474"/>
      <c r="I4806" s="474"/>
      <c r="J4806" s="475"/>
      <c r="K4806" s="275"/>
      <c r="L4806" s="82"/>
      <c r="M4806" s="672"/>
      <c r="N4806" s="242"/>
      <c r="O4806" s="242"/>
      <c r="P4806" s="242"/>
      <c r="Q4806" s="242"/>
      <c r="R4806" s="539"/>
      <c r="S4806" s="540"/>
      <c r="T4806" s="543"/>
      <c r="U4806" s="673" t="b">
        <v>0</v>
      </c>
      <c r="Z4806" t="b">
        <v>0</v>
      </c>
      <c r="AA4806" t="b">
        <v>0</v>
      </c>
      <c r="AC4806" s="82"/>
      <c r="AD4806" t="str">
        <f t="shared" si="71"/>
        <v/>
      </c>
      <c r="AE4806" t="str">
        <f t="shared" si="72"/>
        <v/>
      </c>
    </row>
    <row r="4807">
      <c r="D4807" s="226"/>
      <c r="H4807" s="474"/>
      <c r="I4807" s="474"/>
      <c r="J4807" s="475"/>
      <c r="K4807" s="275"/>
      <c r="L4807" s="82"/>
      <c r="M4807" s="672"/>
      <c r="N4807" s="242"/>
      <c r="O4807" s="242"/>
      <c r="P4807" s="242"/>
      <c r="Q4807" s="242"/>
      <c r="R4807" s="539"/>
      <c r="S4807" s="540"/>
      <c r="T4807" s="543"/>
      <c r="U4807" s="673" t="b">
        <v>0</v>
      </c>
      <c r="Z4807" t="b">
        <v>0</v>
      </c>
      <c r="AA4807" t="b">
        <v>0</v>
      </c>
      <c r="AC4807" s="82"/>
      <c r="AD4807" t="str">
        <f t="shared" si="71"/>
        <v/>
      </c>
      <c r="AE4807" t="str">
        <f t="shared" si="72"/>
        <v/>
      </c>
    </row>
    <row r="4808">
      <c r="D4808" s="226"/>
      <c r="H4808" s="474"/>
      <c r="I4808" s="474"/>
      <c r="J4808" s="475"/>
      <c r="K4808" s="275"/>
      <c r="L4808" s="82"/>
      <c r="M4808" s="672"/>
      <c r="N4808" s="242"/>
      <c r="O4808" s="242"/>
      <c r="P4808" s="242"/>
      <c r="Q4808" s="242"/>
      <c r="R4808" s="539"/>
      <c r="S4808" s="540"/>
      <c r="T4808" s="543"/>
      <c r="U4808" s="673" t="b">
        <v>0</v>
      </c>
      <c r="Z4808" t="b">
        <v>0</v>
      </c>
      <c r="AA4808" t="b">
        <v>0</v>
      </c>
      <c r="AC4808" s="82"/>
      <c r="AD4808" t="str">
        <f t="shared" si="71"/>
        <v/>
      </c>
      <c r="AE4808" t="str">
        <f t="shared" si="72"/>
        <v/>
      </c>
    </row>
    <row r="4809">
      <c r="D4809" s="226"/>
      <c r="H4809" s="474"/>
      <c r="I4809" s="474"/>
      <c r="J4809" s="475"/>
      <c r="K4809" s="275"/>
      <c r="L4809" s="82"/>
      <c r="M4809" s="672"/>
      <c r="N4809" s="242"/>
      <c r="O4809" s="242"/>
      <c r="P4809" s="242"/>
      <c r="Q4809" s="242"/>
      <c r="R4809" s="539"/>
      <c r="S4809" s="540"/>
      <c r="T4809" s="543"/>
      <c r="U4809" s="673" t="b">
        <v>0</v>
      </c>
      <c r="Z4809" t="b">
        <v>0</v>
      </c>
      <c r="AA4809" t="b">
        <v>0</v>
      </c>
      <c r="AC4809" s="82"/>
      <c r="AD4809" t="str">
        <f t="shared" si="71"/>
        <v/>
      </c>
      <c r="AE4809" t="str">
        <f t="shared" si="72"/>
        <v/>
      </c>
    </row>
    <row r="4810">
      <c r="D4810" s="226"/>
      <c r="H4810" s="474"/>
      <c r="I4810" s="474"/>
      <c r="J4810" s="475"/>
      <c r="K4810" s="275"/>
      <c r="L4810" s="82"/>
      <c r="M4810" s="672"/>
      <c r="N4810" s="242"/>
      <c r="O4810" s="242"/>
      <c r="P4810" s="242"/>
      <c r="Q4810" s="242"/>
      <c r="R4810" s="539"/>
      <c r="S4810" s="540"/>
      <c r="T4810" s="543"/>
      <c r="U4810" s="673" t="b">
        <v>0</v>
      </c>
      <c r="Z4810" t="b">
        <v>0</v>
      </c>
      <c r="AA4810" t="b">
        <v>0</v>
      </c>
      <c r="AC4810" s="82"/>
      <c r="AD4810" t="str">
        <f t="shared" si="71"/>
        <v/>
      </c>
      <c r="AE4810" t="str">
        <f t="shared" si="72"/>
        <v/>
      </c>
    </row>
    <row r="4811">
      <c r="D4811" s="226"/>
      <c r="H4811" s="474"/>
      <c r="I4811" s="474"/>
      <c r="J4811" s="475"/>
      <c r="K4811" s="275"/>
      <c r="L4811" s="82"/>
      <c r="M4811" s="672"/>
      <c r="N4811" s="242"/>
      <c r="O4811" s="242"/>
      <c r="P4811" s="242"/>
      <c r="Q4811" s="242"/>
      <c r="R4811" s="539"/>
      <c r="S4811" s="540"/>
      <c r="T4811" s="543"/>
      <c r="U4811" s="673" t="b">
        <v>0</v>
      </c>
      <c r="Z4811" t="b">
        <v>0</v>
      </c>
      <c r="AA4811" t="b">
        <v>0</v>
      </c>
      <c r="AC4811" s="82"/>
      <c r="AD4811" t="str">
        <f t="shared" si="71"/>
        <v/>
      </c>
      <c r="AE4811" t="str">
        <f t="shared" si="72"/>
        <v/>
      </c>
    </row>
    <row r="4812">
      <c r="D4812" s="226"/>
      <c r="H4812" s="474"/>
      <c r="I4812" s="474"/>
      <c r="J4812" s="475"/>
      <c r="K4812" s="275"/>
      <c r="L4812" s="82"/>
      <c r="M4812" s="672"/>
      <c r="N4812" s="242"/>
      <c r="O4812" s="242"/>
      <c r="P4812" s="242"/>
      <c r="Q4812" s="242"/>
      <c r="R4812" s="539"/>
      <c r="S4812" s="540"/>
      <c r="T4812" s="543"/>
      <c r="U4812" s="673" t="b">
        <v>0</v>
      </c>
      <c r="Z4812" t="b">
        <v>0</v>
      </c>
      <c r="AA4812" t="b">
        <v>0</v>
      </c>
      <c r="AC4812" s="82"/>
      <c r="AD4812" t="str">
        <f t="shared" si="71"/>
        <v/>
      </c>
      <c r="AE4812" t="str">
        <f t="shared" si="72"/>
        <v/>
      </c>
    </row>
    <row r="4813">
      <c r="D4813" s="226"/>
      <c r="H4813" s="474"/>
      <c r="I4813" s="474"/>
      <c r="J4813" s="475"/>
      <c r="K4813" s="275"/>
      <c r="L4813" s="82"/>
      <c r="M4813" s="672"/>
      <c r="N4813" s="242"/>
      <c r="O4813" s="242"/>
      <c r="P4813" s="242"/>
      <c r="Q4813" s="242"/>
      <c r="R4813" s="539"/>
      <c r="S4813" s="540"/>
      <c r="T4813" s="543"/>
      <c r="U4813" s="673" t="b">
        <v>0</v>
      </c>
      <c r="Z4813" t="b">
        <v>0</v>
      </c>
      <c r="AA4813" t="b">
        <v>0</v>
      </c>
      <c r="AC4813" s="82"/>
      <c r="AD4813" t="str">
        <f t="shared" si="71"/>
        <v/>
      </c>
      <c r="AE4813" t="str">
        <f t="shared" si="72"/>
        <v/>
      </c>
    </row>
    <row r="4814">
      <c r="D4814" s="226"/>
      <c r="H4814" s="474"/>
      <c r="I4814" s="474"/>
      <c r="J4814" s="475"/>
      <c r="K4814" s="275"/>
      <c r="L4814" s="82"/>
      <c r="M4814" s="672"/>
      <c r="N4814" s="242"/>
      <c r="O4814" s="242"/>
      <c r="P4814" s="242"/>
      <c r="Q4814" s="242"/>
      <c r="R4814" s="539"/>
      <c r="S4814" s="540"/>
      <c r="T4814" s="543"/>
      <c r="U4814" s="673" t="b">
        <v>0</v>
      </c>
      <c r="Z4814" t="b">
        <v>0</v>
      </c>
      <c r="AA4814" t="b">
        <v>0</v>
      </c>
      <c r="AC4814" s="82"/>
      <c r="AD4814" t="str">
        <f t="shared" si="71"/>
        <v/>
      </c>
      <c r="AE4814" t="str">
        <f t="shared" si="72"/>
        <v/>
      </c>
    </row>
    <row r="4815">
      <c r="D4815" s="226"/>
      <c r="H4815" s="474"/>
      <c r="I4815" s="474"/>
      <c r="J4815" s="475"/>
      <c r="K4815" s="275"/>
      <c r="L4815" s="82"/>
      <c r="M4815" s="672"/>
      <c r="N4815" s="242"/>
      <c r="O4815" s="242"/>
      <c r="P4815" s="242"/>
      <c r="Q4815" s="242"/>
      <c r="R4815" s="539"/>
      <c r="S4815" s="540"/>
      <c r="T4815" s="543"/>
      <c r="U4815" s="673" t="b">
        <v>0</v>
      </c>
      <c r="Z4815" t="b">
        <v>0</v>
      </c>
      <c r="AA4815" t="b">
        <v>0</v>
      </c>
      <c r="AC4815" s="82"/>
      <c r="AD4815" t="str">
        <f t="shared" si="71"/>
        <v/>
      </c>
      <c r="AE4815" t="str">
        <f t="shared" si="72"/>
        <v/>
      </c>
    </row>
    <row r="4816">
      <c r="D4816" s="226"/>
      <c r="H4816" s="474"/>
      <c r="I4816" s="474"/>
      <c r="J4816" s="475"/>
      <c r="K4816" s="275"/>
      <c r="L4816" s="82"/>
      <c r="M4816" s="672"/>
      <c r="N4816" s="242"/>
      <c r="O4816" s="242"/>
      <c r="P4816" s="242"/>
      <c r="Q4816" s="242"/>
      <c r="R4816" s="539"/>
      <c r="S4816" s="540"/>
      <c r="T4816" s="543"/>
      <c r="U4816" s="673" t="b">
        <v>0</v>
      </c>
      <c r="Z4816" t="b">
        <v>0</v>
      </c>
      <c r="AA4816" t="b">
        <v>0</v>
      </c>
      <c r="AC4816" s="82"/>
      <c r="AD4816" t="str">
        <f t="shared" si="71"/>
        <v/>
      </c>
      <c r="AE4816" t="str">
        <f t="shared" si="72"/>
        <v/>
      </c>
    </row>
    <row r="4817">
      <c r="D4817" s="226"/>
      <c r="H4817" s="474"/>
      <c r="I4817" s="474"/>
      <c r="J4817" s="475"/>
      <c r="K4817" s="275"/>
      <c r="L4817" s="82"/>
      <c r="M4817" s="672"/>
      <c r="N4817" s="242"/>
      <c r="O4817" s="242"/>
      <c r="P4817" s="242"/>
      <c r="Q4817" s="242"/>
      <c r="R4817" s="539"/>
      <c r="S4817" s="540"/>
      <c r="T4817" s="543"/>
      <c r="U4817" s="673" t="b">
        <v>0</v>
      </c>
      <c r="Z4817" t="b">
        <v>0</v>
      </c>
      <c r="AA4817" t="b">
        <v>0</v>
      </c>
      <c r="AC4817" s="82"/>
      <c r="AD4817" t="str">
        <f t="shared" si="71"/>
        <v/>
      </c>
      <c r="AE4817" t="str">
        <f t="shared" si="72"/>
        <v/>
      </c>
    </row>
    <row r="4818">
      <c r="D4818" s="226"/>
      <c r="H4818" s="474"/>
      <c r="I4818" s="474"/>
      <c r="J4818" s="475"/>
      <c r="K4818" s="275"/>
      <c r="L4818" s="82"/>
      <c r="M4818" s="672"/>
      <c r="N4818" s="242"/>
      <c r="O4818" s="242"/>
      <c r="P4818" s="242"/>
      <c r="Q4818" s="242"/>
      <c r="R4818" s="539"/>
      <c r="S4818" s="540"/>
      <c r="T4818" s="543"/>
      <c r="U4818" s="673" t="b">
        <v>0</v>
      </c>
      <c r="Z4818" t="b">
        <v>0</v>
      </c>
      <c r="AA4818" t="b">
        <v>0</v>
      </c>
      <c r="AC4818" s="82"/>
      <c r="AD4818" t="str">
        <f t="shared" si="71"/>
        <v/>
      </c>
      <c r="AE4818" t="str">
        <f t="shared" si="72"/>
        <v/>
      </c>
    </row>
    <row r="4819">
      <c r="D4819" s="226"/>
      <c r="H4819" s="474"/>
      <c r="I4819" s="474"/>
      <c r="J4819" s="475"/>
      <c r="K4819" s="275"/>
      <c r="L4819" s="82"/>
      <c r="M4819" s="672"/>
      <c r="N4819" s="242"/>
      <c r="O4819" s="242"/>
      <c r="P4819" s="242"/>
      <c r="Q4819" s="242"/>
      <c r="R4819" s="539"/>
      <c r="S4819" s="540"/>
      <c r="T4819" s="543"/>
      <c r="U4819" s="673" t="b">
        <v>0</v>
      </c>
      <c r="Z4819" t="b">
        <v>0</v>
      </c>
      <c r="AA4819" t="b">
        <v>0</v>
      </c>
      <c r="AC4819" s="82"/>
      <c r="AD4819" t="str">
        <f t="shared" si="71"/>
        <v/>
      </c>
      <c r="AE4819" t="str">
        <f t="shared" si="72"/>
        <v/>
      </c>
    </row>
    <row r="4820">
      <c r="D4820" s="226"/>
      <c r="H4820" s="474"/>
      <c r="I4820" s="474"/>
      <c r="J4820" s="475"/>
      <c r="K4820" s="275"/>
      <c r="L4820" s="82"/>
      <c r="M4820" s="672"/>
      <c r="N4820" s="242"/>
      <c r="O4820" s="242"/>
      <c r="P4820" s="242"/>
      <c r="Q4820" s="242"/>
      <c r="R4820" s="539"/>
      <c r="S4820" s="540"/>
      <c r="T4820" s="543"/>
      <c r="U4820" s="673" t="b">
        <v>0</v>
      </c>
      <c r="Z4820" t="b">
        <v>0</v>
      </c>
      <c r="AA4820" t="b">
        <v>0</v>
      </c>
      <c r="AC4820" s="82"/>
      <c r="AD4820" t="str">
        <f t="shared" si="71"/>
        <v/>
      </c>
      <c r="AE4820" t="str">
        <f t="shared" si="72"/>
        <v/>
      </c>
    </row>
    <row r="4821">
      <c r="D4821" s="226"/>
      <c r="H4821" s="474"/>
      <c r="I4821" s="474"/>
      <c r="J4821" s="475"/>
      <c r="K4821" s="275"/>
      <c r="L4821" s="82"/>
      <c r="M4821" s="672"/>
      <c r="N4821" s="242"/>
      <c r="O4821" s="242"/>
      <c r="P4821" s="242"/>
      <c r="Q4821" s="242"/>
      <c r="R4821" s="539"/>
      <c r="S4821" s="540"/>
      <c r="T4821" s="543"/>
      <c r="U4821" s="673" t="b">
        <v>0</v>
      </c>
      <c r="Z4821" t="b">
        <v>0</v>
      </c>
      <c r="AA4821" t="b">
        <v>0</v>
      </c>
      <c r="AC4821" s="82"/>
      <c r="AD4821" t="str">
        <f t="shared" si="71"/>
        <v/>
      </c>
      <c r="AE4821" t="str">
        <f t="shared" si="72"/>
        <v/>
      </c>
    </row>
    <row r="4822">
      <c r="D4822" s="226"/>
      <c r="H4822" s="474"/>
      <c r="I4822" s="474"/>
      <c r="J4822" s="475"/>
      <c r="K4822" s="275"/>
      <c r="L4822" s="82"/>
      <c r="M4822" s="672"/>
      <c r="N4822" s="242"/>
      <c r="O4822" s="242"/>
      <c r="P4822" s="242"/>
      <c r="Q4822" s="242"/>
      <c r="R4822" s="539"/>
      <c r="S4822" s="540"/>
      <c r="T4822" s="543"/>
      <c r="U4822" s="673" t="b">
        <v>0</v>
      </c>
      <c r="Z4822" t="b">
        <v>0</v>
      </c>
      <c r="AA4822" t="b">
        <v>0</v>
      </c>
      <c r="AC4822" s="82"/>
      <c r="AD4822" t="str">
        <f t="shared" si="71"/>
        <v/>
      </c>
      <c r="AE4822" t="str">
        <f t="shared" si="72"/>
        <v/>
      </c>
    </row>
    <row r="4823">
      <c r="D4823" s="226"/>
      <c r="H4823" s="474"/>
      <c r="I4823" s="474"/>
      <c r="J4823" s="475"/>
      <c r="K4823" s="275"/>
      <c r="L4823" s="82"/>
      <c r="M4823" s="672"/>
      <c r="N4823" s="242"/>
      <c r="O4823" s="242"/>
      <c r="P4823" s="242"/>
      <c r="Q4823" s="242"/>
      <c r="R4823" s="539"/>
      <c r="S4823" s="540"/>
      <c r="T4823" s="543"/>
      <c r="U4823" s="673" t="b">
        <v>0</v>
      </c>
      <c r="Z4823" t="b">
        <v>0</v>
      </c>
      <c r="AA4823" t="b">
        <v>0</v>
      </c>
      <c r="AC4823" s="82"/>
      <c r="AD4823" t="str">
        <f t="shared" si="71"/>
        <v/>
      </c>
      <c r="AE4823" t="str">
        <f t="shared" si="72"/>
        <v/>
      </c>
    </row>
    <row r="4824">
      <c r="D4824" s="226"/>
      <c r="H4824" s="474"/>
      <c r="I4824" s="474"/>
      <c r="J4824" s="475"/>
      <c r="K4824" s="275"/>
      <c r="L4824" s="82"/>
      <c r="M4824" s="672"/>
      <c r="N4824" s="242"/>
      <c r="O4824" s="242"/>
      <c r="P4824" s="242"/>
      <c r="Q4824" s="242"/>
      <c r="R4824" s="539"/>
      <c r="S4824" s="540"/>
      <c r="T4824" s="543"/>
      <c r="U4824" s="673" t="b">
        <v>0</v>
      </c>
      <c r="Z4824" t="b">
        <v>0</v>
      </c>
      <c r="AA4824" t="b">
        <v>0</v>
      </c>
      <c r="AC4824" s="82"/>
      <c r="AD4824" t="str">
        <f t="shared" si="71"/>
        <v/>
      </c>
      <c r="AE4824" t="str">
        <f t="shared" si="72"/>
        <v/>
      </c>
    </row>
    <row r="4825">
      <c r="D4825" s="226"/>
      <c r="H4825" s="474"/>
      <c r="I4825" s="474"/>
      <c r="J4825" s="475"/>
      <c r="K4825" s="275"/>
      <c r="L4825" s="82"/>
      <c r="M4825" s="672"/>
      <c r="N4825" s="242"/>
      <c r="O4825" s="242"/>
      <c r="P4825" s="242"/>
      <c r="Q4825" s="242"/>
      <c r="R4825" s="539"/>
      <c r="S4825" s="540"/>
      <c r="T4825" s="543"/>
      <c r="U4825" s="673" t="b">
        <v>0</v>
      </c>
      <c r="Z4825" t="b">
        <v>0</v>
      </c>
      <c r="AA4825" t="b">
        <v>0</v>
      </c>
      <c r="AC4825" s="82"/>
      <c r="AD4825" t="str">
        <f t="shared" si="71"/>
        <v/>
      </c>
      <c r="AE4825" t="str">
        <f t="shared" si="72"/>
        <v/>
      </c>
    </row>
    <row r="4826">
      <c r="D4826" s="226"/>
      <c r="H4826" s="474"/>
      <c r="I4826" s="474"/>
      <c r="J4826" s="475"/>
      <c r="K4826" s="275"/>
      <c r="L4826" s="82"/>
      <c r="M4826" s="672"/>
      <c r="N4826" s="242"/>
      <c r="O4826" s="242"/>
      <c r="P4826" s="242"/>
      <c r="Q4826" s="242"/>
      <c r="R4826" s="539"/>
      <c r="S4826" s="540"/>
      <c r="T4826" s="543"/>
      <c r="U4826" s="673" t="b">
        <v>0</v>
      </c>
      <c r="Z4826" t="b">
        <v>0</v>
      </c>
      <c r="AA4826" t="b">
        <v>0</v>
      </c>
      <c r="AC4826" s="82"/>
      <c r="AD4826" t="str">
        <f t="shared" si="71"/>
        <v/>
      </c>
      <c r="AE4826" t="str">
        <f t="shared" si="72"/>
        <v/>
      </c>
    </row>
    <row r="4827">
      <c r="D4827" s="226"/>
      <c r="H4827" s="474"/>
      <c r="I4827" s="474"/>
      <c r="J4827" s="475"/>
      <c r="K4827" s="275"/>
      <c r="L4827" s="82"/>
      <c r="M4827" s="672"/>
      <c r="N4827" s="242"/>
      <c r="O4827" s="242"/>
      <c r="P4827" s="242"/>
      <c r="Q4827" s="242"/>
      <c r="R4827" s="539"/>
      <c r="S4827" s="540"/>
      <c r="T4827" s="543"/>
      <c r="U4827" s="673" t="b">
        <v>0</v>
      </c>
      <c r="Z4827" t="b">
        <v>0</v>
      </c>
      <c r="AA4827" t="b">
        <v>0</v>
      </c>
      <c r="AC4827" s="82"/>
      <c r="AD4827" t="str">
        <f t="shared" si="71"/>
        <v/>
      </c>
      <c r="AE4827" t="str">
        <f t="shared" si="72"/>
        <v/>
      </c>
    </row>
    <row r="4828">
      <c r="D4828" s="226"/>
      <c r="H4828" s="474"/>
      <c r="I4828" s="474"/>
      <c r="J4828" s="475"/>
      <c r="K4828" s="275"/>
      <c r="L4828" s="82"/>
      <c r="M4828" s="672"/>
      <c r="N4828" s="242"/>
      <c r="O4828" s="242"/>
      <c r="P4828" s="242"/>
      <c r="Q4828" s="242"/>
      <c r="R4828" s="539"/>
      <c r="S4828" s="540"/>
      <c r="T4828" s="543"/>
      <c r="U4828" s="673" t="b">
        <v>0</v>
      </c>
      <c r="Z4828" t="b">
        <v>0</v>
      </c>
      <c r="AA4828" t="b">
        <v>0</v>
      </c>
      <c r="AC4828" s="82"/>
      <c r="AD4828" t="str">
        <f t="shared" si="71"/>
        <v/>
      </c>
      <c r="AE4828" t="str">
        <f t="shared" si="72"/>
        <v/>
      </c>
    </row>
    <row r="4829">
      <c r="D4829" s="226"/>
      <c r="H4829" s="474"/>
      <c r="I4829" s="474"/>
      <c r="J4829" s="475"/>
      <c r="K4829" s="275"/>
      <c r="L4829" s="82"/>
      <c r="M4829" s="672"/>
      <c r="N4829" s="242"/>
      <c r="O4829" s="242"/>
      <c r="P4829" s="242"/>
      <c r="Q4829" s="242"/>
      <c r="R4829" s="539"/>
      <c r="S4829" s="540"/>
      <c r="T4829" s="543"/>
      <c r="U4829" s="673" t="b">
        <v>0</v>
      </c>
      <c r="Z4829" t="b">
        <v>0</v>
      </c>
      <c r="AA4829" t="b">
        <v>0</v>
      </c>
      <c r="AC4829" s="82"/>
      <c r="AD4829" t="str">
        <f t="shared" si="71"/>
        <v/>
      </c>
      <c r="AE4829" t="str">
        <f t="shared" si="72"/>
        <v/>
      </c>
    </row>
    <row r="4830">
      <c r="D4830" s="226"/>
      <c r="H4830" s="474"/>
      <c r="I4830" s="474"/>
      <c r="J4830" s="475"/>
      <c r="K4830" s="275"/>
      <c r="L4830" s="82"/>
      <c r="M4830" s="672"/>
      <c r="N4830" s="242"/>
      <c r="O4830" s="242"/>
      <c r="P4830" s="242"/>
      <c r="Q4830" s="242"/>
      <c r="R4830" s="539"/>
      <c r="S4830" s="540"/>
      <c r="T4830" s="543"/>
      <c r="U4830" s="673" t="b">
        <v>0</v>
      </c>
      <c r="Z4830" t="b">
        <v>0</v>
      </c>
      <c r="AA4830" t="b">
        <v>0</v>
      </c>
      <c r="AC4830" s="82"/>
      <c r="AD4830" t="str">
        <f t="shared" si="71"/>
        <v/>
      </c>
      <c r="AE4830" t="str">
        <f t="shared" si="72"/>
        <v/>
      </c>
    </row>
    <row r="4831">
      <c r="D4831" s="226"/>
      <c r="H4831" s="474"/>
      <c r="I4831" s="474"/>
      <c r="J4831" s="475"/>
      <c r="K4831" s="275"/>
      <c r="L4831" s="82"/>
      <c r="M4831" s="672"/>
      <c r="N4831" s="242"/>
      <c r="O4831" s="242"/>
      <c r="P4831" s="242"/>
      <c r="Q4831" s="242"/>
      <c r="R4831" s="539"/>
      <c r="S4831" s="540"/>
      <c r="T4831" s="543"/>
      <c r="U4831" s="673" t="b">
        <v>0</v>
      </c>
      <c r="Z4831" t="b">
        <v>0</v>
      </c>
      <c r="AA4831" t="b">
        <v>0</v>
      </c>
      <c r="AC4831" s="82"/>
      <c r="AD4831" t="str">
        <f t="shared" si="71"/>
        <v/>
      </c>
      <c r="AE4831" t="str">
        <f t="shared" si="72"/>
        <v/>
      </c>
    </row>
    <row r="4832">
      <c r="D4832" s="226"/>
      <c r="H4832" s="474"/>
      <c r="I4832" s="474"/>
      <c r="J4832" s="475"/>
      <c r="K4832" s="275"/>
      <c r="L4832" s="82"/>
      <c r="M4832" s="672"/>
      <c r="N4832" s="242"/>
      <c r="O4832" s="242"/>
      <c r="P4832" s="242"/>
      <c r="Q4832" s="242"/>
      <c r="R4832" s="539"/>
      <c r="S4832" s="540"/>
      <c r="T4832" s="543"/>
      <c r="U4832" s="673" t="b">
        <v>0</v>
      </c>
      <c r="Z4832" t="b">
        <v>0</v>
      </c>
      <c r="AA4832" t="b">
        <v>0</v>
      </c>
      <c r="AC4832" s="82"/>
      <c r="AD4832" t="str">
        <f t="shared" si="71"/>
        <v/>
      </c>
      <c r="AE4832" t="str">
        <f t="shared" si="72"/>
        <v/>
      </c>
    </row>
    <row r="4833">
      <c r="D4833" s="226"/>
      <c r="H4833" s="474"/>
      <c r="I4833" s="474"/>
      <c r="J4833" s="475"/>
      <c r="K4833" s="275"/>
      <c r="L4833" s="82"/>
      <c r="M4833" s="672"/>
      <c r="N4833" s="242"/>
      <c r="O4833" s="242"/>
      <c r="P4833" s="242"/>
      <c r="Q4833" s="242"/>
      <c r="R4833" s="539"/>
      <c r="S4833" s="540"/>
      <c r="T4833" s="543"/>
      <c r="U4833" s="673" t="b">
        <v>0</v>
      </c>
      <c r="Z4833" t="b">
        <v>0</v>
      </c>
      <c r="AA4833" t="b">
        <v>0</v>
      </c>
      <c r="AC4833" s="82"/>
      <c r="AD4833" t="str">
        <f t="shared" si="71"/>
        <v/>
      </c>
      <c r="AE4833" t="str">
        <f t="shared" si="72"/>
        <v/>
      </c>
    </row>
    <row r="4834">
      <c r="D4834" s="226"/>
      <c r="H4834" s="474"/>
      <c r="I4834" s="474"/>
      <c r="J4834" s="475"/>
      <c r="K4834" s="275"/>
      <c r="L4834" s="82"/>
      <c r="M4834" s="672"/>
      <c r="N4834" s="242"/>
      <c r="O4834" s="242"/>
      <c r="P4834" s="242"/>
      <c r="Q4834" s="242"/>
      <c r="R4834" s="539"/>
      <c r="S4834" s="540"/>
      <c r="T4834" s="543"/>
      <c r="U4834" s="673" t="b">
        <v>0</v>
      </c>
      <c r="Z4834" t="b">
        <v>0</v>
      </c>
      <c r="AA4834" t="b">
        <v>0</v>
      </c>
      <c r="AC4834" s="82"/>
      <c r="AD4834" t="str">
        <f t="shared" si="71"/>
        <v/>
      </c>
      <c r="AE4834" t="str">
        <f t="shared" si="72"/>
        <v/>
      </c>
    </row>
    <row r="4835">
      <c r="D4835" s="226"/>
      <c r="H4835" s="474"/>
      <c r="I4835" s="474"/>
      <c r="J4835" s="475"/>
      <c r="K4835" s="275"/>
      <c r="L4835" s="82"/>
      <c r="M4835" s="672"/>
      <c r="N4835" s="242"/>
      <c r="O4835" s="242"/>
      <c r="P4835" s="242"/>
      <c r="Q4835" s="242"/>
      <c r="R4835" s="539"/>
      <c r="S4835" s="540"/>
      <c r="T4835" s="543"/>
      <c r="U4835" s="673" t="b">
        <v>0</v>
      </c>
      <c r="Z4835" t="b">
        <v>0</v>
      </c>
      <c r="AA4835" t="b">
        <v>0</v>
      </c>
      <c r="AC4835" s="82"/>
      <c r="AD4835" t="str">
        <f t="shared" si="71"/>
        <v/>
      </c>
      <c r="AE4835" t="str">
        <f t="shared" si="72"/>
        <v/>
      </c>
    </row>
    <row r="4836">
      <c r="D4836" s="226"/>
      <c r="H4836" s="474"/>
      <c r="I4836" s="474"/>
      <c r="J4836" s="475"/>
      <c r="K4836" s="275"/>
      <c r="L4836" s="82"/>
      <c r="M4836" s="672"/>
      <c r="N4836" s="242"/>
      <c r="O4836" s="242"/>
      <c r="P4836" s="242"/>
      <c r="Q4836" s="242"/>
      <c r="R4836" s="539"/>
      <c r="S4836" s="540"/>
      <c r="T4836" s="543"/>
      <c r="U4836" s="673" t="b">
        <v>0</v>
      </c>
      <c r="Z4836" t="b">
        <v>0</v>
      </c>
      <c r="AA4836" t="b">
        <v>0</v>
      </c>
      <c r="AC4836" s="82"/>
      <c r="AD4836" t="str">
        <f t="shared" si="71"/>
        <v/>
      </c>
      <c r="AE4836" t="str">
        <f t="shared" si="72"/>
        <v/>
      </c>
    </row>
    <row r="4837">
      <c r="D4837" s="226"/>
      <c r="H4837" s="474"/>
      <c r="I4837" s="474"/>
      <c r="J4837" s="475"/>
      <c r="K4837" s="275"/>
      <c r="L4837" s="82"/>
      <c r="M4837" s="672"/>
      <c r="N4837" s="242"/>
      <c r="O4837" s="242"/>
      <c r="P4837" s="242"/>
      <c r="Q4837" s="242"/>
      <c r="R4837" s="539"/>
      <c r="S4837" s="540"/>
      <c r="T4837" s="543"/>
      <c r="U4837" s="673" t="b">
        <v>0</v>
      </c>
      <c r="Z4837" t="b">
        <v>0</v>
      </c>
      <c r="AA4837" t="b">
        <v>0</v>
      </c>
      <c r="AC4837" s="82"/>
      <c r="AD4837" t="str">
        <f t="shared" si="71"/>
        <v/>
      </c>
      <c r="AE4837" t="str">
        <f t="shared" si="72"/>
        <v/>
      </c>
    </row>
    <row r="4838">
      <c r="D4838" s="226"/>
      <c r="H4838" s="474"/>
      <c r="I4838" s="474"/>
      <c r="J4838" s="475"/>
      <c r="K4838" s="275"/>
      <c r="L4838" s="82"/>
      <c r="M4838" s="672"/>
      <c r="N4838" s="242"/>
      <c r="O4838" s="242"/>
      <c r="P4838" s="242"/>
      <c r="Q4838" s="242"/>
      <c r="R4838" s="539"/>
      <c r="S4838" s="540"/>
      <c r="T4838" s="543"/>
      <c r="U4838" s="673" t="b">
        <v>0</v>
      </c>
      <c r="Z4838" t="b">
        <v>0</v>
      </c>
      <c r="AA4838" t="b">
        <v>0</v>
      </c>
      <c r="AC4838" s="82"/>
      <c r="AD4838" t="str">
        <f t="shared" si="71"/>
        <v/>
      </c>
      <c r="AE4838" t="str">
        <f t="shared" si="72"/>
        <v/>
      </c>
    </row>
    <row r="4839">
      <c r="D4839" s="226"/>
      <c r="H4839" s="474"/>
      <c r="I4839" s="474"/>
      <c r="J4839" s="475"/>
      <c r="K4839" s="275"/>
      <c r="L4839" s="82"/>
      <c r="M4839" s="672"/>
      <c r="N4839" s="242"/>
      <c r="O4839" s="242"/>
      <c r="P4839" s="242"/>
      <c r="Q4839" s="242"/>
      <c r="R4839" s="539"/>
      <c r="S4839" s="540"/>
      <c r="T4839" s="543"/>
      <c r="U4839" s="673" t="b">
        <v>0</v>
      </c>
      <c r="Z4839" t="b">
        <v>0</v>
      </c>
      <c r="AA4839" t="b">
        <v>0</v>
      </c>
      <c r="AC4839" s="82"/>
      <c r="AD4839" t="str">
        <f t="shared" si="71"/>
        <v/>
      </c>
      <c r="AE4839" t="str">
        <f t="shared" si="72"/>
        <v/>
      </c>
    </row>
    <row r="4840">
      <c r="D4840" s="226"/>
      <c r="H4840" s="474"/>
      <c r="I4840" s="474"/>
      <c r="J4840" s="475"/>
      <c r="K4840" s="275"/>
      <c r="L4840" s="82"/>
      <c r="M4840" s="672"/>
      <c r="N4840" s="242"/>
      <c r="O4840" s="242"/>
      <c r="P4840" s="242"/>
      <c r="Q4840" s="242"/>
      <c r="R4840" s="539"/>
      <c r="S4840" s="540"/>
      <c r="T4840" s="543"/>
      <c r="U4840" s="673" t="b">
        <v>0</v>
      </c>
      <c r="Z4840" t="b">
        <v>0</v>
      </c>
      <c r="AA4840" t="b">
        <v>0</v>
      </c>
      <c r="AC4840" s="82"/>
      <c r="AD4840" t="str">
        <f t="shared" si="71"/>
        <v/>
      </c>
      <c r="AE4840" t="str">
        <f t="shared" si="72"/>
        <v/>
      </c>
    </row>
    <row r="4841">
      <c r="D4841" s="226"/>
      <c r="H4841" s="474"/>
      <c r="I4841" s="474"/>
      <c r="J4841" s="475"/>
      <c r="K4841" s="275"/>
      <c r="L4841" s="82"/>
      <c r="M4841" s="672"/>
      <c r="N4841" s="242"/>
      <c r="O4841" s="242"/>
      <c r="P4841" s="242"/>
      <c r="Q4841" s="242"/>
      <c r="R4841" s="539"/>
      <c r="S4841" s="540"/>
      <c r="T4841" s="543"/>
      <c r="U4841" s="673" t="b">
        <v>0</v>
      </c>
      <c r="Z4841" t="b">
        <v>0</v>
      </c>
      <c r="AA4841" t="b">
        <v>0</v>
      </c>
      <c r="AC4841" s="82"/>
      <c r="AD4841" t="str">
        <f t="shared" si="71"/>
        <v/>
      </c>
      <c r="AE4841" t="str">
        <f t="shared" si="72"/>
        <v/>
      </c>
    </row>
    <row r="4842">
      <c r="D4842" s="226"/>
      <c r="H4842" s="474"/>
      <c r="I4842" s="474"/>
      <c r="J4842" s="475"/>
      <c r="K4842" s="275"/>
      <c r="L4842" s="82"/>
      <c r="M4842" s="672"/>
      <c r="N4842" s="242"/>
      <c r="O4842" s="242"/>
      <c r="P4842" s="242"/>
      <c r="Q4842" s="242"/>
      <c r="R4842" s="539"/>
      <c r="S4842" s="540"/>
      <c r="T4842" s="543"/>
      <c r="U4842" s="673" t="b">
        <v>0</v>
      </c>
      <c r="Z4842" t="b">
        <v>0</v>
      </c>
      <c r="AA4842" t="b">
        <v>0</v>
      </c>
      <c r="AC4842" s="82"/>
      <c r="AD4842" t="str">
        <f t="shared" si="71"/>
        <v/>
      </c>
      <c r="AE4842" t="str">
        <f t="shared" si="72"/>
        <v/>
      </c>
    </row>
    <row r="4843">
      <c r="D4843" s="226"/>
      <c r="H4843" s="474"/>
      <c r="I4843" s="474"/>
      <c r="J4843" s="475"/>
      <c r="K4843" s="275"/>
      <c r="L4843" s="82"/>
      <c r="M4843" s="672"/>
      <c r="N4843" s="242"/>
      <c r="O4843" s="242"/>
      <c r="P4843" s="242"/>
      <c r="Q4843" s="242"/>
      <c r="R4843" s="539"/>
      <c r="S4843" s="540"/>
      <c r="T4843" s="543"/>
      <c r="U4843" s="673" t="b">
        <v>0</v>
      </c>
      <c r="Z4843" t="b">
        <v>0</v>
      </c>
      <c r="AA4843" t="b">
        <v>0</v>
      </c>
      <c r="AC4843" s="82"/>
      <c r="AD4843" t="str">
        <f t="shared" si="71"/>
        <v/>
      </c>
      <c r="AE4843" t="str">
        <f t="shared" si="72"/>
        <v/>
      </c>
    </row>
    <row r="4844">
      <c r="D4844" s="226"/>
      <c r="H4844" s="474"/>
      <c r="I4844" s="474"/>
      <c r="J4844" s="475"/>
      <c r="K4844" s="275"/>
      <c r="L4844" s="82"/>
      <c r="M4844" s="672"/>
      <c r="N4844" s="242"/>
      <c r="O4844" s="242"/>
      <c r="P4844" s="242"/>
      <c r="Q4844" s="242"/>
      <c r="R4844" s="539"/>
      <c r="S4844" s="540"/>
      <c r="T4844" s="543"/>
      <c r="U4844" s="673" t="b">
        <v>0</v>
      </c>
      <c r="Z4844" t="b">
        <v>0</v>
      </c>
      <c r="AA4844" t="b">
        <v>0</v>
      </c>
      <c r="AC4844" s="82"/>
      <c r="AD4844" t="str">
        <f t="shared" si="71"/>
        <v/>
      </c>
      <c r="AE4844" t="str">
        <f t="shared" si="72"/>
        <v/>
      </c>
    </row>
    <row r="4845">
      <c r="D4845" s="226"/>
      <c r="H4845" s="474"/>
      <c r="I4845" s="474"/>
      <c r="J4845" s="475"/>
      <c r="K4845" s="275"/>
      <c r="L4845" s="82"/>
      <c r="M4845" s="672"/>
      <c r="N4845" s="242"/>
      <c r="O4845" s="242"/>
      <c r="P4845" s="242"/>
      <c r="Q4845" s="242"/>
      <c r="R4845" s="539"/>
      <c r="S4845" s="540"/>
      <c r="T4845" s="543"/>
      <c r="U4845" s="673" t="b">
        <v>0</v>
      </c>
      <c r="Z4845" t="b">
        <v>0</v>
      </c>
      <c r="AA4845" t="b">
        <v>0</v>
      </c>
      <c r="AC4845" s="82"/>
      <c r="AD4845" t="str">
        <f t="shared" si="71"/>
        <v/>
      </c>
      <c r="AE4845" t="str">
        <f t="shared" si="72"/>
        <v/>
      </c>
    </row>
    <row r="4846">
      <c r="D4846" s="226"/>
      <c r="H4846" s="474"/>
      <c r="I4846" s="474"/>
      <c r="J4846" s="475"/>
      <c r="K4846" s="275"/>
      <c r="L4846" s="82"/>
      <c r="M4846" s="672"/>
      <c r="N4846" s="242"/>
      <c r="O4846" s="242"/>
      <c r="P4846" s="242"/>
      <c r="Q4846" s="242"/>
      <c r="R4846" s="539"/>
      <c r="S4846" s="540"/>
      <c r="T4846" s="543"/>
      <c r="U4846" s="673" t="b">
        <v>0</v>
      </c>
      <c r="Z4846" t="b">
        <v>0</v>
      </c>
      <c r="AA4846" t="b">
        <v>0</v>
      </c>
      <c r="AC4846" s="82"/>
      <c r="AD4846" t="str">
        <f t="shared" si="71"/>
        <v/>
      </c>
      <c r="AE4846" t="str">
        <f t="shared" si="72"/>
        <v/>
      </c>
    </row>
    <row r="4847">
      <c r="D4847" s="226"/>
      <c r="H4847" s="474"/>
      <c r="I4847" s="474"/>
      <c r="J4847" s="475"/>
      <c r="K4847" s="275"/>
      <c r="L4847" s="82"/>
      <c r="M4847" s="672"/>
      <c r="N4847" s="242"/>
      <c r="O4847" s="242"/>
      <c r="P4847" s="242"/>
      <c r="Q4847" s="242"/>
      <c r="R4847" s="539"/>
      <c r="S4847" s="540"/>
      <c r="T4847" s="543"/>
      <c r="U4847" s="673" t="b">
        <v>0</v>
      </c>
      <c r="Z4847" t="b">
        <v>0</v>
      </c>
      <c r="AA4847" t="b">
        <v>0</v>
      </c>
      <c r="AC4847" s="82"/>
      <c r="AD4847" t="str">
        <f t="shared" si="71"/>
        <v/>
      </c>
      <c r="AE4847" t="str">
        <f t="shared" si="72"/>
        <v/>
      </c>
    </row>
    <row r="4848">
      <c r="D4848" s="226"/>
      <c r="H4848" s="474"/>
      <c r="I4848" s="474"/>
      <c r="J4848" s="475"/>
      <c r="K4848" s="275"/>
      <c r="L4848" s="82"/>
      <c r="M4848" s="672"/>
      <c r="N4848" s="242"/>
      <c r="O4848" s="242"/>
      <c r="P4848" s="242"/>
      <c r="Q4848" s="242"/>
      <c r="R4848" s="539"/>
      <c r="S4848" s="540"/>
      <c r="T4848" s="543"/>
      <c r="U4848" s="673" t="b">
        <v>0</v>
      </c>
      <c r="Z4848" t="b">
        <v>0</v>
      </c>
      <c r="AA4848" t="b">
        <v>0</v>
      </c>
      <c r="AC4848" s="82"/>
      <c r="AD4848" t="str">
        <f t="shared" si="71"/>
        <v/>
      </c>
      <c r="AE4848" t="str">
        <f t="shared" si="72"/>
        <v/>
      </c>
    </row>
    <row r="4849">
      <c r="D4849" s="226"/>
      <c r="H4849" s="474"/>
      <c r="I4849" s="474"/>
      <c r="J4849" s="475"/>
      <c r="K4849" s="275"/>
      <c r="L4849" s="82"/>
      <c r="M4849" s="672"/>
      <c r="N4849" s="242"/>
      <c r="O4849" s="242"/>
      <c r="P4849" s="242"/>
      <c r="Q4849" s="242"/>
      <c r="R4849" s="539"/>
      <c r="S4849" s="540"/>
      <c r="T4849" s="543"/>
      <c r="U4849" s="673" t="b">
        <v>0</v>
      </c>
      <c r="Z4849" t="b">
        <v>0</v>
      </c>
      <c r="AA4849" t="b">
        <v>0</v>
      </c>
      <c r="AC4849" s="82"/>
      <c r="AD4849" t="str">
        <f t="shared" si="71"/>
        <v/>
      </c>
      <c r="AE4849" t="str">
        <f t="shared" si="72"/>
        <v/>
      </c>
    </row>
    <row r="4850">
      <c r="D4850" s="226"/>
      <c r="H4850" s="474"/>
      <c r="I4850" s="474"/>
      <c r="J4850" s="475"/>
      <c r="K4850" s="275"/>
      <c r="L4850" s="82"/>
      <c r="M4850" s="672"/>
      <c r="N4850" s="242"/>
      <c r="O4850" s="242"/>
      <c r="P4850" s="242"/>
      <c r="Q4850" s="242"/>
      <c r="R4850" s="539"/>
      <c r="S4850" s="540"/>
      <c r="T4850" s="543"/>
      <c r="U4850" s="673" t="b">
        <v>0</v>
      </c>
      <c r="Z4850" t="b">
        <v>0</v>
      </c>
      <c r="AA4850" t="b">
        <v>0</v>
      </c>
      <c r="AC4850" s="82"/>
      <c r="AD4850" t="str">
        <f t="shared" si="71"/>
        <v/>
      </c>
      <c r="AE4850" t="str">
        <f t="shared" si="72"/>
        <v/>
      </c>
    </row>
    <row r="4851">
      <c r="D4851" s="226"/>
      <c r="H4851" s="474"/>
      <c r="I4851" s="474"/>
      <c r="J4851" s="475"/>
      <c r="K4851" s="275"/>
      <c r="L4851" s="82"/>
      <c r="M4851" s="672"/>
      <c r="N4851" s="242"/>
      <c r="O4851" s="242"/>
      <c r="P4851" s="242"/>
      <c r="Q4851" s="242"/>
      <c r="R4851" s="539"/>
      <c r="S4851" s="540"/>
      <c r="T4851" s="543"/>
      <c r="U4851" s="673" t="b">
        <v>0</v>
      </c>
      <c r="Z4851" t="b">
        <v>0</v>
      </c>
      <c r="AA4851" t="b">
        <v>0</v>
      </c>
      <c r="AC4851" s="82"/>
      <c r="AD4851" t="str">
        <f t="shared" si="71"/>
        <v/>
      </c>
      <c r="AE4851" t="str">
        <f t="shared" si="72"/>
        <v/>
      </c>
    </row>
    <row r="4852">
      <c r="D4852" s="226"/>
      <c r="H4852" s="474"/>
      <c r="I4852" s="474"/>
      <c r="J4852" s="475"/>
      <c r="K4852" s="275"/>
      <c r="L4852" s="82"/>
      <c r="M4852" s="672"/>
      <c r="N4852" s="242"/>
      <c r="O4852" s="242"/>
      <c r="P4852" s="242"/>
      <c r="Q4852" s="242"/>
      <c r="R4852" s="539"/>
      <c r="S4852" s="540"/>
      <c r="T4852" s="543"/>
      <c r="U4852" s="673" t="b">
        <v>0</v>
      </c>
      <c r="Z4852" t="b">
        <v>0</v>
      </c>
      <c r="AA4852" t="b">
        <v>0</v>
      </c>
      <c r="AC4852" s="82"/>
      <c r="AD4852" t="str">
        <f t="shared" si="71"/>
        <v/>
      </c>
      <c r="AE4852" t="str">
        <f t="shared" si="72"/>
        <v/>
      </c>
    </row>
    <row r="4853">
      <c r="D4853" s="226"/>
      <c r="H4853" s="474"/>
      <c r="I4853" s="474"/>
      <c r="J4853" s="475"/>
      <c r="K4853" s="275"/>
      <c r="L4853" s="82"/>
      <c r="M4853" s="672"/>
      <c r="N4853" s="242"/>
      <c r="O4853" s="242"/>
      <c r="P4853" s="242"/>
      <c r="Q4853" s="242"/>
      <c r="R4853" s="539"/>
      <c r="S4853" s="540"/>
      <c r="T4853" s="543"/>
      <c r="U4853" s="673" t="b">
        <v>0</v>
      </c>
      <c r="Z4853" t="b">
        <v>0</v>
      </c>
      <c r="AA4853" t="b">
        <v>0</v>
      </c>
      <c r="AC4853" s="82"/>
      <c r="AD4853" t="str">
        <f t="shared" si="71"/>
        <v/>
      </c>
      <c r="AE4853" t="str">
        <f t="shared" si="72"/>
        <v/>
      </c>
    </row>
    <row r="4854">
      <c r="D4854" s="226"/>
      <c r="H4854" s="474"/>
      <c r="I4854" s="474"/>
      <c r="J4854" s="475"/>
      <c r="K4854" s="275"/>
      <c r="L4854" s="82"/>
      <c r="M4854" s="672"/>
      <c r="N4854" s="242"/>
      <c r="O4854" s="242"/>
      <c r="P4854" s="242"/>
      <c r="Q4854" s="242"/>
      <c r="R4854" s="539"/>
      <c r="S4854" s="540"/>
      <c r="T4854" s="543"/>
      <c r="U4854" s="673" t="b">
        <v>0</v>
      </c>
      <c r="Z4854" t="b">
        <v>0</v>
      </c>
      <c r="AA4854" t="b">
        <v>0</v>
      </c>
      <c r="AC4854" s="82"/>
      <c r="AD4854" t="str">
        <f t="shared" si="71"/>
        <v/>
      </c>
      <c r="AE4854" t="str">
        <f t="shared" si="72"/>
        <v/>
      </c>
    </row>
    <row r="4855">
      <c r="D4855" s="226"/>
      <c r="H4855" s="474"/>
      <c r="I4855" s="474"/>
      <c r="J4855" s="475"/>
      <c r="K4855" s="275"/>
      <c r="L4855" s="82"/>
      <c r="M4855" s="672"/>
      <c r="N4855" s="242"/>
      <c r="O4855" s="242"/>
      <c r="P4855" s="242"/>
      <c r="Q4855" s="242"/>
      <c r="R4855" s="539"/>
      <c r="S4855" s="540"/>
      <c r="T4855" s="543"/>
      <c r="U4855" s="673" t="b">
        <v>0</v>
      </c>
      <c r="Z4855" t="b">
        <v>0</v>
      </c>
      <c r="AA4855" t="b">
        <v>0</v>
      </c>
      <c r="AC4855" s="82"/>
      <c r="AD4855" t="str">
        <f t="shared" si="71"/>
        <v/>
      </c>
      <c r="AE4855" t="str">
        <f t="shared" si="72"/>
        <v/>
      </c>
    </row>
    <row r="4856">
      <c r="D4856" s="226"/>
      <c r="H4856" s="474"/>
      <c r="I4856" s="474"/>
      <c r="J4856" s="475"/>
      <c r="K4856" s="275"/>
      <c r="L4856" s="82"/>
      <c r="M4856" s="672"/>
      <c r="N4856" s="242"/>
      <c r="O4856" s="242"/>
      <c r="P4856" s="242"/>
      <c r="Q4856" s="242"/>
      <c r="R4856" s="539"/>
      <c r="S4856" s="540"/>
      <c r="T4856" s="543"/>
      <c r="U4856" s="673" t="b">
        <v>0</v>
      </c>
      <c r="Z4856" t="b">
        <v>0</v>
      </c>
      <c r="AA4856" t="b">
        <v>0</v>
      </c>
      <c r="AC4856" s="82"/>
      <c r="AD4856" t="str">
        <f t="shared" si="71"/>
        <v/>
      </c>
      <c r="AE4856" t="str">
        <f t="shared" si="72"/>
        <v/>
      </c>
    </row>
    <row r="4857">
      <c r="D4857" s="226"/>
      <c r="H4857" s="474"/>
      <c r="I4857" s="474"/>
      <c r="J4857" s="475"/>
      <c r="K4857" s="275"/>
      <c r="L4857" s="82"/>
      <c r="M4857" s="672"/>
      <c r="N4857" s="242"/>
      <c r="O4857" s="242"/>
      <c r="P4857" s="242"/>
      <c r="Q4857" s="242"/>
      <c r="R4857" s="539"/>
      <c r="S4857" s="540"/>
      <c r="T4857" s="543"/>
      <c r="U4857" s="673" t="b">
        <v>0</v>
      </c>
      <c r="Z4857" t="b">
        <v>0</v>
      </c>
      <c r="AA4857" t="b">
        <v>0</v>
      </c>
      <c r="AC4857" s="82"/>
      <c r="AD4857" t="str">
        <f t="shared" si="71"/>
        <v/>
      </c>
      <c r="AE4857" t="str">
        <f t="shared" si="72"/>
        <v/>
      </c>
    </row>
    <row r="4858">
      <c r="D4858" s="226"/>
      <c r="H4858" s="474"/>
      <c r="I4858" s="474"/>
      <c r="J4858" s="475"/>
      <c r="K4858" s="275"/>
      <c r="L4858" s="82"/>
      <c r="M4858" s="672"/>
      <c r="N4858" s="242"/>
      <c r="O4858" s="242"/>
      <c r="P4858" s="242"/>
      <c r="Q4858" s="242"/>
      <c r="R4858" s="539"/>
      <c r="S4858" s="540"/>
      <c r="T4858" s="543"/>
      <c r="U4858" s="673" t="b">
        <v>0</v>
      </c>
      <c r="Z4858" t="b">
        <v>0</v>
      </c>
      <c r="AA4858" t="b">
        <v>0</v>
      </c>
      <c r="AC4858" s="82"/>
      <c r="AD4858" t="str">
        <f t="shared" si="71"/>
        <v/>
      </c>
      <c r="AE4858" t="str">
        <f t="shared" si="72"/>
        <v/>
      </c>
    </row>
    <row r="4859">
      <c r="D4859" s="226"/>
      <c r="H4859" s="474"/>
      <c r="I4859" s="474"/>
      <c r="J4859" s="475"/>
      <c r="K4859" s="275"/>
      <c r="L4859" s="82"/>
      <c r="M4859" s="672"/>
      <c r="N4859" s="242"/>
      <c r="O4859" s="242"/>
      <c r="P4859" s="242"/>
      <c r="Q4859" s="242"/>
      <c r="R4859" s="539"/>
      <c r="S4859" s="540"/>
      <c r="T4859" s="543"/>
      <c r="U4859" s="673" t="b">
        <v>0</v>
      </c>
      <c r="Z4859" t="b">
        <v>0</v>
      </c>
      <c r="AA4859" t="b">
        <v>0</v>
      </c>
      <c r="AC4859" s="82"/>
      <c r="AD4859" t="str">
        <f t="shared" si="71"/>
        <v/>
      </c>
      <c r="AE4859" t="str">
        <f t="shared" si="72"/>
        <v/>
      </c>
    </row>
    <row r="4860">
      <c r="D4860" s="226"/>
      <c r="H4860" s="474"/>
      <c r="I4860" s="474"/>
      <c r="J4860" s="475"/>
      <c r="K4860" s="275"/>
      <c r="L4860" s="82"/>
      <c r="M4860" s="672"/>
      <c r="N4860" s="242"/>
      <c r="O4860" s="242"/>
      <c r="P4860" s="242"/>
      <c r="Q4860" s="242"/>
      <c r="R4860" s="539"/>
      <c r="S4860" s="540"/>
      <c r="T4860" s="543"/>
      <c r="U4860" s="673" t="b">
        <v>0</v>
      </c>
      <c r="Z4860" t="b">
        <v>0</v>
      </c>
      <c r="AA4860" t="b">
        <v>0</v>
      </c>
      <c r="AC4860" s="82"/>
      <c r="AD4860" t="str">
        <f t="shared" si="71"/>
        <v/>
      </c>
      <c r="AE4860" t="str">
        <f t="shared" si="72"/>
        <v/>
      </c>
    </row>
    <row r="4861">
      <c r="D4861" s="226"/>
      <c r="H4861" s="474"/>
      <c r="I4861" s="474"/>
      <c r="J4861" s="475"/>
      <c r="K4861" s="275"/>
      <c r="L4861" s="82"/>
      <c r="M4861" s="672"/>
      <c r="N4861" s="242"/>
      <c r="O4861" s="242"/>
      <c r="P4861" s="242"/>
      <c r="Q4861" s="242"/>
      <c r="R4861" s="539"/>
      <c r="S4861" s="540"/>
      <c r="T4861" s="543"/>
      <c r="U4861" s="673" t="b">
        <v>0</v>
      </c>
      <c r="Z4861" t="b">
        <v>0</v>
      </c>
      <c r="AA4861" t="b">
        <v>0</v>
      </c>
      <c r="AC4861" s="82"/>
      <c r="AD4861" t="str">
        <f t="shared" si="71"/>
        <v/>
      </c>
      <c r="AE4861" t="str">
        <f t="shared" si="72"/>
        <v/>
      </c>
    </row>
    <row r="4862">
      <c r="D4862" s="226"/>
      <c r="H4862" s="474"/>
      <c r="I4862" s="474"/>
      <c r="J4862" s="475"/>
      <c r="K4862" s="275"/>
      <c r="L4862" s="82"/>
      <c r="M4862" s="672"/>
      <c r="N4862" s="242"/>
      <c r="O4862" s="242"/>
      <c r="P4862" s="242"/>
      <c r="Q4862" s="242"/>
      <c r="R4862" s="539"/>
      <c r="S4862" s="540"/>
      <c r="T4862" s="543"/>
      <c r="U4862" s="673" t="b">
        <v>0</v>
      </c>
      <c r="Z4862" t="b">
        <v>0</v>
      </c>
      <c r="AA4862" t="b">
        <v>0</v>
      </c>
      <c r="AC4862" s="82"/>
      <c r="AD4862" t="str">
        <f t="shared" si="71"/>
        <v/>
      </c>
      <c r="AE4862" t="str">
        <f t="shared" si="72"/>
        <v/>
      </c>
    </row>
    <row r="4863">
      <c r="D4863" s="226"/>
      <c r="H4863" s="474"/>
      <c r="I4863" s="474"/>
      <c r="J4863" s="475"/>
      <c r="K4863" s="275"/>
      <c r="L4863" s="82"/>
      <c r="M4863" s="672"/>
      <c r="N4863" s="242"/>
      <c r="O4863" s="242"/>
      <c r="P4863" s="242"/>
      <c r="Q4863" s="242"/>
      <c r="R4863" s="539"/>
      <c r="S4863" s="540"/>
      <c r="T4863" s="543"/>
      <c r="U4863" s="673" t="b">
        <v>0</v>
      </c>
      <c r="Z4863" t="b">
        <v>0</v>
      </c>
      <c r="AA4863" t="b">
        <v>0</v>
      </c>
      <c r="AC4863" s="82"/>
      <c r="AD4863" t="str">
        <f t="shared" si="71"/>
        <v/>
      </c>
      <c r="AE4863" t="str">
        <f t="shared" si="72"/>
        <v/>
      </c>
    </row>
    <row r="4864">
      <c r="D4864" s="226"/>
      <c r="H4864" s="474"/>
      <c r="I4864" s="474"/>
      <c r="J4864" s="475"/>
      <c r="K4864" s="275"/>
      <c r="L4864" s="82"/>
      <c r="M4864" s="672"/>
      <c r="N4864" s="242"/>
      <c r="O4864" s="242"/>
      <c r="P4864" s="242"/>
      <c r="Q4864" s="242"/>
      <c r="R4864" s="539"/>
      <c r="S4864" s="540"/>
      <c r="T4864" s="543"/>
      <c r="U4864" s="673" t="b">
        <v>0</v>
      </c>
      <c r="Z4864" t="b">
        <v>0</v>
      </c>
      <c r="AA4864" t="b">
        <v>0</v>
      </c>
      <c r="AC4864" s="82"/>
      <c r="AD4864" t="str">
        <f t="shared" si="71"/>
        <v/>
      </c>
      <c r="AE4864" t="str">
        <f t="shared" si="72"/>
        <v/>
      </c>
    </row>
    <row r="4865">
      <c r="D4865" s="226"/>
      <c r="H4865" s="474"/>
      <c r="I4865" s="474"/>
      <c r="J4865" s="475"/>
      <c r="K4865" s="275"/>
      <c r="L4865" s="82"/>
      <c r="M4865" s="672"/>
      <c r="N4865" s="242"/>
      <c r="O4865" s="242"/>
      <c r="P4865" s="242"/>
      <c r="Q4865" s="242"/>
      <c r="R4865" s="539"/>
      <c r="S4865" s="540"/>
      <c r="T4865" s="543"/>
      <c r="U4865" s="673" t="b">
        <v>0</v>
      </c>
      <c r="Z4865" t="b">
        <v>0</v>
      </c>
      <c r="AA4865" t="b">
        <v>0</v>
      </c>
      <c r="AC4865" s="82"/>
      <c r="AD4865" t="str">
        <f t="shared" si="71"/>
        <v/>
      </c>
      <c r="AE4865" t="str">
        <f t="shared" si="72"/>
        <v/>
      </c>
    </row>
    <row r="4866">
      <c r="D4866" s="226"/>
      <c r="H4866" s="474"/>
      <c r="I4866" s="474"/>
      <c r="J4866" s="475"/>
      <c r="K4866" s="275"/>
      <c r="L4866" s="82"/>
      <c r="M4866" s="672"/>
      <c r="N4866" s="242"/>
      <c r="O4866" s="242"/>
      <c r="P4866" s="242"/>
      <c r="Q4866" s="242"/>
      <c r="R4866" s="539"/>
      <c r="S4866" s="540"/>
      <c r="T4866" s="543"/>
      <c r="U4866" s="673" t="b">
        <v>0</v>
      </c>
      <c r="Z4866" t="b">
        <v>0</v>
      </c>
      <c r="AA4866" t="b">
        <v>0</v>
      </c>
      <c r="AC4866" s="82"/>
      <c r="AD4866" t="str">
        <f t="shared" si="71"/>
        <v/>
      </c>
      <c r="AE4866" t="str">
        <f t="shared" si="72"/>
        <v/>
      </c>
    </row>
    <row r="4867">
      <c r="D4867" s="226"/>
      <c r="H4867" s="474"/>
      <c r="I4867" s="474"/>
      <c r="J4867" s="475"/>
      <c r="K4867" s="275"/>
      <c r="L4867" s="82"/>
      <c r="M4867" s="672"/>
      <c r="N4867" s="242"/>
      <c r="O4867" s="242"/>
      <c r="P4867" s="242"/>
      <c r="Q4867" s="242"/>
      <c r="R4867" s="539"/>
      <c r="S4867" s="540"/>
      <c r="T4867" s="543"/>
      <c r="U4867" s="673" t="b">
        <v>0</v>
      </c>
      <c r="Z4867" t="b">
        <v>0</v>
      </c>
      <c r="AA4867" t="b">
        <v>0</v>
      </c>
      <c r="AC4867" s="82"/>
      <c r="AD4867" t="str">
        <f t="shared" si="71"/>
        <v/>
      </c>
      <c r="AE4867" t="str">
        <f t="shared" si="72"/>
        <v/>
      </c>
    </row>
    <row r="4868">
      <c r="D4868" s="226"/>
      <c r="H4868" s="474"/>
      <c r="I4868" s="474"/>
      <c r="J4868" s="475"/>
      <c r="K4868" s="275"/>
      <c r="L4868" s="82"/>
      <c r="M4868" s="672"/>
      <c r="N4868" s="242"/>
      <c r="O4868" s="242"/>
      <c r="P4868" s="242"/>
      <c r="Q4868" s="242"/>
      <c r="R4868" s="539"/>
      <c r="S4868" s="540"/>
      <c r="T4868" s="543"/>
      <c r="U4868" s="673" t="b">
        <v>0</v>
      </c>
      <c r="Z4868" t="b">
        <v>0</v>
      </c>
      <c r="AA4868" t="b">
        <v>0</v>
      </c>
      <c r="AC4868" s="82"/>
      <c r="AD4868" t="str">
        <f t="shared" si="71"/>
        <v/>
      </c>
      <c r="AE4868" t="str">
        <f t="shared" si="72"/>
        <v/>
      </c>
    </row>
    <row r="4869">
      <c r="D4869" s="226"/>
      <c r="H4869" s="474"/>
      <c r="I4869" s="474"/>
      <c r="J4869" s="475"/>
      <c r="K4869" s="275"/>
      <c r="L4869" s="82"/>
      <c r="M4869" s="672"/>
      <c r="N4869" s="242"/>
      <c r="O4869" s="242"/>
      <c r="P4869" s="242"/>
      <c r="Q4869" s="242"/>
      <c r="R4869" s="539"/>
      <c r="S4869" s="540"/>
      <c r="T4869" s="543"/>
      <c r="U4869" s="673" t="b">
        <v>0</v>
      </c>
      <c r="Z4869" t="b">
        <v>0</v>
      </c>
      <c r="AA4869" t="b">
        <v>0</v>
      </c>
      <c r="AC4869" s="82"/>
      <c r="AD4869" t="str">
        <f t="shared" si="71"/>
        <v/>
      </c>
      <c r="AE4869" t="str">
        <f t="shared" si="72"/>
        <v/>
      </c>
    </row>
    <row r="4870">
      <c r="D4870" s="226"/>
      <c r="H4870" s="474"/>
      <c r="I4870" s="474"/>
      <c r="J4870" s="475"/>
      <c r="K4870" s="275"/>
      <c r="L4870" s="82"/>
      <c r="M4870" s="672"/>
      <c r="N4870" s="242"/>
      <c r="O4870" s="242"/>
      <c r="P4870" s="242"/>
      <c r="Q4870" s="242"/>
      <c r="R4870" s="539"/>
      <c r="S4870" s="540"/>
      <c r="T4870" s="543"/>
      <c r="U4870" s="673" t="b">
        <v>0</v>
      </c>
      <c r="Z4870" t="b">
        <v>0</v>
      </c>
      <c r="AA4870" t="b">
        <v>0</v>
      </c>
      <c r="AC4870" s="82"/>
      <c r="AD4870" t="str">
        <f t="shared" si="71"/>
        <v/>
      </c>
      <c r="AE4870" t="str">
        <f t="shared" si="72"/>
        <v/>
      </c>
    </row>
    <row r="4871">
      <c r="D4871" s="226"/>
      <c r="H4871" s="474"/>
      <c r="I4871" s="474"/>
      <c r="J4871" s="475"/>
      <c r="K4871" s="275"/>
      <c r="L4871" s="82"/>
      <c r="M4871" s="672"/>
      <c r="N4871" s="242"/>
      <c r="O4871" s="242"/>
      <c r="P4871" s="242"/>
      <c r="Q4871" s="242"/>
      <c r="R4871" s="539"/>
      <c r="S4871" s="540"/>
      <c r="T4871" s="543"/>
      <c r="U4871" s="673" t="b">
        <v>0</v>
      </c>
      <c r="Z4871" t="b">
        <v>0</v>
      </c>
      <c r="AA4871" t="b">
        <v>0</v>
      </c>
      <c r="AC4871" s="82"/>
      <c r="AD4871" t="str">
        <f t="shared" si="71"/>
        <v/>
      </c>
      <c r="AE4871" t="str">
        <f t="shared" si="72"/>
        <v/>
      </c>
    </row>
    <row r="4872">
      <c r="D4872" s="226"/>
      <c r="H4872" s="474"/>
      <c r="I4872" s="474"/>
      <c r="J4872" s="475"/>
      <c r="K4872" s="275"/>
      <c r="L4872" s="82"/>
      <c r="M4872" s="672"/>
      <c r="N4872" s="242"/>
      <c r="O4872" s="242"/>
      <c r="P4872" s="242"/>
      <c r="Q4872" s="242"/>
      <c r="R4872" s="539"/>
      <c r="S4872" s="540"/>
      <c r="T4872" s="543"/>
      <c r="U4872" s="673" t="b">
        <v>0</v>
      </c>
      <c r="Z4872" t="b">
        <v>0</v>
      </c>
      <c r="AA4872" t="b">
        <v>0</v>
      </c>
      <c r="AC4872" s="82"/>
      <c r="AD4872" t="str">
        <f t="shared" si="71"/>
        <v/>
      </c>
      <c r="AE4872" t="str">
        <f t="shared" si="72"/>
        <v/>
      </c>
    </row>
    <row r="4873">
      <c r="D4873" s="226"/>
      <c r="H4873" s="474"/>
      <c r="I4873" s="474"/>
      <c r="J4873" s="475"/>
      <c r="K4873" s="275"/>
      <c r="L4873" s="82"/>
      <c r="M4873" s="672"/>
      <c r="N4873" s="242"/>
      <c r="O4873" s="242"/>
      <c r="P4873" s="242"/>
      <c r="Q4873" s="242"/>
      <c r="R4873" s="539"/>
      <c r="S4873" s="540"/>
      <c r="T4873" s="543"/>
      <c r="U4873" s="673" t="b">
        <v>0</v>
      </c>
      <c r="Z4873" t="b">
        <v>0</v>
      </c>
      <c r="AA4873" t="b">
        <v>0</v>
      </c>
      <c r="AC4873" s="82"/>
      <c r="AD4873" t="str">
        <f t="shared" si="71"/>
        <v/>
      </c>
      <c r="AE4873" t="str">
        <f t="shared" si="72"/>
        <v/>
      </c>
    </row>
    <row r="4874">
      <c r="D4874" s="226"/>
      <c r="H4874" s="474"/>
      <c r="I4874" s="474"/>
      <c r="J4874" s="475"/>
      <c r="K4874" s="275"/>
      <c r="L4874" s="82"/>
      <c r="M4874" s="672"/>
      <c r="N4874" s="242"/>
      <c r="O4874" s="242"/>
      <c r="P4874" s="242"/>
      <c r="Q4874" s="242"/>
      <c r="R4874" s="539"/>
      <c r="S4874" s="540"/>
      <c r="T4874" s="543"/>
      <c r="U4874" s="673" t="b">
        <v>0</v>
      </c>
      <c r="Z4874" t="b">
        <v>0</v>
      </c>
      <c r="AA4874" t="b">
        <v>0</v>
      </c>
      <c r="AC4874" s="82"/>
      <c r="AD4874" t="str">
        <f t="shared" si="71"/>
        <v/>
      </c>
      <c r="AE4874" t="str">
        <f t="shared" si="72"/>
        <v/>
      </c>
    </row>
    <row r="4875">
      <c r="D4875" s="226"/>
      <c r="H4875" s="474"/>
      <c r="I4875" s="474"/>
      <c r="J4875" s="475"/>
      <c r="K4875" s="275"/>
      <c r="L4875" s="82"/>
      <c r="M4875" s="672"/>
      <c r="N4875" s="242"/>
      <c r="O4875" s="242"/>
      <c r="P4875" s="242"/>
      <c r="Q4875" s="242"/>
      <c r="R4875" s="539"/>
      <c r="S4875" s="540"/>
      <c r="T4875" s="543"/>
      <c r="U4875" s="673" t="b">
        <v>0</v>
      </c>
      <c r="Z4875" t="b">
        <v>0</v>
      </c>
      <c r="AA4875" t="b">
        <v>0</v>
      </c>
      <c r="AC4875" s="82"/>
      <c r="AD4875" t="str">
        <f t="shared" si="71"/>
        <v/>
      </c>
      <c r="AE4875" t="str">
        <f t="shared" si="72"/>
        <v/>
      </c>
    </row>
    <row r="4876">
      <c r="D4876" s="226"/>
      <c r="H4876" s="474"/>
      <c r="I4876" s="474"/>
      <c r="J4876" s="475"/>
      <c r="K4876" s="275"/>
      <c r="L4876" s="82"/>
      <c r="M4876" s="672"/>
      <c r="N4876" s="242"/>
      <c r="O4876" s="242"/>
      <c r="P4876" s="242"/>
      <c r="Q4876" s="242"/>
      <c r="R4876" s="539"/>
      <c r="S4876" s="540"/>
      <c r="T4876" s="543"/>
      <c r="U4876" s="673" t="b">
        <v>0</v>
      </c>
      <c r="Z4876" t="b">
        <v>0</v>
      </c>
      <c r="AA4876" t="b">
        <v>0</v>
      </c>
      <c r="AC4876" s="82"/>
      <c r="AD4876" t="str">
        <f t="shared" si="71"/>
        <v/>
      </c>
      <c r="AE4876" t="str">
        <f t="shared" si="72"/>
        <v/>
      </c>
    </row>
    <row r="4877">
      <c r="D4877" s="226"/>
      <c r="H4877" s="474"/>
      <c r="I4877" s="474"/>
      <c r="J4877" s="475"/>
      <c r="K4877" s="275"/>
      <c r="L4877" s="82"/>
      <c r="M4877" s="672"/>
      <c r="N4877" s="242"/>
      <c r="O4877" s="242"/>
      <c r="P4877" s="242"/>
      <c r="Q4877" s="242"/>
      <c r="R4877" s="539"/>
      <c r="S4877" s="540"/>
      <c r="T4877" s="543"/>
      <c r="U4877" s="673" t="b">
        <v>0</v>
      </c>
      <c r="Z4877" t="b">
        <v>0</v>
      </c>
      <c r="AA4877" t="b">
        <v>0</v>
      </c>
      <c r="AC4877" s="82"/>
      <c r="AD4877" t="str">
        <f t="shared" si="71"/>
        <v/>
      </c>
      <c r="AE4877" t="str">
        <f t="shared" si="72"/>
        <v/>
      </c>
    </row>
    <row r="4878">
      <c r="D4878" s="226"/>
      <c r="H4878" s="474"/>
      <c r="I4878" s="474"/>
      <c r="J4878" s="475"/>
      <c r="K4878" s="275"/>
      <c r="L4878" s="82"/>
      <c r="M4878" s="672"/>
      <c r="N4878" s="242"/>
      <c r="O4878" s="242"/>
      <c r="P4878" s="242"/>
      <c r="Q4878" s="242"/>
      <c r="R4878" s="539"/>
      <c r="S4878" s="540"/>
      <c r="T4878" s="543"/>
      <c r="U4878" s="673" t="b">
        <v>0</v>
      </c>
      <c r="Z4878" t="b">
        <v>0</v>
      </c>
      <c r="AA4878" t="b">
        <v>0</v>
      </c>
      <c r="AC4878" s="82"/>
      <c r="AD4878" t="str">
        <f t="shared" si="71"/>
        <v/>
      </c>
      <c r="AE4878" t="str">
        <f t="shared" si="72"/>
        <v/>
      </c>
    </row>
    <row r="4879">
      <c r="D4879" s="226"/>
      <c r="H4879" s="474"/>
      <c r="I4879" s="474"/>
      <c r="J4879" s="475"/>
      <c r="K4879" s="275"/>
      <c r="L4879" s="82"/>
      <c r="M4879" s="672"/>
      <c r="N4879" s="242"/>
      <c r="O4879" s="242"/>
      <c r="P4879" s="242"/>
      <c r="Q4879" s="242"/>
      <c r="R4879" s="539"/>
      <c r="S4879" s="540"/>
      <c r="T4879" s="543"/>
      <c r="U4879" s="673" t="b">
        <v>0</v>
      </c>
      <c r="Z4879" t="b">
        <v>0</v>
      </c>
      <c r="AA4879" t="b">
        <v>0</v>
      </c>
      <c r="AC4879" s="82"/>
      <c r="AD4879" t="str">
        <f t="shared" si="71"/>
        <v/>
      </c>
      <c r="AE4879" t="str">
        <f t="shared" si="72"/>
        <v/>
      </c>
    </row>
    <row r="4880">
      <c r="D4880" s="226"/>
      <c r="H4880" s="474"/>
      <c r="I4880" s="474"/>
      <c r="J4880" s="475"/>
      <c r="K4880" s="275"/>
      <c r="L4880" s="82"/>
      <c r="M4880" s="672"/>
      <c r="N4880" s="242"/>
      <c r="O4880" s="242"/>
      <c r="P4880" s="242"/>
      <c r="Q4880" s="242"/>
      <c r="R4880" s="539"/>
      <c r="S4880" s="540"/>
      <c r="T4880" s="543"/>
      <c r="U4880" s="673" t="b">
        <v>0</v>
      </c>
      <c r="Z4880" t="b">
        <v>0</v>
      </c>
      <c r="AA4880" t="b">
        <v>0</v>
      </c>
      <c r="AC4880" s="82"/>
      <c r="AD4880" t="str">
        <f t="shared" si="71"/>
        <v/>
      </c>
      <c r="AE4880" t="str">
        <f t="shared" si="72"/>
        <v/>
      </c>
    </row>
    <row r="4881">
      <c r="D4881" s="226"/>
      <c r="H4881" s="474"/>
      <c r="I4881" s="474"/>
      <c r="J4881" s="475"/>
      <c r="K4881" s="275"/>
      <c r="L4881" s="82"/>
      <c r="M4881" s="672"/>
      <c r="N4881" s="242"/>
      <c r="O4881" s="242"/>
      <c r="P4881" s="242"/>
      <c r="Q4881" s="242"/>
      <c r="R4881" s="539"/>
      <c r="S4881" s="540"/>
      <c r="T4881" s="543"/>
      <c r="U4881" s="673" t="b">
        <v>0</v>
      </c>
      <c r="Z4881" t="b">
        <v>0</v>
      </c>
      <c r="AA4881" t="b">
        <v>0</v>
      </c>
      <c r="AC4881" s="82"/>
      <c r="AD4881" t="str">
        <f t="shared" si="71"/>
        <v/>
      </c>
      <c r="AE4881" t="str">
        <f t="shared" si="72"/>
        <v/>
      </c>
    </row>
    <row r="4882">
      <c r="D4882" s="226"/>
      <c r="H4882" s="474"/>
      <c r="I4882" s="474"/>
      <c r="J4882" s="475"/>
      <c r="K4882" s="275"/>
      <c r="L4882" s="82"/>
      <c r="M4882" s="672"/>
      <c r="N4882" s="242"/>
      <c r="O4882" s="242"/>
      <c r="P4882" s="242"/>
      <c r="Q4882" s="242"/>
      <c r="R4882" s="539"/>
      <c r="S4882" s="540"/>
      <c r="T4882" s="543"/>
      <c r="U4882" s="673" t="b">
        <v>0</v>
      </c>
      <c r="Z4882" t="b">
        <v>0</v>
      </c>
      <c r="AA4882" t="b">
        <v>0</v>
      </c>
      <c r="AC4882" s="82"/>
      <c r="AD4882" t="str">
        <f t="shared" si="71"/>
        <v/>
      </c>
      <c r="AE4882" t="str">
        <f t="shared" si="72"/>
        <v/>
      </c>
    </row>
    <row r="4883">
      <c r="D4883" s="226"/>
      <c r="H4883" s="474"/>
      <c r="I4883" s="474"/>
      <c r="J4883" s="475"/>
      <c r="K4883" s="275"/>
      <c r="L4883" s="82"/>
      <c r="M4883" s="672"/>
      <c r="N4883" s="242"/>
      <c r="O4883" s="242"/>
      <c r="P4883" s="242"/>
      <c r="Q4883" s="242"/>
      <c r="R4883" s="539"/>
      <c r="S4883" s="540"/>
      <c r="T4883" s="543"/>
      <c r="U4883" s="673" t="b">
        <v>0</v>
      </c>
      <c r="Z4883" t="b">
        <v>0</v>
      </c>
      <c r="AA4883" t="b">
        <v>0</v>
      </c>
      <c r="AC4883" s="82"/>
      <c r="AD4883" t="str">
        <f t="shared" si="71"/>
        <v/>
      </c>
      <c r="AE4883" t="str">
        <f t="shared" si="72"/>
        <v/>
      </c>
    </row>
    <row r="4884">
      <c r="D4884" s="226"/>
      <c r="H4884" s="474"/>
      <c r="I4884" s="474"/>
      <c r="J4884" s="475"/>
      <c r="K4884" s="275"/>
      <c r="L4884" s="82"/>
      <c r="M4884" s="672"/>
      <c r="N4884" s="242"/>
      <c r="O4884" s="242"/>
      <c r="P4884" s="242"/>
      <c r="Q4884" s="242"/>
      <c r="R4884" s="539"/>
      <c r="S4884" s="540"/>
      <c r="T4884" s="543"/>
      <c r="U4884" s="673" t="b">
        <v>0</v>
      </c>
      <c r="Z4884" t="b">
        <v>0</v>
      </c>
      <c r="AA4884" t="b">
        <v>0</v>
      </c>
      <c r="AC4884" s="82"/>
      <c r="AD4884" t="str">
        <f t="shared" si="71"/>
        <v/>
      </c>
      <c r="AE4884" t="str">
        <f t="shared" si="72"/>
        <v/>
      </c>
    </row>
    <row r="4885">
      <c r="D4885" s="226"/>
      <c r="H4885" s="474"/>
      <c r="I4885" s="474"/>
      <c r="J4885" s="475"/>
      <c r="K4885" s="275"/>
      <c r="L4885" s="82"/>
      <c r="M4885" s="672"/>
      <c r="N4885" s="242"/>
      <c r="O4885" s="242"/>
      <c r="P4885" s="242"/>
      <c r="Q4885" s="242"/>
      <c r="R4885" s="539"/>
      <c r="S4885" s="540"/>
      <c r="T4885" s="543"/>
      <c r="U4885" s="673" t="b">
        <v>0</v>
      </c>
      <c r="Z4885" t="b">
        <v>0</v>
      </c>
      <c r="AA4885" t="b">
        <v>0</v>
      </c>
      <c r="AC4885" s="82"/>
      <c r="AD4885" t="str">
        <f t="shared" si="71"/>
        <v/>
      </c>
      <c r="AE4885" t="str">
        <f t="shared" si="72"/>
        <v/>
      </c>
    </row>
    <row r="4886">
      <c r="D4886" s="226"/>
      <c r="H4886" s="474"/>
      <c r="I4886" s="474"/>
      <c r="J4886" s="475"/>
      <c r="K4886" s="275"/>
      <c r="L4886" s="82"/>
      <c r="M4886" s="672"/>
      <c r="N4886" s="242"/>
      <c r="O4886" s="242"/>
      <c r="P4886" s="242"/>
      <c r="Q4886" s="242"/>
      <c r="R4886" s="539"/>
      <c r="S4886" s="540"/>
      <c r="T4886" s="543"/>
      <c r="U4886" s="673" t="b">
        <v>0</v>
      </c>
      <c r="Z4886" t="b">
        <v>0</v>
      </c>
      <c r="AA4886" t="b">
        <v>0</v>
      </c>
      <c r="AC4886" s="82"/>
      <c r="AD4886" t="str">
        <f t="shared" si="71"/>
        <v/>
      </c>
      <c r="AE4886" t="str">
        <f t="shared" si="72"/>
        <v/>
      </c>
    </row>
    <row r="4887">
      <c r="D4887" s="226"/>
      <c r="H4887" s="474"/>
      <c r="I4887" s="474"/>
      <c r="J4887" s="475"/>
      <c r="K4887" s="275"/>
      <c r="L4887" s="82"/>
      <c r="M4887" s="672"/>
      <c r="N4887" s="242"/>
      <c r="O4887" s="242"/>
      <c r="P4887" s="242"/>
      <c r="Q4887" s="242"/>
      <c r="R4887" s="539"/>
      <c r="S4887" s="540"/>
      <c r="T4887" s="543"/>
      <c r="U4887" s="673" t="b">
        <v>0</v>
      </c>
      <c r="Z4887" t="b">
        <v>0</v>
      </c>
      <c r="AA4887" t="b">
        <v>0</v>
      </c>
      <c r="AC4887" s="82"/>
      <c r="AD4887" t="str">
        <f t="shared" si="71"/>
        <v/>
      </c>
      <c r="AE4887" t="str">
        <f t="shared" si="72"/>
        <v/>
      </c>
    </row>
    <row r="4888">
      <c r="D4888" s="226"/>
      <c r="H4888" s="474"/>
      <c r="I4888" s="474"/>
      <c r="J4888" s="475"/>
      <c r="K4888" s="275"/>
      <c r="L4888" s="82"/>
      <c r="M4888" s="672"/>
      <c r="N4888" s="242"/>
      <c r="O4888" s="242"/>
      <c r="P4888" s="242"/>
      <c r="Q4888" s="242"/>
      <c r="R4888" s="539"/>
      <c r="S4888" s="540"/>
      <c r="T4888" s="543"/>
      <c r="U4888" s="673" t="b">
        <v>0</v>
      </c>
      <c r="Z4888" t="b">
        <v>0</v>
      </c>
      <c r="AA4888" t="b">
        <v>0</v>
      </c>
      <c r="AC4888" s="82"/>
      <c r="AD4888" t="str">
        <f t="shared" si="71"/>
        <v/>
      </c>
      <c r="AE4888" t="str">
        <f t="shared" si="72"/>
        <v/>
      </c>
    </row>
    <row r="4889">
      <c r="D4889" s="226"/>
      <c r="H4889" s="474"/>
      <c r="I4889" s="474"/>
      <c r="J4889" s="475"/>
      <c r="K4889" s="275"/>
      <c r="L4889" s="82"/>
      <c r="M4889" s="672"/>
      <c r="N4889" s="242"/>
      <c r="O4889" s="242"/>
      <c r="P4889" s="242"/>
      <c r="Q4889" s="242"/>
      <c r="R4889" s="539"/>
      <c r="S4889" s="540"/>
      <c r="T4889" s="543"/>
      <c r="U4889" s="673" t="b">
        <v>0</v>
      </c>
      <c r="Z4889" t="b">
        <v>0</v>
      </c>
      <c r="AA4889" t="b">
        <v>0</v>
      </c>
      <c r="AC4889" s="82"/>
      <c r="AD4889" t="str">
        <f t="shared" si="71"/>
        <v/>
      </c>
      <c r="AE4889" t="str">
        <f t="shared" si="72"/>
        <v/>
      </c>
    </row>
    <row r="4890">
      <c r="D4890" s="226"/>
      <c r="H4890" s="474"/>
      <c r="I4890" s="474"/>
      <c r="J4890" s="475"/>
      <c r="K4890" s="275"/>
      <c r="L4890" s="82"/>
      <c r="M4890" s="672"/>
      <c r="N4890" s="242"/>
      <c r="O4890" s="242"/>
      <c r="P4890" s="242"/>
      <c r="Q4890" s="242"/>
      <c r="R4890" s="539"/>
      <c r="S4890" s="540"/>
      <c r="T4890" s="543"/>
      <c r="U4890" s="673" t="b">
        <v>0</v>
      </c>
      <c r="Z4890" t="b">
        <v>0</v>
      </c>
      <c r="AA4890" t="b">
        <v>0</v>
      </c>
      <c r="AC4890" s="82"/>
      <c r="AD4890" t="str">
        <f t="shared" si="71"/>
        <v/>
      </c>
      <c r="AE4890" t="str">
        <f t="shared" si="72"/>
        <v/>
      </c>
    </row>
    <row r="4891">
      <c r="D4891" s="226"/>
      <c r="H4891" s="474"/>
      <c r="I4891" s="474"/>
      <c r="J4891" s="475"/>
      <c r="K4891" s="275"/>
      <c r="L4891" s="82"/>
      <c r="M4891" s="672"/>
      <c r="N4891" s="242"/>
      <c r="O4891" s="242"/>
      <c r="P4891" s="242"/>
      <c r="Q4891" s="242"/>
      <c r="R4891" s="539"/>
      <c r="S4891" s="540"/>
      <c r="T4891" s="543"/>
      <c r="U4891" s="673" t="b">
        <v>0</v>
      </c>
      <c r="Z4891" t="b">
        <v>0</v>
      </c>
      <c r="AA4891" t="b">
        <v>0</v>
      </c>
      <c r="AC4891" s="82"/>
      <c r="AD4891" t="str">
        <f t="shared" si="71"/>
        <v/>
      </c>
      <c r="AE4891" t="str">
        <f t="shared" si="72"/>
        <v/>
      </c>
    </row>
    <row r="4892">
      <c r="D4892" s="226"/>
      <c r="H4892" s="474"/>
      <c r="I4892" s="474"/>
      <c r="J4892" s="475"/>
      <c r="K4892" s="275"/>
      <c r="L4892" s="82"/>
      <c r="M4892" s="672"/>
      <c r="N4892" s="242"/>
      <c r="O4892" s="242"/>
      <c r="P4892" s="242"/>
      <c r="Q4892" s="242"/>
      <c r="R4892" s="539"/>
      <c r="S4892" s="540"/>
      <c r="T4892" s="543"/>
      <c r="U4892" s="673" t="b">
        <v>0</v>
      </c>
      <c r="Z4892" t="b">
        <v>0</v>
      </c>
      <c r="AA4892" t="b">
        <v>0</v>
      </c>
      <c r="AC4892" s="82"/>
      <c r="AD4892" t="str">
        <f t="shared" si="71"/>
        <v/>
      </c>
      <c r="AE4892" t="str">
        <f t="shared" si="72"/>
        <v/>
      </c>
    </row>
    <row r="4893">
      <c r="D4893" s="226"/>
      <c r="H4893" s="474"/>
      <c r="I4893" s="474"/>
      <c r="J4893" s="475"/>
      <c r="K4893" s="275"/>
      <c r="L4893" s="82"/>
      <c r="M4893" s="672"/>
      <c r="N4893" s="242"/>
      <c r="O4893" s="242"/>
      <c r="P4893" s="242"/>
      <c r="Q4893" s="242"/>
      <c r="R4893" s="539"/>
      <c r="S4893" s="540"/>
      <c r="T4893" s="543"/>
      <c r="U4893" s="673" t="b">
        <v>0</v>
      </c>
      <c r="Z4893" t="b">
        <v>0</v>
      </c>
      <c r="AA4893" t="b">
        <v>0</v>
      </c>
      <c r="AC4893" s="82"/>
      <c r="AD4893" t="str">
        <f t="shared" si="71"/>
        <v/>
      </c>
      <c r="AE4893" t="str">
        <f t="shared" si="72"/>
        <v/>
      </c>
    </row>
    <row r="4894">
      <c r="D4894" s="226"/>
      <c r="H4894" s="474"/>
      <c r="I4894" s="474"/>
      <c r="J4894" s="475"/>
      <c r="K4894" s="275"/>
      <c r="L4894" s="82"/>
      <c r="M4894" s="672"/>
      <c r="N4894" s="242"/>
      <c r="O4894" s="242"/>
      <c r="P4894" s="242"/>
      <c r="Q4894" s="242"/>
      <c r="R4894" s="539"/>
      <c r="S4894" s="540"/>
      <c r="T4894" s="543"/>
      <c r="U4894" s="673" t="b">
        <v>0</v>
      </c>
      <c r="Z4894" t="b">
        <v>0</v>
      </c>
      <c r="AA4894" t="b">
        <v>0</v>
      </c>
      <c r="AC4894" s="82"/>
      <c r="AD4894" t="str">
        <f t="shared" si="71"/>
        <v/>
      </c>
      <c r="AE4894" t="str">
        <f t="shared" si="72"/>
        <v/>
      </c>
    </row>
    <row r="4895">
      <c r="D4895" s="226"/>
      <c r="H4895" s="474"/>
      <c r="I4895" s="474"/>
      <c r="J4895" s="475"/>
      <c r="K4895" s="275"/>
      <c r="L4895" s="82"/>
      <c r="M4895" s="672"/>
      <c r="N4895" s="242"/>
      <c r="O4895" s="242"/>
      <c r="P4895" s="242"/>
      <c r="Q4895" s="242"/>
      <c r="R4895" s="539"/>
      <c r="S4895" s="540"/>
      <c r="T4895" s="543"/>
      <c r="U4895" s="673" t="b">
        <v>0</v>
      </c>
      <c r="Z4895" t="b">
        <v>0</v>
      </c>
      <c r="AA4895" t="b">
        <v>0</v>
      </c>
      <c r="AC4895" s="82"/>
      <c r="AD4895" t="str">
        <f t="shared" si="71"/>
        <v/>
      </c>
      <c r="AE4895" t="str">
        <f t="shared" si="72"/>
        <v/>
      </c>
    </row>
    <row r="4896">
      <c r="D4896" s="226"/>
      <c r="H4896" s="474"/>
      <c r="I4896" s="474"/>
      <c r="J4896" s="475"/>
      <c r="K4896" s="275"/>
      <c r="L4896" s="82"/>
      <c r="M4896" s="672"/>
      <c r="N4896" s="242"/>
      <c r="O4896" s="242"/>
      <c r="P4896" s="242"/>
      <c r="Q4896" s="242"/>
      <c r="R4896" s="539"/>
      <c r="S4896" s="540"/>
      <c r="T4896" s="543"/>
      <c r="U4896" s="673" t="b">
        <v>0</v>
      </c>
      <c r="Z4896" t="b">
        <v>0</v>
      </c>
      <c r="AA4896" t="b">
        <v>0</v>
      </c>
      <c r="AC4896" s="82"/>
      <c r="AD4896" t="str">
        <f t="shared" si="71"/>
        <v/>
      </c>
      <c r="AE4896" t="str">
        <f t="shared" si="72"/>
        <v/>
      </c>
    </row>
    <row r="4897">
      <c r="D4897" s="226"/>
      <c r="H4897" s="474"/>
      <c r="I4897" s="474"/>
      <c r="J4897" s="475"/>
      <c r="K4897" s="275"/>
      <c r="L4897" s="82"/>
      <c r="M4897" s="672"/>
      <c r="N4897" s="242"/>
      <c r="O4897" s="242"/>
      <c r="P4897" s="242"/>
      <c r="Q4897" s="242"/>
      <c r="R4897" s="539"/>
      <c r="S4897" s="540"/>
      <c r="T4897" s="543"/>
      <c r="U4897" s="673" t="b">
        <v>0</v>
      </c>
      <c r="Z4897" t="b">
        <v>0</v>
      </c>
      <c r="AA4897" t="b">
        <v>0</v>
      </c>
      <c r="AC4897" s="82"/>
      <c r="AD4897" t="str">
        <f t="shared" si="71"/>
        <v/>
      </c>
      <c r="AE4897" t="str">
        <f t="shared" si="72"/>
        <v/>
      </c>
    </row>
    <row r="4898">
      <c r="D4898" s="226"/>
      <c r="H4898" s="474"/>
      <c r="I4898" s="474"/>
      <c r="J4898" s="475"/>
      <c r="K4898" s="275"/>
      <c r="L4898" s="82"/>
      <c r="M4898" s="672"/>
      <c r="N4898" s="242"/>
      <c r="O4898" s="242"/>
      <c r="P4898" s="242"/>
      <c r="Q4898" s="242"/>
      <c r="R4898" s="539"/>
      <c r="S4898" s="540"/>
      <c r="T4898" s="543"/>
      <c r="U4898" s="673" t="b">
        <v>0</v>
      </c>
      <c r="Z4898" t="b">
        <v>0</v>
      </c>
      <c r="AA4898" t="b">
        <v>0</v>
      </c>
      <c r="AC4898" s="82"/>
      <c r="AD4898" t="str">
        <f t="shared" si="71"/>
        <v/>
      </c>
      <c r="AE4898" t="str">
        <f t="shared" si="72"/>
        <v/>
      </c>
    </row>
    <row r="4899">
      <c r="D4899" s="226"/>
      <c r="H4899" s="474"/>
      <c r="I4899" s="474"/>
      <c r="J4899" s="475"/>
      <c r="K4899" s="275"/>
      <c r="L4899" s="82"/>
      <c r="M4899" s="672"/>
      <c r="N4899" s="242"/>
      <c r="O4899" s="242"/>
      <c r="P4899" s="242"/>
      <c r="Q4899" s="242"/>
      <c r="R4899" s="539"/>
      <c r="S4899" s="540"/>
      <c r="T4899" s="543"/>
      <c r="U4899" s="673" t="b">
        <v>0</v>
      </c>
      <c r="Z4899" t="b">
        <v>0</v>
      </c>
      <c r="AA4899" t="b">
        <v>0</v>
      </c>
      <c r="AC4899" s="82"/>
      <c r="AD4899" t="str">
        <f t="shared" si="71"/>
        <v/>
      </c>
      <c r="AE4899" t="str">
        <f t="shared" si="72"/>
        <v/>
      </c>
    </row>
    <row r="4900">
      <c r="D4900" s="226"/>
      <c r="H4900" s="474"/>
      <c r="I4900" s="474"/>
      <c r="J4900" s="475"/>
      <c r="K4900" s="275"/>
      <c r="L4900" s="82"/>
      <c r="M4900" s="672"/>
      <c r="N4900" s="242"/>
      <c r="O4900" s="242"/>
      <c r="P4900" s="242"/>
      <c r="Q4900" s="242"/>
      <c r="R4900" s="539"/>
      <c r="S4900" s="540"/>
      <c r="T4900" s="543"/>
      <c r="U4900" s="673" t="b">
        <v>0</v>
      </c>
      <c r="Z4900" t="b">
        <v>0</v>
      </c>
      <c r="AA4900" t="b">
        <v>0</v>
      </c>
      <c r="AC4900" s="82"/>
      <c r="AD4900" t="str">
        <f t="shared" si="71"/>
        <v/>
      </c>
      <c r="AE4900" t="str">
        <f t="shared" si="72"/>
        <v/>
      </c>
    </row>
    <row r="4901">
      <c r="D4901" s="226"/>
      <c r="H4901" s="474"/>
      <c r="I4901" s="474"/>
      <c r="J4901" s="475"/>
      <c r="K4901" s="275"/>
      <c r="L4901" s="82"/>
      <c r="M4901" s="672"/>
      <c r="N4901" s="242"/>
      <c r="O4901" s="242"/>
      <c r="P4901" s="242"/>
      <c r="Q4901" s="242"/>
      <c r="R4901" s="539"/>
      <c r="S4901" s="540"/>
      <c r="T4901" s="543"/>
      <c r="U4901" s="673" t="b">
        <v>0</v>
      </c>
      <c r="Z4901" t="b">
        <v>0</v>
      </c>
      <c r="AA4901" t="b">
        <v>0</v>
      </c>
      <c r="AC4901" s="82"/>
      <c r="AD4901" t="str">
        <f t="shared" si="71"/>
        <v/>
      </c>
      <c r="AE4901" t="str">
        <f t="shared" si="72"/>
        <v/>
      </c>
    </row>
    <row r="4902">
      <c r="D4902" s="226"/>
      <c r="H4902" s="474"/>
      <c r="I4902" s="474"/>
      <c r="J4902" s="475"/>
      <c r="K4902" s="275"/>
      <c r="L4902" s="82"/>
      <c r="M4902" s="672"/>
      <c r="N4902" s="242"/>
      <c r="O4902" s="242"/>
      <c r="P4902" s="242"/>
      <c r="Q4902" s="242"/>
      <c r="R4902" s="539"/>
      <c r="S4902" s="540"/>
      <c r="T4902" s="543"/>
      <c r="U4902" s="673" t="b">
        <v>0</v>
      </c>
      <c r="Z4902" t="b">
        <v>0</v>
      </c>
      <c r="AA4902" t="b">
        <v>0</v>
      </c>
      <c r="AC4902" s="82"/>
      <c r="AD4902" t="str">
        <f t="shared" si="71"/>
        <v/>
      </c>
      <c r="AE4902" t="str">
        <f t="shared" si="72"/>
        <v/>
      </c>
    </row>
    <row r="4903">
      <c r="D4903" s="226"/>
      <c r="H4903" s="474"/>
      <c r="I4903" s="474"/>
      <c r="J4903" s="475"/>
      <c r="K4903" s="275"/>
      <c r="L4903" s="82"/>
      <c r="M4903" s="672"/>
      <c r="N4903" s="242"/>
      <c r="O4903" s="242"/>
      <c r="P4903" s="242"/>
      <c r="Q4903" s="242"/>
      <c r="R4903" s="539"/>
      <c r="S4903" s="540"/>
      <c r="T4903" s="543"/>
      <c r="U4903" s="673" t="b">
        <v>0</v>
      </c>
      <c r="Z4903" t="b">
        <v>0</v>
      </c>
      <c r="AA4903" t="b">
        <v>0</v>
      </c>
      <c r="AC4903" s="82"/>
      <c r="AD4903" t="str">
        <f t="shared" si="71"/>
        <v/>
      </c>
      <c r="AE4903" t="str">
        <f t="shared" si="72"/>
        <v/>
      </c>
    </row>
    <row r="4904">
      <c r="D4904" s="226"/>
      <c r="H4904" s="474"/>
      <c r="I4904" s="474"/>
      <c r="J4904" s="475"/>
      <c r="K4904" s="275"/>
      <c r="L4904" s="82"/>
      <c r="M4904" s="672"/>
      <c r="N4904" s="242"/>
      <c r="O4904" s="242"/>
      <c r="P4904" s="242"/>
      <c r="Q4904" s="242"/>
      <c r="R4904" s="539"/>
      <c r="S4904" s="540"/>
      <c r="T4904" s="543"/>
      <c r="U4904" s="673" t="b">
        <v>0</v>
      </c>
      <c r="Z4904" t="b">
        <v>0</v>
      </c>
      <c r="AA4904" t="b">
        <v>0</v>
      </c>
      <c r="AC4904" s="82"/>
      <c r="AD4904" t="str">
        <f t="shared" si="71"/>
        <v/>
      </c>
      <c r="AE4904" t="str">
        <f t="shared" si="72"/>
        <v/>
      </c>
    </row>
    <row r="4905">
      <c r="D4905" s="226"/>
      <c r="H4905" s="474"/>
      <c r="I4905" s="474"/>
      <c r="J4905" s="475"/>
      <c r="K4905" s="275"/>
      <c r="L4905" s="82"/>
      <c r="M4905" s="672"/>
      <c r="N4905" s="242"/>
      <c r="O4905" s="242"/>
      <c r="P4905" s="242"/>
      <c r="Q4905" s="242"/>
      <c r="R4905" s="539"/>
      <c r="S4905" s="540"/>
      <c r="T4905" s="543"/>
      <c r="U4905" s="673" t="b">
        <v>0</v>
      </c>
      <c r="Z4905" t="b">
        <v>0</v>
      </c>
      <c r="AA4905" t="b">
        <v>0</v>
      </c>
      <c r="AC4905" s="82"/>
      <c r="AD4905" t="str">
        <f t="shared" si="71"/>
        <v/>
      </c>
      <c r="AE4905" t="str">
        <f t="shared" si="72"/>
        <v/>
      </c>
    </row>
    <row r="4906">
      <c r="D4906" s="226"/>
      <c r="H4906" s="474"/>
      <c r="I4906" s="474"/>
      <c r="J4906" s="475"/>
      <c r="K4906" s="275"/>
      <c r="L4906" s="82"/>
      <c r="M4906" s="672"/>
      <c r="N4906" s="242"/>
      <c r="O4906" s="242"/>
      <c r="P4906" s="242"/>
      <c r="Q4906" s="242"/>
      <c r="R4906" s="539"/>
      <c r="S4906" s="540"/>
      <c r="T4906" s="543"/>
      <c r="U4906" s="673" t="b">
        <v>0</v>
      </c>
      <c r="Z4906" t="b">
        <v>0</v>
      </c>
      <c r="AA4906" t="b">
        <v>0</v>
      </c>
      <c r="AC4906" s="82"/>
      <c r="AD4906" t="str">
        <f t="shared" si="71"/>
        <v/>
      </c>
      <c r="AE4906" t="str">
        <f t="shared" si="72"/>
        <v/>
      </c>
    </row>
    <row r="4907">
      <c r="D4907" s="226"/>
      <c r="H4907" s="474"/>
      <c r="I4907" s="474"/>
      <c r="J4907" s="475"/>
      <c r="K4907" s="275"/>
      <c r="L4907" s="82"/>
      <c r="M4907" s="672"/>
      <c r="N4907" s="242"/>
      <c r="O4907" s="242"/>
      <c r="P4907" s="242"/>
      <c r="Q4907" s="242"/>
      <c r="R4907" s="539"/>
      <c r="S4907" s="540"/>
      <c r="T4907" s="543"/>
      <c r="U4907" s="673" t="b">
        <v>0</v>
      </c>
      <c r="Z4907" t="b">
        <v>0</v>
      </c>
      <c r="AA4907" t="b">
        <v>0</v>
      </c>
      <c r="AC4907" s="82"/>
      <c r="AD4907" t="str">
        <f t="shared" si="71"/>
        <v/>
      </c>
      <c r="AE4907" t="str">
        <f t="shared" si="72"/>
        <v/>
      </c>
    </row>
    <row r="4908">
      <c r="D4908" s="226"/>
      <c r="H4908" s="474"/>
      <c r="I4908" s="474"/>
      <c r="J4908" s="475"/>
      <c r="K4908" s="275"/>
      <c r="L4908" s="82"/>
      <c r="M4908" s="672"/>
      <c r="N4908" s="242"/>
      <c r="O4908" s="242"/>
      <c r="P4908" s="242"/>
      <c r="Q4908" s="242"/>
      <c r="R4908" s="539"/>
      <c r="S4908" s="540"/>
      <c r="T4908" s="543"/>
      <c r="U4908" s="673" t="b">
        <v>0</v>
      </c>
      <c r="Z4908" t="b">
        <v>0</v>
      </c>
      <c r="AA4908" t="b">
        <v>0</v>
      </c>
      <c r="AC4908" s="82"/>
      <c r="AD4908" t="str">
        <f t="shared" si="71"/>
        <v/>
      </c>
      <c r="AE4908" t="str">
        <f t="shared" si="72"/>
        <v/>
      </c>
    </row>
    <row r="4909">
      <c r="D4909" s="226"/>
      <c r="H4909" s="474"/>
      <c r="I4909" s="474"/>
      <c r="J4909" s="475"/>
      <c r="K4909" s="275"/>
      <c r="L4909" s="82"/>
      <c r="M4909" s="672"/>
      <c r="N4909" s="242"/>
      <c r="O4909" s="242"/>
      <c r="P4909" s="242"/>
      <c r="Q4909" s="242"/>
      <c r="R4909" s="539"/>
      <c r="S4909" s="540"/>
      <c r="T4909" s="543"/>
      <c r="U4909" s="673" t="b">
        <v>0</v>
      </c>
      <c r="Z4909" t="b">
        <v>0</v>
      </c>
      <c r="AA4909" t="b">
        <v>0</v>
      </c>
      <c r="AC4909" s="82"/>
      <c r="AD4909" t="str">
        <f t="shared" si="71"/>
        <v/>
      </c>
      <c r="AE4909" t="str">
        <f t="shared" si="72"/>
        <v/>
      </c>
    </row>
    <row r="4910">
      <c r="D4910" s="226"/>
      <c r="H4910" s="474"/>
      <c r="I4910" s="474"/>
      <c r="J4910" s="475"/>
      <c r="K4910" s="275"/>
      <c r="L4910" s="82"/>
      <c r="M4910" s="672"/>
      <c r="N4910" s="242"/>
      <c r="O4910" s="242"/>
      <c r="P4910" s="242"/>
      <c r="Q4910" s="242"/>
      <c r="R4910" s="539"/>
      <c r="S4910" s="540"/>
      <c r="T4910" s="543"/>
      <c r="U4910" s="673" t="b">
        <v>0</v>
      </c>
      <c r="Z4910" t="b">
        <v>0</v>
      </c>
      <c r="AA4910" t="b">
        <v>0</v>
      </c>
      <c r="AC4910" s="82"/>
      <c r="AD4910" t="str">
        <f t="shared" si="71"/>
        <v/>
      </c>
      <c r="AE4910" t="str">
        <f t="shared" si="72"/>
        <v/>
      </c>
    </row>
    <row r="4911">
      <c r="D4911" s="226"/>
      <c r="H4911" s="474"/>
      <c r="I4911" s="474"/>
      <c r="J4911" s="475"/>
      <c r="K4911" s="275"/>
      <c r="L4911" s="82"/>
      <c r="M4911" s="672"/>
      <c r="N4911" s="242"/>
      <c r="O4911" s="242"/>
      <c r="P4911" s="242"/>
      <c r="Q4911" s="242"/>
      <c r="R4911" s="539"/>
      <c r="S4911" s="540"/>
      <c r="T4911" s="543"/>
      <c r="U4911" s="673" t="b">
        <v>0</v>
      </c>
      <c r="Z4911" t="b">
        <v>0</v>
      </c>
      <c r="AA4911" t="b">
        <v>0</v>
      </c>
      <c r="AC4911" s="82"/>
      <c r="AD4911" t="str">
        <f t="shared" si="71"/>
        <v/>
      </c>
      <c r="AE4911" t="str">
        <f t="shared" si="72"/>
        <v/>
      </c>
    </row>
    <row r="4912">
      <c r="D4912" s="226"/>
      <c r="H4912" s="474"/>
      <c r="I4912" s="474"/>
      <c r="J4912" s="475"/>
      <c r="K4912" s="275"/>
      <c r="L4912" s="82"/>
      <c r="M4912" s="672"/>
      <c r="N4912" s="242"/>
      <c r="O4912" s="242"/>
      <c r="P4912" s="242"/>
      <c r="Q4912" s="242"/>
      <c r="R4912" s="539"/>
      <c r="S4912" s="540"/>
      <c r="T4912" s="543"/>
      <c r="U4912" s="673" t="b">
        <v>0</v>
      </c>
      <c r="Z4912" t="b">
        <v>0</v>
      </c>
      <c r="AA4912" t="b">
        <v>0</v>
      </c>
      <c r="AC4912" s="82"/>
      <c r="AD4912" t="str">
        <f t="shared" si="71"/>
        <v/>
      </c>
      <c r="AE4912" t="str">
        <f t="shared" si="72"/>
        <v/>
      </c>
    </row>
    <row r="4913">
      <c r="D4913" s="226"/>
      <c r="H4913" s="474"/>
      <c r="I4913" s="474"/>
      <c r="J4913" s="475"/>
      <c r="K4913" s="275"/>
      <c r="L4913" s="82"/>
      <c r="M4913" s="672"/>
      <c r="N4913" s="242"/>
      <c r="O4913" s="242"/>
      <c r="P4913" s="242"/>
      <c r="Q4913" s="242"/>
      <c r="R4913" s="539"/>
      <c r="S4913" s="540"/>
      <c r="T4913" s="543"/>
      <c r="U4913" s="673" t="b">
        <v>0</v>
      </c>
      <c r="Z4913" t="b">
        <v>0</v>
      </c>
      <c r="AA4913" t="b">
        <v>0</v>
      </c>
      <c r="AC4913" s="82"/>
      <c r="AD4913" t="str">
        <f t="shared" si="71"/>
        <v/>
      </c>
      <c r="AE4913" t="str">
        <f t="shared" si="72"/>
        <v/>
      </c>
    </row>
    <row r="4914">
      <c r="D4914" s="226"/>
      <c r="H4914" s="474"/>
      <c r="I4914" s="474"/>
      <c r="J4914" s="475"/>
      <c r="K4914" s="275"/>
      <c r="L4914" s="82"/>
      <c r="M4914" s="672"/>
      <c r="N4914" s="242"/>
      <c r="O4914" s="242"/>
      <c r="P4914" s="242"/>
      <c r="Q4914" s="242"/>
      <c r="R4914" s="539"/>
      <c r="S4914" s="540"/>
      <c r="T4914" s="543"/>
      <c r="U4914" s="673" t="b">
        <v>0</v>
      </c>
      <c r="Z4914" t="b">
        <v>0</v>
      </c>
      <c r="AA4914" t="b">
        <v>0</v>
      </c>
      <c r="AC4914" s="82"/>
      <c r="AD4914" t="str">
        <f t="shared" si="71"/>
        <v/>
      </c>
      <c r="AE4914" t="str">
        <f t="shared" si="72"/>
        <v/>
      </c>
    </row>
    <row r="4915">
      <c r="D4915" s="226"/>
      <c r="H4915" s="474"/>
      <c r="I4915" s="474"/>
      <c r="J4915" s="475"/>
      <c r="K4915" s="275"/>
      <c r="L4915" s="82"/>
      <c r="M4915" s="672"/>
      <c r="N4915" s="242"/>
      <c r="O4915" s="242"/>
      <c r="P4915" s="242"/>
      <c r="Q4915" s="242"/>
      <c r="R4915" s="539"/>
      <c r="S4915" s="540"/>
      <c r="T4915" s="543"/>
      <c r="U4915" s="673" t="b">
        <v>0</v>
      </c>
      <c r="Z4915" t="b">
        <v>0</v>
      </c>
      <c r="AA4915" t="b">
        <v>0</v>
      </c>
      <c r="AC4915" s="82"/>
      <c r="AD4915" t="str">
        <f t="shared" si="71"/>
        <v/>
      </c>
      <c r="AE4915" t="str">
        <f t="shared" si="72"/>
        <v/>
      </c>
    </row>
    <row r="4916">
      <c r="D4916" s="226"/>
      <c r="H4916" s="474"/>
      <c r="I4916" s="474"/>
      <c r="J4916" s="475"/>
      <c r="K4916" s="275"/>
      <c r="L4916" s="82"/>
      <c r="M4916" s="672"/>
      <c r="N4916" s="242"/>
      <c r="O4916" s="242"/>
      <c r="P4916" s="242"/>
      <c r="Q4916" s="242"/>
      <c r="R4916" s="539"/>
      <c r="S4916" s="540"/>
      <c r="T4916" s="543"/>
      <c r="U4916" s="673" t="b">
        <v>0</v>
      </c>
      <c r="Z4916" t="b">
        <v>0</v>
      </c>
      <c r="AA4916" t="b">
        <v>0</v>
      </c>
      <c r="AC4916" s="82"/>
      <c r="AD4916" t="str">
        <f t="shared" si="71"/>
        <v/>
      </c>
      <c r="AE4916" t="str">
        <f t="shared" si="72"/>
        <v/>
      </c>
    </row>
    <row r="4917">
      <c r="D4917" s="226"/>
      <c r="H4917" s="474"/>
      <c r="I4917" s="474"/>
      <c r="J4917" s="475"/>
      <c r="K4917" s="275"/>
      <c r="L4917" s="82"/>
      <c r="M4917" s="672"/>
      <c r="N4917" s="242"/>
      <c r="O4917" s="242"/>
      <c r="P4917" s="242"/>
      <c r="Q4917" s="242"/>
      <c r="R4917" s="539"/>
      <c r="S4917" s="540"/>
      <c r="T4917" s="543"/>
      <c r="U4917" s="673" t="b">
        <v>0</v>
      </c>
      <c r="Z4917" t="b">
        <v>0</v>
      </c>
      <c r="AA4917" t="b">
        <v>0</v>
      </c>
      <c r="AC4917" s="82"/>
      <c r="AD4917" t="str">
        <f t="shared" si="71"/>
        <v/>
      </c>
      <c r="AE4917" t="str">
        <f t="shared" si="72"/>
        <v/>
      </c>
    </row>
    <row r="4918">
      <c r="D4918" s="226"/>
      <c r="H4918" s="474"/>
      <c r="I4918" s="474"/>
      <c r="J4918" s="475"/>
      <c r="K4918" s="275"/>
      <c r="L4918" s="82"/>
      <c r="M4918" s="672"/>
      <c r="N4918" s="242"/>
      <c r="O4918" s="242"/>
      <c r="P4918" s="242"/>
      <c r="Q4918" s="242"/>
      <c r="R4918" s="539"/>
      <c r="S4918" s="540"/>
      <c r="T4918" s="543"/>
      <c r="U4918" s="673" t="b">
        <v>0</v>
      </c>
      <c r="Z4918" t="b">
        <v>0</v>
      </c>
      <c r="AA4918" t="b">
        <v>0</v>
      </c>
      <c r="AC4918" s="82"/>
      <c r="AD4918" t="str">
        <f t="shared" si="71"/>
        <v/>
      </c>
      <c r="AE4918" t="str">
        <f t="shared" si="72"/>
        <v/>
      </c>
    </row>
    <row r="4919">
      <c r="D4919" s="226"/>
      <c r="H4919" s="474"/>
      <c r="I4919" s="474"/>
      <c r="J4919" s="475"/>
      <c r="K4919" s="275"/>
      <c r="L4919" s="82"/>
      <c r="M4919" s="672"/>
      <c r="N4919" s="242"/>
      <c r="O4919" s="242"/>
      <c r="P4919" s="242"/>
      <c r="Q4919" s="242"/>
      <c r="R4919" s="539"/>
      <c r="S4919" s="540"/>
      <c r="T4919" s="543"/>
      <c r="U4919" s="673" t="b">
        <v>0</v>
      </c>
      <c r="Z4919" t="b">
        <v>0</v>
      </c>
      <c r="AA4919" t="b">
        <v>0</v>
      </c>
      <c r="AC4919" s="82"/>
      <c r="AD4919" t="str">
        <f t="shared" si="71"/>
        <v/>
      </c>
      <c r="AE4919" t="str">
        <f t="shared" si="72"/>
        <v/>
      </c>
    </row>
    <row r="4920">
      <c r="D4920" s="226"/>
      <c r="H4920" s="474"/>
      <c r="I4920" s="474"/>
      <c r="J4920" s="475"/>
      <c r="K4920" s="275"/>
      <c r="L4920" s="82"/>
      <c r="M4920" s="672"/>
      <c r="N4920" s="242"/>
      <c r="O4920" s="242"/>
      <c r="P4920" s="242"/>
      <c r="Q4920" s="242"/>
      <c r="R4920" s="539"/>
      <c r="S4920" s="540"/>
      <c r="T4920" s="543"/>
      <c r="U4920" s="673" t="b">
        <v>0</v>
      </c>
      <c r="Z4920" t="b">
        <v>0</v>
      </c>
      <c r="AA4920" t="b">
        <v>0</v>
      </c>
      <c r="AC4920" s="82"/>
      <c r="AD4920" t="str">
        <f t="shared" si="71"/>
        <v/>
      </c>
      <c r="AE4920" t="str">
        <f t="shared" si="72"/>
        <v/>
      </c>
    </row>
    <row r="4921">
      <c r="D4921" s="226"/>
      <c r="H4921" s="474"/>
      <c r="I4921" s="474"/>
      <c r="J4921" s="475"/>
      <c r="K4921" s="275"/>
      <c r="L4921" s="82"/>
      <c r="M4921" s="672"/>
      <c r="N4921" s="242"/>
      <c r="O4921" s="242"/>
      <c r="P4921" s="242"/>
      <c r="Q4921" s="242"/>
      <c r="R4921" s="539"/>
      <c r="S4921" s="540"/>
      <c r="T4921" s="543"/>
      <c r="U4921" s="673" t="b">
        <v>0</v>
      </c>
      <c r="Z4921" t="b">
        <v>0</v>
      </c>
      <c r="AA4921" t="b">
        <v>0</v>
      </c>
      <c r="AC4921" s="82"/>
      <c r="AD4921" t="str">
        <f t="shared" si="71"/>
        <v/>
      </c>
      <c r="AE4921" t="str">
        <f t="shared" si="72"/>
        <v/>
      </c>
    </row>
    <row r="4922">
      <c r="D4922" s="226"/>
      <c r="H4922" s="474"/>
      <c r="I4922" s="474"/>
      <c r="J4922" s="475"/>
      <c r="K4922" s="275"/>
      <c r="L4922" s="82"/>
      <c r="M4922" s="672"/>
      <c r="N4922" s="242"/>
      <c r="O4922" s="242"/>
      <c r="P4922" s="242"/>
      <c r="Q4922" s="242"/>
      <c r="R4922" s="539"/>
      <c r="S4922" s="540"/>
      <c r="T4922" s="543"/>
      <c r="U4922" s="673" t="b">
        <v>0</v>
      </c>
      <c r="Z4922" t="b">
        <v>0</v>
      </c>
      <c r="AA4922" t="b">
        <v>0</v>
      </c>
      <c r="AC4922" s="82"/>
      <c r="AD4922" t="str">
        <f t="shared" si="71"/>
        <v/>
      </c>
      <c r="AE4922" t="str">
        <f t="shared" si="72"/>
        <v/>
      </c>
    </row>
    <row r="4923">
      <c r="D4923" s="226"/>
      <c r="H4923" s="474"/>
      <c r="I4923" s="474"/>
      <c r="J4923" s="475"/>
      <c r="K4923" s="275"/>
      <c r="L4923" s="82"/>
      <c r="M4923" s="672"/>
      <c r="N4923" s="242"/>
      <c r="O4923" s="242"/>
      <c r="P4923" s="242"/>
      <c r="Q4923" s="242"/>
      <c r="R4923" s="539"/>
      <c r="S4923" s="540"/>
      <c r="T4923" s="543"/>
      <c r="U4923" s="673" t="b">
        <v>0</v>
      </c>
      <c r="Z4923" t="b">
        <v>0</v>
      </c>
      <c r="AA4923" t="b">
        <v>0</v>
      </c>
      <c r="AC4923" s="82"/>
      <c r="AD4923" t="str">
        <f t="shared" si="71"/>
        <v/>
      </c>
      <c r="AE4923" t="str">
        <f t="shared" si="72"/>
        <v/>
      </c>
    </row>
    <row r="4924">
      <c r="D4924" s="226"/>
      <c r="H4924" s="474"/>
      <c r="I4924" s="474"/>
      <c r="J4924" s="475"/>
      <c r="K4924" s="275"/>
      <c r="L4924" s="82"/>
      <c r="M4924" s="672"/>
      <c r="N4924" s="242"/>
      <c r="O4924" s="242"/>
      <c r="P4924" s="242"/>
      <c r="Q4924" s="242"/>
      <c r="R4924" s="539"/>
      <c r="S4924" s="540"/>
      <c r="T4924" s="543"/>
      <c r="U4924" s="673" t="b">
        <v>0</v>
      </c>
      <c r="Z4924" t="b">
        <v>0</v>
      </c>
      <c r="AA4924" t="b">
        <v>0</v>
      </c>
      <c r="AC4924" s="82"/>
      <c r="AD4924" t="str">
        <f t="shared" si="71"/>
        <v/>
      </c>
      <c r="AE4924" t="str">
        <f t="shared" si="72"/>
        <v/>
      </c>
    </row>
    <row r="4925">
      <c r="D4925" s="226"/>
      <c r="H4925" s="474"/>
      <c r="I4925" s="474"/>
      <c r="J4925" s="475"/>
      <c r="K4925" s="275"/>
      <c r="L4925" s="82"/>
      <c r="M4925" s="672"/>
      <c r="N4925" s="242"/>
      <c r="O4925" s="242"/>
      <c r="P4925" s="242"/>
      <c r="Q4925" s="242"/>
      <c r="R4925" s="539"/>
      <c r="S4925" s="540"/>
      <c r="T4925" s="543"/>
      <c r="U4925" s="673" t="b">
        <v>0</v>
      </c>
      <c r="Z4925" t="b">
        <v>0</v>
      </c>
      <c r="AA4925" t="b">
        <v>0</v>
      </c>
      <c r="AC4925" s="82"/>
      <c r="AD4925" t="str">
        <f t="shared" si="71"/>
        <v/>
      </c>
      <c r="AE4925" t="str">
        <f t="shared" si="72"/>
        <v/>
      </c>
    </row>
    <row r="4926">
      <c r="D4926" s="226"/>
      <c r="H4926" s="474"/>
      <c r="I4926" s="474"/>
      <c r="J4926" s="475"/>
      <c r="K4926" s="275"/>
      <c r="L4926" s="82"/>
      <c r="M4926" s="672"/>
      <c r="N4926" s="242"/>
      <c r="O4926" s="242"/>
      <c r="P4926" s="242"/>
      <c r="Q4926" s="242"/>
      <c r="R4926" s="539"/>
      <c r="S4926" s="540"/>
      <c r="T4926" s="543"/>
      <c r="U4926" s="673" t="b">
        <v>0</v>
      </c>
      <c r="Z4926" t="b">
        <v>0</v>
      </c>
      <c r="AA4926" t="b">
        <v>0</v>
      </c>
      <c r="AC4926" s="82"/>
      <c r="AD4926" t="str">
        <f t="shared" si="71"/>
        <v/>
      </c>
      <c r="AE4926" t="str">
        <f t="shared" si="72"/>
        <v/>
      </c>
    </row>
    <row r="4927">
      <c r="D4927" s="226"/>
      <c r="H4927" s="474"/>
      <c r="I4927" s="474"/>
      <c r="J4927" s="475"/>
      <c r="K4927" s="275"/>
      <c r="L4927" s="82"/>
      <c r="M4927" s="672"/>
      <c r="N4927" s="242"/>
      <c r="O4927" s="242"/>
      <c r="P4927" s="242"/>
      <c r="Q4927" s="242"/>
      <c r="R4927" s="539"/>
      <c r="S4927" s="540"/>
      <c r="T4927" s="543"/>
      <c r="U4927" s="673" t="b">
        <v>0</v>
      </c>
      <c r="Z4927" t="b">
        <v>0</v>
      </c>
      <c r="AA4927" t="b">
        <v>0</v>
      </c>
      <c r="AC4927" s="82"/>
      <c r="AD4927" t="str">
        <f t="shared" si="71"/>
        <v/>
      </c>
      <c r="AE4927" t="str">
        <f t="shared" si="72"/>
        <v/>
      </c>
    </row>
    <row r="4928">
      <c r="D4928" s="226"/>
      <c r="H4928" s="474"/>
      <c r="I4928" s="474"/>
      <c r="J4928" s="475"/>
      <c r="K4928" s="275"/>
      <c r="L4928" s="82"/>
      <c r="M4928" s="672"/>
      <c r="N4928" s="242"/>
      <c r="O4928" s="242"/>
      <c r="P4928" s="242"/>
      <c r="Q4928" s="242"/>
      <c r="R4928" s="539"/>
      <c r="S4928" s="540"/>
      <c r="T4928" s="543"/>
      <c r="U4928" s="673" t="b">
        <v>0</v>
      </c>
      <c r="Z4928" t="b">
        <v>0</v>
      </c>
      <c r="AA4928" t="b">
        <v>0</v>
      </c>
      <c r="AC4928" s="82"/>
      <c r="AD4928" t="str">
        <f t="shared" si="71"/>
        <v/>
      </c>
      <c r="AE4928" t="str">
        <f t="shared" si="72"/>
        <v/>
      </c>
    </row>
    <row r="4929">
      <c r="D4929" s="226"/>
      <c r="H4929" s="474"/>
      <c r="I4929" s="474"/>
      <c r="J4929" s="475"/>
      <c r="K4929" s="275"/>
      <c r="L4929" s="82"/>
      <c r="M4929" s="672"/>
      <c r="N4929" s="242"/>
      <c r="O4929" s="242"/>
      <c r="P4929" s="242"/>
      <c r="Q4929" s="242"/>
      <c r="R4929" s="539"/>
      <c r="S4929" s="540"/>
      <c r="T4929" s="543"/>
      <c r="U4929" s="673" t="b">
        <v>0</v>
      </c>
      <c r="Z4929" t="b">
        <v>0</v>
      </c>
      <c r="AA4929" t="b">
        <v>0</v>
      </c>
      <c r="AC4929" s="82"/>
      <c r="AD4929" t="str">
        <f t="shared" si="71"/>
        <v/>
      </c>
      <c r="AE4929" t="str">
        <f t="shared" si="72"/>
        <v/>
      </c>
    </row>
    <row r="4930">
      <c r="D4930" s="226"/>
      <c r="H4930" s="474"/>
      <c r="I4930" s="474"/>
      <c r="J4930" s="475"/>
      <c r="K4930" s="275"/>
      <c r="L4930" s="82"/>
      <c r="M4930" s="672"/>
      <c r="N4930" s="242"/>
      <c r="O4930" s="242"/>
      <c r="P4930" s="242"/>
      <c r="Q4930" s="242"/>
      <c r="R4930" s="539"/>
      <c r="S4930" s="540"/>
      <c r="T4930" s="543"/>
      <c r="U4930" s="673" t="b">
        <v>0</v>
      </c>
      <c r="Z4930" t="b">
        <v>0</v>
      </c>
      <c r="AA4930" t="b">
        <v>0</v>
      </c>
      <c r="AC4930" s="82"/>
      <c r="AD4930" t="str">
        <f t="shared" si="71"/>
        <v/>
      </c>
      <c r="AE4930" t="str">
        <f t="shared" si="72"/>
        <v/>
      </c>
    </row>
    <row r="4931">
      <c r="D4931" s="226"/>
      <c r="H4931" s="474"/>
      <c r="I4931" s="474"/>
      <c r="J4931" s="475"/>
      <c r="K4931" s="275"/>
      <c r="L4931" s="82"/>
      <c r="M4931" s="672"/>
      <c r="N4931" s="242"/>
      <c r="O4931" s="242"/>
      <c r="P4931" s="242"/>
      <c r="Q4931" s="242"/>
      <c r="R4931" s="539"/>
      <c r="S4931" s="540"/>
      <c r="T4931" s="543"/>
      <c r="U4931" s="673" t="b">
        <v>0</v>
      </c>
      <c r="Z4931" t="b">
        <v>0</v>
      </c>
      <c r="AA4931" t="b">
        <v>0</v>
      </c>
      <c r="AC4931" s="82"/>
      <c r="AD4931" t="str">
        <f t="shared" si="71"/>
        <v/>
      </c>
      <c r="AE4931" t="str">
        <f t="shared" si="72"/>
        <v/>
      </c>
    </row>
    <row r="4932">
      <c r="D4932" s="226"/>
      <c r="H4932" s="474"/>
      <c r="I4932" s="474"/>
      <c r="J4932" s="475"/>
      <c r="K4932" s="275"/>
      <c r="L4932" s="82"/>
      <c r="M4932" s="672"/>
      <c r="N4932" s="242"/>
      <c r="O4932" s="242"/>
      <c r="P4932" s="242"/>
      <c r="Q4932" s="242"/>
      <c r="R4932" s="539"/>
      <c r="S4932" s="540"/>
      <c r="T4932" s="543"/>
      <c r="U4932" s="673" t="b">
        <v>0</v>
      </c>
      <c r="Z4932" t="b">
        <v>0</v>
      </c>
      <c r="AA4932" t="b">
        <v>0</v>
      </c>
      <c r="AC4932" s="82"/>
      <c r="AD4932" t="str">
        <f t="shared" si="71"/>
        <v/>
      </c>
      <c r="AE4932" t="str">
        <f t="shared" si="72"/>
        <v/>
      </c>
    </row>
    <row r="4933">
      <c r="D4933" s="226"/>
      <c r="H4933" s="474"/>
      <c r="I4933" s="474"/>
      <c r="J4933" s="475"/>
      <c r="K4933" s="275"/>
      <c r="L4933" s="82"/>
      <c r="M4933" s="672"/>
      <c r="N4933" s="242"/>
      <c r="O4933" s="242"/>
      <c r="P4933" s="242"/>
      <c r="Q4933" s="242"/>
      <c r="R4933" s="539"/>
      <c r="S4933" s="540"/>
      <c r="T4933" s="543"/>
      <c r="U4933" s="673" t="b">
        <v>0</v>
      </c>
      <c r="Z4933" t="b">
        <v>0</v>
      </c>
      <c r="AA4933" t="b">
        <v>0</v>
      </c>
      <c r="AC4933" s="82"/>
      <c r="AD4933" t="str">
        <f t="shared" si="71"/>
        <v/>
      </c>
      <c r="AE4933" t="str">
        <f t="shared" si="72"/>
        <v/>
      </c>
    </row>
    <row r="4934">
      <c r="D4934" s="226"/>
      <c r="H4934" s="474"/>
      <c r="I4934" s="474"/>
      <c r="J4934" s="475"/>
      <c r="K4934" s="275"/>
      <c r="L4934" s="82"/>
      <c r="M4934" s="672"/>
      <c r="N4934" s="242"/>
      <c r="O4934" s="242"/>
      <c r="P4934" s="242"/>
      <c r="Q4934" s="242"/>
      <c r="R4934" s="539"/>
      <c r="S4934" s="540"/>
      <c r="T4934" s="543"/>
      <c r="U4934" s="673" t="b">
        <v>0</v>
      </c>
      <c r="Z4934" t="b">
        <v>0</v>
      </c>
      <c r="AA4934" t="b">
        <v>0</v>
      </c>
      <c r="AC4934" s="82"/>
      <c r="AD4934" t="str">
        <f t="shared" si="71"/>
        <v/>
      </c>
      <c r="AE4934" t="str">
        <f t="shared" si="72"/>
        <v/>
      </c>
    </row>
    <row r="4935">
      <c r="D4935" s="226"/>
      <c r="H4935" s="474"/>
      <c r="I4935" s="474"/>
      <c r="J4935" s="475"/>
      <c r="K4935" s="275"/>
      <c r="L4935" s="82"/>
      <c r="M4935" s="672"/>
      <c r="N4935" s="242"/>
      <c r="O4935" s="242"/>
      <c r="P4935" s="242"/>
      <c r="Q4935" s="242"/>
      <c r="R4935" s="539"/>
      <c r="S4935" s="540"/>
      <c r="T4935" s="543"/>
      <c r="U4935" s="673" t="b">
        <v>0</v>
      </c>
      <c r="Z4935" t="b">
        <v>0</v>
      </c>
      <c r="AA4935" t="b">
        <v>0</v>
      </c>
      <c r="AC4935" s="82"/>
      <c r="AD4935" t="str">
        <f t="shared" si="71"/>
        <v/>
      </c>
      <c r="AE4935" t="str">
        <f t="shared" si="72"/>
        <v/>
      </c>
    </row>
    <row r="4936">
      <c r="D4936" s="226"/>
      <c r="H4936" s="474"/>
      <c r="I4936" s="474"/>
      <c r="J4936" s="475"/>
      <c r="K4936" s="275"/>
      <c r="L4936" s="82"/>
      <c r="M4936" s="672"/>
      <c r="N4936" s="242"/>
      <c r="O4936" s="242"/>
      <c r="P4936" s="242"/>
      <c r="Q4936" s="242"/>
      <c r="R4936" s="539"/>
      <c r="S4936" s="540"/>
      <c r="T4936" s="543"/>
      <c r="U4936" s="673" t="b">
        <v>0</v>
      </c>
      <c r="Z4936" t="b">
        <v>0</v>
      </c>
      <c r="AA4936" t="b">
        <v>0</v>
      </c>
      <c r="AC4936" s="82"/>
      <c r="AD4936" t="str">
        <f t="shared" si="71"/>
        <v/>
      </c>
      <c r="AE4936" t="str">
        <f t="shared" si="72"/>
        <v/>
      </c>
    </row>
    <row r="4937">
      <c r="D4937" s="226"/>
      <c r="H4937" s="474"/>
      <c r="I4937" s="474"/>
      <c r="J4937" s="475"/>
      <c r="K4937" s="275"/>
      <c r="L4937" s="82"/>
      <c r="M4937" s="672"/>
      <c r="N4937" s="242"/>
      <c r="O4937" s="242"/>
      <c r="P4937" s="242"/>
      <c r="Q4937" s="242"/>
      <c r="R4937" s="539"/>
      <c r="S4937" s="540"/>
      <c r="T4937" s="543"/>
      <c r="U4937" s="673" t="b">
        <v>0</v>
      </c>
      <c r="Z4937" t="b">
        <v>0</v>
      </c>
      <c r="AA4937" t="b">
        <v>0</v>
      </c>
      <c r="AC4937" s="82"/>
      <c r="AD4937" t="str">
        <f t="shared" si="71"/>
        <v/>
      </c>
      <c r="AE4937" t="str">
        <f t="shared" si="72"/>
        <v/>
      </c>
    </row>
    <row r="4938">
      <c r="D4938" s="226"/>
      <c r="H4938" s="474"/>
      <c r="I4938" s="474"/>
      <c r="J4938" s="475"/>
      <c r="K4938" s="275"/>
      <c r="L4938" s="82"/>
      <c r="M4938" s="672"/>
      <c r="N4938" s="242"/>
      <c r="O4938" s="242"/>
      <c r="P4938" s="242"/>
      <c r="Q4938" s="242"/>
      <c r="R4938" s="539"/>
      <c r="S4938" s="540"/>
      <c r="T4938" s="543"/>
      <c r="U4938" s="673" t="b">
        <v>0</v>
      </c>
      <c r="Z4938" t="b">
        <v>0</v>
      </c>
      <c r="AA4938" t="b">
        <v>0</v>
      </c>
      <c r="AC4938" s="82"/>
      <c r="AD4938" t="str">
        <f t="shared" si="71"/>
        <v/>
      </c>
      <c r="AE4938" t="str">
        <f t="shared" si="72"/>
        <v/>
      </c>
    </row>
    <row r="4939">
      <c r="D4939" s="226"/>
      <c r="H4939" s="474"/>
      <c r="I4939" s="474"/>
      <c r="J4939" s="475"/>
      <c r="K4939" s="275"/>
      <c r="L4939" s="82"/>
      <c r="M4939" s="672"/>
      <c r="N4939" s="242"/>
      <c r="O4939" s="242"/>
      <c r="P4939" s="242"/>
      <c r="Q4939" s="242"/>
      <c r="R4939" s="539"/>
      <c r="S4939" s="540"/>
      <c r="T4939" s="543"/>
      <c r="U4939" s="673" t="b">
        <v>0</v>
      </c>
      <c r="Z4939" t="b">
        <v>0</v>
      </c>
      <c r="AA4939" t="b">
        <v>0</v>
      </c>
      <c r="AC4939" s="82"/>
      <c r="AD4939" t="str">
        <f t="shared" si="71"/>
        <v/>
      </c>
      <c r="AE4939" t="str">
        <f t="shared" si="72"/>
        <v/>
      </c>
    </row>
    <row r="4940">
      <c r="D4940" s="226"/>
      <c r="H4940" s="474"/>
      <c r="I4940" s="474"/>
      <c r="J4940" s="475"/>
      <c r="K4940" s="275"/>
      <c r="L4940" s="82"/>
      <c r="M4940" s="672"/>
      <c r="N4940" s="242"/>
      <c r="O4940" s="242"/>
      <c r="P4940" s="242"/>
      <c r="Q4940" s="242"/>
      <c r="R4940" s="539"/>
      <c r="S4940" s="540"/>
      <c r="T4940" s="543"/>
      <c r="U4940" s="673" t="b">
        <v>0</v>
      </c>
      <c r="Z4940" t="b">
        <v>0</v>
      </c>
      <c r="AA4940" t="b">
        <v>0</v>
      </c>
      <c r="AC4940" s="82"/>
      <c r="AD4940" t="str">
        <f t="shared" si="71"/>
        <v/>
      </c>
      <c r="AE4940" t="str">
        <f t="shared" si="72"/>
        <v/>
      </c>
    </row>
    <row r="4941">
      <c r="D4941" s="226"/>
      <c r="H4941" s="474"/>
      <c r="I4941" s="474"/>
      <c r="J4941" s="475"/>
      <c r="K4941" s="275"/>
      <c r="L4941" s="82"/>
      <c r="M4941" s="672"/>
      <c r="N4941" s="242"/>
      <c r="O4941" s="242"/>
      <c r="P4941" s="242"/>
      <c r="Q4941" s="242"/>
      <c r="R4941" s="539"/>
      <c r="S4941" s="540"/>
      <c r="T4941" s="543"/>
      <c r="U4941" s="673" t="b">
        <v>0</v>
      </c>
      <c r="Z4941" t="b">
        <v>0</v>
      </c>
      <c r="AA4941" t="b">
        <v>0</v>
      </c>
      <c r="AC4941" s="82"/>
      <c r="AD4941" t="str">
        <f t="shared" si="71"/>
        <v/>
      </c>
      <c r="AE4941" t="str">
        <f t="shared" si="72"/>
        <v/>
      </c>
    </row>
    <row r="4942">
      <c r="D4942" s="226"/>
      <c r="H4942" s="474"/>
      <c r="I4942" s="474"/>
      <c r="J4942" s="475"/>
      <c r="K4942" s="275"/>
      <c r="L4942" s="82"/>
      <c r="M4942" s="672"/>
      <c r="N4942" s="242"/>
      <c r="O4942" s="242"/>
      <c r="P4942" s="242"/>
      <c r="Q4942" s="242"/>
      <c r="R4942" s="539"/>
      <c r="S4942" s="540"/>
      <c r="T4942" s="543"/>
      <c r="U4942" s="673" t="b">
        <v>0</v>
      </c>
      <c r="Z4942" t="b">
        <v>0</v>
      </c>
      <c r="AA4942" t="b">
        <v>0</v>
      </c>
      <c r="AC4942" s="82"/>
      <c r="AD4942" t="str">
        <f t="shared" si="71"/>
        <v/>
      </c>
      <c r="AE4942" t="str">
        <f t="shared" si="72"/>
        <v/>
      </c>
    </row>
    <row r="4943">
      <c r="D4943" s="226"/>
      <c r="H4943" s="474"/>
      <c r="I4943" s="474"/>
      <c r="J4943" s="475"/>
      <c r="K4943" s="275"/>
      <c r="L4943" s="82"/>
      <c r="M4943" s="672"/>
      <c r="N4943" s="242"/>
      <c r="O4943" s="242"/>
      <c r="P4943" s="242"/>
      <c r="Q4943" s="242"/>
      <c r="R4943" s="539"/>
      <c r="S4943" s="540"/>
      <c r="T4943" s="543"/>
      <c r="U4943" s="673" t="b">
        <v>0</v>
      </c>
      <c r="Z4943" t="b">
        <v>0</v>
      </c>
      <c r="AA4943" t="b">
        <v>0</v>
      </c>
      <c r="AC4943" s="82"/>
      <c r="AD4943" t="str">
        <f t="shared" si="71"/>
        <v/>
      </c>
      <c r="AE4943" t="str">
        <f t="shared" si="72"/>
        <v/>
      </c>
    </row>
    <row r="4944">
      <c r="D4944" s="226"/>
      <c r="H4944" s="474"/>
      <c r="I4944" s="474"/>
      <c r="J4944" s="475"/>
      <c r="K4944" s="275"/>
      <c r="L4944" s="82"/>
      <c r="M4944" s="672"/>
      <c r="N4944" s="242"/>
      <c r="O4944" s="242"/>
      <c r="P4944" s="242"/>
      <c r="Q4944" s="242"/>
      <c r="R4944" s="539"/>
      <c r="S4944" s="540"/>
      <c r="T4944" s="543"/>
      <c r="U4944" s="673" t="b">
        <v>0</v>
      </c>
      <c r="Z4944" t="b">
        <v>0</v>
      </c>
      <c r="AA4944" t="b">
        <v>0</v>
      </c>
      <c r="AC4944" s="82"/>
      <c r="AD4944" t="str">
        <f t="shared" si="71"/>
        <v/>
      </c>
      <c r="AE4944" t="str">
        <f t="shared" si="72"/>
        <v/>
      </c>
    </row>
    <row r="4945">
      <c r="D4945" s="226"/>
      <c r="H4945" s="474"/>
      <c r="I4945" s="474"/>
      <c r="J4945" s="475"/>
      <c r="K4945" s="275"/>
      <c r="L4945" s="82"/>
      <c r="M4945" s="672"/>
      <c r="N4945" s="242"/>
      <c r="O4945" s="242"/>
      <c r="P4945" s="242"/>
      <c r="Q4945" s="242"/>
      <c r="R4945" s="539"/>
      <c r="S4945" s="540"/>
      <c r="T4945" s="543"/>
      <c r="U4945" s="673" t="b">
        <v>0</v>
      </c>
      <c r="Z4945" t="b">
        <v>0</v>
      </c>
      <c r="AA4945" t="b">
        <v>0</v>
      </c>
      <c r="AC4945" s="82"/>
      <c r="AD4945" t="str">
        <f t="shared" si="71"/>
        <v/>
      </c>
      <c r="AE4945" t="str">
        <f t="shared" si="72"/>
        <v/>
      </c>
    </row>
    <row r="4946">
      <c r="D4946" s="226"/>
      <c r="H4946" s="474"/>
      <c r="I4946" s="474"/>
      <c r="J4946" s="475"/>
      <c r="K4946" s="275"/>
      <c r="L4946" s="82"/>
      <c r="M4946" s="672"/>
      <c r="N4946" s="242"/>
      <c r="O4946" s="242"/>
      <c r="P4946" s="242"/>
      <c r="Q4946" s="242"/>
      <c r="R4946" s="539"/>
      <c r="S4946" s="540"/>
      <c r="T4946" s="543"/>
      <c r="U4946" s="673" t="b">
        <v>0</v>
      </c>
      <c r="Z4946" t="b">
        <v>0</v>
      </c>
      <c r="AA4946" t="b">
        <v>0</v>
      </c>
      <c r="AC4946" s="82"/>
      <c r="AD4946" t="str">
        <f t="shared" si="71"/>
        <v/>
      </c>
      <c r="AE4946" t="str">
        <f t="shared" si="72"/>
        <v/>
      </c>
    </row>
    <row r="4947">
      <c r="D4947" s="226"/>
      <c r="H4947" s="474"/>
      <c r="I4947" s="474"/>
      <c r="J4947" s="475"/>
      <c r="K4947" s="275"/>
      <c r="L4947" s="82"/>
      <c r="M4947" s="672"/>
      <c r="N4947" s="242"/>
      <c r="O4947" s="242"/>
      <c r="P4947" s="242"/>
      <c r="Q4947" s="242"/>
      <c r="R4947" s="539"/>
      <c r="S4947" s="540"/>
      <c r="T4947" s="543"/>
      <c r="U4947" s="673" t="b">
        <v>0</v>
      </c>
      <c r="Z4947" t="b">
        <v>0</v>
      </c>
      <c r="AA4947" t="b">
        <v>0</v>
      </c>
      <c r="AC4947" s="82"/>
      <c r="AD4947" t="str">
        <f t="shared" si="71"/>
        <v/>
      </c>
      <c r="AE4947" t="str">
        <f t="shared" si="72"/>
        <v/>
      </c>
    </row>
    <row r="4948">
      <c r="D4948" s="226"/>
      <c r="H4948" s="474"/>
      <c r="I4948" s="474"/>
      <c r="J4948" s="475"/>
      <c r="K4948" s="275"/>
      <c r="L4948" s="82"/>
      <c r="M4948" s="672"/>
      <c r="N4948" s="242"/>
      <c r="O4948" s="242"/>
      <c r="P4948" s="242"/>
      <c r="Q4948" s="242"/>
      <c r="R4948" s="539"/>
      <c r="S4948" s="540"/>
      <c r="T4948" s="543"/>
      <c r="U4948" s="673" t="b">
        <v>0</v>
      </c>
      <c r="Z4948" t="b">
        <v>0</v>
      </c>
      <c r="AA4948" t="b">
        <v>0</v>
      </c>
      <c r="AC4948" s="82"/>
      <c r="AD4948" t="str">
        <f t="shared" si="71"/>
        <v/>
      </c>
      <c r="AE4948" t="str">
        <f t="shared" si="72"/>
        <v/>
      </c>
    </row>
    <row r="4949">
      <c r="D4949" s="226"/>
      <c r="H4949" s="474"/>
      <c r="I4949" s="474"/>
      <c r="J4949" s="475"/>
      <c r="K4949" s="275"/>
      <c r="L4949" s="82"/>
      <c r="M4949" s="672"/>
      <c r="N4949" s="242"/>
      <c r="O4949" s="242"/>
      <c r="P4949" s="242"/>
      <c r="Q4949" s="242"/>
      <c r="R4949" s="539"/>
      <c r="S4949" s="540"/>
      <c r="T4949" s="543"/>
      <c r="U4949" s="673" t="b">
        <v>0</v>
      </c>
      <c r="Z4949" t="b">
        <v>0</v>
      </c>
      <c r="AA4949" t="b">
        <v>0</v>
      </c>
      <c r="AC4949" s="82"/>
      <c r="AD4949" t="str">
        <f t="shared" si="71"/>
        <v/>
      </c>
      <c r="AE4949" t="str">
        <f t="shared" si="72"/>
        <v/>
      </c>
    </row>
    <row r="4950">
      <c r="D4950" s="226"/>
      <c r="H4950" s="474"/>
      <c r="I4950" s="474"/>
      <c r="J4950" s="475"/>
      <c r="K4950" s="275"/>
      <c r="L4950" s="82"/>
      <c r="M4950" s="672"/>
      <c r="N4950" s="242"/>
      <c r="O4950" s="242"/>
      <c r="P4950" s="242"/>
      <c r="Q4950" s="242"/>
      <c r="R4950" s="539"/>
      <c r="S4950" s="540"/>
      <c r="T4950" s="543"/>
      <c r="U4950" s="673" t="b">
        <v>0</v>
      </c>
      <c r="Z4950" t="b">
        <v>0</v>
      </c>
      <c r="AA4950" t="b">
        <v>0</v>
      </c>
      <c r="AC4950" s="82"/>
      <c r="AD4950" t="str">
        <f t="shared" si="71"/>
        <v/>
      </c>
      <c r="AE4950" t="str">
        <f t="shared" si="72"/>
        <v/>
      </c>
    </row>
    <row r="4951">
      <c r="D4951" s="226"/>
      <c r="H4951" s="474"/>
      <c r="I4951" s="474"/>
      <c r="J4951" s="475"/>
      <c r="K4951" s="275"/>
      <c r="L4951" s="82"/>
      <c r="M4951" s="672"/>
      <c r="N4951" s="242"/>
      <c r="O4951" s="242"/>
      <c r="P4951" s="242"/>
      <c r="Q4951" s="242"/>
      <c r="R4951" s="539"/>
      <c r="S4951" s="540"/>
      <c r="T4951" s="543"/>
      <c r="U4951" s="673" t="b">
        <v>0</v>
      </c>
      <c r="Z4951" t="b">
        <v>0</v>
      </c>
      <c r="AA4951" t="b">
        <v>0</v>
      </c>
      <c r="AC4951" s="82"/>
      <c r="AD4951" t="str">
        <f t="shared" si="71"/>
        <v/>
      </c>
      <c r="AE4951" t="str">
        <f t="shared" si="72"/>
        <v/>
      </c>
    </row>
    <row r="4952">
      <c r="D4952" s="226"/>
      <c r="H4952" s="474"/>
      <c r="I4952" s="474"/>
      <c r="J4952" s="475"/>
      <c r="K4952" s="275"/>
      <c r="L4952" s="82"/>
      <c r="M4952" s="672"/>
      <c r="N4952" s="242"/>
      <c r="O4952" s="242"/>
      <c r="P4952" s="242"/>
      <c r="Q4952" s="242"/>
      <c r="R4952" s="539"/>
      <c r="S4952" s="540"/>
      <c r="T4952" s="543"/>
      <c r="U4952" s="673" t="b">
        <v>0</v>
      </c>
      <c r="Z4952" t="b">
        <v>0</v>
      </c>
      <c r="AA4952" t="b">
        <v>0</v>
      </c>
      <c r="AC4952" s="82"/>
      <c r="AD4952" t="str">
        <f t="shared" si="71"/>
        <v/>
      </c>
      <c r="AE4952" t="str">
        <f t="shared" si="72"/>
        <v/>
      </c>
    </row>
    <row r="4953">
      <c r="D4953" s="226"/>
      <c r="H4953" s="474"/>
      <c r="I4953" s="474"/>
      <c r="J4953" s="475"/>
      <c r="K4953" s="275"/>
      <c r="L4953" s="82"/>
      <c r="M4953" s="672"/>
      <c r="N4953" s="242"/>
      <c r="O4953" s="242"/>
      <c r="P4953" s="242"/>
      <c r="Q4953" s="242"/>
      <c r="R4953" s="539"/>
      <c r="S4953" s="540"/>
      <c r="T4953" s="543"/>
      <c r="U4953" s="673" t="b">
        <v>0</v>
      </c>
      <c r="Z4953" t="b">
        <v>0</v>
      </c>
      <c r="AA4953" t="b">
        <v>0</v>
      </c>
      <c r="AC4953" s="82"/>
      <c r="AD4953" t="str">
        <f t="shared" si="71"/>
        <v/>
      </c>
      <c r="AE4953" t="str">
        <f t="shared" si="72"/>
        <v/>
      </c>
    </row>
    <row r="4954">
      <c r="D4954" s="226"/>
      <c r="H4954" s="474"/>
      <c r="I4954" s="474"/>
      <c r="J4954" s="475"/>
      <c r="K4954" s="275"/>
      <c r="L4954" s="82"/>
      <c r="M4954" s="672"/>
      <c r="N4954" s="242"/>
      <c r="O4954" s="242"/>
      <c r="P4954" s="242"/>
      <c r="Q4954" s="242"/>
      <c r="R4954" s="539"/>
      <c r="S4954" s="540"/>
      <c r="T4954" s="543"/>
      <c r="U4954" s="673" t="b">
        <v>0</v>
      </c>
      <c r="Z4954" t="b">
        <v>0</v>
      </c>
      <c r="AA4954" t="b">
        <v>0</v>
      </c>
      <c r="AC4954" s="82"/>
      <c r="AD4954" t="str">
        <f t="shared" si="71"/>
        <v/>
      </c>
      <c r="AE4954" t="str">
        <f t="shared" si="72"/>
        <v/>
      </c>
    </row>
    <row r="4955">
      <c r="D4955" s="226"/>
      <c r="H4955" s="474"/>
      <c r="I4955" s="474"/>
      <c r="J4955" s="475"/>
      <c r="K4955" s="275"/>
      <c r="L4955" s="82"/>
      <c r="M4955" s="672"/>
      <c r="N4955" s="242"/>
      <c r="O4955" s="242"/>
      <c r="P4955" s="242"/>
      <c r="Q4955" s="242"/>
      <c r="R4955" s="539"/>
      <c r="S4955" s="540"/>
      <c r="T4955" s="543"/>
      <c r="U4955" s="673" t="b">
        <v>0</v>
      </c>
      <c r="Z4955" t="b">
        <v>0</v>
      </c>
      <c r="AA4955" t="b">
        <v>0</v>
      </c>
      <c r="AC4955" s="82"/>
      <c r="AD4955" t="str">
        <f t="shared" si="71"/>
        <v/>
      </c>
      <c r="AE4955" t="str">
        <f t="shared" si="72"/>
        <v/>
      </c>
    </row>
    <row r="4956">
      <c r="D4956" s="226"/>
      <c r="H4956" s="474"/>
      <c r="I4956" s="474"/>
      <c r="J4956" s="475"/>
      <c r="K4956" s="275"/>
      <c r="L4956" s="82"/>
      <c r="M4956" s="672"/>
      <c r="N4956" s="242"/>
      <c r="O4956" s="242"/>
      <c r="P4956" s="242"/>
      <c r="Q4956" s="242"/>
      <c r="R4956" s="539"/>
      <c r="S4956" s="540"/>
      <c r="T4956" s="543"/>
      <c r="U4956" s="673" t="b">
        <v>0</v>
      </c>
      <c r="Z4956" t="b">
        <v>0</v>
      </c>
      <c r="AA4956" t="b">
        <v>0</v>
      </c>
      <c r="AC4956" s="82"/>
      <c r="AD4956" t="str">
        <f t="shared" si="71"/>
        <v/>
      </c>
      <c r="AE4956" t="str">
        <f t="shared" si="72"/>
        <v/>
      </c>
    </row>
    <row r="4957">
      <c r="D4957" s="226"/>
      <c r="H4957" s="474"/>
      <c r="I4957" s="474"/>
      <c r="J4957" s="475"/>
      <c r="K4957" s="275"/>
      <c r="L4957" s="82"/>
      <c r="M4957" s="672"/>
      <c r="N4957" s="242"/>
      <c r="O4957" s="242"/>
      <c r="P4957" s="242"/>
      <c r="Q4957" s="242"/>
      <c r="R4957" s="539"/>
      <c r="S4957" s="540"/>
      <c r="T4957" s="543"/>
      <c r="U4957" s="673" t="b">
        <v>0</v>
      </c>
      <c r="Z4957" t="b">
        <v>0</v>
      </c>
      <c r="AA4957" t="b">
        <v>0</v>
      </c>
      <c r="AC4957" s="82"/>
      <c r="AD4957" t="str">
        <f t="shared" si="71"/>
        <v/>
      </c>
      <c r="AE4957" t="str">
        <f t="shared" si="72"/>
        <v/>
      </c>
    </row>
    <row r="4958">
      <c r="D4958" s="226"/>
      <c r="H4958" s="474"/>
      <c r="I4958" s="474"/>
      <c r="J4958" s="475"/>
      <c r="K4958" s="275"/>
      <c r="L4958" s="82"/>
      <c r="M4958" s="672"/>
      <c r="N4958" s="242"/>
      <c r="O4958" s="242"/>
      <c r="P4958" s="242"/>
      <c r="Q4958" s="242"/>
      <c r="R4958" s="539"/>
      <c r="S4958" s="540"/>
      <c r="T4958" s="543"/>
      <c r="U4958" s="673" t="b">
        <v>0</v>
      </c>
      <c r="Z4958" t="b">
        <v>0</v>
      </c>
      <c r="AA4958" t="b">
        <v>0</v>
      </c>
      <c r="AC4958" s="82"/>
      <c r="AD4958" t="str">
        <f t="shared" si="71"/>
        <v/>
      </c>
      <c r="AE4958" t="str">
        <f t="shared" si="72"/>
        <v/>
      </c>
    </row>
    <row r="4959">
      <c r="D4959" s="226"/>
      <c r="H4959" s="474"/>
      <c r="I4959" s="474"/>
      <c r="J4959" s="475"/>
      <c r="K4959" s="275"/>
      <c r="L4959" s="82"/>
      <c r="M4959" s="672"/>
      <c r="N4959" s="242"/>
      <c r="O4959" s="242"/>
      <c r="P4959" s="242"/>
      <c r="Q4959" s="242"/>
      <c r="R4959" s="539"/>
      <c r="S4959" s="540"/>
      <c r="T4959" s="543"/>
      <c r="U4959" s="673" t="b">
        <v>0</v>
      </c>
      <c r="Z4959" t="b">
        <v>0</v>
      </c>
      <c r="AA4959" t="b">
        <v>0</v>
      </c>
      <c r="AC4959" s="82"/>
      <c r="AD4959" t="str">
        <f t="shared" si="71"/>
        <v/>
      </c>
      <c r="AE4959" t="str">
        <f t="shared" si="72"/>
        <v/>
      </c>
    </row>
    <row r="4960">
      <c r="D4960" s="226"/>
      <c r="H4960" s="474"/>
      <c r="I4960" s="474"/>
      <c r="J4960" s="475"/>
      <c r="K4960" s="275"/>
      <c r="L4960" s="82"/>
      <c r="M4960" s="672"/>
      <c r="N4960" s="242"/>
      <c r="O4960" s="242"/>
      <c r="P4960" s="242"/>
      <c r="Q4960" s="242"/>
      <c r="R4960" s="539"/>
      <c r="S4960" s="540"/>
      <c r="T4960" s="543"/>
      <c r="U4960" s="673" t="b">
        <v>0</v>
      </c>
      <c r="Z4960" t="b">
        <v>0</v>
      </c>
      <c r="AA4960" t="b">
        <v>0</v>
      </c>
      <c r="AC4960" s="82"/>
      <c r="AD4960" t="str">
        <f t="shared" si="71"/>
        <v/>
      </c>
      <c r="AE4960" t="str">
        <f t="shared" si="72"/>
        <v/>
      </c>
    </row>
    <row r="4961">
      <c r="D4961" s="226"/>
      <c r="H4961" s="474"/>
      <c r="I4961" s="474"/>
      <c r="J4961" s="475"/>
      <c r="K4961" s="275"/>
      <c r="L4961" s="82"/>
      <c r="M4961" s="672"/>
      <c r="N4961" s="242"/>
      <c r="O4961" s="242"/>
      <c r="P4961" s="242"/>
      <c r="Q4961" s="242"/>
      <c r="R4961" s="539"/>
      <c r="S4961" s="540"/>
      <c r="T4961" s="543"/>
      <c r="U4961" s="673" t="b">
        <v>0</v>
      </c>
      <c r="Z4961" t="b">
        <v>0</v>
      </c>
      <c r="AA4961" t="b">
        <v>0</v>
      </c>
      <c r="AC4961" s="82"/>
      <c r="AD4961" t="str">
        <f t="shared" si="71"/>
        <v/>
      </c>
      <c r="AE4961" t="str">
        <f t="shared" si="72"/>
        <v/>
      </c>
    </row>
    <row r="4962">
      <c r="D4962" s="226"/>
      <c r="H4962" s="474"/>
      <c r="I4962" s="474"/>
      <c r="J4962" s="475"/>
      <c r="K4962" s="275"/>
      <c r="L4962" s="82"/>
      <c r="M4962" s="672"/>
      <c r="N4962" s="242"/>
      <c r="O4962" s="242"/>
      <c r="P4962" s="242"/>
      <c r="Q4962" s="242"/>
      <c r="R4962" s="539"/>
      <c r="S4962" s="540"/>
      <c r="T4962" s="543"/>
      <c r="U4962" s="673" t="b">
        <v>0</v>
      </c>
      <c r="Z4962" t="b">
        <v>0</v>
      </c>
      <c r="AA4962" t="b">
        <v>0</v>
      </c>
      <c r="AC4962" s="82"/>
      <c r="AD4962" t="str">
        <f t="shared" si="71"/>
        <v/>
      </c>
      <c r="AE4962" t="str">
        <f t="shared" si="72"/>
        <v/>
      </c>
    </row>
    <row r="4963">
      <c r="D4963" s="226"/>
      <c r="H4963" s="474"/>
      <c r="I4963" s="474"/>
      <c r="J4963" s="475"/>
      <c r="K4963" s="275"/>
      <c r="L4963" s="82"/>
      <c r="M4963" s="672"/>
      <c r="N4963" s="242"/>
      <c r="O4963" s="242"/>
      <c r="P4963" s="242"/>
      <c r="Q4963" s="242"/>
      <c r="R4963" s="539"/>
      <c r="S4963" s="540"/>
      <c r="T4963" s="543"/>
      <c r="U4963" s="673" t="b">
        <v>0</v>
      </c>
      <c r="Z4963" t="b">
        <v>0</v>
      </c>
      <c r="AA4963" t="b">
        <v>0</v>
      </c>
      <c r="AC4963" s="82"/>
      <c r="AD4963" t="str">
        <f t="shared" si="71"/>
        <v/>
      </c>
      <c r="AE4963" t="str">
        <f t="shared" si="72"/>
        <v/>
      </c>
    </row>
    <row r="4964">
      <c r="D4964" s="226"/>
      <c r="H4964" s="474"/>
      <c r="I4964" s="474"/>
      <c r="J4964" s="475"/>
      <c r="K4964" s="275"/>
      <c r="L4964" s="82"/>
      <c r="M4964" s="672"/>
      <c r="N4964" s="242"/>
      <c r="O4964" s="242"/>
      <c r="P4964" s="242"/>
      <c r="Q4964" s="242"/>
      <c r="R4964" s="539"/>
      <c r="S4964" s="540"/>
      <c r="T4964" s="543"/>
      <c r="U4964" s="673" t="b">
        <v>0</v>
      </c>
      <c r="Z4964" t="b">
        <v>0</v>
      </c>
      <c r="AA4964" t="b">
        <v>0</v>
      </c>
      <c r="AC4964" s="82"/>
      <c r="AD4964" t="str">
        <f t="shared" si="71"/>
        <v/>
      </c>
      <c r="AE4964" t="str">
        <f t="shared" si="72"/>
        <v/>
      </c>
    </row>
    <row r="4965">
      <c r="D4965" s="226"/>
      <c r="H4965" s="474"/>
      <c r="I4965" s="474"/>
      <c r="J4965" s="475"/>
      <c r="K4965" s="275"/>
      <c r="L4965" s="82"/>
      <c r="M4965" s="672"/>
      <c r="N4965" s="242"/>
      <c r="O4965" s="242"/>
      <c r="P4965" s="242"/>
      <c r="Q4965" s="242"/>
      <c r="R4965" s="539"/>
      <c r="S4965" s="540"/>
      <c r="T4965" s="543"/>
      <c r="U4965" s="673" t="b">
        <v>0</v>
      </c>
      <c r="Z4965" t="b">
        <v>0</v>
      </c>
      <c r="AA4965" t="b">
        <v>0</v>
      </c>
      <c r="AC4965" s="82"/>
      <c r="AD4965" t="str">
        <f t="shared" si="71"/>
        <v/>
      </c>
      <c r="AE4965" t="str">
        <f t="shared" si="72"/>
        <v/>
      </c>
    </row>
    <row r="4966">
      <c r="D4966" s="226"/>
      <c r="H4966" s="474"/>
      <c r="I4966" s="474"/>
      <c r="J4966" s="475"/>
      <c r="K4966" s="275"/>
      <c r="L4966" s="82"/>
      <c r="M4966" s="672"/>
      <c r="N4966" s="242"/>
      <c r="O4966" s="242"/>
      <c r="P4966" s="242"/>
      <c r="Q4966" s="242"/>
      <c r="R4966" s="539"/>
      <c r="S4966" s="540"/>
      <c r="T4966" s="543"/>
      <c r="U4966" s="673" t="b">
        <v>0</v>
      </c>
      <c r="Z4966" t="b">
        <v>0</v>
      </c>
      <c r="AA4966" t="b">
        <v>0</v>
      </c>
      <c r="AC4966" s="82"/>
      <c r="AD4966" t="str">
        <f t="shared" si="71"/>
        <v/>
      </c>
      <c r="AE4966" t="str">
        <f t="shared" si="72"/>
        <v/>
      </c>
    </row>
    <row r="4967">
      <c r="D4967" s="226"/>
      <c r="H4967" s="474"/>
      <c r="I4967" s="474"/>
      <c r="J4967" s="475"/>
      <c r="K4967" s="275"/>
      <c r="L4967" s="82"/>
      <c r="M4967" s="672"/>
      <c r="N4967" s="242"/>
      <c r="O4967" s="242"/>
      <c r="P4967" s="242"/>
      <c r="Q4967" s="242"/>
      <c r="R4967" s="539"/>
      <c r="S4967" s="540"/>
      <c r="T4967" s="543"/>
      <c r="U4967" s="673" t="b">
        <v>0</v>
      </c>
      <c r="Z4967" t="b">
        <v>0</v>
      </c>
      <c r="AA4967" t="b">
        <v>0</v>
      </c>
      <c r="AC4967" s="82"/>
      <c r="AD4967" t="str">
        <f t="shared" si="71"/>
        <v/>
      </c>
      <c r="AE4967" t="str">
        <f t="shared" si="72"/>
        <v/>
      </c>
    </row>
    <row r="4968">
      <c r="D4968" s="226"/>
      <c r="H4968" s="474"/>
      <c r="I4968" s="474"/>
      <c r="J4968" s="475"/>
      <c r="K4968" s="275"/>
      <c r="L4968" s="82"/>
      <c r="M4968" s="672"/>
      <c r="N4968" s="242"/>
      <c r="O4968" s="242"/>
      <c r="P4968" s="242"/>
      <c r="Q4968" s="242"/>
      <c r="R4968" s="539"/>
      <c r="S4968" s="540"/>
      <c r="T4968" s="543"/>
      <c r="U4968" s="673" t="b">
        <v>0</v>
      </c>
      <c r="Z4968" t="b">
        <v>0</v>
      </c>
      <c r="AA4968" t="b">
        <v>0</v>
      </c>
      <c r="AC4968" s="82"/>
      <c r="AD4968" t="str">
        <f t="shared" si="71"/>
        <v/>
      </c>
      <c r="AE4968" t="str">
        <f t="shared" si="72"/>
        <v/>
      </c>
    </row>
    <row r="4969">
      <c r="D4969" s="226"/>
      <c r="H4969" s="474"/>
      <c r="I4969" s="474"/>
      <c r="J4969" s="475"/>
      <c r="K4969" s="275"/>
      <c r="L4969" s="82"/>
      <c r="M4969" s="672"/>
      <c r="N4969" s="242"/>
      <c r="O4969" s="242"/>
      <c r="P4969" s="242"/>
      <c r="Q4969" s="242"/>
      <c r="R4969" s="539"/>
      <c r="S4969" s="540"/>
      <c r="T4969" s="543"/>
      <c r="U4969" s="673" t="b">
        <v>0</v>
      </c>
      <c r="Z4969" t="b">
        <v>0</v>
      </c>
      <c r="AA4969" t="b">
        <v>0</v>
      </c>
      <c r="AC4969" s="82"/>
      <c r="AD4969" t="str">
        <f t="shared" si="71"/>
        <v/>
      </c>
      <c r="AE4969" t="str">
        <f t="shared" si="72"/>
        <v/>
      </c>
    </row>
    <row r="4970">
      <c r="D4970" s="226"/>
      <c r="H4970" s="474"/>
      <c r="I4970" s="474"/>
      <c r="J4970" s="475"/>
      <c r="K4970" s="275"/>
      <c r="L4970" s="82"/>
      <c r="M4970" s="672"/>
      <c r="N4970" s="242"/>
      <c r="O4970" s="242"/>
      <c r="P4970" s="242"/>
      <c r="Q4970" s="242"/>
      <c r="R4970" s="539"/>
      <c r="S4970" s="540"/>
      <c r="T4970" s="543"/>
      <c r="U4970" s="673" t="b">
        <v>0</v>
      </c>
      <c r="Z4970" t="b">
        <v>0</v>
      </c>
      <c r="AA4970" t="b">
        <v>0</v>
      </c>
      <c r="AC4970" s="82"/>
      <c r="AD4970" t="str">
        <f t="shared" si="71"/>
        <v/>
      </c>
      <c r="AE4970" t="str">
        <f t="shared" si="72"/>
        <v/>
      </c>
    </row>
    <row r="4971">
      <c r="D4971" s="226"/>
      <c r="H4971" s="474"/>
      <c r="I4971" s="474"/>
      <c r="J4971" s="475"/>
      <c r="K4971" s="275"/>
      <c r="L4971" s="82"/>
      <c r="M4971" s="672"/>
      <c r="N4971" s="242"/>
      <c r="O4971" s="242"/>
      <c r="P4971" s="242"/>
      <c r="Q4971" s="242"/>
      <c r="R4971" s="539"/>
      <c r="S4971" s="540"/>
      <c r="T4971" s="543"/>
      <c r="U4971" s="673" t="b">
        <v>0</v>
      </c>
      <c r="Z4971" t="b">
        <v>0</v>
      </c>
      <c r="AA4971" t="b">
        <v>0</v>
      </c>
      <c r="AC4971" s="82"/>
      <c r="AD4971" t="str">
        <f t="shared" si="71"/>
        <v/>
      </c>
      <c r="AE4971" t="str">
        <f t="shared" si="72"/>
        <v/>
      </c>
    </row>
    <row r="4972">
      <c r="D4972" s="226"/>
      <c r="H4972" s="474"/>
      <c r="I4972" s="474"/>
      <c r="J4972" s="475"/>
      <c r="K4972" s="275"/>
      <c r="L4972" s="82"/>
      <c r="M4972" s="672"/>
      <c r="N4972" s="242"/>
      <c r="O4972" s="242"/>
      <c r="P4972" s="242"/>
      <c r="Q4972" s="242"/>
      <c r="R4972" s="539"/>
      <c r="S4972" s="540"/>
      <c r="T4972" s="543"/>
      <c r="U4972" s="673" t="b">
        <v>0</v>
      </c>
      <c r="Z4972" t="b">
        <v>0</v>
      </c>
      <c r="AA4972" t="b">
        <v>0</v>
      </c>
      <c r="AC4972" s="82"/>
      <c r="AD4972" t="str">
        <f t="shared" si="71"/>
        <v/>
      </c>
      <c r="AE4972" t="str">
        <f t="shared" si="72"/>
        <v/>
      </c>
    </row>
    <row r="4973">
      <c r="D4973" s="226"/>
      <c r="H4973" s="474"/>
      <c r="I4973" s="474"/>
      <c r="J4973" s="475"/>
      <c r="K4973" s="275"/>
      <c r="L4973" s="82"/>
      <c r="M4973" s="672"/>
      <c r="N4973" s="242"/>
      <c r="O4973" s="242"/>
      <c r="P4973" s="242"/>
      <c r="Q4973" s="242"/>
      <c r="R4973" s="539"/>
      <c r="S4973" s="540"/>
      <c r="T4973" s="543"/>
      <c r="U4973" s="673" t="b">
        <v>0</v>
      </c>
      <c r="Z4973" t="b">
        <v>0</v>
      </c>
      <c r="AA4973" t="b">
        <v>0</v>
      </c>
      <c r="AC4973" s="82"/>
      <c r="AD4973" t="str">
        <f t="shared" si="71"/>
        <v/>
      </c>
      <c r="AE4973" t="str">
        <f t="shared" si="72"/>
        <v/>
      </c>
    </row>
    <row r="4974">
      <c r="D4974" s="226"/>
      <c r="H4974" s="474"/>
      <c r="I4974" s="474"/>
      <c r="J4974" s="475"/>
      <c r="K4974" s="275"/>
      <c r="L4974" s="82"/>
      <c r="M4974" s="672"/>
      <c r="N4974" s="242"/>
      <c r="O4974" s="242"/>
      <c r="P4974" s="242"/>
      <c r="Q4974" s="242"/>
      <c r="R4974" s="539"/>
      <c r="S4974" s="540"/>
      <c r="T4974" s="543"/>
      <c r="U4974" s="673" t="b">
        <v>0</v>
      </c>
      <c r="Z4974" t="b">
        <v>0</v>
      </c>
      <c r="AA4974" t="b">
        <v>0</v>
      </c>
      <c r="AC4974" s="82"/>
      <c r="AD4974" t="str">
        <f t="shared" si="71"/>
        <v/>
      </c>
      <c r="AE4974" t="str">
        <f t="shared" si="72"/>
        <v/>
      </c>
    </row>
    <row r="4975">
      <c r="D4975" s="226"/>
      <c r="H4975" s="474"/>
      <c r="I4975" s="474"/>
      <c r="J4975" s="475"/>
      <c r="K4975" s="275"/>
      <c r="L4975" s="82"/>
      <c r="M4975" s="672"/>
      <c r="N4975" s="242"/>
      <c r="O4975" s="242"/>
      <c r="P4975" s="242"/>
      <c r="Q4975" s="242"/>
      <c r="R4975" s="539"/>
      <c r="S4975" s="540"/>
      <c r="T4975" s="543"/>
      <c r="U4975" s="673" t="b">
        <v>0</v>
      </c>
      <c r="Z4975" t="b">
        <v>0</v>
      </c>
      <c r="AA4975" t="b">
        <v>0</v>
      </c>
      <c r="AC4975" s="82"/>
      <c r="AD4975" t="str">
        <f t="shared" si="71"/>
        <v/>
      </c>
      <c r="AE4975" t="str">
        <f t="shared" si="72"/>
        <v/>
      </c>
    </row>
    <row r="4976">
      <c r="D4976" s="226"/>
      <c r="H4976" s="474"/>
      <c r="I4976" s="474"/>
      <c r="J4976" s="475"/>
      <c r="K4976" s="275"/>
      <c r="L4976" s="82"/>
      <c r="M4976" s="672"/>
      <c r="N4976" s="242"/>
      <c r="O4976" s="242"/>
      <c r="P4976" s="242"/>
      <c r="Q4976" s="242"/>
      <c r="R4976" s="539"/>
      <c r="S4976" s="540"/>
      <c r="T4976" s="543"/>
      <c r="U4976" s="673" t="b">
        <v>0</v>
      </c>
      <c r="Z4976" t="b">
        <v>0</v>
      </c>
      <c r="AA4976" t="b">
        <v>0</v>
      </c>
      <c r="AC4976" s="82"/>
      <c r="AD4976" t="str">
        <f t="shared" si="71"/>
        <v/>
      </c>
      <c r="AE4976" t="str">
        <f t="shared" si="72"/>
        <v/>
      </c>
    </row>
    <row r="4977">
      <c r="D4977" s="226"/>
      <c r="H4977" s="474"/>
      <c r="I4977" s="474"/>
      <c r="J4977" s="475"/>
      <c r="K4977" s="275"/>
      <c r="L4977" s="82"/>
      <c r="M4977" s="672"/>
      <c r="N4977" s="242"/>
      <c r="O4977" s="242"/>
      <c r="P4977" s="242"/>
      <c r="Q4977" s="242"/>
      <c r="R4977" s="539"/>
      <c r="S4977" s="540"/>
      <c r="T4977" s="543"/>
      <c r="U4977" s="673" t="b">
        <v>0</v>
      </c>
      <c r="Z4977" t="b">
        <v>0</v>
      </c>
      <c r="AA4977" t="b">
        <v>0</v>
      </c>
      <c r="AC4977" s="82"/>
      <c r="AD4977" t="str">
        <f t="shared" si="71"/>
        <v/>
      </c>
      <c r="AE4977" t="str">
        <f t="shared" si="72"/>
        <v/>
      </c>
    </row>
    <row r="4978">
      <c r="D4978" s="226"/>
      <c r="H4978" s="474"/>
      <c r="I4978" s="474"/>
      <c r="J4978" s="475"/>
      <c r="K4978" s="275"/>
      <c r="L4978" s="82"/>
      <c r="M4978" s="672"/>
      <c r="N4978" s="242"/>
      <c r="O4978" s="242"/>
      <c r="P4978" s="242"/>
      <c r="Q4978" s="242"/>
      <c r="R4978" s="539"/>
      <c r="S4978" s="540"/>
      <c r="T4978" s="543"/>
      <c r="U4978" s="673" t="b">
        <v>0</v>
      </c>
      <c r="Z4978" t="b">
        <v>0</v>
      </c>
      <c r="AA4978" t="b">
        <v>0</v>
      </c>
      <c r="AC4978" s="82"/>
      <c r="AD4978" t="str">
        <f t="shared" si="71"/>
        <v/>
      </c>
      <c r="AE4978" t="str">
        <f t="shared" si="72"/>
        <v/>
      </c>
    </row>
    <row r="4979">
      <c r="D4979" s="226"/>
      <c r="H4979" s="474"/>
      <c r="I4979" s="474"/>
      <c r="J4979" s="475"/>
      <c r="K4979" s="275"/>
      <c r="L4979" s="82"/>
      <c r="M4979" s="672"/>
      <c r="N4979" s="242"/>
      <c r="O4979" s="242"/>
      <c r="P4979" s="242"/>
      <c r="Q4979" s="242"/>
      <c r="R4979" s="539"/>
      <c r="S4979" s="540"/>
      <c r="T4979" s="543"/>
      <c r="U4979" s="673" t="b">
        <v>0</v>
      </c>
      <c r="Z4979" t="b">
        <v>0</v>
      </c>
      <c r="AA4979" t="b">
        <v>0</v>
      </c>
      <c r="AC4979" s="82"/>
      <c r="AD4979" t="str">
        <f t="shared" si="71"/>
        <v/>
      </c>
      <c r="AE4979" t="str">
        <f t="shared" si="72"/>
        <v/>
      </c>
    </row>
    <row r="4980">
      <c r="D4980" s="226"/>
      <c r="H4980" s="474"/>
      <c r="I4980" s="474"/>
      <c r="J4980" s="475"/>
      <c r="K4980" s="275"/>
      <c r="L4980" s="82"/>
      <c r="M4980" s="672"/>
      <c r="N4980" s="242"/>
      <c r="O4980" s="242"/>
      <c r="P4980" s="242"/>
      <c r="Q4980" s="242"/>
      <c r="R4980" s="539"/>
      <c r="S4980" s="540"/>
      <c r="T4980" s="543"/>
      <c r="U4980" s="673" t="b">
        <v>0</v>
      </c>
      <c r="Z4980" t="b">
        <v>0</v>
      </c>
      <c r="AA4980" t="b">
        <v>0</v>
      </c>
      <c r="AC4980" s="82"/>
      <c r="AD4980" t="str">
        <f t="shared" si="71"/>
        <v/>
      </c>
      <c r="AE4980" t="str">
        <f t="shared" si="72"/>
        <v/>
      </c>
    </row>
    <row r="4981">
      <c r="D4981" s="226"/>
      <c r="H4981" s="474"/>
      <c r="I4981" s="474"/>
      <c r="J4981" s="475"/>
      <c r="K4981" s="275"/>
      <c r="L4981" s="82"/>
      <c r="M4981" s="672"/>
      <c r="N4981" s="242"/>
      <c r="O4981" s="242"/>
      <c r="P4981" s="242"/>
      <c r="Q4981" s="242"/>
      <c r="R4981" s="539"/>
      <c r="S4981" s="540"/>
      <c r="T4981" s="543"/>
      <c r="U4981" s="673" t="b">
        <v>0</v>
      </c>
      <c r="Z4981" t="b">
        <v>0</v>
      </c>
      <c r="AA4981" t="b">
        <v>0</v>
      </c>
      <c r="AC4981" s="82"/>
      <c r="AD4981" t="str">
        <f t="shared" si="71"/>
        <v/>
      </c>
      <c r="AE4981" t="str">
        <f t="shared" si="72"/>
        <v/>
      </c>
    </row>
    <row r="4982">
      <c r="D4982" s="226"/>
      <c r="H4982" s="474"/>
      <c r="I4982" s="474"/>
      <c r="J4982" s="475"/>
      <c r="K4982" s="275"/>
      <c r="L4982" s="82"/>
      <c r="M4982" s="672"/>
      <c r="N4982" s="242"/>
      <c r="O4982" s="242"/>
      <c r="P4982" s="242"/>
      <c r="Q4982" s="242"/>
      <c r="R4982" s="539"/>
      <c r="S4982" s="540"/>
      <c r="T4982" s="543"/>
      <c r="U4982" s="673" t="b">
        <v>0</v>
      </c>
      <c r="Z4982" t="b">
        <v>0</v>
      </c>
      <c r="AA4982" t="b">
        <v>0</v>
      </c>
      <c r="AC4982" s="82"/>
      <c r="AD4982" t="str">
        <f t="shared" si="71"/>
        <v/>
      </c>
      <c r="AE4982" t="str">
        <f t="shared" si="72"/>
        <v/>
      </c>
    </row>
    <row r="4983">
      <c r="D4983" s="226"/>
      <c r="H4983" s="474"/>
      <c r="I4983" s="474"/>
      <c r="J4983" s="475"/>
      <c r="K4983" s="275"/>
      <c r="L4983" s="82"/>
      <c r="M4983" s="672"/>
      <c r="N4983" s="242"/>
      <c r="O4983" s="242"/>
      <c r="P4983" s="242"/>
      <c r="Q4983" s="242"/>
      <c r="R4983" s="539"/>
      <c r="S4983" s="540"/>
      <c r="T4983" s="543"/>
      <c r="U4983" s="673" t="b">
        <v>0</v>
      </c>
      <c r="Z4983" t="b">
        <v>0</v>
      </c>
      <c r="AA4983" t="b">
        <v>0</v>
      </c>
      <c r="AC4983" s="82"/>
      <c r="AD4983" t="str">
        <f t="shared" si="71"/>
        <v/>
      </c>
      <c r="AE4983" t="str">
        <f t="shared" si="72"/>
        <v/>
      </c>
    </row>
    <row r="4984">
      <c r="D4984" s="226"/>
      <c r="H4984" s="474"/>
      <c r="I4984" s="474"/>
      <c r="J4984" s="475"/>
      <c r="K4984" s="275"/>
      <c r="L4984" s="82"/>
      <c r="M4984" s="672"/>
      <c r="N4984" s="242"/>
      <c r="O4984" s="242"/>
      <c r="P4984" s="242"/>
      <c r="Q4984" s="242"/>
      <c r="R4984" s="539"/>
      <c r="S4984" s="540"/>
      <c r="T4984" s="543"/>
      <c r="U4984" s="673" t="b">
        <v>0</v>
      </c>
      <c r="Z4984" t="b">
        <v>0</v>
      </c>
      <c r="AA4984" t="b">
        <v>0</v>
      </c>
      <c r="AC4984" s="82"/>
      <c r="AD4984" t="str">
        <f t="shared" si="71"/>
        <v/>
      </c>
      <c r="AE4984" t="str">
        <f t="shared" si="72"/>
        <v/>
      </c>
    </row>
    <row r="4985">
      <c r="D4985" s="226"/>
      <c r="H4985" s="474"/>
      <c r="I4985" s="474"/>
      <c r="J4985" s="475"/>
      <c r="K4985" s="275"/>
      <c r="L4985" s="82"/>
      <c r="M4985" s="672"/>
      <c r="N4985" s="242"/>
      <c r="O4985" s="242"/>
      <c r="P4985" s="242"/>
      <c r="Q4985" s="242"/>
      <c r="R4985" s="539"/>
      <c r="S4985" s="540"/>
      <c r="T4985" s="543"/>
      <c r="U4985" s="673" t="b">
        <v>0</v>
      </c>
      <c r="Z4985" t="b">
        <v>0</v>
      </c>
      <c r="AA4985" t="b">
        <v>0</v>
      </c>
      <c r="AC4985" s="82"/>
      <c r="AD4985" t="str">
        <f t="shared" si="71"/>
        <v/>
      </c>
      <c r="AE4985" t="str">
        <f t="shared" si="72"/>
        <v/>
      </c>
    </row>
    <row r="4986">
      <c r="D4986" s="226"/>
      <c r="H4986" s="474"/>
      <c r="I4986" s="474"/>
      <c r="J4986" s="475"/>
      <c r="K4986" s="275"/>
      <c r="L4986" s="82"/>
      <c r="M4986" s="672"/>
      <c r="N4986" s="242"/>
      <c r="O4986" s="242"/>
      <c r="P4986" s="242"/>
      <c r="Q4986" s="242"/>
      <c r="R4986" s="539"/>
      <c r="S4986" s="540"/>
      <c r="T4986" s="543"/>
      <c r="U4986" s="673" t="b">
        <v>0</v>
      </c>
      <c r="Z4986" t="b">
        <v>0</v>
      </c>
      <c r="AA4986" t="b">
        <v>0</v>
      </c>
      <c r="AC4986" s="82"/>
      <c r="AD4986" t="str">
        <f t="shared" si="71"/>
        <v/>
      </c>
      <c r="AE4986" t="str">
        <f t="shared" si="72"/>
        <v/>
      </c>
    </row>
    <row r="4987">
      <c r="D4987" s="226"/>
      <c r="H4987" s="474"/>
      <c r="I4987" s="474"/>
      <c r="J4987" s="475"/>
      <c r="K4987" s="275"/>
      <c r="L4987" s="82"/>
      <c r="M4987" s="672"/>
      <c r="N4987" s="242"/>
      <c r="O4987" s="242"/>
      <c r="P4987" s="242"/>
      <c r="Q4987" s="242"/>
      <c r="R4987" s="539"/>
      <c r="S4987" s="540"/>
      <c r="T4987" s="543"/>
      <c r="U4987" s="673" t="b">
        <v>0</v>
      </c>
      <c r="Z4987" t="b">
        <v>0</v>
      </c>
      <c r="AA4987" t="b">
        <v>0</v>
      </c>
      <c r="AC4987" s="82"/>
      <c r="AD4987" t="str">
        <f t="shared" si="71"/>
        <v/>
      </c>
      <c r="AE4987" t="str">
        <f t="shared" si="72"/>
        <v/>
      </c>
    </row>
    <row r="4988">
      <c r="D4988" s="226"/>
      <c r="H4988" s="474"/>
      <c r="I4988" s="474"/>
      <c r="J4988" s="475"/>
      <c r="K4988" s="275"/>
      <c r="L4988" s="82"/>
      <c r="M4988" s="672"/>
      <c r="N4988" s="242"/>
      <c r="O4988" s="242"/>
      <c r="P4988" s="242"/>
      <c r="Q4988" s="242"/>
      <c r="R4988" s="539"/>
      <c r="S4988" s="540"/>
      <c r="T4988" s="543"/>
      <c r="U4988" s="673" t="b">
        <v>0</v>
      </c>
      <c r="Z4988" t="b">
        <v>0</v>
      </c>
      <c r="AA4988" t="b">
        <v>0</v>
      </c>
      <c r="AC4988" s="82"/>
      <c r="AD4988" t="str">
        <f t="shared" si="71"/>
        <v/>
      </c>
      <c r="AE4988" t="str">
        <f t="shared" si="72"/>
        <v/>
      </c>
    </row>
    <row r="4989">
      <c r="D4989" s="226"/>
      <c r="H4989" s="474"/>
      <c r="I4989" s="474"/>
      <c r="J4989" s="475"/>
      <c r="K4989" s="275"/>
      <c r="L4989" s="82"/>
      <c r="M4989" s="672"/>
      <c r="N4989" s="242"/>
      <c r="O4989" s="242"/>
      <c r="P4989" s="242"/>
      <c r="Q4989" s="242"/>
      <c r="R4989" s="539"/>
      <c r="S4989" s="540"/>
      <c r="T4989" s="543"/>
      <c r="U4989" s="673" t="b">
        <v>0</v>
      </c>
      <c r="Z4989" t="b">
        <v>0</v>
      </c>
      <c r="AA4989" t="b">
        <v>0</v>
      </c>
      <c r="AC4989" s="82"/>
      <c r="AD4989" t="str">
        <f t="shared" si="71"/>
        <v/>
      </c>
      <c r="AE4989" t="str">
        <f t="shared" si="72"/>
        <v/>
      </c>
    </row>
    <row r="4990">
      <c r="D4990" s="226"/>
      <c r="H4990" s="474"/>
      <c r="I4990" s="474"/>
      <c r="J4990" s="475"/>
      <c r="K4990" s="275"/>
      <c r="L4990" s="82"/>
      <c r="M4990" s="672"/>
      <c r="N4990" s="242"/>
      <c r="O4990" s="242"/>
      <c r="P4990" s="242"/>
      <c r="Q4990" s="242"/>
      <c r="R4990" s="539"/>
      <c r="S4990" s="540"/>
      <c r="T4990" s="543"/>
      <c r="U4990" s="673" t="b">
        <v>0</v>
      </c>
      <c r="Z4990" t="b">
        <v>0</v>
      </c>
      <c r="AA4990" t="b">
        <v>0</v>
      </c>
      <c r="AC4990" s="82"/>
      <c r="AD4990" t="str">
        <f t="shared" si="71"/>
        <v/>
      </c>
      <c r="AE4990" t="str">
        <f t="shared" si="72"/>
        <v/>
      </c>
    </row>
    <row r="4991">
      <c r="D4991" s="226"/>
      <c r="H4991" s="474"/>
      <c r="I4991" s="474"/>
      <c r="J4991" s="475"/>
      <c r="K4991" s="275"/>
      <c r="L4991" s="82"/>
      <c r="M4991" s="672"/>
      <c r="N4991" s="242"/>
      <c r="O4991" s="242"/>
      <c r="P4991" s="242"/>
      <c r="Q4991" s="242"/>
      <c r="R4991" s="539"/>
      <c r="S4991" s="540"/>
      <c r="T4991" s="543"/>
      <c r="U4991" s="673" t="b">
        <v>0</v>
      </c>
      <c r="Z4991" t="b">
        <v>0</v>
      </c>
      <c r="AA4991" t="b">
        <v>0</v>
      </c>
      <c r="AC4991" s="82"/>
      <c r="AD4991" t="str">
        <f t="shared" si="71"/>
        <v/>
      </c>
      <c r="AE4991" t="str">
        <f t="shared" si="72"/>
        <v/>
      </c>
    </row>
    <row r="4992">
      <c r="D4992" s="226"/>
      <c r="H4992" s="474"/>
      <c r="I4992" s="474"/>
      <c r="J4992" s="475"/>
      <c r="K4992" s="275"/>
      <c r="L4992" s="82"/>
      <c r="M4992" s="672"/>
      <c r="N4992" s="242"/>
      <c r="O4992" s="242"/>
      <c r="P4992" s="242"/>
      <c r="Q4992" s="242"/>
      <c r="R4992" s="539"/>
      <c r="S4992" s="540"/>
      <c r="T4992" s="543"/>
      <c r="U4992" s="673" t="b">
        <v>0</v>
      </c>
      <c r="Z4992" t="b">
        <v>0</v>
      </c>
      <c r="AA4992" t="b">
        <v>0</v>
      </c>
      <c r="AC4992" s="82"/>
      <c r="AD4992" t="str">
        <f t="shared" si="71"/>
        <v/>
      </c>
      <c r="AE4992" t="str">
        <f t="shared" si="72"/>
        <v/>
      </c>
    </row>
    <row r="4993">
      <c r="D4993" s="226"/>
      <c r="H4993" s="474"/>
      <c r="I4993" s="474"/>
      <c r="J4993" s="475"/>
      <c r="K4993" s="275"/>
      <c r="L4993" s="82"/>
      <c r="M4993" s="672"/>
      <c r="N4993" s="242"/>
      <c r="O4993" s="242"/>
      <c r="P4993" s="242"/>
      <c r="Q4993" s="242"/>
      <c r="R4993" s="539"/>
      <c r="S4993" s="540"/>
      <c r="T4993" s="543"/>
      <c r="U4993" s="673" t="b">
        <v>0</v>
      </c>
      <c r="Z4993" t="b">
        <v>0</v>
      </c>
      <c r="AA4993" t="b">
        <v>0</v>
      </c>
      <c r="AC4993" s="82"/>
      <c r="AD4993" t="str">
        <f t="shared" si="71"/>
        <v/>
      </c>
      <c r="AE4993" t="str">
        <f t="shared" si="72"/>
        <v/>
      </c>
    </row>
    <row r="4994">
      <c r="D4994" s="226"/>
      <c r="H4994" s="474"/>
      <c r="I4994" s="474"/>
      <c r="J4994" s="475"/>
      <c r="K4994" s="275"/>
      <c r="L4994" s="82"/>
      <c r="M4994" s="672"/>
      <c r="N4994" s="242"/>
      <c r="O4994" s="242"/>
      <c r="P4994" s="242"/>
      <c r="Q4994" s="242"/>
      <c r="R4994" s="539"/>
      <c r="S4994" s="540"/>
      <c r="T4994" s="543"/>
      <c r="U4994" s="673" t="b">
        <v>0</v>
      </c>
      <c r="Z4994" t="b">
        <v>0</v>
      </c>
      <c r="AA4994" t="b">
        <v>0</v>
      </c>
      <c r="AC4994" s="82"/>
      <c r="AD4994" t="str">
        <f t="shared" si="71"/>
        <v/>
      </c>
      <c r="AE4994" t="str">
        <f t="shared" si="72"/>
        <v/>
      </c>
    </row>
    <row r="4995">
      <c r="D4995" s="226"/>
      <c r="H4995" s="474"/>
      <c r="I4995" s="474"/>
      <c r="J4995" s="475"/>
      <c r="K4995" s="275"/>
      <c r="L4995" s="82"/>
      <c r="M4995" s="672"/>
      <c r="N4995" s="242"/>
      <c r="O4995" s="242"/>
      <c r="P4995" s="242"/>
      <c r="Q4995" s="242"/>
      <c r="R4995" s="539"/>
      <c r="S4995" s="540"/>
      <c r="T4995" s="543"/>
      <c r="U4995" s="673" t="b">
        <v>0</v>
      </c>
      <c r="Z4995" t="b">
        <v>0</v>
      </c>
      <c r="AA4995" t="b">
        <v>0</v>
      </c>
      <c r="AC4995" s="82"/>
      <c r="AD4995" t="str">
        <f t="shared" si="71"/>
        <v/>
      </c>
      <c r="AE4995" t="str">
        <f t="shared" si="72"/>
        <v/>
      </c>
    </row>
    <row r="4996">
      <c r="D4996" s="226"/>
      <c r="H4996" s="474"/>
      <c r="I4996" s="474"/>
      <c r="J4996" s="475"/>
      <c r="K4996" s="275"/>
      <c r="L4996" s="82"/>
      <c r="M4996" s="672"/>
      <c r="N4996" s="242"/>
      <c r="O4996" s="242"/>
      <c r="P4996" s="242"/>
      <c r="Q4996" s="242"/>
      <c r="R4996" s="539"/>
      <c r="S4996" s="540"/>
      <c r="T4996" s="543"/>
      <c r="U4996" s="673" t="b">
        <v>0</v>
      </c>
      <c r="Z4996" t="b">
        <v>0</v>
      </c>
      <c r="AA4996" t="b">
        <v>0</v>
      </c>
      <c r="AC4996" s="82"/>
      <c r="AD4996" t="str">
        <f t="shared" si="71"/>
        <v/>
      </c>
      <c r="AE4996" t="str">
        <f t="shared" si="72"/>
        <v/>
      </c>
    </row>
    <row r="4997">
      <c r="D4997" s="226"/>
      <c r="H4997" s="474"/>
      <c r="I4997" s="474"/>
      <c r="J4997" s="475"/>
      <c r="K4997" s="275"/>
      <c r="L4997" s="82"/>
      <c r="M4997" s="672"/>
      <c r="N4997" s="242"/>
      <c r="O4997" s="242"/>
      <c r="P4997" s="242"/>
      <c r="Q4997" s="242"/>
      <c r="R4997" s="539"/>
      <c r="S4997" s="540"/>
      <c r="T4997" s="543"/>
      <c r="U4997" s="673" t="b">
        <v>0</v>
      </c>
      <c r="Z4997" t="b">
        <v>0</v>
      </c>
      <c r="AA4997" t="b">
        <v>0</v>
      </c>
      <c r="AC4997" s="82"/>
      <c r="AD4997" t="str">
        <f t="shared" si="71"/>
        <v/>
      </c>
      <c r="AE4997" t="str">
        <f t="shared" si="72"/>
        <v/>
      </c>
    </row>
    <row r="4998">
      <c r="D4998" s="226"/>
      <c r="H4998" s="474"/>
      <c r="I4998" s="474"/>
      <c r="J4998" s="475"/>
      <c r="K4998" s="275"/>
      <c r="L4998" s="82"/>
      <c r="M4998" s="672"/>
      <c r="N4998" s="242"/>
      <c r="O4998" s="242"/>
      <c r="P4998" s="242"/>
      <c r="Q4998" s="242"/>
      <c r="R4998" s="539"/>
      <c r="S4998" s="540"/>
      <c r="T4998" s="543"/>
      <c r="U4998" s="673" t="b">
        <v>0</v>
      </c>
      <c r="Z4998" t="b">
        <v>0</v>
      </c>
      <c r="AA4998" t="b">
        <v>0</v>
      </c>
      <c r="AC4998" s="82"/>
      <c r="AD4998" t="str">
        <f t="shared" si="71"/>
        <v/>
      </c>
      <c r="AE4998" t="str">
        <f t="shared" si="72"/>
        <v/>
      </c>
    </row>
    <row r="4999">
      <c r="D4999" s="226"/>
      <c r="H4999" s="474"/>
      <c r="I4999" s="474"/>
      <c r="J4999" s="475"/>
      <c r="K4999" s="275"/>
      <c r="L4999" s="82"/>
      <c r="M4999" s="672"/>
      <c r="N4999" s="242"/>
      <c r="O4999" s="242"/>
      <c r="P4999" s="242"/>
      <c r="Q4999" s="242"/>
      <c r="R4999" s="539"/>
      <c r="S4999" s="540"/>
      <c r="T4999" s="543"/>
      <c r="U4999" s="673" t="b">
        <v>0</v>
      </c>
      <c r="Z4999" t="b">
        <v>0</v>
      </c>
      <c r="AA4999" t="b">
        <v>0</v>
      </c>
      <c r="AC4999" s="82"/>
      <c r="AD4999" t="str">
        <f t="shared" si="71"/>
        <v/>
      </c>
      <c r="AE4999" t="str">
        <f t="shared" si="72"/>
        <v/>
      </c>
    </row>
    <row r="5000">
      <c r="D5000" s="226"/>
      <c r="H5000" s="474"/>
      <c r="I5000" s="474"/>
      <c r="J5000" s="475"/>
      <c r="K5000" s="275"/>
      <c r="L5000" s="82"/>
      <c r="M5000" s="672"/>
      <c r="N5000" s="242"/>
      <c r="O5000" s="242"/>
      <c r="P5000" s="242"/>
      <c r="Q5000" s="242"/>
      <c r="R5000" s="539"/>
      <c r="S5000" s="540"/>
      <c r="T5000" s="543"/>
      <c r="U5000" s="673" t="b">
        <v>0</v>
      </c>
      <c r="Z5000" t="b">
        <v>0</v>
      </c>
      <c r="AA5000" t="b">
        <v>0</v>
      </c>
      <c r="AC5000" s="82"/>
      <c r="AD5000" t="str">
        <f t="shared" si="71"/>
        <v/>
      </c>
      <c r="AE5000" t="str">
        <f t="shared" si="72"/>
        <v/>
      </c>
    </row>
    <row r="5001">
      <c r="D5001" s="226"/>
      <c r="H5001" s="474"/>
      <c r="I5001" s="474"/>
      <c r="J5001" s="475"/>
      <c r="K5001" s="275"/>
      <c r="L5001" s="82"/>
      <c r="M5001" s="672"/>
      <c r="N5001" s="242"/>
      <c r="O5001" s="242"/>
      <c r="P5001" s="242"/>
      <c r="Q5001" s="242"/>
      <c r="R5001" s="539"/>
      <c r="S5001" s="540"/>
      <c r="T5001" s="543"/>
      <c r="U5001" s="673" t="b">
        <v>0</v>
      </c>
      <c r="Z5001" t="b">
        <v>0</v>
      </c>
      <c r="AA5001" t="b">
        <v>0</v>
      </c>
      <c r="AC5001" s="82"/>
      <c r="AD5001" t="str">
        <f t="shared" si="71"/>
        <v/>
      </c>
      <c r="AE5001" t="str">
        <f t="shared" si="72"/>
        <v/>
      </c>
    </row>
    <row r="5002">
      <c r="D5002" s="226"/>
      <c r="H5002" s="474"/>
      <c r="I5002" s="474"/>
      <c r="J5002" s="475"/>
      <c r="K5002" s="275"/>
      <c r="L5002" s="82"/>
      <c r="M5002" s="672"/>
      <c r="N5002" s="242"/>
      <c r="O5002" s="242"/>
      <c r="P5002" s="242"/>
      <c r="Q5002" s="242"/>
      <c r="R5002" s="539"/>
      <c r="S5002" s="540"/>
      <c r="T5002" s="543"/>
      <c r="U5002" s="673" t="b">
        <v>0</v>
      </c>
      <c r="Z5002" t="b">
        <v>0</v>
      </c>
      <c r="AA5002" t="b">
        <v>0</v>
      </c>
      <c r="AC5002" s="82"/>
      <c r="AD5002" t="str">
        <f t="shared" si="71"/>
        <v/>
      </c>
      <c r="AE5002" t="str">
        <f t="shared" si="72"/>
        <v/>
      </c>
    </row>
    <row r="5003">
      <c r="D5003" s="226"/>
      <c r="H5003" s="474"/>
      <c r="I5003" s="474"/>
      <c r="J5003" s="475"/>
      <c r="K5003" s="275"/>
      <c r="L5003" s="82"/>
      <c r="M5003" s="672"/>
      <c r="N5003" s="242"/>
      <c r="O5003" s="242"/>
      <c r="P5003" s="242"/>
      <c r="Q5003" s="242"/>
      <c r="R5003" s="539"/>
      <c r="S5003" s="540"/>
      <c r="T5003" s="543"/>
      <c r="U5003" s="673" t="b">
        <v>0</v>
      </c>
      <c r="Z5003" t="b">
        <v>0</v>
      </c>
      <c r="AA5003" t="b">
        <v>0</v>
      </c>
      <c r="AC5003" s="82"/>
      <c r="AD5003" t="str">
        <f t="shared" si="71"/>
        <v/>
      </c>
      <c r="AE5003" t="str">
        <f t="shared" si="72"/>
        <v/>
      </c>
    </row>
    <row r="5004">
      <c r="D5004" s="226"/>
      <c r="H5004" s="474"/>
      <c r="I5004" s="474"/>
      <c r="J5004" s="475"/>
      <c r="K5004" s="275"/>
      <c r="L5004" s="82"/>
      <c r="M5004" s="672"/>
      <c r="N5004" s="242"/>
      <c r="O5004" s="242"/>
      <c r="P5004" s="242"/>
      <c r="Q5004" s="242"/>
      <c r="R5004" s="539"/>
      <c r="S5004" s="540"/>
      <c r="T5004" s="543"/>
      <c r="U5004" s="673" t="b">
        <v>0</v>
      </c>
      <c r="Z5004" t="b">
        <v>0</v>
      </c>
      <c r="AA5004" t="b">
        <v>0</v>
      </c>
      <c r="AC5004" s="82"/>
      <c r="AD5004" t="str">
        <f t="shared" si="71"/>
        <v/>
      </c>
      <c r="AE5004" t="str">
        <f t="shared" si="72"/>
        <v/>
      </c>
    </row>
    <row r="5005">
      <c r="D5005" s="226"/>
      <c r="H5005" s="474"/>
      <c r="I5005" s="474"/>
      <c r="J5005" s="475"/>
      <c r="K5005" s="275"/>
      <c r="L5005" s="82"/>
      <c r="M5005" s="672"/>
      <c r="N5005" s="242"/>
      <c r="O5005" s="242"/>
      <c r="P5005" s="242"/>
      <c r="Q5005" s="242"/>
      <c r="R5005" s="539"/>
      <c r="S5005" s="540"/>
      <c r="T5005" s="543"/>
      <c r="U5005" s="673" t="b">
        <v>0</v>
      </c>
      <c r="Z5005" t="b">
        <v>0</v>
      </c>
      <c r="AA5005" t="b">
        <v>0</v>
      </c>
      <c r="AC5005" s="82"/>
      <c r="AD5005" t="str">
        <f t="shared" si="71"/>
        <v/>
      </c>
      <c r="AE5005" t="str">
        <f t="shared" si="72"/>
        <v/>
      </c>
    </row>
    <row r="5006">
      <c r="D5006" s="226"/>
      <c r="H5006" s="474"/>
      <c r="I5006" s="474"/>
      <c r="J5006" s="475"/>
      <c r="K5006" s="275"/>
      <c r="L5006" s="82"/>
      <c r="M5006" s="672"/>
      <c r="N5006" s="242"/>
      <c r="O5006" s="242"/>
      <c r="P5006" s="242"/>
      <c r="Q5006" s="242"/>
      <c r="R5006" s="539"/>
      <c r="S5006" s="540"/>
      <c r="T5006" s="543"/>
      <c r="U5006" s="673" t="b">
        <v>0</v>
      </c>
      <c r="Z5006" t="b">
        <v>0</v>
      </c>
      <c r="AA5006" t="b">
        <v>0</v>
      </c>
      <c r="AC5006" s="82"/>
      <c r="AD5006" t="str">
        <f t="shared" si="71"/>
        <v/>
      </c>
      <c r="AE5006" t="str">
        <f t="shared" si="72"/>
        <v/>
      </c>
    </row>
    <row r="5007">
      <c r="D5007" s="226"/>
      <c r="H5007" s="474"/>
      <c r="I5007" s="474"/>
      <c r="J5007" s="475"/>
      <c r="K5007" s="275"/>
      <c r="L5007" s="82"/>
      <c r="M5007" s="672"/>
      <c r="N5007" s="242"/>
      <c r="O5007" s="242"/>
      <c r="P5007" s="242"/>
      <c r="Q5007" s="242"/>
      <c r="R5007" s="539"/>
      <c r="S5007" s="540"/>
      <c r="T5007" s="543"/>
      <c r="U5007" s="673" t="b">
        <v>0</v>
      </c>
      <c r="Z5007" t="b">
        <v>0</v>
      </c>
      <c r="AA5007" t="b">
        <v>0</v>
      </c>
      <c r="AC5007" s="82"/>
      <c r="AD5007" t="str">
        <f t="shared" si="71"/>
        <v/>
      </c>
      <c r="AE5007" t="str">
        <f t="shared" si="72"/>
        <v/>
      </c>
    </row>
    <row r="5008">
      <c r="D5008" s="226"/>
      <c r="H5008" s="474"/>
      <c r="I5008" s="474"/>
      <c r="J5008" s="475"/>
      <c r="K5008" s="275"/>
      <c r="L5008" s="82"/>
      <c r="M5008" s="672"/>
      <c r="N5008" s="242"/>
      <c r="O5008" s="242"/>
      <c r="P5008" s="242"/>
      <c r="Q5008" s="242"/>
      <c r="R5008" s="539"/>
      <c r="S5008" s="540"/>
      <c r="T5008" s="543"/>
      <c r="U5008" s="673" t="b">
        <v>0</v>
      </c>
      <c r="Z5008" t="b">
        <v>0</v>
      </c>
      <c r="AA5008" t="b">
        <v>0</v>
      </c>
      <c r="AC5008" s="82"/>
      <c r="AD5008" t="str">
        <f t="shared" si="71"/>
        <v/>
      </c>
      <c r="AE5008" t="str">
        <f t="shared" si="72"/>
        <v/>
      </c>
    </row>
    <row r="5009">
      <c r="D5009" s="226"/>
      <c r="H5009" s="474"/>
      <c r="I5009" s="474"/>
      <c r="J5009" s="475"/>
      <c r="K5009" s="275"/>
      <c r="L5009" s="82"/>
      <c r="M5009" s="672"/>
      <c r="N5009" s="242"/>
      <c r="O5009" s="242"/>
      <c r="P5009" s="242"/>
      <c r="Q5009" s="242"/>
      <c r="R5009" s="539"/>
      <c r="S5009" s="540"/>
      <c r="T5009" s="543"/>
      <c r="U5009" s="673" t="b">
        <v>0</v>
      </c>
      <c r="Z5009" t="b">
        <v>0</v>
      </c>
      <c r="AA5009" t="b">
        <v>0</v>
      </c>
      <c r="AC5009" s="82"/>
      <c r="AD5009" t="str">
        <f t="shared" si="71"/>
        <v/>
      </c>
      <c r="AE5009" t="str">
        <f t="shared" si="72"/>
        <v/>
      </c>
    </row>
    <row r="5010">
      <c r="D5010" s="226"/>
      <c r="H5010" s="474"/>
      <c r="I5010" s="474"/>
      <c r="J5010" s="475"/>
      <c r="K5010" s="275"/>
      <c r="L5010" s="82"/>
      <c r="M5010" s="672"/>
      <c r="N5010" s="242"/>
      <c r="O5010" s="242"/>
      <c r="P5010" s="242"/>
      <c r="Q5010" s="242"/>
      <c r="R5010" s="539"/>
      <c r="S5010" s="540"/>
      <c r="T5010" s="543"/>
      <c r="U5010" s="673" t="b">
        <v>0</v>
      </c>
      <c r="Z5010" t="b">
        <v>0</v>
      </c>
      <c r="AA5010" t="b">
        <v>0</v>
      </c>
      <c r="AC5010" s="82"/>
      <c r="AD5010" t="str">
        <f t="shared" si="71"/>
        <v/>
      </c>
      <c r="AE5010" t="str">
        <f t="shared" si="72"/>
        <v/>
      </c>
    </row>
    <row r="5011">
      <c r="D5011" s="226"/>
      <c r="H5011" s="474"/>
      <c r="I5011" s="474"/>
      <c r="J5011" s="475"/>
      <c r="K5011" s="275"/>
      <c r="L5011" s="82"/>
      <c r="M5011" s="672"/>
      <c r="N5011" s="242"/>
      <c r="O5011" s="242"/>
      <c r="P5011" s="242"/>
      <c r="Q5011" s="242"/>
      <c r="R5011" s="539"/>
      <c r="S5011" s="540"/>
      <c r="T5011" s="543"/>
      <c r="U5011" s="673" t="b">
        <v>0</v>
      </c>
      <c r="Z5011" t="b">
        <v>0</v>
      </c>
      <c r="AA5011" t="b">
        <v>0</v>
      </c>
      <c r="AC5011" s="82"/>
      <c r="AD5011" t="str">
        <f t="shared" si="71"/>
        <v/>
      </c>
      <c r="AE5011" t="str">
        <f t="shared" si="72"/>
        <v/>
      </c>
    </row>
    <row r="5012">
      <c r="D5012" s="226"/>
      <c r="H5012" s="474"/>
      <c r="I5012" s="474"/>
      <c r="J5012" s="475"/>
      <c r="K5012" s="275"/>
      <c r="L5012" s="82"/>
      <c r="M5012" s="672"/>
      <c r="N5012" s="242"/>
      <c r="O5012" s="242"/>
      <c r="P5012" s="242"/>
      <c r="Q5012" s="242"/>
      <c r="R5012" s="539"/>
      <c r="S5012" s="540"/>
      <c r="T5012" s="543"/>
      <c r="U5012" s="673" t="b">
        <v>0</v>
      </c>
      <c r="Z5012" t="b">
        <v>0</v>
      </c>
      <c r="AA5012" t="b">
        <v>0</v>
      </c>
      <c r="AC5012" s="82"/>
      <c r="AD5012" t="str">
        <f t="shared" si="71"/>
        <v/>
      </c>
      <c r="AE5012" t="str">
        <f t="shared" si="72"/>
        <v/>
      </c>
    </row>
    <row r="5013">
      <c r="D5013" s="226"/>
      <c r="H5013" s="474"/>
      <c r="I5013" s="474"/>
      <c r="J5013" s="475"/>
      <c r="K5013" s="275"/>
      <c r="L5013" s="82"/>
      <c r="M5013" s="672"/>
      <c r="N5013" s="242"/>
      <c r="O5013" s="242"/>
      <c r="P5013" s="242"/>
      <c r="Q5013" s="242"/>
      <c r="R5013" s="539"/>
      <c r="S5013" s="540"/>
      <c r="T5013" s="543"/>
      <c r="U5013" s="673" t="b">
        <v>0</v>
      </c>
      <c r="Z5013" t="b">
        <v>0</v>
      </c>
      <c r="AA5013" t="b">
        <v>0</v>
      </c>
      <c r="AC5013" s="82"/>
      <c r="AD5013" t="str">
        <f t="shared" si="71"/>
        <v/>
      </c>
      <c r="AE5013" t="str">
        <f t="shared" si="72"/>
        <v/>
      </c>
    </row>
    <row r="5014">
      <c r="D5014" s="226"/>
      <c r="H5014" s="474"/>
      <c r="I5014" s="474"/>
      <c r="J5014" s="475"/>
      <c r="K5014" s="275"/>
      <c r="L5014" s="82"/>
      <c r="M5014" s="672"/>
      <c r="N5014" s="242"/>
      <c r="O5014" s="242"/>
      <c r="P5014" s="242"/>
      <c r="Q5014" s="242"/>
      <c r="R5014" s="539"/>
      <c r="S5014" s="540"/>
      <c r="T5014" s="543"/>
      <c r="U5014" s="673" t="b">
        <v>0</v>
      </c>
      <c r="Z5014" t="b">
        <v>0</v>
      </c>
      <c r="AA5014" t="b">
        <v>0</v>
      </c>
      <c r="AC5014" s="82"/>
      <c r="AD5014" t="str">
        <f t="shared" si="71"/>
        <v/>
      </c>
      <c r="AE5014" t="str">
        <f t="shared" si="72"/>
        <v/>
      </c>
    </row>
    <row r="5015">
      <c r="D5015" s="226"/>
      <c r="H5015" s="474"/>
      <c r="I5015" s="474"/>
      <c r="J5015" s="475"/>
      <c r="K5015" s="275"/>
      <c r="L5015" s="82"/>
      <c r="M5015" s="672"/>
      <c r="N5015" s="242"/>
      <c r="O5015" s="242"/>
      <c r="P5015" s="242"/>
      <c r="Q5015" s="242"/>
      <c r="R5015" s="539"/>
      <c r="S5015" s="540"/>
      <c r="T5015" s="543"/>
      <c r="U5015" s="673" t="b">
        <v>0</v>
      </c>
      <c r="Z5015" t="b">
        <v>0</v>
      </c>
      <c r="AA5015" t="b">
        <v>0</v>
      </c>
      <c r="AC5015" s="82"/>
      <c r="AD5015" t="str">
        <f t="shared" si="71"/>
        <v/>
      </c>
      <c r="AE5015" t="str">
        <f t="shared" si="72"/>
        <v/>
      </c>
    </row>
    <row r="5016">
      <c r="D5016" s="226"/>
      <c r="H5016" s="474"/>
      <c r="I5016" s="474"/>
      <c r="J5016" s="475"/>
      <c r="K5016" s="275"/>
      <c r="L5016" s="82"/>
      <c r="M5016" s="672"/>
      <c r="N5016" s="242"/>
      <c r="O5016" s="242"/>
      <c r="P5016" s="242"/>
      <c r="Q5016" s="242"/>
      <c r="R5016" s="539"/>
      <c r="S5016" s="540"/>
      <c r="T5016" s="543"/>
      <c r="U5016" s="673" t="b">
        <v>0</v>
      </c>
      <c r="Z5016" t="b">
        <v>0</v>
      </c>
      <c r="AA5016" t="b">
        <v>0</v>
      </c>
      <c r="AC5016" s="82"/>
      <c r="AD5016" t="str">
        <f t="shared" si="71"/>
        <v/>
      </c>
      <c r="AE5016" t="str">
        <f t="shared" si="72"/>
        <v/>
      </c>
    </row>
    <row r="5017">
      <c r="D5017" s="226"/>
      <c r="H5017" s="474"/>
      <c r="I5017" s="474"/>
      <c r="J5017" s="475"/>
      <c r="K5017" s="275"/>
      <c r="L5017" s="82"/>
      <c r="M5017" s="672"/>
      <c r="N5017" s="242"/>
      <c r="O5017" s="242"/>
      <c r="P5017" s="242"/>
      <c r="Q5017" s="242"/>
      <c r="R5017" s="539"/>
      <c r="S5017" s="540"/>
      <c r="T5017" s="543"/>
      <c r="U5017" s="673" t="b">
        <v>0</v>
      </c>
      <c r="Z5017" t="b">
        <v>0</v>
      </c>
      <c r="AA5017" t="b">
        <v>0</v>
      </c>
      <c r="AC5017" s="82"/>
      <c r="AD5017" t="str">
        <f t="shared" si="71"/>
        <v/>
      </c>
      <c r="AE5017" t="str">
        <f t="shared" si="72"/>
        <v/>
      </c>
    </row>
    <row r="5018">
      <c r="D5018" s="226"/>
      <c r="H5018" s="474"/>
      <c r="I5018" s="474"/>
      <c r="J5018" s="475"/>
      <c r="K5018" s="275"/>
      <c r="L5018" s="82"/>
      <c r="M5018" s="672"/>
      <c r="N5018" s="242"/>
      <c r="O5018" s="242"/>
      <c r="P5018" s="242"/>
      <c r="Q5018" s="242"/>
      <c r="R5018" s="539"/>
      <c r="S5018" s="540"/>
      <c r="T5018" s="543"/>
      <c r="U5018" s="673" t="b">
        <v>0</v>
      </c>
      <c r="Z5018" t="b">
        <v>0</v>
      </c>
      <c r="AA5018" t="b">
        <v>0</v>
      </c>
      <c r="AC5018" s="82"/>
      <c r="AD5018" t="str">
        <f t="shared" si="71"/>
        <v/>
      </c>
      <c r="AE5018" t="str">
        <f t="shared" si="72"/>
        <v/>
      </c>
    </row>
    <row r="5019">
      <c r="D5019" s="226"/>
      <c r="H5019" s="474"/>
      <c r="I5019" s="474"/>
      <c r="J5019" s="475"/>
      <c r="K5019" s="275"/>
      <c r="L5019" s="82"/>
      <c r="M5019" s="672"/>
      <c r="N5019" s="242"/>
      <c r="O5019" s="242"/>
      <c r="P5019" s="242"/>
      <c r="Q5019" s="242"/>
      <c r="R5019" s="539"/>
      <c r="S5019" s="540"/>
      <c r="T5019" s="543"/>
      <c r="U5019" s="673" t="b">
        <v>0</v>
      </c>
      <c r="Z5019" t="b">
        <v>0</v>
      </c>
      <c r="AA5019" t="b">
        <v>0</v>
      </c>
      <c r="AC5019" s="82"/>
      <c r="AD5019" t="str">
        <f t="shared" si="71"/>
        <v/>
      </c>
      <c r="AE5019" t="str">
        <f t="shared" si="72"/>
        <v/>
      </c>
    </row>
    <row r="5020">
      <c r="D5020" s="226"/>
      <c r="H5020" s="474"/>
      <c r="I5020" s="474"/>
      <c r="J5020" s="475"/>
      <c r="K5020" s="275"/>
      <c r="L5020" s="82"/>
      <c r="M5020" s="672"/>
      <c r="N5020" s="242"/>
      <c r="O5020" s="242"/>
      <c r="P5020" s="242"/>
      <c r="Q5020" s="242"/>
      <c r="R5020" s="539"/>
      <c r="S5020" s="540"/>
      <c r="T5020" s="543"/>
      <c r="U5020" s="673" t="b">
        <v>0</v>
      </c>
      <c r="Z5020" t="b">
        <v>0</v>
      </c>
      <c r="AA5020" t="b">
        <v>0</v>
      </c>
      <c r="AC5020" s="82"/>
      <c r="AD5020" t="str">
        <f t="shared" si="71"/>
        <v/>
      </c>
      <c r="AE5020" t="str">
        <f t="shared" si="72"/>
        <v/>
      </c>
    </row>
    <row r="5021">
      <c r="D5021" s="226"/>
      <c r="H5021" s="474"/>
      <c r="I5021" s="474"/>
      <c r="J5021" s="475"/>
      <c r="K5021" s="275"/>
      <c r="L5021" s="82"/>
      <c r="M5021" s="672"/>
      <c r="N5021" s="242"/>
      <c r="O5021" s="242"/>
      <c r="P5021" s="242"/>
      <c r="Q5021" s="242"/>
      <c r="R5021" s="539"/>
      <c r="S5021" s="540"/>
      <c r="T5021" s="543"/>
      <c r="U5021" s="673" t="b">
        <v>0</v>
      </c>
      <c r="Z5021" t="b">
        <v>0</v>
      </c>
      <c r="AA5021" t="b">
        <v>0</v>
      </c>
      <c r="AC5021" s="82"/>
      <c r="AD5021" t="str">
        <f t="shared" si="71"/>
        <v/>
      </c>
      <c r="AE5021" t="str">
        <f t="shared" si="72"/>
        <v/>
      </c>
    </row>
    <row r="5022">
      <c r="D5022" s="226"/>
      <c r="H5022" s="474"/>
      <c r="I5022" s="474"/>
      <c r="J5022" s="475"/>
      <c r="K5022" s="275"/>
      <c r="L5022" s="82"/>
      <c r="M5022" s="672"/>
      <c r="N5022" s="242"/>
      <c r="O5022" s="242"/>
      <c r="P5022" s="242"/>
      <c r="Q5022" s="242"/>
      <c r="R5022" s="539"/>
      <c r="S5022" s="540"/>
      <c r="T5022" s="543"/>
      <c r="U5022" s="673" t="b">
        <v>0</v>
      </c>
      <c r="Z5022" t="b">
        <v>0</v>
      </c>
      <c r="AA5022" t="b">
        <v>0</v>
      </c>
      <c r="AC5022" s="82"/>
      <c r="AD5022" t="str">
        <f t="shared" si="71"/>
        <v/>
      </c>
      <c r="AE5022" t="str">
        <f t="shared" si="72"/>
        <v/>
      </c>
    </row>
    <row r="5023">
      <c r="D5023" s="226"/>
      <c r="H5023" s="474"/>
      <c r="I5023" s="474"/>
      <c r="J5023" s="475"/>
      <c r="K5023" s="275"/>
      <c r="L5023" s="82"/>
      <c r="M5023" s="672"/>
      <c r="N5023" s="242"/>
      <c r="O5023" s="242"/>
      <c r="P5023" s="242"/>
      <c r="Q5023" s="242"/>
      <c r="R5023" s="539"/>
      <c r="S5023" s="540"/>
      <c r="T5023" s="543"/>
      <c r="U5023" s="673" t="b">
        <v>0</v>
      </c>
      <c r="Z5023" t="b">
        <v>0</v>
      </c>
      <c r="AA5023" t="b">
        <v>0</v>
      </c>
      <c r="AC5023" s="82"/>
      <c r="AD5023" t="str">
        <f t="shared" si="71"/>
        <v/>
      </c>
      <c r="AE5023" t="str">
        <f t="shared" si="72"/>
        <v/>
      </c>
    </row>
    <row r="5024">
      <c r="D5024" s="226"/>
      <c r="H5024" s="474"/>
      <c r="I5024" s="474"/>
      <c r="J5024" s="475"/>
      <c r="K5024" s="275"/>
      <c r="L5024" s="82"/>
      <c r="M5024" s="672"/>
      <c r="N5024" s="242"/>
      <c r="O5024" s="242"/>
      <c r="P5024" s="242"/>
      <c r="Q5024" s="242"/>
      <c r="R5024" s="539"/>
      <c r="S5024" s="540"/>
      <c r="T5024" s="543"/>
      <c r="U5024" s="673" t="b">
        <v>0</v>
      </c>
      <c r="Z5024" t="b">
        <v>0</v>
      </c>
      <c r="AA5024" t="b">
        <v>0</v>
      </c>
      <c r="AC5024" s="82"/>
      <c r="AD5024" t="str">
        <f t="shared" si="71"/>
        <v/>
      </c>
      <c r="AE5024" t="str">
        <f t="shared" si="72"/>
        <v/>
      </c>
    </row>
    <row r="5025">
      <c r="D5025" s="226"/>
      <c r="H5025" s="474"/>
      <c r="I5025" s="474"/>
      <c r="J5025" s="475"/>
      <c r="K5025" s="275"/>
      <c r="L5025" s="82"/>
      <c r="M5025" s="672"/>
      <c r="N5025" s="242"/>
      <c r="O5025" s="242"/>
      <c r="P5025" s="242"/>
      <c r="Q5025" s="242"/>
      <c r="R5025" s="539"/>
      <c r="S5025" s="540"/>
      <c r="T5025" s="543"/>
      <c r="U5025" s="673" t="b">
        <v>0</v>
      </c>
      <c r="Z5025" t="b">
        <v>0</v>
      </c>
      <c r="AA5025" t="b">
        <v>0</v>
      </c>
      <c r="AC5025" s="82"/>
      <c r="AD5025" t="str">
        <f t="shared" si="71"/>
        <v/>
      </c>
      <c r="AE5025" t="str">
        <f t="shared" si="72"/>
        <v/>
      </c>
    </row>
    <row r="5026">
      <c r="D5026" s="226"/>
      <c r="H5026" s="474"/>
      <c r="I5026" s="474"/>
      <c r="J5026" s="475"/>
      <c r="K5026" s="275"/>
      <c r="L5026" s="82"/>
      <c r="M5026" s="672"/>
      <c r="N5026" s="242"/>
      <c r="O5026" s="242"/>
      <c r="P5026" s="242"/>
      <c r="Q5026" s="242"/>
      <c r="R5026" s="539"/>
      <c r="S5026" s="540"/>
      <c r="T5026" s="543"/>
      <c r="U5026" s="673" t="b">
        <v>0</v>
      </c>
      <c r="Z5026" t="b">
        <v>0</v>
      </c>
      <c r="AA5026" t="b">
        <v>0</v>
      </c>
      <c r="AC5026" s="82"/>
      <c r="AD5026" t="str">
        <f t="shared" si="71"/>
        <v/>
      </c>
      <c r="AE5026" t="str">
        <f t="shared" si="72"/>
        <v/>
      </c>
    </row>
    <row r="5027">
      <c r="D5027" s="226"/>
      <c r="H5027" s="474"/>
      <c r="I5027" s="474"/>
      <c r="J5027" s="475"/>
      <c r="K5027" s="275"/>
      <c r="L5027" s="82"/>
      <c r="M5027" s="672"/>
      <c r="N5027" s="242"/>
      <c r="O5027" s="242"/>
      <c r="P5027" s="242"/>
      <c r="Q5027" s="242"/>
      <c r="R5027" s="539"/>
      <c r="S5027" s="540"/>
      <c r="T5027" s="543"/>
      <c r="U5027" s="673" t="b">
        <v>0</v>
      </c>
      <c r="Z5027" t="b">
        <v>0</v>
      </c>
      <c r="AA5027" t="b">
        <v>0</v>
      </c>
      <c r="AC5027" s="82"/>
      <c r="AD5027" t="str">
        <f t="shared" si="71"/>
        <v/>
      </c>
      <c r="AE5027" t="str">
        <f t="shared" si="72"/>
        <v/>
      </c>
    </row>
    <row r="5028">
      <c r="D5028" s="226"/>
      <c r="H5028" s="474"/>
      <c r="I5028" s="474"/>
      <c r="J5028" s="475"/>
      <c r="K5028" s="275"/>
      <c r="L5028" s="82"/>
      <c r="M5028" s="672"/>
      <c r="N5028" s="242"/>
      <c r="O5028" s="242"/>
      <c r="P5028" s="242"/>
      <c r="Q5028" s="242"/>
      <c r="R5028" s="539"/>
      <c r="S5028" s="540"/>
      <c r="T5028" s="543"/>
      <c r="U5028" s="673" t="b">
        <v>0</v>
      </c>
      <c r="Z5028" t="b">
        <v>0</v>
      </c>
      <c r="AA5028" t="b">
        <v>0</v>
      </c>
      <c r="AC5028" s="82"/>
      <c r="AD5028" t="str">
        <f t="shared" si="71"/>
        <v/>
      </c>
      <c r="AE5028" t="str">
        <f t="shared" si="72"/>
        <v/>
      </c>
    </row>
    <row r="5029">
      <c r="D5029" s="226"/>
      <c r="H5029" s="474"/>
      <c r="I5029" s="474"/>
      <c r="J5029" s="475"/>
      <c r="K5029" s="275"/>
      <c r="L5029" s="82"/>
      <c r="M5029" s="672"/>
      <c r="N5029" s="242"/>
      <c r="O5029" s="242"/>
      <c r="P5029" s="242"/>
      <c r="Q5029" s="242"/>
      <c r="R5029" s="539"/>
      <c r="S5029" s="540"/>
      <c r="T5029" s="543"/>
      <c r="U5029" s="673" t="b">
        <v>0</v>
      </c>
      <c r="Z5029" t="b">
        <v>0</v>
      </c>
      <c r="AA5029" t="b">
        <v>0</v>
      </c>
      <c r="AC5029" s="82"/>
      <c r="AD5029" t="str">
        <f t="shared" si="71"/>
        <v/>
      </c>
      <c r="AE5029" t="str">
        <f t="shared" si="72"/>
        <v/>
      </c>
    </row>
    <row r="5030">
      <c r="D5030" s="226"/>
      <c r="H5030" s="474"/>
      <c r="I5030" s="474"/>
      <c r="J5030" s="475"/>
      <c r="K5030" s="275"/>
      <c r="L5030" s="82"/>
      <c r="M5030" s="672"/>
      <c r="N5030" s="242"/>
      <c r="O5030" s="242"/>
      <c r="P5030" s="242"/>
      <c r="Q5030" s="242"/>
      <c r="R5030" s="539"/>
      <c r="S5030" s="540"/>
      <c r="T5030" s="543"/>
      <c r="U5030" s="673" t="b">
        <v>0</v>
      </c>
      <c r="Z5030" t="b">
        <v>0</v>
      </c>
      <c r="AA5030" t="b">
        <v>0</v>
      </c>
      <c r="AC5030" s="82"/>
      <c r="AD5030" t="str">
        <f t="shared" si="71"/>
        <v/>
      </c>
      <c r="AE5030" t="str">
        <f t="shared" si="72"/>
        <v/>
      </c>
    </row>
    <row r="5031">
      <c r="D5031" s="226"/>
      <c r="H5031" s="474"/>
      <c r="I5031" s="474"/>
      <c r="J5031" s="475"/>
      <c r="K5031" s="275"/>
      <c r="L5031" s="82"/>
      <c r="M5031" s="672"/>
      <c r="N5031" s="242"/>
      <c r="O5031" s="242"/>
      <c r="P5031" s="242"/>
      <c r="Q5031" s="242"/>
      <c r="R5031" s="539"/>
      <c r="S5031" s="540"/>
      <c r="T5031" s="543"/>
      <c r="U5031" s="673" t="b">
        <v>0</v>
      </c>
      <c r="Z5031" t="b">
        <v>0</v>
      </c>
      <c r="AA5031" t="b">
        <v>0</v>
      </c>
      <c r="AC5031" s="82"/>
      <c r="AD5031" t="str">
        <f t="shared" si="71"/>
        <v/>
      </c>
      <c r="AE5031" t="str">
        <f t="shared" si="72"/>
        <v/>
      </c>
    </row>
    <row r="5032">
      <c r="D5032" s="226"/>
      <c r="H5032" s="474"/>
      <c r="I5032" s="474"/>
      <c r="J5032" s="475"/>
      <c r="K5032" s="275"/>
      <c r="L5032" s="82"/>
      <c r="M5032" s="672"/>
      <c r="N5032" s="242"/>
      <c r="O5032" s="242"/>
      <c r="P5032" s="242"/>
      <c r="Q5032" s="242"/>
      <c r="R5032" s="539"/>
      <c r="S5032" s="540"/>
      <c r="T5032" s="543"/>
      <c r="U5032" s="673" t="b">
        <v>0</v>
      </c>
      <c r="Z5032" t="b">
        <v>0</v>
      </c>
      <c r="AA5032" t="b">
        <v>0</v>
      </c>
      <c r="AC5032" s="82"/>
      <c r="AD5032" t="str">
        <f t="shared" si="71"/>
        <v/>
      </c>
      <c r="AE5032" t="str">
        <f t="shared" si="72"/>
        <v/>
      </c>
    </row>
    <row r="5033">
      <c r="D5033" s="226"/>
      <c r="H5033" s="474"/>
      <c r="I5033" s="474"/>
      <c r="J5033" s="475"/>
      <c r="K5033" s="275"/>
      <c r="L5033" s="82"/>
      <c r="M5033" s="672"/>
      <c r="N5033" s="242"/>
      <c r="O5033" s="242"/>
      <c r="P5033" s="242"/>
      <c r="Q5033" s="242"/>
      <c r="R5033" s="539"/>
      <c r="S5033" s="540"/>
      <c r="T5033" s="543"/>
      <c r="U5033" s="673" t="b">
        <v>0</v>
      </c>
      <c r="Z5033" t="b">
        <v>0</v>
      </c>
      <c r="AA5033" t="b">
        <v>0</v>
      </c>
      <c r="AC5033" s="82"/>
      <c r="AD5033" t="str">
        <f t="shared" si="71"/>
        <v/>
      </c>
      <c r="AE5033" t="str">
        <f t="shared" si="72"/>
        <v/>
      </c>
    </row>
    <row r="5034">
      <c r="D5034" s="226"/>
      <c r="H5034" s="474"/>
      <c r="I5034" s="474"/>
      <c r="J5034" s="475"/>
      <c r="K5034" s="275"/>
      <c r="L5034" s="82"/>
      <c r="M5034" s="672"/>
      <c r="N5034" s="242"/>
      <c r="O5034" s="242"/>
      <c r="P5034" s="242"/>
      <c r="Q5034" s="242"/>
      <c r="R5034" s="539"/>
      <c r="S5034" s="540"/>
      <c r="T5034" s="543"/>
      <c r="U5034" s="673" t="b">
        <v>0</v>
      </c>
      <c r="Z5034" t="b">
        <v>0</v>
      </c>
      <c r="AA5034" t="b">
        <v>0</v>
      </c>
      <c r="AC5034" s="82"/>
      <c r="AD5034" t="str">
        <f t="shared" si="71"/>
        <v/>
      </c>
      <c r="AE5034" t="str">
        <f t="shared" si="72"/>
        <v/>
      </c>
    </row>
    <row r="5035">
      <c r="D5035" s="226"/>
      <c r="H5035" s="474"/>
      <c r="I5035" s="474"/>
      <c r="J5035" s="475"/>
      <c r="K5035" s="275"/>
      <c r="L5035" s="82"/>
      <c r="M5035" s="672"/>
      <c r="N5035" s="242"/>
      <c r="O5035" s="242"/>
      <c r="P5035" s="242"/>
      <c r="Q5035" s="242"/>
      <c r="R5035" s="539"/>
      <c r="S5035" s="540"/>
      <c r="T5035" s="543"/>
      <c r="U5035" s="673" t="b">
        <v>0</v>
      </c>
      <c r="Z5035" t="b">
        <v>0</v>
      </c>
      <c r="AA5035" t="b">
        <v>0</v>
      </c>
      <c r="AC5035" s="82"/>
      <c r="AD5035" t="str">
        <f t="shared" si="71"/>
        <v/>
      </c>
      <c r="AE5035" t="str">
        <f t="shared" si="72"/>
        <v/>
      </c>
    </row>
    <row r="5036">
      <c r="D5036" s="226"/>
      <c r="H5036" s="474"/>
      <c r="I5036" s="474"/>
      <c r="J5036" s="475"/>
      <c r="K5036" s="275"/>
      <c r="L5036" s="82"/>
      <c r="M5036" s="672"/>
      <c r="N5036" s="242"/>
      <c r="O5036" s="242"/>
      <c r="P5036" s="242"/>
      <c r="Q5036" s="242"/>
      <c r="R5036" s="539"/>
      <c r="S5036" s="540"/>
      <c r="T5036" s="543"/>
      <c r="U5036" s="673" t="b">
        <v>0</v>
      </c>
      <c r="Z5036" t="b">
        <v>0</v>
      </c>
      <c r="AA5036" t="b">
        <v>0</v>
      </c>
      <c r="AC5036" s="82"/>
      <c r="AD5036" t="str">
        <f t="shared" si="71"/>
        <v/>
      </c>
      <c r="AE5036" t="str">
        <f t="shared" si="72"/>
        <v/>
      </c>
    </row>
    <row r="5037">
      <c r="D5037" s="226"/>
      <c r="H5037" s="474"/>
      <c r="I5037" s="474"/>
      <c r="J5037" s="475"/>
      <c r="K5037" s="275"/>
      <c r="L5037" s="82"/>
      <c r="M5037" s="672"/>
      <c r="N5037" s="242"/>
      <c r="O5037" s="242"/>
      <c r="P5037" s="242"/>
      <c r="Q5037" s="242"/>
      <c r="R5037" s="539"/>
      <c r="S5037" s="540"/>
      <c r="T5037" s="543"/>
      <c r="U5037" s="673" t="b">
        <v>0</v>
      </c>
      <c r="Z5037" t="b">
        <v>0</v>
      </c>
      <c r="AA5037" t="b">
        <v>0</v>
      </c>
      <c r="AC5037" s="82"/>
      <c r="AD5037" t="str">
        <f t="shared" si="71"/>
        <v/>
      </c>
      <c r="AE5037" t="str">
        <f t="shared" si="72"/>
        <v/>
      </c>
    </row>
    <row r="5038">
      <c r="D5038" s="226"/>
      <c r="H5038" s="474"/>
      <c r="I5038" s="474"/>
      <c r="J5038" s="475"/>
      <c r="K5038" s="275"/>
      <c r="L5038" s="82"/>
      <c r="M5038" s="672"/>
      <c r="N5038" s="242"/>
      <c r="O5038" s="242"/>
      <c r="P5038" s="242"/>
      <c r="Q5038" s="242"/>
      <c r="R5038" s="539"/>
      <c r="S5038" s="540"/>
      <c r="T5038" s="543"/>
      <c r="U5038" s="673" t="b">
        <v>0</v>
      </c>
      <c r="Z5038" t="b">
        <v>0</v>
      </c>
      <c r="AA5038" t="b">
        <v>0</v>
      </c>
      <c r="AC5038" s="82"/>
      <c r="AD5038" t="str">
        <f t="shared" si="71"/>
        <v/>
      </c>
      <c r="AE5038" t="str">
        <f t="shared" si="72"/>
        <v/>
      </c>
    </row>
    <row r="5039">
      <c r="D5039" s="226"/>
      <c r="H5039" s="474"/>
      <c r="I5039" s="474"/>
      <c r="J5039" s="475"/>
      <c r="K5039" s="275"/>
      <c r="L5039" s="82"/>
      <c r="M5039" s="672"/>
      <c r="N5039" s="242"/>
      <c r="O5039" s="242"/>
      <c r="P5039" s="242"/>
      <c r="Q5039" s="242"/>
      <c r="R5039" s="539"/>
      <c r="S5039" s="540"/>
      <c r="T5039" s="543"/>
      <c r="U5039" s="673" t="b">
        <v>0</v>
      </c>
      <c r="Z5039" t="b">
        <v>0</v>
      </c>
      <c r="AA5039" t="b">
        <v>0</v>
      </c>
      <c r="AC5039" s="82"/>
      <c r="AD5039" t="str">
        <f t="shared" si="71"/>
        <v/>
      </c>
      <c r="AE5039" t="str">
        <f t="shared" si="72"/>
        <v/>
      </c>
    </row>
    <row r="5040">
      <c r="D5040" s="226"/>
      <c r="H5040" s="474"/>
      <c r="I5040" s="474"/>
      <c r="J5040" s="475"/>
      <c r="K5040" s="275"/>
      <c r="L5040" s="82"/>
      <c r="M5040" s="672"/>
      <c r="N5040" s="242"/>
      <c r="O5040" s="242"/>
      <c r="P5040" s="242"/>
      <c r="Q5040" s="242"/>
      <c r="R5040" s="539"/>
      <c r="S5040" s="540"/>
      <c r="T5040" s="543"/>
      <c r="U5040" s="673" t="b">
        <v>0</v>
      </c>
      <c r="Z5040" t="b">
        <v>0</v>
      </c>
      <c r="AA5040" t="b">
        <v>0</v>
      </c>
      <c r="AC5040" s="82"/>
      <c r="AD5040" t="str">
        <f t="shared" si="71"/>
        <v/>
      </c>
      <c r="AE5040" t="str">
        <f t="shared" si="72"/>
        <v/>
      </c>
    </row>
    <row r="5041">
      <c r="D5041" s="226"/>
      <c r="H5041" s="474"/>
      <c r="I5041" s="474"/>
      <c r="J5041" s="475"/>
      <c r="K5041" s="275"/>
      <c r="L5041" s="82"/>
      <c r="M5041" s="672"/>
      <c r="N5041" s="242"/>
      <c r="O5041" s="242"/>
      <c r="P5041" s="242"/>
      <c r="Q5041" s="242"/>
      <c r="R5041" s="539"/>
      <c r="S5041" s="540"/>
      <c r="T5041" s="543"/>
      <c r="U5041" s="673" t="b">
        <v>0</v>
      </c>
      <c r="Z5041" t="b">
        <v>0</v>
      </c>
      <c r="AA5041" t="b">
        <v>0</v>
      </c>
      <c r="AC5041" s="82"/>
      <c r="AD5041" t="str">
        <f t="shared" si="71"/>
        <v/>
      </c>
      <c r="AE5041" t="str">
        <f t="shared" si="72"/>
        <v/>
      </c>
    </row>
    <row r="5042">
      <c r="D5042" s="226"/>
      <c r="H5042" s="474"/>
      <c r="I5042" s="474"/>
      <c r="J5042" s="475"/>
      <c r="K5042" s="275"/>
      <c r="L5042" s="82"/>
      <c r="M5042" s="672"/>
      <c r="N5042" s="242"/>
      <c r="O5042" s="242"/>
      <c r="P5042" s="242"/>
      <c r="Q5042" s="242"/>
      <c r="R5042" s="539"/>
      <c r="S5042" s="540"/>
      <c r="T5042" s="543"/>
      <c r="U5042" s="673" t="b">
        <v>0</v>
      </c>
      <c r="Z5042" t="b">
        <v>0</v>
      </c>
      <c r="AA5042" t="b">
        <v>0</v>
      </c>
      <c r="AC5042" s="82"/>
      <c r="AD5042" t="str">
        <f t="shared" si="71"/>
        <v/>
      </c>
      <c r="AE5042" t="str">
        <f t="shared" si="72"/>
        <v/>
      </c>
    </row>
    <row r="5043">
      <c r="D5043" s="226"/>
      <c r="H5043" s="474"/>
      <c r="I5043" s="474"/>
      <c r="J5043" s="475"/>
      <c r="K5043" s="275"/>
      <c r="L5043" s="82"/>
      <c r="M5043" s="672"/>
      <c r="N5043" s="242"/>
      <c r="O5043" s="242"/>
      <c r="P5043" s="242"/>
      <c r="Q5043" s="242"/>
      <c r="R5043" s="539"/>
      <c r="S5043" s="540"/>
      <c r="T5043" s="543"/>
      <c r="U5043" s="673" t="b">
        <v>0</v>
      </c>
      <c r="Z5043" t="b">
        <v>0</v>
      </c>
      <c r="AA5043" t="b">
        <v>0</v>
      </c>
      <c r="AC5043" s="82"/>
      <c r="AD5043" t="str">
        <f t="shared" si="71"/>
        <v/>
      </c>
      <c r="AE5043" t="str">
        <f t="shared" si="72"/>
        <v/>
      </c>
    </row>
    <row r="5044">
      <c r="D5044" s="226"/>
      <c r="H5044" s="474"/>
      <c r="I5044" s="474"/>
      <c r="J5044" s="475"/>
      <c r="K5044" s="275"/>
      <c r="L5044" s="82"/>
      <c r="M5044" s="672"/>
      <c r="N5044" s="242"/>
      <c r="O5044" s="242"/>
      <c r="P5044" s="242"/>
      <c r="Q5044" s="242"/>
      <c r="R5044" s="539"/>
      <c r="S5044" s="540"/>
      <c r="T5044" s="543"/>
      <c r="U5044" s="673" t="b">
        <v>0</v>
      </c>
      <c r="Z5044" t="b">
        <v>0</v>
      </c>
      <c r="AA5044" t="b">
        <v>0</v>
      </c>
      <c r="AC5044" s="82"/>
      <c r="AD5044" t="str">
        <f t="shared" si="71"/>
        <v/>
      </c>
      <c r="AE5044" t="str">
        <f t="shared" si="72"/>
        <v/>
      </c>
    </row>
    <row r="5045">
      <c r="D5045" s="226"/>
      <c r="H5045" s="474"/>
      <c r="I5045" s="474"/>
      <c r="J5045" s="475"/>
      <c r="K5045" s="275"/>
      <c r="L5045" s="82"/>
      <c r="M5045" s="672"/>
      <c r="N5045" s="242"/>
      <c r="O5045" s="242"/>
      <c r="P5045" s="242"/>
      <c r="Q5045" s="242"/>
      <c r="R5045" s="539"/>
      <c r="S5045" s="540"/>
      <c r="T5045" s="543"/>
      <c r="U5045" s="673" t="b">
        <v>0</v>
      </c>
      <c r="Z5045" t="b">
        <v>0</v>
      </c>
      <c r="AA5045" t="b">
        <v>0</v>
      </c>
      <c r="AC5045" s="82"/>
      <c r="AD5045" t="str">
        <f t="shared" si="71"/>
        <v/>
      </c>
      <c r="AE5045" t="str">
        <f t="shared" si="72"/>
        <v/>
      </c>
    </row>
    <row r="5046">
      <c r="D5046" s="226"/>
      <c r="H5046" s="474"/>
      <c r="I5046" s="474"/>
      <c r="J5046" s="475"/>
      <c r="K5046" s="275"/>
      <c r="L5046" s="82"/>
      <c r="M5046" s="672"/>
      <c r="N5046" s="242"/>
      <c r="O5046" s="242"/>
      <c r="P5046" s="242"/>
      <c r="Q5046" s="242"/>
      <c r="R5046" s="539"/>
      <c r="S5046" s="540"/>
      <c r="T5046" s="543"/>
      <c r="U5046" s="673" t="b">
        <v>0</v>
      </c>
      <c r="Z5046" t="b">
        <v>0</v>
      </c>
      <c r="AA5046" t="b">
        <v>0</v>
      </c>
      <c r="AC5046" s="82"/>
      <c r="AD5046" t="str">
        <f t="shared" si="71"/>
        <v/>
      </c>
      <c r="AE5046" t="str">
        <f t="shared" si="72"/>
        <v/>
      </c>
    </row>
    <row r="5047">
      <c r="D5047" s="226"/>
      <c r="H5047" s="474"/>
      <c r="I5047" s="474"/>
      <c r="J5047" s="475"/>
      <c r="K5047" s="275"/>
      <c r="L5047" s="82"/>
      <c r="M5047" s="672"/>
      <c r="N5047" s="242"/>
      <c r="O5047" s="242"/>
      <c r="P5047" s="242"/>
      <c r="Q5047" s="242"/>
      <c r="R5047" s="539"/>
      <c r="S5047" s="540"/>
      <c r="T5047" s="543"/>
      <c r="U5047" s="673" t="b">
        <v>0</v>
      </c>
      <c r="Z5047" t="b">
        <v>0</v>
      </c>
      <c r="AA5047" t="b">
        <v>0</v>
      </c>
      <c r="AC5047" s="82"/>
      <c r="AD5047" t="str">
        <f t="shared" si="71"/>
        <v/>
      </c>
      <c r="AE5047" t="str">
        <f t="shared" si="72"/>
        <v/>
      </c>
    </row>
    <row r="5048">
      <c r="D5048" s="226"/>
      <c r="H5048" s="474"/>
      <c r="I5048" s="474"/>
      <c r="J5048" s="475"/>
      <c r="K5048" s="275"/>
      <c r="L5048" s="82"/>
      <c r="M5048" s="672"/>
      <c r="N5048" s="242"/>
      <c r="O5048" s="242"/>
      <c r="P5048" s="242"/>
      <c r="Q5048" s="242"/>
      <c r="R5048" s="539"/>
      <c r="S5048" s="540"/>
      <c r="T5048" s="543"/>
      <c r="U5048" s="673" t="b">
        <v>0</v>
      </c>
      <c r="Z5048" t="b">
        <v>0</v>
      </c>
      <c r="AA5048" t="b">
        <v>0</v>
      </c>
      <c r="AC5048" s="82"/>
      <c r="AD5048" t="str">
        <f t="shared" si="71"/>
        <v/>
      </c>
      <c r="AE5048" t="str">
        <f t="shared" si="72"/>
        <v/>
      </c>
    </row>
    <row r="5049">
      <c r="D5049" s="226"/>
      <c r="H5049" s="474"/>
      <c r="I5049" s="474"/>
      <c r="J5049" s="475"/>
      <c r="K5049" s="275"/>
      <c r="L5049" s="82"/>
      <c r="M5049" s="672"/>
      <c r="N5049" s="242"/>
      <c r="O5049" s="242"/>
      <c r="P5049" s="242"/>
      <c r="Q5049" s="242"/>
      <c r="R5049" s="539"/>
      <c r="S5049" s="540"/>
      <c r="T5049" s="543"/>
      <c r="U5049" s="673" t="b">
        <v>0</v>
      </c>
      <c r="Z5049" t="b">
        <v>0</v>
      </c>
      <c r="AA5049" t="b">
        <v>0</v>
      </c>
      <c r="AC5049" s="82"/>
      <c r="AD5049" t="str">
        <f t="shared" si="71"/>
        <v/>
      </c>
      <c r="AE5049" t="str">
        <f t="shared" si="72"/>
        <v/>
      </c>
    </row>
    <row r="5050">
      <c r="D5050" s="226"/>
      <c r="H5050" s="474"/>
      <c r="I5050" s="474"/>
      <c r="J5050" s="475"/>
      <c r="K5050" s="275"/>
      <c r="L5050" s="82"/>
      <c r="M5050" s="672"/>
      <c r="N5050" s="242"/>
      <c r="O5050" s="242"/>
      <c r="P5050" s="242"/>
      <c r="Q5050" s="242"/>
      <c r="R5050" s="539"/>
      <c r="S5050" s="540"/>
      <c r="T5050" s="543"/>
      <c r="U5050" s="673" t="b">
        <v>0</v>
      </c>
      <c r="Z5050" t="b">
        <v>0</v>
      </c>
      <c r="AA5050" t="b">
        <v>0</v>
      </c>
      <c r="AC5050" s="82"/>
      <c r="AD5050" t="str">
        <f t="shared" si="71"/>
        <v/>
      </c>
      <c r="AE5050" t="str">
        <f t="shared" si="72"/>
        <v/>
      </c>
    </row>
    <row r="5051">
      <c r="D5051" s="226"/>
      <c r="H5051" s="474"/>
      <c r="I5051" s="474"/>
      <c r="J5051" s="475"/>
      <c r="K5051" s="275"/>
      <c r="L5051" s="82"/>
      <c r="M5051" s="672"/>
      <c r="N5051" s="242"/>
      <c r="O5051" s="242"/>
      <c r="P5051" s="242"/>
      <c r="Q5051" s="242"/>
      <c r="R5051" s="539"/>
      <c r="S5051" s="540"/>
      <c r="T5051" s="543"/>
      <c r="U5051" s="673" t="b">
        <v>0</v>
      </c>
      <c r="Z5051" t="b">
        <v>0</v>
      </c>
      <c r="AA5051" t="b">
        <v>0</v>
      </c>
      <c r="AC5051" s="82"/>
      <c r="AD5051" t="str">
        <f t="shared" si="71"/>
        <v/>
      </c>
      <c r="AE5051" t="str">
        <f t="shared" si="72"/>
        <v/>
      </c>
    </row>
    <row r="5052">
      <c r="D5052" s="226"/>
      <c r="H5052" s="474"/>
      <c r="I5052" s="474"/>
      <c r="J5052" s="475"/>
      <c r="K5052" s="275"/>
      <c r="L5052" s="82"/>
      <c r="M5052" s="672"/>
      <c r="N5052" s="242"/>
      <c r="O5052" s="242"/>
      <c r="P5052" s="242"/>
      <c r="Q5052" s="242"/>
      <c r="R5052" s="539"/>
      <c r="S5052" s="540"/>
      <c r="T5052" s="543"/>
      <c r="U5052" s="673" t="b">
        <v>0</v>
      </c>
      <c r="Z5052" t="b">
        <v>0</v>
      </c>
      <c r="AA5052" t="b">
        <v>0</v>
      </c>
      <c r="AC5052" s="82"/>
      <c r="AD5052" t="str">
        <f t="shared" si="71"/>
        <v/>
      </c>
      <c r="AE5052" t="str">
        <f t="shared" si="72"/>
        <v/>
      </c>
    </row>
    <row r="5053">
      <c r="D5053" s="226"/>
      <c r="H5053" s="474"/>
      <c r="I5053" s="474"/>
      <c r="J5053" s="475"/>
      <c r="K5053" s="275"/>
      <c r="L5053" s="82"/>
      <c r="M5053" s="672"/>
      <c r="N5053" s="242"/>
      <c r="O5053" s="242"/>
      <c r="P5053" s="242"/>
      <c r="Q5053" s="242"/>
      <c r="R5053" s="539"/>
      <c r="S5053" s="540"/>
      <c r="T5053" s="543"/>
      <c r="U5053" s="673" t="b">
        <v>0</v>
      </c>
      <c r="Z5053" t="b">
        <v>0</v>
      </c>
      <c r="AA5053" t="b">
        <v>0</v>
      </c>
      <c r="AC5053" s="82"/>
      <c r="AD5053" t="str">
        <f t="shared" si="71"/>
        <v/>
      </c>
      <c r="AE5053" t="str">
        <f t="shared" si="72"/>
        <v/>
      </c>
    </row>
    <row r="5054">
      <c r="D5054" s="226"/>
      <c r="H5054" s="474"/>
      <c r="I5054" s="474"/>
      <c r="J5054" s="475"/>
      <c r="K5054" s="275"/>
      <c r="L5054" s="82"/>
      <c r="M5054" s="672"/>
      <c r="N5054" s="242"/>
      <c r="O5054" s="242"/>
      <c r="P5054" s="242"/>
      <c r="Q5054" s="242"/>
      <c r="R5054" s="539"/>
      <c r="S5054" s="540"/>
      <c r="T5054" s="543"/>
      <c r="U5054" s="673" t="b">
        <v>0</v>
      </c>
      <c r="Z5054" t="b">
        <v>0</v>
      </c>
      <c r="AA5054" t="b">
        <v>0</v>
      </c>
      <c r="AC5054" s="82"/>
      <c r="AD5054" t="str">
        <f t="shared" si="71"/>
        <v/>
      </c>
      <c r="AE5054" t="str">
        <f t="shared" si="72"/>
        <v/>
      </c>
    </row>
    <row r="5055">
      <c r="D5055" s="226"/>
      <c r="H5055" s="474"/>
      <c r="I5055" s="474"/>
      <c r="J5055" s="475"/>
      <c r="K5055" s="275"/>
      <c r="L5055" s="82"/>
      <c r="M5055" s="672"/>
      <c r="N5055" s="242"/>
      <c r="O5055" s="242"/>
      <c r="P5055" s="242"/>
      <c r="Q5055" s="242"/>
      <c r="R5055" s="539"/>
      <c r="S5055" s="540"/>
      <c r="T5055" s="543"/>
      <c r="U5055" s="673" t="b">
        <v>0</v>
      </c>
      <c r="Z5055" t="b">
        <v>0</v>
      </c>
      <c r="AA5055" t="b">
        <v>0</v>
      </c>
      <c r="AC5055" s="82"/>
      <c r="AD5055" t="str">
        <f t="shared" si="71"/>
        <v/>
      </c>
      <c r="AE5055" t="str">
        <f t="shared" si="72"/>
        <v/>
      </c>
    </row>
    <row r="5056">
      <c r="D5056" s="226"/>
      <c r="H5056" s="474"/>
      <c r="I5056" s="474"/>
      <c r="J5056" s="475"/>
      <c r="K5056" s="275"/>
      <c r="L5056" s="82"/>
      <c r="M5056" s="672"/>
      <c r="N5056" s="242"/>
      <c r="O5056" s="242"/>
      <c r="P5056" s="242"/>
      <c r="Q5056" s="242"/>
      <c r="R5056" s="539"/>
      <c r="S5056" s="540"/>
      <c r="T5056" s="543"/>
      <c r="U5056" s="673" t="b">
        <v>0</v>
      </c>
      <c r="Z5056" t="b">
        <v>0</v>
      </c>
      <c r="AA5056" t="b">
        <v>0</v>
      </c>
      <c r="AC5056" s="82"/>
      <c r="AD5056" t="str">
        <f t="shared" si="71"/>
        <v/>
      </c>
      <c r="AE5056" t="str">
        <f t="shared" si="72"/>
        <v/>
      </c>
    </row>
    <row r="5057">
      <c r="D5057" s="226"/>
      <c r="H5057" s="474"/>
      <c r="I5057" s="474"/>
      <c r="J5057" s="475"/>
      <c r="K5057" s="275"/>
      <c r="L5057" s="82"/>
      <c r="M5057" s="672"/>
      <c r="N5057" s="242"/>
      <c r="O5057" s="242"/>
      <c r="P5057" s="242"/>
      <c r="Q5057" s="242"/>
      <c r="R5057" s="539"/>
      <c r="S5057" s="540"/>
      <c r="T5057" s="543"/>
      <c r="U5057" s="673" t="b">
        <v>0</v>
      </c>
      <c r="Z5057" t="b">
        <v>0</v>
      </c>
      <c r="AA5057" t="b">
        <v>0</v>
      </c>
      <c r="AC5057" s="82"/>
      <c r="AD5057" t="str">
        <f t="shared" si="71"/>
        <v/>
      </c>
      <c r="AE5057" t="str">
        <f t="shared" si="72"/>
        <v/>
      </c>
    </row>
    <row r="5058">
      <c r="D5058" s="226"/>
      <c r="H5058" s="474"/>
      <c r="I5058" s="474"/>
      <c r="J5058" s="475"/>
      <c r="K5058" s="275"/>
      <c r="L5058" s="82"/>
      <c r="M5058" s="672"/>
      <c r="N5058" s="242"/>
      <c r="O5058" s="242"/>
      <c r="P5058" s="242"/>
      <c r="Q5058" s="242"/>
      <c r="R5058" s="539"/>
      <c r="S5058" s="540"/>
      <c r="T5058" s="543"/>
      <c r="U5058" s="673" t="b">
        <v>0</v>
      </c>
      <c r="Z5058" t="b">
        <v>0</v>
      </c>
      <c r="AA5058" t="b">
        <v>0</v>
      </c>
      <c r="AC5058" s="82"/>
      <c r="AD5058" t="str">
        <f t="shared" si="71"/>
        <v/>
      </c>
      <c r="AE5058" t="str">
        <f t="shared" si="72"/>
        <v/>
      </c>
    </row>
    <row r="5059">
      <c r="D5059" s="226"/>
      <c r="H5059" s="474"/>
      <c r="I5059" s="474"/>
      <c r="J5059" s="475"/>
      <c r="K5059" s="275"/>
      <c r="L5059" s="82"/>
      <c r="M5059" s="672"/>
      <c r="N5059" s="242"/>
      <c r="O5059" s="242"/>
      <c r="P5059" s="242"/>
      <c r="Q5059" s="242"/>
      <c r="R5059" s="539"/>
      <c r="S5059" s="540"/>
      <c r="T5059" s="543"/>
      <c r="U5059" s="673" t="b">
        <v>0</v>
      </c>
      <c r="Z5059" t="b">
        <v>0</v>
      </c>
      <c r="AA5059" t="b">
        <v>0</v>
      </c>
      <c r="AC5059" s="82"/>
      <c r="AD5059" t="str">
        <f t="shared" si="71"/>
        <v/>
      </c>
      <c r="AE5059" t="str">
        <f t="shared" si="72"/>
        <v/>
      </c>
    </row>
    <row r="5060">
      <c r="D5060" s="226"/>
      <c r="H5060" s="474"/>
      <c r="I5060" s="474"/>
      <c r="J5060" s="475"/>
      <c r="K5060" s="275"/>
      <c r="L5060" s="82"/>
      <c r="M5060" s="672"/>
      <c r="N5060" s="242"/>
      <c r="O5060" s="242"/>
      <c r="P5060" s="242"/>
      <c r="Q5060" s="242"/>
      <c r="R5060" s="539"/>
      <c r="S5060" s="540"/>
      <c r="T5060" s="543"/>
      <c r="U5060" s="673" t="b">
        <v>0</v>
      </c>
      <c r="Z5060" t="b">
        <v>0</v>
      </c>
      <c r="AA5060" t="b">
        <v>0</v>
      </c>
      <c r="AC5060" s="82"/>
      <c r="AD5060" t="str">
        <f t="shared" si="71"/>
        <v/>
      </c>
      <c r="AE5060" t="str">
        <f t="shared" si="72"/>
        <v/>
      </c>
    </row>
    <row r="5061">
      <c r="D5061" s="226"/>
      <c r="H5061" s="474"/>
      <c r="I5061" s="474"/>
      <c r="J5061" s="475"/>
      <c r="K5061" s="275"/>
      <c r="L5061" s="82"/>
      <c r="M5061" s="672"/>
      <c r="N5061" s="242"/>
      <c r="O5061" s="242"/>
      <c r="P5061" s="242"/>
      <c r="Q5061" s="242"/>
      <c r="R5061" s="539"/>
      <c r="S5061" s="540"/>
      <c r="T5061" s="543"/>
      <c r="U5061" s="673" t="b">
        <v>0</v>
      </c>
      <c r="Z5061" t="b">
        <v>0</v>
      </c>
      <c r="AA5061" t="b">
        <v>0</v>
      </c>
      <c r="AC5061" s="82"/>
      <c r="AD5061" t="str">
        <f t="shared" si="71"/>
        <v/>
      </c>
      <c r="AE5061" t="str">
        <f t="shared" si="72"/>
        <v/>
      </c>
    </row>
    <row r="5062">
      <c r="D5062" s="226"/>
      <c r="H5062" s="474"/>
      <c r="I5062" s="474"/>
      <c r="J5062" s="475"/>
      <c r="K5062" s="275"/>
      <c r="L5062" s="82"/>
      <c r="M5062" s="672"/>
      <c r="N5062" s="242"/>
      <c r="O5062" s="242"/>
      <c r="P5062" s="242"/>
      <c r="Q5062" s="242"/>
      <c r="R5062" s="539"/>
      <c r="S5062" s="540"/>
      <c r="T5062" s="543"/>
      <c r="U5062" s="673" t="b">
        <v>0</v>
      </c>
      <c r="Z5062" t="b">
        <v>0</v>
      </c>
      <c r="AA5062" t="b">
        <v>0</v>
      </c>
      <c r="AC5062" s="82"/>
      <c r="AD5062" t="str">
        <f t="shared" si="71"/>
        <v/>
      </c>
      <c r="AE5062" t="str">
        <f t="shared" si="72"/>
        <v/>
      </c>
    </row>
    <row r="5063">
      <c r="D5063" s="226"/>
      <c r="H5063" s="474"/>
      <c r="I5063" s="474"/>
      <c r="J5063" s="475"/>
      <c r="K5063" s="275"/>
      <c r="L5063" s="82"/>
      <c r="M5063" s="672"/>
      <c r="N5063" s="242"/>
      <c r="O5063" s="242"/>
      <c r="P5063" s="242"/>
      <c r="Q5063" s="242"/>
      <c r="R5063" s="539"/>
      <c r="S5063" s="540"/>
      <c r="T5063" s="543"/>
      <c r="U5063" s="673" t="b">
        <v>0</v>
      </c>
      <c r="Z5063" t="b">
        <v>0</v>
      </c>
      <c r="AA5063" t="b">
        <v>0</v>
      </c>
      <c r="AC5063" s="82"/>
      <c r="AD5063" t="str">
        <f t="shared" si="71"/>
        <v/>
      </c>
      <c r="AE5063" t="str">
        <f t="shared" si="72"/>
        <v/>
      </c>
    </row>
    <row r="5064">
      <c r="D5064" s="226"/>
      <c r="H5064" s="474"/>
      <c r="I5064" s="474"/>
      <c r="J5064" s="475"/>
      <c r="K5064" s="275"/>
      <c r="L5064" s="82"/>
      <c r="M5064" s="672"/>
      <c r="N5064" s="242"/>
      <c r="O5064" s="242"/>
      <c r="P5064" s="242"/>
      <c r="Q5064" s="242"/>
      <c r="R5064" s="539"/>
      <c r="S5064" s="540"/>
      <c r="T5064" s="543"/>
      <c r="U5064" s="673" t="b">
        <v>0</v>
      </c>
      <c r="Z5064" t="b">
        <v>0</v>
      </c>
      <c r="AA5064" t="b">
        <v>0</v>
      </c>
      <c r="AC5064" s="82"/>
      <c r="AD5064" t="str">
        <f t="shared" si="71"/>
        <v/>
      </c>
      <c r="AE5064" t="str">
        <f t="shared" si="72"/>
        <v/>
      </c>
    </row>
    <row r="5065">
      <c r="D5065" s="226"/>
      <c r="H5065" s="474"/>
      <c r="I5065" s="474"/>
      <c r="J5065" s="475"/>
      <c r="K5065" s="275"/>
      <c r="L5065" s="82"/>
      <c r="M5065" s="672"/>
      <c r="N5065" s="242"/>
      <c r="O5065" s="242"/>
      <c r="P5065" s="242"/>
      <c r="Q5065" s="242"/>
      <c r="R5065" s="539"/>
      <c r="S5065" s="540"/>
      <c r="T5065" s="543"/>
      <c r="U5065" s="673" t="b">
        <v>0</v>
      </c>
      <c r="Z5065" t="b">
        <v>0</v>
      </c>
      <c r="AA5065" t="b">
        <v>0</v>
      </c>
      <c r="AC5065" s="82"/>
      <c r="AD5065" t="str">
        <f t="shared" si="71"/>
        <v/>
      </c>
      <c r="AE5065" t="str">
        <f t="shared" si="72"/>
        <v/>
      </c>
    </row>
    <row r="5066">
      <c r="D5066" s="226"/>
      <c r="H5066" s="474"/>
      <c r="I5066" s="474"/>
      <c r="J5066" s="475"/>
      <c r="K5066" s="275"/>
      <c r="L5066" s="82"/>
      <c r="M5066" s="672"/>
      <c r="N5066" s="242"/>
      <c r="O5066" s="242"/>
      <c r="P5066" s="242"/>
      <c r="Q5066" s="242"/>
      <c r="R5066" s="539"/>
      <c r="S5066" s="540"/>
      <c r="T5066" s="543"/>
      <c r="U5066" s="673" t="b">
        <v>0</v>
      </c>
      <c r="Z5066" t="b">
        <v>0</v>
      </c>
      <c r="AA5066" t="b">
        <v>0</v>
      </c>
      <c r="AC5066" s="82"/>
      <c r="AD5066" t="str">
        <f t="shared" si="71"/>
        <v/>
      </c>
      <c r="AE5066" t="str">
        <f t="shared" si="72"/>
        <v/>
      </c>
    </row>
    <row r="5067">
      <c r="D5067" s="226"/>
      <c r="H5067" s="474"/>
      <c r="I5067" s="474"/>
      <c r="J5067" s="475"/>
      <c r="K5067" s="275"/>
      <c r="L5067" s="82"/>
      <c r="M5067" s="672"/>
      <c r="N5067" s="242"/>
      <c r="O5067" s="242"/>
      <c r="P5067" s="242"/>
      <c r="Q5067" s="242"/>
      <c r="R5067" s="539"/>
      <c r="S5067" s="540"/>
      <c r="T5067" s="543"/>
      <c r="U5067" s="673" t="b">
        <v>0</v>
      </c>
      <c r="Z5067" t="b">
        <v>0</v>
      </c>
      <c r="AA5067" t="b">
        <v>0</v>
      </c>
      <c r="AC5067" s="82"/>
      <c r="AD5067" t="str">
        <f t="shared" si="71"/>
        <v/>
      </c>
      <c r="AE5067" t="str">
        <f t="shared" si="72"/>
        <v/>
      </c>
    </row>
    <row r="5068">
      <c r="D5068" s="226"/>
      <c r="H5068" s="474"/>
      <c r="I5068" s="474"/>
      <c r="J5068" s="475"/>
      <c r="K5068" s="275"/>
      <c r="L5068" s="82"/>
      <c r="M5068" s="672"/>
      <c r="N5068" s="242"/>
      <c r="O5068" s="242"/>
      <c r="P5068" s="242"/>
      <c r="Q5068" s="242"/>
      <c r="R5068" s="539"/>
      <c r="S5068" s="540"/>
      <c r="T5068" s="543"/>
      <c r="U5068" s="673" t="b">
        <v>0</v>
      </c>
      <c r="Z5068" t="b">
        <v>0</v>
      </c>
      <c r="AA5068" t="b">
        <v>0</v>
      </c>
      <c r="AC5068" s="82"/>
      <c r="AD5068" t="str">
        <f t="shared" si="71"/>
        <v/>
      </c>
      <c r="AE5068" t="str">
        <f t="shared" si="72"/>
        <v/>
      </c>
    </row>
    <row r="5069">
      <c r="D5069" s="226"/>
      <c r="H5069" s="474"/>
      <c r="I5069" s="474"/>
      <c r="J5069" s="475"/>
      <c r="K5069" s="275"/>
      <c r="L5069" s="82"/>
      <c r="M5069" s="672"/>
      <c r="N5069" s="242"/>
      <c r="O5069" s="242"/>
      <c r="P5069" s="242"/>
      <c r="Q5069" s="242"/>
      <c r="R5069" s="539"/>
      <c r="S5069" s="540"/>
      <c r="T5069" s="543"/>
      <c r="U5069" s="673" t="b">
        <v>0</v>
      </c>
      <c r="Z5069" t="b">
        <v>0</v>
      </c>
      <c r="AA5069" t="b">
        <v>0</v>
      </c>
      <c r="AC5069" s="82"/>
      <c r="AD5069" t="str">
        <f t="shared" si="71"/>
        <v/>
      </c>
      <c r="AE5069" t="str">
        <f t="shared" si="72"/>
        <v/>
      </c>
    </row>
    <row r="5070">
      <c r="D5070" s="226"/>
      <c r="H5070" s="474"/>
      <c r="I5070" s="474"/>
      <c r="J5070" s="475"/>
      <c r="K5070" s="275"/>
      <c r="L5070" s="82"/>
      <c r="M5070" s="672"/>
      <c r="N5070" s="242"/>
      <c r="O5070" s="242"/>
      <c r="P5070" s="242"/>
      <c r="Q5070" s="242"/>
      <c r="R5070" s="539"/>
      <c r="S5070" s="540"/>
      <c r="T5070" s="543"/>
      <c r="U5070" s="673" t="b">
        <v>0</v>
      </c>
      <c r="Z5070" t="b">
        <v>0</v>
      </c>
      <c r="AA5070" t="b">
        <v>0</v>
      </c>
      <c r="AC5070" s="82"/>
      <c r="AD5070" t="str">
        <f t="shared" si="71"/>
        <v/>
      </c>
      <c r="AE5070" t="str">
        <f t="shared" si="72"/>
        <v/>
      </c>
    </row>
    <row r="5071">
      <c r="D5071" s="226"/>
      <c r="H5071" s="474"/>
      <c r="I5071" s="474"/>
      <c r="J5071" s="475"/>
      <c r="K5071" s="275"/>
      <c r="L5071" s="82"/>
      <c r="M5071" s="672"/>
      <c r="N5071" s="242"/>
      <c r="O5071" s="242"/>
      <c r="P5071" s="242"/>
      <c r="Q5071" s="242"/>
      <c r="R5071" s="539"/>
      <c r="S5071" s="540"/>
      <c r="T5071" s="543"/>
      <c r="U5071" s="673" t="b">
        <v>0</v>
      </c>
      <c r="Z5071" t="b">
        <v>0</v>
      </c>
      <c r="AA5071" t="b">
        <v>0</v>
      </c>
      <c r="AC5071" s="82"/>
      <c r="AD5071" t="str">
        <f t="shared" si="71"/>
        <v/>
      </c>
      <c r="AE5071" t="str">
        <f t="shared" si="72"/>
        <v/>
      </c>
    </row>
    <row r="5072">
      <c r="D5072" s="226"/>
      <c r="H5072" s="474"/>
      <c r="I5072" s="474"/>
      <c r="J5072" s="475"/>
      <c r="K5072" s="275"/>
      <c r="L5072" s="82"/>
      <c r="M5072" s="672"/>
      <c r="N5072" s="242"/>
      <c r="O5072" s="242"/>
      <c r="P5072" s="242"/>
      <c r="Q5072" s="242"/>
      <c r="R5072" s="539"/>
      <c r="S5072" s="540"/>
      <c r="T5072" s="543"/>
      <c r="U5072" s="673" t="b">
        <v>0</v>
      </c>
      <c r="Z5072" t="b">
        <v>0</v>
      </c>
      <c r="AA5072" t="b">
        <v>0</v>
      </c>
      <c r="AC5072" s="82"/>
      <c r="AD5072" t="str">
        <f t="shared" si="71"/>
        <v/>
      </c>
      <c r="AE5072" t="str">
        <f t="shared" si="72"/>
        <v/>
      </c>
    </row>
    <row r="5073">
      <c r="D5073" s="226"/>
      <c r="H5073" s="474"/>
      <c r="I5073" s="474"/>
      <c r="J5073" s="475"/>
      <c r="K5073" s="275"/>
      <c r="L5073" s="82"/>
      <c r="M5073" s="672"/>
      <c r="N5073" s="242"/>
      <c r="O5073" s="242"/>
      <c r="P5073" s="242"/>
      <c r="Q5073" s="242"/>
      <c r="R5073" s="539"/>
      <c r="S5073" s="540"/>
      <c r="T5073" s="543"/>
      <c r="U5073" s="673" t="b">
        <v>0</v>
      </c>
      <c r="Z5073" t="b">
        <v>0</v>
      </c>
      <c r="AA5073" t="b">
        <v>0</v>
      </c>
      <c r="AC5073" s="82"/>
      <c r="AD5073" t="str">
        <f t="shared" si="71"/>
        <v/>
      </c>
      <c r="AE5073" t="str">
        <f t="shared" si="72"/>
        <v/>
      </c>
    </row>
    <row r="5074">
      <c r="D5074" s="226"/>
      <c r="H5074" s="474"/>
      <c r="I5074" s="474"/>
      <c r="J5074" s="475"/>
      <c r="K5074" s="275"/>
      <c r="L5074" s="82"/>
      <c r="M5074" s="672"/>
      <c r="N5074" s="242"/>
      <c r="O5074" s="242"/>
      <c r="P5074" s="242"/>
      <c r="Q5074" s="242"/>
      <c r="R5074" s="539"/>
      <c r="S5074" s="540"/>
      <c r="T5074" s="543"/>
      <c r="U5074" s="673" t="b">
        <v>0</v>
      </c>
      <c r="Z5074" t="b">
        <v>0</v>
      </c>
      <c r="AA5074" t="b">
        <v>0</v>
      </c>
      <c r="AC5074" s="82"/>
      <c r="AD5074" t="str">
        <f t="shared" si="71"/>
        <v/>
      </c>
      <c r="AE5074" t="str">
        <f t="shared" si="72"/>
        <v/>
      </c>
    </row>
    <row r="5075">
      <c r="D5075" s="226"/>
      <c r="H5075" s="474"/>
      <c r="I5075" s="474"/>
      <c r="J5075" s="475"/>
      <c r="K5075" s="275"/>
      <c r="L5075" s="82"/>
      <c r="M5075" s="672"/>
      <c r="N5075" s="242"/>
      <c r="O5075" s="242"/>
      <c r="P5075" s="242"/>
      <c r="Q5075" s="242"/>
      <c r="R5075" s="539"/>
      <c r="S5075" s="540"/>
      <c r="T5075" s="543"/>
      <c r="U5075" s="673" t="b">
        <v>0</v>
      </c>
      <c r="Z5075" t="b">
        <v>0</v>
      </c>
      <c r="AA5075" t="b">
        <v>0</v>
      </c>
      <c r="AC5075" s="82"/>
      <c r="AD5075" t="str">
        <f t="shared" si="71"/>
        <v/>
      </c>
      <c r="AE5075" t="str">
        <f t="shared" si="72"/>
        <v/>
      </c>
    </row>
    <row r="5076">
      <c r="D5076" s="226"/>
      <c r="H5076" s="474"/>
      <c r="I5076" s="474"/>
      <c r="J5076" s="475"/>
      <c r="K5076" s="275"/>
      <c r="L5076" s="82"/>
      <c r="M5076" s="672"/>
      <c r="N5076" s="242"/>
      <c r="O5076" s="242"/>
      <c r="P5076" s="242"/>
      <c r="Q5076" s="242"/>
      <c r="R5076" s="539"/>
      <c r="S5076" s="540"/>
      <c r="T5076" s="543"/>
      <c r="U5076" s="673" t="b">
        <v>0</v>
      </c>
      <c r="Z5076" t="b">
        <v>0</v>
      </c>
      <c r="AA5076" t="b">
        <v>0</v>
      </c>
      <c r="AC5076" s="82"/>
      <c r="AD5076" t="str">
        <f t="shared" si="71"/>
        <v/>
      </c>
      <c r="AE5076" t="str">
        <f t="shared" si="72"/>
        <v/>
      </c>
    </row>
    <row r="5077">
      <c r="D5077" s="226"/>
      <c r="H5077" s="474"/>
      <c r="I5077" s="474"/>
      <c r="J5077" s="475"/>
      <c r="K5077" s="275"/>
      <c r="L5077" s="82"/>
      <c r="M5077" s="672"/>
      <c r="N5077" s="242"/>
      <c r="O5077" s="242"/>
      <c r="P5077" s="242"/>
      <c r="Q5077" s="242"/>
      <c r="R5077" s="539"/>
      <c r="S5077" s="540"/>
      <c r="T5077" s="543"/>
      <c r="U5077" s="673" t="b">
        <v>0</v>
      </c>
      <c r="Z5077" t="b">
        <v>0</v>
      </c>
      <c r="AA5077" t="b">
        <v>0</v>
      </c>
      <c r="AC5077" s="82"/>
      <c r="AD5077" t="str">
        <f t="shared" si="71"/>
        <v/>
      </c>
      <c r="AE5077" t="str">
        <f t="shared" si="72"/>
        <v/>
      </c>
    </row>
    <row r="5078">
      <c r="D5078" s="226"/>
      <c r="H5078" s="474"/>
      <c r="I5078" s="474"/>
      <c r="J5078" s="475"/>
      <c r="K5078" s="275"/>
      <c r="L5078" s="82"/>
      <c r="M5078" s="672"/>
      <c r="N5078" s="242"/>
      <c r="O5078" s="242"/>
      <c r="P5078" s="242"/>
      <c r="Q5078" s="242"/>
      <c r="R5078" s="539"/>
      <c r="S5078" s="540"/>
      <c r="T5078" s="543"/>
      <c r="U5078" s="673" t="b">
        <v>0</v>
      </c>
      <c r="Z5078" t="b">
        <v>0</v>
      </c>
      <c r="AA5078" t="b">
        <v>0</v>
      </c>
      <c r="AC5078" s="82"/>
      <c r="AD5078" t="str">
        <f t="shared" si="71"/>
        <v/>
      </c>
      <c r="AE5078" t="str">
        <f t="shared" si="72"/>
        <v/>
      </c>
    </row>
    <row r="5079">
      <c r="D5079" s="226"/>
      <c r="H5079" s="474"/>
      <c r="I5079" s="474"/>
      <c r="J5079" s="475"/>
      <c r="K5079" s="275"/>
      <c r="L5079" s="82"/>
      <c r="M5079" s="672"/>
      <c r="N5079" s="242"/>
      <c r="O5079" s="242"/>
      <c r="P5079" s="242"/>
      <c r="Q5079" s="242"/>
      <c r="R5079" s="539"/>
      <c r="S5079" s="540"/>
      <c r="T5079" s="543"/>
      <c r="U5079" s="673" t="b">
        <v>0</v>
      </c>
      <c r="Z5079" t="b">
        <v>0</v>
      </c>
      <c r="AA5079" t="b">
        <v>0</v>
      </c>
      <c r="AC5079" s="82"/>
      <c r="AD5079" t="str">
        <f t="shared" si="71"/>
        <v/>
      </c>
      <c r="AE5079" t="str">
        <f t="shared" si="72"/>
        <v/>
      </c>
    </row>
    <row r="5080">
      <c r="D5080" s="226"/>
      <c r="H5080" s="474"/>
      <c r="I5080" s="474"/>
      <c r="J5080" s="475"/>
      <c r="K5080" s="275"/>
      <c r="L5080" s="82"/>
      <c r="M5080" s="672"/>
      <c r="N5080" s="242"/>
      <c r="O5080" s="242"/>
      <c r="P5080" s="242"/>
      <c r="Q5080" s="242"/>
      <c r="R5080" s="539"/>
      <c r="S5080" s="540"/>
      <c r="T5080" s="543"/>
      <c r="U5080" s="673" t="b">
        <v>0</v>
      </c>
      <c r="Z5080" t="b">
        <v>0</v>
      </c>
      <c r="AA5080" t="b">
        <v>0</v>
      </c>
      <c r="AC5080" s="82"/>
      <c r="AD5080" t="str">
        <f t="shared" si="71"/>
        <v/>
      </c>
      <c r="AE5080" t="str">
        <f t="shared" si="72"/>
        <v/>
      </c>
    </row>
    <row r="5081">
      <c r="D5081" s="226"/>
      <c r="H5081" s="474"/>
      <c r="I5081" s="474"/>
      <c r="J5081" s="475"/>
      <c r="K5081" s="275"/>
      <c r="L5081" s="82"/>
      <c r="M5081" s="672"/>
      <c r="N5081" s="242"/>
      <c r="O5081" s="242"/>
      <c r="P5081" s="242"/>
      <c r="Q5081" s="242"/>
      <c r="R5081" s="539"/>
      <c r="S5081" s="540"/>
      <c r="T5081" s="543"/>
      <c r="U5081" s="673" t="b">
        <v>0</v>
      </c>
      <c r="Z5081" t="b">
        <v>0</v>
      </c>
      <c r="AA5081" t="b">
        <v>0</v>
      </c>
      <c r="AC5081" s="82"/>
      <c r="AD5081" t="str">
        <f t="shared" si="71"/>
        <v/>
      </c>
      <c r="AE5081" t="str">
        <f t="shared" si="72"/>
        <v/>
      </c>
    </row>
    <row r="5082">
      <c r="D5082" s="226"/>
      <c r="H5082" s="474"/>
      <c r="I5082" s="474"/>
      <c r="J5082" s="475"/>
      <c r="K5082" s="275"/>
      <c r="L5082" s="82"/>
      <c r="M5082" s="672"/>
      <c r="N5082" s="242"/>
      <c r="O5082" s="242"/>
      <c r="P5082" s="242"/>
      <c r="Q5082" s="242"/>
      <c r="R5082" s="539"/>
      <c r="S5082" s="540"/>
      <c r="T5082" s="543"/>
      <c r="U5082" s="673" t="b">
        <v>0</v>
      </c>
      <c r="Z5082" t="b">
        <v>0</v>
      </c>
      <c r="AA5082" t="b">
        <v>0</v>
      </c>
      <c r="AC5082" s="82"/>
      <c r="AD5082" t="str">
        <f t="shared" si="71"/>
        <v/>
      </c>
      <c r="AE5082" t="str">
        <f t="shared" si="72"/>
        <v/>
      </c>
    </row>
    <row r="5083">
      <c r="D5083" s="226"/>
      <c r="H5083" s="474"/>
      <c r="I5083" s="474"/>
      <c r="J5083" s="475"/>
      <c r="K5083" s="275"/>
      <c r="L5083" s="82"/>
      <c r="M5083" s="672"/>
      <c r="N5083" s="242"/>
      <c r="O5083" s="242"/>
      <c r="P5083" s="242"/>
      <c r="Q5083" s="242"/>
      <c r="R5083" s="539"/>
      <c r="S5083" s="540"/>
      <c r="T5083" s="543"/>
      <c r="U5083" s="673" t="b">
        <v>0</v>
      </c>
      <c r="Z5083" t="b">
        <v>0</v>
      </c>
      <c r="AA5083" t="b">
        <v>0</v>
      </c>
      <c r="AC5083" s="82"/>
      <c r="AD5083" t="str">
        <f t="shared" si="71"/>
        <v/>
      </c>
      <c r="AE5083" t="str">
        <f t="shared" si="72"/>
        <v/>
      </c>
    </row>
    <row r="5084">
      <c r="D5084" s="226"/>
      <c r="H5084" s="474"/>
      <c r="I5084" s="474"/>
      <c r="J5084" s="475"/>
      <c r="K5084" s="275"/>
      <c r="L5084" s="82"/>
      <c r="M5084" s="672"/>
      <c r="N5084" s="242"/>
      <c r="O5084" s="242"/>
      <c r="P5084" s="242"/>
      <c r="Q5084" s="242"/>
      <c r="R5084" s="539"/>
      <c r="S5084" s="540"/>
      <c r="T5084" s="543"/>
      <c r="U5084" s="673" t="b">
        <v>0</v>
      </c>
      <c r="Z5084" t="b">
        <v>0</v>
      </c>
      <c r="AA5084" t="b">
        <v>0</v>
      </c>
      <c r="AC5084" s="82"/>
      <c r="AD5084" t="str">
        <f t="shared" si="71"/>
        <v/>
      </c>
      <c r="AE5084" t="str">
        <f t="shared" si="72"/>
        <v/>
      </c>
    </row>
    <row r="5085">
      <c r="D5085" s="226"/>
      <c r="H5085" s="474"/>
      <c r="I5085" s="474"/>
      <c r="J5085" s="475"/>
      <c r="K5085" s="275"/>
      <c r="L5085" s="82"/>
      <c r="M5085" s="672"/>
      <c r="N5085" s="242"/>
      <c r="O5085" s="242"/>
      <c r="P5085" s="242"/>
      <c r="Q5085" s="242"/>
      <c r="R5085" s="539"/>
      <c r="S5085" s="540"/>
      <c r="T5085" s="543"/>
      <c r="U5085" s="673" t="b">
        <v>0</v>
      </c>
      <c r="Z5085" t="b">
        <v>0</v>
      </c>
      <c r="AA5085" t="b">
        <v>0</v>
      </c>
      <c r="AC5085" s="82"/>
      <c r="AD5085" t="str">
        <f t="shared" si="71"/>
        <v/>
      </c>
      <c r="AE5085" t="str">
        <f t="shared" si="72"/>
        <v/>
      </c>
    </row>
    <row r="5086">
      <c r="D5086" s="226"/>
      <c r="H5086" s="474"/>
      <c r="I5086" s="474"/>
      <c r="J5086" s="475"/>
      <c r="K5086" s="275"/>
      <c r="L5086" s="82"/>
      <c r="M5086" s="672"/>
      <c r="N5086" s="242"/>
      <c r="O5086" s="242"/>
      <c r="P5086" s="242"/>
      <c r="Q5086" s="242"/>
      <c r="R5086" s="539"/>
      <c r="S5086" s="540"/>
      <c r="T5086" s="543"/>
      <c r="U5086" s="673" t="b">
        <v>0</v>
      </c>
      <c r="Z5086" t="b">
        <v>0</v>
      </c>
      <c r="AA5086" t="b">
        <v>0</v>
      </c>
      <c r="AC5086" s="82"/>
      <c r="AD5086" t="str">
        <f t="shared" si="71"/>
        <v/>
      </c>
      <c r="AE5086" t="str">
        <f t="shared" si="72"/>
        <v/>
      </c>
    </row>
    <row r="5087">
      <c r="D5087" s="226"/>
      <c r="H5087" s="474"/>
      <c r="I5087" s="474"/>
      <c r="J5087" s="475"/>
      <c r="K5087" s="275"/>
      <c r="L5087" s="82"/>
      <c r="M5087" s="672"/>
      <c r="N5087" s="242"/>
      <c r="O5087" s="242"/>
      <c r="P5087" s="242"/>
      <c r="Q5087" s="242"/>
      <c r="R5087" s="539"/>
      <c r="S5087" s="540"/>
      <c r="T5087" s="543"/>
      <c r="U5087" s="673" t="b">
        <v>0</v>
      </c>
      <c r="Z5087" t="b">
        <v>0</v>
      </c>
      <c r="AA5087" t="b">
        <v>0</v>
      </c>
      <c r="AC5087" s="82"/>
      <c r="AD5087" t="str">
        <f t="shared" si="71"/>
        <v/>
      </c>
      <c r="AE5087" t="str">
        <f t="shared" si="72"/>
        <v/>
      </c>
    </row>
    <row r="5088">
      <c r="D5088" s="226"/>
      <c r="H5088" s="474"/>
      <c r="I5088" s="474"/>
      <c r="J5088" s="475"/>
      <c r="K5088" s="275"/>
      <c r="L5088" s="82"/>
      <c r="M5088" s="672"/>
      <c r="N5088" s="242"/>
      <c r="O5088" s="242"/>
      <c r="P5088" s="242"/>
      <c r="Q5088" s="242"/>
      <c r="R5088" s="539"/>
      <c r="S5088" s="540"/>
      <c r="T5088" s="543"/>
      <c r="U5088" s="673" t="b">
        <v>0</v>
      </c>
      <c r="Z5088" t="b">
        <v>0</v>
      </c>
      <c r="AA5088" t="b">
        <v>0</v>
      </c>
      <c r="AC5088" s="82"/>
      <c r="AD5088" t="str">
        <f t="shared" si="71"/>
        <v/>
      </c>
      <c r="AE5088" t="str">
        <f t="shared" si="72"/>
        <v/>
      </c>
    </row>
    <row r="5089">
      <c r="D5089" s="226"/>
      <c r="H5089" s="474"/>
      <c r="I5089" s="474"/>
      <c r="J5089" s="475"/>
      <c r="K5089" s="275"/>
      <c r="L5089" s="82"/>
      <c r="M5089" s="672"/>
      <c r="N5089" s="242"/>
      <c r="O5089" s="242"/>
      <c r="P5089" s="242"/>
      <c r="Q5089" s="242"/>
      <c r="R5089" s="539"/>
      <c r="S5089" s="540"/>
      <c r="T5089" s="543"/>
      <c r="U5089" s="673" t="b">
        <v>0</v>
      </c>
      <c r="Z5089" t="b">
        <v>0</v>
      </c>
      <c r="AA5089" t="b">
        <v>0</v>
      </c>
      <c r="AC5089" s="82"/>
      <c r="AD5089" t="str">
        <f t="shared" si="71"/>
        <v/>
      </c>
      <c r="AE5089" t="str">
        <f t="shared" si="72"/>
        <v/>
      </c>
    </row>
    <row r="5090">
      <c r="D5090" s="226"/>
      <c r="H5090" s="474"/>
      <c r="I5090" s="474"/>
      <c r="J5090" s="475"/>
      <c r="K5090" s="275"/>
      <c r="L5090" s="82"/>
      <c r="M5090" s="672"/>
      <c r="N5090" s="242"/>
      <c r="O5090" s="242"/>
      <c r="P5090" s="242"/>
      <c r="Q5090" s="242"/>
      <c r="R5090" s="539"/>
      <c r="S5090" s="540"/>
      <c r="T5090" s="543"/>
      <c r="U5090" s="673" t="b">
        <v>0</v>
      </c>
      <c r="Z5090" t="b">
        <v>0</v>
      </c>
      <c r="AA5090" t="b">
        <v>0</v>
      </c>
      <c r="AC5090" s="82"/>
      <c r="AD5090" t="str">
        <f t="shared" si="71"/>
        <v/>
      </c>
      <c r="AE5090" t="str">
        <f t="shared" si="72"/>
        <v/>
      </c>
    </row>
    <row r="5091">
      <c r="D5091" s="226"/>
      <c r="H5091" s="474"/>
      <c r="I5091" s="474"/>
      <c r="J5091" s="475"/>
      <c r="K5091" s="275"/>
      <c r="L5091" s="82"/>
      <c r="M5091" s="672"/>
      <c r="N5091" s="242"/>
      <c r="O5091" s="242"/>
      <c r="P5091" s="242"/>
      <c r="Q5091" s="242"/>
      <c r="R5091" s="539"/>
      <c r="S5091" s="540"/>
      <c r="T5091" s="543"/>
      <c r="U5091" s="673" t="b">
        <v>0</v>
      </c>
      <c r="Z5091" t="b">
        <v>0</v>
      </c>
      <c r="AA5091" t="b">
        <v>0</v>
      </c>
      <c r="AC5091" s="82"/>
      <c r="AD5091" t="str">
        <f t="shared" si="71"/>
        <v/>
      </c>
      <c r="AE5091" t="str">
        <f t="shared" si="72"/>
        <v/>
      </c>
    </row>
    <row r="5092">
      <c r="D5092" s="226"/>
      <c r="H5092" s="474"/>
      <c r="I5092" s="474"/>
      <c r="J5092" s="475"/>
      <c r="K5092" s="275"/>
      <c r="L5092" s="82"/>
      <c r="M5092" s="672"/>
      <c r="N5092" s="242"/>
      <c r="O5092" s="242"/>
      <c r="P5092" s="242"/>
      <c r="Q5092" s="242"/>
      <c r="R5092" s="539"/>
      <c r="S5092" s="540"/>
      <c r="T5092" s="543"/>
      <c r="U5092" s="673" t="b">
        <v>0</v>
      </c>
      <c r="Z5092" t="b">
        <v>0</v>
      </c>
      <c r="AA5092" t="b">
        <v>0</v>
      </c>
      <c r="AC5092" s="82"/>
      <c r="AD5092" t="str">
        <f t="shared" si="71"/>
        <v/>
      </c>
      <c r="AE5092" t="str">
        <f t="shared" si="72"/>
        <v/>
      </c>
    </row>
    <row r="5093">
      <c r="D5093" s="226"/>
      <c r="H5093" s="474"/>
      <c r="I5093" s="474"/>
      <c r="J5093" s="475"/>
      <c r="K5093" s="275"/>
      <c r="L5093" s="82"/>
      <c r="M5093" s="672"/>
      <c r="N5093" s="242"/>
      <c r="O5093" s="242"/>
      <c r="P5093" s="242"/>
      <c r="Q5093" s="242"/>
      <c r="R5093" s="539"/>
      <c r="S5093" s="540"/>
      <c r="T5093" s="543"/>
      <c r="U5093" s="673" t="b">
        <v>0</v>
      </c>
      <c r="Z5093" t="b">
        <v>0</v>
      </c>
      <c r="AA5093" t="b">
        <v>0</v>
      </c>
      <c r="AC5093" s="82"/>
      <c r="AD5093" t="str">
        <f t="shared" si="71"/>
        <v/>
      </c>
      <c r="AE5093" t="str">
        <f t="shared" si="72"/>
        <v/>
      </c>
    </row>
    <row r="5094">
      <c r="D5094" s="226"/>
      <c r="H5094" s="474"/>
      <c r="I5094" s="474"/>
      <c r="J5094" s="475"/>
      <c r="K5094" s="275"/>
      <c r="L5094" s="82"/>
      <c r="M5094" s="672"/>
      <c r="N5094" s="242"/>
      <c r="O5094" s="242"/>
      <c r="P5094" s="242"/>
      <c r="Q5094" s="242"/>
      <c r="R5094" s="539"/>
      <c r="S5094" s="540"/>
      <c r="T5094" s="543"/>
      <c r="U5094" s="673" t="b">
        <v>0</v>
      </c>
      <c r="Z5094" t="b">
        <v>0</v>
      </c>
      <c r="AA5094" t="b">
        <v>0</v>
      </c>
      <c r="AC5094" s="82"/>
      <c r="AD5094" t="str">
        <f t="shared" si="71"/>
        <v/>
      </c>
      <c r="AE5094" t="str">
        <f t="shared" si="72"/>
        <v/>
      </c>
    </row>
    <row r="5095">
      <c r="D5095" s="226"/>
      <c r="H5095" s="474"/>
      <c r="I5095" s="474"/>
      <c r="J5095" s="475"/>
      <c r="K5095" s="275"/>
      <c r="L5095" s="82"/>
      <c r="M5095" s="672"/>
      <c r="N5095" s="242"/>
      <c r="O5095" s="242"/>
      <c r="P5095" s="242"/>
      <c r="Q5095" s="242"/>
      <c r="R5095" s="539"/>
      <c r="S5095" s="540"/>
      <c r="T5095" s="543"/>
      <c r="U5095" s="673" t="b">
        <v>0</v>
      </c>
      <c r="Z5095" t="b">
        <v>0</v>
      </c>
      <c r="AA5095" t="b">
        <v>0</v>
      </c>
      <c r="AC5095" s="82"/>
      <c r="AD5095" t="str">
        <f t="shared" si="71"/>
        <v/>
      </c>
      <c r="AE5095" t="str">
        <f t="shared" si="72"/>
        <v/>
      </c>
    </row>
    <row r="5096">
      <c r="D5096" s="226"/>
      <c r="H5096" s="474"/>
      <c r="I5096" s="474"/>
      <c r="J5096" s="475"/>
      <c r="K5096" s="275"/>
      <c r="L5096" s="82"/>
      <c r="M5096" s="672"/>
      <c r="N5096" s="242"/>
      <c r="O5096" s="242"/>
      <c r="P5096" s="242"/>
      <c r="Q5096" s="242"/>
      <c r="R5096" s="539"/>
      <c r="S5096" s="540"/>
      <c r="T5096" s="543"/>
      <c r="U5096" s="673" t="b">
        <v>0</v>
      </c>
      <c r="Z5096" t="b">
        <v>0</v>
      </c>
      <c r="AA5096" t="b">
        <v>0</v>
      </c>
      <c r="AC5096" s="82"/>
      <c r="AD5096" t="str">
        <f t="shared" si="71"/>
        <v/>
      </c>
      <c r="AE5096" t="str">
        <f t="shared" si="72"/>
        <v/>
      </c>
    </row>
    <row r="5097">
      <c r="D5097" s="226"/>
      <c r="H5097" s="474"/>
      <c r="I5097" s="474"/>
      <c r="J5097" s="475"/>
      <c r="K5097" s="275"/>
      <c r="L5097" s="82"/>
      <c r="M5097" s="672"/>
      <c r="N5097" s="242"/>
      <c r="O5097" s="242"/>
      <c r="P5097" s="242"/>
      <c r="Q5097" s="242"/>
      <c r="R5097" s="539"/>
      <c r="S5097" s="540"/>
      <c r="T5097" s="543"/>
      <c r="U5097" s="673" t="b">
        <v>0</v>
      </c>
      <c r="Z5097" t="b">
        <v>0</v>
      </c>
      <c r="AA5097" t="b">
        <v>0</v>
      </c>
      <c r="AC5097" s="82"/>
      <c r="AD5097" t="str">
        <f t="shared" si="71"/>
        <v/>
      </c>
      <c r="AE5097" t="str">
        <f t="shared" si="72"/>
        <v/>
      </c>
    </row>
    <row r="5098">
      <c r="D5098" s="226"/>
      <c r="H5098" s="474"/>
      <c r="I5098" s="474"/>
      <c r="J5098" s="475"/>
      <c r="K5098" s="275"/>
      <c r="L5098" s="82"/>
      <c r="M5098" s="672"/>
      <c r="N5098" s="242"/>
      <c r="O5098" s="242"/>
      <c r="P5098" s="242"/>
      <c r="Q5098" s="242"/>
      <c r="R5098" s="539"/>
      <c r="S5098" s="540"/>
      <c r="T5098" s="543"/>
      <c r="U5098" s="673" t="b">
        <v>0</v>
      </c>
      <c r="Z5098" t="b">
        <v>0</v>
      </c>
      <c r="AA5098" t="b">
        <v>0</v>
      </c>
      <c r="AC5098" s="82"/>
      <c r="AD5098" t="str">
        <f t="shared" si="71"/>
        <v/>
      </c>
      <c r="AE5098" t="str">
        <f t="shared" si="72"/>
        <v/>
      </c>
    </row>
    <row r="5099">
      <c r="D5099" s="226"/>
      <c r="H5099" s="474"/>
      <c r="I5099" s="474"/>
      <c r="J5099" s="475"/>
      <c r="K5099" s="275"/>
      <c r="L5099" s="82"/>
      <c r="M5099" s="672"/>
      <c r="N5099" s="242"/>
      <c r="O5099" s="242"/>
      <c r="P5099" s="242"/>
      <c r="Q5099" s="242"/>
      <c r="R5099" s="539"/>
      <c r="S5099" s="540"/>
      <c r="T5099" s="543"/>
      <c r="U5099" s="673" t="b">
        <v>0</v>
      </c>
      <c r="Z5099" t="b">
        <v>0</v>
      </c>
      <c r="AA5099" t="b">
        <v>0</v>
      </c>
      <c r="AC5099" s="82"/>
      <c r="AD5099" t="str">
        <f t="shared" si="71"/>
        <v/>
      </c>
      <c r="AE5099" t="str">
        <f t="shared" si="72"/>
        <v/>
      </c>
    </row>
    <row r="5100">
      <c r="D5100" s="226"/>
      <c r="H5100" s="474"/>
      <c r="I5100" s="474"/>
      <c r="J5100" s="475"/>
      <c r="K5100" s="275"/>
      <c r="L5100" s="82"/>
      <c r="M5100" s="672"/>
      <c r="N5100" s="242"/>
      <c r="O5100" s="242"/>
      <c r="P5100" s="242"/>
      <c r="Q5100" s="242"/>
      <c r="R5100" s="539"/>
      <c r="S5100" s="540"/>
      <c r="T5100" s="543"/>
      <c r="U5100" s="673" t="b">
        <v>0</v>
      </c>
      <c r="Z5100" t="b">
        <v>0</v>
      </c>
      <c r="AA5100" t="b">
        <v>0</v>
      </c>
      <c r="AC5100" s="82"/>
      <c r="AD5100" t="str">
        <f t="shared" si="71"/>
        <v/>
      </c>
      <c r="AE5100" t="str">
        <f t="shared" si="72"/>
        <v/>
      </c>
    </row>
    <row r="5101">
      <c r="D5101" s="226"/>
      <c r="H5101" s="474"/>
      <c r="I5101" s="474"/>
      <c r="J5101" s="475"/>
      <c r="K5101" s="275"/>
      <c r="L5101" s="82"/>
      <c r="M5101" s="672"/>
      <c r="N5101" s="242"/>
      <c r="O5101" s="242"/>
      <c r="P5101" s="242"/>
      <c r="Q5101" s="242"/>
      <c r="R5101" s="539"/>
      <c r="S5101" s="540"/>
      <c r="T5101" s="543"/>
      <c r="U5101" s="673" t="b">
        <v>0</v>
      </c>
      <c r="Z5101" t="b">
        <v>0</v>
      </c>
      <c r="AA5101" t="b">
        <v>0</v>
      </c>
      <c r="AC5101" s="82"/>
      <c r="AD5101" t="str">
        <f t="shared" si="71"/>
        <v/>
      </c>
      <c r="AE5101" t="str">
        <f t="shared" si="72"/>
        <v/>
      </c>
    </row>
    <row r="5102">
      <c r="D5102" s="226"/>
      <c r="H5102" s="474"/>
      <c r="I5102" s="474"/>
      <c r="J5102" s="475"/>
      <c r="K5102" s="275"/>
      <c r="L5102" s="82"/>
      <c r="M5102" s="672"/>
      <c r="N5102" s="242"/>
      <c r="O5102" s="242"/>
      <c r="P5102" s="242"/>
      <c r="Q5102" s="242"/>
      <c r="R5102" s="539"/>
      <c r="S5102" s="540"/>
      <c r="T5102" s="543"/>
      <c r="U5102" s="673" t="b">
        <v>0</v>
      </c>
      <c r="Z5102" t="b">
        <v>0</v>
      </c>
      <c r="AA5102" t="b">
        <v>0</v>
      </c>
      <c r="AC5102" s="82"/>
      <c r="AD5102" t="str">
        <f t="shared" si="71"/>
        <v/>
      </c>
      <c r="AE5102" t="str">
        <f t="shared" si="72"/>
        <v/>
      </c>
    </row>
    <row r="5103">
      <c r="D5103" s="226"/>
      <c r="H5103" s="474"/>
      <c r="I5103" s="474"/>
      <c r="J5103" s="475"/>
      <c r="K5103" s="275"/>
      <c r="L5103" s="82"/>
      <c r="M5103" s="672"/>
      <c r="N5103" s="242"/>
      <c r="O5103" s="242"/>
      <c r="P5103" s="242"/>
      <c r="Q5103" s="242"/>
      <c r="R5103" s="539"/>
      <c r="S5103" s="540"/>
      <c r="T5103" s="543"/>
      <c r="U5103" s="673" t="b">
        <v>0</v>
      </c>
      <c r="Z5103" t="b">
        <v>0</v>
      </c>
      <c r="AA5103" t="b">
        <v>0</v>
      </c>
      <c r="AC5103" s="82"/>
      <c r="AD5103" t="str">
        <f t="shared" si="71"/>
        <v/>
      </c>
      <c r="AE5103" t="str">
        <f t="shared" si="72"/>
        <v/>
      </c>
    </row>
    <row r="5104">
      <c r="D5104" s="226"/>
      <c r="H5104" s="474"/>
      <c r="I5104" s="474"/>
      <c r="J5104" s="475"/>
      <c r="K5104" s="275"/>
      <c r="L5104" s="82"/>
      <c r="M5104" s="672"/>
      <c r="N5104" s="242"/>
      <c r="O5104" s="242"/>
      <c r="P5104" s="242"/>
      <c r="Q5104" s="242"/>
      <c r="R5104" s="539"/>
      <c r="S5104" s="540"/>
      <c r="T5104" s="543"/>
      <c r="U5104" s="673" t="b">
        <v>0</v>
      </c>
      <c r="Z5104" t="b">
        <v>0</v>
      </c>
      <c r="AA5104" t="b">
        <v>0</v>
      </c>
      <c r="AC5104" s="82"/>
      <c r="AD5104" t="str">
        <f t="shared" si="71"/>
        <v/>
      </c>
      <c r="AE5104" t="str">
        <f t="shared" si="72"/>
        <v/>
      </c>
    </row>
    <row r="5105">
      <c r="D5105" s="226"/>
      <c r="H5105" s="474"/>
      <c r="I5105" s="474"/>
      <c r="J5105" s="475"/>
      <c r="K5105" s="275"/>
      <c r="L5105" s="82"/>
      <c r="M5105" s="672"/>
      <c r="N5105" s="242"/>
      <c r="O5105" s="242"/>
      <c r="P5105" s="242"/>
      <c r="Q5105" s="242"/>
      <c r="R5105" s="539"/>
      <c r="S5105" s="540"/>
      <c r="T5105" s="543"/>
      <c r="U5105" s="673" t="b">
        <v>0</v>
      </c>
      <c r="Z5105" t="b">
        <v>0</v>
      </c>
      <c r="AA5105" t="b">
        <v>0</v>
      </c>
      <c r="AC5105" s="82"/>
      <c r="AD5105" t="str">
        <f t="shared" si="71"/>
        <v/>
      </c>
      <c r="AE5105" t="str">
        <f t="shared" si="72"/>
        <v/>
      </c>
    </row>
    <row r="5106">
      <c r="D5106" s="226"/>
      <c r="H5106" s="474"/>
      <c r="I5106" s="474"/>
      <c r="J5106" s="475"/>
      <c r="K5106" s="275"/>
      <c r="L5106" s="82"/>
      <c r="M5106" s="672"/>
      <c r="N5106" s="242"/>
      <c r="O5106" s="242"/>
      <c r="P5106" s="242"/>
      <c r="Q5106" s="242"/>
      <c r="R5106" s="539"/>
      <c r="S5106" s="540"/>
      <c r="T5106" s="543"/>
      <c r="U5106" s="673" t="b">
        <v>0</v>
      </c>
      <c r="Z5106" t="b">
        <v>0</v>
      </c>
      <c r="AA5106" t="b">
        <v>0</v>
      </c>
      <c r="AC5106" s="82"/>
      <c r="AD5106" t="str">
        <f t="shared" si="71"/>
        <v/>
      </c>
      <c r="AE5106" t="str">
        <f t="shared" si="72"/>
        <v/>
      </c>
    </row>
    <row r="5107">
      <c r="D5107" s="226"/>
      <c r="H5107" s="474"/>
      <c r="I5107" s="474"/>
      <c r="J5107" s="475"/>
      <c r="K5107" s="275"/>
      <c r="L5107" s="82"/>
      <c r="M5107" s="672"/>
      <c r="N5107" s="242"/>
      <c r="O5107" s="242"/>
      <c r="P5107" s="242"/>
      <c r="Q5107" s="242"/>
      <c r="R5107" s="539"/>
      <c r="S5107" s="540"/>
      <c r="T5107" s="543"/>
      <c r="U5107" s="673" t="b">
        <v>0</v>
      </c>
      <c r="Z5107" t="b">
        <v>0</v>
      </c>
      <c r="AA5107" t="b">
        <v>0</v>
      </c>
      <c r="AC5107" s="82"/>
      <c r="AD5107" t="str">
        <f t="shared" si="71"/>
        <v/>
      </c>
      <c r="AE5107" t="str">
        <f t="shared" si="72"/>
        <v/>
      </c>
    </row>
    <row r="5108">
      <c r="D5108" s="226"/>
      <c r="H5108" s="474"/>
      <c r="I5108" s="474"/>
      <c r="J5108" s="475"/>
      <c r="K5108" s="275"/>
      <c r="L5108" s="82"/>
      <c r="M5108" s="672"/>
      <c r="N5108" s="242"/>
      <c r="O5108" s="242"/>
      <c r="P5108" s="242"/>
      <c r="Q5108" s="242"/>
      <c r="R5108" s="539"/>
      <c r="S5108" s="540"/>
      <c r="T5108" s="543"/>
      <c r="U5108" s="673" t="b">
        <v>0</v>
      </c>
      <c r="Z5108" t="b">
        <v>0</v>
      </c>
      <c r="AA5108" t="b">
        <v>0</v>
      </c>
      <c r="AC5108" s="82"/>
      <c r="AD5108" t="str">
        <f t="shared" si="71"/>
        <v/>
      </c>
      <c r="AE5108" t="str">
        <f t="shared" si="72"/>
        <v/>
      </c>
    </row>
    <row r="5109">
      <c r="D5109" s="226"/>
      <c r="H5109" s="474"/>
      <c r="I5109" s="474"/>
      <c r="J5109" s="475"/>
      <c r="K5109" s="275"/>
      <c r="L5109" s="82"/>
      <c r="M5109" s="672"/>
      <c r="N5109" s="242"/>
      <c r="O5109" s="242"/>
      <c r="P5109" s="242"/>
      <c r="Q5109" s="242"/>
      <c r="R5109" s="539"/>
      <c r="S5109" s="540"/>
      <c r="T5109" s="543"/>
      <c r="U5109" s="673" t="b">
        <v>0</v>
      </c>
      <c r="Z5109" t="b">
        <v>0</v>
      </c>
      <c r="AA5109" t="b">
        <v>0</v>
      </c>
      <c r="AC5109" s="82"/>
      <c r="AD5109" t="str">
        <f t="shared" si="71"/>
        <v/>
      </c>
      <c r="AE5109" t="str">
        <f t="shared" si="72"/>
        <v/>
      </c>
    </row>
    <row r="5110">
      <c r="D5110" s="226"/>
      <c r="H5110" s="474"/>
      <c r="I5110" s="474"/>
      <c r="J5110" s="475"/>
      <c r="K5110" s="275"/>
      <c r="L5110" s="82"/>
      <c r="M5110" s="672"/>
      <c r="N5110" s="242"/>
      <c r="O5110" s="242"/>
      <c r="P5110" s="242"/>
      <c r="Q5110" s="242"/>
      <c r="R5110" s="539"/>
      <c r="S5110" s="540"/>
      <c r="T5110" s="543"/>
      <c r="U5110" s="673" t="b">
        <v>0</v>
      </c>
      <c r="Z5110" t="b">
        <v>0</v>
      </c>
      <c r="AA5110" t="b">
        <v>0</v>
      </c>
      <c r="AC5110" s="82"/>
      <c r="AD5110" t="str">
        <f t="shared" si="71"/>
        <v/>
      </c>
      <c r="AE5110" t="str">
        <f t="shared" si="72"/>
        <v/>
      </c>
    </row>
    <row r="5111">
      <c r="D5111" s="226"/>
      <c r="H5111" s="474"/>
      <c r="I5111" s="474"/>
      <c r="J5111" s="475"/>
      <c r="K5111" s="275"/>
      <c r="L5111" s="82"/>
      <c r="M5111" s="672"/>
      <c r="N5111" s="242"/>
      <c r="O5111" s="242"/>
      <c r="P5111" s="242"/>
      <c r="Q5111" s="242"/>
      <c r="R5111" s="539"/>
      <c r="S5111" s="540"/>
      <c r="T5111" s="543"/>
      <c r="U5111" s="673" t="b">
        <v>0</v>
      </c>
      <c r="Z5111" t="b">
        <v>0</v>
      </c>
      <c r="AA5111" t="b">
        <v>0</v>
      </c>
      <c r="AC5111" s="82"/>
      <c r="AD5111" t="str">
        <f t="shared" si="71"/>
        <v/>
      </c>
      <c r="AE5111" t="str">
        <f t="shared" si="72"/>
        <v/>
      </c>
    </row>
    <row r="5112">
      <c r="D5112" s="226"/>
      <c r="H5112" s="474"/>
      <c r="I5112" s="474"/>
      <c r="J5112" s="475"/>
      <c r="K5112" s="275"/>
      <c r="L5112" s="82"/>
      <c r="M5112" s="672"/>
      <c r="N5112" s="242"/>
      <c r="O5112" s="242"/>
      <c r="P5112" s="242"/>
      <c r="Q5112" s="242"/>
      <c r="R5112" s="539"/>
      <c r="S5112" s="540"/>
      <c r="T5112" s="543"/>
      <c r="U5112" s="673" t="b">
        <v>0</v>
      </c>
      <c r="Z5112" t="b">
        <v>0</v>
      </c>
      <c r="AA5112" t="b">
        <v>0</v>
      </c>
      <c r="AC5112" s="82"/>
      <c r="AD5112" t="str">
        <f t="shared" si="71"/>
        <v/>
      </c>
      <c r="AE5112" t="str">
        <f t="shared" si="72"/>
        <v/>
      </c>
    </row>
    <row r="5113">
      <c r="D5113" s="226"/>
      <c r="H5113" s="474"/>
      <c r="I5113" s="474"/>
      <c r="J5113" s="475"/>
      <c r="K5113" s="275"/>
      <c r="L5113" s="82"/>
      <c r="M5113" s="672"/>
      <c r="N5113" s="242"/>
      <c r="O5113" s="242"/>
      <c r="P5113" s="242"/>
      <c r="Q5113" s="242"/>
      <c r="R5113" s="539"/>
      <c r="S5113" s="540"/>
      <c r="T5113" s="543"/>
      <c r="U5113" s="673" t="b">
        <v>0</v>
      </c>
      <c r="Z5113" t="b">
        <v>0</v>
      </c>
      <c r="AA5113" t="b">
        <v>0</v>
      </c>
      <c r="AC5113" s="82"/>
      <c r="AD5113" t="str">
        <f t="shared" si="71"/>
        <v/>
      </c>
      <c r="AE5113" t="str">
        <f t="shared" si="72"/>
        <v/>
      </c>
    </row>
    <row r="5114">
      <c r="D5114" s="226"/>
      <c r="H5114" s="474"/>
      <c r="I5114" s="474"/>
      <c r="J5114" s="475"/>
      <c r="K5114" s="275"/>
      <c r="L5114" s="82"/>
      <c r="M5114" s="672"/>
      <c r="N5114" s="242"/>
      <c r="O5114" s="242"/>
      <c r="P5114" s="242"/>
      <c r="Q5114" s="242"/>
      <c r="R5114" s="539"/>
      <c r="S5114" s="540"/>
      <c r="T5114" s="543"/>
      <c r="U5114" s="673" t="b">
        <v>0</v>
      </c>
      <c r="Z5114" t="b">
        <v>0</v>
      </c>
      <c r="AA5114" t="b">
        <v>0</v>
      </c>
      <c r="AC5114" s="82"/>
      <c r="AD5114" t="str">
        <f t="shared" si="71"/>
        <v/>
      </c>
      <c r="AE5114" t="str">
        <f t="shared" si="72"/>
        <v/>
      </c>
    </row>
    <row r="5115">
      <c r="D5115" s="226"/>
      <c r="H5115" s="474"/>
      <c r="I5115" s="474"/>
      <c r="J5115" s="475"/>
      <c r="K5115" s="275"/>
      <c r="L5115" s="82"/>
      <c r="M5115" s="672"/>
      <c r="N5115" s="242"/>
      <c r="O5115" s="242"/>
      <c r="P5115" s="242"/>
      <c r="Q5115" s="242"/>
      <c r="R5115" s="539"/>
      <c r="S5115" s="540"/>
      <c r="T5115" s="543"/>
      <c r="U5115" s="673" t="b">
        <v>0</v>
      </c>
      <c r="Z5115" t="b">
        <v>0</v>
      </c>
      <c r="AA5115" t="b">
        <v>0</v>
      </c>
      <c r="AC5115" s="82"/>
      <c r="AD5115" t="str">
        <f t="shared" si="71"/>
        <v/>
      </c>
      <c r="AE5115" t="str">
        <f t="shared" si="72"/>
        <v/>
      </c>
    </row>
    <row r="5116">
      <c r="D5116" s="226"/>
      <c r="H5116" s="474"/>
      <c r="I5116" s="474"/>
      <c r="J5116" s="475"/>
      <c r="K5116" s="275"/>
      <c r="L5116" s="82"/>
      <c r="M5116" s="672"/>
      <c r="N5116" s="242"/>
      <c r="O5116" s="242"/>
      <c r="P5116" s="242"/>
      <c r="Q5116" s="242"/>
      <c r="R5116" s="539"/>
      <c r="S5116" s="540"/>
      <c r="T5116" s="543"/>
      <c r="U5116" s="673" t="b">
        <v>0</v>
      </c>
      <c r="Z5116" t="b">
        <v>0</v>
      </c>
      <c r="AA5116" t="b">
        <v>0</v>
      </c>
      <c r="AC5116" s="82"/>
      <c r="AD5116" t="str">
        <f t="shared" si="71"/>
        <v/>
      </c>
      <c r="AE5116" t="str">
        <f t="shared" si="72"/>
        <v/>
      </c>
    </row>
    <row r="5117">
      <c r="D5117" s="226"/>
      <c r="H5117" s="474"/>
      <c r="I5117" s="474"/>
      <c r="J5117" s="475"/>
      <c r="K5117" s="275"/>
      <c r="L5117" s="82"/>
      <c r="M5117" s="672"/>
      <c r="N5117" s="242"/>
      <c r="O5117" s="242"/>
      <c r="P5117" s="242"/>
      <c r="Q5117" s="242"/>
      <c r="R5117" s="539"/>
      <c r="S5117" s="540"/>
      <c r="T5117" s="543"/>
      <c r="U5117" s="673" t="b">
        <v>0</v>
      </c>
      <c r="Z5117" t="b">
        <v>0</v>
      </c>
      <c r="AA5117" t="b">
        <v>0</v>
      </c>
      <c r="AC5117" s="82"/>
      <c r="AD5117" t="str">
        <f t="shared" si="71"/>
        <v/>
      </c>
      <c r="AE5117" t="str">
        <f t="shared" si="72"/>
        <v/>
      </c>
    </row>
    <row r="5118">
      <c r="D5118" s="226"/>
      <c r="H5118" s="474"/>
      <c r="I5118" s="474"/>
      <c r="J5118" s="475"/>
      <c r="K5118" s="275"/>
      <c r="L5118" s="82"/>
      <c r="M5118" s="672"/>
      <c r="N5118" s="242"/>
      <c r="O5118" s="242"/>
      <c r="P5118" s="242"/>
      <c r="Q5118" s="242"/>
      <c r="R5118" s="539"/>
      <c r="S5118" s="540"/>
      <c r="T5118" s="543"/>
      <c r="U5118" s="673" t="b">
        <v>0</v>
      </c>
      <c r="Z5118" t="b">
        <v>0</v>
      </c>
      <c r="AA5118" t="b">
        <v>0</v>
      </c>
      <c r="AC5118" s="82"/>
      <c r="AD5118" t="str">
        <f t="shared" si="71"/>
        <v/>
      </c>
      <c r="AE5118" t="str">
        <f t="shared" si="72"/>
        <v/>
      </c>
    </row>
    <row r="5119">
      <c r="D5119" s="226"/>
      <c r="H5119" s="474"/>
      <c r="I5119" s="474"/>
      <c r="J5119" s="475"/>
      <c r="K5119" s="275"/>
      <c r="L5119" s="82"/>
      <c r="M5119" s="672"/>
      <c r="N5119" s="242"/>
      <c r="O5119" s="242"/>
      <c r="P5119" s="242"/>
      <c r="Q5119" s="242"/>
      <c r="R5119" s="539"/>
      <c r="S5119" s="540"/>
      <c r="T5119" s="543"/>
      <c r="U5119" s="673" t="b">
        <v>0</v>
      </c>
      <c r="Z5119" t="b">
        <v>0</v>
      </c>
      <c r="AA5119" t="b">
        <v>0</v>
      </c>
      <c r="AC5119" s="82"/>
      <c r="AD5119" t="str">
        <f t="shared" si="71"/>
        <v/>
      </c>
      <c r="AE5119" t="str">
        <f t="shared" si="72"/>
        <v/>
      </c>
    </row>
    <row r="5120">
      <c r="D5120" s="226"/>
      <c r="H5120" s="474"/>
      <c r="I5120" s="474"/>
      <c r="J5120" s="475"/>
      <c r="K5120" s="275"/>
      <c r="L5120" s="82"/>
      <c r="M5120" s="672"/>
      <c r="N5120" s="242"/>
      <c r="O5120" s="242"/>
      <c r="P5120" s="242"/>
      <c r="Q5120" s="242"/>
      <c r="R5120" s="539"/>
      <c r="S5120" s="540"/>
      <c r="T5120" s="543"/>
      <c r="U5120" s="673" t="b">
        <v>0</v>
      </c>
      <c r="Z5120" t="b">
        <v>0</v>
      </c>
      <c r="AA5120" t="b">
        <v>0</v>
      </c>
      <c r="AC5120" s="82"/>
      <c r="AD5120" t="str">
        <f t="shared" si="71"/>
        <v/>
      </c>
      <c r="AE5120" t="str">
        <f t="shared" si="72"/>
        <v/>
      </c>
    </row>
    <row r="5121">
      <c r="D5121" s="226"/>
      <c r="H5121" s="474"/>
      <c r="I5121" s="474"/>
      <c r="J5121" s="475"/>
      <c r="K5121" s="275"/>
      <c r="L5121" s="82"/>
      <c r="M5121" s="672"/>
      <c r="N5121" s="242"/>
      <c r="O5121" s="242"/>
      <c r="P5121" s="242"/>
      <c r="Q5121" s="242"/>
      <c r="R5121" s="539"/>
      <c r="S5121" s="540"/>
      <c r="T5121" s="543"/>
      <c r="U5121" s="673" t="b">
        <v>0</v>
      </c>
      <c r="Z5121" t="b">
        <v>0</v>
      </c>
      <c r="AA5121" t="b">
        <v>0</v>
      </c>
      <c r="AC5121" s="82"/>
      <c r="AD5121" t="str">
        <f t="shared" si="71"/>
        <v/>
      </c>
      <c r="AE5121" t="str">
        <f t="shared" si="72"/>
        <v/>
      </c>
    </row>
    <row r="5122">
      <c r="D5122" s="226"/>
      <c r="H5122" s="474"/>
      <c r="I5122" s="474"/>
      <c r="J5122" s="475"/>
      <c r="K5122" s="275"/>
      <c r="L5122" s="82"/>
      <c r="M5122" s="672"/>
      <c r="N5122" s="242"/>
      <c r="O5122" s="242"/>
      <c r="P5122" s="242"/>
      <c r="Q5122" s="242"/>
      <c r="R5122" s="539"/>
      <c r="S5122" s="540"/>
      <c r="T5122" s="543"/>
      <c r="U5122" s="673" t="b">
        <v>0</v>
      </c>
      <c r="Z5122" t="b">
        <v>0</v>
      </c>
      <c r="AA5122" t="b">
        <v>0</v>
      </c>
      <c r="AC5122" s="82"/>
      <c r="AD5122" t="str">
        <f t="shared" si="71"/>
        <v/>
      </c>
      <c r="AE5122" t="str">
        <f t="shared" si="72"/>
        <v/>
      </c>
    </row>
    <row r="5123">
      <c r="D5123" s="226"/>
      <c r="H5123" s="474"/>
      <c r="I5123" s="474"/>
      <c r="J5123" s="475"/>
      <c r="K5123" s="275"/>
      <c r="L5123" s="82"/>
      <c r="M5123" s="672"/>
      <c r="N5123" s="242"/>
      <c r="O5123" s="242"/>
      <c r="P5123" s="242"/>
      <c r="Q5123" s="242"/>
      <c r="R5123" s="539"/>
      <c r="S5123" s="540"/>
      <c r="T5123" s="543"/>
      <c r="U5123" s="673" t="b">
        <v>0</v>
      </c>
      <c r="Z5123" t="b">
        <v>0</v>
      </c>
      <c r="AA5123" t="b">
        <v>0</v>
      </c>
      <c r="AC5123" s="82"/>
      <c r="AD5123" t="str">
        <f t="shared" si="71"/>
        <v/>
      </c>
      <c r="AE5123" t="str">
        <f t="shared" si="72"/>
        <v/>
      </c>
    </row>
    <row r="5124">
      <c r="D5124" s="226"/>
      <c r="H5124" s="474"/>
      <c r="I5124" s="474"/>
      <c r="J5124" s="475"/>
      <c r="K5124" s="275"/>
      <c r="L5124" s="82"/>
      <c r="M5124" s="672"/>
      <c r="N5124" s="242"/>
      <c r="O5124" s="242"/>
      <c r="P5124" s="242"/>
      <c r="Q5124" s="242"/>
      <c r="R5124" s="539"/>
      <c r="S5124" s="540"/>
      <c r="T5124" s="543"/>
      <c r="U5124" s="673" t="b">
        <v>0</v>
      </c>
      <c r="Z5124" t="b">
        <v>0</v>
      </c>
      <c r="AA5124" t="b">
        <v>0</v>
      </c>
      <c r="AC5124" s="82"/>
      <c r="AD5124" t="str">
        <f t="shared" si="71"/>
        <v/>
      </c>
      <c r="AE5124" t="str">
        <f t="shared" si="72"/>
        <v/>
      </c>
    </row>
    <row r="5125">
      <c r="D5125" s="226"/>
      <c r="H5125" s="474"/>
      <c r="I5125" s="474"/>
      <c r="J5125" s="475"/>
      <c r="K5125" s="275"/>
      <c r="L5125" s="82"/>
      <c r="M5125" s="672"/>
      <c r="N5125" s="242"/>
      <c r="O5125" s="242"/>
      <c r="P5125" s="242"/>
      <c r="Q5125" s="242"/>
      <c r="R5125" s="539"/>
      <c r="S5125" s="540"/>
      <c r="T5125" s="543"/>
      <c r="U5125" s="673" t="b">
        <v>0</v>
      </c>
      <c r="Z5125" t="b">
        <v>0</v>
      </c>
      <c r="AA5125" t="b">
        <v>0</v>
      </c>
      <c r="AC5125" s="82"/>
      <c r="AD5125" t="str">
        <f t="shared" si="71"/>
        <v/>
      </c>
      <c r="AE5125" t="str">
        <f t="shared" si="72"/>
        <v/>
      </c>
    </row>
    <row r="5126">
      <c r="D5126" s="226"/>
      <c r="H5126" s="474"/>
      <c r="I5126" s="474"/>
      <c r="J5126" s="475"/>
      <c r="K5126" s="275"/>
      <c r="L5126" s="82"/>
      <c r="M5126" s="672"/>
      <c r="N5126" s="242"/>
      <c r="O5126" s="242"/>
      <c r="P5126" s="242"/>
      <c r="Q5126" s="242"/>
      <c r="R5126" s="539"/>
      <c r="S5126" s="540"/>
      <c r="T5126" s="543"/>
      <c r="U5126" s="673" t="b">
        <v>0</v>
      </c>
      <c r="Z5126" t="b">
        <v>0</v>
      </c>
      <c r="AA5126" t="b">
        <v>0</v>
      </c>
      <c r="AC5126" s="82"/>
      <c r="AD5126" t="str">
        <f t="shared" si="71"/>
        <v/>
      </c>
      <c r="AE5126" t="str">
        <f t="shared" si="72"/>
        <v/>
      </c>
    </row>
    <row r="5127">
      <c r="D5127" s="226"/>
      <c r="H5127" s="474"/>
      <c r="I5127" s="474"/>
      <c r="J5127" s="475"/>
      <c r="K5127" s="275"/>
      <c r="L5127" s="82"/>
      <c r="M5127" s="672"/>
      <c r="N5127" s="242"/>
      <c r="O5127" s="242"/>
      <c r="P5127" s="242"/>
      <c r="Q5127" s="242"/>
      <c r="R5127" s="539"/>
      <c r="S5127" s="540"/>
      <c r="T5127" s="543"/>
      <c r="U5127" s="673" t="b">
        <v>0</v>
      </c>
      <c r="Z5127" t="b">
        <v>0</v>
      </c>
      <c r="AA5127" t="b">
        <v>0</v>
      </c>
      <c r="AC5127" s="82"/>
      <c r="AD5127" t="str">
        <f t="shared" si="71"/>
        <v/>
      </c>
      <c r="AE5127" t="str">
        <f t="shared" si="72"/>
        <v/>
      </c>
    </row>
    <row r="5128">
      <c r="D5128" s="226"/>
      <c r="H5128" s="474"/>
      <c r="I5128" s="474"/>
      <c r="J5128" s="475"/>
      <c r="K5128" s="275"/>
      <c r="L5128" s="82"/>
      <c r="M5128" s="672"/>
      <c r="N5128" s="242"/>
      <c r="O5128" s="242"/>
      <c r="P5128" s="242"/>
      <c r="Q5128" s="242"/>
      <c r="R5128" s="539"/>
      <c r="S5128" s="540"/>
      <c r="T5128" s="543"/>
      <c r="U5128" s="673" t="b">
        <v>0</v>
      </c>
      <c r="Z5128" t="b">
        <v>0</v>
      </c>
      <c r="AA5128" t="b">
        <v>0</v>
      </c>
      <c r="AC5128" s="82"/>
      <c r="AD5128" t="str">
        <f t="shared" si="71"/>
        <v/>
      </c>
      <c r="AE5128" t="str">
        <f t="shared" si="72"/>
        <v/>
      </c>
    </row>
    <row r="5129">
      <c r="D5129" s="226"/>
      <c r="H5129" s="474"/>
      <c r="I5129" s="474"/>
      <c r="J5129" s="475"/>
      <c r="K5129" s="275"/>
      <c r="L5129" s="82"/>
      <c r="M5129" s="672"/>
      <c r="N5129" s="242"/>
      <c r="O5129" s="242"/>
      <c r="P5129" s="242"/>
      <c r="Q5129" s="242"/>
      <c r="R5129" s="539"/>
      <c r="S5129" s="540"/>
      <c r="T5129" s="543"/>
      <c r="U5129" s="673" t="b">
        <v>0</v>
      </c>
      <c r="Z5129" t="b">
        <v>0</v>
      </c>
      <c r="AA5129" t="b">
        <v>0</v>
      </c>
      <c r="AC5129" s="82"/>
      <c r="AD5129" t="str">
        <f t="shared" si="71"/>
        <v/>
      </c>
      <c r="AE5129" t="str">
        <f t="shared" si="72"/>
        <v/>
      </c>
    </row>
    <row r="5130">
      <c r="D5130" s="226"/>
      <c r="H5130" s="474"/>
      <c r="I5130" s="474"/>
      <c r="J5130" s="475"/>
      <c r="K5130" s="275"/>
      <c r="L5130" s="82"/>
      <c r="M5130" s="672"/>
      <c r="N5130" s="242"/>
      <c r="O5130" s="242"/>
      <c r="P5130" s="242"/>
      <c r="Q5130" s="242"/>
      <c r="R5130" s="539"/>
      <c r="S5130" s="540"/>
      <c r="T5130" s="543"/>
      <c r="U5130" s="673" t="b">
        <v>0</v>
      </c>
      <c r="Z5130" t="b">
        <v>0</v>
      </c>
      <c r="AA5130" t="b">
        <v>0</v>
      </c>
      <c r="AC5130" s="82"/>
      <c r="AD5130" t="str">
        <f t="shared" si="71"/>
        <v/>
      </c>
      <c r="AE5130" t="str">
        <f t="shared" si="72"/>
        <v/>
      </c>
    </row>
    <row r="5131">
      <c r="D5131" s="226"/>
      <c r="H5131" s="474"/>
      <c r="I5131" s="474"/>
      <c r="J5131" s="475"/>
      <c r="K5131" s="275"/>
      <c r="L5131" s="82"/>
      <c r="M5131" s="672"/>
      <c r="N5131" s="242"/>
      <c r="O5131" s="242"/>
      <c r="P5131" s="242"/>
      <c r="Q5131" s="242"/>
      <c r="R5131" s="539"/>
      <c r="S5131" s="540"/>
      <c r="T5131" s="543"/>
      <c r="U5131" s="673" t="b">
        <v>0</v>
      </c>
      <c r="Z5131" t="b">
        <v>0</v>
      </c>
      <c r="AA5131" t="b">
        <v>0</v>
      </c>
      <c r="AC5131" s="82"/>
      <c r="AD5131" t="str">
        <f t="shared" si="71"/>
        <v/>
      </c>
      <c r="AE5131" t="str">
        <f t="shared" si="72"/>
        <v/>
      </c>
    </row>
    <row r="5132">
      <c r="D5132" s="226"/>
      <c r="H5132" s="474"/>
      <c r="I5132" s="474"/>
      <c r="J5132" s="475"/>
      <c r="K5132" s="275"/>
      <c r="L5132" s="82"/>
      <c r="M5132" s="672"/>
      <c r="N5132" s="242"/>
      <c r="O5132" s="242"/>
      <c r="P5132" s="242"/>
      <c r="Q5132" s="242"/>
      <c r="R5132" s="539"/>
      <c r="S5132" s="540"/>
      <c r="T5132" s="543"/>
      <c r="U5132" s="673" t="b">
        <v>0</v>
      </c>
      <c r="Z5132" t="b">
        <v>0</v>
      </c>
      <c r="AA5132" t="b">
        <v>0</v>
      </c>
      <c r="AC5132" s="82"/>
      <c r="AD5132" t="str">
        <f t="shared" si="71"/>
        <v/>
      </c>
      <c r="AE5132" t="str">
        <f t="shared" si="72"/>
        <v/>
      </c>
    </row>
    <row r="5133">
      <c r="D5133" s="226"/>
      <c r="H5133" s="474"/>
      <c r="I5133" s="474"/>
      <c r="J5133" s="475"/>
      <c r="K5133" s="275"/>
      <c r="L5133" s="82"/>
      <c r="M5133" s="672"/>
      <c r="N5133" s="242"/>
      <c r="O5133" s="242"/>
      <c r="P5133" s="242"/>
      <c r="Q5133" s="242"/>
      <c r="R5133" s="539"/>
      <c r="S5133" s="540"/>
      <c r="T5133" s="543"/>
      <c r="U5133" s="673" t="b">
        <v>0</v>
      </c>
      <c r="Z5133" t="b">
        <v>0</v>
      </c>
      <c r="AA5133" t="b">
        <v>0</v>
      </c>
      <c r="AC5133" s="82"/>
      <c r="AD5133" t="str">
        <f t="shared" si="71"/>
        <v/>
      </c>
      <c r="AE5133" t="str">
        <f t="shared" si="72"/>
        <v/>
      </c>
    </row>
    <row r="5134">
      <c r="D5134" s="226"/>
      <c r="H5134" s="474"/>
      <c r="I5134" s="474"/>
      <c r="J5134" s="475"/>
      <c r="K5134" s="275"/>
      <c r="L5134" s="82"/>
      <c r="M5134" s="672"/>
      <c r="N5134" s="242"/>
      <c r="O5134" s="242"/>
      <c r="P5134" s="242"/>
      <c r="Q5134" s="242"/>
      <c r="R5134" s="539"/>
      <c r="S5134" s="540"/>
      <c r="T5134" s="543"/>
      <c r="U5134" s="673" t="b">
        <v>0</v>
      </c>
      <c r="Z5134" t="b">
        <v>0</v>
      </c>
      <c r="AA5134" t="b">
        <v>0</v>
      </c>
      <c r="AC5134" s="82"/>
      <c r="AD5134" t="str">
        <f t="shared" si="71"/>
        <v/>
      </c>
      <c r="AE5134" t="str">
        <f t="shared" si="72"/>
        <v/>
      </c>
    </row>
    <row r="5135">
      <c r="D5135" s="226"/>
      <c r="H5135" s="474"/>
      <c r="I5135" s="474"/>
      <c r="J5135" s="475"/>
      <c r="K5135" s="275"/>
      <c r="L5135" s="82"/>
      <c r="M5135" s="672"/>
      <c r="N5135" s="242"/>
      <c r="O5135" s="242"/>
      <c r="P5135" s="242"/>
      <c r="Q5135" s="242"/>
      <c r="R5135" s="539"/>
      <c r="S5135" s="540"/>
      <c r="T5135" s="543"/>
      <c r="U5135" s="673" t="b">
        <v>0</v>
      </c>
      <c r="Z5135" t="b">
        <v>0</v>
      </c>
      <c r="AA5135" t="b">
        <v>0</v>
      </c>
      <c r="AC5135" s="82"/>
      <c r="AD5135" t="str">
        <f t="shared" si="71"/>
        <v/>
      </c>
      <c r="AE5135" t="str">
        <f t="shared" si="72"/>
        <v/>
      </c>
    </row>
    <row r="5136">
      <c r="D5136" s="226"/>
      <c r="H5136" s="474"/>
      <c r="I5136" s="474"/>
      <c r="J5136" s="475"/>
      <c r="K5136" s="275"/>
      <c r="L5136" s="82"/>
      <c r="M5136" s="672"/>
      <c r="N5136" s="242"/>
      <c r="O5136" s="242"/>
      <c r="P5136" s="242"/>
      <c r="Q5136" s="242"/>
      <c r="R5136" s="539"/>
      <c r="S5136" s="540"/>
      <c r="T5136" s="543"/>
      <c r="U5136" s="673" t="b">
        <v>0</v>
      </c>
      <c r="Z5136" t="b">
        <v>0</v>
      </c>
      <c r="AA5136" t="b">
        <v>0</v>
      </c>
      <c r="AC5136" s="82"/>
      <c r="AD5136" t="str">
        <f t="shared" si="71"/>
        <v/>
      </c>
      <c r="AE5136" t="str">
        <f t="shared" si="72"/>
        <v/>
      </c>
    </row>
    <row r="5137">
      <c r="D5137" s="226"/>
      <c r="H5137" s="474"/>
      <c r="I5137" s="474"/>
      <c r="J5137" s="475"/>
      <c r="K5137" s="275"/>
      <c r="L5137" s="82"/>
      <c r="M5137" s="672"/>
      <c r="N5137" s="242"/>
      <c r="O5137" s="242"/>
      <c r="P5137" s="242"/>
      <c r="Q5137" s="242"/>
      <c r="R5137" s="539"/>
      <c r="S5137" s="540"/>
      <c r="T5137" s="543"/>
      <c r="U5137" s="673" t="b">
        <v>0</v>
      </c>
      <c r="Z5137" t="b">
        <v>0</v>
      </c>
      <c r="AA5137" t="b">
        <v>0</v>
      </c>
      <c r="AC5137" s="82"/>
      <c r="AD5137" t="str">
        <f t="shared" si="71"/>
        <v/>
      </c>
      <c r="AE5137" t="str">
        <f t="shared" si="72"/>
        <v/>
      </c>
    </row>
    <row r="5138">
      <c r="D5138" s="226"/>
      <c r="H5138" s="474"/>
      <c r="I5138" s="474"/>
      <c r="J5138" s="475"/>
      <c r="K5138" s="275"/>
      <c r="L5138" s="82"/>
      <c r="M5138" s="672"/>
      <c r="N5138" s="242"/>
      <c r="O5138" s="242"/>
      <c r="P5138" s="242"/>
      <c r="Q5138" s="242"/>
      <c r="R5138" s="539"/>
      <c r="S5138" s="540"/>
      <c r="T5138" s="543"/>
      <c r="U5138" s="673" t="b">
        <v>0</v>
      </c>
      <c r="Z5138" t="b">
        <v>0</v>
      </c>
      <c r="AA5138" t="b">
        <v>0</v>
      </c>
      <c r="AC5138" s="82"/>
      <c r="AD5138" t="str">
        <f t="shared" si="71"/>
        <v/>
      </c>
      <c r="AE5138" t="str">
        <f t="shared" si="72"/>
        <v/>
      </c>
    </row>
    <row r="5139">
      <c r="D5139" s="226"/>
      <c r="H5139" s="474"/>
      <c r="I5139" s="474"/>
      <c r="J5139" s="475"/>
      <c r="K5139" s="275"/>
      <c r="L5139" s="82"/>
      <c r="M5139" s="672"/>
      <c r="N5139" s="242"/>
      <c r="O5139" s="242"/>
      <c r="P5139" s="242"/>
      <c r="Q5139" s="242"/>
      <c r="R5139" s="539"/>
      <c r="S5139" s="540"/>
      <c r="T5139" s="543"/>
      <c r="U5139" s="673" t="b">
        <v>0</v>
      </c>
      <c r="Z5139" t="b">
        <v>0</v>
      </c>
      <c r="AA5139" t="b">
        <v>0</v>
      </c>
      <c r="AC5139" s="82"/>
      <c r="AD5139" t="str">
        <f t="shared" si="71"/>
        <v/>
      </c>
      <c r="AE5139" t="str">
        <f t="shared" si="72"/>
        <v/>
      </c>
    </row>
    <row r="5140">
      <c r="D5140" s="226"/>
      <c r="H5140" s="474"/>
      <c r="I5140" s="474"/>
      <c r="J5140" s="475"/>
      <c r="K5140" s="275"/>
      <c r="L5140" s="82"/>
      <c r="M5140" s="672"/>
      <c r="N5140" s="242"/>
      <c r="O5140" s="242"/>
      <c r="P5140" s="242"/>
      <c r="Q5140" s="242"/>
      <c r="R5140" s="539"/>
      <c r="S5140" s="540"/>
      <c r="T5140" s="543"/>
      <c r="U5140" s="673" t="b">
        <v>0</v>
      </c>
      <c r="Z5140" t="b">
        <v>0</v>
      </c>
      <c r="AA5140" t="b">
        <v>0</v>
      </c>
      <c r="AC5140" s="82"/>
      <c r="AD5140" t="str">
        <f t="shared" si="71"/>
        <v/>
      </c>
      <c r="AE5140" t="str">
        <f t="shared" si="72"/>
        <v/>
      </c>
    </row>
    <row r="5141">
      <c r="D5141" s="226"/>
      <c r="H5141" s="474"/>
      <c r="I5141" s="474"/>
      <c r="J5141" s="475"/>
      <c r="K5141" s="275"/>
      <c r="L5141" s="82"/>
      <c r="M5141" s="672"/>
      <c r="N5141" s="242"/>
      <c r="O5141" s="242"/>
      <c r="P5141" s="242"/>
      <c r="Q5141" s="242"/>
      <c r="R5141" s="539"/>
      <c r="S5141" s="540"/>
      <c r="T5141" s="543"/>
      <c r="U5141" s="673" t="b">
        <v>0</v>
      </c>
      <c r="Z5141" t="b">
        <v>0</v>
      </c>
      <c r="AA5141" t="b">
        <v>0</v>
      </c>
      <c r="AC5141" s="82"/>
      <c r="AD5141" t="str">
        <f t="shared" si="71"/>
        <v/>
      </c>
      <c r="AE5141" t="str">
        <f t="shared" si="72"/>
        <v/>
      </c>
    </row>
    <row r="5142">
      <c r="D5142" s="226"/>
      <c r="H5142" s="474"/>
      <c r="I5142" s="474"/>
      <c r="J5142" s="475"/>
      <c r="K5142" s="275"/>
      <c r="L5142" s="82"/>
      <c r="M5142" s="672"/>
      <c r="N5142" s="242"/>
      <c r="O5142" s="242"/>
      <c r="P5142" s="242"/>
      <c r="Q5142" s="242"/>
      <c r="R5142" s="539"/>
      <c r="S5142" s="540"/>
      <c r="T5142" s="543"/>
      <c r="U5142" s="673" t="b">
        <v>0</v>
      </c>
      <c r="Z5142" t="b">
        <v>0</v>
      </c>
      <c r="AA5142" t="b">
        <v>0</v>
      </c>
      <c r="AC5142" s="82"/>
      <c r="AD5142" t="str">
        <f t="shared" si="71"/>
        <v/>
      </c>
      <c r="AE5142" t="str">
        <f t="shared" si="72"/>
        <v/>
      </c>
    </row>
    <row r="5143">
      <c r="D5143" s="226"/>
      <c r="H5143" s="474"/>
      <c r="I5143" s="474"/>
      <c r="J5143" s="475"/>
      <c r="K5143" s="275"/>
      <c r="L5143" s="82"/>
      <c r="M5143" s="672"/>
      <c r="N5143" s="242"/>
      <c r="O5143" s="242"/>
      <c r="P5143" s="242"/>
      <c r="Q5143" s="242"/>
      <c r="R5143" s="539"/>
      <c r="S5143" s="540"/>
      <c r="T5143" s="543"/>
      <c r="U5143" s="673" t="b">
        <v>0</v>
      </c>
      <c r="Z5143" t="b">
        <v>0</v>
      </c>
      <c r="AA5143" t="b">
        <v>0</v>
      </c>
      <c r="AC5143" s="82"/>
      <c r="AD5143" t="str">
        <f t="shared" si="71"/>
        <v/>
      </c>
      <c r="AE5143" t="str">
        <f t="shared" si="72"/>
        <v/>
      </c>
    </row>
    <row r="5144">
      <c r="D5144" s="226"/>
      <c r="H5144" s="474"/>
      <c r="I5144" s="474"/>
      <c r="J5144" s="475"/>
      <c r="K5144" s="275"/>
      <c r="L5144" s="82"/>
      <c r="M5144" s="672"/>
      <c r="N5144" s="242"/>
      <c r="O5144" s="242"/>
      <c r="P5144" s="242"/>
      <c r="Q5144" s="242"/>
      <c r="R5144" s="539"/>
      <c r="S5144" s="540"/>
      <c r="T5144" s="543"/>
      <c r="U5144" s="673" t="b">
        <v>0</v>
      </c>
      <c r="Z5144" t="b">
        <v>0</v>
      </c>
      <c r="AA5144" t="b">
        <v>0</v>
      </c>
      <c r="AC5144" s="82"/>
      <c r="AD5144" t="str">
        <f t="shared" si="71"/>
        <v/>
      </c>
      <c r="AE5144" t="str">
        <f t="shared" si="72"/>
        <v/>
      </c>
    </row>
    <row r="5145">
      <c r="D5145" s="226"/>
      <c r="H5145" s="474"/>
      <c r="I5145" s="474"/>
      <c r="J5145" s="475"/>
      <c r="K5145" s="275"/>
      <c r="L5145" s="82"/>
      <c r="M5145" s="672"/>
      <c r="N5145" s="242"/>
      <c r="O5145" s="242"/>
      <c r="P5145" s="242"/>
      <c r="Q5145" s="242"/>
      <c r="R5145" s="539"/>
      <c r="S5145" s="540"/>
      <c r="T5145" s="543"/>
      <c r="U5145" s="673" t="b">
        <v>0</v>
      </c>
      <c r="Z5145" t="b">
        <v>0</v>
      </c>
      <c r="AA5145" t="b">
        <v>0</v>
      </c>
      <c r="AC5145" s="82"/>
      <c r="AD5145" t="str">
        <f t="shared" si="71"/>
        <v/>
      </c>
      <c r="AE5145" t="str">
        <f t="shared" si="72"/>
        <v/>
      </c>
    </row>
    <row r="5146">
      <c r="D5146" s="226"/>
      <c r="H5146" s="474"/>
      <c r="I5146" s="474"/>
      <c r="J5146" s="475"/>
      <c r="K5146" s="275"/>
      <c r="L5146" s="82"/>
      <c r="M5146" s="672"/>
      <c r="N5146" s="242"/>
      <c r="O5146" s="242"/>
      <c r="P5146" s="242"/>
      <c r="Q5146" s="242"/>
      <c r="R5146" s="539"/>
      <c r="S5146" s="540"/>
      <c r="T5146" s="543"/>
      <c r="U5146" s="673" t="b">
        <v>0</v>
      </c>
      <c r="Z5146" t="b">
        <v>0</v>
      </c>
      <c r="AA5146" t="b">
        <v>0</v>
      </c>
      <c r="AC5146" s="82"/>
      <c r="AD5146" t="str">
        <f t="shared" si="71"/>
        <v/>
      </c>
      <c r="AE5146" t="str">
        <f t="shared" si="72"/>
        <v/>
      </c>
    </row>
    <row r="5147">
      <c r="D5147" s="226"/>
      <c r="H5147" s="474"/>
      <c r="I5147" s="474"/>
      <c r="J5147" s="475"/>
      <c r="K5147" s="275"/>
      <c r="L5147" s="82"/>
      <c r="M5147" s="672"/>
      <c r="N5147" s="242"/>
      <c r="O5147" s="242"/>
      <c r="P5147" s="242"/>
      <c r="Q5147" s="242"/>
      <c r="R5147" s="539"/>
      <c r="S5147" s="540"/>
      <c r="T5147" s="543"/>
      <c r="U5147" s="673" t="b">
        <v>0</v>
      </c>
      <c r="Z5147" t="b">
        <v>0</v>
      </c>
      <c r="AA5147" t="b">
        <v>0</v>
      </c>
      <c r="AC5147" s="82"/>
      <c r="AD5147" t="str">
        <f t="shared" si="71"/>
        <v/>
      </c>
      <c r="AE5147" t="str">
        <f t="shared" si="72"/>
        <v/>
      </c>
    </row>
    <row r="5148">
      <c r="D5148" s="226"/>
      <c r="H5148" s="474"/>
      <c r="I5148" s="474"/>
      <c r="J5148" s="475"/>
      <c r="K5148" s="275"/>
      <c r="L5148" s="82"/>
      <c r="M5148" s="672"/>
      <c r="N5148" s="242"/>
      <c r="O5148" s="242"/>
      <c r="P5148" s="242"/>
      <c r="Q5148" s="242"/>
      <c r="R5148" s="539"/>
      <c r="S5148" s="540"/>
      <c r="T5148" s="543"/>
      <c r="U5148" s="673" t="b">
        <v>0</v>
      </c>
      <c r="Z5148" t="b">
        <v>0</v>
      </c>
      <c r="AA5148" t="b">
        <v>0</v>
      </c>
      <c r="AC5148" s="82"/>
      <c r="AD5148" t="str">
        <f t="shared" si="71"/>
        <v/>
      </c>
      <c r="AE5148" t="str">
        <f t="shared" si="72"/>
        <v/>
      </c>
    </row>
    <row r="5149">
      <c r="D5149" s="226"/>
      <c r="H5149" s="474"/>
      <c r="I5149" s="474"/>
      <c r="J5149" s="475"/>
      <c r="K5149" s="275"/>
      <c r="L5149" s="82"/>
      <c r="M5149" s="672"/>
      <c r="N5149" s="242"/>
      <c r="O5149" s="242"/>
      <c r="P5149" s="242"/>
      <c r="Q5149" s="242"/>
      <c r="R5149" s="539"/>
      <c r="S5149" s="540"/>
      <c r="T5149" s="543"/>
      <c r="U5149" s="673" t="b">
        <v>0</v>
      </c>
      <c r="Z5149" t="b">
        <v>0</v>
      </c>
      <c r="AA5149" t="b">
        <v>0</v>
      </c>
      <c r="AC5149" s="82"/>
      <c r="AD5149" t="str">
        <f t="shared" si="71"/>
        <v/>
      </c>
      <c r="AE5149" t="str">
        <f t="shared" si="72"/>
        <v/>
      </c>
    </row>
    <row r="5150">
      <c r="D5150" s="226"/>
      <c r="H5150" s="474"/>
      <c r="I5150" s="474"/>
      <c r="J5150" s="475"/>
      <c r="K5150" s="275"/>
      <c r="L5150" s="82"/>
      <c r="M5150" s="672"/>
      <c r="N5150" s="242"/>
      <c r="O5150" s="242"/>
      <c r="P5150" s="242"/>
      <c r="Q5150" s="242"/>
      <c r="R5150" s="539"/>
      <c r="S5150" s="540"/>
      <c r="T5150" s="543"/>
      <c r="U5150" s="673" t="b">
        <v>0</v>
      </c>
      <c r="Z5150" t="b">
        <v>0</v>
      </c>
      <c r="AA5150" t="b">
        <v>0</v>
      </c>
      <c r="AC5150" s="82"/>
      <c r="AD5150" t="str">
        <f t="shared" si="71"/>
        <v/>
      </c>
      <c r="AE5150" t="str">
        <f t="shared" si="72"/>
        <v/>
      </c>
    </row>
    <row r="5151">
      <c r="D5151" s="226"/>
      <c r="H5151" s="474"/>
      <c r="I5151" s="474"/>
      <c r="J5151" s="475"/>
      <c r="K5151" s="275"/>
      <c r="L5151" s="82"/>
      <c r="M5151" s="672"/>
      <c r="N5151" s="242"/>
      <c r="O5151" s="242"/>
      <c r="P5151" s="242"/>
      <c r="Q5151" s="242"/>
      <c r="R5151" s="539"/>
      <c r="S5151" s="540"/>
      <c r="T5151" s="543"/>
      <c r="U5151" s="673" t="b">
        <v>0</v>
      </c>
      <c r="Z5151" t="b">
        <v>0</v>
      </c>
      <c r="AA5151" t="b">
        <v>0</v>
      </c>
      <c r="AC5151" s="82"/>
      <c r="AD5151" t="str">
        <f t="shared" si="71"/>
        <v/>
      </c>
      <c r="AE5151" t="str">
        <f t="shared" si="72"/>
        <v/>
      </c>
    </row>
    <row r="5152">
      <c r="D5152" s="226"/>
      <c r="H5152" s="474"/>
      <c r="I5152" s="474"/>
      <c r="J5152" s="475"/>
      <c r="K5152" s="275"/>
      <c r="L5152" s="82"/>
      <c r="M5152" s="672"/>
      <c r="N5152" s="242"/>
      <c r="O5152" s="242"/>
      <c r="P5152" s="242"/>
      <c r="Q5152" s="242"/>
      <c r="R5152" s="539"/>
      <c r="S5152" s="540"/>
      <c r="T5152" s="543"/>
      <c r="U5152" s="673" t="b">
        <v>0</v>
      </c>
      <c r="Z5152" t="b">
        <v>0</v>
      </c>
      <c r="AA5152" t="b">
        <v>0</v>
      </c>
      <c r="AC5152" s="82"/>
      <c r="AD5152" t="str">
        <f t="shared" si="71"/>
        <v/>
      </c>
      <c r="AE5152" t="str">
        <f t="shared" si="72"/>
        <v/>
      </c>
    </row>
    <row r="5153">
      <c r="D5153" s="226"/>
      <c r="H5153" s="474"/>
      <c r="I5153" s="474"/>
      <c r="J5153" s="475"/>
      <c r="K5153" s="275"/>
      <c r="L5153" s="82"/>
      <c r="M5153" s="672"/>
      <c r="N5153" s="242"/>
      <c r="O5153" s="242"/>
      <c r="P5153" s="242"/>
      <c r="Q5153" s="242"/>
      <c r="R5153" s="539"/>
      <c r="S5153" s="540"/>
      <c r="T5153" s="543"/>
      <c r="U5153" s="673" t="b">
        <v>0</v>
      </c>
      <c r="Z5153" t="b">
        <v>0</v>
      </c>
      <c r="AA5153" t="b">
        <v>0</v>
      </c>
      <c r="AC5153" s="82"/>
      <c r="AD5153" t="str">
        <f t="shared" si="71"/>
        <v/>
      </c>
      <c r="AE5153" t="str">
        <f t="shared" si="72"/>
        <v/>
      </c>
    </row>
    <row r="5154">
      <c r="D5154" s="226"/>
      <c r="H5154" s="474"/>
      <c r="I5154" s="474"/>
      <c r="J5154" s="475"/>
      <c r="K5154" s="275"/>
      <c r="L5154" s="82"/>
      <c r="M5154" s="672"/>
      <c r="N5154" s="242"/>
      <c r="O5154" s="242"/>
      <c r="P5154" s="242"/>
      <c r="Q5154" s="242"/>
      <c r="R5154" s="539"/>
      <c r="S5154" s="540"/>
      <c r="T5154" s="543"/>
      <c r="U5154" s="673" t="b">
        <v>0</v>
      </c>
      <c r="Z5154" t="b">
        <v>0</v>
      </c>
      <c r="AA5154" t="b">
        <v>0</v>
      </c>
      <c r="AC5154" s="82"/>
      <c r="AD5154" t="str">
        <f t="shared" si="71"/>
        <v/>
      </c>
      <c r="AE5154" t="str">
        <f t="shared" si="72"/>
        <v/>
      </c>
    </row>
    <row r="5155">
      <c r="D5155" s="226"/>
      <c r="H5155" s="474"/>
      <c r="I5155" s="474"/>
      <c r="J5155" s="475"/>
      <c r="K5155" s="275"/>
      <c r="L5155" s="82"/>
      <c r="M5155" s="672"/>
      <c r="N5155" s="242"/>
      <c r="O5155" s="242"/>
      <c r="P5155" s="242"/>
      <c r="Q5155" s="242"/>
      <c r="R5155" s="539"/>
      <c r="S5155" s="540"/>
      <c r="T5155" s="543"/>
      <c r="U5155" s="673" t="b">
        <v>0</v>
      </c>
      <c r="Z5155" t="b">
        <v>0</v>
      </c>
      <c r="AA5155" t="b">
        <v>0</v>
      </c>
      <c r="AC5155" s="82"/>
      <c r="AD5155" t="str">
        <f t="shared" si="71"/>
        <v/>
      </c>
      <c r="AE5155" t="str">
        <f t="shared" si="72"/>
        <v/>
      </c>
    </row>
    <row r="5156">
      <c r="D5156" s="226"/>
      <c r="H5156" s="474"/>
      <c r="I5156" s="474"/>
      <c r="J5156" s="475"/>
      <c r="K5156" s="275"/>
      <c r="L5156" s="82"/>
      <c r="M5156" s="672"/>
      <c r="N5156" s="242"/>
      <c r="O5156" s="242"/>
      <c r="P5156" s="242"/>
      <c r="Q5156" s="242"/>
      <c r="R5156" s="539"/>
      <c r="S5156" s="540"/>
      <c r="T5156" s="543"/>
      <c r="U5156" s="673" t="b">
        <v>0</v>
      </c>
      <c r="Z5156" t="b">
        <v>0</v>
      </c>
      <c r="AA5156" t="b">
        <v>0</v>
      </c>
      <c r="AC5156" s="82"/>
      <c r="AD5156" t="str">
        <f t="shared" si="71"/>
        <v/>
      </c>
      <c r="AE5156" t="str">
        <f t="shared" si="72"/>
        <v/>
      </c>
    </row>
    <row r="5157">
      <c r="D5157" s="226"/>
      <c r="H5157" s="474"/>
      <c r="I5157" s="474"/>
      <c r="J5157" s="475"/>
      <c r="K5157" s="275"/>
      <c r="L5157" s="82"/>
      <c r="M5157" s="672"/>
      <c r="N5157" s="242"/>
      <c r="O5157" s="242"/>
      <c r="P5157" s="242"/>
      <c r="Q5157" s="242"/>
      <c r="R5157" s="539"/>
      <c r="S5157" s="540"/>
      <c r="T5157" s="543"/>
      <c r="U5157" s="673" t="b">
        <v>0</v>
      </c>
      <c r="Z5157" t="b">
        <v>0</v>
      </c>
      <c r="AA5157" t="b">
        <v>0</v>
      </c>
      <c r="AC5157" s="82"/>
      <c r="AD5157" t="str">
        <f t="shared" si="71"/>
        <v/>
      </c>
      <c r="AE5157" t="str">
        <f t="shared" si="72"/>
        <v/>
      </c>
    </row>
    <row r="5158">
      <c r="D5158" s="226"/>
      <c r="H5158" s="474"/>
      <c r="I5158" s="474"/>
      <c r="J5158" s="475"/>
      <c r="K5158" s="275"/>
      <c r="L5158" s="82"/>
      <c r="M5158" s="672"/>
      <c r="N5158" s="242"/>
      <c r="O5158" s="242"/>
      <c r="P5158" s="242"/>
      <c r="Q5158" s="242"/>
      <c r="R5158" s="539"/>
      <c r="S5158" s="540"/>
      <c r="T5158" s="543"/>
      <c r="U5158" s="673" t="b">
        <v>0</v>
      </c>
      <c r="Z5158" t="b">
        <v>0</v>
      </c>
      <c r="AA5158" t="b">
        <v>0</v>
      </c>
      <c r="AC5158" s="82"/>
      <c r="AD5158" t="str">
        <f t="shared" si="71"/>
        <v/>
      </c>
      <c r="AE5158" t="str">
        <f t="shared" si="72"/>
        <v/>
      </c>
    </row>
    <row r="5159">
      <c r="D5159" s="226"/>
      <c r="H5159" s="474"/>
      <c r="I5159" s="474"/>
      <c r="J5159" s="475"/>
      <c r="K5159" s="275"/>
      <c r="L5159" s="82"/>
      <c r="M5159" s="672"/>
      <c r="N5159" s="242"/>
      <c r="O5159" s="242"/>
      <c r="P5159" s="242"/>
      <c r="Q5159" s="242"/>
      <c r="R5159" s="539"/>
      <c r="S5159" s="540"/>
      <c r="T5159" s="543"/>
      <c r="U5159" s="673" t="b">
        <v>0</v>
      </c>
      <c r="Z5159" t="b">
        <v>0</v>
      </c>
      <c r="AA5159" t="b">
        <v>0</v>
      </c>
      <c r="AC5159" s="82"/>
      <c r="AD5159" t="str">
        <f t="shared" si="71"/>
        <v/>
      </c>
      <c r="AE5159" t="str">
        <f t="shared" si="72"/>
        <v/>
      </c>
    </row>
    <row r="5160">
      <c r="D5160" s="226"/>
      <c r="H5160" s="474"/>
      <c r="I5160" s="474"/>
      <c r="J5160" s="475"/>
      <c r="K5160" s="275"/>
      <c r="L5160" s="82"/>
      <c r="M5160" s="672"/>
      <c r="N5160" s="242"/>
      <c r="O5160" s="242"/>
      <c r="P5160" s="242"/>
      <c r="Q5160" s="242"/>
      <c r="R5160" s="539"/>
      <c r="S5160" s="540"/>
      <c r="T5160" s="543"/>
      <c r="U5160" s="673" t="b">
        <v>0</v>
      </c>
      <c r="Z5160" t="b">
        <v>0</v>
      </c>
      <c r="AA5160" t="b">
        <v>0</v>
      </c>
      <c r="AC5160" s="82"/>
      <c r="AD5160" t="str">
        <f t="shared" si="71"/>
        <v/>
      </c>
      <c r="AE5160" t="str">
        <f t="shared" si="72"/>
        <v/>
      </c>
    </row>
    <row r="5161">
      <c r="D5161" s="226"/>
      <c r="H5161" s="474"/>
      <c r="I5161" s="474"/>
      <c r="J5161" s="475"/>
      <c r="K5161" s="275"/>
      <c r="L5161" s="82"/>
      <c r="M5161" s="672"/>
      <c r="N5161" s="242"/>
      <c r="O5161" s="242"/>
      <c r="P5161" s="242"/>
      <c r="Q5161" s="242"/>
      <c r="R5161" s="539"/>
      <c r="S5161" s="540"/>
      <c r="T5161" s="543"/>
      <c r="U5161" s="673" t="b">
        <v>0</v>
      </c>
      <c r="Z5161" t="b">
        <v>0</v>
      </c>
      <c r="AA5161" t="b">
        <v>0</v>
      </c>
      <c r="AC5161" s="82"/>
      <c r="AD5161" t="str">
        <f t="shared" si="71"/>
        <v/>
      </c>
      <c r="AE5161" t="str">
        <f t="shared" si="72"/>
        <v/>
      </c>
    </row>
    <row r="5162">
      <c r="D5162" s="226"/>
      <c r="H5162" s="474"/>
      <c r="I5162" s="474"/>
      <c r="J5162" s="475"/>
      <c r="K5162" s="275"/>
      <c r="L5162" s="82"/>
      <c r="M5162" s="672"/>
      <c r="N5162" s="242"/>
      <c r="O5162" s="242"/>
      <c r="P5162" s="242"/>
      <c r="Q5162" s="242"/>
      <c r="R5162" s="539"/>
      <c r="S5162" s="540"/>
      <c r="T5162" s="543"/>
      <c r="U5162" s="673" t="b">
        <v>0</v>
      </c>
      <c r="Z5162" t="b">
        <v>0</v>
      </c>
      <c r="AA5162" t="b">
        <v>0</v>
      </c>
      <c r="AC5162" s="82"/>
      <c r="AD5162" t="str">
        <f t="shared" si="71"/>
        <v/>
      </c>
      <c r="AE5162" t="str">
        <f t="shared" si="72"/>
        <v/>
      </c>
    </row>
    <row r="5163">
      <c r="D5163" s="226"/>
      <c r="H5163" s="474"/>
      <c r="I5163" s="474"/>
      <c r="J5163" s="475"/>
      <c r="K5163" s="275"/>
      <c r="L5163" s="82"/>
      <c r="M5163" s="672"/>
      <c r="N5163" s="242"/>
      <c r="O5163" s="242"/>
      <c r="P5163" s="242"/>
      <c r="Q5163" s="242"/>
      <c r="R5163" s="539"/>
      <c r="S5163" s="540"/>
      <c r="T5163" s="543"/>
      <c r="U5163" s="673" t="b">
        <v>0</v>
      </c>
      <c r="Z5163" t="b">
        <v>0</v>
      </c>
      <c r="AA5163" t="b">
        <v>0</v>
      </c>
      <c r="AC5163" s="82"/>
      <c r="AD5163" t="str">
        <f t="shared" si="71"/>
        <v/>
      </c>
      <c r="AE5163" t="str">
        <f t="shared" si="72"/>
        <v/>
      </c>
    </row>
    <row r="5164">
      <c r="D5164" s="226"/>
      <c r="H5164" s="474"/>
      <c r="I5164" s="474"/>
      <c r="J5164" s="475"/>
      <c r="K5164" s="275"/>
      <c r="L5164" s="82"/>
      <c r="M5164" s="672"/>
      <c r="N5164" s="242"/>
      <c r="O5164" s="242"/>
      <c r="P5164" s="242"/>
      <c r="Q5164" s="242"/>
      <c r="R5164" s="539"/>
      <c r="S5164" s="540"/>
      <c r="T5164" s="543"/>
      <c r="U5164" s="673" t="b">
        <v>0</v>
      </c>
      <c r="Z5164" t="b">
        <v>0</v>
      </c>
      <c r="AA5164" t="b">
        <v>0</v>
      </c>
      <c r="AC5164" s="82"/>
      <c r="AD5164" t="str">
        <f t="shared" si="71"/>
        <v/>
      </c>
      <c r="AE5164" t="str">
        <f t="shared" si="72"/>
        <v/>
      </c>
    </row>
    <row r="5165">
      <c r="D5165" s="226"/>
      <c r="H5165" s="474"/>
      <c r="I5165" s="474"/>
      <c r="J5165" s="475"/>
      <c r="K5165" s="275"/>
      <c r="L5165" s="82"/>
      <c r="M5165" s="672"/>
      <c r="N5165" s="242"/>
      <c r="O5165" s="242"/>
      <c r="P5165" s="242"/>
      <c r="Q5165" s="242"/>
      <c r="R5165" s="539"/>
      <c r="S5165" s="540"/>
      <c r="T5165" s="543"/>
      <c r="U5165" s="673" t="b">
        <v>0</v>
      </c>
      <c r="Z5165" t="b">
        <v>0</v>
      </c>
      <c r="AA5165" t="b">
        <v>0</v>
      </c>
      <c r="AC5165" s="82"/>
      <c r="AD5165" t="str">
        <f t="shared" si="71"/>
        <v/>
      </c>
      <c r="AE5165" t="str">
        <f t="shared" si="72"/>
        <v/>
      </c>
    </row>
    <row r="5166">
      <c r="D5166" s="226"/>
      <c r="H5166" s="474"/>
      <c r="I5166" s="474"/>
      <c r="J5166" s="475"/>
      <c r="K5166" s="275"/>
      <c r="L5166" s="82"/>
      <c r="M5166" s="672"/>
      <c r="N5166" s="242"/>
      <c r="O5166" s="242"/>
      <c r="P5166" s="242"/>
      <c r="Q5166" s="242"/>
      <c r="R5166" s="539"/>
      <c r="S5166" s="540"/>
      <c r="T5166" s="543"/>
      <c r="U5166" s="673" t="b">
        <v>0</v>
      </c>
      <c r="Z5166" t="b">
        <v>0</v>
      </c>
      <c r="AA5166" t="b">
        <v>0</v>
      </c>
      <c r="AC5166" s="82"/>
      <c r="AD5166" t="str">
        <f t="shared" si="71"/>
        <v/>
      </c>
      <c r="AE5166" t="str">
        <f t="shared" si="72"/>
        <v/>
      </c>
    </row>
    <row r="5167">
      <c r="D5167" s="226"/>
      <c r="H5167" s="474"/>
      <c r="I5167" s="474"/>
      <c r="J5167" s="475"/>
      <c r="K5167" s="275"/>
      <c r="L5167" s="82"/>
      <c r="M5167" s="672"/>
      <c r="N5167" s="242"/>
      <c r="O5167" s="242"/>
      <c r="P5167" s="242"/>
      <c r="Q5167" s="242"/>
      <c r="R5167" s="539"/>
      <c r="S5167" s="540"/>
      <c r="T5167" s="543"/>
      <c r="U5167" s="673" t="b">
        <v>0</v>
      </c>
      <c r="Z5167" t="b">
        <v>0</v>
      </c>
      <c r="AA5167" t="b">
        <v>0</v>
      </c>
      <c r="AC5167" s="82"/>
      <c r="AD5167" t="str">
        <f t="shared" si="71"/>
        <v/>
      </c>
      <c r="AE5167" t="str">
        <f t="shared" si="72"/>
        <v/>
      </c>
    </row>
    <row r="5168">
      <c r="D5168" s="226"/>
      <c r="H5168" s="474"/>
      <c r="I5168" s="474"/>
      <c r="J5168" s="475"/>
      <c r="K5168" s="275"/>
      <c r="L5168" s="82"/>
      <c r="M5168" s="672"/>
      <c r="N5168" s="242"/>
      <c r="O5168" s="242"/>
      <c r="P5168" s="242"/>
      <c r="Q5168" s="242"/>
      <c r="R5168" s="539"/>
      <c r="S5168" s="540"/>
      <c r="T5168" s="543"/>
      <c r="U5168" s="673" t="b">
        <v>0</v>
      </c>
      <c r="Z5168" t="b">
        <v>0</v>
      </c>
      <c r="AA5168" t="b">
        <v>0</v>
      </c>
      <c r="AC5168" s="82"/>
      <c r="AD5168" t="str">
        <f t="shared" si="71"/>
        <v/>
      </c>
      <c r="AE5168" t="str">
        <f t="shared" si="72"/>
        <v/>
      </c>
    </row>
    <row r="5169">
      <c r="D5169" s="226"/>
      <c r="H5169" s="474"/>
      <c r="I5169" s="474"/>
      <c r="J5169" s="475"/>
      <c r="K5169" s="275"/>
      <c r="L5169" s="82"/>
      <c r="M5169" s="672"/>
      <c r="N5169" s="242"/>
      <c r="O5169" s="242"/>
      <c r="P5169" s="242"/>
      <c r="Q5169" s="242"/>
      <c r="R5169" s="539"/>
      <c r="S5169" s="540"/>
      <c r="T5169" s="543"/>
      <c r="U5169" s="673" t="b">
        <v>0</v>
      </c>
      <c r="Z5169" t="b">
        <v>0</v>
      </c>
      <c r="AA5169" t="b">
        <v>0</v>
      </c>
      <c r="AC5169" s="82"/>
      <c r="AD5169" t="str">
        <f t="shared" si="71"/>
        <v/>
      </c>
      <c r="AE5169" t="str">
        <f t="shared" si="72"/>
        <v/>
      </c>
    </row>
    <row r="5170">
      <c r="D5170" s="226"/>
      <c r="H5170" s="474"/>
      <c r="I5170" s="474"/>
      <c r="J5170" s="475"/>
      <c r="K5170" s="275"/>
      <c r="L5170" s="82"/>
      <c r="M5170" s="672"/>
      <c r="N5170" s="242"/>
      <c r="O5170" s="242"/>
      <c r="P5170" s="242"/>
      <c r="Q5170" s="242"/>
      <c r="R5170" s="539"/>
      <c r="S5170" s="540"/>
      <c r="T5170" s="543"/>
      <c r="U5170" s="673" t="b">
        <v>0</v>
      </c>
      <c r="Z5170" t="b">
        <v>0</v>
      </c>
      <c r="AA5170" t="b">
        <v>0</v>
      </c>
      <c r="AC5170" s="82"/>
      <c r="AD5170" t="str">
        <f t="shared" si="71"/>
        <v/>
      </c>
      <c r="AE5170" t="str">
        <f t="shared" si="72"/>
        <v/>
      </c>
    </row>
    <row r="5171">
      <c r="D5171" s="226"/>
      <c r="H5171" s="474"/>
      <c r="I5171" s="474"/>
      <c r="J5171" s="475"/>
      <c r="K5171" s="275"/>
      <c r="L5171" s="82"/>
      <c r="M5171" s="672"/>
      <c r="N5171" s="242"/>
      <c r="O5171" s="242"/>
      <c r="P5171" s="242"/>
      <c r="Q5171" s="242"/>
      <c r="R5171" s="539"/>
      <c r="S5171" s="540"/>
      <c r="T5171" s="543"/>
      <c r="U5171" s="673" t="b">
        <v>0</v>
      </c>
      <c r="Z5171" t="b">
        <v>0</v>
      </c>
      <c r="AA5171" t="b">
        <v>0</v>
      </c>
      <c r="AC5171" s="82"/>
      <c r="AD5171" t="str">
        <f t="shared" si="71"/>
        <v/>
      </c>
      <c r="AE5171" t="str">
        <f t="shared" si="72"/>
        <v/>
      </c>
    </row>
    <row r="5172">
      <c r="D5172" s="226"/>
      <c r="H5172" s="474"/>
      <c r="I5172" s="474"/>
      <c r="J5172" s="475"/>
      <c r="K5172" s="275"/>
      <c r="L5172" s="82"/>
      <c r="M5172" s="672"/>
      <c r="N5172" s="242"/>
      <c r="O5172" s="242"/>
      <c r="P5172" s="242"/>
      <c r="Q5172" s="242"/>
      <c r="R5172" s="539"/>
      <c r="S5172" s="540"/>
      <c r="T5172" s="543"/>
      <c r="U5172" s="673" t="b">
        <v>0</v>
      </c>
      <c r="Z5172" t="b">
        <v>0</v>
      </c>
      <c r="AA5172" t="b">
        <v>0</v>
      </c>
      <c r="AC5172" s="82"/>
      <c r="AD5172" t="str">
        <f t="shared" si="71"/>
        <v/>
      </c>
      <c r="AE5172" t="str">
        <f t="shared" si="72"/>
        <v/>
      </c>
    </row>
    <row r="5173">
      <c r="D5173" s="226"/>
      <c r="H5173" s="474"/>
      <c r="I5173" s="474"/>
      <c r="J5173" s="475"/>
      <c r="K5173" s="275"/>
      <c r="L5173" s="82"/>
      <c r="M5173" s="672"/>
      <c r="N5173" s="242"/>
      <c r="O5173" s="242"/>
      <c r="P5173" s="242"/>
      <c r="Q5173" s="242"/>
      <c r="R5173" s="539"/>
      <c r="S5173" s="540"/>
      <c r="T5173" s="543"/>
      <c r="U5173" s="673" t="b">
        <v>0</v>
      </c>
      <c r="Z5173" t="b">
        <v>0</v>
      </c>
      <c r="AA5173" t="b">
        <v>0</v>
      </c>
      <c r="AC5173" s="82"/>
      <c r="AD5173" t="str">
        <f t="shared" si="71"/>
        <v/>
      </c>
      <c r="AE5173" t="str">
        <f t="shared" si="72"/>
        <v/>
      </c>
    </row>
    <row r="5174">
      <c r="D5174" s="226"/>
      <c r="H5174" s="474"/>
      <c r="I5174" s="474"/>
      <c r="J5174" s="475"/>
      <c r="K5174" s="275"/>
      <c r="L5174" s="82"/>
      <c r="M5174" s="672"/>
      <c r="N5174" s="242"/>
      <c r="O5174" s="242"/>
      <c r="P5174" s="242"/>
      <c r="Q5174" s="242"/>
      <c r="R5174" s="539"/>
      <c r="S5174" s="540"/>
      <c r="T5174" s="543"/>
      <c r="U5174" s="673" t="b">
        <v>0</v>
      </c>
      <c r="Z5174" t="b">
        <v>0</v>
      </c>
      <c r="AA5174" t="b">
        <v>0</v>
      </c>
      <c r="AC5174" s="82"/>
      <c r="AD5174" t="str">
        <f t="shared" si="71"/>
        <v/>
      </c>
      <c r="AE5174" t="str">
        <f t="shared" si="72"/>
        <v/>
      </c>
    </row>
    <row r="5175">
      <c r="D5175" s="226"/>
      <c r="H5175" s="474"/>
      <c r="I5175" s="474"/>
      <c r="J5175" s="475"/>
      <c r="K5175" s="275"/>
      <c r="L5175" s="82"/>
      <c r="M5175" s="672"/>
      <c r="N5175" s="242"/>
      <c r="O5175" s="242"/>
      <c r="P5175" s="242"/>
      <c r="Q5175" s="242"/>
      <c r="R5175" s="539"/>
      <c r="S5175" s="540"/>
      <c r="T5175" s="543"/>
      <c r="U5175" s="673" t="b">
        <v>0</v>
      </c>
      <c r="Z5175" t="b">
        <v>0</v>
      </c>
      <c r="AA5175" t="b">
        <v>0</v>
      </c>
      <c r="AC5175" s="82"/>
      <c r="AD5175" t="str">
        <f t="shared" si="71"/>
        <v/>
      </c>
      <c r="AE5175" t="str">
        <f t="shared" si="72"/>
        <v/>
      </c>
    </row>
    <row r="5176">
      <c r="D5176" s="226"/>
      <c r="H5176" s="474"/>
      <c r="I5176" s="474"/>
      <c r="J5176" s="475"/>
      <c r="K5176" s="275"/>
      <c r="L5176" s="82"/>
      <c r="M5176" s="672"/>
      <c r="N5176" s="242"/>
      <c r="O5176" s="242"/>
      <c r="P5176" s="242"/>
      <c r="Q5176" s="242"/>
      <c r="R5176" s="539"/>
      <c r="S5176" s="540"/>
      <c r="T5176" s="543"/>
      <c r="U5176" s="673" t="b">
        <v>0</v>
      </c>
      <c r="Z5176" t="b">
        <v>0</v>
      </c>
      <c r="AA5176" t="b">
        <v>0</v>
      </c>
      <c r="AC5176" s="82"/>
      <c r="AD5176" t="str">
        <f t="shared" si="71"/>
        <v/>
      </c>
      <c r="AE5176" t="str">
        <f t="shared" si="72"/>
        <v/>
      </c>
    </row>
    <row r="5177">
      <c r="D5177" s="226"/>
      <c r="H5177" s="474"/>
      <c r="I5177" s="474"/>
      <c r="J5177" s="475"/>
      <c r="K5177" s="275"/>
      <c r="L5177" s="82"/>
      <c r="M5177" s="672"/>
      <c r="N5177" s="242"/>
      <c r="O5177" s="242"/>
      <c r="P5177" s="242"/>
      <c r="Q5177" s="242"/>
      <c r="R5177" s="539"/>
      <c r="S5177" s="540"/>
      <c r="T5177" s="543"/>
      <c r="U5177" s="673" t="b">
        <v>0</v>
      </c>
      <c r="Z5177" t="b">
        <v>0</v>
      </c>
      <c r="AA5177" t="b">
        <v>0</v>
      </c>
      <c r="AC5177" s="82"/>
      <c r="AD5177" t="str">
        <f t="shared" si="71"/>
        <v/>
      </c>
      <c r="AE5177" t="str">
        <f t="shared" si="72"/>
        <v/>
      </c>
    </row>
    <row r="5178">
      <c r="D5178" s="226"/>
      <c r="H5178" s="474"/>
      <c r="I5178" s="474"/>
      <c r="J5178" s="475"/>
      <c r="K5178" s="275"/>
      <c r="L5178" s="82"/>
      <c r="M5178" s="672"/>
      <c r="N5178" s="242"/>
      <c r="O5178" s="242"/>
      <c r="P5178" s="242"/>
      <c r="Q5178" s="242"/>
      <c r="R5178" s="539"/>
      <c r="S5178" s="540"/>
      <c r="T5178" s="543"/>
      <c r="U5178" s="673" t="b">
        <v>0</v>
      </c>
      <c r="Z5178" t="b">
        <v>0</v>
      </c>
      <c r="AA5178" t="b">
        <v>0</v>
      </c>
      <c r="AC5178" s="82"/>
      <c r="AD5178" t="str">
        <f t="shared" si="71"/>
        <v/>
      </c>
      <c r="AE5178" t="str">
        <f t="shared" si="72"/>
        <v/>
      </c>
    </row>
    <row r="5179">
      <c r="D5179" s="226"/>
      <c r="H5179" s="474"/>
      <c r="I5179" s="474"/>
      <c r="J5179" s="475"/>
      <c r="K5179" s="275"/>
      <c r="L5179" s="82"/>
      <c r="M5179" s="672"/>
      <c r="N5179" s="242"/>
      <c r="O5179" s="242"/>
      <c r="P5179" s="242"/>
      <c r="Q5179" s="242"/>
      <c r="R5179" s="539"/>
      <c r="S5179" s="540"/>
      <c r="T5179" s="543"/>
      <c r="U5179" s="673" t="b">
        <v>0</v>
      </c>
      <c r="Z5179" t="b">
        <v>0</v>
      </c>
      <c r="AA5179" t="b">
        <v>0</v>
      </c>
      <c r="AC5179" s="82"/>
      <c r="AD5179" t="str">
        <f t="shared" si="71"/>
        <v/>
      </c>
      <c r="AE5179" t="str">
        <f t="shared" si="72"/>
        <v/>
      </c>
    </row>
    <row r="5180">
      <c r="D5180" s="226"/>
      <c r="H5180" s="474"/>
      <c r="I5180" s="474"/>
      <c r="J5180" s="475"/>
      <c r="K5180" s="275"/>
      <c r="L5180" s="82"/>
      <c r="M5180" s="672"/>
      <c r="N5180" s="242"/>
      <c r="O5180" s="242"/>
      <c r="P5180" s="242"/>
      <c r="Q5180" s="242"/>
      <c r="R5180" s="539"/>
      <c r="S5180" s="540"/>
      <c r="T5180" s="543"/>
      <c r="U5180" s="673" t="b">
        <v>0</v>
      </c>
      <c r="Z5180" t="b">
        <v>0</v>
      </c>
      <c r="AA5180" t="b">
        <v>0</v>
      </c>
      <c r="AC5180" s="82"/>
      <c r="AD5180" t="str">
        <f t="shared" si="71"/>
        <v/>
      </c>
      <c r="AE5180" t="str">
        <f t="shared" si="72"/>
        <v/>
      </c>
    </row>
    <row r="5181">
      <c r="D5181" s="226"/>
      <c r="H5181" s="474"/>
      <c r="I5181" s="474"/>
      <c r="J5181" s="475"/>
      <c r="K5181" s="275"/>
      <c r="L5181" s="82"/>
      <c r="M5181" s="672"/>
      <c r="N5181" s="242"/>
      <c r="O5181" s="242"/>
      <c r="P5181" s="242"/>
      <c r="Q5181" s="242"/>
      <c r="R5181" s="539"/>
      <c r="S5181" s="540"/>
      <c r="T5181" s="543"/>
      <c r="U5181" s="673" t="b">
        <v>0</v>
      </c>
      <c r="Z5181" t="b">
        <v>0</v>
      </c>
      <c r="AA5181" t="b">
        <v>0</v>
      </c>
      <c r="AC5181" s="82"/>
      <c r="AD5181" t="str">
        <f t="shared" si="71"/>
        <v/>
      </c>
      <c r="AE5181" t="str">
        <f t="shared" si="72"/>
        <v/>
      </c>
    </row>
    <row r="5182">
      <c r="D5182" s="226"/>
      <c r="H5182" s="474"/>
      <c r="I5182" s="474"/>
      <c r="J5182" s="475"/>
      <c r="K5182" s="275"/>
      <c r="L5182" s="82"/>
      <c r="M5182" s="672"/>
      <c r="N5182" s="242"/>
      <c r="O5182" s="242"/>
      <c r="P5182" s="242"/>
      <c r="Q5182" s="242"/>
      <c r="R5182" s="539"/>
      <c r="S5182" s="540"/>
      <c r="T5182" s="543"/>
      <c r="U5182" s="673" t="b">
        <v>0</v>
      </c>
      <c r="Z5182" t="b">
        <v>0</v>
      </c>
      <c r="AA5182" t="b">
        <v>0</v>
      </c>
      <c r="AC5182" s="82"/>
      <c r="AD5182" t="str">
        <f t="shared" si="71"/>
        <v/>
      </c>
      <c r="AE5182" t="str">
        <f t="shared" si="72"/>
        <v/>
      </c>
    </row>
    <row r="5183">
      <c r="D5183" s="226"/>
      <c r="H5183" s="474"/>
      <c r="I5183" s="474"/>
      <c r="J5183" s="475"/>
      <c r="K5183" s="275"/>
      <c r="L5183" s="82"/>
      <c r="M5183" s="672"/>
      <c r="N5183" s="242"/>
      <c r="O5183" s="242"/>
      <c r="P5183" s="242"/>
      <c r="Q5183" s="242"/>
      <c r="R5183" s="539"/>
      <c r="S5183" s="540"/>
      <c r="T5183" s="543"/>
      <c r="U5183" s="673" t="b">
        <v>0</v>
      </c>
      <c r="Z5183" t="b">
        <v>0</v>
      </c>
      <c r="AA5183" t="b">
        <v>0</v>
      </c>
      <c r="AC5183" s="82"/>
      <c r="AD5183" t="str">
        <f t="shared" si="71"/>
        <v/>
      </c>
      <c r="AE5183" t="str">
        <f t="shared" si="72"/>
        <v/>
      </c>
    </row>
    <row r="5184">
      <c r="D5184" s="226"/>
      <c r="H5184" s="474"/>
      <c r="I5184" s="474"/>
      <c r="J5184" s="475"/>
      <c r="K5184" s="275"/>
      <c r="L5184" s="82"/>
      <c r="M5184" s="672"/>
      <c r="N5184" s="242"/>
      <c r="O5184" s="242"/>
      <c r="P5184" s="242"/>
      <c r="Q5184" s="242"/>
      <c r="R5184" s="539"/>
      <c r="S5184" s="540"/>
      <c r="T5184" s="543"/>
      <c r="U5184" s="673" t="b">
        <v>0</v>
      </c>
      <c r="Z5184" t="b">
        <v>0</v>
      </c>
      <c r="AA5184" t="b">
        <v>0</v>
      </c>
      <c r="AC5184" s="82"/>
      <c r="AD5184" t="str">
        <f t="shared" si="71"/>
        <v/>
      </c>
      <c r="AE5184" t="str">
        <f t="shared" si="72"/>
        <v/>
      </c>
    </row>
    <row r="5185">
      <c r="D5185" s="226"/>
      <c r="H5185" s="474"/>
      <c r="I5185" s="474"/>
      <c r="J5185" s="475"/>
      <c r="K5185" s="275"/>
      <c r="L5185" s="82"/>
      <c r="M5185" s="672"/>
      <c r="N5185" s="242"/>
      <c r="O5185" s="242"/>
      <c r="P5185" s="242"/>
      <c r="Q5185" s="242"/>
      <c r="R5185" s="539"/>
      <c r="S5185" s="540"/>
      <c r="T5185" s="543"/>
      <c r="U5185" s="673" t="b">
        <v>0</v>
      </c>
      <c r="Z5185" t="b">
        <v>0</v>
      </c>
      <c r="AA5185" t="b">
        <v>0</v>
      </c>
      <c r="AC5185" s="82"/>
      <c r="AD5185" t="str">
        <f t="shared" si="71"/>
        <v/>
      </c>
      <c r="AE5185" t="str">
        <f t="shared" si="72"/>
        <v/>
      </c>
    </row>
    <row r="5186">
      <c r="D5186" s="226"/>
      <c r="H5186" s="474"/>
      <c r="I5186" s="474"/>
      <c r="J5186" s="475"/>
      <c r="K5186" s="275"/>
      <c r="L5186" s="82"/>
      <c r="M5186" s="672"/>
      <c r="N5186" s="242"/>
      <c r="O5186" s="242"/>
      <c r="P5186" s="242"/>
      <c r="Q5186" s="242"/>
      <c r="R5186" s="539"/>
      <c r="S5186" s="540"/>
      <c r="T5186" s="543"/>
      <c r="U5186" s="673" t="b">
        <v>0</v>
      </c>
      <c r="Z5186" t="b">
        <v>0</v>
      </c>
      <c r="AA5186" t="b">
        <v>0</v>
      </c>
      <c r="AC5186" s="82"/>
      <c r="AD5186" t="str">
        <f t="shared" si="71"/>
        <v/>
      </c>
      <c r="AE5186" t="str">
        <f t="shared" si="72"/>
        <v/>
      </c>
    </row>
    <row r="5187">
      <c r="D5187" s="226"/>
      <c r="H5187" s="474"/>
      <c r="I5187" s="474"/>
      <c r="J5187" s="475"/>
      <c r="K5187" s="275"/>
      <c r="L5187" s="82"/>
      <c r="M5187" s="672"/>
      <c r="N5187" s="242"/>
      <c r="O5187" s="242"/>
      <c r="P5187" s="242"/>
      <c r="Q5187" s="242"/>
      <c r="R5187" s="539"/>
      <c r="S5187" s="540"/>
      <c r="T5187" s="543"/>
      <c r="U5187" s="673" t="b">
        <v>0</v>
      </c>
      <c r="Z5187" t="b">
        <v>0</v>
      </c>
      <c r="AA5187" t="b">
        <v>0</v>
      </c>
      <c r="AC5187" s="82"/>
      <c r="AD5187" t="str">
        <f t="shared" si="71"/>
        <v/>
      </c>
      <c r="AE5187" t="str">
        <f t="shared" si="72"/>
        <v/>
      </c>
    </row>
    <row r="5188">
      <c r="D5188" s="226"/>
      <c r="H5188" s="474"/>
      <c r="I5188" s="474"/>
      <c r="J5188" s="475"/>
      <c r="K5188" s="275"/>
      <c r="L5188" s="82"/>
      <c r="M5188" s="672"/>
      <c r="N5188" s="242"/>
      <c r="O5188" s="242"/>
      <c r="P5188" s="242"/>
      <c r="Q5188" s="242"/>
      <c r="R5188" s="539"/>
      <c r="S5188" s="540"/>
      <c r="T5188" s="543"/>
      <c r="U5188" s="673" t="b">
        <v>0</v>
      </c>
      <c r="Z5188" t="b">
        <v>0</v>
      </c>
      <c r="AA5188" t="b">
        <v>0</v>
      </c>
      <c r="AC5188" s="82"/>
      <c r="AD5188" t="str">
        <f t="shared" si="71"/>
        <v/>
      </c>
      <c r="AE5188" t="str">
        <f t="shared" si="72"/>
        <v/>
      </c>
    </row>
    <row r="5189">
      <c r="D5189" s="226"/>
      <c r="H5189" s="474"/>
      <c r="I5189" s="474"/>
      <c r="J5189" s="475"/>
      <c r="K5189" s="275"/>
      <c r="L5189" s="82"/>
      <c r="M5189" s="672"/>
      <c r="N5189" s="242"/>
      <c r="O5189" s="242"/>
      <c r="P5189" s="242"/>
      <c r="Q5189" s="242"/>
      <c r="R5189" s="539"/>
      <c r="S5189" s="540"/>
      <c r="T5189" s="543"/>
      <c r="U5189" s="673" t="b">
        <v>0</v>
      </c>
      <c r="Z5189" t="b">
        <v>0</v>
      </c>
      <c r="AA5189" t="b">
        <v>0</v>
      </c>
      <c r="AC5189" s="82"/>
      <c r="AD5189" t="str">
        <f t="shared" si="71"/>
        <v/>
      </c>
      <c r="AE5189" t="str">
        <f t="shared" si="72"/>
        <v/>
      </c>
    </row>
    <row r="5190">
      <c r="D5190" s="226"/>
      <c r="H5190" s="474"/>
      <c r="I5190" s="474"/>
      <c r="J5190" s="475"/>
      <c r="K5190" s="275"/>
      <c r="L5190" s="82"/>
      <c r="M5190" s="672"/>
      <c r="N5190" s="242"/>
      <c r="O5190" s="242"/>
      <c r="P5190" s="242"/>
      <c r="Q5190" s="242"/>
      <c r="R5190" s="539"/>
      <c r="S5190" s="540"/>
      <c r="T5190" s="543"/>
      <c r="U5190" s="673" t="b">
        <v>0</v>
      </c>
      <c r="Z5190" t="b">
        <v>0</v>
      </c>
      <c r="AA5190" t="b">
        <v>0</v>
      </c>
      <c r="AC5190" s="82"/>
      <c r="AD5190" t="str">
        <f t="shared" si="71"/>
        <v/>
      </c>
      <c r="AE5190" t="str">
        <f t="shared" si="72"/>
        <v/>
      </c>
    </row>
    <row r="5191">
      <c r="D5191" s="226"/>
      <c r="H5191" s="474"/>
      <c r="I5191" s="474"/>
      <c r="J5191" s="475"/>
      <c r="K5191" s="275"/>
      <c r="L5191" s="82"/>
      <c r="M5191" s="672"/>
      <c r="N5191" s="242"/>
      <c r="O5191" s="242"/>
      <c r="P5191" s="242"/>
      <c r="Q5191" s="242"/>
      <c r="R5191" s="539"/>
      <c r="S5191" s="540"/>
      <c r="T5191" s="543"/>
      <c r="U5191" s="673" t="b">
        <v>0</v>
      </c>
      <c r="Z5191" t="b">
        <v>0</v>
      </c>
      <c r="AA5191" t="b">
        <v>0</v>
      </c>
      <c r="AC5191" s="82"/>
      <c r="AD5191" t="str">
        <f t="shared" si="71"/>
        <v/>
      </c>
      <c r="AE5191" t="str">
        <f t="shared" si="72"/>
        <v/>
      </c>
    </row>
    <row r="5192">
      <c r="D5192" s="226"/>
      <c r="H5192" s="474"/>
      <c r="I5192" s="474"/>
      <c r="J5192" s="475"/>
      <c r="K5192" s="275"/>
      <c r="L5192" s="82"/>
      <c r="M5192" s="672"/>
      <c r="N5192" s="242"/>
      <c r="O5192" s="242"/>
      <c r="P5192" s="242"/>
      <c r="Q5192" s="242"/>
      <c r="R5192" s="539"/>
      <c r="S5192" s="540"/>
      <c r="T5192" s="543"/>
      <c r="U5192" s="673" t="b">
        <v>0</v>
      </c>
      <c r="Z5192" t="b">
        <v>0</v>
      </c>
      <c r="AA5192" t="b">
        <v>0</v>
      </c>
      <c r="AC5192" s="82"/>
      <c r="AD5192" t="str">
        <f t="shared" si="71"/>
        <v/>
      </c>
      <c r="AE5192" t="str">
        <f t="shared" si="72"/>
        <v/>
      </c>
    </row>
    <row r="5193">
      <c r="D5193" s="226"/>
      <c r="H5193" s="474"/>
      <c r="I5193" s="474"/>
      <c r="J5193" s="475"/>
      <c r="K5193" s="275"/>
      <c r="L5193" s="82"/>
      <c r="M5193" s="672"/>
      <c r="N5193" s="242"/>
      <c r="O5193" s="242"/>
      <c r="P5193" s="242"/>
      <c r="Q5193" s="242"/>
      <c r="R5193" s="539"/>
      <c r="S5193" s="540"/>
      <c r="T5193" s="543"/>
      <c r="U5193" s="673" t="b">
        <v>0</v>
      </c>
      <c r="Z5193" t="b">
        <v>0</v>
      </c>
      <c r="AA5193" t="b">
        <v>0</v>
      </c>
      <c r="AC5193" s="82"/>
      <c r="AD5193" t="str">
        <f t="shared" si="71"/>
        <v/>
      </c>
      <c r="AE5193" t="str">
        <f t="shared" si="72"/>
        <v/>
      </c>
    </row>
    <row r="5194">
      <c r="D5194" s="226"/>
      <c r="H5194" s="474"/>
      <c r="I5194" s="474"/>
      <c r="J5194" s="475"/>
      <c r="K5194" s="275"/>
      <c r="L5194" s="82"/>
      <c r="M5194" s="672"/>
      <c r="N5194" s="242"/>
      <c r="O5194" s="242"/>
      <c r="P5194" s="242"/>
      <c r="Q5194" s="242"/>
      <c r="R5194" s="539"/>
      <c r="S5194" s="540"/>
      <c r="T5194" s="543"/>
      <c r="U5194" s="673" t="b">
        <v>0</v>
      </c>
      <c r="Z5194" t="b">
        <v>0</v>
      </c>
      <c r="AA5194" t="b">
        <v>0</v>
      </c>
      <c r="AC5194" s="82"/>
      <c r="AD5194" t="str">
        <f t="shared" si="71"/>
        <v/>
      </c>
      <c r="AE5194" t="str">
        <f t="shared" si="72"/>
        <v/>
      </c>
    </row>
    <row r="5195">
      <c r="D5195" s="226"/>
      <c r="H5195" s="474"/>
      <c r="I5195" s="474"/>
      <c r="J5195" s="475"/>
      <c r="K5195" s="275"/>
      <c r="L5195" s="82"/>
      <c r="M5195" s="672"/>
      <c r="N5195" s="242"/>
      <c r="O5195" s="242"/>
      <c r="P5195" s="242"/>
      <c r="Q5195" s="242"/>
      <c r="R5195" s="539"/>
      <c r="S5195" s="540"/>
      <c r="T5195" s="543"/>
      <c r="U5195" s="673" t="b">
        <v>0</v>
      </c>
      <c r="Z5195" t="b">
        <v>0</v>
      </c>
      <c r="AA5195" t="b">
        <v>0</v>
      </c>
      <c r="AC5195" s="82"/>
      <c r="AD5195" t="str">
        <f t="shared" si="71"/>
        <v/>
      </c>
      <c r="AE5195" t="str">
        <f t="shared" si="72"/>
        <v/>
      </c>
    </row>
    <row r="5196">
      <c r="D5196" s="226"/>
      <c r="H5196" s="474"/>
      <c r="I5196" s="474"/>
      <c r="J5196" s="475"/>
      <c r="K5196" s="275"/>
      <c r="L5196" s="82"/>
      <c r="M5196" s="672"/>
      <c r="N5196" s="242"/>
      <c r="O5196" s="242"/>
      <c r="P5196" s="242"/>
      <c r="Q5196" s="242"/>
      <c r="R5196" s="539"/>
      <c r="S5196" s="540"/>
      <c r="T5196" s="543"/>
      <c r="U5196" s="673" t="b">
        <v>0</v>
      </c>
      <c r="Z5196" t="b">
        <v>0</v>
      </c>
      <c r="AA5196" t="b">
        <v>0</v>
      </c>
      <c r="AC5196" s="82"/>
      <c r="AD5196" t="str">
        <f t="shared" si="71"/>
        <v/>
      </c>
      <c r="AE5196" t="str">
        <f t="shared" si="72"/>
        <v/>
      </c>
    </row>
    <row r="5197">
      <c r="D5197" s="226"/>
      <c r="H5197" s="474"/>
      <c r="I5197" s="474"/>
      <c r="J5197" s="475"/>
      <c r="K5197" s="275"/>
      <c r="L5197" s="82"/>
      <c r="M5197" s="672"/>
      <c r="N5197" s="242"/>
      <c r="O5197" s="242"/>
      <c r="P5197" s="242"/>
      <c r="Q5197" s="242"/>
      <c r="R5197" s="539"/>
      <c r="S5197" s="540"/>
      <c r="T5197" s="543"/>
      <c r="U5197" s="673" t="b">
        <v>0</v>
      </c>
      <c r="Z5197" t="b">
        <v>0</v>
      </c>
      <c r="AA5197" t="b">
        <v>0</v>
      </c>
      <c r="AC5197" s="82"/>
      <c r="AD5197" t="str">
        <f t="shared" si="71"/>
        <v/>
      </c>
      <c r="AE5197" t="str">
        <f t="shared" si="72"/>
        <v/>
      </c>
    </row>
    <row r="5198">
      <c r="D5198" s="226"/>
      <c r="H5198" s="474"/>
      <c r="I5198" s="474"/>
      <c r="J5198" s="475"/>
      <c r="K5198" s="275"/>
      <c r="L5198" s="82"/>
      <c r="M5198" s="672"/>
      <c r="N5198" s="242"/>
      <c r="O5198" s="242"/>
      <c r="P5198" s="242"/>
      <c r="Q5198" s="242"/>
      <c r="R5198" s="539"/>
      <c r="S5198" s="540"/>
      <c r="T5198" s="543"/>
      <c r="U5198" s="673" t="b">
        <v>0</v>
      </c>
      <c r="Z5198" t="b">
        <v>0</v>
      </c>
      <c r="AA5198" t="b">
        <v>0</v>
      </c>
      <c r="AC5198" s="82"/>
      <c r="AD5198" t="str">
        <f t="shared" si="71"/>
        <v/>
      </c>
      <c r="AE5198" t="str">
        <f t="shared" si="72"/>
        <v/>
      </c>
    </row>
    <row r="5199">
      <c r="D5199" s="226"/>
      <c r="H5199" s="474"/>
      <c r="I5199" s="474"/>
      <c r="J5199" s="475"/>
      <c r="K5199" s="275"/>
      <c r="L5199" s="82"/>
      <c r="M5199" s="672"/>
      <c r="N5199" s="242"/>
      <c r="O5199" s="242"/>
      <c r="P5199" s="242"/>
      <c r="Q5199" s="242"/>
      <c r="R5199" s="539"/>
      <c r="S5199" s="540"/>
      <c r="T5199" s="543"/>
      <c r="U5199" s="673" t="b">
        <v>0</v>
      </c>
      <c r="Z5199" t="b">
        <v>0</v>
      </c>
      <c r="AA5199" t="b">
        <v>0</v>
      </c>
      <c r="AC5199" s="82"/>
      <c r="AD5199" t="str">
        <f t="shared" si="71"/>
        <v/>
      </c>
      <c r="AE5199" t="str">
        <f t="shared" si="72"/>
        <v/>
      </c>
    </row>
    <row r="5200">
      <c r="D5200" s="226"/>
      <c r="H5200" s="474"/>
      <c r="I5200" s="474"/>
      <c r="J5200" s="475"/>
      <c r="K5200" s="275"/>
      <c r="L5200" s="82"/>
      <c r="M5200" s="672"/>
      <c r="N5200" s="242"/>
      <c r="O5200" s="242"/>
      <c r="P5200" s="242"/>
      <c r="Q5200" s="242"/>
      <c r="R5200" s="539"/>
      <c r="S5200" s="540"/>
      <c r="T5200" s="543"/>
      <c r="U5200" s="673" t="b">
        <v>0</v>
      </c>
      <c r="Z5200" t="b">
        <v>0</v>
      </c>
      <c r="AA5200" t="b">
        <v>0</v>
      </c>
      <c r="AC5200" s="82"/>
      <c r="AD5200" t="str">
        <f t="shared" si="71"/>
        <v/>
      </c>
      <c r="AE5200" t="str">
        <f t="shared" si="72"/>
        <v/>
      </c>
    </row>
    <row r="5201">
      <c r="D5201" s="226"/>
      <c r="H5201" s="474"/>
      <c r="I5201" s="474"/>
      <c r="J5201" s="475"/>
      <c r="K5201" s="275"/>
      <c r="L5201" s="82"/>
      <c r="M5201" s="672"/>
      <c r="N5201" s="242"/>
      <c r="O5201" s="242"/>
      <c r="P5201" s="242"/>
      <c r="Q5201" s="242"/>
      <c r="R5201" s="539"/>
      <c r="S5201" s="540"/>
      <c r="T5201" s="543"/>
      <c r="U5201" s="673" t="b">
        <v>0</v>
      </c>
      <c r="Z5201" t="b">
        <v>0</v>
      </c>
      <c r="AA5201" t="b">
        <v>0</v>
      </c>
      <c r="AC5201" s="82"/>
      <c r="AD5201" t="str">
        <f t="shared" si="71"/>
        <v/>
      </c>
      <c r="AE5201" t="str">
        <f t="shared" si="72"/>
        <v/>
      </c>
    </row>
    <row r="5202">
      <c r="D5202" s="226"/>
      <c r="H5202" s="474"/>
      <c r="I5202" s="474"/>
      <c r="J5202" s="475"/>
      <c r="K5202" s="275"/>
      <c r="L5202" s="82"/>
      <c r="M5202" s="672"/>
      <c r="N5202" s="242"/>
      <c r="O5202" s="242"/>
      <c r="P5202" s="242"/>
      <c r="Q5202" s="242"/>
      <c r="R5202" s="539"/>
      <c r="S5202" s="540"/>
      <c r="T5202" s="543"/>
      <c r="U5202" s="673" t="b">
        <v>0</v>
      </c>
      <c r="Z5202" t="b">
        <v>0</v>
      </c>
      <c r="AA5202" t="b">
        <v>0</v>
      </c>
      <c r="AC5202" s="82"/>
      <c r="AD5202" t="str">
        <f t="shared" si="71"/>
        <v/>
      </c>
      <c r="AE5202" t="str">
        <f t="shared" si="72"/>
        <v/>
      </c>
    </row>
    <row r="5203">
      <c r="D5203" s="226"/>
      <c r="H5203" s="474"/>
      <c r="I5203" s="474"/>
      <c r="J5203" s="475"/>
      <c r="K5203" s="275"/>
      <c r="L5203" s="82"/>
      <c r="M5203" s="672"/>
      <c r="N5203" s="242"/>
      <c r="O5203" s="242"/>
      <c r="P5203" s="242"/>
      <c r="Q5203" s="242"/>
      <c r="R5203" s="539"/>
      <c r="S5203" s="540"/>
      <c r="T5203" s="543"/>
      <c r="U5203" s="673" t="b">
        <v>0</v>
      </c>
      <c r="Z5203" t="b">
        <v>0</v>
      </c>
      <c r="AA5203" t="b">
        <v>0</v>
      </c>
      <c r="AC5203" s="82"/>
      <c r="AD5203" t="str">
        <f t="shared" si="71"/>
        <v/>
      </c>
      <c r="AE5203" t="str">
        <f t="shared" si="72"/>
        <v/>
      </c>
    </row>
    <row r="5204">
      <c r="D5204" s="226"/>
      <c r="H5204" s="474"/>
      <c r="I5204" s="474"/>
      <c r="J5204" s="475"/>
      <c r="K5204" s="275"/>
      <c r="L5204" s="82"/>
      <c r="M5204" s="672"/>
      <c r="N5204" s="242"/>
      <c r="O5204" s="242"/>
      <c r="P5204" s="242"/>
      <c r="Q5204" s="242"/>
      <c r="R5204" s="539"/>
      <c r="S5204" s="540"/>
      <c r="T5204" s="543"/>
      <c r="U5204" s="673" t="b">
        <v>0</v>
      </c>
      <c r="Z5204" t="b">
        <v>0</v>
      </c>
      <c r="AA5204" t="b">
        <v>0</v>
      </c>
      <c r="AC5204" s="82"/>
      <c r="AD5204" t="str">
        <f t="shared" si="71"/>
        <v/>
      </c>
      <c r="AE5204" t="str">
        <f t="shared" si="72"/>
        <v/>
      </c>
    </row>
    <row r="5205">
      <c r="D5205" s="226"/>
      <c r="H5205" s="474"/>
      <c r="I5205" s="474"/>
      <c r="J5205" s="475"/>
      <c r="K5205" s="275"/>
      <c r="L5205" s="82"/>
      <c r="M5205" s="672"/>
      <c r="N5205" s="242"/>
      <c r="O5205" s="242"/>
      <c r="P5205" s="242"/>
      <c r="Q5205" s="242"/>
      <c r="R5205" s="539"/>
      <c r="S5205" s="540"/>
      <c r="T5205" s="543"/>
      <c r="U5205" s="673" t="b">
        <v>0</v>
      </c>
      <c r="Z5205" t="b">
        <v>0</v>
      </c>
      <c r="AA5205" t="b">
        <v>0</v>
      </c>
      <c r="AC5205" s="82"/>
      <c r="AD5205" t="str">
        <f t="shared" si="71"/>
        <v/>
      </c>
      <c r="AE5205" t="str">
        <f t="shared" si="72"/>
        <v/>
      </c>
    </row>
    <row r="5206">
      <c r="D5206" s="226"/>
      <c r="H5206" s="474"/>
      <c r="I5206" s="474"/>
      <c r="J5206" s="475"/>
      <c r="K5206" s="275"/>
      <c r="L5206" s="82"/>
      <c r="M5206" s="672"/>
      <c r="N5206" s="242"/>
      <c r="O5206" s="242"/>
      <c r="P5206" s="242"/>
      <c r="Q5206" s="242"/>
      <c r="R5206" s="539"/>
      <c r="S5206" s="540"/>
      <c r="T5206" s="543"/>
      <c r="U5206" s="673" t="b">
        <v>0</v>
      </c>
      <c r="Z5206" t="b">
        <v>0</v>
      </c>
      <c r="AA5206" t="b">
        <v>0</v>
      </c>
      <c r="AC5206" s="82"/>
      <c r="AD5206" t="str">
        <f t="shared" si="71"/>
        <v/>
      </c>
      <c r="AE5206" t="str">
        <f t="shared" si="72"/>
        <v/>
      </c>
    </row>
    <row r="5207">
      <c r="D5207" s="226"/>
      <c r="H5207" s="474"/>
      <c r="I5207" s="474"/>
      <c r="J5207" s="475"/>
      <c r="K5207" s="275"/>
      <c r="L5207" s="82"/>
      <c r="M5207" s="672"/>
      <c r="N5207" s="242"/>
      <c r="O5207" s="242"/>
      <c r="P5207" s="242"/>
      <c r="Q5207" s="242"/>
      <c r="R5207" s="539"/>
      <c r="S5207" s="540"/>
      <c r="T5207" s="543"/>
      <c r="U5207" s="673" t="b">
        <v>0</v>
      </c>
      <c r="Z5207" t="b">
        <v>0</v>
      </c>
      <c r="AA5207" t="b">
        <v>0</v>
      </c>
      <c r="AC5207" s="82"/>
      <c r="AD5207" t="str">
        <f t="shared" si="71"/>
        <v/>
      </c>
      <c r="AE5207" t="str">
        <f t="shared" si="72"/>
        <v/>
      </c>
    </row>
    <row r="5208">
      <c r="D5208" s="226"/>
      <c r="H5208" s="474"/>
      <c r="I5208" s="474"/>
      <c r="J5208" s="475"/>
      <c r="K5208" s="275"/>
      <c r="L5208" s="82"/>
      <c r="M5208" s="672"/>
      <c r="N5208" s="242"/>
      <c r="O5208" s="242"/>
      <c r="P5208" s="242"/>
      <c r="Q5208" s="242"/>
      <c r="R5208" s="539"/>
      <c r="S5208" s="540"/>
      <c r="T5208" s="543"/>
      <c r="U5208" s="673" t="b">
        <v>0</v>
      </c>
      <c r="Z5208" t="b">
        <v>0</v>
      </c>
      <c r="AA5208" t="b">
        <v>0</v>
      </c>
      <c r="AC5208" s="82"/>
      <c r="AD5208" t="str">
        <f t="shared" si="71"/>
        <v/>
      </c>
      <c r="AE5208" t="str">
        <f t="shared" si="72"/>
        <v/>
      </c>
    </row>
    <row r="5209">
      <c r="D5209" s="226"/>
      <c r="H5209" s="474"/>
      <c r="I5209" s="474"/>
      <c r="J5209" s="475"/>
      <c r="K5209" s="275"/>
      <c r="L5209" s="82"/>
      <c r="M5209" s="672"/>
      <c r="N5209" s="242"/>
      <c r="O5209" s="242"/>
      <c r="P5209" s="242"/>
      <c r="Q5209" s="242"/>
      <c r="R5209" s="539"/>
      <c r="S5209" s="540"/>
      <c r="T5209" s="543"/>
      <c r="U5209" s="673" t="b">
        <v>0</v>
      </c>
      <c r="Z5209" t="b">
        <v>0</v>
      </c>
      <c r="AA5209" t="b">
        <v>0</v>
      </c>
      <c r="AC5209" s="82"/>
      <c r="AD5209" t="str">
        <f t="shared" si="71"/>
        <v/>
      </c>
      <c r="AE5209" t="str">
        <f t="shared" si="72"/>
        <v/>
      </c>
    </row>
    <row r="5210">
      <c r="D5210" s="226"/>
      <c r="H5210" s="474"/>
      <c r="I5210" s="474"/>
      <c r="J5210" s="475"/>
      <c r="K5210" s="275"/>
      <c r="L5210" s="82"/>
      <c r="M5210" s="672"/>
      <c r="N5210" s="242"/>
      <c r="O5210" s="242"/>
      <c r="P5210" s="242"/>
      <c r="Q5210" s="242"/>
      <c r="R5210" s="539"/>
      <c r="S5210" s="540"/>
      <c r="T5210" s="543"/>
      <c r="U5210" s="673" t="b">
        <v>0</v>
      </c>
      <c r="Z5210" t="b">
        <v>0</v>
      </c>
      <c r="AA5210" t="b">
        <v>0</v>
      </c>
      <c r="AC5210" s="82"/>
      <c r="AD5210" t="str">
        <f t="shared" si="71"/>
        <v/>
      </c>
      <c r="AE5210" t="str">
        <f t="shared" si="72"/>
        <v/>
      </c>
    </row>
    <row r="5211">
      <c r="D5211" s="226"/>
      <c r="H5211" s="474"/>
      <c r="I5211" s="474"/>
      <c r="J5211" s="475"/>
      <c r="K5211" s="275"/>
      <c r="L5211" s="82"/>
      <c r="M5211" s="672"/>
      <c r="N5211" s="242"/>
      <c r="O5211" s="242"/>
      <c r="P5211" s="242"/>
      <c r="Q5211" s="242"/>
      <c r="R5211" s="539"/>
      <c r="S5211" s="540"/>
      <c r="T5211" s="543"/>
      <c r="U5211" s="673" t="b">
        <v>0</v>
      </c>
      <c r="Z5211" t="b">
        <v>0</v>
      </c>
      <c r="AA5211" t="b">
        <v>0</v>
      </c>
      <c r="AC5211" s="82"/>
      <c r="AD5211" t="str">
        <f t="shared" si="71"/>
        <v/>
      </c>
      <c r="AE5211" t="str">
        <f t="shared" si="72"/>
        <v/>
      </c>
    </row>
    <row r="5212">
      <c r="D5212" s="226"/>
      <c r="H5212" s="474"/>
      <c r="I5212" s="474"/>
      <c r="J5212" s="475"/>
      <c r="K5212" s="275"/>
      <c r="L5212" s="82"/>
      <c r="M5212" s="672"/>
      <c r="N5212" s="242"/>
      <c r="O5212" s="242"/>
      <c r="P5212" s="242"/>
      <c r="Q5212" s="242"/>
      <c r="R5212" s="539"/>
      <c r="S5212" s="540"/>
      <c r="T5212" s="543"/>
      <c r="U5212" s="673" t="b">
        <v>0</v>
      </c>
      <c r="Z5212" t="b">
        <v>0</v>
      </c>
      <c r="AA5212" t="b">
        <v>0</v>
      </c>
      <c r="AC5212" s="82"/>
      <c r="AD5212" t="str">
        <f t="shared" si="71"/>
        <v/>
      </c>
      <c r="AE5212" t="str">
        <f t="shared" si="72"/>
        <v/>
      </c>
    </row>
    <row r="5213">
      <c r="D5213" s="226"/>
      <c r="H5213" s="474"/>
      <c r="I5213" s="474"/>
      <c r="J5213" s="475"/>
      <c r="K5213" s="275"/>
      <c r="L5213" s="82"/>
      <c r="M5213" s="672"/>
      <c r="N5213" s="242"/>
      <c r="O5213" s="242"/>
      <c r="P5213" s="242"/>
      <c r="Q5213" s="242"/>
      <c r="R5213" s="539"/>
      <c r="S5213" s="540"/>
      <c r="T5213" s="543"/>
      <c r="U5213" s="673" t="b">
        <v>0</v>
      </c>
      <c r="Z5213" t="b">
        <v>0</v>
      </c>
      <c r="AA5213" t="b">
        <v>0</v>
      </c>
      <c r="AC5213" s="82"/>
      <c r="AD5213" t="str">
        <f t="shared" si="71"/>
        <v/>
      </c>
      <c r="AE5213" t="str">
        <f t="shared" si="72"/>
        <v/>
      </c>
    </row>
    <row r="5214">
      <c r="D5214" s="226"/>
      <c r="H5214" s="474"/>
      <c r="I5214" s="474"/>
      <c r="J5214" s="475"/>
      <c r="K5214" s="275"/>
      <c r="L5214" s="82"/>
      <c r="M5214" s="672"/>
      <c r="N5214" s="242"/>
      <c r="O5214" s="242"/>
      <c r="P5214" s="242"/>
      <c r="Q5214" s="242"/>
      <c r="R5214" s="539"/>
      <c r="S5214" s="540"/>
      <c r="T5214" s="543"/>
      <c r="U5214" s="673" t="b">
        <v>0</v>
      </c>
      <c r="Z5214" t="b">
        <v>0</v>
      </c>
      <c r="AA5214" t="b">
        <v>0</v>
      </c>
      <c r="AC5214" s="82"/>
      <c r="AD5214" t="str">
        <f t="shared" si="71"/>
        <v/>
      </c>
      <c r="AE5214" t="str">
        <f t="shared" si="72"/>
        <v/>
      </c>
    </row>
    <row r="5215">
      <c r="D5215" s="226"/>
      <c r="H5215" s="474"/>
      <c r="I5215" s="474"/>
      <c r="J5215" s="475"/>
      <c r="K5215" s="275"/>
      <c r="L5215" s="82"/>
      <c r="M5215" s="672"/>
      <c r="N5215" s="242"/>
      <c r="O5215" s="242"/>
      <c r="P5215" s="242"/>
      <c r="Q5215" s="242"/>
      <c r="R5215" s="539"/>
      <c r="S5215" s="540"/>
      <c r="T5215" s="543"/>
      <c r="U5215" s="673" t="b">
        <v>0</v>
      </c>
      <c r="Z5215" t="b">
        <v>0</v>
      </c>
      <c r="AA5215" t="b">
        <v>0</v>
      </c>
      <c r="AC5215" s="82"/>
      <c r="AD5215" t="str">
        <f t="shared" si="71"/>
        <v/>
      </c>
      <c r="AE5215" t="str">
        <f t="shared" si="72"/>
        <v/>
      </c>
    </row>
    <row r="5216">
      <c r="D5216" s="226"/>
      <c r="H5216" s="474"/>
      <c r="I5216" s="474"/>
      <c r="J5216" s="475"/>
      <c r="K5216" s="275"/>
      <c r="L5216" s="82"/>
      <c r="M5216" s="672"/>
      <c r="N5216" s="242"/>
      <c r="O5216" s="242"/>
      <c r="P5216" s="242"/>
      <c r="Q5216" s="242"/>
      <c r="R5216" s="539"/>
      <c r="S5216" s="540"/>
      <c r="T5216" s="543"/>
      <c r="U5216" s="673" t="b">
        <v>0</v>
      </c>
      <c r="Z5216" t="b">
        <v>0</v>
      </c>
      <c r="AA5216" t="b">
        <v>0</v>
      </c>
      <c r="AC5216" s="82"/>
      <c r="AD5216" t="str">
        <f t="shared" si="71"/>
        <v/>
      </c>
      <c r="AE5216" t="str">
        <f t="shared" si="72"/>
        <v/>
      </c>
    </row>
    <row r="5217">
      <c r="D5217" s="226"/>
      <c r="H5217" s="474"/>
      <c r="I5217" s="474"/>
      <c r="J5217" s="475"/>
      <c r="K5217" s="275"/>
      <c r="L5217" s="82"/>
      <c r="M5217" s="672"/>
      <c r="N5217" s="242"/>
      <c r="O5217" s="242"/>
      <c r="P5217" s="242"/>
      <c r="Q5217" s="242"/>
      <c r="R5217" s="539"/>
      <c r="S5217" s="540"/>
      <c r="T5217" s="543"/>
      <c r="U5217" s="673" t="b">
        <v>0</v>
      </c>
      <c r="Z5217" t="b">
        <v>0</v>
      </c>
      <c r="AA5217" t="b">
        <v>0</v>
      </c>
      <c r="AC5217" s="82"/>
      <c r="AD5217" t="str">
        <f t="shared" si="71"/>
        <v/>
      </c>
      <c r="AE5217" t="str">
        <f t="shared" si="72"/>
        <v/>
      </c>
    </row>
    <row r="5218">
      <c r="D5218" s="226"/>
      <c r="H5218" s="474"/>
      <c r="I5218" s="474"/>
      <c r="J5218" s="475"/>
      <c r="K5218" s="275"/>
      <c r="L5218" s="82"/>
      <c r="M5218" s="672"/>
      <c r="N5218" s="242"/>
      <c r="O5218" s="242"/>
      <c r="P5218" s="242"/>
      <c r="Q5218" s="242"/>
      <c r="R5218" s="539"/>
      <c r="S5218" s="540"/>
      <c r="T5218" s="543"/>
      <c r="U5218" s="673" t="b">
        <v>0</v>
      </c>
      <c r="Z5218" t="b">
        <v>0</v>
      </c>
      <c r="AA5218" t="b">
        <v>0</v>
      </c>
      <c r="AC5218" s="82"/>
      <c r="AD5218" t="str">
        <f t="shared" si="71"/>
        <v/>
      </c>
      <c r="AE5218" t="str">
        <f t="shared" si="72"/>
        <v/>
      </c>
    </row>
    <row r="5219">
      <c r="D5219" s="226"/>
      <c r="H5219" s="474"/>
      <c r="I5219" s="474"/>
      <c r="J5219" s="475"/>
      <c r="K5219" s="275"/>
      <c r="L5219" s="82"/>
      <c r="M5219" s="672"/>
      <c r="N5219" s="242"/>
      <c r="O5219" s="242"/>
      <c r="P5219" s="242"/>
      <c r="Q5219" s="242"/>
      <c r="R5219" s="539"/>
      <c r="S5219" s="540"/>
      <c r="T5219" s="543"/>
      <c r="U5219" s="673" t="b">
        <v>0</v>
      </c>
      <c r="Z5219" t="b">
        <v>0</v>
      </c>
      <c r="AA5219" t="b">
        <v>0</v>
      </c>
      <c r="AC5219" s="82"/>
      <c r="AD5219" t="str">
        <f t="shared" si="71"/>
        <v/>
      </c>
      <c r="AE5219" t="str">
        <f t="shared" si="72"/>
        <v/>
      </c>
    </row>
    <row r="5220">
      <c r="D5220" s="226"/>
      <c r="H5220" s="474"/>
      <c r="I5220" s="474"/>
      <c r="J5220" s="475"/>
      <c r="K5220" s="275"/>
      <c r="L5220" s="82"/>
      <c r="M5220" s="672"/>
      <c r="N5220" s="242"/>
      <c r="O5220" s="242"/>
      <c r="P5220" s="242"/>
      <c r="Q5220" s="242"/>
      <c r="R5220" s="539"/>
      <c r="S5220" s="540"/>
      <c r="T5220" s="543"/>
      <c r="U5220" s="673" t="b">
        <v>0</v>
      </c>
      <c r="Z5220" t="b">
        <v>0</v>
      </c>
      <c r="AA5220" t="b">
        <v>0</v>
      </c>
      <c r="AC5220" s="82"/>
      <c r="AD5220" t="str">
        <f t="shared" si="71"/>
        <v/>
      </c>
      <c r="AE5220" t="str">
        <f t="shared" si="72"/>
        <v/>
      </c>
    </row>
    <row r="5221">
      <c r="D5221" s="226"/>
      <c r="H5221" s="474"/>
      <c r="I5221" s="474"/>
      <c r="J5221" s="475"/>
      <c r="K5221" s="275"/>
      <c r="L5221" s="82"/>
      <c r="M5221" s="672"/>
      <c r="N5221" s="242"/>
      <c r="O5221" s="242"/>
      <c r="P5221" s="242"/>
      <c r="Q5221" s="242"/>
      <c r="R5221" s="539"/>
      <c r="S5221" s="540"/>
      <c r="T5221" s="543"/>
      <c r="U5221" s="673" t="b">
        <v>0</v>
      </c>
      <c r="Z5221" t="b">
        <v>0</v>
      </c>
      <c r="AA5221" t="b">
        <v>0</v>
      </c>
      <c r="AC5221" s="82"/>
      <c r="AD5221" t="str">
        <f t="shared" si="71"/>
        <v/>
      </c>
      <c r="AE5221" t="str">
        <f t="shared" si="72"/>
        <v/>
      </c>
    </row>
    <row r="5222">
      <c r="D5222" s="226"/>
      <c r="H5222" s="474"/>
      <c r="I5222" s="474"/>
      <c r="J5222" s="475"/>
      <c r="K5222" s="275"/>
      <c r="L5222" s="82"/>
      <c r="M5222" s="672"/>
      <c r="N5222" s="242"/>
      <c r="O5222" s="242"/>
      <c r="P5222" s="242"/>
      <c r="Q5222" s="242"/>
      <c r="R5222" s="539"/>
      <c r="S5222" s="540"/>
      <c r="T5222" s="543"/>
      <c r="U5222" s="673" t="b">
        <v>0</v>
      </c>
      <c r="Z5222" t="b">
        <v>0</v>
      </c>
      <c r="AA5222" t="b">
        <v>0</v>
      </c>
      <c r="AC5222" s="82"/>
      <c r="AD5222" t="str">
        <f t="shared" si="71"/>
        <v/>
      </c>
      <c r="AE5222" t="str">
        <f t="shared" si="72"/>
        <v/>
      </c>
    </row>
    <row r="5223">
      <c r="D5223" s="226"/>
      <c r="H5223" s="473"/>
      <c r="I5223" s="474"/>
      <c r="J5223" s="475"/>
      <c r="K5223" s="275"/>
      <c r="L5223" s="82"/>
      <c r="M5223" s="672"/>
      <c r="N5223" s="242"/>
      <c r="O5223" s="242"/>
      <c r="P5223" s="242"/>
      <c r="Q5223" s="242"/>
      <c r="R5223" s="539"/>
      <c r="S5223" s="540"/>
      <c r="T5223" s="543"/>
      <c r="U5223" s="673" t="b">
        <v>0</v>
      </c>
      <c r="Z5223" t="b">
        <v>0</v>
      </c>
      <c r="AA5223" t="b">
        <v>0</v>
      </c>
      <c r="AC5223" s="82"/>
      <c r="AD5223" t="str">
        <f t="shared" si="71"/>
        <v/>
      </c>
      <c r="AE5223" t="str">
        <f t="shared" si="72"/>
        <v/>
      </c>
    </row>
  </sheetData>
  <autoFilter ref="$A$2:$AD$5223">
    <filterColumn colId="20">
      <customFilters>
        <customFilter operator="notEqual" val="*true*"/>
      </customFilters>
    </filterColumn>
  </autoFilter>
  <customSheetViews>
    <customSheetView guid="{9CB77BBD-1DC8-4ACA-B714-9C87103A86B3}" filter="1" showAutoFilter="1">
      <autoFilter ref="$A$2:$AD$5223">
        <filterColumn colId="7">
          <customFilters>
            <customFilter val="*kontor*"/>
          </customFilters>
        </filterColumn>
        <filterColumn colId="20">
          <filters blank="1">
            <filter val="FALSE"/>
          </filters>
        </filterColumn>
      </autoFilter>
    </customSheetView>
    <customSheetView guid="{A28A6F81-EC4C-4B76-B28A-452A2DFDFBEF}" filter="1" showAutoFilter="1">
      <autoFilter ref="$A$2:$AD$5223">
        <filterColumn colId="7">
          <customFilters>
            <customFilter operator="notEqual" val="*kontor*"/>
          </customFilters>
        </filterColumn>
        <filterColumn colId="1">
          <customFilters>
            <customFilter val="*elsats*"/>
          </customFilters>
        </filterColumn>
        <filterColumn colId="20">
          <filters blank="1">
            <filter val="FALSE"/>
          </filters>
        </filterColumn>
      </autoFilter>
    </customSheetView>
    <customSheetView guid="{F3205733-8974-4886-94C1-119D603F6275}" filter="1" showAutoFilter="1">
      <autoFilter ref="$A$2:$AD$5223">
        <filterColumn colId="1">
          <customFilters>
            <customFilter val="*motorvärmare*"/>
          </customFilters>
        </filterColumn>
        <filterColumn colId="20">
          <filters blank="1">
            <filter val="FALSE"/>
          </filters>
        </filterColumn>
      </autoFilter>
    </customSheetView>
    <customSheetView guid="{3824A306-F64C-4135-A062-D9B81150B40E}" filter="1" showAutoFilter="1">
      <autoFilter ref="$A$2:$AD$5223">
        <filterColumn colId="1">
          <filters>
            <filter val="Extramatare"/>
            <filter val="Dragkrokar"/>
            <filter val="Nyckel"/>
            <filter val="Kulor"/>
            <filter val="Monteringssats"/>
            <filter val="Handdator"/>
            <filter val="Plastpluggar"/>
            <filter val="Batteriladdare"/>
            <filter val="Kula"/>
            <filter val="Elsatser"/>
            <filter val="Komfortsats"/>
            <filter val="Dragkrok"/>
            <filter val="Nycklar"/>
            <filter val="Elsats"/>
          </filters>
        </filterColumn>
        <filterColumn colId="20">
          <filters blank="1">
            <filter val="FALSE"/>
          </filters>
        </filterColumn>
      </autoFilter>
    </customSheetView>
    <customSheetView guid="{F0EEE251-4F01-4F16-834C-E9848E0213B6}" filter="1" showAutoFilter="1">
      <autoFilter ref="$A$2:$AD$5223">
        <filterColumn colId="20">
          <filters blank="1">
            <filter val="FALSE"/>
          </filters>
        </filterColumn>
      </autoFilter>
    </customSheetView>
    <customSheetView guid="{A37C6A65-95D3-4DB9-B574-2D2C7656ECC0}" filter="1" showAutoFilter="1">
      <autoFilter ref="$A$2:$AD$5223">
        <filterColumn colId="7">
          <customFilters>
            <customFilter val="*Järfälla*"/>
          </customFilters>
        </filterColumn>
        <filterColumn colId="20">
          <filters blank="1">
            <filter val="FALSE"/>
          </filters>
        </filterColumn>
      </autoFilter>
    </customSheetView>
    <customSheetView guid="{D9429EBF-F1B3-4B0A-BBE6-5A7EDD26904F}" filter="1" showAutoFilter="1">
      <autoFilter ref="$A$2:$AD$5223">
        <filterColumn colId="7">
          <customFilters>
            <customFilter operator="notEqual" val="*kontor*"/>
          </customFilters>
        </filterColumn>
        <filterColumn colId="20">
          <filters blank="1">
            <filter val="FALSE"/>
          </filters>
        </filterColumn>
      </autoFilter>
    </customSheetView>
    <customSheetView guid="{B0C61B0A-3DA9-4AE1-A191-5DF71A8778EA}" filter="1" showAutoFilter="1">
      <autoFilter ref="$A$2:$AD$5223">
        <filterColumn colId="26">
          <filters>
            <filter val="TRUE"/>
          </filters>
        </filterColumn>
      </autoFilter>
    </customSheetView>
    <customSheetView guid="{0CCF2AE3-DDE9-4126-87DF-7312917450DA}" filter="1" showAutoFilter="1">
      <autoFilter ref="$A$2:$AD$5223">
        <filterColumn colId="1">
          <customFilters>
            <customFilter val="*Dragkrok*"/>
          </customFilters>
        </filterColumn>
        <filterColumn colId="20">
          <filters blank="1">
            <filter val="FALSE"/>
          </filters>
        </filterColumn>
      </autoFilter>
    </customSheetView>
    <customSheetView guid="{B3D5AEE1-E024-436C-9DEA-9586589F516F}" filter="1" showAutoFilter="1">
      <autoFilter ref="$A$2:$AD$5223">
        <filterColumn colId="20">
          <filters blank="1">
            <filter val="TRUE"/>
          </filters>
        </filterColumn>
      </autoFilter>
    </customSheetView>
    <customSheetView guid="{14570B54-C136-4B6D-8D90-EF667E32BB6D}" filter="1" showAutoFilter="1">
      <autoFilter ref="$A$2:$AD$5223"/>
    </customSheetView>
  </customSheetViews>
  <conditionalFormatting sqref="H1:H1141 H1143:H1357 H1359:H5223">
    <cfRule type="notContainsText" dxfId="8" priority="1" operator="notContains" text="Kontoret">
      <formula>ISERROR(SEARCH(("Kontoret"),(H1)))</formula>
    </cfRule>
  </conditionalFormatting>
  <dataValidations>
    <dataValidation type="list" allowBlank="1" sqref="F1:F13 F16 F19:F20 F22:F23 F25 F27:F30 F33:F34 F39 F42:F45 F48:F50 F57:F59 F66 F68 F73:F77 F79:F80 F82 F84 F87:F91 F95:F96 F98 F101 F103 F106:F117 F119 F122:F127 F131 F137 F141 F143:F146 F149 F152 F155:F156 F161 F170 F173 F175:F179 F184:F185 F190:F191 F193:F195 F198 F200 F208:F209 F211 F213:F215 F220 F223:F237 F239:F240 F242:F247 F249 F253 F256:F258 F261:F266 F271:F272 F274:F275 F277 F282:F284 F287 F293:F297 F299:F300 F303 F307 F309 F314 F316 F318:F322 F324:F327 F331 F340:F341 F343:F345 F349:F350 F363:F364 F374:F375 F386:F393 F407:F425 F434 F436 F440 F442:F444 F446:F464 F466:F468 F470:F473 F482:F485 F490 F492:F495 F498 F501 F503 F507:F508 F510 F513:F516 F518:F521 F523 F527:F528 F530:F536 F543 F547:F548 F553:F557 F559:F563 F567:F569 F572:F573 F578 F581:F582 F589 F595:F596 F599:F600 F602 F605 F609:F610 F612:F613 F618:F637 F640:F643 F645:F647 F649 F651 F653:F658 F660:F661 F667:F669 F674:F675 F677:F678 F686:F687 F694 F696:F698 F702 F707:F709 F713:F719 F723 F726:F728 F731 F734:F735 F739 F742 F744 F752:F758 F761:F762 F765 F771:F778 F780 F783:F785 F787 F792 F795:F796 F798 F810 F814:F815 F817:F819 F821:F826 F830:F833 F836 F852:F856 F859:F867 F873 F892:F895 F902:F916 F922 F925 F928:F929 F932:F934 F938:F939 F955:F960 F962:F970 F973:F977 F982:F983 F986:F989 F991:F992 F997 F1000 F1002:F1004 F1009:F1011 F1015:F1018 F1021:F1027 F1029:F1031 F1033 F1035:F1036 F1039 F1041:F1046 F1068:F1155 F1157:F1217 F1220:F1647 F1649:F1784 F1786:F1793 F1795:F5223">
      <formula1>Bilmodeller2018!$C:$C</formula1>
    </dataValidation>
    <dataValidation type="list" allowBlank="1" sqref="T1592 T1717">
      <formula1>#REF!</formula1>
    </dataValidation>
  </dataValidations>
  <hyperlinks>
    <hyperlink r:id="rId1" ref="I2"/>
    <hyperlink r:id="rId2" ref="T2"/>
    <hyperlink r:id="rId3" ref="V1104"/>
  </hyperlinks>
  <printOptions gridLines="1" horizontalCentered="1"/>
  <pageMargins bottom="0.75" footer="0.0" header="0.0" left="0.7" right="0.7" top="0.75"/>
  <pageSetup paperSize="9" cellComments="atEnd" orientation="landscape" pageOrder="overThenDown"/>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0"/>
    <col customWidth="1" min="2" max="2" width="22.13"/>
    <col customWidth="1" min="3" max="3" width="15.38"/>
    <col customWidth="1" min="4" max="4" width="19.25"/>
    <col customWidth="1" min="5" max="5" width="16.38"/>
    <col customWidth="1" min="6" max="6" width="14.5"/>
    <col customWidth="1" min="7" max="7" width="19.13"/>
    <col customWidth="1" min="8" max="8" width="6.88"/>
    <col customWidth="1" min="9" max="9" width="11.75"/>
    <col customWidth="1" min="10" max="10" width="19.5"/>
    <col customWidth="1" min="12" max="12" width="21.13"/>
    <col customWidth="1" min="13" max="13" width="14.25"/>
    <col customWidth="1" min="14" max="14" width="23.75"/>
    <col customWidth="1" min="16" max="16" width="8.38"/>
    <col customWidth="1" min="17" max="17" width="15.38"/>
    <col customWidth="1" min="18" max="18" width="23.75"/>
    <col customWidth="1" min="19" max="19" width="14.88"/>
    <col customWidth="1" min="20" max="20" width="18.13"/>
    <col customWidth="1" min="21" max="21" width="18.75"/>
    <col customWidth="1" min="22" max="22" width="18.25"/>
    <col customWidth="1" min="23" max="23" width="17.75"/>
  </cols>
  <sheetData>
    <row r="1">
      <c r="A1" s="7" t="s">
        <v>12</v>
      </c>
      <c r="B1" s="7" t="s">
        <v>15</v>
      </c>
      <c r="C1" s="8" t="s">
        <v>17</v>
      </c>
      <c r="D1" s="9" t="s">
        <v>21</v>
      </c>
      <c r="E1" s="11" t="s">
        <v>26</v>
      </c>
      <c r="F1" s="3" t="s">
        <v>13</v>
      </c>
      <c r="G1" s="3" t="s">
        <v>14</v>
      </c>
      <c r="H1" s="3"/>
      <c r="I1" s="3"/>
      <c r="J1" s="3" t="s">
        <v>19</v>
      </c>
      <c r="K1" s="3" t="s">
        <v>20</v>
      </c>
      <c r="L1" s="3"/>
      <c r="M1" s="16" t="s">
        <v>22</v>
      </c>
      <c r="N1" s="15" t="s">
        <v>31</v>
      </c>
      <c r="O1" s="8" t="s">
        <v>29</v>
      </c>
      <c r="P1" s="8" t="s">
        <v>30</v>
      </c>
      <c r="Q1" s="18" t="s">
        <v>38</v>
      </c>
      <c r="R1" s="8" t="s">
        <v>33</v>
      </c>
      <c r="S1" s="3" t="s">
        <v>34</v>
      </c>
      <c r="T1" s="3" t="s">
        <v>41</v>
      </c>
      <c r="U1" s="17" t="s">
        <v>42</v>
      </c>
      <c r="V1" s="3" t="s">
        <v>39</v>
      </c>
      <c r="W1" s="3" t="s">
        <v>40</v>
      </c>
      <c r="X1" s="4"/>
      <c r="Y1" s="4"/>
      <c r="Z1" s="4"/>
      <c r="AA1" s="4"/>
      <c r="AB1" s="4"/>
      <c r="AC1" s="4"/>
      <c r="AD1" s="4"/>
      <c r="AE1" s="4"/>
      <c r="AF1" s="4"/>
      <c r="AG1" s="4"/>
      <c r="AH1" s="4"/>
      <c r="AI1" s="4"/>
      <c r="AJ1" s="4"/>
      <c r="AK1" s="4"/>
      <c r="AL1" s="4"/>
    </row>
    <row r="2" hidden="1">
      <c r="A2" s="21"/>
      <c r="B2" s="21" t="s">
        <v>52</v>
      </c>
      <c r="C2" s="23"/>
      <c r="D2" s="25" t="s">
        <v>54</v>
      </c>
      <c r="E2" s="27"/>
      <c r="F2" s="21" t="s">
        <v>59</v>
      </c>
      <c r="G2" s="21" t="s">
        <v>61</v>
      </c>
      <c r="H2" s="21" t="s">
        <v>62</v>
      </c>
      <c r="I2" s="21" t="s">
        <v>64</v>
      </c>
      <c r="J2" s="21" t="s">
        <v>65</v>
      </c>
      <c r="K2" s="21" t="s">
        <v>66</v>
      </c>
      <c r="L2" s="21" t="str">
        <f t="shared" ref="L2:L3" si="1">B2&amp;"
"&amp;G2&amp;"
"&amp;H2&amp;" "&amp;I2&amp;"
Telefon: "&amp;J2</f>
        <v>Car Care Sthlm AB
Örkroken 2
138 40 Älta
Telefon: 08-41030038</v>
      </c>
      <c r="M2" s="36"/>
      <c r="N2" s="37"/>
      <c r="O2" s="38" t="s">
        <v>87</v>
      </c>
      <c r="P2" s="23"/>
      <c r="Q2" s="39">
        <v>42614.0</v>
      </c>
      <c r="R2" s="40"/>
      <c r="S2" s="6" t="s">
        <v>92</v>
      </c>
    </row>
    <row r="3" hidden="1">
      <c r="A3" s="41"/>
      <c r="B3" s="41" t="s">
        <v>94</v>
      </c>
      <c r="C3" s="42"/>
      <c r="D3" s="43" t="s">
        <v>95</v>
      </c>
      <c r="E3" s="44"/>
      <c r="F3" s="41" t="s">
        <v>98</v>
      </c>
      <c r="G3" s="41" t="s">
        <v>99</v>
      </c>
      <c r="H3" s="41" t="s">
        <v>100</v>
      </c>
      <c r="I3" s="41" t="s">
        <v>101</v>
      </c>
      <c r="J3" s="41" t="s">
        <v>102</v>
      </c>
      <c r="K3" s="41" t="s">
        <v>104</v>
      </c>
      <c r="L3" s="41" t="str">
        <f t="shared" si="1"/>
        <v>Vallentuna Däcktion AB
Moränvägen 1
186 40 Vallentuna
Telefon: 070-0929723</v>
      </c>
      <c r="M3" s="45"/>
      <c r="N3" s="46"/>
      <c r="O3" s="47" t="s">
        <v>87</v>
      </c>
      <c r="P3" s="42"/>
      <c r="Q3" s="49">
        <v>43070.0</v>
      </c>
      <c r="R3" s="42"/>
      <c r="S3" s="41" t="s">
        <v>92</v>
      </c>
    </row>
    <row r="4" hidden="1">
      <c r="A4" s="41"/>
      <c r="B4" s="41" t="s">
        <v>120</v>
      </c>
      <c r="C4" s="42"/>
      <c r="D4" s="42"/>
      <c r="E4" s="44"/>
      <c r="F4" s="41" t="s">
        <v>123</v>
      </c>
      <c r="G4" s="41" t="s">
        <v>124</v>
      </c>
      <c r="H4" s="41" t="s">
        <v>127</v>
      </c>
      <c r="I4" s="41" t="s">
        <v>128</v>
      </c>
      <c r="J4" s="41" t="s">
        <v>130</v>
      </c>
      <c r="K4" s="52"/>
      <c r="L4" s="52"/>
      <c r="M4" s="45"/>
      <c r="N4" s="46"/>
      <c r="O4" s="54"/>
      <c r="P4" s="42"/>
      <c r="Q4" s="49">
        <v>42370.0</v>
      </c>
      <c r="R4" s="42"/>
      <c r="S4" s="41" t="s">
        <v>92</v>
      </c>
    </row>
    <row r="5" hidden="1">
      <c r="A5" s="41"/>
      <c r="B5" s="41" t="s">
        <v>142</v>
      </c>
      <c r="C5" s="43"/>
      <c r="D5" s="43" t="s">
        <v>145</v>
      </c>
      <c r="E5" s="44"/>
      <c r="F5" s="41" t="s">
        <v>146</v>
      </c>
      <c r="G5" s="41" t="s">
        <v>147</v>
      </c>
      <c r="H5" s="41" t="s">
        <v>148</v>
      </c>
      <c r="I5" s="41" t="s">
        <v>149</v>
      </c>
      <c r="J5" s="41" t="s">
        <v>150</v>
      </c>
      <c r="K5" s="41"/>
      <c r="L5" s="41"/>
      <c r="M5" s="45"/>
      <c r="N5" s="46"/>
      <c r="O5" s="47"/>
      <c r="P5" s="43"/>
      <c r="Q5" s="49">
        <v>42370.0</v>
      </c>
      <c r="R5" s="42"/>
      <c r="S5" s="41" t="s">
        <v>92</v>
      </c>
      <c r="T5" s="6" t="s">
        <v>155</v>
      </c>
    </row>
    <row r="6" hidden="1">
      <c r="A6" s="56" t="s">
        <v>156</v>
      </c>
      <c r="B6" s="57" t="s">
        <v>158</v>
      </c>
      <c r="C6" s="43" t="s">
        <v>92</v>
      </c>
      <c r="D6" s="43" t="s">
        <v>160</v>
      </c>
      <c r="E6" s="58" t="s">
        <v>163</v>
      </c>
      <c r="F6" s="41" t="s">
        <v>167</v>
      </c>
      <c r="G6" s="41" t="s">
        <v>168</v>
      </c>
      <c r="H6" s="41" t="s">
        <v>169</v>
      </c>
      <c r="I6" s="41" t="s">
        <v>171</v>
      </c>
      <c r="J6" s="41" t="s">
        <v>172</v>
      </c>
      <c r="K6" s="41" t="s">
        <v>175</v>
      </c>
      <c r="L6" s="41" t="str">
        <f t="shared" ref="L6:L9" si="2">B6&amp;"
"&amp;G6&amp;"
"&amp;H6&amp;" "&amp;I6&amp;"
Telefon: "&amp;J6</f>
        <v>CE Motor
Energivägen 2
135 49 Tyresö
Telefon: 08-7703409
Christian 0707-397767</v>
      </c>
      <c r="M6" s="59"/>
      <c r="N6" s="61" t="s">
        <v>191</v>
      </c>
      <c r="O6" s="47" t="s">
        <v>193</v>
      </c>
      <c r="P6" s="42"/>
      <c r="Q6" s="63">
        <v>43864.0</v>
      </c>
      <c r="R6" s="65" t="s">
        <v>198</v>
      </c>
      <c r="S6" s="6" t="s">
        <v>92</v>
      </c>
      <c r="T6" s="41" t="s">
        <v>202</v>
      </c>
      <c r="U6" s="52"/>
      <c r="V6" s="52"/>
      <c r="W6" s="52"/>
      <c r="X6" s="52"/>
      <c r="Y6" s="52"/>
      <c r="Z6" s="52"/>
      <c r="AA6" s="52"/>
      <c r="AB6" s="52"/>
      <c r="AC6" s="52"/>
      <c r="AD6" s="52"/>
      <c r="AE6" s="52"/>
      <c r="AF6" s="52"/>
      <c r="AG6" s="52"/>
      <c r="AH6" s="52"/>
      <c r="AI6" s="52"/>
      <c r="AJ6" s="52"/>
      <c r="AK6" s="52"/>
      <c r="AL6" s="52"/>
    </row>
    <row r="7" hidden="1">
      <c r="A7" s="41"/>
      <c r="B7" s="41" t="s">
        <v>208</v>
      </c>
      <c r="C7" s="43"/>
      <c r="D7" s="43" t="s">
        <v>209</v>
      </c>
      <c r="E7" s="58"/>
      <c r="F7" s="41" t="s">
        <v>210</v>
      </c>
      <c r="G7" s="41" t="s">
        <v>211</v>
      </c>
      <c r="H7" s="41" t="s">
        <v>213</v>
      </c>
      <c r="I7" s="41" t="s">
        <v>215</v>
      </c>
      <c r="J7" s="41" t="s">
        <v>216</v>
      </c>
      <c r="K7" s="52"/>
      <c r="L7" s="41" t="str">
        <f t="shared" si="2"/>
        <v>S-Service Din Bilverkstad AB
Fjärestadsvägen 344
253 42 Vallåkra
Telefon: 042-99208</v>
      </c>
      <c r="M7" s="59"/>
      <c r="N7" s="61"/>
      <c r="O7" s="47" t="s">
        <v>193</v>
      </c>
      <c r="P7" s="43"/>
      <c r="Q7" s="49">
        <v>42370.0</v>
      </c>
      <c r="R7" s="43"/>
      <c r="S7" s="41" t="s">
        <v>92</v>
      </c>
    </row>
    <row r="8" hidden="1">
      <c r="A8" s="41"/>
      <c r="B8" s="41" t="s">
        <v>225</v>
      </c>
      <c r="C8" s="42"/>
      <c r="D8" s="43" t="s">
        <v>95</v>
      </c>
      <c r="E8" s="44"/>
      <c r="F8" s="41" t="s">
        <v>227</v>
      </c>
      <c r="G8" s="41" t="s">
        <v>228</v>
      </c>
      <c r="H8" s="41" t="s">
        <v>229</v>
      </c>
      <c r="I8" s="41" t="s">
        <v>230</v>
      </c>
      <c r="J8" s="41" t="s">
        <v>231</v>
      </c>
      <c r="K8" s="41" t="s">
        <v>233</v>
      </c>
      <c r="L8" s="41" t="str">
        <f t="shared" si="2"/>
        <v>Holmbergs Autoservice
Industrigatan 10
273 35 Tomelilla
Telefon: 0738-133031</v>
      </c>
      <c r="M8" s="45"/>
      <c r="N8" s="46"/>
      <c r="O8" s="47" t="s">
        <v>235</v>
      </c>
      <c r="P8" s="42"/>
      <c r="Q8" s="49">
        <v>42736.0</v>
      </c>
      <c r="R8" s="42"/>
      <c r="S8" s="41" t="s">
        <v>92</v>
      </c>
    </row>
    <row r="9">
      <c r="A9" s="70" t="s">
        <v>237</v>
      </c>
      <c r="B9" s="7" t="s">
        <v>238</v>
      </c>
      <c r="C9" s="73" t="b">
        <v>1</v>
      </c>
      <c r="D9" s="74" t="s">
        <v>245</v>
      </c>
      <c r="E9" s="75" t="s">
        <v>248</v>
      </c>
      <c r="F9" s="6" t="s">
        <v>252</v>
      </c>
      <c r="G9" s="6" t="s">
        <v>253</v>
      </c>
      <c r="H9" s="6">
        <v>17677.0</v>
      </c>
      <c r="I9" s="6" t="s">
        <v>255</v>
      </c>
      <c r="J9" s="6" t="s">
        <v>256</v>
      </c>
      <c r="K9" s="6" t="s">
        <v>257</v>
      </c>
      <c r="L9" s="76" t="str">
        <f t="shared" si="2"/>
        <v>JHS Bilservice
Jättevägen 4
17677 Järfälla
Telefon: 08-58352820
(JACK) 070-881 67 98</v>
      </c>
      <c r="M9" s="77"/>
      <c r="N9" s="78" t="s">
        <v>262</v>
      </c>
      <c r="O9" s="79" t="s">
        <v>263</v>
      </c>
      <c r="P9" s="40" t="b">
        <v>0</v>
      </c>
      <c r="Q9" s="80">
        <v>46057.0</v>
      </c>
      <c r="R9" s="81" t="s">
        <v>266</v>
      </c>
      <c r="S9" s="6" t="s">
        <v>269</v>
      </c>
      <c r="U9" s="6" t="b">
        <v>1</v>
      </c>
    </row>
    <row r="10" hidden="1">
      <c r="A10" s="41"/>
      <c r="B10" s="41" t="s">
        <v>271</v>
      </c>
      <c r="C10" s="73" t="b">
        <v>1</v>
      </c>
      <c r="D10" s="43" t="s">
        <v>95</v>
      </c>
      <c r="E10" s="44"/>
      <c r="F10" s="41" t="s">
        <v>276</v>
      </c>
      <c r="G10" s="41" t="s">
        <v>278</v>
      </c>
      <c r="H10" s="41" t="s">
        <v>279</v>
      </c>
      <c r="I10" s="41" t="s">
        <v>281</v>
      </c>
      <c r="J10" s="41" t="s">
        <v>283</v>
      </c>
      <c r="K10" s="41" t="s">
        <v>284</v>
      </c>
      <c r="L10" s="41"/>
      <c r="M10" s="45"/>
      <c r="N10" s="78" t="s">
        <v>262</v>
      </c>
      <c r="O10" s="79" t="s">
        <v>263</v>
      </c>
      <c r="P10" s="43" t="b">
        <v>0</v>
      </c>
      <c r="Q10" s="49">
        <v>42370.0</v>
      </c>
      <c r="R10" s="42"/>
      <c r="S10" s="41" t="s">
        <v>92</v>
      </c>
      <c r="U10" t="b">
        <v>0</v>
      </c>
    </row>
    <row r="11" hidden="1">
      <c r="A11" s="41"/>
      <c r="B11" s="41" t="s">
        <v>293</v>
      </c>
      <c r="C11" s="73" t="b">
        <v>1</v>
      </c>
      <c r="D11" s="43" t="s">
        <v>95</v>
      </c>
      <c r="E11" s="58"/>
      <c r="F11" s="41" t="s">
        <v>298</v>
      </c>
      <c r="G11" s="41"/>
      <c r="H11" s="41" t="s">
        <v>279</v>
      </c>
      <c r="I11" s="41" t="s">
        <v>281</v>
      </c>
      <c r="J11" s="41" t="s">
        <v>300</v>
      </c>
      <c r="K11" s="41" t="s">
        <v>302</v>
      </c>
      <c r="L11" s="41" t="str">
        <f>B11&amp;"
"&amp;G11&amp;"
"&amp;H11&amp;" "&amp;I11&amp;"
Telefon: "&amp;J11</f>
        <v>414 Industries
414 74 Göteborg
Telefon: 072-7268393</v>
      </c>
      <c r="M11" s="59"/>
      <c r="N11" s="78" t="s">
        <v>262</v>
      </c>
      <c r="O11" s="79" t="s">
        <v>263</v>
      </c>
      <c r="P11" s="42" t="b">
        <v>0</v>
      </c>
      <c r="Q11" s="49">
        <v>42979.0</v>
      </c>
      <c r="R11" s="43"/>
      <c r="S11" s="41" t="s">
        <v>324</v>
      </c>
      <c r="U11" t="b">
        <v>0</v>
      </c>
    </row>
    <row r="12" hidden="1">
      <c r="A12" s="41"/>
      <c r="B12" s="41" t="s">
        <v>328</v>
      </c>
      <c r="C12" s="73" t="b">
        <v>1</v>
      </c>
      <c r="D12" s="43"/>
      <c r="E12" s="44"/>
      <c r="F12" s="41" t="s">
        <v>332</v>
      </c>
      <c r="G12" s="52"/>
      <c r="H12" s="52"/>
      <c r="I12" s="52"/>
      <c r="J12" s="52"/>
      <c r="K12" s="52"/>
      <c r="L12" s="52"/>
      <c r="M12" s="45"/>
      <c r="N12" s="78" t="s">
        <v>262</v>
      </c>
      <c r="O12" s="79" t="s">
        <v>263</v>
      </c>
      <c r="P12" s="43" t="b">
        <v>0</v>
      </c>
      <c r="Q12" s="49">
        <v>42370.0</v>
      </c>
      <c r="R12" s="42"/>
      <c r="S12" s="41" t="s">
        <v>92</v>
      </c>
      <c r="U12" t="b">
        <v>0</v>
      </c>
    </row>
    <row r="13" ht="71.25" customHeight="1">
      <c r="A13" s="70" t="s">
        <v>237</v>
      </c>
      <c r="B13" s="7" t="s">
        <v>345</v>
      </c>
      <c r="C13" s="73" t="b">
        <v>1</v>
      </c>
      <c r="D13" s="74" t="s">
        <v>348</v>
      </c>
      <c r="E13" s="75" t="s">
        <v>350</v>
      </c>
      <c r="F13" s="6" t="s">
        <v>352</v>
      </c>
      <c r="G13" s="6" t="s">
        <v>355</v>
      </c>
      <c r="H13" s="6" t="s">
        <v>357</v>
      </c>
      <c r="I13" s="6" t="s">
        <v>360</v>
      </c>
      <c r="J13" s="6" t="s">
        <v>361</v>
      </c>
      <c r="K13" s="6" t="s">
        <v>364</v>
      </c>
      <c r="L13" s="76" t="str">
        <f t="shared" ref="L13:L14" si="3">B13&amp;"
"&amp;G13&amp;"
"&amp;H13&amp;" "&amp;I13&amp;"
Telefon: "&amp;J13</f>
        <v>Supreme Autoservice
Cypressvägen 10
213 63 Malmö
Telefon: 040-213 580
ILKER: 0736-600974</v>
      </c>
      <c r="M13" s="77"/>
      <c r="N13" s="78" t="s">
        <v>262</v>
      </c>
      <c r="O13" s="79" t="s">
        <v>263</v>
      </c>
      <c r="P13" s="73" t="b">
        <v>0</v>
      </c>
      <c r="Q13" s="80">
        <v>42370.0</v>
      </c>
      <c r="R13" s="81" t="s">
        <v>266</v>
      </c>
      <c r="S13" s="6" t="s">
        <v>269</v>
      </c>
      <c r="T13" s="6"/>
      <c r="U13" t="b">
        <v>0</v>
      </c>
    </row>
    <row r="14" hidden="1">
      <c r="A14" s="94" t="s">
        <v>156</v>
      </c>
      <c r="B14" s="95" t="s">
        <v>369</v>
      </c>
      <c r="C14" s="73" t="b">
        <v>1</v>
      </c>
      <c r="D14" s="25" t="s">
        <v>370</v>
      </c>
      <c r="E14" s="96" t="s">
        <v>372</v>
      </c>
      <c r="F14" s="21" t="s">
        <v>377</v>
      </c>
      <c r="G14" s="21" t="s">
        <v>378</v>
      </c>
      <c r="H14" s="21" t="s">
        <v>379</v>
      </c>
      <c r="I14" s="21" t="s">
        <v>380</v>
      </c>
      <c r="J14" s="21" t="s">
        <v>381</v>
      </c>
      <c r="K14" s="21" t="s">
        <v>382</v>
      </c>
      <c r="L14" s="21" t="str">
        <f t="shared" si="3"/>
        <v>Tågaborgs Bilservice
Florettgatan 7
254 67 Helsingborg
Telefon: 042-201804</v>
      </c>
      <c r="M14" s="98"/>
      <c r="N14" s="78" t="s">
        <v>262</v>
      </c>
      <c r="O14" s="79" t="s">
        <v>263</v>
      </c>
      <c r="P14" s="43" t="b">
        <v>0</v>
      </c>
      <c r="Q14" s="49">
        <v>43591.0</v>
      </c>
      <c r="R14" s="65"/>
      <c r="S14" s="41" t="s">
        <v>92</v>
      </c>
      <c r="T14" s="41" t="s">
        <v>383</v>
      </c>
      <c r="U14" t="b">
        <v>0</v>
      </c>
      <c r="V14" s="52"/>
      <c r="W14" s="52"/>
      <c r="X14" s="52"/>
      <c r="Y14" s="52"/>
      <c r="Z14" s="52"/>
      <c r="AA14" s="52"/>
      <c r="AB14" s="52"/>
      <c r="AC14" s="52"/>
      <c r="AD14" s="52"/>
      <c r="AE14" s="52"/>
      <c r="AF14" s="52"/>
    </row>
    <row r="15" hidden="1">
      <c r="A15" s="41"/>
      <c r="B15" s="41" t="s">
        <v>384</v>
      </c>
      <c r="C15" s="73" t="b">
        <v>1</v>
      </c>
      <c r="D15" s="43"/>
      <c r="E15" s="44"/>
      <c r="F15" s="41" t="s">
        <v>386</v>
      </c>
      <c r="G15" s="41" t="s">
        <v>387</v>
      </c>
      <c r="H15" s="41" t="s">
        <v>388</v>
      </c>
      <c r="I15" s="41" t="s">
        <v>389</v>
      </c>
      <c r="J15" s="41" t="s">
        <v>390</v>
      </c>
      <c r="K15" s="52"/>
      <c r="L15" s="52"/>
      <c r="M15" s="45"/>
      <c r="N15" s="78" t="s">
        <v>262</v>
      </c>
      <c r="O15" s="79" t="s">
        <v>263</v>
      </c>
      <c r="P15" s="43" t="b">
        <v>0</v>
      </c>
      <c r="Q15" s="49">
        <v>42370.0</v>
      </c>
      <c r="R15" s="42"/>
      <c r="S15" s="41" t="s">
        <v>92</v>
      </c>
      <c r="U15" t="b">
        <v>0</v>
      </c>
    </row>
    <row r="16">
      <c r="A16" s="102" t="s">
        <v>396</v>
      </c>
      <c r="B16" s="103" t="s">
        <v>106</v>
      </c>
      <c r="C16" s="73" t="b">
        <v>0</v>
      </c>
      <c r="D16" s="74" t="s">
        <v>398</v>
      </c>
      <c r="E16" s="105" t="s">
        <v>399</v>
      </c>
      <c r="F16" s="106" t="s">
        <v>108</v>
      </c>
      <c r="G16" s="106" t="s">
        <v>400</v>
      </c>
      <c r="H16" s="106" t="s">
        <v>401</v>
      </c>
      <c r="I16" s="106" t="s">
        <v>402</v>
      </c>
      <c r="J16" s="106" t="s">
        <v>403</v>
      </c>
      <c r="K16" s="106" t="s">
        <v>404</v>
      </c>
      <c r="L16" s="76" t="str">
        <f t="shared" ref="L16:L18" si="4">B16&amp;"
"&amp;G16&amp;"
"&amp;H16&amp;" "&amp;I16&amp;"
Telefon: "&amp;J16</f>
        <v>Williams Garage
Förrådsgatan 10
542 35 Mariestad
Telefon: 0737-266323</v>
      </c>
      <c r="M16" s="109"/>
      <c r="N16" s="78" t="s">
        <v>262</v>
      </c>
      <c r="O16" s="79" t="s">
        <v>263</v>
      </c>
      <c r="P16" s="111" t="b">
        <v>0</v>
      </c>
      <c r="Q16" s="112">
        <v>46057.0</v>
      </c>
      <c r="R16" s="114" t="s">
        <v>405</v>
      </c>
      <c r="S16" s="6" t="s">
        <v>92</v>
      </c>
      <c r="T16" s="115"/>
      <c r="U16" t="b">
        <v>0</v>
      </c>
      <c r="V16" s="115"/>
      <c r="W16" s="115"/>
      <c r="X16" s="115"/>
      <c r="Y16" s="115"/>
      <c r="Z16" s="115"/>
      <c r="AA16" s="115"/>
      <c r="AB16" s="115"/>
      <c r="AC16" s="115"/>
      <c r="AD16" s="115"/>
      <c r="AE16" s="115"/>
      <c r="AF16" s="115"/>
      <c r="AG16" s="115"/>
      <c r="AH16" s="115"/>
      <c r="AI16" s="115"/>
      <c r="AJ16" s="115"/>
      <c r="AK16" s="115"/>
      <c r="AL16" s="115"/>
    </row>
    <row r="17">
      <c r="A17" s="102" t="s">
        <v>406</v>
      </c>
      <c r="B17" s="103" t="s">
        <v>407</v>
      </c>
      <c r="C17" s="73" t="b">
        <v>1</v>
      </c>
      <c r="D17" s="74" t="s">
        <v>410</v>
      </c>
      <c r="E17" s="105" t="s">
        <v>399</v>
      </c>
      <c r="F17" s="106" t="s">
        <v>411</v>
      </c>
      <c r="G17" s="106" t="s">
        <v>412</v>
      </c>
      <c r="H17" s="106" t="s">
        <v>414</v>
      </c>
      <c r="I17" s="106" t="s">
        <v>415</v>
      </c>
      <c r="J17" s="106" t="s">
        <v>416</v>
      </c>
      <c r="K17" s="106" t="s">
        <v>417</v>
      </c>
      <c r="L17" s="76" t="str">
        <f t="shared" si="4"/>
        <v>AB Ystad Meck &amp; Däck 
Mässingsgatan 9 
271 39 Ystad
Telefon: 0411-72422</v>
      </c>
      <c r="M17" s="109"/>
      <c r="N17" s="78" t="s">
        <v>262</v>
      </c>
      <c r="O17" s="79" t="s">
        <v>263</v>
      </c>
      <c r="P17" s="111" t="b">
        <v>0</v>
      </c>
      <c r="Q17" s="112">
        <v>46057.0</v>
      </c>
      <c r="R17" s="81" t="s">
        <v>419</v>
      </c>
      <c r="S17" s="6" t="s">
        <v>269</v>
      </c>
      <c r="T17" s="106"/>
      <c r="U17" t="b">
        <v>0</v>
      </c>
      <c r="V17" s="115"/>
      <c r="W17" s="115"/>
      <c r="X17" s="115"/>
      <c r="Y17" s="115"/>
      <c r="Z17" s="115"/>
      <c r="AA17" s="115"/>
      <c r="AB17" s="115"/>
      <c r="AC17" s="115"/>
      <c r="AD17" s="115"/>
      <c r="AE17" s="115"/>
      <c r="AF17" s="115"/>
      <c r="AG17" s="115"/>
      <c r="AH17" s="115"/>
      <c r="AI17" s="115"/>
      <c r="AJ17" s="115"/>
      <c r="AK17" s="115"/>
      <c r="AL17" s="115"/>
    </row>
    <row r="18">
      <c r="A18" s="106" t="s">
        <v>420</v>
      </c>
      <c r="B18" s="116" t="s">
        <v>421</v>
      </c>
      <c r="C18" s="73" t="b">
        <v>1</v>
      </c>
      <c r="D18" s="117" t="s">
        <v>422</v>
      </c>
      <c r="E18" s="118" t="s">
        <v>423</v>
      </c>
      <c r="F18" s="106" t="s">
        <v>424</v>
      </c>
      <c r="G18" s="106" t="s">
        <v>425</v>
      </c>
      <c r="H18" s="106" t="s">
        <v>426</v>
      </c>
      <c r="I18" s="106" t="s">
        <v>427</v>
      </c>
      <c r="J18" s="106" t="s">
        <v>428</v>
      </c>
      <c r="K18" s="106" t="s">
        <v>429</v>
      </c>
      <c r="L18" s="106" t="str">
        <f t="shared" si="4"/>
        <v>IM Bilservice
Kvällsvindsgatan 6
652 21 Karlstad
Telefon: 054-85 68 70</v>
      </c>
      <c r="M18" s="109"/>
      <c r="N18" s="78" t="s">
        <v>262</v>
      </c>
      <c r="O18" s="79" t="s">
        <v>263</v>
      </c>
      <c r="P18" s="117" t="b">
        <v>0</v>
      </c>
      <c r="Q18" s="112">
        <v>46057.0</v>
      </c>
      <c r="R18" s="114" t="s">
        <v>430</v>
      </c>
      <c r="S18" s="106" t="s">
        <v>269</v>
      </c>
      <c r="U18" t="b">
        <v>0</v>
      </c>
    </row>
    <row r="19" hidden="1">
      <c r="A19" s="41"/>
      <c r="B19" s="41" t="s">
        <v>431</v>
      </c>
      <c r="C19" s="73" t="b">
        <v>1</v>
      </c>
      <c r="D19" s="42"/>
      <c r="E19" s="44"/>
      <c r="F19" s="41" t="s">
        <v>146</v>
      </c>
      <c r="G19" s="41" t="s">
        <v>432</v>
      </c>
      <c r="H19" s="41" t="s">
        <v>433</v>
      </c>
      <c r="I19" s="41" t="s">
        <v>434</v>
      </c>
      <c r="J19" s="41" t="s">
        <v>435</v>
      </c>
      <c r="K19" s="52"/>
      <c r="L19" s="52"/>
      <c r="M19" s="45"/>
      <c r="N19" s="78" t="s">
        <v>262</v>
      </c>
      <c r="O19" s="79" t="s">
        <v>263</v>
      </c>
      <c r="P19" s="42" t="b">
        <v>0</v>
      </c>
      <c r="Q19" s="49">
        <v>42736.0</v>
      </c>
      <c r="R19" s="42"/>
      <c r="S19" s="41" t="s">
        <v>92</v>
      </c>
      <c r="U19" t="b">
        <v>0</v>
      </c>
    </row>
    <row r="20" hidden="1">
      <c r="A20" s="41"/>
      <c r="B20" s="41" t="s">
        <v>439</v>
      </c>
      <c r="C20" s="73" t="b">
        <v>1</v>
      </c>
      <c r="D20" s="43" t="s">
        <v>95</v>
      </c>
      <c r="E20" s="44"/>
      <c r="F20" s="41" t="s">
        <v>98</v>
      </c>
      <c r="G20" s="41" t="s">
        <v>253</v>
      </c>
      <c r="H20" s="41" t="s">
        <v>440</v>
      </c>
      <c r="I20" s="41" t="s">
        <v>255</v>
      </c>
      <c r="J20" s="41" t="s">
        <v>441</v>
      </c>
      <c r="K20" s="52"/>
      <c r="L20" s="52"/>
      <c r="M20" s="45"/>
      <c r="N20" s="78" t="s">
        <v>262</v>
      </c>
      <c r="O20" s="79" t="s">
        <v>263</v>
      </c>
      <c r="P20" s="42" t="b">
        <v>0</v>
      </c>
      <c r="Q20" s="49">
        <v>42614.0</v>
      </c>
      <c r="R20" s="42"/>
      <c r="S20" s="41" t="s">
        <v>92</v>
      </c>
      <c r="U20" t="b">
        <v>0</v>
      </c>
    </row>
    <row r="21" ht="74.25" customHeight="1">
      <c r="A21" s="70" t="s">
        <v>442</v>
      </c>
      <c r="B21" s="7" t="s">
        <v>443</v>
      </c>
      <c r="C21" s="73" t="b">
        <v>0</v>
      </c>
      <c r="D21" s="74" t="s">
        <v>444</v>
      </c>
      <c r="E21" s="118" t="s">
        <v>423</v>
      </c>
      <c r="F21" s="6" t="s">
        <v>445</v>
      </c>
      <c r="G21" s="6" t="s">
        <v>446</v>
      </c>
      <c r="H21" s="6" t="s">
        <v>447</v>
      </c>
      <c r="I21" s="6" t="s">
        <v>448</v>
      </c>
      <c r="J21" s="6" t="s">
        <v>449</v>
      </c>
      <c r="K21" s="6" t="s">
        <v>450</v>
      </c>
      <c r="L21" s="76" t="str">
        <f t="shared" ref="L21:L23" si="5">B21&amp;"
"&amp;G21&amp;"
"&amp;H21&amp;" "&amp;I21&amp;"
Telefon: "&amp;J21</f>
        <v>Speedy Bilservice Åhus (Åhus Fordonsteknik AB)
Koriandervägen 4
296 41 Åhus
Telefon: 044-24 00 57</v>
      </c>
      <c r="M21" s="77"/>
      <c r="N21" s="78" t="s">
        <v>262</v>
      </c>
      <c r="O21" s="79" t="s">
        <v>263</v>
      </c>
      <c r="P21" s="40" t="b">
        <v>0</v>
      </c>
      <c r="Q21" s="80">
        <v>46057.0</v>
      </c>
      <c r="R21" s="81" t="s">
        <v>457</v>
      </c>
      <c r="S21" s="6" t="s">
        <v>269</v>
      </c>
      <c r="U21" t="b">
        <v>0</v>
      </c>
    </row>
    <row r="22" hidden="1">
      <c r="A22" s="21"/>
      <c r="B22" s="21" t="s">
        <v>459</v>
      </c>
      <c r="C22" s="23"/>
      <c r="D22" s="25" t="s">
        <v>95</v>
      </c>
      <c r="E22" s="96"/>
      <c r="F22" s="21" t="s">
        <v>460</v>
      </c>
      <c r="G22" s="21" t="s">
        <v>461</v>
      </c>
      <c r="H22" s="21" t="s">
        <v>462</v>
      </c>
      <c r="I22" s="21" t="s">
        <v>463</v>
      </c>
      <c r="J22" s="21" t="s">
        <v>464</v>
      </c>
      <c r="K22" s="21" t="s">
        <v>465</v>
      </c>
      <c r="L22" s="21" t="str">
        <f t="shared" si="5"/>
        <v>Brännlunds Garage
Snäppvägen 3
802 91 Gävle
Telefon: 0703-980894</v>
      </c>
      <c r="M22" s="98"/>
      <c r="N22" s="78" t="s">
        <v>262</v>
      </c>
      <c r="O22" s="79" t="s">
        <v>263</v>
      </c>
      <c r="P22" s="23" t="b">
        <v>0</v>
      </c>
      <c r="Q22" s="39">
        <v>42887.0</v>
      </c>
      <c r="R22" s="25"/>
      <c r="S22" s="6" t="s">
        <v>92</v>
      </c>
      <c r="U22" t="b">
        <v>0</v>
      </c>
    </row>
    <row r="23" hidden="1">
      <c r="A23" s="102" t="s">
        <v>466</v>
      </c>
      <c r="B23" s="95" t="s">
        <v>467</v>
      </c>
      <c r="C23" s="23"/>
      <c r="D23" s="25" t="s">
        <v>410</v>
      </c>
      <c r="E23" s="123" t="s">
        <v>399</v>
      </c>
      <c r="F23" s="21" t="s">
        <v>469</v>
      </c>
      <c r="G23" s="21" t="s">
        <v>470</v>
      </c>
      <c r="H23" s="21" t="s">
        <v>471</v>
      </c>
      <c r="I23" s="21" t="s">
        <v>472</v>
      </c>
      <c r="J23" s="21" t="s">
        <v>473</v>
      </c>
      <c r="K23" s="125" t="s">
        <v>474</v>
      </c>
      <c r="L23" s="21" t="str">
        <f t="shared" si="5"/>
        <v>Magnus Snabbservice
Skallebackavägen 20
302 41 Halmstad
Telefon: 035-10 00 55
0733-854120</v>
      </c>
      <c r="M23" s="98"/>
      <c r="N23" s="78" t="s">
        <v>262</v>
      </c>
      <c r="O23" s="79" t="s">
        <v>263</v>
      </c>
      <c r="P23" s="23" t="b">
        <v>0</v>
      </c>
      <c r="Q23" s="39">
        <v>43490.0</v>
      </c>
      <c r="R23" s="81"/>
      <c r="S23" s="6" t="s">
        <v>92</v>
      </c>
      <c r="U23" t="b">
        <v>0</v>
      </c>
    </row>
    <row r="24" hidden="1">
      <c r="A24" s="41"/>
      <c r="B24" s="41" t="s">
        <v>475</v>
      </c>
      <c r="C24" s="42"/>
      <c r="D24" s="43" t="s">
        <v>410</v>
      </c>
      <c r="E24" s="44"/>
      <c r="F24" s="41" t="s">
        <v>477</v>
      </c>
      <c r="G24" s="41" t="s">
        <v>478</v>
      </c>
      <c r="H24" s="41" t="s">
        <v>480</v>
      </c>
      <c r="I24" s="41" t="s">
        <v>481</v>
      </c>
      <c r="J24" s="41" t="s">
        <v>482</v>
      </c>
      <c r="K24" s="52"/>
      <c r="L24" s="52"/>
      <c r="M24" s="45"/>
      <c r="N24" s="78" t="s">
        <v>262</v>
      </c>
      <c r="O24" s="79" t="s">
        <v>263</v>
      </c>
      <c r="P24" s="42" t="b">
        <v>0</v>
      </c>
      <c r="Q24" s="49">
        <v>42370.0</v>
      </c>
      <c r="R24" s="42"/>
      <c r="S24" s="41" t="s">
        <v>92</v>
      </c>
      <c r="U24" t="b">
        <v>0</v>
      </c>
    </row>
    <row r="25" hidden="1">
      <c r="A25" s="94" t="s">
        <v>156</v>
      </c>
      <c r="B25" s="95" t="s">
        <v>484</v>
      </c>
      <c r="C25" s="126">
        <v>195.0</v>
      </c>
      <c r="D25" s="25" t="s">
        <v>485</v>
      </c>
      <c r="E25" s="123" t="s">
        <v>486</v>
      </c>
      <c r="F25" s="21" t="s">
        <v>487</v>
      </c>
      <c r="G25" s="21" t="s">
        <v>488</v>
      </c>
      <c r="H25" s="21" t="s">
        <v>489</v>
      </c>
      <c r="I25" s="21" t="s">
        <v>490</v>
      </c>
      <c r="J25" s="21" t="s">
        <v>491</v>
      </c>
      <c r="K25" s="21" t="s">
        <v>492</v>
      </c>
      <c r="L25" s="21" t="str">
        <f t="shared" ref="L25:L73" si="6">B25&amp;"
"&amp;G25&amp;"
"&amp;H25&amp;" "&amp;I25&amp;"
Telefon: "&amp;J25</f>
        <v>Speedy Bilservice Falkenberg
Oktanvägen 1c
311 32 Falkenberg
Telefon: 0346-216969
0705-880519</v>
      </c>
      <c r="M25" s="98"/>
      <c r="N25" s="78" t="s">
        <v>262</v>
      </c>
      <c r="O25" s="79" t="s">
        <v>263</v>
      </c>
      <c r="P25" s="23" t="b">
        <v>0</v>
      </c>
      <c r="Q25" s="39">
        <v>43496.0</v>
      </c>
      <c r="R25" s="128"/>
      <c r="S25" s="6" t="s">
        <v>92</v>
      </c>
      <c r="U25" t="b">
        <v>0</v>
      </c>
    </row>
    <row r="26" hidden="1">
      <c r="A26" s="21"/>
      <c r="B26" s="21" t="s">
        <v>499</v>
      </c>
      <c r="C26" s="23"/>
      <c r="D26" s="25" t="s">
        <v>95</v>
      </c>
      <c r="E26" s="129"/>
      <c r="F26" s="21" t="s">
        <v>500</v>
      </c>
      <c r="G26" s="21" t="s">
        <v>501</v>
      </c>
      <c r="H26" s="21" t="s">
        <v>502</v>
      </c>
      <c r="I26" s="21" t="s">
        <v>503</v>
      </c>
      <c r="J26" s="21" t="s">
        <v>504</v>
      </c>
      <c r="K26" s="21" t="s">
        <v>505</v>
      </c>
      <c r="L26" s="21" t="str">
        <f t="shared" si="6"/>
        <v>Bil och Maskinteknik AB
Ahlmarksvägen 1
953 36  Haparanda
Telefon: 072-2197848</v>
      </c>
      <c r="M26" s="130"/>
      <c r="N26" s="78" t="s">
        <v>262</v>
      </c>
      <c r="O26" s="79" t="s">
        <v>263</v>
      </c>
      <c r="P26" s="23" t="b">
        <v>0</v>
      </c>
      <c r="Q26" s="39">
        <v>43490.0</v>
      </c>
      <c r="R26" s="23"/>
      <c r="S26" s="21" t="s">
        <v>92</v>
      </c>
      <c r="T26" s="21" t="s">
        <v>506</v>
      </c>
      <c r="U26" t="b">
        <v>0</v>
      </c>
    </row>
    <row r="27">
      <c r="A27" s="102" t="s">
        <v>237</v>
      </c>
      <c r="B27" s="103" t="s">
        <v>507</v>
      </c>
      <c r="C27" s="73" t="b">
        <v>1</v>
      </c>
      <c r="D27" s="74" t="s">
        <v>95</v>
      </c>
      <c r="E27" s="118" t="s">
        <v>423</v>
      </c>
      <c r="F27" s="106" t="s">
        <v>509</v>
      </c>
      <c r="G27" s="106" t="s">
        <v>511</v>
      </c>
      <c r="H27" s="106">
        <v>36593.0</v>
      </c>
      <c r="I27" s="106" t="s">
        <v>513</v>
      </c>
      <c r="J27" s="106" t="s">
        <v>514</v>
      </c>
      <c r="K27" s="106" t="s">
        <v>515</v>
      </c>
      <c r="L27" s="76" t="str">
        <f t="shared" si="6"/>
        <v>Drakängens Bilservice
Drakängen Attsjö
36593 Furuby/växjö
Telefon: 0704-644547</v>
      </c>
      <c r="M27" s="109"/>
      <c r="N27" s="78" t="s">
        <v>262</v>
      </c>
      <c r="O27" s="79" t="s">
        <v>263</v>
      </c>
      <c r="P27" s="117" t="b">
        <v>0</v>
      </c>
      <c r="Q27" s="112">
        <v>46057.0</v>
      </c>
      <c r="R27" s="81" t="s">
        <v>516</v>
      </c>
      <c r="S27" s="106" t="s">
        <v>269</v>
      </c>
      <c r="U27" t="b">
        <v>0</v>
      </c>
    </row>
    <row r="28" hidden="1">
      <c r="A28" s="56" t="s">
        <v>237</v>
      </c>
      <c r="B28" s="57" t="s">
        <v>517</v>
      </c>
      <c r="C28" s="43" t="s">
        <v>518</v>
      </c>
      <c r="D28" s="43" t="s">
        <v>519</v>
      </c>
      <c r="E28" s="58" t="s">
        <v>520</v>
      </c>
      <c r="F28" s="41" t="s">
        <v>521</v>
      </c>
      <c r="G28" s="41" t="s">
        <v>522</v>
      </c>
      <c r="H28" s="41" t="s">
        <v>523</v>
      </c>
      <c r="I28" s="41" t="s">
        <v>524</v>
      </c>
      <c r="J28" s="41" t="s">
        <v>525</v>
      </c>
      <c r="K28" s="131" t="s">
        <v>526</v>
      </c>
      <c r="L28" s="41" t="str">
        <f t="shared" si="6"/>
        <v>JV Automontage
EA Rosengrens gata 27
421 32 Västra Frölunda
Telefon: 0735-180195</v>
      </c>
      <c r="M28" s="59"/>
      <c r="N28" s="78" t="s">
        <v>262</v>
      </c>
      <c r="O28" s="79" t="s">
        <v>263</v>
      </c>
      <c r="P28" s="40" t="b">
        <v>0</v>
      </c>
      <c r="Q28" s="132">
        <v>43617.0</v>
      </c>
      <c r="R28" s="81"/>
      <c r="S28" s="6" t="s">
        <v>92</v>
      </c>
      <c r="U28" t="b">
        <v>0</v>
      </c>
    </row>
    <row r="29" hidden="1">
      <c r="A29" s="41"/>
      <c r="B29" s="41" t="s">
        <v>529</v>
      </c>
      <c r="C29" s="42"/>
      <c r="D29" s="43" t="s">
        <v>95</v>
      </c>
      <c r="E29" s="58"/>
      <c r="F29" s="41" t="s">
        <v>531</v>
      </c>
      <c r="G29" s="41" t="s">
        <v>532</v>
      </c>
      <c r="H29" s="41" t="s">
        <v>533</v>
      </c>
      <c r="I29" s="41" t="s">
        <v>534</v>
      </c>
      <c r="J29" s="41" t="s">
        <v>535</v>
      </c>
      <c r="K29" s="41" t="s">
        <v>536</v>
      </c>
      <c r="L29" s="21" t="str">
        <f t="shared" si="6"/>
        <v>Speedy Bilservice Karlskrona
Sunnavägen 99 
371 41 Karlskrona
Telefon: 0455-192 20</v>
      </c>
      <c r="M29" s="59"/>
      <c r="N29" s="78" t="s">
        <v>262</v>
      </c>
      <c r="O29" s="79" t="s">
        <v>263</v>
      </c>
      <c r="P29" s="42" t="b">
        <v>0</v>
      </c>
      <c r="Q29" s="49">
        <v>43490.0</v>
      </c>
      <c r="R29" s="43"/>
      <c r="S29" s="41" t="s">
        <v>324</v>
      </c>
      <c r="U29" t="b">
        <v>0</v>
      </c>
    </row>
    <row r="30">
      <c r="A30" s="70" t="s">
        <v>537</v>
      </c>
      <c r="B30" s="7" t="s">
        <v>538</v>
      </c>
      <c r="C30" s="73" t="b">
        <v>1</v>
      </c>
      <c r="D30" s="74" t="s">
        <v>410</v>
      </c>
      <c r="E30" s="75" t="s">
        <v>399</v>
      </c>
      <c r="F30" s="6" t="s">
        <v>539</v>
      </c>
      <c r="G30" s="6" t="s">
        <v>540</v>
      </c>
      <c r="H30" s="6" t="s">
        <v>541</v>
      </c>
      <c r="I30" s="6" t="s">
        <v>542</v>
      </c>
      <c r="J30" s="6" t="s">
        <v>543</v>
      </c>
      <c r="K30" s="6" t="s">
        <v>544</v>
      </c>
      <c r="L30" s="76" t="str">
        <f t="shared" si="6"/>
        <v>Äpplekullen Bil &amp; Däckservice
Ekenleden 1
428 36 Kållered
Telefon: 031-7951000
(0735-361705)</v>
      </c>
      <c r="M30" s="77"/>
      <c r="N30" s="78" t="s">
        <v>262</v>
      </c>
      <c r="O30" s="79" t="s">
        <v>263</v>
      </c>
      <c r="P30" s="73" t="b">
        <v>0</v>
      </c>
      <c r="Q30" s="80">
        <v>46057.0</v>
      </c>
      <c r="R30" s="81" t="s">
        <v>546</v>
      </c>
      <c r="S30" s="6" t="s">
        <v>269</v>
      </c>
      <c r="U30" s="6" t="b">
        <v>1</v>
      </c>
    </row>
    <row r="31" hidden="1">
      <c r="A31" s="70" t="s">
        <v>547</v>
      </c>
      <c r="B31" s="7" t="s">
        <v>548</v>
      </c>
      <c r="C31" s="133"/>
      <c r="D31" s="134" t="s">
        <v>549</v>
      </c>
      <c r="E31" s="135" t="s">
        <v>399</v>
      </c>
      <c r="F31" s="136" t="s">
        <v>552</v>
      </c>
      <c r="G31" s="136" t="s">
        <v>553</v>
      </c>
      <c r="H31" s="136" t="s">
        <v>554</v>
      </c>
      <c r="I31" s="136" t="s">
        <v>555</v>
      </c>
      <c r="J31" s="136" t="s">
        <v>556</v>
      </c>
      <c r="K31" s="136" t="s">
        <v>557</v>
      </c>
      <c r="L31" s="136" t="str">
        <f t="shared" si="6"/>
        <v>Widhedens Bil AB
Björbäcksvägen 6
451 55 Uddevalla
Telefon: 0763-048909(Widhedens)
0738-219725(Richard)</v>
      </c>
      <c r="M31" s="137"/>
      <c r="N31" s="78" t="s">
        <v>262</v>
      </c>
      <c r="O31" s="79" t="s">
        <v>263</v>
      </c>
      <c r="P31" s="133" t="b">
        <v>0</v>
      </c>
      <c r="Q31" s="138">
        <v>44222.0</v>
      </c>
      <c r="R31" s="139"/>
      <c r="S31" s="6" t="s">
        <v>92</v>
      </c>
      <c r="U31" t="b">
        <v>0</v>
      </c>
    </row>
    <row r="32" hidden="1">
      <c r="A32" s="56" t="s">
        <v>547</v>
      </c>
      <c r="B32" s="57" t="s">
        <v>558</v>
      </c>
      <c r="C32" s="42"/>
      <c r="D32" s="43" t="s">
        <v>549</v>
      </c>
      <c r="E32" s="58"/>
      <c r="F32" s="41" t="s">
        <v>559</v>
      </c>
      <c r="G32" s="41" t="s">
        <v>560</v>
      </c>
      <c r="H32" s="41" t="s">
        <v>561</v>
      </c>
      <c r="I32" s="41" t="s">
        <v>562</v>
      </c>
      <c r="J32" s="41" t="s">
        <v>563</v>
      </c>
      <c r="K32" s="41" t="s">
        <v>564</v>
      </c>
      <c r="L32" s="41" t="str">
        <f t="shared" si="6"/>
        <v>1st Class Bil &amp; Lackering
Skälebol Mossen 1
464 92  Mellerud
Telefon: 0764-14 25 66</v>
      </c>
      <c r="M32" s="59"/>
      <c r="N32" s="78" t="s">
        <v>262</v>
      </c>
      <c r="O32" s="79" t="s">
        <v>263</v>
      </c>
      <c r="P32" s="42" t="b">
        <v>0</v>
      </c>
      <c r="Q32" s="63">
        <v>44208.0</v>
      </c>
      <c r="R32" s="65"/>
      <c r="S32" s="41" t="s">
        <v>92</v>
      </c>
      <c r="T32" s="41" t="s">
        <v>566</v>
      </c>
      <c r="U32" t="b">
        <v>0</v>
      </c>
      <c r="V32" s="52"/>
      <c r="W32" s="52"/>
      <c r="X32" s="52"/>
      <c r="Y32" s="52"/>
      <c r="Z32" s="52"/>
      <c r="AA32" s="52"/>
      <c r="AB32" s="52"/>
      <c r="AC32" s="52"/>
      <c r="AD32" s="52"/>
      <c r="AE32" s="52"/>
      <c r="AF32" s="52"/>
      <c r="AG32" s="52"/>
      <c r="AH32" s="52"/>
      <c r="AI32" s="52"/>
      <c r="AJ32" s="52"/>
      <c r="AK32" s="52"/>
      <c r="AL32" s="52"/>
    </row>
    <row r="33" hidden="1">
      <c r="A33" s="136"/>
      <c r="B33" s="136" t="s">
        <v>571</v>
      </c>
      <c r="C33" s="111"/>
      <c r="D33" s="134" t="s">
        <v>95</v>
      </c>
      <c r="E33" s="105"/>
      <c r="F33" s="136" t="s">
        <v>572</v>
      </c>
      <c r="G33" s="136" t="s">
        <v>573</v>
      </c>
      <c r="H33" s="136" t="s">
        <v>574</v>
      </c>
      <c r="I33" s="136" t="s">
        <v>132</v>
      </c>
      <c r="J33" s="136" t="s">
        <v>575</v>
      </c>
      <c r="K33" s="136" t="s">
        <v>576</v>
      </c>
      <c r="L33" s="136" t="str">
        <f t="shared" si="6"/>
        <v>Nybrons Bilservice AB 
Bergslenagatan 49
506 30 Borås
Telefon: 033-131780</v>
      </c>
      <c r="M33" s="109"/>
      <c r="N33" s="78" t="s">
        <v>262</v>
      </c>
      <c r="O33" s="79" t="s">
        <v>263</v>
      </c>
      <c r="P33" s="133" t="b">
        <v>0</v>
      </c>
      <c r="Q33" s="140">
        <v>43503.0</v>
      </c>
      <c r="R33" s="117"/>
      <c r="S33" s="106" t="s">
        <v>92</v>
      </c>
      <c r="U33" t="b">
        <v>0</v>
      </c>
    </row>
    <row r="34" hidden="1">
      <c r="A34" s="41"/>
      <c r="B34" s="41" t="s">
        <v>577</v>
      </c>
      <c r="C34" s="42"/>
      <c r="D34" s="43" t="s">
        <v>95</v>
      </c>
      <c r="E34" s="44"/>
      <c r="F34" s="41" t="s">
        <v>578</v>
      </c>
      <c r="G34" s="41" t="s">
        <v>579</v>
      </c>
      <c r="H34" s="41" t="s">
        <v>580</v>
      </c>
      <c r="I34" s="41" t="s">
        <v>581</v>
      </c>
      <c r="J34" s="41" t="s">
        <v>582</v>
      </c>
      <c r="K34" s="41" t="s">
        <v>584</v>
      </c>
      <c r="L34" s="41" t="str">
        <f t="shared" si="6"/>
        <v>Bilverkstan i Sundsvall AB
Tegelvägen 8B
853 50 Sundsvall
Telefon: 070-330 24 11</v>
      </c>
      <c r="M34" s="45"/>
      <c r="N34" s="78" t="s">
        <v>262</v>
      </c>
      <c r="O34" s="79" t="s">
        <v>263</v>
      </c>
      <c r="P34" s="42" t="b">
        <v>0</v>
      </c>
      <c r="Q34" s="49">
        <v>43501.0</v>
      </c>
      <c r="R34" s="42"/>
      <c r="S34" s="41" t="s">
        <v>92</v>
      </c>
      <c r="U34" t="b">
        <v>0</v>
      </c>
    </row>
    <row r="35" hidden="1">
      <c r="A35" s="21"/>
      <c r="B35" s="21" t="s">
        <v>586</v>
      </c>
      <c r="C35" s="23"/>
      <c r="D35" s="25" t="s">
        <v>95</v>
      </c>
      <c r="E35" s="96"/>
      <c r="F35" s="21" t="s">
        <v>587</v>
      </c>
      <c r="G35" s="21" t="s">
        <v>588</v>
      </c>
      <c r="H35" s="21" t="s">
        <v>589</v>
      </c>
      <c r="I35" s="21" t="s">
        <v>149</v>
      </c>
      <c r="J35" s="21" t="s">
        <v>590</v>
      </c>
      <c r="K35" s="21" t="s">
        <v>591</v>
      </c>
      <c r="L35" s="21" t="str">
        <f t="shared" si="6"/>
        <v>Speedy Bilservice Jönköping
Bangårdsgatan 4
553 03 Jönköping
Telefon: 036-2913000</v>
      </c>
      <c r="M35" s="98"/>
      <c r="N35" s="78" t="s">
        <v>262</v>
      </c>
      <c r="O35" s="79" t="s">
        <v>263</v>
      </c>
      <c r="P35" s="23" t="b">
        <v>0</v>
      </c>
      <c r="Q35" s="39">
        <v>43475.0</v>
      </c>
      <c r="R35" s="25"/>
      <c r="S35" s="21" t="s">
        <v>92</v>
      </c>
      <c r="U35" t="b">
        <v>0</v>
      </c>
    </row>
    <row r="36" hidden="1">
      <c r="A36" s="41"/>
      <c r="B36" s="41" t="s">
        <v>592</v>
      </c>
      <c r="C36" s="42"/>
      <c r="D36" s="43" t="s">
        <v>593</v>
      </c>
      <c r="E36" s="44"/>
      <c r="F36" s="41" t="s">
        <v>594</v>
      </c>
      <c r="G36" s="41" t="s">
        <v>595</v>
      </c>
      <c r="H36" s="41" t="s">
        <v>596</v>
      </c>
      <c r="I36" s="41" t="s">
        <v>597</v>
      </c>
      <c r="J36" s="41" t="s">
        <v>598</v>
      </c>
      <c r="K36" s="41" t="s">
        <v>599</v>
      </c>
      <c r="L36" s="21" t="str">
        <f t="shared" si="6"/>
        <v>Speedy Bilservice Östermalm
Valhallavägen 161
Mitt emot Fältöversten.
T-station 15 m.
115 53 Stockholm
Telefon: 08-662 60 65
0736-974541</v>
      </c>
      <c r="M36" s="45"/>
      <c r="N36" s="78" t="s">
        <v>262</v>
      </c>
      <c r="O36" s="79" t="s">
        <v>263</v>
      </c>
      <c r="P36" s="42" t="b">
        <v>0</v>
      </c>
      <c r="Q36" s="49">
        <v>43525.0</v>
      </c>
      <c r="R36" s="42"/>
      <c r="S36" s="41" t="s">
        <v>324</v>
      </c>
      <c r="U36" t="b">
        <v>0</v>
      </c>
    </row>
    <row r="37">
      <c r="A37" s="70" t="s">
        <v>156</v>
      </c>
      <c r="B37" s="7" t="s">
        <v>601</v>
      </c>
      <c r="C37" s="73" t="b">
        <v>0</v>
      </c>
      <c r="D37" s="74" t="s">
        <v>370</v>
      </c>
      <c r="E37" s="75" t="s">
        <v>399</v>
      </c>
      <c r="F37" s="6" t="s">
        <v>603</v>
      </c>
      <c r="G37" s="6" t="s">
        <v>604</v>
      </c>
      <c r="H37" s="6">
        <v>51840.0</v>
      </c>
      <c r="I37" s="6" t="s">
        <v>605</v>
      </c>
      <c r="J37" s="6" t="s">
        <v>606</v>
      </c>
      <c r="K37" s="6" t="s">
        <v>607</v>
      </c>
      <c r="L37" s="76" t="str">
        <f t="shared" si="6"/>
        <v>Sjömarkens Motor &amp; Aluminium
Göteborgsvägen 25
51840 Sjömarken/Borås
Telefon: 070-9296019</v>
      </c>
      <c r="M37" s="77"/>
      <c r="N37" s="78" t="s">
        <v>262</v>
      </c>
      <c r="O37" s="79" t="s">
        <v>263</v>
      </c>
      <c r="P37" s="40" t="b">
        <v>0</v>
      </c>
      <c r="Q37" s="132">
        <v>46057.0</v>
      </c>
      <c r="R37" s="81" t="s">
        <v>608</v>
      </c>
      <c r="S37" s="6" t="s">
        <v>269</v>
      </c>
      <c r="U37" t="b">
        <v>0</v>
      </c>
    </row>
    <row r="38">
      <c r="A38" s="70" t="s">
        <v>609</v>
      </c>
      <c r="B38" s="7" t="s">
        <v>610</v>
      </c>
      <c r="C38" s="73" t="b">
        <v>0</v>
      </c>
      <c r="D38" s="74" t="s">
        <v>95</v>
      </c>
      <c r="E38" s="75" t="s">
        <v>611</v>
      </c>
      <c r="F38" s="6" t="s">
        <v>612</v>
      </c>
      <c r="G38" s="6" t="s">
        <v>613</v>
      </c>
      <c r="H38" s="6">
        <v>53495.0</v>
      </c>
      <c r="I38" s="6" t="s">
        <v>614</v>
      </c>
      <c r="J38" s="6" t="s">
        <v>615</v>
      </c>
      <c r="K38" s="6" t="s">
        <v>616</v>
      </c>
      <c r="L38" s="76" t="str">
        <f t="shared" si="6"/>
        <v>Skarstad Bilverkstad //
Daniel Bergendahl
Basegården 11 Skarstad
53495 Vara
Telefon: 0707-589796</v>
      </c>
      <c r="M38" s="36"/>
      <c r="N38" s="78" t="s">
        <v>262</v>
      </c>
      <c r="O38" s="79" t="s">
        <v>263</v>
      </c>
      <c r="P38" s="40" t="b">
        <v>0</v>
      </c>
      <c r="Q38" s="80">
        <v>43490.0</v>
      </c>
      <c r="R38" s="81"/>
      <c r="S38" s="6" t="s">
        <v>269</v>
      </c>
      <c r="U38" t="b">
        <v>0</v>
      </c>
    </row>
    <row r="39" hidden="1">
      <c r="A39" s="21"/>
      <c r="B39" s="21" t="s">
        <v>618</v>
      </c>
      <c r="C39" s="23"/>
      <c r="D39" s="25" t="s">
        <v>95</v>
      </c>
      <c r="E39" s="96"/>
      <c r="F39" s="21" t="s">
        <v>619</v>
      </c>
      <c r="G39" s="21" t="s">
        <v>620</v>
      </c>
      <c r="H39" s="21" t="s">
        <v>621</v>
      </c>
      <c r="I39" s="21" t="s">
        <v>622</v>
      </c>
      <c r="J39" s="21" t="s">
        <v>624</v>
      </c>
      <c r="K39" s="21" t="s">
        <v>625</v>
      </c>
      <c r="L39" s="21" t="str">
        <f t="shared" si="6"/>
        <v>Skäggetorps Bilverkstad
Skäggetorp Centrum 8
586 44 Linköping
Telefon: 013-17 16 18
076-225 09 11</v>
      </c>
      <c r="M39" s="98"/>
      <c r="N39" s="78" t="s">
        <v>262</v>
      </c>
      <c r="O39" s="79" t="s">
        <v>263</v>
      </c>
      <c r="P39" s="23" t="b">
        <v>0</v>
      </c>
      <c r="Q39" s="39">
        <v>43525.0</v>
      </c>
      <c r="R39" s="25"/>
      <c r="S39" s="21" t="s">
        <v>324</v>
      </c>
      <c r="U39" t="b">
        <v>0</v>
      </c>
    </row>
    <row r="40" hidden="1">
      <c r="A40" s="41"/>
      <c r="B40" s="41" t="s">
        <v>627</v>
      </c>
      <c r="C40" s="42"/>
      <c r="D40" s="43" t="s">
        <v>95</v>
      </c>
      <c r="E40" s="58"/>
      <c r="F40" s="41" t="s">
        <v>603</v>
      </c>
      <c r="G40" s="41" t="s">
        <v>628</v>
      </c>
      <c r="H40" s="41" t="s">
        <v>629</v>
      </c>
      <c r="I40" s="41" t="s">
        <v>630</v>
      </c>
      <c r="J40" s="41" t="s">
        <v>631</v>
      </c>
      <c r="K40" s="52"/>
      <c r="L40" s="21" t="str">
        <f t="shared" si="6"/>
        <v>Speedy Bilservice Tagene
Karlsbogårdsgatan 2 (samma hus som Besikta)
425 37  Hising Kärra
Telefon: 031-57 11 99</v>
      </c>
      <c r="M40" s="59"/>
      <c r="N40" s="78" t="s">
        <v>262</v>
      </c>
      <c r="O40" s="79" t="s">
        <v>263</v>
      </c>
      <c r="P40" s="42" t="b">
        <v>0</v>
      </c>
      <c r="Q40" s="49">
        <v>43525.0</v>
      </c>
      <c r="R40" s="43"/>
      <c r="S40" s="41" t="s">
        <v>324</v>
      </c>
      <c r="U40" t="b">
        <v>0</v>
      </c>
    </row>
    <row r="41" hidden="1">
      <c r="A41" s="41"/>
      <c r="B41" s="41" t="s">
        <v>632</v>
      </c>
      <c r="C41" s="42"/>
      <c r="D41" s="43" t="s">
        <v>95</v>
      </c>
      <c r="E41" s="58"/>
      <c r="F41" s="41" t="s">
        <v>633</v>
      </c>
      <c r="G41" s="41" t="s">
        <v>634</v>
      </c>
      <c r="H41" s="41" t="s">
        <v>635</v>
      </c>
      <c r="I41" s="41" t="s">
        <v>637</v>
      </c>
      <c r="J41" s="41" t="s">
        <v>638</v>
      </c>
      <c r="K41" s="41" t="s">
        <v>639</v>
      </c>
      <c r="L41" s="21" t="str">
        <f t="shared" si="6"/>
        <v>Bilhuset I Kalmar
Trångsundsvägen 4
392 39 Kalmar
Telefon: 0480-273 10
073-9800717</v>
      </c>
      <c r="M41" s="59"/>
      <c r="N41" s="78" t="s">
        <v>262</v>
      </c>
      <c r="O41" s="79" t="s">
        <v>263</v>
      </c>
      <c r="P41" s="42" t="b">
        <v>0</v>
      </c>
      <c r="Q41" s="49">
        <v>43545.0</v>
      </c>
      <c r="R41" s="43"/>
      <c r="S41" s="41" t="s">
        <v>324</v>
      </c>
      <c r="U41" t="b">
        <v>0</v>
      </c>
    </row>
    <row r="42" hidden="1">
      <c r="A42" s="94" t="s">
        <v>156</v>
      </c>
      <c r="B42" s="95" t="s">
        <v>641</v>
      </c>
      <c r="C42" s="25" t="s">
        <v>324</v>
      </c>
      <c r="D42" s="25" t="s">
        <v>245</v>
      </c>
      <c r="E42" s="96" t="s">
        <v>399</v>
      </c>
      <c r="F42" s="21" t="s">
        <v>642</v>
      </c>
      <c r="G42" s="21" t="s">
        <v>643</v>
      </c>
      <c r="H42" s="21" t="s">
        <v>148</v>
      </c>
      <c r="I42" s="21" t="s">
        <v>149</v>
      </c>
      <c r="J42" s="21" t="s">
        <v>644</v>
      </c>
      <c r="K42" s="21" t="s">
        <v>645</v>
      </c>
      <c r="L42" s="21" t="str">
        <f t="shared" si="6"/>
        <v>Bilverkstadscenter i Jönköping AB
Grossistgatan 3
553 02 Jönköping
Telefon: 070-285 81 69
Sara 0707-363239</v>
      </c>
      <c r="M42" s="98"/>
      <c r="N42" s="78" t="s">
        <v>262</v>
      </c>
      <c r="O42" s="79" t="s">
        <v>263</v>
      </c>
      <c r="P42" s="25" t="b">
        <v>0</v>
      </c>
      <c r="Q42" s="39">
        <v>42856.0</v>
      </c>
      <c r="R42" s="128"/>
      <c r="S42" s="21" t="s">
        <v>92</v>
      </c>
      <c r="T42" s="142"/>
      <c r="U42" t="b">
        <v>0</v>
      </c>
      <c r="V42" s="142"/>
      <c r="W42" s="142"/>
    </row>
    <row r="43" hidden="1">
      <c r="A43" s="136"/>
      <c r="B43" s="136" t="s">
        <v>646</v>
      </c>
      <c r="C43" s="143">
        <v>200.0</v>
      </c>
      <c r="D43" s="134" t="s">
        <v>95</v>
      </c>
      <c r="E43" s="135"/>
      <c r="F43" s="136" t="s">
        <v>647</v>
      </c>
      <c r="G43" s="136" t="s">
        <v>321</v>
      </c>
      <c r="H43" s="136" t="s">
        <v>648</v>
      </c>
      <c r="I43" s="136" t="s">
        <v>314</v>
      </c>
      <c r="J43" s="136" t="s">
        <v>649</v>
      </c>
      <c r="K43" s="136" t="s">
        <v>650</v>
      </c>
      <c r="L43" s="136" t="str">
        <f t="shared" si="6"/>
        <v>Viamotor Borlänge
Hugo Hedströms väg 6
781 72  Borlänge
Telefon: 0243-175 50</v>
      </c>
      <c r="M43" s="137"/>
      <c r="N43" s="78" t="s">
        <v>262</v>
      </c>
      <c r="O43" s="79" t="s">
        <v>263</v>
      </c>
      <c r="P43" s="133" t="b">
        <v>0</v>
      </c>
      <c r="Q43" s="140">
        <v>43607.0</v>
      </c>
      <c r="R43" s="134"/>
      <c r="S43" s="6" t="s">
        <v>92</v>
      </c>
      <c r="U43" t="b">
        <v>0</v>
      </c>
    </row>
    <row r="44" hidden="1">
      <c r="A44" s="70" t="s">
        <v>651</v>
      </c>
      <c r="B44" s="7" t="s">
        <v>653</v>
      </c>
      <c r="C44" s="134" t="s">
        <v>92</v>
      </c>
      <c r="D44" s="134" t="s">
        <v>95</v>
      </c>
      <c r="E44" s="135"/>
      <c r="F44" s="136" t="s">
        <v>655</v>
      </c>
      <c r="G44" s="136" t="s">
        <v>656</v>
      </c>
      <c r="H44" s="136" t="s">
        <v>657</v>
      </c>
      <c r="I44" s="136" t="s">
        <v>658</v>
      </c>
      <c r="J44" s="136" t="s">
        <v>659</v>
      </c>
      <c r="K44" s="144" t="s">
        <v>660</v>
      </c>
      <c r="L44" s="136" t="str">
        <f t="shared" si="6"/>
        <v>CULO autoservice
Förrådsgatan 5
575 36 Eksjö
Telefon: 072-5890987</v>
      </c>
      <c r="M44" s="137"/>
      <c r="N44" s="78" t="s">
        <v>262</v>
      </c>
      <c r="O44" s="79" t="s">
        <v>263</v>
      </c>
      <c r="P44" s="134" t="b">
        <v>0</v>
      </c>
      <c r="Q44" s="140">
        <v>42979.0</v>
      </c>
      <c r="R44" s="139"/>
      <c r="S44" s="6" t="s">
        <v>92</v>
      </c>
      <c r="U44" t="b">
        <v>0</v>
      </c>
    </row>
    <row r="45" hidden="1">
      <c r="A45" s="56" t="s">
        <v>661</v>
      </c>
      <c r="B45" s="57" t="s">
        <v>662</v>
      </c>
      <c r="C45" s="43" t="s">
        <v>663</v>
      </c>
      <c r="D45" s="43" t="s">
        <v>664</v>
      </c>
      <c r="E45" s="58" t="s">
        <v>665</v>
      </c>
      <c r="F45" s="41" t="s">
        <v>666</v>
      </c>
      <c r="G45" s="41" t="s">
        <v>667</v>
      </c>
      <c r="H45" s="41" t="s">
        <v>668</v>
      </c>
      <c r="I45" s="41" t="s">
        <v>622</v>
      </c>
      <c r="J45" s="41" t="s">
        <v>669</v>
      </c>
      <c r="K45" s="41" t="s">
        <v>670</v>
      </c>
      <c r="L45" s="41" t="str">
        <f t="shared" si="6"/>
        <v>Speedy Bilservice Linköping / Fikratsson Bil AB
Gillbergagatan 23
582 73 Linköping
Telefon: 013-707 72
0723-609520</v>
      </c>
      <c r="M45" s="59"/>
      <c r="N45" s="78" t="s">
        <v>262</v>
      </c>
      <c r="O45" s="79" t="s">
        <v>263</v>
      </c>
      <c r="P45" s="42" t="b">
        <v>0</v>
      </c>
      <c r="Q45" s="49">
        <v>44166.0</v>
      </c>
      <c r="R45" s="65"/>
      <c r="S45" s="6" t="s">
        <v>92</v>
      </c>
      <c r="T45" s="52"/>
      <c r="U45" t="b">
        <v>0</v>
      </c>
      <c r="V45" s="52"/>
      <c r="W45" s="52"/>
      <c r="X45" s="52"/>
      <c r="Y45" s="52"/>
      <c r="Z45" s="52"/>
      <c r="AA45" s="52"/>
      <c r="AB45" s="52"/>
      <c r="AC45" s="52"/>
      <c r="AD45" s="52"/>
      <c r="AE45" s="52"/>
      <c r="AF45" s="52"/>
      <c r="AG45" s="52"/>
      <c r="AH45" s="52"/>
      <c r="AI45" s="52"/>
      <c r="AJ45" s="52"/>
      <c r="AK45" s="52"/>
      <c r="AL45" s="52"/>
    </row>
    <row r="46">
      <c r="A46" s="70" t="s">
        <v>156</v>
      </c>
      <c r="B46" s="103" t="s">
        <v>671</v>
      </c>
      <c r="C46" s="73" t="b">
        <v>0</v>
      </c>
      <c r="D46" s="74" t="s">
        <v>672</v>
      </c>
      <c r="E46" s="75" t="s">
        <v>399</v>
      </c>
      <c r="F46" s="106" t="s">
        <v>673</v>
      </c>
      <c r="G46" s="106" t="s">
        <v>674</v>
      </c>
      <c r="H46" s="106" t="s">
        <v>675</v>
      </c>
      <c r="I46" s="106" t="s">
        <v>676</v>
      </c>
      <c r="J46" s="106" t="s">
        <v>677</v>
      </c>
      <c r="K46" s="106" t="s">
        <v>678</v>
      </c>
      <c r="L46" s="76" t="str">
        <f t="shared" si="6"/>
        <v>Speedy Bilservice Eskilstuna
Mått Johanssons Väg 14
633 46 Eskilstuna
Telefon: 016-5423828</v>
      </c>
      <c r="M46" s="77"/>
      <c r="N46" s="78" t="s">
        <v>262</v>
      </c>
      <c r="O46" s="79" t="s">
        <v>263</v>
      </c>
      <c r="P46" s="111" t="b">
        <v>0</v>
      </c>
      <c r="Q46" s="112">
        <v>46057.0</v>
      </c>
      <c r="R46" s="114" t="s">
        <v>681</v>
      </c>
      <c r="S46" s="106" t="s">
        <v>269</v>
      </c>
      <c r="U46" t="b">
        <v>0</v>
      </c>
    </row>
    <row r="47" hidden="1">
      <c r="A47" s="94" t="s">
        <v>682</v>
      </c>
      <c r="B47" s="95" t="s">
        <v>683</v>
      </c>
      <c r="C47" s="25" t="s">
        <v>684</v>
      </c>
      <c r="D47" s="25" t="s">
        <v>145</v>
      </c>
      <c r="E47" s="96" t="s">
        <v>399</v>
      </c>
      <c r="F47" s="21" t="s">
        <v>685</v>
      </c>
      <c r="G47" s="21" t="s">
        <v>686</v>
      </c>
      <c r="H47" s="21" t="s">
        <v>687</v>
      </c>
      <c r="I47" s="21" t="s">
        <v>688</v>
      </c>
      <c r="J47" s="21" t="s">
        <v>689</v>
      </c>
      <c r="K47" s="21" t="s">
        <v>690</v>
      </c>
      <c r="L47" s="21" t="str">
        <f t="shared" si="6"/>
        <v>Gunnarssons Serviceteknik
Storgatan 205 Säbylund
655 95 Väse
Telefon: 0706-051194</v>
      </c>
      <c r="M47" s="98"/>
      <c r="N47" s="78" t="s">
        <v>262</v>
      </c>
      <c r="O47" s="79" t="s">
        <v>263</v>
      </c>
      <c r="P47" s="23" t="b">
        <v>0</v>
      </c>
      <c r="Q47" s="147">
        <v>44098.0</v>
      </c>
      <c r="R47" s="114"/>
      <c r="S47" s="6" t="s">
        <v>269</v>
      </c>
      <c r="T47" s="6" t="s">
        <v>691</v>
      </c>
      <c r="U47" t="b">
        <v>0</v>
      </c>
    </row>
    <row r="48" hidden="1">
      <c r="A48" s="56" t="s">
        <v>156</v>
      </c>
      <c r="B48" s="57" t="s">
        <v>692</v>
      </c>
      <c r="C48" s="43" t="s">
        <v>269</v>
      </c>
      <c r="D48" s="43" t="s">
        <v>694</v>
      </c>
      <c r="E48" s="58" t="s">
        <v>399</v>
      </c>
      <c r="F48" s="41" t="s">
        <v>695</v>
      </c>
      <c r="G48" s="41" t="s">
        <v>696</v>
      </c>
      <c r="H48" s="41" t="s">
        <v>697</v>
      </c>
      <c r="I48" s="41" t="s">
        <v>698</v>
      </c>
      <c r="J48" s="41" t="s">
        <v>699</v>
      </c>
      <c r="K48" s="41" t="s">
        <v>700</v>
      </c>
      <c r="L48" s="41" t="str">
        <f t="shared" si="6"/>
        <v>Speedy Bilservice Örebro
Radiatorvägen 5
702 27 Örebro
Telefon: 0704-566702
019-25 42 10</v>
      </c>
      <c r="M48" s="59"/>
      <c r="N48" s="78" t="s">
        <v>262</v>
      </c>
      <c r="O48" s="79" t="s">
        <v>263</v>
      </c>
      <c r="P48" s="43" t="b">
        <v>0</v>
      </c>
      <c r="Q48" s="49">
        <v>42675.0</v>
      </c>
      <c r="R48" s="65"/>
      <c r="S48" s="6" t="s">
        <v>92</v>
      </c>
      <c r="T48" s="41" t="s">
        <v>702</v>
      </c>
      <c r="U48" t="b">
        <v>0</v>
      </c>
      <c r="V48" s="52"/>
      <c r="W48" s="52"/>
      <c r="X48" s="52"/>
      <c r="Y48" s="52"/>
      <c r="Z48" s="52"/>
      <c r="AA48" s="52"/>
      <c r="AB48" s="52"/>
      <c r="AC48" s="52"/>
      <c r="AD48" s="52"/>
      <c r="AE48" s="52"/>
      <c r="AF48" s="52"/>
      <c r="AG48" s="52"/>
      <c r="AH48" s="52"/>
      <c r="AI48" s="52"/>
      <c r="AJ48" s="52"/>
      <c r="AK48" s="52"/>
      <c r="AL48" s="52"/>
    </row>
    <row r="49" hidden="1">
      <c r="A49" s="41"/>
      <c r="B49" s="41" t="s">
        <v>703</v>
      </c>
      <c r="C49" s="42"/>
      <c r="D49" s="43" t="s">
        <v>95</v>
      </c>
      <c r="E49" s="58"/>
      <c r="F49" s="41" t="s">
        <v>704</v>
      </c>
      <c r="G49" s="41" t="s">
        <v>705</v>
      </c>
      <c r="H49" s="41" t="s">
        <v>706</v>
      </c>
      <c r="I49" s="41" t="s">
        <v>707</v>
      </c>
      <c r="J49" s="41" t="s">
        <v>708</v>
      </c>
      <c r="K49" s="41" t="s">
        <v>709</v>
      </c>
      <c r="L49" s="41" t="str">
        <f t="shared" si="6"/>
        <v>AD Bilverkstad B-Bus &amp; Kuma Bilservice AB
Faktorsgatan 14
461 37 Trollhättan
Telefon: 0520-400581
070-723 69 17</v>
      </c>
      <c r="M49" s="59"/>
      <c r="N49" s="78" t="s">
        <v>262</v>
      </c>
      <c r="O49" s="79" t="s">
        <v>263</v>
      </c>
      <c r="P49" s="42" t="b">
        <v>0</v>
      </c>
      <c r="Q49" s="148">
        <v>43758.0</v>
      </c>
      <c r="R49" s="43"/>
      <c r="S49" s="6" t="s">
        <v>92</v>
      </c>
      <c r="U49" t="b">
        <v>0</v>
      </c>
    </row>
    <row r="50">
      <c r="A50" s="102" t="s">
        <v>156</v>
      </c>
      <c r="B50" s="103" t="s">
        <v>711</v>
      </c>
      <c r="C50" s="73" t="b">
        <v>1</v>
      </c>
      <c r="D50" s="117" t="s">
        <v>713</v>
      </c>
      <c r="E50" s="105" t="s">
        <v>399</v>
      </c>
      <c r="F50" s="106" t="s">
        <v>714</v>
      </c>
      <c r="G50" s="106" t="s">
        <v>715</v>
      </c>
      <c r="H50" s="106" t="s">
        <v>716</v>
      </c>
      <c r="I50" s="106" t="s">
        <v>717</v>
      </c>
      <c r="J50" s="106" t="s">
        <v>718</v>
      </c>
      <c r="K50" s="106" t="s">
        <v>719</v>
      </c>
      <c r="L50" s="106" t="str">
        <f t="shared" si="6"/>
        <v>Speedy Bilservice Västerås
Strömledningsgatan 3
721 37 Västerås
Telefon: 021-81 14 35
(Marius)0729-005752</v>
      </c>
      <c r="M50" s="109"/>
      <c r="N50" s="78" t="s">
        <v>262</v>
      </c>
      <c r="O50" s="149" t="s">
        <v>263</v>
      </c>
      <c r="P50" s="111" t="b">
        <v>0</v>
      </c>
      <c r="Q50" s="112">
        <v>43525.0</v>
      </c>
      <c r="R50" s="114"/>
      <c r="S50" s="106" t="s">
        <v>269</v>
      </c>
      <c r="T50" s="115"/>
      <c r="U50" t="b">
        <v>0</v>
      </c>
      <c r="V50" s="115"/>
      <c r="W50" s="115"/>
      <c r="X50" s="115"/>
      <c r="Y50" s="115"/>
      <c r="Z50" s="115"/>
      <c r="AA50" s="115"/>
      <c r="AB50" s="115"/>
      <c r="AC50" s="115"/>
      <c r="AD50" s="115"/>
      <c r="AE50" s="115"/>
      <c r="AF50" s="115"/>
      <c r="AG50" s="115"/>
      <c r="AH50" s="115"/>
      <c r="AI50" s="115"/>
      <c r="AJ50" s="115"/>
      <c r="AK50" s="115"/>
      <c r="AL50" s="115"/>
    </row>
    <row r="51">
      <c r="A51" s="102" t="s">
        <v>720</v>
      </c>
      <c r="B51" s="103" t="s">
        <v>721</v>
      </c>
      <c r="C51" s="73" t="b">
        <v>0</v>
      </c>
      <c r="D51" s="117" t="s">
        <v>723</v>
      </c>
      <c r="E51" s="105" t="s">
        <v>724</v>
      </c>
      <c r="F51" s="106" t="s">
        <v>725</v>
      </c>
      <c r="G51" s="106" t="s">
        <v>726</v>
      </c>
      <c r="H51" s="106" t="s">
        <v>727</v>
      </c>
      <c r="I51" s="106" t="s">
        <v>728</v>
      </c>
      <c r="J51" s="106" t="s">
        <v>729</v>
      </c>
      <c r="K51" s="106" t="s">
        <v>730</v>
      </c>
      <c r="L51" s="106" t="str">
        <f t="shared" si="6"/>
        <v>S.A Performance cars AB
Bälinge-Svista 45
755 93 Uppsala
Telefon: 018-444 01 92
018-444 01 94</v>
      </c>
      <c r="M51" s="109" t="s">
        <v>734</v>
      </c>
      <c r="N51" s="78" t="s">
        <v>262</v>
      </c>
      <c r="O51" s="79" t="s">
        <v>263</v>
      </c>
      <c r="P51" s="111" t="b">
        <v>0</v>
      </c>
      <c r="Q51" s="150">
        <v>46056.0</v>
      </c>
      <c r="R51" s="114" t="s">
        <v>736</v>
      </c>
      <c r="S51" s="106" t="s">
        <v>269</v>
      </c>
      <c r="U51" t="b">
        <v>0</v>
      </c>
    </row>
    <row r="52" hidden="1">
      <c r="A52" s="21"/>
      <c r="B52" s="21" t="s">
        <v>737</v>
      </c>
      <c r="C52" s="23"/>
      <c r="D52" s="25" t="s">
        <v>95</v>
      </c>
      <c r="E52" s="96"/>
      <c r="F52" s="21" t="s">
        <v>738</v>
      </c>
      <c r="G52" s="21" t="s">
        <v>739</v>
      </c>
      <c r="H52" s="151" t="s">
        <v>740</v>
      </c>
      <c r="I52" s="21" t="s">
        <v>463</v>
      </c>
      <c r="J52" s="21" t="s">
        <v>741</v>
      </c>
      <c r="K52" s="125" t="s">
        <v>742</v>
      </c>
      <c r="L52" s="21" t="str">
        <f t="shared" si="6"/>
        <v>Bilvårdshuset i Gävle
Kanalvägen 1
803 09 Gävle
Telefon: 076-2180910</v>
      </c>
      <c r="M52" s="98"/>
      <c r="N52" s="78" t="s">
        <v>262</v>
      </c>
      <c r="O52" s="79" t="s">
        <v>263</v>
      </c>
      <c r="P52" s="23" t="b">
        <v>0</v>
      </c>
      <c r="Q52" s="39">
        <v>43753.0</v>
      </c>
      <c r="R52" s="25"/>
      <c r="S52" s="21" t="s">
        <v>92</v>
      </c>
      <c r="T52" s="142"/>
      <c r="U52" t="b">
        <v>0</v>
      </c>
    </row>
    <row r="53" hidden="1">
      <c r="A53" s="94" t="s">
        <v>156</v>
      </c>
      <c r="B53" s="95" t="s">
        <v>744</v>
      </c>
      <c r="C53" s="23"/>
      <c r="D53" s="25" t="s">
        <v>95</v>
      </c>
      <c r="E53" s="96" t="s">
        <v>399</v>
      </c>
      <c r="F53" s="21" t="s">
        <v>235</v>
      </c>
      <c r="G53" s="21" t="s">
        <v>745</v>
      </c>
      <c r="H53" s="21" t="s">
        <v>746</v>
      </c>
      <c r="I53" s="21" t="s">
        <v>747</v>
      </c>
      <c r="J53" s="21" t="s">
        <v>748</v>
      </c>
      <c r="K53" s="21" t="s">
        <v>750</v>
      </c>
      <c r="L53" s="21" t="str">
        <f t="shared" si="6"/>
        <v>Autoservice AB
Långsandsvägen 2B
814 93 Skutskär/gävle
Telefon: 070-4324555(Henrik)
026-600 832</v>
      </c>
      <c r="M53" s="98"/>
      <c r="N53" s="78" t="s">
        <v>262</v>
      </c>
      <c r="O53" s="79" t="s">
        <v>263</v>
      </c>
      <c r="P53" s="23" t="b">
        <v>0</v>
      </c>
      <c r="Q53" s="39">
        <v>44616.0</v>
      </c>
      <c r="R53" s="128"/>
      <c r="S53" s="6" t="s">
        <v>92</v>
      </c>
      <c r="T53" s="142"/>
      <c r="U53" t="b">
        <v>0</v>
      </c>
      <c r="V53" s="142"/>
      <c r="W53" s="142"/>
      <c r="X53" s="142"/>
      <c r="Y53" s="142"/>
      <c r="Z53" s="142"/>
      <c r="AA53" s="142"/>
      <c r="AB53" s="142"/>
      <c r="AC53" s="142"/>
      <c r="AD53" s="142"/>
      <c r="AE53" s="142"/>
      <c r="AF53" s="142"/>
      <c r="AG53" s="142"/>
      <c r="AH53" s="142"/>
      <c r="AI53" s="142"/>
      <c r="AJ53" s="142"/>
      <c r="AK53" s="142"/>
      <c r="AL53" s="142"/>
    </row>
    <row r="54" hidden="1">
      <c r="A54" s="94" t="s">
        <v>752</v>
      </c>
      <c r="B54" s="95" t="s">
        <v>753</v>
      </c>
      <c r="C54" s="25" t="s">
        <v>754</v>
      </c>
      <c r="D54" s="25" t="s">
        <v>95</v>
      </c>
      <c r="E54" s="96"/>
      <c r="F54" s="21" t="s">
        <v>755</v>
      </c>
      <c r="G54" s="21" t="s">
        <v>756</v>
      </c>
      <c r="H54" s="21" t="s">
        <v>757</v>
      </c>
      <c r="I54" s="21" t="s">
        <v>581</v>
      </c>
      <c r="J54" s="21" t="s">
        <v>758</v>
      </c>
      <c r="K54" s="21" t="s">
        <v>759</v>
      </c>
      <c r="L54" s="21" t="str">
        <f t="shared" si="6"/>
        <v>Mekonomen Bilverkstad Sundsvall / Haga Bilteknik AB
Hagavägen 76
856 44 Sundsvall
Telefon: 060-15 92 65
0706-624509</v>
      </c>
      <c r="M54" s="98"/>
      <c r="N54" s="78" t="s">
        <v>262</v>
      </c>
      <c r="O54" s="79" t="s">
        <v>263</v>
      </c>
      <c r="P54" s="23" t="b">
        <v>0</v>
      </c>
      <c r="Q54" s="39">
        <v>43728.0</v>
      </c>
      <c r="R54" s="128"/>
      <c r="S54" s="6" t="s">
        <v>92</v>
      </c>
      <c r="T54" s="142"/>
      <c r="U54" t="b">
        <v>0</v>
      </c>
      <c r="V54" s="142"/>
      <c r="W54" s="142"/>
      <c r="X54" s="142"/>
      <c r="Y54" s="142"/>
      <c r="Z54" s="142"/>
      <c r="AA54" s="142"/>
      <c r="AB54" s="142"/>
      <c r="AC54" s="142"/>
      <c r="AD54" s="142"/>
      <c r="AE54" s="142"/>
      <c r="AF54" s="142"/>
      <c r="AG54" s="142"/>
      <c r="AH54" s="142"/>
      <c r="AI54" s="142"/>
      <c r="AJ54" s="142"/>
      <c r="AK54" s="142"/>
      <c r="AL54" s="142"/>
    </row>
    <row r="55">
      <c r="A55" s="70" t="s">
        <v>764</v>
      </c>
      <c r="B55" s="7" t="s">
        <v>765</v>
      </c>
      <c r="C55" s="73" t="b">
        <v>0</v>
      </c>
      <c r="D55" s="74" t="s">
        <v>766</v>
      </c>
      <c r="E55" s="75" t="s">
        <v>767</v>
      </c>
      <c r="F55" s="6" t="s">
        <v>768</v>
      </c>
      <c r="G55" s="6" t="s">
        <v>770</v>
      </c>
      <c r="H55" s="6" t="s">
        <v>771</v>
      </c>
      <c r="I55" s="6" t="s">
        <v>376</v>
      </c>
      <c r="J55" s="6" t="s">
        <v>772</v>
      </c>
      <c r="K55" s="6" t="s">
        <v>773</v>
      </c>
      <c r="L55" s="76" t="str">
        <f t="shared" si="6"/>
        <v>4Car
Sandbäcksgatan 15
906 20 Umeå
Telefon: 090-701400</v>
      </c>
      <c r="M55" s="77"/>
      <c r="N55" s="78" t="s">
        <v>262</v>
      </c>
      <c r="O55" s="79" t="s">
        <v>263</v>
      </c>
      <c r="P55" s="40" t="b">
        <v>0</v>
      </c>
      <c r="Q55" s="80">
        <v>42887.0</v>
      </c>
      <c r="R55" s="81"/>
      <c r="S55" s="6" t="s">
        <v>269</v>
      </c>
      <c r="U55" t="b">
        <v>0</v>
      </c>
    </row>
    <row r="56" hidden="1">
      <c r="A56" s="154"/>
      <c r="B56" s="154" t="s">
        <v>775</v>
      </c>
      <c r="C56" s="133"/>
      <c r="D56" s="74" t="s">
        <v>95</v>
      </c>
      <c r="E56" s="135"/>
      <c r="F56" s="136" t="s">
        <v>776</v>
      </c>
      <c r="G56" s="136" t="s">
        <v>777</v>
      </c>
      <c r="H56" s="136" t="s">
        <v>778</v>
      </c>
      <c r="I56" s="136" t="s">
        <v>779</v>
      </c>
      <c r="J56" s="136" t="s">
        <v>780</v>
      </c>
      <c r="K56" s="155" t="s">
        <v>781</v>
      </c>
      <c r="L56" s="136" t="str">
        <f t="shared" si="6"/>
        <v>Sikeå Bil &amp; Rep
Sikeå 53 
915 93 Robertsfors
Telefon: 0934-30070 </v>
      </c>
      <c r="M56" s="77"/>
      <c r="N56" s="78" t="s">
        <v>262</v>
      </c>
      <c r="O56" s="79" t="s">
        <v>263</v>
      </c>
      <c r="P56" s="133" t="b">
        <v>0</v>
      </c>
      <c r="Q56" s="156">
        <v>43846.0</v>
      </c>
      <c r="R56" s="134"/>
      <c r="S56" s="6" t="s">
        <v>92</v>
      </c>
      <c r="U56" t="b">
        <v>0</v>
      </c>
    </row>
    <row r="57">
      <c r="A57" s="70" t="s">
        <v>156</v>
      </c>
      <c r="B57" s="7" t="s">
        <v>782</v>
      </c>
      <c r="C57" s="73" t="b">
        <v>0</v>
      </c>
      <c r="D57" s="74" t="s">
        <v>784</v>
      </c>
      <c r="E57" s="75" t="s">
        <v>785</v>
      </c>
      <c r="F57" s="6" t="s">
        <v>460</v>
      </c>
      <c r="G57" s="6" t="s">
        <v>786</v>
      </c>
      <c r="H57" s="6" t="s">
        <v>787</v>
      </c>
      <c r="I57" s="6" t="s">
        <v>788</v>
      </c>
      <c r="J57" s="157" t="s">
        <v>789</v>
      </c>
      <c r="K57" s="6" t="s">
        <v>791</v>
      </c>
      <c r="L57" s="76" t="str">
        <f t="shared" si="6"/>
        <v>Piteå Bilverkstad
Nötögrundsvägen 175
941 41 Piteå
Telefon: 0706-806565</v>
      </c>
      <c r="M57" s="36"/>
      <c r="N57" s="78" t="s">
        <v>262</v>
      </c>
      <c r="O57" s="79" t="s">
        <v>263</v>
      </c>
      <c r="P57" s="40" t="b">
        <v>0</v>
      </c>
      <c r="Q57" s="80">
        <v>42370.0</v>
      </c>
      <c r="R57" s="81"/>
      <c r="S57" s="6" t="s">
        <v>269</v>
      </c>
      <c r="U57" t="b">
        <v>0</v>
      </c>
    </row>
    <row r="58" hidden="1">
      <c r="A58" s="56" t="s">
        <v>156</v>
      </c>
      <c r="B58" s="57" t="s">
        <v>794</v>
      </c>
      <c r="C58" s="43" t="s">
        <v>795</v>
      </c>
      <c r="D58" s="43" t="s">
        <v>796</v>
      </c>
      <c r="E58" s="58" t="s">
        <v>785</v>
      </c>
      <c r="F58" s="41" t="s">
        <v>797</v>
      </c>
      <c r="G58" s="41" t="s">
        <v>798</v>
      </c>
      <c r="H58" s="41" t="s">
        <v>799</v>
      </c>
      <c r="I58" s="41" t="s">
        <v>801</v>
      </c>
      <c r="J58" s="41" t="s">
        <v>802</v>
      </c>
      <c r="K58" s="41" t="s">
        <v>803</v>
      </c>
      <c r="L58" s="41" t="str">
        <f t="shared" si="6"/>
        <v>AutoTuning i Norden AB
Gubbyn 591, Besöksadress: Byn 186
841 96 Erikslund/Sundsvall
Telefon: 072-1732470</v>
      </c>
      <c r="M58" s="59"/>
      <c r="N58" s="78" t="s">
        <v>262</v>
      </c>
      <c r="O58" s="79" t="s">
        <v>263</v>
      </c>
      <c r="P58" s="42" t="b">
        <v>0</v>
      </c>
      <c r="Q58" s="63">
        <v>44628.0</v>
      </c>
      <c r="R58" s="81"/>
      <c r="S58" s="6" t="s">
        <v>92</v>
      </c>
      <c r="T58" s="158" t="s">
        <v>806</v>
      </c>
      <c r="U58" t="b">
        <v>0</v>
      </c>
    </row>
    <row r="59" hidden="1">
      <c r="A59" s="94" t="s">
        <v>156</v>
      </c>
      <c r="B59" s="95" t="s">
        <v>807</v>
      </c>
      <c r="C59" s="25" t="s">
        <v>808</v>
      </c>
      <c r="D59" s="25" t="s">
        <v>809</v>
      </c>
      <c r="E59" s="96" t="s">
        <v>785</v>
      </c>
      <c r="F59" s="21" t="s">
        <v>460</v>
      </c>
      <c r="G59" s="21" t="s">
        <v>810</v>
      </c>
      <c r="H59" s="21" t="s">
        <v>811</v>
      </c>
      <c r="I59" s="21" t="s">
        <v>812</v>
      </c>
      <c r="J59" s="21" t="s">
        <v>813</v>
      </c>
      <c r="K59" s="21" t="s">
        <v>814</v>
      </c>
      <c r="L59" s="21" t="str">
        <f t="shared" si="6"/>
        <v>Peters bil &amp; båtverkstad
VÄSSBY NORDLID 4
452 92 Strömstad
Telefon: 073-9523011</v>
      </c>
      <c r="M59" s="130"/>
      <c r="N59" s="78" t="s">
        <v>262</v>
      </c>
      <c r="O59" s="79" t="s">
        <v>263</v>
      </c>
      <c r="P59" s="23" t="b">
        <v>0</v>
      </c>
      <c r="Q59" s="147">
        <v>44628.0</v>
      </c>
      <c r="R59" s="162"/>
      <c r="S59" s="6" t="s">
        <v>92</v>
      </c>
      <c r="T59" s="163" t="s">
        <v>816</v>
      </c>
      <c r="U59" t="b">
        <v>0</v>
      </c>
    </row>
    <row r="60" hidden="1">
      <c r="A60" s="56" t="s">
        <v>752</v>
      </c>
      <c r="B60" s="57" t="s">
        <v>820</v>
      </c>
      <c r="C60" s="43" t="s">
        <v>821</v>
      </c>
      <c r="D60" s="43" t="s">
        <v>822</v>
      </c>
      <c r="E60" s="58" t="s">
        <v>823</v>
      </c>
      <c r="F60" s="41" t="s">
        <v>824</v>
      </c>
      <c r="G60" s="41" t="s">
        <v>825</v>
      </c>
      <c r="H60" s="41">
        <v>14731.0</v>
      </c>
      <c r="I60" s="41" t="s">
        <v>307</v>
      </c>
      <c r="J60" s="41" t="s">
        <v>826</v>
      </c>
      <c r="K60" s="41" t="s">
        <v>827</v>
      </c>
      <c r="L60" s="41" t="str">
        <f t="shared" si="6"/>
        <v>Segersjö Bilservice AB 
Drottningvägen 12
14731 Tumba
Telefon: Michael: 070-2830873
Verkstaden: 08-530 363 63</v>
      </c>
      <c r="M60" s="59"/>
      <c r="N60" s="78" t="s">
        <v>262</v>
      </c>
      <c r="O60" s="79" t="s">
        <v>263</v>
      </c>
      <c r="P60" s="42" t="b">
        <v>0</v>
      </c>
      <c r="Q60" s="63">
        <v>44658.0</v>
      </c>
      <c r="R60" s="164"/>
      <c r="S60" s="41" t="s">
        <v>92</v>
      </c>
      <c r="T60" s="52"/>
      <c r="U60" t="b">
        <v>0</v>
      </c>
      <c r="V60" s="52"/>
      <c r="W60" s="52"/>
      <c r="X60" s="52"/>
      <c r="Y60" s="52"/>
      <c r="Z60" s="52"/>
      <c r="AA60" s="52"/>
      <c r="AB60" s="52"/>
      <c r="AC60" s="52"/>
      <c r="AD60" s="52"/>
      <c r="AE60" s="52"/>
      <c r="AF60" s="52"/>
      <c r="AG60" s="52"/>
      <c r="AH60" s="52"/>
      <c r="AI60" s="52"/>
      <c r="AJ60" s="52"/>
      <c r="AK60" s="52"/>
      <c r="AL60" s="52"/>
    </row>
    <row r="61" hidden="1">
      <c r="A61" s="94" t="s">
        <v>156</v>
      </c>
      <c r="B61" s="95" t="s">
        <v>829</v>
      </c>
      <c r="C61" s="25" t="s">
        <v>324</v>
      </c>
      <c r="D61" s="25" t="s">
        <v>830</v>
      </c>
      <c r="E61" s="96" t="s">
        <v>831</v>
      </c>
      <c r="F61" s="21" t="s">
        <v>832</v>
      </c>
      <c r="G61" s="21" t="s">
        <v>833</v>
      </c>
      <c r="H61" s="21" t="s">
        <v>834</v>
      </c>
      <c r="I61" s="21" t="s">
        <v>835</v>
      </c>
      <c r="J61" s="21" t="s">
        <v>836</v>
      </c>
      <c r="K61" s="21" t="s">
        <v>837</v>
      </c>
      <c r="L61" s="21" t="str">
        <f t="shared" si="6"/>
        <v>Speedy Bilservice Skövde
Magasinsgatan 4
541 34  Skövde
Telefon: Johannes: 073-1504118
Verkstaden: 0500272080</v>
      </c>
      <c r="M61" s="98"/>
      <c r="N61" s="78" t="s">
        <v>262</v>
      </c>
      <c r="O61" s="79" t="s">
        <v>263</v>
      </c>
      <c r="P61" s="23" t="b">
        <v>0</v>
      </c>
      <c r="Q61" s="147">
        <v>44658.0</v>
      </c>
      <c r="R61" s="128"/>
      <c r="S61" s="21" t="s">
        <v>92</v>
      </c>
      <c r="T61" s="142"/>
      <c r="U61" t="b">
        <v>0</v>
      </c>
      <c r="V61" s="142"/>
    </row>
    <row r="62">
      <c r="A62" s="70" t="s">
        <v>156</v>
      </c>
      <c r="B62" s="7" t="s">
        <v>842</v>
      </c>
      <c r="C62" s="73" t="b">
        <v>0</v>
      </c>
      <c r="D62" s="74" t="s">
        <v>845</v>
      </c>
      <c r="E62" s="75" t="s">
        <v>846</v>
      </c>
      <c r="F62" s="6" t="s">
        <v>848</v>
      </c>
      <c r="G62" s="6" t="s">
        <v>849</v>
      </c>
      <c r="H62" s="6">
        <v>39356.0</v>
      </c>
      <c r="I62" s="6" t="s">
        <v>637</v>
      </c>
      <c r="J62" s="6" t="s">
        <v>852</v>
      </c>
      <c r="K62" s="6" t="s">
        <v>853</v>
      </c>
      <c r="L62" s="76" t="str">
        <f t="shared" si="6"/>
        <v>Melvin Bilverkstad
Franska vägen 23
39356 Kalmar
Telefon: 0480-20900
0768-091839</v>
      </c>
      <c r="M62" s="77"/>
      <c r="N62" s="78" t="s">
        <v>262</v>
      </c>
      <c r="O62" s="79" t="s">
        <v>263</v>
      </c>
      <c r="P62" s="40" t="b">
        <v>0</v>
      </c>
      <c r="Q62" s="132">
        <v>44673.0</v>
      </c>
      <c r="R62" s="162"/>
      <c r="S62" s="6" t="s">
        <v>269</v>
      </c>
      <c r="U62" t="b">
        <v>0</v>
      </c>
    </row>
    <row r="63" hidden="1">
      <c r="A63" s="70" t="s">
        <v>156</v>
      </c>
      <c r="B63" s="7" t="s">
        <v>737</v>
      </c>
      <c r="C63" s="73" t="s">
        <v>324</v>
      </c>
      <c r="D63" s="74" t="s">
        <v>861</v>
      </c>
      <c r="E63" s="96" t="s">
        <v>785</v>
      </c>
      <c r="F63" s="21" t="s">
        <v>738</v>
      </c>
      <c r="G63" s="21" t="s">
        <v>863</v>
      </c>
      <c r="H63" s="21">
        <v>80309.0</v>
      </c>
      <c r="I63" s="21" t="s">
        <v>463</v>
      </c>
      <c r="J63" s="21" t="s">
        <v>865</v>
      </c>
      <c r="K63" s="21" t="s">
        <v>866</v>
      </c>
      <c r="L63" s="21" t="str">
        <f t="shared" si="6"/>
        <v>Bilvårdshuset i Gävle
Kanalvägen 1-3
80309 Gävle
Telefon: 026-600525 
Abbas Mobil:076-2180910</v>
      </c>
      <c r="M63" s="98"/>
      <c r="N63" s="78" t="s">
        <v>262</v>
      </c>
      <c r="O63" s="79" t="s">
        <v>263</v>
      </c>
      <c r="P63" s="23" t="b">
        <v>0</v>
      </c>
      <c r="Q63" s="147">
        <v>44684.0</v>
      </c>
      <c r="R63" s="128"/>
      <c r="S63" s="41" t="s">
        <v>92</v>
      </c>
      <c r="T63" s="167" t="s">
        <v>875</v>
      </c>
      <c r="U63" t="b">
        <v>0</v>
      </c>
    </row>
    <row r="64" hidden="1">
      <c r="A64" s="94" t="s">
        <v>156</v>
      </c>
      <c r="B64" s="95" t="s">
        <v>886</v>
      </c>
      <c r="C64" s="25" t="s">
        <v>887</v>
      </c>
      <c r="D64" s="25" t="s">
        <v>889</v>
      </c>
      <c r="E64" s="96" t="s">
        <v>846</v>
      </c>
      <c r="F64" s="21" t="s">
        <v>666</v>
      </c>
      <c r="G64" s="21" t="s">
        <v>892</v>
      </c>
      <c r="H64" s="21" t="s">
        <v>893</v>
      </c>
      <c r="I64" s="21" t="s">
        <v>894</v>
      </c>
      <c r="J64" s="21" t="s">
        <v>895</v>
      </c>
      <c r="K64" s="21" t="s">
        <v>896</v>
      </c>
      <c r="L64" s="21" t="str">
        <f t="shared" si="6"/>
        <v>Speedy Bilservice Mjölby
Albacksvägen 6
595 50 Mjölby
Telefon: 0142-60 59 00
0723-609520</v>
      </c>
      <c r="M64" s="98"/>
      <c r="N64" s="78" t="s">
        <v>262</v>
      </c>
      <c r="O64" s="79" t="s">
        <v>263</v>
      </c>
      <c r="P64" s="40" t="b">
        <v>0</v>
      </c>
      <c r="Q64" s="132">
        <v>44739.0</v>
      </c>
      <c r="R64" s="81"/>
      <c r="S64" s="6" t="s">
        <v>92</v>
      </c>
      <c r="U64" t="b">
        <v>0</v>
      </c>
    </row>
    <row r="65" hidden="1">
      <c r="A65" s="70" t="s">
        <v>156</v>
      </c>
      <c r="B65" s="7" t="s">
        <v>904</v>
      </c>
      <c r="C65" s="73" t="s">
        <v>324</v>
      </c>
      <c r="D65" s="134" t="s">
        <v>905</v>
      </c>
      <c r="E65" s="135" t="s">
        <v>785</v>
      </c>
      <c r="F65" s="136" t="s">
        <v>906</v>
      </c>
      <c r="G65" s="136" t="s">
        <v>907</v>
      </c>
      <c r="H65" s="136" t="s">
        <v>909</v>
      </c>
      <c r="I65" s="136" t="s">
        <v>911</v>
      </c>
      <c r="J65" s="136" t="s">
        <v>912</v>
      </c>
      <c r="K65" s="136" t="s">
        <v>914</v>
      </c>
      <c r="L65" s="136" t="str">
        <f t="shared" si="6"/>
        <v>MEKIAN Bilverkstad
Nytorpsvägen 2A
183 53  Täby
Telefon: 08-768 45 70</v>
      </c>
      <c r="M65" s="137"/>
      <c r="N65" s="78" t="s">
        <v>262</v>
      </c>
      <c r="O65" s="79" t="s">
        <v>263</v>
      </c>
      <c r="P65" s="133" t="b">
        <v>0</v>
      </c>
      <c r="Q65" s="138">
        <v>44825.0</v>
      </c>
      <c r="R65" s="139"/>
      <c r="S65" s="6" t="s">
        <v>92</v>
      </c>
      <c r="U65" t="b">
        <v>0</v>
      </c>
    </row>
    <row r="66" hidden="1">
      <c r="A66" s="57" t="s">
        <v>918</v>
      </c>
      <c r="B66" s="57" t="s">
        <v>920</v>
      </c>
      <c r="C66" s="43" t="s">
        <v>921</v>
      </c>
      <c r="D66" s="43" t="s">
        <v>926</v>
      </c>
      <c r="E66" s="58" t="s">
        <v>928</v>
      </c>
      <c r="F66" s="41" t="s">
        <v>930</v>
      </c>
      <c r="G66" s="41" t="s">
        <v>932</v>
      </c>
      <c r="H66" s="41">
        <v>82592.0</v>
      </c>
      <c r="I66" s="41" t="s">
        <v>933</v>
      </c>
      <c r="J66" s="41" t="s">
        <v>934</v>
      </c>
      <c r="K66" s="41" t="s">
        <v>935</v>
      </c>
      <c r="L66" s="41" t="str">
        <f t="shared" si="6"/>
        <v>Njutångers Bil &amp; Allservice AB
Hudiksvall
Barnängsvägen 10
82592 Njutånger
Telefon: 073-817 74 48</v>
      </c>
      <c r="M66" s="59"/>
      <c r="N66" s="78" t="s">
        <v>262</v>
      </c>
      <c r="O66" s="79" t="s">
        <v>263</v>
      </c>
      <c r="P66" s="42" t="b">
        <v>0</v>
      </c>
      <c r="Q66" s="168"/>
      <c r="R66" s="164"/>
      <c r="S66" s="41" t="s">
        <v>92</v>
      </c>
      <c r="T66" s="52"/>
      <c r="U66" t="b">
        <v>0</v>
      </c>
    </row>
    <row r="67" hidden="1">
      <c r="A67" s="56" t="s">
        <v>156</v>
      </c>
      <c r="B67" s="57" t="s">
        <v>944</v>
      </c>
      <c r="C67" s="43" t="s">
        <v>324</v>
      </c>
      <c r="D67" s="43" t="s">
        <v>946</v>
      </c>
      <c r="E67" s="169" t="s">
        <v>948</v>
      </c>
      <c r="F67" s="41" t="s">
        <v>952</v>
      </c>
      <c r="G67" s="41" t="s">
        <v>954</v>
      </c>
      <c r="H67" s="41" t="s">
        <v>956</v>
      </c>
      <c r="I67" s="41" t="s">
        <v>957</v>
      </c>
      <c r="J67" s="41" t="s">
        <v>958</v>
      </c>
      <c r="K67" s="41" t="s">
        <v>960</v>
      </c>
      <c r="L67" s="41" t="str">
        <f t="shared" si="6"/>
        <v>Kungälvs Bil &amp; Motorservice AB
Bultgatan 19
442 40 Kungälv
Telefon: Verkstad: 0303-37 99 12
Josef: 0764-218218</v>
      </c>
      <c r="M67" s="59"/>
      <c r="N67" s="78" t="s">
        <v>262</v>
      </c>
      <c r="O67" s="79" t="s">
        <v>263</v>
      </c>
      <c r="P67" s="42" t="b">
        <v>0</v>
      </c>
      <c r="Q67" s="63">
        <v>44847.0</v>
      </c>
      <c r="R67" s="65"/>
      <c r="S67" s="41" t="s">
        <v>92</v>
      </c>
      <c r="T67" s="52"/>
      <c r="U67" t="b">
        <v>0</v>
      </c>
      <c r="V67" s="52"/>
      <c r="W67" s="52"/>
      <c r="X67" s="52"/>
      <c r="Y67" s="52"/>
      <c r="Z67" s="52"/>
      <c r="AA67" s="52"/>
      <c r="AB67" s="52"/>
      <c r="AC67" s="52"/>
      <c r="AD67" s="52"/>
      <c r="AE67" s="52"/>
      <c r="AF67" s="52"/>
      <c r="AG67" s="52"/>
      <c r="AH67" s="52"/>
      <c r="AI67" s="52"/>
      <c r="AJ67" s="52"/>
      <c r="AK67" s="52"/>
      <c r="AL67" s="52"/>
    </row>
    <row r="68">
      <c r="A68" s="7" t="s">
        <v>918</v>
      </c>
      <c r="B68" s="7" t="s">
        <v>971</v>
      </c>
      <c r="C68" s="73" t="b">
        <v>1</v>
      </c>
      <c r="D68" s="74" t="s">
        <v>973</v>
      </c>
      <c r="E68" s="75" t="s">
        <v>974</v>
      </c>
      <c r="F68" s="6" t="s">
        <v>276</v>
      </c>
      <c r="G68" s="6" t="s">
        <v>975</v>
      </c>
      <c r="H68" s="6">
        <v>14730.0</v>
      </c>
      <c r="I68" s="6" t="s">
        <v>307</v>
      </c>
      <c r="J68" s="6" t="s">
        <v>977</v>
      </c>
      <c r="K68" s="6" t="s">
        <v>979</v>
      </c>
      <c r="L68" s="76" t="str">
        <f t="shared" si="6"/>
        <v>PowerCar Service AB
Doktorsvägen 4
14730 Tumba
Telefon: 08-91 52 65
08-7229670
Niklas: 070-7995265, 
0735-141201 (privata)</v>
      </c>
      <c r="M68" s="77"/>
      <c r="N68" s="78" t="s">
        <v>262</v>
      </c>
      <c r="O68" s="79" t="s">
        <v>263</v>
      </c>
      <c r="P68" s="40" t="b">
        <v>0</v>
      </c>
      <c r="Q68" s="171"/>
      <c r="R68" s="162"/>
      <c r="S68" s="6" t="s">
        <v>269</v>
      </c>
      <c r="U68" t="b">
        <v>0</v>
      </c>
    </row>
    <row r="69" hidden="1">
      <c r="A69" s="172" t="s">
        <v>156</v>
      </c>
      <c r="B69" s="173" t="s">
        <v>990</v>
      </c>
      <c r="C69" s="174" t="s">
        <v>991</v>
      </c>
      <c r="D69" s="174" t="s">
        <v>992</v>
      </c>
      <c r="E69" s="175"/>
      <c r="F69" s="176" t="s">
        <v>995</v>
      </c>
      <c r="G69" s="176" t="s">
        <v>997</v>
      </c>
      <c r="H69" s="176">
        <v>58278.0</v>
      </c>
      <c r="I69" s="176" t="s">
        <v>998</v>
      </c>
      <c r="J69" s="176" t="s">
        <v>1000</v>
      </c>
      <c r="K69" s="176" t="s">
        <v>1001</v>
      </c>
      <c r="L69" s="176" t="str">
        <f t="shared" si="6"/>
        <v>Linköpings Bilvaruhus AB
Rönögatan 12
58278 Linköping
Sweden
Telefon: 0728-333366</v>
      </c>
      <c r="M69" s="177" t="s">
        <v>1008</v>
      </c>
      <c r="N69" s="78" t="s">
        <v>262</v>
      </c>
      <c r="O69" s="79" t="s">
        <v>263</v>
      </c>
      <c r="P69" s="178" t="b">
        <v>0</v>
      </c>
      <c r="Q69" s="179">
        <v>45089.0</v>
      </c>
      <c r="R69" s="180"/>
      <c r="S69" s="176" t="s">
        <v>269</v>
      </c>
      <c r="T69" s="181"/>
      <c r="U69" t="b">
        <v>0</v>
      </c>
      <c r="V69" s="181"/>
      <c r="W69" s="181"/>
      <c r="X69" s="181"/>
      <c r="Y69" s="181"/>
      <c r="Z69" s="181"/>
      <c r="AA69" s="181"/>
      <c r="AB69" s="181"/>
      <c r="AC69" s="181"/>
      <c r="AD69" s="181"/>
      <c r="AE69" s="181"/>
      <c r="AF69" s="181"/>
      <c r="AG69" s="181"/>
      <c r="AH69" s="181"/>
      <c r="AI69" s="181"/>
      <c r="AJ69" s="181"/>
      <c r="AK69" s="181"/>
      <c r="AL69" s="181"/>
    </row>
    <row r="70" hidden="1">
      <c r="A70" s="154" t="s">
        <v>1017</v>
      </c>
      <c r="B70" s="182" t="s">
        <v>1018</v>
      </c>
      <c r="C70" s="183" t="s">
        <v>1020</v>
      </c>
      <c r="D70" s="134" t="s">
        <v>1021</v>
      </c>
      <c r="E70" s="135" t="s">
        <v>846</v>
      </c>
      <c r="F70" s="136" t="s">
        <v>1024</v>
      </c>
      <c r="G70" s="136" t="s">
        <v>1026</v>
      </c>
      <c r="H70" s="136">
        <v>56192.0</v>
      </c>
      <c r="I70" s="136" t="s">
        <v>1029</v>
      </c>
      <c r="J70" s="136" t="s">
        <v>1031</v>
      </c>
      <c r="K70" s="136" t="s">
        <v>1033</v>
      </c>
      <c r="L70" s="136" t="str">
        <f t="shared" si="6"/>
        <v>Manos Bilservice &amp; Lack
Rudu 6
56192 Huskvarna
Telefon: 0765-607551</v>
      </c>
      <c r="M70" s="137" t="s">
        <v>1040</v>
      </c>
      <c r="N70" s="78" t="s">
        <v>262</v>
      </c>
      <c r="O70" s="79" t="s">
        <v>263</v>
      </c>
      <c r="P70" s="133" t="b">
        <v>0</v>
      </c>
      <c r="Q70" s="138">
        <v>45196.0</v>
      </c>
      <c r="R70" s="184"/>
      <c r="S70" s="136" t="s">
        <v>269</v>
      </c>
      <c r="T70" s="136" t="s">
        <v>1046</v>
      </c>
      <c r="U70" t="b">
        <v>0</v>
      </c>
      <c r="V70" s="185"/>
      <c r="W70" s="185"/>
      <c r="X70" s="185"/>
      <c r="Y70" s="185"/>
      <c r="Z70" s="185"/>
      <c r="AA70" s="185"/>
      <c r="AB70" s="185"/>
      <c r="AC70" s="185"/>
      <c r="AD70" s="185"/>
      <c r="AE70" s="185"/>
      <c r="AF70" s="185"/>
      <c r="AG70" s="185"/>
      <c r="AH70" s="185"/>
      <c r="AI70" s="185"/>
      <c r="AJ70" s="185"/>
      <c r="AK70" s="185"/>
      <c r="AL70" s="185"/>
    </row>
    <row r="71">
      <c r="A71" s="102" t="s">
        <v>156</v>
      </c>
      <c r="B71" s="103" t="s">
        <v>1055</v>
      </c>
      <c r="C71" s="73" t="b">
        <v>0</v>
      </c>
      <c r="D71" s="74" t="s">
        <v>1058</v>
      </c>
      <c r="E71" s="105" t="s">
        <v>399</v>
      </c>
      <c r="F71" s="106" t="s">
        <v>235</v>
      </c>
      <c r="G71" s="106" t="s">
        <v>1063</v>
      </c>
      <c r="H71" s="106">
        <v>81491.0</v>
      </c>
      <c r="I71" s="106" t="s">
        <v>1065</v>
      </c>
      <c r="J71" s="106" t="s">
        <v>1067</v>
      </c>
      <c r="K71" s="106" t="s">
        <v>750</v>
      </c>
      <c r="L71" s="106" t="str">
        <f t="shared" si="6"/>
        <v>Gästrike Autoservice AB
Fredriksrovägen 8
81491 Furuvik
Telefon: 026-600 832</v>
      </c>
      <c r="M71" s="109"/>
      <c r="N71" s="78" t="s">
        <v>262</v>
      </c>
      <c r="O71" s="79" t="s">
        <v>263</v>
      </c>
      <c r="P71" s="111" t="b">
        <v>0</v>
      </c>
      <c r="Q71" s="112">
        <v>46058.0</v>
      </c>
      <c r="R71" s="186" t="s">
        <v>1072</v>
      </c>
      <c r="S71" s="106" t="s">
        <v>269</v>
      </c>
      <c r="T71" s="106" t="s">
        <v>235</v>
      </c>
      <c r="U71" t="b">
        <v>0</v>
      </c>
      <c r="V71" s="115"/>
      <c r="W71" s="115"/>
      <c r="X71" s="115"/>
      <c r="Y71" s="115"/>
      <c r="Z71" s="115"/>
      <c r="AA71" s="115"/>
      <c r="AB71" s="115"/>
      <c r="AC71" s="115"/>
      <c r="AD71" s="115"/>
      <c r="AE71" s="115"/>
      <c r="AF71" s="115"/>
      <c r="AG71" s="115"/>
      <c r="AH71" s="115"/>
      <c r="AI71" s="115"/>
      <c r="AJ71" s="115"/>
      <c r="AK71" s="115"/>
      <c r="AL71" s="115"/>
    </row>
    <row r="72" hidden="1">
      <c r="A72" s="154" t="s">
        <v>1077</v>
      </c>
      <c r="B72" s="182" t="s">
        <v>1078</v>
      </c>
      <c r="C72" s="143" t="s">
        <v>1080</v>
      </c>
      <c r="D72" s="134" t="s">
        <v>1082</v>
      </c>
      <c r="E72" s="135" t="s">
        <v>399</v>
      </c>
      <c r="F72" s="136" t="s">
        <v>1084</v>
      </c>
      <c r="G72" s="136" t="s">
        <v>1086</v>
      </c>
      <c r="H72" s="136">
        <v>42259.0</v>
      </c>
      <c r="I72" s="136" t="s">
        <v>1087</v>
      </c>
      <c r="J72" s="136" t="s">
        <v>1088</v>
      </c>
      <c r="K72" s="136" t="s">
        <v>1089</v>
      </c>
      <c r="L72" s="136" t="str">
        <f t="shared" si="6"/>
        <v>Imotor
Tagenevägen 14A
42259 Hisings backa
Telefon: 010-1676866
0707967230
0700 686766</v>
      </c>
      <c r="M72" s="137" t="s">
        <v>1093</v>
      </c>
      <c r="N72" s="78" t="s">
        <v>262</v>
      </c>
      <c r="O72" s="79" t="s">
        <v>263</v>
      </c>
      <c r="P72" s="133" t="b">
        <v>0</v>
      </c>
      <c r="Q72" s="138">
        <v>45358.0</v>
      </c>
      <c r="R72" s="184"/>
      <c r="S72" s="136" t="s">
        <v>269</v>
      </c>
      <c r="T72" s="185"/>
      <c r="U72" t="b">
        <v>0</v>
      </c>
      <c r="V72" s="185"/>
      <c r="W72" s="185"/>
      <c r="X72" s="185"/>
      <c r="Y72" s="185"/>
      <c r="Z72" s="185"/>
      <c r="AA72" s="185"/>
      <c r="AB72" s="185"/>
      <c r="AC72" s="185"/>
      <c r="AD72" s="185"/>
      <c r="AE72" s="185"/>
      <c r="AF72" s="185"/>
      <c r="AG72" s="185"/>
      <c r="AH72" s="185"/>
      <c r="AI72" s="185"/>
      <c r="AJ72" s="185"/>
      <c r="AK72" s="185"/>
      <c r="AL72" s="185"/>
    </row>
    <row r="73">
      <c r="A73" s="102" t="s">
        <v>156</v>
      </c>
      <c r="B73" s="7" t="s">
        <v>1102</v>
      </c>
      <c r="C73" s="73" t="b">
        <v>1</v>
      </c>
      <c r="D73" s="74" t="s">
        <v>1103</v>
      </c>
      <c r="E73" s="105" t="s">
        <v>399</v>
      </c>
      <c r="F73" s="6" t="s">
        <v>612</v>
      </c>
      <c r="G73" s="6" t="s">
        <v>1105</v>
      </c>
      <c r="H73" s="6">
        <v>25475.0</v>
      </c>
      <c r="I73" s="6" t="s">
        <v>1106</v>
      </c>
      <c r="J73" s="6" t="s">
        <v>1107</v>
      </c>
      <c r="K73" s="6" t="s">
        <v>1109</v>
      </c>
      <c r="L73" s="76" t="str">
        <f t="shared" si="6"/>
        <v>Daniels Bilverkstad
Lindaregatan 13
25475 Ödåkra
Telefon: 070-4301541</v>
      </c>
      <c r="M73" s="36"/>
      <c r="N73" s="78" t="s">
        <v>262</v>
      </c>
      <c r="O73" s="79" t="s">
        <v>263</v>
      </c>
      <c r="P73" s="40" t="b">
        <v>0</v>
      </c>
      <c r="Q73" s="132">
        <v>46058.0</v>
      </c>
      <c r="R73" s="188" t="s">
        <v>1113</v>
      </c>
      <c r="S73" s="106" t="s">
        <v>269</v>
      </c>
      <c r="T73" s="6" t="s">
        <v>612</v>
      </c>
      <c r="U73" s="6" t="b">
        <v>1</v>
      </c>
    </row>
    <row r="74">
      <c r="A74" s="102" t="s">
        <v>1118</v>
      </c>
      <c r="B74" s="7" t="s">
        <v>1119</v>
      </c>
      <c r="C74" s="73" t="b">
        <v>0</v>
      </c>
      <c r="D74" s="74" t="s">
        <v>519</v>
      </c>
      <c r="E74" s="75" t="s">
        <v>1123</v>
      </c>
      <c r="F74" s="6" t="s">
        <v>1124</v>
      </c>
      <c r="G74" s="6" t="s">
        <v>1125</v>
      </c>
      <c r="H74" s="6" t="s">
        <v>1126</v>
      </c>
      <c r="I74" s="6" t="s">
        <v>1127</v>
      </c>
      <c r="J74" s="6" t="s">
        <v>1128</v>
      </c>
      <c r="K74" s="6" t="s">
        <v>1129</v>
      </c>
      <c r="L74" s="76" t="s">
        <v>1130</v>
      </c>
      <c r="M74" s="77">
        <v>5.566018338E9</v>
      </c>
      <c r="N74" s="78" t="s">
        <v>262</v>
      </c>
      <c r="O74" s="79" t="s">
        <v>263</v>
      </c>
      <c r="P74" s="40" t="b">
        <v>0</v>
      </c>
      <c r="Q74" s="132">
        <v>45460.0</v>
      </c>
      <c r="R74" s="190"/>
      <c r="S74" s="106" t="s">
        <v>269</v>
      </c>
      <c r="T74" s="6" t="s">
        <v>1134</v>
      </c>
      <c r="U74" t="b">
        <v>0</v>
      </c>
    </row>
    <row r="75">
      <c r="A75" s="102" t="s">
        <v>156</v>
      </c>
      <c r="B75" s="7" t="s">
        <v>1137</v>
      </c>
      <c r="C75" s="73" t="b">
        <v>1</v>
      </c>
      <c r="D75" s="74" t="s">
        <v>1138</v>
      </c>
      <c r="E75" s="105" t="s">
        <v>399</v>
      </c>
      <c r="F75" s="6" t="s">
        <v>1139</v>
      </c>
      <c r="G75" s="6" t="s">
        <v>1140</v>
      </c>
      <c r="H75" s="6" t="s">
        <v>1141</v>
      </c>
      <c r="I75" s="6" t="s">
        <v>1142</v>
      </c>
      <c r="J75" s="6" t="s">
        <v>1144</v>
      </c>
      <c r="K75" s="6" t="s">
        <v>1146</v>
      </c>
      <c r="L75" s="76" t="str">
        <f t="shared" ref="L75:L381" si="7">B75&amp;"
"&amp;G75&amp;"
"&amp;H75&amp;" "&amp;I75&amp;"
Telefon: "&amp;J75</f>
        <v>Samppas Custom Garage AB
Göteborgsvägen 102
445 55 Surte
Telefon: 0703-795062</v>
      </c>
      <c r="M75" s="77" t="s">
        <v>1157</v>
      </c>
      <c r="N75" s="78" t="s">
        <v>262</v>
      </c>
      <c r="O75" s="79" t="s">
        <v>263</v>
      </c>
      <c r="P75" s="40" t="b">
        <v>0</v>
      </c>
      <c r="Q75" s="132">
        <v>45477.0</v>
      </c>
      <c r="R75" s="190"/>
      <c r="S75" s="106" t="s">
        <v>269</v>
      </c>
      <c r="U75" t="b">
        <v>0</v>
      </c>
    </row>
    <row r="76">
      <c r="A76" s="7" t="s">
        <v>1163</v>
      </c>
      <c r="B76" s="7" t="s">
        <v>1164</v>
      </c>
      <c r="C76" s="73" t="b">
        <v>1</v>
      </c>
      <c r="D76" s="74" t="s">
        <v>1165</v>
      </c>
      <c r="E76" s="105" t="s">
        <v>399</v>
      </c>
      <c r="F76" s="6" t="s">
        <v>1139</v>
      </c>
      <c r="G76" s="6" t="s">
        <v>1168</v>
      </c>
      <c r="H76" s="6" t="s">
        <v>1169</v>
      </c>
      <c r="I76" s="6" t="s">
        <v>1170</v>
      </c>
      <c r="J76" s="6" t="s">
        <v>1171</v>
      </c>
      <c r="K76" s="6" t="s">
        <v>1146</v>
      </c>
      <c r="L76" s="76" t="str">
        <f t="shared" si="7"/>
        <v>Aotoexperten Nödinge
Nödingevägen 2
449 31 Nödinge
Telefon: 0703-795062
Martin 076 3931360</v>
      </c>
      <c r="M76" s="36"/>
      <c r="N76" s="78" t="s">
        <v>262</v>
      </c>
      <c r="O76" s="79" t="s">
        <v>263</v>
      </c>
      <c r="P76" s="40" t="b">
        <v>0</v>
      </c>
      <c r="Q76" s="171"/>
      <c r="R76" s="190"/>
      <c r="S76" s="106" t="s">
        <v>269</v>
      </c>
      <c r="U76" t="b">
        <v>0</v>
      </c>
    </row>
    <row r="77">
      <c r="A77" s="154" t="s">
        <v>156</v>
      </c>
      <c r="B77" s="182" t="s">
        <v>1177</v>
      </c>
      <c r="C77" s="134" t="b">
        <v>0</v>
      </c>
      <c r="D77" s="134" t="s">
        <v>1179</v>
      </c>
      <c r="E77" s="192"/>
      <c r="F77" s="136" t="s">
        <v>1188</v>
      </c>
      <c r="G77" s="136" t="s">
        <v>1190</v>
      </c>
      <c r="H77" s="136">
        <v>78171.0</v>
      </c>
      <c r="I77" s="136" t="s">
        <v>314</v>
      </c>
      <c r="J77" s="136" t="s">
        <v>1194</v>
      </c>
      <c r="K77" s="136" t="s">
        <v>1195</v>
      </c>
      <c r="L77" s="136" t="str">
        <f t="shared" si="7"/>
        <v>Motor och Bilservice i Dalarna AB
Mästargatan 2
78171 Borlänge
Telefon: 076 3903110</v>
      </c>
      <c r="M77" s="193" t="s">
        <v>1198</v>
      </c>
      <c r="N77" s="183" t="s">
        <v>262</v>
      </c>
      <c r="O77" s="194" t="s">
        <v>263</v>
      </c>
      <c r="P77" s="133" t="b">
        <v>0</v>
      </c>
      <c r="Q77" s="138">
        <v>45674.0</v>
      </c>
      <c r="R77" s="139" t="s">
        <v>1201</v>
      </c>
      <c r="S77" s="136" t="s">
        <v>269</v>
      </c>
      <c r="T77" s="136" t="s">
        <v>1188</v>
      </c>
      <c r="U77" s="185" t="b">
        <v>0</v>
      </c>
      <c r="V77" s="185"/>
      <c r="W77" s="185"/>
      <c r="X77" s="185"/>
      <c r="Y77" s="185"/>
      <c r="Z77" s="185"/>
      <c r="AA77" s="185"/>
      <c r="AB77" s="185"/>
      <c r="AC77" s="185"/>
      <c r="AD77" s="185"/>
      <c r="AE77" s="185"/>
      <c r="AF77" s="185"/>
      <c r="AG77" s="185"/>
      <c r="AH77" s="185"/>
      <c r="AI77" s="185"/>
      <c r="AJ77" s="185"/>
      <c r="AK77" s="185"/>
      <c r="AL77" s="185"/>
    </row>
    <row r="78">
      <c r="A78" s="7" t="s">
        <v>1207</v>
      </c>
      <c r="B78" s="7" t="s">
        <v>1209</v>
      </c>
      <c r="C78" s="73" t="b">
        <v>0</v>
      </c>
      <c r="D78" s="74" t="s">
        <v>1210</v>
      </c>
      <c r="E78" s="75" t="s">
        <v>1211</v>
      </c>
      <c r="F78" s="73" t="s">
        <v>1212</v>
      </c>
      <c r="G78" s="195" t="s">
        <v>1214</v>
      </c>
      <c r="H78" s="6" t="s">
        <v>1221</v>
      </c>
      <c r="I78" s="6" t="s">
        <v>717</v>
      </c>
      <c r="J78" s="196" t="s">
        <v>1223</v>
      </c>
      <c r="K78" s="6" t="s">
        <v>1225</v>
      </c>
      <c r="L78" s="76" t="str">
        <f t="shared" si="7"/>
        <v>DHS Bilservice AB
Hejargränd 2
721 33  Västerås
Telefon: 021-35 35 58</v>
      </c>
      <c r="M78" s="197" t="s">
        <v>1228</v>
      </c>
      <c r="N78" s="78" t="s">
        <v>262</v>
      </c>
      <c r="O78" s="79" t="s">
        <v>263</v>
      </c>
      <c r="P78" s="40" t="b">
        <v>0</v>
      </c>
      <c r="Q78" s="132">
        <v>45741.0</v>
      </c>
      <c r="R78" s="190"/>
      <c r="S78" s="6" t="s">
        <v>269</v>
      </c>
      <c r="T78" s="6" t="s">
        <v>1212</v>
      </c>
      <c r="U78" t="b">
        <v>0</v>
      </c>
    </row>
    <row r="79">
      <c r="A79" s="198" t="s">
        <v>156</v>
      </c>
      <c r="B79" s="7" t="s">
        <v>1236</v>
      </c>
      <c r="C79" s="73" t="b">
        <v>1</v>
      </c>
      <c r="D79" s="74" t="s">
        <v>1237</v>
      </c>
      <c r="E79" s="75" t="s">
        <v>1238</v>
      </c>
      <c r="F79" s="6" t="s">
        <v>273</v>
      </c>
      <c r="G79" s="6" t="s">
        <v>1240</v>
      </c>
      <c r="H79" s="6" t="s">
        <v>1241</v>
      </c>
      <c r="I79" s="6" t="s">
        <v>581</v>
      </c>
      <c r="J79" s="6" t="s">
        <v>1242</v>
      </c>
      <c r="K79" s="6" t="s">
        <v>1244</v>
      </c>
      <c r="L79" s="76" t="str">
        <f t="shared" si="7"/>
        <v>Autoval I Sundsvall
Östermovägen 48
854 62 Sundsvall
Telefon: 060 15 46 10 </v>
      </c>
      <c r="M79" s="77" t="s">
        <v>1245</v>
      </c>
      <c r="N79" s="78" t="s">
        <v>262</v>
      </c>
      <c r="O79" s="79" t="s">
        <v>263</v>
      </c>
      <c r="P79" s="40" t="b">
        <v>0</v>
      </c>
      <c r="Q79" s="132">
        <v>45786.0</v>
      </c>
      <c r="R79" s="81"/>
      <c r="S79" s="6" t="s">
        <v>269</v>
      </c>
      <c r="T79" s="6" t="s">
        <v>273</v>
      </c>
      <c r="U79" t="b">
        <v>0</v>
      </c>
    </row>
    <row r="80">
      <c r="A80" s="7" t="s">
        <v>156</v>
      </c>
      <c r="B80" s="7" t="s">
        <v>1251</v>
      </c>
      <c r="C80" s="73" t="b">
        <v>0</v>
      </c>
      <c r="D80" s="74" t="s">
        <v>1255</v>
      </c>
      <c r="E80" s="75" t="s">
        <v>1256</v>
      </c>
      <c r="F80" s="6" t="s">
        <v>1257</v>
      </c>
      <c r="G80" s="6" t="s">
        <v>1258</v>
      </c>
      <c r="H80" s="6" t="s">
        <v>1259</v>
      </c>
      <c r="I80" s="6" t="s">
        <v>1261</v>
      </c>
      <c r="J80" s="6" t="s">
        <v>1262</v>
      </c>
      <c r="K80" s="6" t="s">
        <v>1264</v>
      </c>
      <c r="L80" s="76" t="str">
        <f t="shared" si="7"/>
        <v>Ferro autocar
Fagerstagatan 9
163 53 Lunda
Telefon: 073 736 30 69</v>
      </c>
      <c r="M80" s="77" t="s">
        <v>1268</v>
      </c>
      <c r="N80" s="78" t="s">
        <v>262</v>
      </c>
      <c r="O80" s="79" t="s">
        <v>263</v>
      </c>
      <c r="P80" s="40" t="b">
        <v>0</v>
      </c>
      <c r="Q80" s="171"/>
      <c r="R80" s="190"/>
      <c r="S80" s="6" t="s">
        <v>269</v>
      </c>
      <c r="T80" s="6" t="s">
        <v>1257</v>
      </c>
      <c r="U80" t="b">
        <v>0</v>
      </c>
      <c r="V80" s="199"/>
    </row>
    <row r="81">
      <c r="A81" s="7" t="s">
        <v>1273</v>
      </c>
      <c r="B81" s="7" t="s">
        <v>1274</v>
      </c>
      <c r="C81" s="73" t="b">
        <v>1</v>
      </c>
      <c r="D81" s="74" t="s">
        <v>1275</v>
      </c>
      <c r="E81" s="75" t="s">
        <v>1256</v>
      </c>
      <c r="F81" s="6" t="s">
        <v>776</v>
      </c>
      <c r="G81" s="6" t="s">
        <v>1277</v>
      </c>
      <c r="H81" s="6" t="s">
        <v>1278</v>
      </c>
      <c r="I81" s="6" t="s">
        <v>1279</v>
      </c>
      <c r="J81" s="6" t="s">
        <v>1280</v>
      </c>
      <c r="K81" s="6" t="s">
        <v>1281</v>
      </c>
      <c r="L81" s="76" t="str">
        <f t="shared" si="7"/>
        <v>Fordonslogistik sverige AB
Västermalmsvägen 5
791 77  Falun
Telefon: 023 22888
070 0262250</v>
      </c>
      <c r="M81" s="77" t="s">
        <v>1284</v>
      </c>
      <c r="N81" s="78" t="s">
        <v>262</v>
      </c>
      <c r="O81" s="79" t="s">
        <v>263</v>
      </c>
      <c r="P81" s="40" t="b">
        <v>0</v>
      </c>
      <c r="Q81" s="132">
        <v>46058.0</v>
      </c>
      <c r="R81" s="81" t="s">
        <v>1288</v>
      </c>
      <c r="S81" s="6" t="s">
        <v>269</v>
      </c>
      <c r="T81" s="6" t="s">
        <v>776</v>
      </c>
      <c r="U81" t="b">
        <v>0</v>
      </c>
      <c r="V81" s="202"/>
    </row>
    <row r="82">
      <c r="A82" s="7" t="s">
        <v>156</v>
      </c>
      <c r="B82" s="7" t="s">
        <v>1292</v>
      </c>
      <c r="C82" s="73" t="b">
        <v>0</v>
      </c>
      <c r="D82" s="74" t="s">
        <v>1293</v>
      </c>
      <c r="E82" s="75" t="s">
        <v>1294</v>
      </c>
      <c r="F82" s="6" t="s">
        <v>1295</v>
      </c>
      <c r="G82" s="6" t="s">
        <v>643</v>
      </c>
      <c r="H82" s="6">
        <v>55302.0</v>
      </c>
      <c r="I82" s="6" t="s">
        <v>1297</v>
      </c>
      <c r="J82" s="6" t="s">
        <v>1299</v>
      </c>
      <c r="K82" s="6" t="s">
        <v>645</v>
      </c>
      <c r="L82" s="76" t="str">
        <f t="shared" si="7"/>
        <v>Bilverkstadcenter i Jönköping AB
Grossistgatan 3
55302 Jönköping 
Telefon: 036 - 18 61 09 
070 - 2858169</v>
      </c>
      <c r="M82" s="77" t="s">
        <v>1301</v>
      </c>
      <c r="N82" s="78" t="s">
        <v>262</v>
      </c>
      <c r="O82" s="79" t="s">
        <v>263</v>
      </c>
      <c r="P82" s="40" t="b">
        <v>0</v>
      </c>
      <c r="Q82" s="132">
        <v>46059.0</v>
      </c>
      <c r="R82" s="81" t="s">
        <v>1288</v>
      </c>
      <c r="S82" s="6" t="s">
        <v>269</v>
      </c>
      <c r="T82" s="6" t="s">
        <v>1295</v>
      </c>
      <c r="U82" t="b">
        <v>0</v>
      </c>
    </row>
    <row r="83">
      <c r="A83" s="7" t="s">
        <v>1302</v>
      </c>
      <c r="B83" s="7" t="s">
        <v>1303</v>
      </c>
      <c r="C83" s="73" t="b">
        <v>1</v>
      </c>
      <c r="D83" s="74" t="s">
        <v>1304</v>
      </c>
      <c r="E83" s="75" t="s">
        <v>1305</v>
      </c>
      <c r="F83" s="6" t="s">
        <v>1306</v>
      </c>
      <c r="G83" s="6" t="s">
        <v>1307</v>
      </c>
      <c r="H83" s="6" t="s">
        <v>1308</v>
      </c>
      <c r="I83" s="6" t="s">
        <v>1309</v>
      </c>
      <c r="J83" s="6" t="s">
        <v>1310</v>
      </c>
      <c r="K83" s="6" t="s">
        <v>1311</v>
      </c>
      <c r="L83" s="76" t="str">
        <f t="shared" si="7"/>
        <v>OKQ8 Vikingstad verkstad
Åstorpsgatan 2
583 72 Vikingstad
Telefon: 0701445444
0765774107 privat</v>
      </c>
      <c r="M83" s="36"/>
      <c r="N83" s="78" t="s">
        <v>262</v>
      </c>
      <c r="O83" s="79" t="s">
        <v>263</v>
      </c>
      <c r="P83" s="40" t="b">
        <v>0</v>
      </c>
      <c r="Q83" s="171"/>
      <c r="R83" s="190"/>
      <c r="S83" s="6" t="s">
        <v>269</v>
      </c>
      <c r="U83" t="b">
        <v>0</v>
      </c>
    </row>
    <row r="84" ht="56.25" customHeight="1">
      <c r="A84" s="7" t="s">
        <v>1315</v>
      </c>
      <c r="B84" s="7" t="s">
        <v>1317</v>
      </c>
      <c r="C84" s="73" t="b">
        <v>0</v>
      </c>
      <c r="D84" s="74" t="s">
        <v>1319</v>
      </c>
      <c r="E84" s="75" t="s">
        <v>1256</v>
      </c>
      <c r="F84" s="6" t="s">
        <v>87</v>
      </c>
      <c r="G84" s="6" t="s">
        <v>1321</v>
      </c>
      <c r="H84" s="6" t="s">
        <v>1323</v>
      </c>
      <c r="I84" s="6" t="s">
        <v>894</v>
      </c>
      <c r="J84" s="6" t="s">
        <v>1326</v>
      </c>
      <c r="K84" s="6" t="s">
        <v>1327</v>
      </c>
      <c r="L84" s="76" t="str">
        <f t="shared" si="7"/>
        <v>TB-CJ Industriradio i Mjölby Aktiebolag
Huljegatan 11, 
595 94 Mjölby
Telefon: 0730435435
0814218400</v>
      </c>
      <c r="M84" s="77" t="s">
        <v>1329</v>
      </c>
      <c r="N84" s="78" t="s">
        <v>262</v>
      </c>
      <c r="O84" s="79" t="s">
        <v>263</v>
      </c>
      <c r="P84" s="40" t="b">
        <v>0</v>
      </c>
      <c r="Q84" s="171"/>
      <c r="R84" s="190"/>
      <c r="S84" s="6" t="s">
        <v>269</v>
      </c>
      <c r="T84" s="6" t="s">
        <v>1330</v>
      </c>
      <c r="U84" t="b">
        <v>0</v>
      </c>
    </row>
    <row r="85" ht="51.0" customHeight="1">
      <c r="A85" s="7" t="s">
        <v>1334</v>
      </c>
      <c r="B85" s="7" t="s">
        <v>1335</v>
      </c>
      <c r="C85" s="73" t="b">
        <v>1</v>
      </c>
      <c r="D85" s="74" t="s">
        <v>1338</v>
      </c>
      <c r="E85" s="75" t="s">
        <v>1339</v>
      </c>
      <c r="F85" s="6" t="s">
        <v>612</v>
      </c>
      <c r="G85" s="6" t="s">
        <v>1340</v>
      </c>
      <c r="H85" s="6" t="s">
        <v>1341</v>
      </c>
      <c r="I85" s="6" t="s">
        <v>1342</v>
      </c>
      <c r="J85" s="6" t="s">
        <v>1343</v>
      </c>
      <c r="K85" s="6" t="s">
        <v>1344</v>
      </c>
      <c r="L85" s="76" t="str">
        <f t="shared" si="7"/>
        <v>RH BILMEK
Vasaloppsvägen 228
792 94  Mora
Telefon: 0250-310 22</v>
      </c>
      <c r="M85" s="77" t="s">
        <v>1345</v>
      </c>
      <c r="N85" s="78" t="s">
        <v>262</v>
      </c>
      <c r="O85" s="79" t="s">
        <v>263</v>
      </c>
      <c r="P85" s="40" t="b">
        <v>0</v>
      </c>
      <c r="Q85" s="132">
        <v>45911.0</v>
      </c>
      <c r="R85" s="190"/>
      <c r="S85" s="6" t="s">
        <v>269</v>
      </c>
      <c r="T85" s="6" t="s">
        <v>612</v>
      </c>
      <c r="U85" t="b">
        <v>0</v>
      </c>
      <c r="X85" s="203">
        <v>46056.0</v>
      </c>
      <c r="Y85" s="6" t="s">
        <v>1350</v>
      </c>
    </row>
    <row r="86" ht="57.75" customHeight="1">
      <c r="A86" s="7" t="s">
        <v>1351</v>
      </c>
      <c r="B86" s="7" t="s">
        <v>1352</v>
      </c>
      <c r="C86" s="73" t="b">
        <v>1</v>
      </c>
      <c r="D86" s="74" t="s">
        <v>1353</v>
      </c>
      <c r="E86" s="75" t="s">
        <v>1361</v>
      </c>
      <c r="F86" s="6" t="s">
        <v>1362</v>
      </c>
      <c r="G86" s="6" t="s">
        <v>1363</v>
      </c>
      <c r="H86" s="6" t="s">
        <v>1364</v>
      </c>
      <c r="I86" s="6" t="s">
        <v>534</v>
      </c>
      <c r="J86" s="6" t="s">
        <v>1365</v>
      </c>
      <c r="K86" s="6" t="s">
        <v>1366</v>
      </c>
      <c r="L86" s="76" t="str">
        <f t="shared" si="7"/>
        <v>Karlskrona bilmekaniska AB
 Ronnebyvägen 5
371 45 Karlskrona
Telefon: 0455-38 31 30</v>
      </c>
      <c r="M86" s="36"/>
      <c r="N86" s="78" t="s">
        <v>262</v>
      </c>
      <c r="O86" s="79" t="s">
        <v>263</v>
      </c>
      <c r="P86" s="40" t="b">
        <v>0</v>
      </c>
      <c r="Q86" s="132">
        <v>45917.0</v>
      </c>
      <c r="R86" s="190"/>
      <c r="S86" s="6" t="s">
        <v>269</v>
      </c>
      <c r="U86" t="b">
        <v>0</v>
      </c>
    </row>
    <row r="87" ht="58.5" customHeight="1">
      <c r="A87" s="7" t="s">
        <v>1351</v>
      </c>
      <c r="B87" s="7" t="s">
        <v>1375</v>
      </c>
      <c r="C87" s="73" t="b">
        <v>1</v>
      </c>
      <c r="D87" s="204" t="s">
        <v>1376</v>
      </c>
      <c r="E87" s="75" t="s">
        <v>1377</v>
      </c>
      <c r="G87" s="6" t="s">
        <v>1379</v>
      </c>
      <c r="H87" s="6" t="s">
        <v>1381</v>
      </c>
      <c r="I87" s="6" t="s">
        <v>1382</v>
      </c>
      <c r="J87" s="6" t="s">
        <v>1383</v>
      </c>
      <c r="K87" s="6" t="s">
        <v>1385</v>
      </c>
      <c r="L87" s="76" t="str">
        <f t="shared" si="7"/>
        <v>Meca/Alvar Jacobsson AB
Jordbrovägen 6
668 32 Ed
Telefon:  0534-10442</v>
      </c>
      <c r="M87" s="77" t="s">
        <v>1387</v>
      </c>
      <c r="N87" s="78" t="s">
        <v>262</v>
      </c>
      <c r="O87" s="79" t="s">
        <v>263</v>
      </c>
      <c r="P87" s="40" t="b">
        <v>0</v>
      </c>
      <c r="Q87" s="132">
        <v>45917.0</v>
      </c>
      <c r="R87" s="190"/>
      <c r="S87" s="6" t="s">
        <v>269</v>
      </c>
      <c r="U87" t="b">
        <v>0</v>
      </c>
    </row>
    <row r="88" ht="69.0" customHeight="1">
      <c r="A88" s="7" t="s">
        <v>1391</v>
      </c>
      <c r="B88" s="205" t="s">
        <v>1392</v>
      </c>
      <c r="C88" s="73" t="b">
        <v>0</v>
      </c>
      <c r="D88" s="74" t="s">
        <v>1396</v>
      </c>
      <c r="E88" s="75" t="s">
        <v>1398</v>
      </c>
      <c r="F88" s="6" t="s">
        <v>1399</v>
      </c>
      <c r="G88" s="6" t="s">
        <v>1400</v>
      </c>
      <c r="H88" s="6" t="s">
        <v>1401</v>
      </c>
      <c r="I88" s="6" t="s">
        <v>463</v>
      </c>
      <c r="J88" s="6" t="s">
        <v>1402</v>
      </c>
      <c r="K88" s="6" t="s">
        <v>1403</v>
      </c>
      <c r="L88" s="76" t="str">
        <f t="shared" si="7"/>
        <v>Speedy /Proauto 
bilverkstad 
Gävle
Kryddstigen 33
802 92 Gävle
Telefon: 026-280 59 79</v>
      </c>
      <c r="M88" s="77" t="s">
        <v>1404</v>
      </c>
      <c r="N88" s="78" t="s">
        <v>262</v>
      </c>
      <c r="O88" s="79" t="s">
        <v>263</v>
      </c>
      <c r="P88" s="40" t="b">
        <v>0</v>
      </c>
      <c r="Q88" s="132">
        <v>45916.0</v>
      </c>
      <c r="R88" s="190"/>
      <c r="S88" s="6" t="s">
        <v>269</v>
      </c>
      <c r="U88" t="b">
        <v>0</v>
      </c>
    </row>
    <row r="89" ht="60.75" customHeight="1">
      <c r="A89" s="7" t="s">
        <v>1405</v>
      </c>
      <c r="B89" s="7" t="s">
        <v>1407</v>
      </c>
      <c r="C89" s="73" t="b">
        <v>1</v>
      </c>
      <c r="D89" s="74" t="s">
        <v>1409</v>
      </c>
      <c r="E89" s="75" t="s">
        <v>1410</v>
      </c>
      <c r="F89" s="6" t="s">
        <v>1411</v>
      </c>
      <c r="G89" s="6" t="s">
        <v>1412</v>
      </c>
      <c r="H89" s="6">
        <v>42537.0</v>
      </c>
      <c r="I89" s="6" t="s">
        <v>1413</v>
      </c>
      <c r="J89" s="6" t="s">
        <v>1414</v>
      </c>
      <c r="K89" s="6" t="s">
        <v>1415</v>
      </c>
      <c r="L89" s="76" t="str">
        <f t="shared" si="7"/>
        <v>Carpros Verkstad AB
Karlsbogårdsgatan 7
42537 Hisings kärra 
Telefon: 031-876100
0735001378</v>
      </c>
      <c r="M89" s="77" t="s">
        <v>1416</v>
      </c>
      <c r="N89" s="78" t="s">
        <v>262</v>
      </c>
      <c r="O89" s="79" t="s">
        <v>263</v>
      </c>
      <c r="P89" s="40" t="b">
        <v>0</v>
      </c>
      <c r="Q89" s="206" t="s">
        <v>1420</v>
      </c>
      <c r="R89" s="190"/>
      <c r="S89" s="6" t="s">
        <v>269</v>
      </c>
      <c r="U89" t="b">
        <v>0</v>
      </c>
    </row>
    <row r="90">
      <c r="A90" s="7" t="s">
        <v>1405</v>
      </c>
      <c r="B90" s="7" t="s">
        <v>1421</v>
      </c>
      <c r="C90" s="73" t="b">
        <v>1</v>
      </c>
      <c r="D90" s="74" t="s">
        <v>1422</v>
      </c>
      <c r="E90" s="75" t="s">
        <v>1410</v>
      </c>
      <c r="F90" s="6"/>
      <c r="G90" s="6" t="s">
        <v>1424</v>
      </c>
      <c r="H90" s="207" t="s">
        <v>1427</v>
      </c>
      <c r="I90" s="6" t="s">
        <v>534</v>
      </c>
      <c r="J90" s="6" t="s">
        <v>1428</v>
      </c>
      <c r="K90" s="6" t="s">
        <v>1429</v>
      </c>
      <c r="L90" s="76" t="str">
        <f t="shared" si="7"/>
        <v>Mobil &amp; Marin montage Sverige AB
GULLBERNAVÄGEN 20
371 47 Karlskrona
Telefon: 0708-39 00 80</v>
      </c>
      <c r="M90" s="77" t="s">
        <v>1432</v>
      </c>
      <c r="N90" s="78" t="s">
        <v>262</v>
      </c>
      <c r="O90" s="79" t="s">
        <v>263</v>
      </c>
      <c r="P90" s="40" t="b">
        <v>0</v>
      </c>
      <c r="Q90" s="132">
        <v>45937.0</v>
      </c>
      <c r="R90" s="190"/>
      <c r="S90" s="6" t="s">
        <v>269</v>
      </c>
      <c r="U90" t="b">
        <v>0</v>
      </c>
    </row>
    <row r="91">
      <c r="A91" s="7" t="s">
        <v>1405</v>
      </c>
      <c r="B91" s="208" t="s">
        <v>1433</v>
      </c>
      <c r="C91" s="73" t="b">
        <v>1</v>
      </c>
      <c r="D91" s="74" t="s">
        <v>1434</v>
      </c>
      <c r="E91" s="75" t="s">
        <v>1436</v>
      </c>
      <c r="F91" s="6" t="s">
        <v>1437</v>
      </c>
      <c r="G91" s="209" t="s">
        <v>1438</v>
      </c>
      <c r="H91" s="6" t="s">
        <v>62</v>
      </c>
      <c r="I91" s="6" t="s">
        <v>64</v>
      </c>
      <c r="J91" s="210" t="s">
        <v>1439</v>
      </c>
      <c r="K91" s="6" t="s">
        <v>1440</v>
      </c>
      <c r="L91" s="76" t="str">
        <f t="shared" si="7"/>
        <v>Speedy Bilservice Älta
Grustagsvägen 6
138 40 Älta
Telefon: 08-410 300 38</v>
      </c>
      <c r="M91" s="77" t="s">
        <v>1442</v>
      </c>
      <c r="N91" s="78" t="s">
        <v>262</v>
      </c>
      <c r="O91" s="79" t="s">
        <v>263</v>
      </c>
      <c r="P91" s="40" t="b">
        <v>0</v>
      </c>
      <c r="Q91" s="132">
        <v>45940.0</v>
      </c>
      <c r="R91" s="190"/>
      <c r="S91" s="6" t="s">
        <v>269</v>
      </c>
      <c r="T91" s="6" t="s">
        <v>1445</v>
      </c>
      <c r="U91" t="b">
        <v>0</v>
      </c>
    </row>
    <row r="92">
      <c r="A92" s="7" t="s">
        <v>1405</v>
      </c>
      <c r="B92" s="7" t="s">
        <v>1446</v>
      </c>
      <c r="C92" s="73" t="b">
        <v>0</v>
      </c>
      <c r="D92" s="211" t="s">
        <v>1447</v>
      </c>
      <c r="E92" s="75" t="s">
        <v>1448</v>
      </c>
      <c r="F92" s="6" t="s">
        <v>930</v>
      </c>
      <c r="G92" s="6" t="s">
        <v>932</v>
      </c>
      <c r="H92" s="6">
        <v>82592.0</v>
      </c>
      <c r="I92" s="6" t="s">
        <v>933</v>
      </c>
      <c r="J92" s="6" t="s">
        <v>1452</v>
      </c>
      <c r="K92" s="6" t="s">
        <v>935</v>
      </c>
      <c r="L92" s="76" t="str">
        <f t="shared" si="7"/>
        <v>Njutångers Bil &amp; Allservice AB
Barnängsvägen 10
82592 Njutånger
Telefon: 073-8177448</v>
      </c>
      <c r="M92" s="36"/>
      <c r="N92" s="78" t="s">
        <v>262</v>
      </c>
      <c r="O92" s="79" t="s">
        <v>263</v>
      </c>
      <c r="P92" s="40" t="b">
        <v>0</v>
      </c>
      <c r="Q92" s="171"/>
      <c r="R92" s="190"/>
      <c r="S92" s="6" t="s">
        <v>269</v>
      </c>
      <c r="U92" t="b">
        <v>0</v>
      </c>
    </row>
    <row r="93">
      <c r="A93" s="7" t="s">
        <v>1461</v>
      </c>
      <c r="B93" s="7" t="s">
        <v>1462</v>
      </c>
      <c r="C93" s="73" t="b">
        <v>1</v>
      </c>
      <c r="D93" s="74" t="s">
        <v>1463</v>
      </c>
      <c r="E93" s="75" t="s">
        <v>1410</v>
      </c>
      <c r="F93" s="6" t="s">
        <v>1464</v>
      </c>
      <c r="G93" s="6" t="s">
        <v>1465</v>
      </c>
      <c r="H93" s="6" t="s">
        <v>1466</v>
      </c>
      <c r="I93" s="6" t="s">
        <v>1467</v>
      </c>
      <c r="J93" s="6" t="s">
        <v>1468</v>
      </c>
      <c r="K93" s="6" t="s">
        <v>1469</v>
      </c>
      <c r="L93" s="76" t="str">
        <f t="shared" si="7"/>
        <v>ES Bilservice AB
Fabriksgatan 9
775 54 Krylbo
Telefon: 079-351 01 22</v>
      </c>
      <c r="M93" s="77" t="s">
        <v>1470</v>
      </c>
      <c r="N93" s="78" t="s">
        <v>262</v>
      </c>
      <c r="O93" s="79" t="s">
        <v>263</v>
      </c>
      <c r="P93" s="40" t="b">
        <v>0</v>
      </c>
      <c r="Q93" s="132">
        <v>45972.0</v>
      </c>
      <c r="R93" s="190"/>
      <c r="S93" s="6" t="s">
        <v>269</v>
      </c>
      <c r="U93" t="b">
        <v>0</v>
      </c>
    </row>
    <row r="94">
      <c r="A94" s="7" t="s">
        <v>1353</v>
      </c>
      <c r="B94" s="7" t="s">
        <v>1474</v>
      </c>
      <c r="C94" s="73" t="b">
        <v>0</v>
      </c>
      <c r="D94" s="74" t="s">
        <v>1353</v>
      </c>
      <c r="E94" s="27"/>
      <c r="F94" s="6" t="s">
        <v>1476</v>
      </c>
      <c r="G94" s="6" t="s">
        <v>1478</v>
      </c>
      <c r="H94" s="6" t="s">
        <v>1479</v>
      </c>
      <c r="I94" s="6" t="s">
        <v>1481</v>
      </c>
      <c r="J94" s="6" t="s">
        <v>1482</v>
      </c>
      <c r="K94" s="6" t="s">
        <v>1484</v>
      </c>
      <c r="L94" s="76" t="str">
        <f t="shared" si="7"/>
        <v>Auto-David Bilvård &amp; Bilverkstad AB
Göteborgsvägen 7
443 30 Lerum
Telefon: 076-2827279</v>
      </c>
      <c r="M94" s="77" t="s">
        <v>1485</v>
      </c>
      <c r="N94" s="78" t="s">
        <v>262</v>
      </c>
      <c r="O94" s="79" t="s">
        <v>263</v>
      </c>
      <c r="P94" s="40" t="b">
        <v>0</v>
      </c>
      <c r="Q94" s="132">
        <v>45979.0</v>
      </c>
      <c r="R94" s="190"/>
      <c r="S94" s="6" t="s">
        <v>269</v>
      </c>
      <c r="U94" t="b">
        <v>0</v>
      </c>
    </row>
    <row r="95">
      <c r="A95" s="7" t="s">
        <v>1353</v>
      </c>
      <c r="B95" s="7" t="s">
        <v>1490</v>
      </c>
      <c r="C95" s="73" t="b">
        <v>0</v>
      </c>
      <c r="D95" s="74" t="s">
        <v>1492</v>
      </c>
      <c r="E95" s="75" t="s">
        <v>1493</v>
      </c>
      <c r="F95" s="6" t="s">
        <v>930</v>
      </c>
      <c r="G95" s="6" t="s">
        <v>1494</v>
      </c>
      <c r="H95" s="6" t="s">
        <v>1495</v>
      </c>
      <c r="I95" s="6" t="s">
        <v>1496</v>
      </c>
      <c r="J95" s="6" t="s">
        <v>1497</v>
      </c>
      <c r="K95" s="6" t="s">
        <v>1498</v>
      </c>
      <c r="L95" s="76" t="str">
        <f t="shared" si="7"/>
        <v>R-Sport Avesta Meca
Högboleden 26,
774 63  Avesta
Telefon:  022 65 16 00</v>
      </c>
      <c r="M95" s="36"/>
      <c r="N95" s="78" t="s">
        <v>262</v>
      </c>
      <c r="O95" s="79" t="s">
        <v>263</v>
      </c>
      <c r="P95" s="40" t="b">
        <v>0</v>
      </c>
      <c r="Q95" s="171"/>
      <c r="R95" s="190"/>
      <c r="S95" s="6" t="s">
        <v>269</v>
      </c>
      <c r="U95" t="b">
        <v>0</v>
      </c>
    </row>
    <row r="96">
      <c r="A96" s="7" t="s">
        <v>156</v>
      </c>
      <c r="B96" s="7" t="s">
        <v>109</v>
      </c>
      <c r="C96" s="73" t="b">
        <v>0</v>
      </c>
      <c r="D96" s="74" t="s">
        <v>1504</v>
      </c>
      <c r="E96" s="75" t="s">
        <v>785</v>
      </c>
      <c r="F96" s="6" t="s">
        <v>111</v>
      </c>
      <c r="G96" s="6" t="s">
        <v>1506</v>
      </c>
      <c r="H96" s="6">
        <v>70363.0</v>
      </c>
      <c r="I96" s="6" t="s">
        <v>698</v>
      </c>
      <c r="J96" s="6" t="s">
        <v>1507</v>
      </c>
      <c r="K96" s="33" t="s">
        <v>1509</v>
      </c>
      <c r="L96" s="76" t="str">
        <f t="shared" si="7"/>
        <v>BNM Bilverkstad AB
Stångjärnsgatan 7
70363 Örebro
Telefon: 0723 934000</v>
      </c>
      <c r="M96" s="77" t="s">
        <v>1519</v>
      </c>
      <c r="N96" s="78" t="s">
        <v>262</v>
      </c>
      <c r="O96" s="79" t="s">
        <v>263</v>
      </c>
      <c r="P96" s="40" t="b">
        <v>0</v>
      </c>
      <c r="Q96" s="132">
        <v>46056.0</v>
      </c>
      <c r="R96" s="81" t="s">
        <v>1520</v>
      </c>
      <c r="S96" s="6" t="s">
        <v>269</v>
      </c>
      <c r="U96" t="b">
        <v>0</v>
      </c>
    </row>
    <row r="97">
      <c r="A97" s="7" t="s">
        <v>1353</v>
      </c>
      <c r="B97" s="7" t="s">
        <v>1523</v>
      </c>
      <c r="C97" s="73" t="b">
        <v>0</v>
      </c>
      <c r="D97" s="212"/>
      <c r="E97" s="75" t="s">
        <v>1525</v>
      </c>
      <c r="F97" s="6" t="s">
        <v>1526</v>
      </c>
      <c r="G97" s="6" t="s">
        <v>1527</v>
      </c>
      <c r="H97" s="6" t="s">
        <v>1528</v>
      </c>
      <c r="I97" s="6" t="s">
        <v>1529</v>
      </c>
      <c r="J97" s="6" t="s">
        <v>1530</v>
      </c>
      <c r="K97" s="6" t="s">
        <v>1531</v>
      </c>
      <c r="L97" s="76" t="str">
        <f t="shared" si="7"/>
        <v>Aktiebolaget Burträsk Gummiverkstad
Sundbrogatan 25,
937 31 Burträsk
Telefon: 0914 10106</v>
      </c>
      <c r="M97" s="36"/>
      <c r="N97" s="78" t="s">
        <v>262</v>
      </c>
      <c r="O97" s="79" t="s">
        <v>263</v>
      </c>
      <c r="P97" s="40" t="b">
        <v>0</v>
      </c>
      <c r="Q97" s="171"/>
      <c r="R97" s="190"/>
      <c r="S97" s="6" t="s">
        <v>269</v>
      </c>
      <c r="U97" t="b">
        <v>0</v>
      </c>
    </row>
    <row r="98">
      <c r="A98" s="7" t="s">
        <v>1535</v>
      </c>
      <c r="B98" s="7" t="s">
        <v>1536</v>
      </c>
      <c r="C98" s="73" t="b">
        <v>1</v>
      </c>
      <c r="D98" s="212"/>
      <c r="E98" s="75" t="s">
        <v>1538</v>
      </c>
      <c r="F98" s="6" t="s">
        <v>1539</v>
      </c>
      <c r="G98" s="6" t="s">
        <v>1540</v>
      </c>
      <c r="H98" s="6" t="s">
        <v>1542</v>
      </c>
      <c r="I98" s="6" t="s">
        <v>1544</v>
      </c>
      <c r="J98" s="6" t="s">
        <v>1545</v>
      </c>
      <c r="K98" s="6" t="s">
        <v>1546</v>
      </c>
      <c r="L98" s="76" t="str">
        <f t="shared" si="7"/>
        <v>Mekonomen
AC &amp; Däckcenter i Rättvik AB
Filarvägen 11
795 32 Rättvik
Telefon: 0248-13 000</v>
      </c>
      <c r="M98" s="77" t="s">
        <v>1547</v>
      </c>
      <c r="N98" s="78" t="s">
        <v>262</v>
      </c>
      <c r="O98" s="79" t="s">
        <v>263</v>
      </c>
      <c r="P98" s="40" t="b">
        <v>0</v>
      </c>
      <c r="Q98" s="171"/>
      <c r="R98" s="190"/>
      <c r="S98" s="6" t="s">
        <v>269</v>
      </c>
      <c r="U98" t="b">
        <v>0</v>
      </c>
    </row>
    <row r="99">
      <c r="A99" s="7" t="s">
        <v>1461</v>
      </c>
      <c r="B99" s="7" t="s">
        <v>1548</v>
      </c>
      <c r="C99" s="73" t="b">
        <v>0</v>
      </c>
      <c r="D99" s="74" t="s">
        <v>1549</v>
      </c>
      <c r="E99" s="27"/>
      <c r="F99" s="6" t="s">
        <v>1552</v>
      </c>
      <c r="G99" s="6" t="s">
        <v>1553</v>
      </c>
      <c r="H99" s="6" t="s">
        <v>1554</v>
      </c>
      <c r="I99" s="6" t="s">
        <v>1555</v>
      </c>
      <c r="J99" s="6" t="s">
        <v>1556</v>
      </c>
      <c r="K99" s="6" t="s">
        <v>1557</v>
      </c>
      <c r="L99" s="76" t="str">
        <f t="shared" si="7"/>
        <v>Mullsjö Autocenter AB
Garverigatan 4
565 33 Mullsjö
Telefon: 0761-990079</v>
      </c>
      <c r="M99" s="36"/>
      <c r="N99" s="78" t="s">
        <v>262</v>
      </c>
      <c r="O99" s="79" t="s">
        <v>263</v>
      </c>
      <c r="P99" s="40" t="b">
        <v>0</v>
      </c>
      <c r="Q99" s="171"/>
      <c r="R99" s="190"/>
      <c r="S99" s="6" t="s">
        <v>269</v>
      </c>
      <c r="U99" t="b">
        <v>0</v>
      </c>
    </row>
    <row r="100">
      <c r="A100" s="7" t="s">
        <v>1561</v>
      </c>
      <c r="B100" s="7" t="s">
        <v>1562</v>
      </c>
      <c r="C100" s="73" t="b">
        <v>1</v>
      </c>
      <c r="D100" s="212"/>
      <c r="E100" s="27"/>
      <c r="F100" s="6" t="s">
        <v>1564</v>
      </c>
      <c r="G100" s="6" t="s">
        <v>1566</v>
      </c>
      <c r="H100" s="6">
        <v>80469.0</v>
      </c>
      <c r="I100" s="6" t="s">
        <v>463</v>
      </c>
      <c r="J100" s="127" t="s">
        <v>1567</v>
      </c>
      <c r="K100" s="6" t="s">
        <v>1568</v>
      </c>
      <c r="L100" s="76" t="str">
        <f t="shared" si="7"/>
        <v>Hille Bensin och Service
Hillevägen 38
80469 Gävle
Telefon: 0702346808</v>
      </c>
      <c r="M100" s="36"/>
      <c r="N100" s="78" t="s">
        <v>262</v>
      </c>
      <c r="O100" s="79" t="s">
        <v>263</v>
      </c>
      <c r="P100" s="40" t="b">
        <v>0</v>
      </c>
      <c r="Q100" s="171"/>
      <c r="R100" s="190"/>
      <c r="S100" s="6" t="s">
        <v>269</v>
      </c>
      <c r="U100" t="b">
        <v>0</v>
      </c>
    </row>
    <row r="101">
      <c r="A101" s="7" t="s">
        <v>1353</v>
      </c>
      <c r="B101" s="7" t="s">
        <v>1570</v>
      </c>
      <c r="C101" s="73" t="b">
        <v>0</v>
      </c>
      <c r="D101" s="74" t="s">
        <v>1571</v>
      </c>
      <c r="E101" s="75" t="s">
        <v>1572</v>
      </c>
      <c r="G101" s="6" t="s">
        <v>1573</v>
      </c>
      <c r="H101" s="6" t="s">
        <v>1574</v>
      </c>
      <c r="I101" s="6" t="s">
        <v>1575</v>
      </c>
      <c r="J101" s="6" t="s">
        <v>1576</v>
      </c>
      <c r="K101" s="6" t="s">
        <v>1577</v>
      </c>
      <c r="L101" s="76" t="str">
        <f t="shared" si="7"/>
        <v>AutoDeal Sweden AB
Fjärilsgatan 50
613 61 Norrköping
Telefon: 011 14 0166</v>
      </c>
      <c r="M101" s="36"/>
      <c r="N101" s="213" t="s">
        <v>1580</v>
      </c>
      <c r="O101" s="79" t="s">
        <v>263</v>
      </c>
      <c r="P101" s="40" t="b">
        <v>0</v>
      </c>
      <c r="Q101" s="171"/>
      <c r="R101" s="190"/>
      <c r="S101" s="6" t="s">
        <v>269</v>
      </c>
      <c r="U101" t="b">
        <v>0</v>
      </c>
    </row>
    <row r="102">
      <c r="A102" s="7" t="s">
        <v>1583</v>
      </c>
      <c r="B102" s="7" t="s">
        <v>136</v>
      </c>
      <c r="C102" s="73" t="b">
        <v>1</v>
      </c>
      <c r="D102" s="74" t="s">
        <v>1588</v>
      </c>
      <c r="E102" s="75" t="s">
        <v>1590</v>
      </c>
      <c r="F102" s="6" t="s">
        <v>139</v>
      </c>
      <c r="G102" s="6" t="s">
        <v>1592</v>
      </c>
      <c r="H102" s="6" t="s">
        <v>1594</v>
      </c>
      <c r="I102" s="6" t="s">
        <v>1595</v>
      </c>
      <c r="J102" s="6" t="s">
        <v>1596</v>
      </c>
      <c r="K102" s="6" t="s">
        <v>1597</v>
      </c>
      <c r="L102" s="76" t="str">
        <f t="shared" si="7"/>
        <v>Nordiska Bilkompaniet AB
Fridhemsgatan 7
733 39  Sala
Telefon: 0224 - 100 45
076 5568035</v>
      </c>
      <c r="M102" s="77" t="s">
        <v>1598</v>
      </c>
      <c r="N102" s="213" t="s">
        <v>1580</v>
      </c>
      <c r="O102" s="79" t="s">
        <v>263</v>
      </c>
      <c r="P102" s="40" t="b">
        <v>0</v>
      </c>
      <c r="Q102" s="171"/>
      <c r="R102" s="190"/>
      <c r="S102" s="6" t="s">
        <v>269</v>
      </c>
      <c r="U102" t="b">
        <v>0</v>
      </c>
    </row>
    <row r="103">
      <c r="A103" s="7" t="s">
        <v>1583</v>
      </c>
      <c r="B103" s="7" t="s">
        <v>185</v>
      </c>
      <c r="C103" s="73" t="b">
        <v>1</v>
      </c>
      <c r="D103" s="74" t="s">
        <v>1601</v>
      </c>
      <c r="E103" s="27"/>
      <c r="F103" s="6" t="s">
        <v>188</v>
      </c>
      <c r="G103" s="6" t="s">
        <v>1602</v>
      </c>
      <c r="H103" s="6" t="s">
        <v>1603</v>
      </c>
      <c r="I103" s="6" t="s">
        <v>1604</v>
      </c>
      <c r="J103" s="6" t="s">
        <v>1605</v>
      </c>
      <c r="K103" s="6" t="s">
        <v>1606</v>
      </c>
      <c r="L103" s="76" t="str">
        <f t="shared" si="7"/>
        <v>Plåt &amp; Mek Fagersta AB
Bergslagsvägen 13
737 32 Fagersta
Telefon: 0223 - 211 11
072 8330668</v>
      </c>
      <c r="M103" s="77" t="s">
        <v>1609</v>
      </c>
      <c r="N103" s="213" t="s">
        <v>1580</v>
      </c>
      <c r="O103" s="79" t="s">
        <v>263</v>
      </c>
      <c r="P103" s="40" t="b">
        <v>0</v>
      </c>
      <c r="Q103" s="171"/>
      <c r="R103" s="190"/>
      <c r="S103" s="6" t="s">
        <v>269</v>
      </c>
      <c r="U103" t="b">
        <v>0</v>
      </c>
    </row>
    <row r="104">
      <c r="A104" s="7" t="s">
        <v>1610</v>
      </c>
      <c r="B104" s="7" t="s">
        <v>1611</v>
      </c>
      <c r="C104" s="73" t="b">
        <v>0</v>
      </c>
      <c r="D104" s="212"/>
      <c r="E104" s="75" t="s">
        <v>1612</v>
      </c>
      <c r="F104" s="6" t="s">
        <v>180</v>
      </c>
      <c r="G104" s="6" t="s">
        <v>1613</v>
      </c>
      <c r="H104" s="6" t="s">
        <v>1614</v>
      </c>
      <c r="I104" s="6" t="s">
        <v>1615</v>
      </c>
      <c r="J104" s="6" t="s">
        <v>182</v>
      </c>
      <c r="K104" s="6" t="s">
        <v>1616</v>
      </c>
      <c r="L104" s="76" t="str">
        <f t="shared" si="7"/>
        <v>PA Bil &amp; Motor
Värmlandsvägen 29
691 34 Karlskoga
Telefon: 0586-531 70</v>
      </c>
      <c r="M104" s="77" t="s">
        <v>1617</v>
      </c>
      <c r="N104" s="213" t="s">
        <v>1580</v>
      </c>
      <c r="O104" s="79" t="s">
        <v>263</v>
      </c>
      <c r="P104" s="40" t="b">
        <v>0</v>
      </c>
      <c r="Q104" s="171"/>
      <c r="R104" s="190"/>
      <c r="S104" s="6" t="s">
        <v>269</v>
      </c>
      <c r="U104" t="b">
        <v>0</v>
      </c>
    </row>
    <row r="105">
      <c r="A105" s="7" t="s">
        <v>1610</v>
      </c>
      <c r="B105" s="7" t="s">
        <v>1621</v>
      </c>
      <c r="C105" s="73" t="b">
        <v>1</v>
      </c>
      <c r="D105" s="74" t="s">
        <v>1622</v>
      </c>
      <c r="E105" s="214">
        <v>46251.0</v>
      </c>
      <c r="F105" s="6" t="s">
        <v>1625</v>
      </c>
      <c r="G105" s="6" t="s">
        <v>1627</v>
      </c>
      <c r="H105" s="6" t="s">
        <v>1628</v>
      </c>
      <c r="I105" s="6" t="s">
        <v>1629</v>
      </c>
      <c r="J105" s="6" t="s">
        <v>1631</v>
      </c>
      <c r="K105" s="6" t="s">
        <v>1632</v>
      </c>
      <c r="L105" s="76" t="str">
        <f t="shared" si="7"/>
        <v>AT Tuning
Eckens Väg 22
433 33 Partille
Telefon: 073 625 98 82</v>
      </c>
      <c r="M105" s="77">
        <v>5.594993775E9</v>
      </c>
      <c r="N105" s="213" t="s">
        <v>1580</v>
      </c>
      <c r="O105" s="79" t="s">
        <v>1633</v>
      </c>
      <c r="P105" s="40" t="b">
        <v>0</v>
      </c>
      <c r="Q105" s="171"/>
      <c r="R105" s="190"/>
      <c r="S105" s="6" t="s">
        <v>269</v>
      </c>
      <c r="U105" t="b">
        <v>0</v>
      </c>
    </row>
    <row r="106">
      <c r="A106" s="7" t="s">
        <v>1610</v>
      </c>
      <c r="B106" s="7" t="s">
        <v>1637</v>
      </c>
      <c r="C106" s="73" t="b">
        <v>0</v>
      </c>
      <c r="D106" s="74" t="s">
        <v>1638</v>
      </c>
      <c r="E106" s="214">
        <v>46251.0</v>
      </c>
      <c r="F106" s="6" t="s">
        <v>1640</v>
      </c>
      <c r="G106" s="6" t="s">
        <v>1641</v>
      </c>
      <c r="H106" s="6" t="s">
        <v>1642</v>
      </c>
      <c r="I106" s="6" t="s">
        <v>1643</v>
      </c>
      <c r="J106" s="6" t="s">
        <v>1645</v>
      </c>
      <c r="K106" s="6" t="s">
        <v>1647</v>
      </c>
      <c r="L106" s="76" t="str">
        <f t="shared" si="7"/>
        <v>Idre Fordonsservice
Ljunghemsvägen 35
790 91 Idre
Telefon: 0253-205 55
073-061 62 91</v>
      </c>
      <c r="M106" s="36"/>
      <c r="N106" s="213" t="s">
        <v>1580</v>
      </c>
      <c r="O106" s="79" t="s">
        <v>263</v>
      </c>
      <c r="P106" s="40" t="b">
        <v>0</v>
      </c>
      <c r="Q106" s="171"/>
      <c r="R106" s="190"/>
      <c r="S106" s="6" t="s">
        <v>269</v>
      </c>
      <c r="U106" t="b">
        <v>0</v>
      </c>
    </row>
    <row r="107">
      <c r="A107" s="7" t="s">
        <v>1610</v>
      </c>
      <c r="B107" s="7" t="s">
        <v>232</v>
      </c>
      <c r="C107" s="73" t="b">
        <v>0</v>
      </c>
      <c r="D107" s="74" t="s">
        <v>1650</v>
      </c>
      <c r="E107" s="214">
        <v>46251.0</v>
      </c>
      <c r="G107" s="6" t="s">
        <v>1652</v>
      </c>
      <c r="H107" s="6" t="s">
        <v>1653</v>
      </c>
      <c r="I107" s="6" t="s">
        <v>728</v>
      </c>
      <c r="J107" s="6" t="s">
        <v>236</v>
      </c>
      <c r="K107" s="6" t="s">
        <v>1654</v>
      </c>
      <c r="L107" s="76" t="str">
        <f t="shared" si="7"/>
        <v>Fordonsservice Uppland AB
Lastbilsgatan 6D
754 54 Uppsala
Telefon: 073 767 03 11</v>
      </c>
      <c r="M107" s="36"/>
      <c r="N107" s="213" t="s">
        <v>1580</v>
      </c>
      <c r="O107" s="79" t="s">
        <v>263</v>
      </c>
      <c r="P107" s="40" t="b">
        <v>0</v>
      </c>
      <c r="Q107" s="171"/>
      <c r="R107" s="190"/>
      <c r="S107" s="6" t="s">
        <v>269</v>
      </c>
      <c r="U107" t="b">
        <v>0</v>
      </c>
    </row>
    <row r="108">
      <c r="A108" s="7" t="s">
        <v>1610</v>
      </c>
      <c r="B108" s="7" t="s">
        <v>220</v>
      </c>
      <c r="C108" s="73" t="b">
        <v>0</v>
      </c>
      <c r="D108" s="74" t="s">
        <v>1655</v>
      </c>
      <c r="E108" s="75" t="s">
        <v>1656</v>
      </c>
      <c r="G108" s="6" t="s">
        <v>1657</v>
      </c>
      <c r="H108" s="6" t="s">
        <v>1658</v>
      </c>
      <c r="I108" s="215" t="s">
        <v>1659</v>
      </c>
      <c r="J108" s="6" t="s">
        <v>223</v>
      </c>
      <c r="K108" s="6" t="s">
        <v>1664</v>
      </c>
      <c r="L108" s="76" t="str">
        <f t="shared" si="7"/>
        <v>NK MEK &amp; TUNING AB
Strandvägen 12
824 96 Stocka
Telefon: 
0652-108 88</v>
      </c>
      <c r="M108" s="36"/>
      <c r="N108" s="213" t="s">
        <v>1580</v>
      </c>
      <c r="O108" s="79" t="s">
        <v>263</v>
      </c>
      <c r="P108" s="40" t="b">
        <v>0</v>
      </c>
      <c r="Q108" s="171"/>
      <c r="R108" s="190"/>
      <c r="S108" s="6" t="s">
        <v>269</v>
      </c>
      <c r="U108" t="b">
        <v>0</v>
      </c>
    </row>
    <row r="109">
      <c r="A109" s="7" t="s">
        <v>1666</v>
      </c>
      <c r="B109" s="7" t="s">
        <v>1667</v>
      </c>
      <c r="C109" s="73" t="b">
        <v>1</v>
      </c>
      <c r="D109" s="74" t="s">
        <v>1668</v>
      </c>
      <c r="E109" s="75" t="s">
        <v>1669</v>
      </c>
      <c r="G109" s="6" t="s">
        <v>1670</v>
      </c>
      <c r="H109" s="6" t="s">
        <v>697</v>
      </c>
      <c r="I109" s="216" t="s">
        <v>698</v>
      </c>
      <c r="J109" s="127" t="s">
        <v>1671</v>
      </c>
      <c r="K109" s="218" t="s">
        <v>1673</v>
      </c>
      <c r="L109" s="76" t="str">
        <f t="shared" si="7"/>
        <v>Mi Fordonsteknik Örebro
Verkstadssgatan 8
702 27 Örebro
Telefon: 0764244363</v>
      </c>
      <c r="M109" s="36"/>
      <c r="N109" s="213" t="s">
        <v>1580</v>
      </c>
      <c r="O109" s="79" t="s">
        <v>1633</v>
      </c>
      <c r="P109" s="40" t="b">
        <v>0</v>
      </c>
      <c r="Q109" s="171"/>
      <c r="R109" s="190"/>
      <c r="S109" s="6" t="s">
        <v>269</v>
      </c>
      <c r="U109" t="b">
        <v>0</v>
      </c>
    </row>
    <row r="110">
      <c r="A110" s="7" t="s">
        <v>260</v>
      </c>
      <c r="B110" s="7" t="s">
        <v>1684</v>
      </c>
      <c r="C110" s="73" t="b">
        <v>0</v>
      </c>
      <c r="D110" s="74" t="s">
        <v>1685</v>
      </c>
      <c r="E110" s="75" t="s">
        <v>1686</v>
      </c>
      <c r="F110" s="6" t="s">
        <v>1687</v>
      </c>
      <c r="G110" s="6" t="s">
        <v>1688</v>
      </c>
      <c r="H110" s="6" t="s">
        <v>1689</v>
      </c>
      <c r="I110" s="6" t="s">
        <v>1692</v>
      </c>
      <c r="J110" s="127" t="s">
        <v>1693</v>
      </c>
      <c r="K110" s="6" t="s">
        <v>1695</v>
      </c>
      <c r="L110" s="76" t="str">
        <f t="shared" si="7"/>
        <v>Anhængertræk Reperation
Nyrupvej 69
DK-4180 Sorö
Telefon: 004522335174</v>
      </c>
      <c r="M110" s="77">
        <v>1.5166584E7</v>
      </c>
      <c r="N110" s="213" t="s">
        <v>1580</v>
      </c>
      <c r="O110" s="79" t="s">
        <v>1633</v>
      </c>
      <c r="P110" s="40" t="b">
        <v>0</v>
      </c>
      <c r="Q110" s="171"/>
      <c r="R110" s="190"/>
      <c r="S110" s="6" t="s">
        <v>269</v>
      </c>
      <c r="U110" t="b">
        <v>0</v>
      </c>
    </row>
    <row r="111">
      <c r="A111" s="7" t="s">
        <v>1698</v>
      </c>
      <c r="B111" s="7" t="s">
        <v>1699</v>
      </c>
      <c r="C111" s="73" t="b">
        <v>1</v>
      </c>
      <c r="D111" s="74" t="s">
        <v>1701</v>
      </c>
      <c r="E111" s="75" t="s">
        <v>1669</v>
      </c>
      <c r="F111" s="6" t="s">
        <v>1703</v>
      </c>
      <c r="G111" s="6" t="s">
        <v>1704</v>
      </c>
      <c r="H111" s="6">
        <v>19560.0</v>
      </c>
      <c r="I111" s="6" t="s">
        <v>1706</v>
      </c>
      <c r="J111" s="6" t="s">
        <v>1707</v>
      </c>
      <c r="K111" s="6" t="s">
        <v>1708</v>
      </c>
      <c r="L111" s="76" t="str">
        <f t="shared" si="7"/>
        <v>Arlanda Bilgalleri AB
Servogatan 18
19560 Arlandastad
Telefon: 08-503 532 20</v>
      </c>
      <c r="M111" s="36"/>
      <c r="N111" s="37"/>
      <c r="O111" s="220"/>
      <c r="P111" s="40"/>
      <c r="Q111" s="171"/>
      <c r="R111" s="190"/>
    </row>
    <row r="112">
      <c r="A112" s="7" t="s">
        <v>1698</v>
      </c>
      <c r="B112" s="7" t="s">
        <v>1712</v>
      </c>
      <c r="C112" s="73" t="s">
        <v>1713</v>
      </c>
      <c r="D112" s="74" t="s">
        <v>1714</v>
      </c>
      <c r="E112" s="75" t="s">
        <v>1715</v>
      </c>
      <c r="G112" s="6" t="s">
        <v>1716</v>
      </c>
      <c r="H112" s="6" t="s">
        <v>1717</v>
      </c>
      <c r="I112" s="6" t="s">
        <v>314</v>
      </c>
      <c r="J112" s="6" t="s">
        <v>1718</v>
      </c>
      <c r="K112" s="6" t="s">
        <v>1719</v>
      </c>
      <c r="L112" s="76" t="str">
        <f t="shared" si="7"/>
        <v>Svensk Bilvård Bilverkstad - AD Bilverkstad
Silogatan 1
784 63  Borlänge
Telefon: 0243-23 30 00</v>
      </c>
      <c r="M112" s="77">
        <v>5.59085997E9</v>
      </c>
      <c r="N112" s="213" t="s">
        <v>1720</v>
      </c>
      <c r="O112" s="79" t="s">
        <v>263</v>
      </c>
      <c r="P112" s="40"/>
      <c r="Q112" s="171"/>
      <c r="R112" s="190"/>
    </row>
    <row r="113">
      <c r="A113" s="64"/>
      <c r="B113" s="64"/>
      <c r="C113" s="40"/>
      <c r="D113" s="212"/>
      <c r="E113" s="27"/>
      <c r="L113" s="76" t="str">
        <f t="shared" si="7"/>
        <v>
Telefon: </v>
      </c>
      <c r="M113" s="36"/>
      <c r="N113" s="37"/>
      <c r="O113" s="220"/>
      <c r="P113" s="40"/>
      <c r="Q113" s="171"/>
      <c r="R113" s="190"/>
    </row>
    <row r="114">
      <c r="A114" s="64"/>
      <c r="B114" s="64"/>
      <c r="C114" s="40"/>
      <c r="D114" s="212"/>
      <c r="E114" s="27"/>
      <c r="L114" s="76" t="str">
        <f t="shared" si="7"/>
        <v>
Telefon: </v>
      </c>
      <c r="M114" s="36"/>
      <c r="N114" s="37"/>
      <c r="O114" s="220"/>
      <c r="P114" s="40"/>
      <c r="Q114" s="171"/>
      <c r="R114" s="190"/>
    </row>
    <row r="115">
      <c r="A115" s="64"/>
      <c r="B115" s="64"/>
      <c r="C115" s="40"/>
      <c r="D115" s="212"/>
      <c r="E115" s="27"/>
      <c r="L115" s="76" t="str">
        <f t="shared" si="7"/>
        <v>
Telefon: </v>
      </c>
      <c r="M115" s="36"/>
      <c r="N115" s="37"/>
      <c r="O115" s="220"/>
      <c r="P115" s="40"/>
      <c r="Q115" s="171"/>
      <c r="R115" s="190"/>
    </row>
    <row r="116">
      <c r="A116" s="64"/>
      <c r="B116" s="64"/>
      <c r="C116" s="40"/>
      <c r="D116" s="212"/>
      <c r="E116" s="27"/>
      <c r="L116" s="76" t="str">
        <f t="shared" si="7"/>
        <v>
Telefon: </v>
      </c>
      <c r="M116" s="36"/>
      <c r="N116" s="37"/>
      <c r="O116" s="220"/>
      <c r="P116" s="40"/>
      <c r="Q116" s="171"/>
      <c r="R116" s="190"/>
    </row>
    <row r="117">
      <c r="A117" s="64"/>
      <c r="B117" s="64"/>
      <c r="C117" s="40"/>
      <c r="D117" s="212"/>
      <c r="E117" s="27"/>
      <c r="L117" s="76" t="str">
        <f t="shared" si="7"/>
        <v>
Telefon: </v>
      </c>
      <c r="M117" s="36"/>
      <c r="N117" s="37"/>
      <c r="O117" s="220"/>
      <c r="P117" s="40"/>
      <c r="Q117" s="171"/>
      <c r="R117" s="190"/>
    </row>
    <row r="118">
      <c r="A118" s="64"/>
      <c r="B118" s="64"/>
      <c r="C118" s="40"/>
      <c r="D118" s="212"/>
      <c r="E118" s="27"/>
      <c r="L118" s="76" t="str">
        <f t="shared" si="7"/>
        <v>
Telefon: </v>
      </c>
      <c r="M118" s="36"/>
      <c r="N118" s="37"/>
      <c r="O118" s="220"/>
      <c r="P118" s="40"/>
      <c r="Q118" s="171"/>
      <c r="R118" s="190"/>
    </row>
    <row r="119">
      <c r="A119" s="64"/>
      <c r="B119" s="64"/>
      <c r="C119" s="40"/>
      <c r="D119" s="212"/>
      <c r="E119" s="27"/>
      <c r="L119" s="76" t="str">
        <f t="shared" si="7"/>
        <v>
Telefon: </v>
      </c>
      <c r="M119" s="36"/>
      <c r="N119" s="37"/>
      <c r="O119" s="220"/>
      <c r="P119" s="40"/>
      <c r="Q119" s="171"/>
      <c r="R119" s="190"/>
    </row>
    <row r="120">
      <c r="A120" s="64"/>
      <c r="B120" s="64"/>
      <c r="C120" s="40"/>
      <c r="D120" s="212"/>
      <c r="E120" s="27"/>
      <c r="L120" s="76" t="str">
        <f t="shared" si="7"/>
        <v>
Telefon: </v>
      </c>
      <c r="M120" s="36"/>
      <c r="N120" s="37"/>
      <c r="O120" s="220"/>
      <c r="P120" s="40"/>
      <c r="Q120" s="171"/>
      <c r="R120" s="190"/>
    </row>
    <row r="121">
      <c r="A121" s="64"/>
      <c r="B121" s="64"/>
      <c r="C121" s="40"/>
      <c r="D121" s="212"/>
      <c r="E121" s="27"/>
      <c r="L121" s="76" t="str">
        <f t="shared" si="7"/>
        <v>
Telefon: </v>
      </c>
      <c r="M121" s="36"/>
      <c r="N121" s="37"/>
      <c r="O121" s="220"/>
      <c r="P121" s="40"/>
      <c r="Q121" s="171"/>
      <c r="R121" s="190"/>
    </row>
    <row r="122">
      <c r="A122" s="64"/>
      <c r="B122" s="64"/>
      <c r="C122" s="40"/>
      <c r="D122" s="212"/>
      <c r="E122" s="27"/>
      <c r="L122" s="76" t="str">
        <f t="shared" si="7"/>
        <v>
Telefon: </v>
      </c>
      <c r="M122" s="36"/>
      <c r="N122" s="37"/>
      <c r="O122" s="220"/>
      <c r="P122" s="40"/>
      <c r="Q122" s="171"/>
      <c r="R122" s="190"/>
    </row>
    <row r="123">
      <c r="A123" s="64"/>
      <c r="B123" s="64"/>
      <c r="C123" s="40"/>
      <c r="D123" s="212"/>
      <c r="E123" s="27"/>
      <c r="L123" s="76" t="str">
        <f t="shared" si="7"/>
        <v>
Telefon: </v>
      </c>
      <c r="M123" s="36"/>
      <c r="N123" s="37"/>
      <c r="O123" s="220"/>
      <c r="P123" s="40"/>
      <c r="Q123" s="171"/>
      <c r="R123" s="190"/>
    </row>
    <row r="124">
      <c r="A124" s="64"/>
      <c r="B124" s="64"/>
      <c r="C124" s="40"/>
      <c r="D124" s="212"/>
      <c r="E124" s="27"/>
      <c r="L124" s="76" t="str">
        <f t="shared" si="7"/>
        <v>
Telefon: </v>
      </c>
      <c r="M124" s="36"/>
      <c r="N124" s="37"/>
      <c r="O124" s="220"/>
      <c r="P124" s="40"/>
      <c r="Q124" s="171"/>
      <c r="R124" s="190"/>
    </row>
    <row r="125">
      <c r="A125" s="64"/>
      <c r="B125" s="64"/>
      <c r="C125" s="40"/>
      <c r="D125" s="212"/>
      <c r="E125" s="27"/>
      <c r="L125" s="76" t="str">
        <f t="shared" si="7"/>
        <v>
Telefon: </v>
      </c>
      <c r="M125" s="36"/>
      <c r="N125" s="37"/>
      <c r="O125" s="220"/>
      <c r="P125" s="40"/>
      <c r="Q125" s="171"/>
      <c r="R125" s="190"/>
    </row>
    <row r="126">
      <c r="A126" s="64"/>
      <c r="B126" s="64"/>
      <c r="C126" s="40"/>
      <c r="D126" s="212"/>
      <c r="E126" s="27"/>
      <c r="L126" s="76" t="str">
        <f t="shared" si="7"/>
        <v>
Telefon: </v>
      </c>
      <c r="M126" s="36"/>
      <c r="N126" s="37"/>
      <c r="O126" s="220"/>
      <c r="P126" s="40"/>
      <c r="Q126" s="171"/>
      <c r="R126" s="190"/>
    </row>
    <row r="127">
      <c r="A127" s="64"/>
      <c r="B127" s="64"/>
      <c r="C127" s="40"/>
      <c r="D127" s="212"/>
      <c r="E127" s="27"/>
      <c r="L127" s="76" t="str">
        <f t="shared" si="7"/>
        <v>
Telefon: </v>
      </c>
      <c r="M127" s="36"/>
      <c r="N127" s="37"/>
      <c r="O127" s="220"/>
      <c r="P127" s="40"/>
      <c r="Q127" s="171"/>
      <c r="R127" s="190"/>
    </row>
    <row r="128">
      <c r="A128" s="64"/>
      <c r="B128" s="64"/>
      <c r="C128" s="40"/>
      <c r="D128" s="212"/>
      <c r="E128" s="27"/>
      <c r="L128" s="76" t="str">
        <f t="shared" si="7"/>
        <v>
Telefon: </v>
      </c>
      <c r="M128" s="36"/>
      <c r="N128" s="37"/>
      <c r="O128" s="220"/>
      <c r="P128" s="40"/>
      <c r="Q128" s="171"/>
      <c r="R128" s="190"/>
    </row>
    <row r="129">
      <c r="A129" s="64"/>
      <c r="B129" s="64"/>
      <c r="C129" s="40"/>
      <c r="D129" s="212"/>
      <c r="E129" s="27"/>
      <c r="L129" s="76" t="str">
        <f t="shared" si="7"/>
        <v>
Telefon: </v>
      </c>
      <c r="M129" s="36"/>
      <c r="N129" s="37"/>
      <c r="O129" s="220"/>
      <c r="P129" s="40"/>
      <c r="Q129" s="171"/>
      <c r="R129" s="190"/>
    </row>
    <row r="130">
      <c r="A130" s="64"/>
      <c r="B130" s="64"/>
      <c r="C130" s="40"/>
      <c r="D130" s="212"/>
      <c r="E130" s="27"/>
      <c r="L130" s="76" t="str">
        <f t="shared" si="7"/>
        <v>
Telefon: </v>
      </c>
      <c r="M130" s="36"/>
      <c r="N130" s="37"/>
      <c r="O130" s="220"/>
      <c r="P130" s="40"/>
      <c r="Q130" s="171"/>
      <c r="R130" s="190"/>
    </row>
    <row r="131">
      <c r="A131" s="64"/>
      <c r="B131" s="64"/>
      <c r="C131" s="40"/>
      <c r="D131" s="212"/>
      <c r="E131" s="27"/>
      <c r="L131" s="76" t="str">
        <f t="shared" si="7"/>
        <v>
Telefon: </v>
      </c>
      <c r="M131" s="36"/>
      <c r="N131" s="37"/>
      <c r="O131" s="220"/>
      <c r="P131" s="40"/>
      <c r="Q131" s="171"/>
      <c r="R131" s="190"/>
    </row>
    <row r="132">
      <c r="A132" s="64"/>
      <c r="B132" s="64"/>
      <c r="C132" s="40"/>
      <c r="D132" s="212"/>
      <c r="E132" s="27"/>
      <c r="L132" s="76" t="str">
        <f t="shared" si="7"/>
        <v>
Telefon: </v>
      </c>
      <c r="M132" s="36"/>
      <c r="N132" s="37"/>
      <c r="O132" s="220"/>
      <c r="P132" s="40"/>
      <c r="Q132" s="171"/>
      <c r="R132" s="190"/>
    </row>
    <row r="133">
      <c r="A133" s="64"/>
      <c r="B133" s="64"/>
      <c r="C133" s="40"/>
      <c r="D133" s="212"/>
      <c r="E133" s="27"/>
      <c r="L133" s="76" t="str">
        <f t="shared" si="7"/>
        <v>
Telefon: </v>
      </c>
      <c r="M133" s="36"/>
      <c r="N133" s="37"/>
      <c r="O133" s="220"/>
      <c r="P133" s="40"/>
      <c r="Q133" s="171"/>
      <c r="R133" s="190"/>
    </row>
    <row r="134">
      <c r="A134" s="64"/>
      <c r="B134" s="64"/>
      <c r="C134" s="40"/>
      <c r="D134" s="212"/>
      <c r="E134" s="27"/>
      <c r="L134" s="76" t="str">
        <f t="shared" si="7"/>
        <v>
Telefon: </v>
      </c>
      <c r="M134" s="36"/>
      <c r="N134" s="37"/>
      <c r="O134" s="220"/>
      <c r="P134" s="40"/>
      <c r="Q134" s="171"/>
      <c r="R134" s="190"/>
    </row>
    <row r="135">
      <c r="A135" s="64"/>
      <c r="B135" s="64"/>
      <c r="C135" s="40"/>
      <c r="D135" s="212"/>
      <c r="E135" s="27"/>
      <c r="L135" s="76" t="str">
        <f t="shared" si="7"/>
        <v>
Telefon: </v>
      </c>
      <c r="M135" s="36"/>
      <c r="N135" s="37"/>
      <c r="O135" s="220"/>
      <c r="P135" s="40"/>
      <c r="Q135" s="171"/>
      <c r="R135" s="190"/>
    </row>
    <row r="136">
      <c r="A136" s="64"/>
      <c r="B136" s="64"/>
      <c r="C136" s="40"/>
      <c r="D136" s="212"/>
      <c r="E136" s="27"/>
      <c r="L136" s="76" t="str">
        <f t="shared" si="7"/>
        <v>
Telefon: </v>
      </c>
      <c r="M136" s="36"/>
      <c r="N136" s="37"/>
      <c r="O136" s="220"/>
      <c r="P136" s="40"/>
      <c r="Q136" s="171"/>
      <c r="R136" s="190"/>
    </row>
    <row r="137">
      <c r="A137" s="64"/>
      <c r="B137" s="64"/>
      <c r="C137" s="40"/>
      <c r="D137" s="212"/>
      <c r="E137" s="27"/>
      <c r="L137" s="76" t="str">
        <f t="shared" si="7"/>
        <v>
Telefon: </v>
      </c>
      <c r="M137" s="36"/>
      <c r="N137" s="37"/>
      <c r="O137" s="220"/>
      <c r="P137" s="40"/>
      <c r="Q137" s="171"/>
      <c r="R137" s="190"/>
    </row>
    <row r="138">
      <c r="A138" s="64"/>
      <c r="B138" s="64"/>
      <c r="C138" s="40"/>
      <c r="D138" s="212"/>
      <c r="E138" s="27"/>
      <c r="L138" s="76" t="str">
        <f t="shared" si="7"/>
        <v>
Telefon: </v>
      </c>
      <c r="M138" s="36"/>
      <c r="N138" s="37"/>
      <c r="O138" s="220"/>
      <c r="P138" s="40"/>
      <c r="Q138" s="171"/>
      <c r="R138" s="190"/>
    </row>
    <row r="139">
      <c r="A139" s="64"/>
      <c r="B139" s="64"/>
      <c r="C139" s="40"/>
      <c r="D139" s="212"/>
      <c r="E139" s="27"/>
      <c r="L139" s="76" t="str">
        <f t="shared" si="7"/>
        <v>
Telefon: </v>
      </c>
      <c r="M139" s="36"/>
      <c r="N139" s="37"/>
      <c r="O139" s="220"/>
      <c r="P139" s="40"/>
      <c r="Q139" s="171"/>
      <c r="R139" s="190"/>
    </row>
    <row r="140">
      <c r="A140" s="64"/>
      <c r="B140" s="64"/>
      <c r="C140" s="40"/>
      <c r="D140" s="212"/>
      <c r="E140" s="27"/>
      <c r="L140" s="76" t="str">
        <f t="shared" si="7"/>
        <v>
Telefon: </v>
      </c>
      <c r="M140" s="36"/>
      <c r="N140" s="37"/>
      <c r="O140" s="220"/>
      <c r="P140" s="40"/>
      <c r="Q140" s="171"/>
      <c r="R140" s="190"/>
    </row>
    <row r="141">
      <c r="A141" s="64"/>
      <c r="B141" s="64"/>
      <c r="C141" s="40"/>
      <c r="D141" s="212"/>
      <c r="E141" s="27"/>
      <c r="L141" s="76" t="str">
        <f t="shared" si="7"/>
        <v>
Telefon: </v>
      </c>
      <c r="M141" s="36"/>
      <c r="N141" s="37"/>
      <c r="O141" s="220"/>
      <c r="P141" s="40"/>
      <c r="Q141" s="171"/>
      <c r="R141" s="190"/>
    </row>
    <row r="142">
      <c r="A142" s="64"/>
      <c r="B142" s="64"/>
      <c r="C142" s="40"/>
      <c r="D142" s="212"/>
      <c r="E142" s="27"/>
      <c r="L142" s="76" t="str">
        <f t="shared" si="7"/>
        <v>
Telefon: </v>
      </c>
      <c r="M142" s="36"/>
      <c r="N142" s="37"/>
      <c r="O142" s="220"/>
      <c r="P142" s="40"/>
      <c r="Q142" s="171"/>
      <c r="R142" s="190"/>
    </row>
    <row r="143">
      <c r="A143" s="64"/>
      <c r="B143" s="64"/>
      <c r="C143" s="40"/>
      <c r="D143" s="212"/>
      <c r="E143" s="27"/>
      <c r="L143" s="76" t="str">
        <f t="shared" si="7"/>
        <v>
Telefon: </v>
      </c>
      <c r="M143" s="36"/>
      <c r="N143" s="37"/>
      <c r="O143" s="220"/>
      <c r="P143" s="40"/>
      <c r="Q143" s="171"/>
      <c r="R143" s="190"/>
    </row>
    <row r="144">
      <c r="A144" s="64"/>
      <c r="B144" s="64"/>
      <c r="C144" s="40"/>
      <c r="D144" s="212"/>
      <c r="E144" s="27"/>
      <c r="L144" s="76" t="str">
        <f t="shared" si="7"/>
        <v>
Telefon: </v>
      </c>
      <c r="M144" s="36"/>
      <c r="N144" s="37"/>
      <c r="O144" s="220"/>
      <c r="P144" s="40"/>
      <c r="Q144" s="171"/>
      <c r="R144" s="190"/>
    </row>
    <row r="145">
      <c r="A145" s="64"/>
      <c r="B145" s="64"/>
      <c r="C145" s="40"/>
      <c r="D145" s="212"/>
      <c r="E145" s="27"/>
      <c r="L145" s="76" t="str">
        <f t="shared" si="7"/>
        <v>
Telefon: </v>
      </c>
      <c r="M145" s="36"/>
      <c r="N145" s="37"/>
      <c r="O145" s="220"/>
      <c r="P145" s="40"/>
      <c r="Q145" s="171"/>
      <c r="R145" s="190"/>
    </row>
    <row r="146">
      <c r="A146" s="64"/>
      <c r="B146" s="64"/>
      <c r="C146" s="40"/>
      <c r="D146" s="212"/>
      <c r="E146" s="27"/>
      <c r="L146" s="76" t="str">
        <f t="shared" si="7"/>
        <v>
Telefon: </v>
      </c>
      <c r="M146" s="36"/>
      <c r="N146" s="37"/>
      <c r="O146" s="220"/>
      <c r="P146" s="40"/>
      <c r="Q146" s="171"/>
      <c r="R146" s="190"/>
    </row>
    <row r="147">
      <c r="A147" s="64"/>
      <c r="B147" s="64"/>
      <c r="C147" s="40"/>
      <c r="D147" s="212"/>
      <c r="E147" s="27"/>
      <c r="L147" s="76" t="str">
        <f t="shared" si="7"/>
        <v>
Telefon: </v>
      </c>
      <c r="M147" s="36"/>
      <c r="N147" s="37"/>
      <c r="O147" s="220"/>
      <c r="P147" s="40"/>
      <c r="Q147" s="171"/>
      <c r="R147" s="190"/>
    </row>
    <row r="148">
      <c r="A148" s="64"/>
      <c r="B148" s="64"/>
      <c r="C148" s="40"/>
      <c r="D148" s="212"/>
      <c r="E148" s="27"/>
      <c r="L148" s="76" t="str">
        <f t="shared" si="7"/>
        <v>
Telefon: </v>
      </c>
      <c r="M148" s="36"/>
      <c r="N148" s="37"/>
      <c r="O148" s="220"/>
      <c r="P148" s="40"/>
      <c r="Q148" s="171"/>
      <c r="R148" s="190"/>
    </row>
    <row r="149">
      <c r="A149" s="64"/>
      <c r="B149" s="64"/>
      <c r="C149" s="40"/>
      <c r="D149" s="212"/>
      <c r="E149" s="27"/>
      <c r="L149" s="76" t="str">
        <f t="shared" si="7"/>
        <v>
Telefon: </v>
      </c>
      <c r="M149" s="36"/>
      <c r="N149" s="37"/>
      <c r="O149" s="220"/>
      <c r="P149" s="40"/>
      <c r="Q149" s="171"/>
      <c r="R149" s="190"/>
    </row>
    <row r="150">
      <c r="A150" s="64"/>
      <c r="B150" s="64"/>
      <c r="C150" s="40"/>
      <c r="D150" s="212"/>
      <c r="E150" s="27"/>
      <c r="L150" s="76" t="str">
        <f t="shared" si="7"/>
        <v>
Telefon: </v>
      </c>
      <c r="M150" s="36"/>
      <c r="N150" s="37"/>
      <c r="O150" s="220"/>
      <c r="P150" s="40"/>
      <c r="Q150" s="171"/>
      <c r="R150" s="190"/>
    </row>
    <row r="151">
      <c r="A151" s="64"/>
      <c r="B151" s="64"/>
      <c r="C151" s="40"/>
      <c r="D151" s="212"/>
      <c r="E151" s="27"/>
      <c r="L151" s="76" t="str">
        <f t="shared" si="7"/>
        <v>
Telefon: </v>
      </c>
      <c r="M151" s="36"/>
      <c r="N151" s="37"/>
      <c r="O151" s="220"/>
      <c r="P151" s="40"/>
      <c r="Q151" s="171"/>
      <c r="R151" s="190"/>
    </row>
    <row r="152">
      <c r="A152" s="64"/>
      <c r="B152" s="64"/>
      <c r="C152" s="40"/>
      <c r="D152" s="212"/>
      <c r="E152" s="27"/>
      <c r="L152" s="76" t="str">
        <f t="shared" si="7"/>
        <v>
Telefon: </v>
      </c>
      <c r="M152" s="36"/>
      <c r="N152" s="37"/>
      <c r="O152" s="220"/>
      <c r="P152" s="40"/>
      <c r="Q152" s="171"/>
      <c r="R152" s="190"/>
    </row>
    <row r="153">
      <c r="A153" s="64"/>
      <c r="B153" s="64"/>
      <c r="C153" s="40"/>
      <c r="D153" s="212"/>
      <c r="E153" s="27"/>
      <c r="L153" s="76" t="str">
        <f t="shared" si="7"/>
        <v>
Telefon: </v>
      </c>
      <c r="M153" s="36"/>
      <c r="N153" s="37"/>
      <c r="O153" s="220"/>
      <c r="P153" s="40"/>
      <c r="Q153" s="171"/>
      <c r="R153" s="190"/>
    </row>
    <row r="154">
      <c r="A154" s="64"/>
      <c r="B154" s="64"/>
      <c r="C154" s="40"/>
      <c r="D154" s="212"/>
      <c r="E154" s="27"/>
      <c r="L154" s="76" t="str">
        <f t="shared" si="7"/>
        <v>
Telefon: </v>
      </c>
      <c r="M154" s="36"/>
      <c r="N154" s="37"/>
      <c r="O154" s="220"/>
      <c r="P154" s="40"/>
      <c r="Q154" s="171"/>
      <c r="R154" s="190"/>
    </row>
    <row r="155">
      <c r="A155" s="64"/>
      <c r="B155" s="64"/>
      <c r="C155" s="40"/>
      <c r="D155" s="212"/>
      <c r="E155" s="27"/>
      <c r="L155" s="76" t="str">
        <f t="shared" si="7"/>
        <v>
Telefon: </v>
      </c>
      <c r="M155" s="36"/>
      <c r="N155" s="37"/>
      <c r="O155" s="220"/>
      <c r="P155" s="40"/>
      <c r="Q155" s="171"/>
      <c r="R155" s="190"/>
    </row>
    <row r="156">
      <c r="A156" s="64"/>
      <c r="B156" s="64"/>
      <c r="C156" s="40"/>
      <c r="D156" s="212"/>
      <c r="E156" s="27"/>
      <c r="L156" s="76" t="str">
        <f t="shared" si="7"/>
        <v>
Telefon: </v>
      </c>
      <c r="M156" s="36"/>
      <c r="N156" s="37"/>
      <c r="O156" s="220"/>
      <c r="P156" s="40"/>
      <c r="Q156" s="171"/>
      <c r="R156" s="190"/>
    </row>
    <row r="157">
      <c r="A157" s="64"/>
      <c r="B157" s="64"/>
      <c r="C157" s="40"/>
      <c r="D157" s="212"/>
      <c r="E157" s="27"/>
      <c r="L157" s="76" t="str">
        <f t="shared" si="7"/>
        <v>
Telefon: </v>
      </c>
      <c r="M157" s="36"/>
      <c r="N157" s="37"/>
      <c r="O157" s="220"/>
      <c r="P157" s="40"/>
      <c r="Q157" s="171"/>
      <c r="R157" s="190"/>
    </row>
    <row r="158">
      <c r="A158" s="64"/>
      <c r="B158" s="64"/>
      <c r="C158" s="40"/>
      <c r="D158" s="212"/>
      <c r="E158" s="27"/>
      <c r="L158" s="76" t="str">
        <f t="shared" si="7"/>
        <v>
Telefon: </v>
      </c>
      <c r="M158" s="36"/>
      <c r="N158" s="37"/>
      <c r="O158" s="220"/>
      <c r="P158" s="40"/>
      <c r="Q158" s="171"/>
      <c r="R158" s="190"/>
    </row>
    <row r="159">
      <c r="A159" s="64"/>
      <c r="B159" s="64"/>
      <c r="C159" s="40"/>
      <c r="D159" s="212"/>
      <c r="E159" s="27"/>
      <c r="L159" s="76" t="str">
        <f t="shared" si="7"/>
        <v>
Telefon: </v>
      </c>
      <c r="M159" s="36"/>
      <c r="N159" s="37"/>
      <c r="O159" s="220"/>
      <c r="P159" s="40"/>
      <c r="Q159" s="171"/>
      <c r="R159" s="190"/>
    </row>
    <row r="160">
      <c r="A160" s="64"/>
      <c r="B160" s="64"/>
      <c r="C160" s="40"/>
      <c r="D160" s="212"/>
      <c r="E160" s="27"/>
      <c r="L160" s="76" t="str">
        <f t="shared" si="7"/>
        <v>
Telefon: </v>
      </c>
      <c r="M160" s="36"/>
      <c r="N160" s="37"/>
      <c r="O160" s="220"/>
      <c r="P160" s="40"/>
      <c r="Q160" s="171"/>
      <c r="R160" s="190"/>
    </row>
    <row r="161">
      <c r="A161" s="64"/>
      <c r="B161" s="64"/>
      <c r="C161" s="40"/>
      <c r="D161" s="212"/>
      <c r="E161" s="27"/>
      <c r="L161" s="76" t="str">
        <f t="shared" si="7"/>
        <v>
Telefon: </v>
      </c>
      <c r="M161" s="36"/>
      <c r="N161" s="37"/>
      <c r="O161" s="220"/>
      <c r="P161" s="40"/>
      <c r="Q161" s="171"/>
      <c r="R161" s="190"/>
    </row>
    <row r="162">
      <c r="A162" s="64"/>
      <c r="B162" s="64"/>
      <c r="C162" s="40"/>
      <c r="D162" s="212"/>
      <c r="E162" s="27"/>
      <c r="L162" s="76" t="str">
        <f t="shared" si="7"/>
        <v>
Telefon: </v>
      </c>
      <c r="M162" s="36"/>
      <c r="N162" s="37"/>
      <c r="O162" s="220"/>
      <c r="P162" s="40"/>
      <c r="Q162" s="171"/>
      <c r="R162" s="190"/>
    </row>
    <row r="163">
      <c r="A163" s="64"/>
      <c r="B163" s="64"/>
      <c r="C163" s="40"/>
      <c r="D163" s="212"/>
      <c r="E163" s="27"/>
      <c r="L163" s="76" t="str">
        <f t="shared" si="7"/>
        <v>
Telefon: </v>
      </c>
      <c r="M163" s="36"/>
      <c r="N163" s="37"/>
      <c r="O163" s="220"/>
      <c r="P163" s="40"/>
      <c r="Q163" s="171"/>
      <c r="R163" s="190"/>
    </row>
    <row r="164">
      <c r="A164" s="64"/>
      <c r="B164" s="64"/>
      <c r="C164" s="40"/>
      <c r="D164" s="212"/>
      <c r="E164" s="27"/>
      <c r="L164" s="76" t="str">
        <f t="shared" si="7"/>
        <v>
Telefon: </v>
      </c>
      <c r="M164" s="36"/>
      <c r="N164" s="37"/>
      <c r="O164" s="220"/>
      <c r="P164" s="40"/>
      <c r="Q164" s="171"/>
      <c r="R164" s="190"/>
    </row>
    <row r="165">
      <c r="A165" s="64"/>
      <c r="B165" s="64"/>
      <c r="C165" s="40"/>
      <c r="D165" s="212"/>
      <c r="E165" s="27"/>
      <c r="L165" s="76" t="str">
        <f t="shared" si="7"/>
        <v>
Telefon: </v>
      </c>
      <c r="M165" s="36"/>
      <c r="N165" s="37"/>
      <c r="O165" s="220"/>
      <c r="P165" s="40"/>
      <c r="Q165" s="171"/>
      <c r="R165" s="190"/>
    </row>
    <row r="166">
      <c r="A166" s="64"/>
      <c r="B166" s="64"/>
      <c r="C166" s="40"/>
      <c r="D166" s="212"/>
      <c r="E166" s="27"/>
      <c r="L166" s="76" t="str">
        <f t="shared" si="7"/>
        <v>
Telefon: </v>
      </c>
      <c r="M166" s="36"/>
      <c r="N166" s="37"/>
      <c r="O166" s="220"/>
      <c r="P166" s="40"/>
      <c r="Q166" s="171"/>
      <c r="R166" s="190"/>
    </row>
    <row r="167">
      <c r="A167" s="64"/>
      <c r="B167" s="64"/>
      <c r="C167" s="40"/>
      <c r="D167" s="212"/>
      <c r="E167" s="27"/>
      <c r="L167" s="76" t="str">
        <f t="shared" si="7"/>
        <v>
Telefon: </v>
      </c>
      <c r="M167" s="36"/>
      <c r="N167" s="37"/>
      <c r="O167" s="220"/>
      <c r="P167" s="40"/>
      <c r="Q167" s="171"/>
      <c r="R167" s="190"/>
    </row>
    <row r="168">
      <c r="A168" s="64"/>
      <c r="B168" s="64"/>
      <c r="C168" s="40"/>
      <c r="D168" s="212"/>
      <c r="E168" s="27"/>
      <c r="L168" s="76" t="str">
        <f t="shared" si="7"/>
        <v>
Telefon: </v>
      </c>
      <c r="M168" s="36"/>
      <c r="N168" s="37"/>
      <c r="O168" s="220"/>
      <c r="P168" s="40"/>
      <c r="Q168" s="171"/>
      <c r="R168" s="190"/>
    </row>
    <row r="169">
      <c r="A169" s="64"/>
      <c r="B169" s="64"/>
      <c r="C169" s="40"/>
      <c r="D169" s="212"/>
      <c r="E169" s="27"/>
      <c r="L169" s="76" t="str">
        <f t="shared" si="7"/>
        <v>
Telefon: </v>
      </c>
      <c r="M169" s="36"/>
      <c r="N169" s="37"/>
      <c r="O169" s="220"/>
      <c r="P169" s="40"/>
      <c r="Q169" s="171"/>
      <c r="R169" s="190"/>
    </row>
    <row r="170">
      <c r="A170" s="64"/>
      <c r="B170" s="64"/>
      <c r="C170" s="40"/>
      <c r="D170" s="212"/>
      <c r="E170" s="27"/>
      <c r="L170" s="76" t="str">
        <f t="shared" si="7"/>
        <v>
Telefon: </v>
      </c>
      <c r="M170" s="36"/>
      <c r="N170" s="37"/>
      <c r="O170" s="220"/>
      <c r="P170" s="40"/>
      <c r="Q170" s="171"/>
      <c r="R170" s="190"/>
    </row>
    <row r="171">
      <c r="A171" s="64"/>
      <c r="B171" s="64"/>
      <c r="C171" s="40"/>
      <c r="D171" s="212"/>
      <c r="E171" s="27"/>
      <c r="L171" s="76" t="str">
        <f t="shared" si="7"/>
        <v>
Telefon: </v>
      </c>
      <c r="M171" s="36"/>
      <c r="N171" s="37"/>
      <c r="O171" s="220"/>
      <c r="P171" s="40"/>
      <c r="Q171" s="171"/>
      <c r="R171" s="190"/>
    </row>
    <row r="172">
      <c r="A172" s="64"/>
      <c r="B172" s="64"/>
      <c r="C172" s="40"/>
      <c r="D172" s="212"/>
      <c r="E172" s="27"/>
      <c r="L172" s="76" t="str">
        <f t="shared" si="7"/>
        <v>
Telefon: </v>
      </c>
      <c r="M172" s="36"/>
      <c r="N172" s="37"/>
      <c r="O172" s="220"/>
      <c r="P172" s="40"/>
      <c r="Q172" s="171"/>
      <c r="R172" s="190"/>
    </row>
    <row r="173">
      <c r="A173" s="64"/>
      <c r="B173" s="64"/>
      <c r="C173" s="40"/>
      <c r="D173" s="212"/>
      <c r="E173" s="27"/>
      <c r="L173" s="76" t="str">
        <f t="shared" si="7"/>
        <v>
Telefon: </v>
      </c>
      <c r="M173" s="36"/>
      <c r="N173" s="37"/>
      <c r="O173" s="220"/>
      <c r="P173" s="40"/>
      <c r="Q173" s="171"/>
      <c r="R173" s="190"/>
    </row>
    <row r="174">
      <c r="A174" s="64"/>
      <c r="B174" s="64"/>
      <c r="C174" s="40"/>
      <c r="D174" s="212"/>
      <c r="E174" s="27"/>
      <c r="L174" s="76" t="str">
        <f t="shared" si="7"/>
        <v>
Telefon: </v>
      </c>
      <c r="M174" s="36"/>
      <c r="N174" s="37"/>
      <c r="O174" s="220"/>
      <c r="P174" s="40"/>
      <c r="Q174" s="171"/>
      <c r="R174" s="190"/>
    </row>
    <row r="175">
      <c r="A175" s="64"/>
      <c r="B175" s="64"/>
      <c r="C175" s="40"/>
      <c r="D175" s="212"/>
      <c r="E175" s="27"/>
      <c r="L175" s="76" t="str">
        <f t="shared" si="7"/>
        <v>
Telefon: </v>
      </c>
      <c r="M175" s="36"/>
      <c r="N175" s="37"/>
      <c r="O175" s="220"/>
      <c r="P175" s="40"/>
      <c r="Q175" s="171"/>
      <c r="R175" s="190"/>
    </row>
    <row r="176">
      <c r="A176" s="64"/>
      <c r="B176" s="64"/>
      <c r="C176" s="40"/>
      <c r="D176" s="212"/>
      <c r="E176" s="27"/>
      <c r="L176" s="76" t="str">
        <f t="shared" si="7"/>
        <v>
Telefon: </v>
      </c>
      <c r="M176" s="36"/>
      <c r="N176" s="37"/>
      <c r="O176" s="220"/>
      <c r="P176" s="40"/>
      <c r="Q176" s="171"/>
      <c r="R176" s="190"/>
    </row>
    <row r="177">
      <c r="A177" s="64"/>
      <c r="B177" s="64"/>
      <c r="C177" s="40"/>
      <c r="D177" s="212"/>
      <c r="E177" s="27"/>
      <c r="L177" s="76" t="str">
        <f t="shared" si="7"/>
        <v>
Telefon: </v>
      </c>
      <c r="M177" s="36"/>
      <c r="N177" s="37"/>
      <c r="O177" s="220"/>
      <c r="P177" s="40"/>
      <c r="Q177" s="171"/>
      <c r="R177" s="190"/>
    </row>
    <row r="178">
      <c r="A178" s="64"/>
      <c r="B178" s="64"/>
      <c r="C178" s="40"/>
      <c r="D178" s="212"/>
      <c r="E178" s="27"/>
      <c r="L178" s="76" t="str">
        <f t="shared" si="7"/>
        <v>
Telefon: </v>
      </c>
      <c r="M178" s="36"/>
      <c r="N178" s="37"/>
      <c r="O178" s="220"/>
      <c r="P178" s="40"/>
      <c r="Q178" s="171"/>
      <c r="R178" s="190"/>
    </row>
    <row r="179">
      <c r="A179" s="64"/>
      <c r="B179" s="64"/>
      <c r="C179" s="40"/>
      <c r="D179" s="212"/>
      <c r="E179" s="27"/>
      <c r="L179" s="76" t="str">
        <f t="shared" si="7"/>
        <v>
Telefon: </v>
      </c>
      <c r="M179" s="36"/>
      <c r="N179" s="37"/>
      <c r="O179" s="220"/>
      <c r="P179" s="40"/>
      <c r="Q179" s="171"/>
      <c r="R179" s="190"/>
    </row>
    <row r="180">
      <c r="A180" s="64"/>
      <c r="B180" s="64"/>
      <c r="C180" s="40"/>
      <c r="D180" s="212"/>
      <c r="E180" s="27"/>
      <c r="L180" s="76" t="str">
        <f t="shared" si="7"/>
        <v>
Telefon: </v>
      </c>
      <c r="M180" s="36"/>
      <c r="N180" s="37"/>
      <c r="O180" s="220"/>
      <c r="P180" s="40"/>
      <c r="Q180" s="171"/>
      <c r="R180" s="190"/>
    </row>
    <row r="181">
      <c r="A181" s="64"/>
      <c r="B181" s="64"/>
      <c r="C181" s="40"/>
      <c r="D181" s="212"/>
      <c r="E181" s="27"/>
      <c r="L181" s="76" t="str">
        <f t="shared" si="7"/>
        <v>
Telefon: </v>
      </c>
      <c r="M181" s="36"/>
      <c r="N181" s="37"/>
      <c r="O181" s="220"/>
      <c r="P181" s="40"/>
      <c r="Q181" s="171"/>
      <c r="R181" s="190"/>
    </row>
    <row r="182">
      <c r="A182" s="64"/>
      <c r="B182" s="64"/>
      <c r="C182" s="40"/>
      <c r="D182" s="212"/>
      <c r="E182" s="27"/>
      <c r="L182" s="76" t="str">
        <f t="shared" si="7"/>
        <v>
Telefon: </v>
      </c>
      <c r="M182" s="36"/>
      <c r="N182" s="37"/>
      <c r="O182" s="220"/>
      <c r="P182" s="40"/>
      <c r="Q182" s="171"/>
      <c r="R182" s="190"/>
    </row>
    <row r="183">
      <c r="A183" s="64"/>
      <c r="B183" s="64"/>
      <c r="C183" s="40"/>
      <c r="D183" s="212"/>
      <c r="E183" s="27"/>
      <c r="L183" s="76" t="str">
        <f t="shared" si="7"/>
        <v>
Telefon: </v>
      </c>
      <c r="M183" s="36"/>
      <c r="N183" s="37"/>
      <c r="O183" s="220"/>
      <c r="P183" s="40"/>
      <c r="Q183" s="171"/>
      <c r="R183" s="190"/>
    </row>
    <row r="184">
      <c r="A184" s="64"/>
      <c r="B184" s="64"/>
      <c r="C184" s="40"/>
      <c r="D184" s="212"/>
      <c r="E184" s="27"/>
      <c r="L184" s="76" t="str">
        <f t="shared" si="7"/>
        <v>
Telefon: </v>
      </c>
      <c r="M184" s="36"/>
      <c r="N184" s="37"/>
      <c r="O184" s="220"/>
      <c r="P184" s="40"/>
      <c r="Q184" s="171"/>
      <c r="R184" s="190"/>
    </row>
    <row r="185">
      <c r="A185" s="64"/>
      <c r="B185" s="64"/>
      <c r="C185" s="40"/>
      <c r="D185" s="212"/>
      <c r="E185" s="27"/>
      <c r="L185" s="76" t="str">
        <f t="shared" si="7"/>
        <v>
Telefon: </v>
      </c>
      <c r="M185" s="36"/>
      <c r="N185" s="37"/>
      <c r="O185" s="220"/>
      <c r="P185" s="40"/>
      <c r="Q185" s="171"/>
      <c r="R185" s="190"/>
    </row>
    <row r="186">
      <c r="A186" s="64"/>
      <c r="B186" s="64"/>
      <c r="C186" s="40"/>
      <c r="D186" s="212"/>
      <c r="E186" s="27"/>
      <c r="L186" s="76" t="str">
        <f t="shared" si="7"/>
        <v>
Telefon: </v>
      </c>
      <c r="M186" s="36"/>
      <c r="N186" s="37"/>
      <c r="O186" s="220"/>
      <c r="P186" s="40"/>
      <c r="Q186" s="171"/>
      <c r="R186" s="190"/>
    </row>
    <row r="187">
      <c r="A187" s="64"/>
      <c r="B187" s="64"/>
      <c r="C187" s="40"/>
      <c r="D187" s="212"/>
      <c r="E187" s="27"/>
      <c r="L187" s="76" t="str">
        <f t="shared" si="7"/>
        <v>
Telefon: </v>
      </c>
      <c r="M187" s="36"/>
      <c r="N187" s="37"/>
      <c r="O187" s="220"/>
      <c r="P187" s="40"/>
      <c r="Q187" s="171"/>
      <c r="R187" s="190"/>
    </row>
    <row r="188">
      <c r="A188" s="64"/>
      <c r="B188" s="64"/>
      <c r="C188" s="40"/>
      <c r="D188" s="212"/>
      <c r="E188" s="27"/>
      <c r="L188" s="76" t="str">
        <f t="shared" si="7"/>
        <v>
Telefon: </v>
      </c>
      <c r="M188" s="36"/>
      <c r="N188" s="37"/>
      <c r="O188" s="220"/>
      <c r="P188" s="40"/>
      <c r="Q188" s="171"/>
      <c r="R188" s="190"/>
    </row>
    <row r="189">
      <c r="A189" s="64"/>
      <c r="B189" s="64"/>
      <c r="C189" s="40"/>
      <c r="D189" s="212"/>
      <c r="E189" s="27"/>
      <c r="L189" s="76" t="str">
        <f t="shared" si="7"/>
        <v>
Telefon: </v>
      </c>
      <c r="M189" s="36"/>
      <c r="N189" s="37"/>
      <c r="O189" s="220"/>
      <c r="P189" s="40"/>
      <c r="Q189" s="171"/>
      <c r="R189" s="190"/>
    </row>
    <row r="190">
      <c r="A190" s="64"/>
      <c r="B190" s="64"/>
      <c r="C190" s="40"/>
      <c r="D190" s="212"/>
      <c r="E190" s="27"/>
      <c r="L190" s="76" t="str">
        <f t="shared" si="7"/>
        <v>
Telefon: </v>
      </c>
      <c r="M190" s="36"/>
      <c r="N190" s="37"/>
      <c r="O190" s="220"/>
      <c r="P190" s="40"/>
      <c r="Q190" s="171"/>
      <c r="R190" s="190"/>
    </row>
    <row r="191">
      <c r="A191" s="64"/>
      <c r="B191" s="64"/>
      <c r="C191" s="40"/>
      <c r="D191" s="212"/>
      <c r="E191" s="27"/>
      <c r="L191" s="76" t="str">
        <f t="shared" si="7"/>
        <v>
Telefon: </v>
      </c>
      <c r="M191" s="36"/>
      <c r="N191" s="37"/>
      <c r="O191" s="220"/>
      <c r="P191" s="40"/>
      <c r="Q191" s="171"/>
      <c r="R191" s="190"/>
    </row>
    <row r="192">
      <c r="A192" s="64"/>
      <c r="B192" s="64"/>
      <c r="C192" s="40"/>
      <c r="D192" s="212"/>
      <c r="E192" s="27"/>
      <c r="L192" s="76" t="str">
        <f t="shared" si="7"/>
        <v>
Telefon: </v>
      </c>
      <c r="M192" s="36"/>
      <c r="N192" s="37"/>
      <c r="O192" s="220"/>
      <c r="P192" s="40"/>
      <c r="Q192" s="171"/>
      <c r="R192" s="190"/>
    </row>
    <row r="193">
      <c r="A193" s="64"/>
      <c r="B193" s="64"/>
      <c r="C193" s="40"/>
      <c r="D193" s="212"/>
      <c r="E193" s="27"/>
      <c r="L193" s="76" t="str">
        <f t="shared" si="7"/>
        <v>
Telefon: </v>
      </c>
      <c r="M193" s="36"/>
      <c r="N193" s="37"/>
      <c r="O193" s="220"/>
      <c r="P193" s="40"/>
      <c r="Q193" s="171"/>
      <c r="R193" s="190"/>
    </row>
    <row r="194">
      <c r="A194" s="64"/>
      <c r="B194" s="64"/>
      <c r="C194" s="40"/>
      <c r="D194" s="212"/>
      <c r="E194" s="27"/>
      <c r="L194" s="76" t="str">
        <f t="shared" si="7"/>
        <v>
Telefon: </v>
      </c>
      <c r="M194" s="36"/>
      <c r="N194" s="37"/>
      <c r="O194" s="220"/>
      <c r="P194" s="40"/>
      <c r="Q194" s="171"/>
      <c r="R194" s="190"/>
    </row>
    <row r="195">
      <c r="A195" s="64"/>
      <c r="B195" s="64"/>
      <c r="C195" s="40"/>
      <c r="D195" s="212"/>
      <c r="E195" s="27"/>
      <c r="L195" s="76" t="str">
        <f t="shared" si="7"/>
        <v>
Telefon: </v>
      </c>
      <c r="M195" s="36"/>
      <c r="N195" s="37"/>
      <c r="O195" s="220"/>
      <c r="P195" s="40"/>
      <c r="Q195" s="171"/>
      <c r="R195" s="190"/>
    </row>
    <row r="196">
      <c r="A196" s="64"/>
      <c r="B196" s="64"/>
      <c r="C196" s="40"/>
      <c r="D196" s="212"/>
      <c r="E196" s="27"/>
      <c r="L196" s="76" t="str">
        <f t="shared" si="7"/>
        <v>
Telefon: </v>
      </c>
      <c r="M196" s="36"/>
      <c r="N196" s="37"/>
      <c r="O196" s="220"/>
      <c r="P196" s="40"/>
      <c r="Q196" s="171"/>
      <c r="R196" s="190"/>
    </row>
    <row r="197">
      <c r="A197" s="64"/>
      <c r="B197" s="64"/>
      <c r="C197" s="40"/>
      <c r="D197" s="212"/>
      <c r="E197" s="27"/>
      <c r="L197" s="76" t="str">
        <f t="shared" si="7"/>
        <v>
Telefon: </v>
      </c>
      <c r="M197" s="36"/>
      <c r="N197" s="37"/>
      <c r="O197" s="220"/>
      <c r="P197" s="40"/>
      <c r="Q197" s="171"/>
      <c r="R197" s="190"/>
    </row>
    <row r="198">
      <c r="A198" s="64"/>
      <c r="B198" s="64"/>
      <c r="C198" s="40"/>
      <c r="D198" s="212"/>
      <c r="E198" s="27"/>
      <c r="L198" s="76" t="str">
        <f t="shared" si="7"/>
        <v>
Telefon: </v>
      </c>
      <c r="M198" s="36"/>
      <c r="N198" s="37"/>
      <c r="O198" s="220"/>
      <c r="P198" s="40"/>
      <c r="Q198" s="171"/>
      <c r="R198" s="190"/>
    </row>
    <row r="199">
      <c r="A199" s="64"/>
      <c r="B199" s="64"/>
      <c r="C199" s="40"/>
      <c r="D199" s="212"/>
      <c r="E199" s="27"/>
      <c r="L199" s="76" t="str">
        <f t="shared" si="7"/>
        <v>
Telefon: </v>
      </c>
      <c r="M199" s="36"/>
      <c r="N199" s="37"/>
      <c r="O199" s="220"/>
      <c r="P199" s="40"/>
      <c r="Q199" s="171"/>
      <c r="R199" s="190"/>
    </row>
    <row r="200">
      <c r="A200" s="64"/>
      <c r="B200" s="64"/>
      <c r="C200" s="40"/>
      <c r="D200" s="212"/>
      <c r="E200" s="27"/>
      <c r="L200" s="76" t="str">
        <f t="shared" si="7"/>
        <v>
Telefon: </v>
      </c>
      <c r="M200" s="36"/>
      <c r="N200" s="37"/>
      <c r="O200" s="220"/>
      <c r="P200" s="40"/>
      <c r="Q200" s="171"/>
      <c r="R200" s="190"/>
    </row>
    <row r="201">
      <c r="A201" s="64"/>
      <c r="B201" s="64"/>
      <c r="C201" s="40"/>
      <c r="D201" s="212"/>
      <c r="E201" s="27"/>
      <c r="L201" s="76" t="str">
        <f t="shared" si="7"/>
        <v>
Telefon: </v>
      </c>
      <c r="M201" s="36"/>
      <c r="N201" s="37"/>
      <c r="O201" s="220"/>
      <c r="P201" s="40"/>
      <c r="Q201" s="171"/>
      <c r="R201" s="190"/>
    </row>
    <row r="202">
      <c r="A202" s="64"/>
      <c r="B202" s="64"/>
      <c r="C202" s="40"/>
      <c r="D202" s="212"/>
      <c r="E202" s="27"/>
      <c r="L202" s="76" t="str">
        <f t="shared" si="7"/>
        <v>
Telefon: </v>
      </c>
      <c r="M202" s="36"/>
      <c r="N202" s="37"/>
      <c r="O202" s="220"/>
      <c r="P202" s="40"/>
      <c r="Q202" s="171"/>
      <c r="R202" s="190"/>
    </row>
    <row r="203">
      <c r="A203" s="64"/>
      <c r="B203" s="64"/>
      <c r="C203" s="40"/>
      <c r="D203" s="212"/>
      <c r="E203" s="27"/>
      <c r="L203" s="76" t="str">
        <f t="shared" si="7"/>
        <v>
Telefon: </v>
      </c>
      <c r="M203" s="36"/>
      <c r="N203" s="37"/>
      <c r="O203" s="220"/>
      <c r="P203" s="40"/>
      <c r="Q203" s="171"/>
      <c r="R203" s="190"/>
    </row>
    <row r="204">
      <c r="A204" s="64"/>
      <c r="B204" s="64"/>
      <c r="C204" s="40"/>
      <c r="D204" s="212"/>
      <c r="E204" s="27"/>
      <c r="L204" s="76" t="str">
        <f t="shared" si="7"/>
        <v>
Telefon: </v>
      </c>
      <c r="M204" s="36"/>
      <c r="N204" s="37"/>
      <c r="O204" s="220"/>
      <c r="P204" s="40"/>
      <c r="Q204" s="171"/>
      <c r="R204" s="190"/>
    </row>
    <row r="205">
      <c r="A205" s="64"/>
      <c r="B205" s="64"/>
      <c r="C205" s="40"/>
      <c r="D205" s="212"/>
      <c r="E205" s="27"/>
      <c r="L205" s="76" t="str">
        <f t="shared" si="7"/>
        <v>
Telefon: </v>
      </c>
      <c r="M205" s="36"/>
      <c r="N205" s="37"/>
      <c r="O205" s="220"/>
      <c r="P205" s="40"/>
      <c r="Q205" s="171"/>
      <c r="R205" s="190"/>
    </row>
    <row r="206">
      <c r="A206" s="64"/>
      <c r="B206" s="64"/>
      <c r="C206" s="40"/>
      <c r="D206" s="212"/>
      <c r="E206" s="27"/>
      <c r="L206" s="76" t="str">
        <f t="shared" si="7"/>
        <v>
Telefon: </v>
      </c>
      <c r="M206" s="36"/>
      <c r="N206" s="37"/>
      <c r="O206" s="220"/>
      <c r="P206" s="40"/>
      <c r="Q206" s="171"/>
      <c r="R206" s="190"/>
    </row>
    <row r="207">
      <c r="A207" s="64"/>
      <c r="B207" s="64"/>
      <c r="C207" s="40"/>
      <c r="D207" s="212"/>
      <c r="E207" s="27"/>
      <c r="L207" s="76" t="str">
        <f t="shared" si="7"/>
        <v>
Telefon: </v>
      </c>
      <c r="M207" s="36"/>
      <c r="N207" s="37"/>
      <c r="O207" s="220"/>
      <c r="P207" s="40"/>
      <c r="Q207" s="171"/>
      <c r="R207" s="190"/>
    </row>
    <row r="208">
      <c r="A208" s="64"/>
      <c r="B208" s="64"/>
      <c r="C208" s="40"/>
      <c r="D208" s="212"/>
      <c r="E208" s="27"/>
      <c r="L208" s="76" t="str">
        <f t="shared" si="7"/>
        <v>
Telefon: </v>
      </c>
      <c r="M208" s="36"/>
      <c r="N208" s="37"/>
      <c r="O208" s="220"/>
      <c r="P208" s="40"/>
      <c r="Q208" s="171"/>
      <c r="R208" s="190"/>
    </row>
    <row r="209">
      <c r="A209" s="64"/>
      <c r="B209" s="64"/>
      <c r="C209" s="40"/>
      <c r="D209" s="212"/>
      <c r="E209" s="27"/>
      <c r="L209" s="76" t="str">
        <f t="shared" si="7"/>
        <v>
Telefon: </v>
      </c>
      <c r="M209" s="36"/>
      <c r="N209" s="37"/>
      <c r="O209" s="220"/>
      <c r="P209" s="40"/>
      <c r="Q209" s="171"/>
      <c r="R209" s="190"/>
    </row>
    <row r="210">
      <c r="A210" s="64"/>
      <c r="B210" s="64"/>
      <c r="C210" s="40"/>
      <c r="D210" s="212"/>
      <c r="E210" s="27"/>
      <c r="L210" s="76" t="str">
        <f t="shared" si="7"/>
        <v>
Telefon: </v>
      </c>
      <c r="M210" s="36"/>
      <c r="N210" s="37"/>
      <c r="O210" s="220"/>
      <c r="P210" s="40"/>
      <c r="Q210" s="171"/>
      <c r="R210" s="190"/>
    </row>
    <row r="211">
      <c r="A211" s="64"/>
      <c r="B211" s="64"/>
      <c r="C211" s="40"/>
      <c r="D211" s="212"/>
      <c r="E211" s="27"/>
      <c r="L211" s="76" t="str">
        <f t="shared" si="7"/>
        <v>
Telefon: </v>
      </c>
      <c r="M211" s="36"/>
      <c r="N211" s="37"/>
      <c r="O211" s="220"/>
      <c r="P211" s="40"/>
      <c r="Q211" s="171"/>
      <c r="R211" s="190"/>
    </row>
    <row r="212">
      <c r="A212" s="64"/>
      <c r="B212" s="64"/>
      <c r="C212" s="40"/>
      <c r="D212" s="212"/>
      <c r="E212" s="27"/>
      <c r="L212" s="76" t="str">
        <f t="shared" si="7"/>
        <v>
Telefon: </v>
      </c>
      <c r="M212" s="36"/>
      <c r="N212" s="37"/>
      <c r="O212" s="220"/>
      <c r="P212" s="40"/>
      <c r="Q212" s="171"/>
      <c r="R212" s="190"/>
    </row>
    <row r="213">
      <c r="A213" s="64"/>
      <c r="B213" s="64"/>
      <c r="C213" s="40"/>
      <c r="D213" s="212"/>
      <c r="E213" s="27"/>
      <c r="L213" s="76" t="str">
        <f t="shared" si="7"/>
        <v>
Telefon: </v>
      </c>
      <c r="M213" s="36"/>
      <c r="N213" s="37"/>
      <c r="O213" s="220"/>
      <c r="P213" s="40"/>
      <c r="Q213" s="171"/>
      <c r="R213" s="190"/>
    </row>
    <row r="214">
      <c r="A214" s="64"/>
      <c r="B214" s="64"/>
      <c r="C214" s="40"/>
      <c r="D214" s="212"/>
      <c r="E214" s="27"/>
      <c r="L214" s="76" t="str">
        <f t="shared" si="7"/>
        <v>
Telefon: </v>
      </c>
      <c r="M214" s="36"/>
      <c r="N214" s="37"/>
      <c r="O214" s="220"/>
      <c r="P214" s="40"/>
      <c r="Q214" s="171"/>
      <c r="R214" s="190"/>
    </row>
    <row r="215">
      <c r="A215" s="64"/>
      <c r="B215" s="64"/>
      <c r="C215" s="40"/>
      <c r="D215" s="212"/>
      <c r="E215" s="27"/>
      <c r="L215" s="76" t="str">
        <f t="shared" si="7"/>
        <v>
Telefon: </v>
      </c>
      <c r="M215" s="36"/>
      <c r="N215" s="37"/>
      <c r="O215" s="220"/>
      <c r="P215" s="40"/>
      <c r="Q215" s="171"/>
      <c r="R215" s="190"/>
    </row>
    <row r="216">
      <c r="A216" s="64"/>
      <c r="B216" s="64"/>
      <c r="C216" s="40"/>
      <c r="D216" s="212"/>
      <c r="E216" s="27"/>
      <c r="L216" s="76" t="str">
        <f t="shared" si="7"/>
        <v>
Telefon: </v>
      </c>
      <c r="M216" s="36"/>
      <c r="N216" s="37"/>
      <c r="O216" s="220"/>
      <c r="P216" s="40"/>
      <c r="Q216" s="171"/>
      <c r="R216" s="190"/>
    </row>
    <row r="217">
      <c r="A217" s="64"/>
      <c r="B217" s="64"/>
      <c r="C217" s="40"/>
      <c r="D217" s="212"/>
      <c r="E217" s="27"/>
      <c r="L217" s="76" t="str">
        <f t="shared" si="7"/>
        <v>
Telefon: </v>
      </c>
      <c r="M217" s="36"/>
      <c r="N217" s="37"/>
      <c r="O217" s="220"/>
      <c r="P217" s="40"/>
      <c r="Q217" s="171"/>
      <c r="R217" s="190"/>
    </row>
    <row r="218">
      <c r="A218" s="64"/>
      <c r="B218" s="64"/>
      <c r="C218" s="40"/>
      <c r="D218" s="212"/>
      <c r="E218" s="27"/>
      <c r="L218" s="76" t="str">
        <f t="shared" si="7"/>
        <v>
Telefon: </v>
      </c>
      <c r="M218" s="36"/>
      <c r="N218" s="37"/>
      <c r="O218" s="220"/>
      <c r="P218" s="40"/>
      <c r="Q218" s="171"/>
      <c r="R218" s="190"/>
    </row>
    <row r="219">
      <c r="A219" s="64"/>
      <c r="B219" s="64"/>
      <c r="C219" s="40"/>
      <c r="D219" s="212"/>
      <c r="E219" s="27"/>
      <c r="L219" s="76" t="str">
        <f t="shared" si="7"/>
        <v>
Telefon: </v>
      </c>
      <c r="M219" s="36"/>
      <c r="N219" s="37"/>
      <c r="O219" s="220"/>
      <c r="P219" s="40"/>
      <c r="Q219" s="171"/>
      <c r="R219" s="190"/>
    </row>
    <row r="220">
      <c r="A220" s="64"/>
      <c r="B220" s="64"/>
      <c r="C220" s="40"/>
      <c r="D220" s="212"/>
      <c r="E220" s="27"/>
      <c r="L220" s="76" t="str">
        <f t="shared" si="7"/>
        <v>
Telefon: </v>
      </c>
      <c r="M220" s="36"/>
      <c r="N220" s="37"/>
      <c r="O220" s="220"/>
      <c r="P220" s="40"/>
      <c r="Q220" s="171"/>
      <c r="R220" s="190"/>
    </row>
    <row r="221">
      <c r="A221" s="64"/>
      <c r="B221" s="64"/>
      <c r="C221" s="40"/>
      <c r="D221" s="212"/>
      <c r="E221" s="27"/>
      <c r="L221" s="76" t="str">
        <f t="shared" si="7"/>
        <v>
Telefon: </v>
      </c>
      <c r="M221" s="36"/>
      <c r="N221" s="37"/>
      <c r="O221" s="220"/>
      <c r="P221" s="40"/>
      <c r="Q221" s="171"/>
      <c r="R221" s="190"/>
    </row>
    <row r="222">
      <c r="A222" s="64"/>
      <c r="B222" s="64"/>
      <c r="C222" s="40"/>
      <c r="D222" s="212"/>
      <c r="E222" s="27"/>
      <c r="L222" s="76" t="str">
        <f t="shared" si="7"/>
        <v>
Telefon: </v>
      </c>
      <c r="M222" s="36"/>
      <c r="N222" s="37"/>
      <c r="O222" s="220"/>
      <c r="P222" s="40"/>
      <c r="Q222" s="171"/>
      <c r="R222" s="190"/>
    </row>
    <row r="223">
      <c r="A223" s="64"/>
      <c r="B223" s="64"/>
      <c r="C223" s="40"/>
      <c r="D223" s="212"/>
      <c r="E223" s="27"/>
      <c r="L223" s="76" t="str">
        <f t="shared" si="7"/>
        <v>
Telefon: </v>
      </c>
      <c r="M223" s="36"/>
      <c r="N223" s="37"/>
      <c r="O223" s="220"/>
      <c r="P223" s="40"/>
      <c r="Q223" s="171"/>
      <c r="R223" s="190"/>
    </row>
    <row r="224">
      <c r="A224" s="64"/>
      <c r="B224" s="64"/>
      <c r="C224" s="40"/>
      <c r="D224" s="212"/>
      <c r="E224" s="27"/>
      <c r="L224" s="76" t="str">
        <f t="shared" si="7"/>
        <v>
Telefon: </v>
      </c>
      <c r="M224" s="36"/>
      <c r="N224" s="37"/>
      <c r="O224" s="220"/>
      <c r="P224" s="40"/>
      <c r="Q224" s="171"/>
      <c r="R224" s="190"/>
    </row>
    <row r="225">
      <c r="A225" s="64"/>
      <c r="B225" s="64"/>
      <c r="C225" s="40"/>
      <c r="D225" s="212"/>
      <c r="E225" s="27"/>
      <c r="L225" s="76" t="str">
        <f t="shared" si="7"/>
        <v>
Telefon: </v>
      </c>
      <c r="M225" s="36"/>
      <c r="N225" s="37"/>
      <c r="O225" s="220"/>
      <c r="P225" s="40"/>
      <c r="Q225" s="171"/>
      <c r="R225" s="190"/>
    </row>
    <row r="226">
      <c r="A226" s="64"/>
      <c r="B226" s="64"/>
      <c r="C226" s="40"/>
      <c r="D226" s="212"/>
      <c r="E226" s="27"/>
      <c r="L226" s="76" t="str">
        <f t="shared" si="7"/>
        <v>
Telefon: </v>
      </c>
      <c r="M226" s="36"/>
      <c r="N226" s="37"/>
      <c r="O226" s="220"/>
      <c r="P226" s="40"/>
      <c r="Q226" s="171"/>
      <c r="R226" s="190"/>
    </row>
    <row r="227">
      <c r="A227" s="64"/>
      <c r="B227" s="64"/>
      <c r="C227" s="40"/>
      <c r="D227" s="212"/>
      <c r="E227" s="27"/>
      <c r="L227" s="76" t="str">
        <f t="shared" si="7"/>
        <v>
Telefon: </v>
      </c>
      <c r="M227" s="36"/>
      <c r="N227" s="37"/>
      <c r="O227" s="220"/>
      <c r="P227" s="40"/>
      <c r="Q227" s="171"/>
      <c r="R227" s="190"/>
    </row>
    <row r="228">
      <c r="A228" s="64"/>
      <c r="B228" s="64"/>
      <c r="C228" s="40"/>
      <c r="D228" s="212"/>
      <c r="E228" s="27"/>
      <c r="L228" s="76" t="str">
        <f t="shared" si="7"/>
        <v>
Telefon: </v>
      </c>
      <c r="M228" s="36"/>
      <c r="N228" s="37"/>
      <c r="O228" s="220"/>
      <c r="P228" s="40"/>
      <c r="Q228" s="171"/>
      <c r="R228" s="190"/>
    </row>
    <row r="229">
      <c r="A229" s="64"/>
      <c r="B229" s="64"/>
      <c r="C229" s="40"/>
      <c r="D229" s="212"/>
      <c r="E229" s="27"/>
      <c r="L229" s="76" t="str">
        <f t="shared" si="7"/>
        <v>
Telefon: </v>
      </c>
      <c r="M229" s="36"/>
      <c r="N229" s="37"/>
      <c r="O229" s="220"/>
      <c r="P229" s="40"/>
      <c r="Q229" s="171"/>
      <c r="R229" s="190"/>
    </row>
    <row r="230">
      <c r="A230" s="64"/>
      <c r="B230" s="64"/>
      <c r="C230" s="40"/>
      <c r="D230" s="212"/>
      <c r="E230" s="27"/>
      <c r="L230" s="76" t="str">
        <f t="shared" si="7"/>
        <v>
Telefon: </v>
      </c>
      <c r="M230" s="36"/>
      <c r="N230" s="37"/>
      <c r="O230" s="220"/>
      <c r="P230" s="40"/>
      <c r="Q230" s="171"/>
      <c r="R230" s="190"/>
    </row>
    <row r="231">
      <c r="A231" s="64"/>
      <c r="B231" s="64"/>
      <c r="C231" s="40"/>
      <c r="D231" s="212"/>
      <c r="E231" s="27"/>
      <c r="L231" s="76" t="str">
        <f t="shared" si="7"/>
        <v>
Telefon: </v>
      </c>
      <c r="M231" s="36"/>
      <c r="N231" s="37"/>
      <c r="O231" s="220"/>
      <c r="P231" s="40"/>
      <c r="Q231" s="171"/>
      <c r="R231" s="190"/>
    </row>
    <row r="232">
      <c r="A232" s="64"/>
      <c r="B232" s="64"/>
      <c r="C232" s="40"/>
      <c r="D232" s="212"/>
      <c r="E232" s="27"/>
      <c r="L232" s="76" t="str">
        <f t="shared" si="7"/>
        <v>
Telefon: </v>
      </c>
      <c r="M232" s="36"/>
      <c r="N232" s="37"/>
      <c r="O232" s="220"/>
      <c r="P232" s="40"/>
      <c r="Q232" s="171"/>
      <c r="R232" s="190"/>
    </row>
    <row r="233">
      <c r="A233" s="64"/>
      <c r="B233" s="64"/>
      <c r="C233" s="40"/>
      <c r="D233" s="212"/>
      <c r="E233" s="27"/>
      <c r="L233" s="76" t="str">
        <f t="shared" si="7"/>
        <v>
Telefon: </v>
      </c>
      <c r="M233" s="36"/>
      <c r="N233" s="37"/>
      <c r="O233" s="220"/>
      <c r="P233" s="40"/>
      <c r="Q233" s="171"/>
      <c r="R233" s="190"/>
    </row>
    <row r="234">
      <c r="A234" s="64"/>
      <c r="B234" s="64"/>
      <c r="C234" s="40"/>
      <c r="D234" s="212"/>
      <c r="E234" s="27"/>
      <c r="L234" s="76" t="str">
        <f t="shared" si="7"/>
        <v>
Telefon: </v>
      </c>
      <c r="M234" s="36"/>
      <c r="N234" s="37"/>
      <c r="O234" s="220"/>
      <c r="P234" s="40"/>
      <c r="Q234" s="171"/>
      <c r="R234" s="190"/>
    </row>
    <row r="235">
      <c r="A235" s="64"/>
      <c r="B235" s="64"/>
      <c r="C235" s="40"/>
      <c r="D235" s="212"/>
      <c r="E235" s="27"/>
      <c r="L235" s="76" t="str">
        <f t="shared" si="7"/>
        <v>
Telefon: </v>
      </c>
      <c r="M235" s="36"/>
      <c r="N235" s="37"/>
      <c r="O235" s="220"/>
      <c r="P235" s="40"/>
      <c r="Q235" s="171"/>
      <c r="R235" s="190"/>
    </row>
    <row r="236">
      <c r="A236" s="64"/>
      <c r="B236" s="64"/>
      <c r="C236" s="40"/>
      <c r="D236" s="212"/>
      <c r="E236" s="27"/>
      <c r="L236" s="76" t="str">
        <f t="shared" si="7"/>
        <v>
Telefon: </v>
      </c>
      <c r="M236" s="36"/>
      <c r="N236" s="37"/>
      <c r="O236" s="220"/>
      <c r="P236" s="40"/>
      <c r="Q236" s="171"/>
      <c r="R236" s="190"/>
    </row>
    <row r="237">
      <c r="A237" s="64"/>
      <c r="B237" s="64"/>
      <c r="C237" s="40"/>
      <c r="D237" s="212"/>
      <c r="E237" s="27"/>
      <c r="L237" s="76" t="str">
        <f t="shared" si="7"/>
        <v>
Telefon: </v>
      </c>
      <c r="M237" s="36"/>
      <c r="N237" s="37"/>
      <c r="O237" s="220"/>
      <c r="P237" s="40"/>
      <c r="Q237" s="171"/>
      <c r="R237" s="190"/>
    </row>
    <row r="238">
      <c r="A238" s="64"/>
      <c r="B238" s="64"/>
      <c r="C238" s="40"/>
      <c r="D238" s="212"/>
      <c r="E238" s="27"/>
      <c r="L238" s="76" t="str">
        <f t="shared" si="7"/>
        <v>
Telefon: </v>
      </c>
      <c r="M238" s="36"/>
      <c r="N238" s="37"/>
      <c r="O238" s="220"/>
      <c r="P238" s="40"/>
      <c r="Q238" s="171"/>
      <c r="R238" s="190"/>
    </row>
    <row r="239">
      <c r="A239" s="64"/>
      <c r="B239" s="64"/>
      <c r="C239" s="40"/>
      <c r="D239" s="212"/>
      <c r="E239" s="27"/>
      <c r="L239" s="76" t="str">
        <f t="shared" si="7"/>
        <v>
Telefon: </v>
      </c>
      <c r="M239" s="36"/>
      <c r="N239" s="37"/>
      <c r="O239" s="220"/>
      <c r="P239" s="40"/>
      <c r="Q239" s="171"/>
      <c r="R239" s="190"/>
    </row>
    <row r="240">
      <c r="A240" s="64"/>
      <c r="B240" s="64"/>
      <c r="C240" s="40"/>
      <c r="D240" s="212"/>
      <c r="E240" s="27"/>
      <c r="L240" s="76" t="str">
        <f t="shared" si="7"/>
        <v>
Telefon: </v>
      </c>
      <c r="M240" s="36"/>
      <c r="N240" s="37"/>
      <c r="O240" s="220"/>
      <c r="P240" s="40"/>
      <c r="Q240" s="171"/>
      <c r="R240" s="190"/>
    </row>
    <row r="241">
      <c r="A241" s="64"/>
      <c r="B241" s="64"/>
      <c r="C241" s="40"/>
      <c r="D241" s="212"/>
      <c r="E241" s="27"/>
      <c r="L241" s="76" t="str">
        <f t="shared" si="7"/>
        <v>
Telefon: </v>
      </c>
      <c r="M241" s="36"/>
      <c r="N241" s="37"/>
      <c r="O241" s="220"/>
      <c r="P241" s="40"/>
      <c r="Q241" s="171"/>
      <c r="R241" s="190"/>
    </row>
    <row r="242">
      <c r="A242" s="64"/>
      <c r="B242" s="64"/>
      <c r="C242" s="40"/>
      <c r="D242" s="212"/>
      <c r="E242" s="27"/>
      <c r="L242" s="76" t="str">
        <f t="shared" si="7"/>
        <v>
Telefon: </v>
      </c>
      <c r="M242" s="36"/>
      <c r="N242" s="37"/>
      <c r="O242" s="220"/>
      <c r="P242" s="40"/>
      <c r="Q242" s="171"/>
      <c r="R242" s="190"/>
    </row>
    <row r="243">
      <c r="A243" s="64"/>
      <c r="B243" s="64"/>
      <c r="C243" s="40"/>
      <c r="D243" s="212"/>
      <c r="E243" s="27"/>
      <c r="L243" s="76" t="str">
        <f t="shared" si="7"/>
        <v>
Telefon: </v>
      </c>
      <c r="M243" s="36"/>
      <c r="N243" s="37"/>
      <c r="O243" s="220"/>
      <c r="P243" s="40"/>
      <c r="Q243" s="171"/>
      <c r="R243" s="190"/>
    </row>
    <row r="244">
      <c r="A244" s="64"/>
      <c r="B244" s="64"/>
      <c r="C244" s="40"/>
      <c r="D244" s="212"/>
      <c r="E244" s="27"/>
      <c r="L244" s="76" t="str">
        <f t="shared" si="7"/>
        <v>
Telefon: </v>
      </c>
      <c r="M244" s="36"/>
      <c r="N244" s="37"/>
      <c r="O244" s="220"/>
      <c r="P244" s="40"/>
      <c r="Q244" s="171"/>
      <c r="R244" s="190"/>
    </row>
    <row r="245">
      <c r="A245" s="64"/>
      <c r="B245" s="64"/>
      <c r="C245" s="40"/>
      <c r="D245" s="212"/>
      <c r="E245" s="27"/>
      <c r="L245" s="76" t="str">
        <f t="shared" si="7"/>
        <v>
Telefon: </v>
      </c>
      <c r="M245" s="36"/>
      <c r="N245" s="37"/>
      <c r="O245" s="220"/>
      <c r="P245" s="40"/>
      <c r="Q245" s="171"/>
      <c r="R245" s="190"/>
    </row>
    <row r="246">
      <c r="A246" s="64"/>
      <c r="B246" s="64"/>
      <c r="C246" s="40"/>
      <c r="D246" s="212"/>
      <c r="E246" s="27"/>
      <c r="L246" s="76" t="str">
        <f t="shared" si="7"/>
        <v>
Telefon: </v>
      </c>
      <c r="M246" s="36"/>
      <c r="N246" s="37"/>
      <c r="O246" s="220"/>
      <c r="P246" s="40"/>
      <c r="Q246" s="171"/>
      <c r="R246" s="190"/>
    </row>
    <row r="247">
      <c r="A247" s="64"/>
      <c r="B247" s="64"/>
      <c r="C247" s="40"/>
      <c r="D247" s="212"/>
      <c r="E247" s="27"/>
      <c r="L247" s="76" t="str">
        <f t="shared" si="7"/>
        <v>
Telefon: </v>
      </c>
      <c r="M247" s="36"/>
      <c r="N247" s="37"/>
      <c r="O247" s="220"/>
      <c r="P247" s="40"/>
      <c r="Q247" s="171"/>
      <c r="R247" s="190"/>
    </row>
    <row r="248">
      <c r="A248" s="64"/>
      <c r="B248" s="64"/>
      <c r="C248" s="40"/>
      <c r="D248" s="212"/>
      <c r="E248" s="27"/>
      <c r="L248" s="76" t="str">
        <f t="shared" si="7"/>
        <v>
Telefon: </v>
      </c>
      <c r="M248" s="36"/>
      <c r="N248" s="37"/>
      <c r="O248" s="220"/>
      <c r="P248" s="40"/>
      <c r="Q248" s="171"/>
      <c r="R248" s="190"/>
    </row>
    <row r="249">
      <c r="A249" s="64"/>
      <c r="B249" s="64"/>
      <c r="C249" s="40"/>
      <c r="D249" s="212"/>
      <c r="E249" s="27"/>
      <c r="L249" s="76" t="str">
        <f t="shared" si="7"/>
        <v>
Telefon: </v>
      </c>
      <c r="M249" s="36"/>
      <c r="N249" s="37"/>
      <c r="O249" s="220"/>
      <c r="P249" s="40"/>
      <c r="Q249" s="171"/>
      <c r="R249" s="190"/>
    </row>
    <row r="250">
      <c r="A250" s="64"/>
      <c r="B250" s="64"/>
      <c r="C250" s="40"/>
      <c r="D250" s="212"/>
      <c r="E250" s="27"/>
      <c r="L250" s="76" t="str">
        <f t="shared" si="7"/>
        <v>
Telefon: </v>
      </c>
      <c r="M250" s="36"/>
      <c r="N250" s="37"/>
      <c r="O250" s="220"/>
      <c r="P250" s="40"/>
      <c r="Q250" s="171"/>
      <c r="R250" s="190"/>
    </row>
    <row r="251">
      <c r="A251" s="64"/>
      <c r="B251" s="64"/>
      <c r="C251" s="40"/>
      <c r="D251" s="212"/>
      <c r="E251" s="27"/>
      <c r="L251" s="76" t="str">
        <f t="shared" si="7"/>
        <v>
Telefon: </v>
      </c>
      <c r="M251" s="36"/>
      <c r="N251" s="37"/>
      <c r="O251" s="220"/>
      <c r="P251" s="40"/>
      <c r="Q251" s="171"/>
      <c r="R251" s="190"/>
    </row>
    <row r="252">
      <c r="A252" s="64"/>
      <c r="B252" s="64"/>
      <c r="C252" s="40"/>
      <c r="D252" s="212"/>
      <c r="E252" s="27"/>
      <c r="L252" s="76" t="str">
        <f t="shared" si="7"/>
        <v>
Telefon: </v>
      </c>
      <c r="M252" s="36"/>
      <c r="N252" s="37"/>
      <c r="O252" s="220"/>
      <c r="P252" s="40"/>
      <c r="Q252" s="171"/>
      <c r="R252" s="190"/>
    </row>
    <row r="253">
      <c r="A253" s="64"/>
      <c r="B253" s="64"/>
      <c r="C253" s="40"/>
      <c r="D253" s="212"/>
      <c r="E253" s="27"/>
      <c r="L253" s="76" t="str">
        <f t="shared" si="7"/>
        <v>
Telefon: </v>
      </c>
      <c r="M253" s="36"/>
      <c r="N253" s="37"/>
      <c r="O253" s="220"/>
      <c r="P253" s="40"/>
      <c r="Q253" s="171"/>
      <c r="R253" s="190"/>
    </row>
    <row r="254">
      <c r="A254" s="64"/>
      <c r="B254" s="64"/>
      <c r="C254" s="40"/>
      <c r="D254" s="212"/>
      <c r="E254" s="27"/>
      <c r="L254" s="76" t="str">
        <f t="shared" si="7"/>
        <v>
Telefon: </v>
      </c>
      <c r="M254" s="36"/>
      <c r="N254" s="37"/>
      <c r="O254" s="220"/>
      <c r="P254" s="40"/>
      <c r="Q254" s="171"/>
      <c r="R254" s="190"/>
    </row>
    <row r="255">
      <c r="A255" s="64"/>
      <c r="B255" s="64"/>
      <c r="C255" s="40"/>
      <c r="D255" s="212"/>
      <c r="E255" s="27"/>
      <c r="L255" s="76" t="str">
        <f t="shared" si="7"/>
        <v>
Telefon: </v>
      </c>
      <c r="M255" s="36"/>
      <c r="N255" s="37"/>
      <c r="O255" s="220"/>
      <c r="P255" s="40"/>
      <c r="Q255" s="171"/>
      <c r="R255" s="190"/>
    </row>
    <row r="256">
      <c r="A256" s="64"/>
      <c r="B256" s="64"/>
      <c r="C256" s="40"/>
      <c r="D256" s="212"/>
      <c r="E256" s="27"/>
      <c r="L256" s="76" t="str">
        <f t="shared" si="7"/>
        <v>
Telefon: </v>
      </c>
      <c r="M256" s="36"/>
      <c r="N256" s="37"/>
      <c r="O256" s="220"/>
      <c r="P256" s="40"/>
      <c r="Q256" s="171"/>
      <c r="R256" s="190"/>
    </row>
    <row r="257">
      <c r="A257" s="64"/>
      <c r="B257" s="64"/>
      <c r="C257" s="40"/>
      <c r="D257" s="212"/>
      <c r="E257" s="27"/>
      <c r="L257" s="76" t="str">
        <f t="shared" si="7"/>
        <v>
Telefon: </v>
      </c>
      <c r="M257" s="36"/>
      <c r="N257" s="37"/>
      <c r="O257" s="220"/>
      <c r="P257" s="40"/>
      <c r="Q257" s="171"/>
      <c r="R257" s="190"/>
    </row>
    <row r="258">
      <c r="A258" s="64"/>
      <c r="B258" s="64"/>
      <c r="C258" s="40"/>
      <c r="D258" s="212"/>
      <c r="E258" s="27"/>
      <c r="L258" s="76" t="str">
        <f t="shared" si="7"/>
        <v>
Telefon: </v>
      </c>
      <c r="M258" s="36"/>
      <c r="N258" s="37"/>
      <c r="O258" s="220"/>
      <c r="P258" s="40"/>
      <c r="Q258" s="171"/>
      <c r="R258" s="190"/>
    </row>
    <row r="259">
      <c r="A259" s="64"/>
      <c r="B259" s="64"/>
      <c r="C259" s="40"/>
      <c r="D259" s="212"/>
      <c r="E259" s="27"/>
      <c r="L259" s="76" t="str">
        <f t="shared" si="7"/>
        <v>
Telefon: </v>
      </c>
      <c r="M259" s="36"/>
      <c r="N259" s="37"/>
      <c r="O259" s="220"/>
      <c r="P259" s="40"/>
      <c r="Q259" s="171"/>
      <c r="R259" s="190"/>
    </row>
    <row r="260">
      <c r="A260" s="64"/>
      <c r="B260" s="64"/>
      <c r="C260" s="40"/>
      <c r="D260" s="212"/>
      <c r="E260" s="27"/>
      <c r="L260" s="76" t="str">
        <f t="shared" si="7"/>
        <v>
Telefon: </v>
      </c>
      <c r="M260" s="36"/>
      <c r="N260" s="37"/>
      <c r="O260" s="220"/>
      <c r="P260" s="40"/>
      <c r="Q260" s="171"/>
      <c r="R260" s="190"/>
    </row>
    <row r="261">
      <c r="A261" s="64"/>
      <c r="B261" s="64"/>
      <c r="C261" s="40"/>
      <c r="D261" s="212"/>
      <c r="E261" s="27"/>
      <c r="L261" s="76" t="str">
        <f t="shared" si="7"/>
        <v>
Telefon: </v>
      </c>
      <c r="M261" s="36"/>
      <c r="N261" s="37"/>
      <c r="O261" s="220"/>
      <c r="P261" s="40"/>
      <c r="Q261" s="171"/>
      <c r="R261" s="190"/>
    </row>
    <row r="262">
      <c r="A262" s="64"/>
      <c r="B262" s="64"/>
      <c r="C262" s="40"/>
      <c r="D262" s="212"/>
      <c r="E262" s="27"/>
      <c r="L262" s="76" t="str">
        <f t="shared" si="7"/>
        <v>
Telefon: </v>
      </c>
      <c r="M262" s="36"/>
      <c r="N262" s="37"/>
      <c r="O262" s="220"/>
      <c r="P262" s="40"/>
      <c r="Q262" s="171"/>
      <c r="R262" s="190"/>
    </row>
    <row r="263">
      <c r="A263" s="64"/>
      <c r="B263" s="64"/>
      <c r="C263" s="40"/>
      <c r="D263" s="212"/>
      <c r="E263" s="27"/>
      <c r="L263" s="76" t="str">
        <f t="shared" si="7"/>
        <v>
Telefon: </v>
      </c>
      <c r="M263" s="36"/>
      <c r="N263" s="37"/>
      <c r="O263" s="220"/>
      <c r="P263" s="40"/>
      <c r="Q263" s="171"/>
      <c r="R263" s="190"/>
    </row>
    <row r="264">
      <c r="A264" s="64"/>
      <c r="B264" s="64"/>
      <c r="C264" s="40"/>
      <c r="D264" s="212"/>
      <c r="E264" s="27"/>
      <c r="L264" s="76" t="str">
        <f t="shared" si="7"/>
        <v>
Telefon: </v>
      </c>
      <c r="M264" s="36"/>
      <c r="N264" s="37"/>
      <c r="O264" s="220"/>
      <c r="P264" s="40"/>
      <c r="Q264" s="171"/>
      <c r="R264" s="190"/>
    </row>
    <row r="265">
      <c r="A265" s="64"/>
      <c r="B265" s="64"/>
      <c r="C265" s="40"/>
      <c r="D265" s="212"/>
      <c r="E265" s="27"/>
      <c r="L265" s="76" t="str">
        <f t="shared" si="7"/>
        <v>
Telefon: </v>
      </c>
      <c r="M265" s="36"/>
      <c r="N265" s="37"/>
      <c r="O265" s="220"/>
      <c r="P265" s="40"/>
      <c r="Q265" s="171"/>
      <c r="R265" s="190"/>
    </row>
    <row r="266">
      <c r="A266" s="64"/>
      <c r="B266" s="64"/>
      <c r="C266" s="40"/>
      <c r="D266" s="212"/>
      <c r="E266" s="27"/>
      <c r="L266" s="76" t="str">
        <f t="shared" si="7"/>
        <v>
Telefon: </v>
      </c>
      <c r="M266" s="36"/>
      <c r="N266" s="37"/>
      <c r="O266" s="220"/>
      <c r="P266" s="40"/>
      <c r="Q266" s="171"/>
      <c r="R266" s="190"/>
    </row>
    <row r="267">
      <c r="A267" s="64"/>
      <c r="B267" s="64"/>
      <c r="C267" s="40"/>
      <c r="D267" s="212"/>
      <c r="E267" s="27"/>
      <c r="L267" s="76" t="str">
        <f t="shared" si="7"/>
        <v>
Telefon: </v>
      </c>
      <c r="M267" s="36"/>
      <c r="N267" s="37"/>
      <c r="O267" s="220"/>
      <c r="P267" s="40"/>
      <c r="Q267" s="171"/>
      <c r="R267" s="190"/>
    </row>
    <row r="268">
      <c r="A268" s="64"/>
      <c r="B268" s="64"/>
      <c r="C268" s="40"/>
      <c r="D268" s="212"/>
      <c r="E268" s="27"/>
      <c r="L268" s="76" t="str">
        <f t="shared" si="7"/>
        <v>
Telefon: </v>
      </c>
      <c r="M268" s="36"/>
      <c r="N268" s="37"/>
      <c r="O268" s="220"/>
      <c r="P268" s="40"/>
      <c r="Q268" s="171"/>
      <c r="R268" s="190"/>
    </row>
    <row r="269">
      <c r="A269" s="64"/>
      <c r="B269" s="64"/>
      <c r="C269" s="40"/>
      <c r="D269" s="212"/>
      <c r="E269" s="27"/>
      <c r="L269" s="76" t="str">
        <f t="shared" si="7"/>
        <v>
Telefon: </v>
      </c>
      <c r="M269" s="36"/>
      <c r="N269" s="37"/>
      <c r="O269" s="220"/>
      <c r="P269" s="40"/>
      <c r="Q269" s="171"/>
      <c r="R269" s="190"/>
    </row>
    <row r="270">
      <c r="A270" s="64"/>
      <c r="B270" s="64"/>
      <c r="C270" s="40"/>
      <c r="D270" s="212"/>
      <c r="E270" s="27"/>
      <c r="L270" s="76" t="str">
        <f t="shared" si="7"/>
        <v>
Telefon: </v>
      </c>
      <c r="M270" s="36"/>
      <c r="N270" s="37"/>
      <c r="O270" s="220"/>
      <c r="P270" s="40"/>
      <c r="Q270" s="171"/>
      <c r="R270" s="190"/>
    </row>
    <row r="271">
      <c r="A271" s="64"/>
      <c r="B271" s="64"/>
      <c r="C271" s="40"/>
      <c r="D271" s="212"/>
      <c r="E271" s="27"/>
      <c r="L271" s="76" t="str">
        <f t="shared" si="7"/>
        <v>
Telefon: </v>
      </c>
      <c r="M271" s="36"/>
      <c r="N271" s="37"/>
      <c r="O271" s="220"/>
      <c r="P271" s="40"/>
      <c r="Q271" s="171"/>
      <c r="R271" s="190"/>
    </row>
    <row r="272">
      <c r="A272" s="64"/>
      <c r="B272" s="64"/>
      <c r="C272" s="40"/>
      <c r="D272" s="212"/>
      <c r="E272" s="27"/>
      <c r="L272" s="76" t="str">
        <f t="shared" si="7"/>
        <v>
Telefon: </v>
      </c>
      <c r="M272" s="36"/>
      <c r="N272" s="37"/>
      <c r="O272" s="220"/>
      <c r="P272" s="40"/>
      <c r="Q272" s="171"/>
      <c r="R272" s="190"/>
    </row>
    <row r="273">
      <c r="A273" s="64"/>
      <c r="B273" s="64"/>
      <c r="C273" s="40"/>
      <c r="D273" s="212"/>
      <c r="E273" s="27"/>
      <c r="L273" s="76" t="str">
        <f t="shared" si="7"/>
        <v>
Telefon: </v>
      </c>
      <c r="M273" s="36"/>
      <c r="N273" s="37"/>
      <c r="O273" s="220"/>
      <c r="P273" s="40"/>
      <c r="Q273" s="171"/>
      <c r="R273" s="190"/>
    </row>
    <row r="274">
      <c r="A274" s="64"/>
      <c r="B274" s="64"/>
      <c r="C274" s="40"/>
      <c r="D274" s="212"/>
      <c r="E274" s="27"/>
      <c r="L274" s="76" t="str">
        <f t="shared" si="7"/>
        <v>
Telefon: </v>
      </c>
      <c r="M274" s="36"/>
      <c r="N274" s="37"/>
      <c r="O274" s="220"/>
      <c r="P274" s="40"/>
      <c r="Q274" s="171"/>
      <c r="R274" s="190"/>
    </row>
    <row r="275">
      <c r="A275" s="64"/>
      <c r="B275" s="64"/>
      <c r="C275" s="40"/>
      <c r="D275" s="212"/>
      <c r="E275" s="27"/>
      <c r="L275" s="76" t="str">
        <f t="shared" si="7"/>
        <v>
Telefon: </v>
      </c>
      <c r="M275" s="36"/>
      <c r="N275" s="37"/>
      <c r="O275" s="220"/>
      <c r="P275" s="40"/>
      <c r="Q275" s="171"/>
      <c r="R275" s="190"/>
    </row>
    <row r="276">
      <c r="A276" s="64"/>
      <c r="B276" s="64"/>
      <c r="C276" s="40"/>
      <c r="D276" s="212"/>
      <c r="E276" s="27"/>
      <c r="L276" s="76" t="str">
        <f t="shared" si="7"/>
        <v>
Telefon: </v>
      </c>
      <c r="M276" s="36"/>
      <c r="N276" s="37"/>
      <c r="O276" s="220"/>
      <c r="P276" s="40"/>
      <c r="Q276" s="171"/>
      <c r="R276" s="190"/>
    </row>
    <row r="277">
      <c r="A277" s="64"/>
      <c r="B277" s="64"/>
      <c r="C277" s="40"/>
      <c r="D277" s="212"/>
      <c r="E277" s="27"/>
      <c r="L277" s="76" t="str">
        <f t="shared" si="7"/>
        <v>
Telefon: </v>
      </c>
      <c r="M277" s="36"/>
      <c r="N277" s="37"/>
      <c r="O277" s="220"/>
      <c r="P277" s="40"/>
      <c r="Q277" s="171"/>
      <c r="R277" s="190"/>
    </row>
    <row r="278">
      <c r="A278" s="64"/>
      <c r="B278" s="64"/>
      <c r="C278" s="40"/>
      <c r="D278" s="212"/>
      <c r="E278" s="27"/>
      <c r="L278" s="76" t="str">
        <f t="shared" si="7"/>
        <v>
Telefon: </v>
      </c>
      <c r="M278" s="36"/>
      <c r="N278" s="37"/>
      <c r="O278" s="220"/>
      <c r="P278" s="40"/>
      <c r="Q278" s="171"/>
      <c r="R278" s="190"/>
    </row>
    <row r="279">
      <c r="A279" s="64"/>
      <c r="B279" s="64"/>
      <c r="C279" s="40"/>
      <c r="D279" s="212"/>
      <c r="E279" s="27"/>
      <c r="L279" s="76" t="str">
        <f t="shared" si="7"/>
        <v>
Telefon: </v>
      </c>
      <c r="M279" s="36"/>
      <c r="N279" s="37"/>
      <c r="O279" s="220"/>
      <c r="P279" s="40"/>
      <c r="Q279" s="171"/>
      <c r="R279" s="190"/>
    </row>
    <row r="280">
      <c r="A280" s="64"/>
      <c r="B280" s="64"/>
      <c r="C280" s="40"/>
      <c r="D280" s="212"/>
      <c r="E280" s="27"/>
      <c r="L280" s="76" t="str">
        <f t="shared" si="7"/>
        <v>
Telefon: </v>
      </c>
      <c r="M280" s="36"/>
      <c r="N280" s="37"/>
      <c r="O280" s="220"/>
      <c r="P280" s="40"/>
      <c r="Q280" s="171"/>
      <c r="R280" s="190"/>
    </row>
    <row r="281">
      <c r="A281" s="64"/>
      <c r="B281" s="64"/>
      <c r="C281" s="40"/>
      <c r="D281" s="212"/>
      <c r="E281" s="27"/>
      <c r="L281" s="76" t="str">
        <f t="shared" si="7"/>
        <v>
Telefon: </v>
      </c>
      <c r="M281" s="36"/>
      <c r="N281" s="37"/>
      <c r="O281" s="220"/>
      <c r="P281" s="40"/>
      <c r="Q281" s="171"/>
      <c r="R281" s="190"/>
    </row>
    <row r="282">
      <c r="A282" s="64"/>
      <c r="B282" s="64"/>
      <c r="C282" s="40"/>
      <c r="D282" s="212"/>
      <c r="E282" s="27"/>
      <c r="L282" s="76" t="str">
        <f t="shared" si="7"/>
        <v>
Telefon: </v>
      </c>
      <c r="M282" s="36"/>
      <c r="N282" s="37"/>
      <c r="O282" s="220"/>
      <c r="P282" s="40"/>
      <c r="Q282" s="171"/>
      <c r="R282" s="190"/>
    </row>
    <row r="283">
      <c r="A283" s="64"/>
      <c r="B283" s="64"/>
      <c r="C283" s="40"/>
      <c r="D283" s="212"/>
      <c r="E283" s="27"/>
      <c r="L283" s="76" t="str">
        <f t="shared" si="7"/>
        <v>
Telefon: </v>
      </c>
      <c r="M283" s="36"/>
      <c r="N283" s="37"/>
      <c r="O283" s="220"/>
      <c r="P283" s="40"/>
      <c r="Q283" s="171"/>
      <c r="R283" s="190"/>
    </row>
    <row r="284">
      <c r="A284" s="64"/>
      <c r="B284" s="64"/>
      <c r="C284" s="40"/>
      <c r="D284" s="212"/>
      <c r="E284" s="27"/>
      <c r="L284" s="76" t="str">
        <f t="shared" si="7"/>
        <v>
Telefon: </v>
      </c>
      <c r="M284" s="36"/>
      <c r="N284" s="37"/>
      <c r="O284" s="220"/>
      <c r="P284" s="40"/>
      <c r="Q284" s="171"/>
      <c r="R284" s="190"/>
    </row>
    <row r="285">
      <c r="A285" s="64"/>
      <c r="B285" s="64"/>
      <c r="C285" s="40"/>
      <c r="D285" s="212"/>
      <c r="E285" s="27"/>
      <c r="L285" s="76" t="str">
        <f t="shared" si="7"/>
        <v>
Telefon: </v>
      </c>
      <c r="M285" s="36"/>
      <c r="N285" s="37"/>
      <c r="O285" s="220"/>
      <c r="P285" s="40"/>
      <c r="Q285" s="171"/>
      <c r="R285" s="190"/>
    </row>
    <row r="286">
      <c r="A286" s="64"/>
      <c r="B286" s="64"/>
      <c r="C286" s="40"/>
      <c r="D286" s="212"/>
      <c r="E286" s="27"/>
      <c r="L286" s="76" t="str">
        <f t="shared" si="7"/>
        <v>
Telefon: </v>
      </c>
      <c r="M286" s="36"/>
      <c r="N286" s="37"/>
      <c r="O286" s="220"/>
      <c r="P286" s="40"/>
      <c r="Q286" s="171"/>
      <c r="R286" s="190"/>
    </row>
    <row r="287">
      <c r="A287" s="64"/>
      <c r="B287" s="64"/>
      <c r="C287" s="40"/>
      <c r="D287" s="212"/>
      <c r="E287" s="27"/>
      <c r="L287" s="76" t="str">
        <f t="shared" si="7"/>
        <v>
Telefon: </v>
      </c>
      <c r="M287" s="36"/>
      <c r="N287" s="37"/>
      <c r="O287" s="220"/>
      <c r="P287" s="40"/>
      <c r="Q287" s="171"/>
      <c r="R287" s="190"/>
    </row>
    <row r="288">
      <c r="A288" s="64"/>
      <c r="B288" s="64"/>
      <c r="C288" s="40"/>
      <c r="D288" s="212"/>
      <c r="E288" s="27"/>
      <c r="L288" s="76" t="str">
        <f t="shared" si="7"/>
        <v>
Telefon: </v>
      </c>
      <c r="M288" s="36"/>
      <c r="N288" s="37"/>
      <c r="O288" s="220"/>
      <c r="P288" s="40"/>
      <c r="Q288" s="171"/>
      <c r="R288" s="190"/>
    </row>
    <row r="289">
      <c r="A289" s="64"/>
      <c r="B289" s="64"/>
      <c r="C289" s="40"/>
      <c r="D289" s="212"/>
      <c r="E289" s="27"/>
      <c r="L289" s="76" t="str">
        <f t="shared" si="7"/>
        <v>
Telefon: </v>
      </c>
      <c r="M289" s="36"/>
      <c r="N289" s="37"/>
      <c r="O289" s="220"/>
      <c r="P289" s="40"/>
      <c r="Q289" s="171"/>
      <c r="R289" s="190"/>
    </row>
    <row r="290">
      <c r="A290" s="64"/>
      <c r="B290" s="64"/>
      <c r="C290" s="40"/>
      <c r="D290" s="212"/>
      <c r="E290" s="27"/>
      <c r="L290" s="76" t="str">
        <f t="shared" si="7"/>
        <v>
Telefon: </v>
      </c>
      <c r="M290" s="36"/>
      <c r="N290" s="37"/>
      <c r="O290" s="220"/>
      <c r="P290" s="40"/>
      <c r="Q290" s="171"/>
      <c r="R290" s="190"/>
    </row>
    <row r="291">
      <c r="A291" s="64"/>
      <c r="B291" s="64"/>
      <c r="C291" s="40"/>
      <c r="D291" s="212"/>
      <c r="E291" s="27"/>
      <c r="L291" s="76" t="str">
        <f t="shared" si="7"/>
        <v>
Telefon: </v>
      </c>
      <c r="M291" s="36"/>
      <c r="N291" s="37"/>
      <c r="O291" s="220"/>
      <c r="P291" s="40"/>
      <c r="Q291" s="171"/>
      <c r="R291" s="190"/>
    </row>
    <row r="292">
      <c r="A292" s="64"/>
      <c r="B292" s="64"/>
      <c r="C292" s="40"/>
      <c r="D292" s="212"/>
      <c r="E292" s="27"/>
      <c r="L292" s="76" t="str">
        <f t="shared" si="7"/>
        <v>
Telefon: </v>
      </c>
      <c r="M292" s="36"/>
      <c r="N292" s="37"/>
      <c r="O292" s="220"/>
      <c r="P292" s="40"/>
      <c r="Q292" s="171"/>
      <c r="R292" s="190"/>
    </row>
    <row r="293">
      <c r="A293" s="64"/>
      <c r="B293" s="64"/>
      <c r="C293" s="40"/>
      <c r="D293" s="212"/>
      <c r="E293" s="27"/>
      <c r="L293" s="76" t="str">
        <f t="shared" si="7"/>
        <v>
Telefon: </v>
      </c>
      <c r="M293" s="36"/>
      <c r="N293" s="37"/>
      <c r="O293" s="220"/>
      <c r="P293" s="40"/>
      <c r="Q293" s="171"/>
      <c r="R293" s="190"/>
    </row>
    <row r="294">
      <c r="A294" s="64"/>
      <c r="B294" s="64"/>
      <c r="C294" s="40"/>
      <c r="D294" s="212"/>
      <c r="E294" s="27"/>
      <c r="L294" s="76" t="str">
        <f t="shared" si="7"/>
        <v>
Telefon: </v>
      </c>
      <c r="M294" s="36"/>
      <c r="N294" s="37"/>
      <c r="O294" s="220"/>
      <c r="P294" s="40"/>
      <c r="Q294" s="171"/>
      <c r="R294" s="190"/>
    </row>
    <row r="295">
      <c r="A295" s="64"/>
      <c r="B295" s="64"/>
      <c r="C295" s="40"/>
      <c r="D295" s="212"/>
      <c r="E295" s="27"/>
      <c r="L295" s="76" t="str">
        <f t="shared" si="7"/>
        <v>
Telefon: </v>
      </c>
      <c r="M295" s="36"/>
      <c r="N295" s="37"/>
      <c r="O295" s="220"/>
      <c r="P295" s="40"/>
      <c r="Q295" s="171"/>
      <c r="R295" s="190"/>
    </row>
    <row r="296">
      <c r="A296" s="64"/>
      <c r="B296" s="64"/>
      <c r="C296" s="40"/>
      <c r="D296" s="212"/>
      <c r="E296" s="27"/>
      <c r="L296" s="76" t="str">
        <f t="shared" si="7"/>
        <v>
Telefon: </v>
      </c>
      <c r="M296" s="36"/>
      <c r="N296" s="37"/>
      <c r="O296" s="220"/>
      <c r="P296" s="40"/>
      <c r="Q296" s="171"/>
      <c r="R296" s="190"/>
    </row>
    <row r="297">
      <c r="A297" s="64"/>
      <c r="B297" s="64"/>
      <c r="C297" s="40"/>
      <c r="D297" s="212"/>
      <c r="E297" s="27"/>
      <c r="L297" s="76" t="str">
        <f t="shared" si="7"/>
        <v>
Telefon: </v>
      </c>
      <c r="M297" s="36"/>
      <c r="N297" s="37"/>
      <c r="O297" s="220"/>
      <c r="P297" s="40"/>
      <c r="Q297" s="171"/>
      <c r="R297" s="190"/>
    </row>
    <row r="298">
      <c r="A298" s="64"/>
      <c r="B298" s="64"/>
      <c r="C298" s="40"/>
      <c r="D298" s="212"/>
      <c r="E298" s="27"/>
      <c r="L298" s="76" t="str">
        <f t="shared" si="7"/>
        <v>
Telefon: </v>
      </c>
      <c r="M298" s="36"/>
      <c r="N298" s="37"/>
      <c r="O298" s="220"/>
      <c r="P298" s="40"/>
      <c r="Q298" s="171"/>
      <c r="R298" s="190"/>
    </row>
    <row r="299">
      <c r="A299" s="64"/>
      <c r="B299" s="64"/>
      <c r="C299" s="40"/>
      <c r="D299" s="212"/>
      <c r="E299" s="27"/>
      <c r="L299" s="76" t="str">
        <f t="shared" si="7"/>
        <v>
Telefon: </v>
      </c>
      <c r="M299" s="36"/>
      <c r="N299" s="37"/>
      <c r="O299" s="220"/>
      <c r="P299" s="40"/>
      <c r="Q299" s="171"/>
      <c r="R299" s="190"/>
    </row>
    <row r="300">
      <c r="A300" s="64"/>
      <c r="B300" s="64"/>
      <c r="C300" s="40"/>
      <c r="D300" s="212"/>
      <c r="E300" s="27"/>
      <c r="L300" s="76" t="str">
        <f t="shared" si="7"/>
        <v>
Telefon: </v>
      </c>
      <c r="M300" s="36"/>
      <c r="N300" s="37"/>
      <c r="O300" s="220"/>
      <c r="P300" s="40"/>
      <c r="Q300" s="171"/>
      <c r="R300" s="190"/>
    </row>
    <row r="301">
      <c r="A301" s="64"/>
      <c r="B301" s="64"/>
      <c r="C301" s="40"/>
      <c r="D301" s="212"/>
      <c r="E301" s="27"/>
      <c r="L301" s="76" t="str">
        <f t="shared" si="7"/>
        <v>
Telefon: </v>
      </c>
      <c r="M301" s="36"/>
      <c r="N301" s="37"/>
      <c r="O301" s="220"/>
      <c r="P301" s="40"/>
      <c r="Q301" s="171"/>
      <c r="R301" s="190"/>
    </row>
    <row r="302">
      <c r="A302" s="64"/>
      <c r="B302" s="64"/>
      <c r="C302" s="40"/>
      <c r="D302" s="212"/>
      <c r="E302" s="27"/>
      <c r="L302" s="76" t="str">
        <f t="shared" si="7"/>
        <v>
Telefon: </v>
      </c>
      <c r="M302" s="36"/>
      <c r="N302" s="37"/>
      <c r="O302" s="220"/>
      <c r="P302" s="40"/>
      <c r="Q302" s="171"/>
      <c r="R302" s="190"/>
    </row>
    <row r="303">
      <c r="A303" s="64"/>
      <c r="B303" s="64"/>
      <c r="C303" s="40"/>
      <c r="D303" s="212"/>
      <c r="E303" s="27"/>
      <c r="L303" s="76" t="str">
        <f t="shared" si="7"/>
        <v>
Telefon: </v>
      </c>
      <c r="M303" s="36"/>
      <c r="N303" s="37"/>
      <c r="O303" s="220"/>
      <c r="P303" s="40"/>
      <c r="Q303" s="171"/>
      <c r="R303" s="190"/>
    </row>
    <row r="304">
      <c r="A304" s="64"/>
      <c r="B304" s="64"/>
      <c r="C304" s="40"/>
      <c r="D304" s="212"/>
      <c r="E304" s="27"/>
      <c r="L304" s="76" t="str">
        <f t="shared" si="7"/>
        <v>
Telefon: </v>
      </c>
      <c r="M304" s="36"/>
      <c r="N304" s="37"/>
      <c r="O304" s="220"/>
      <c r="P304" s="40"/>
      <c r="Q304" s="171"/>
      <c r="R304" s="190"/>
    </row>
    <row r="305">
      <c r="A305" s="64"/>
      <c r="B305" s="64"/>
      <c r="C305" s="40"/>
      <c r="D305" s="212"/>
      <c r="E305" s="27"/>
      <c r="L305" s="76" t="str">
        <f t="shared" si="7"/>
        <v>
Telefon: </v>
      </c>
      <c r="M305" s="36"/>
      <c r="N305" s="37"/>
      <c r="O305" s="220"/>
      <c r="P305" s="40"/>
      <c r="Q305" s="171"/>
      <c r="R305" s="190"/>
    </row>
    <row r="306">
      <c r="A306" s="64"/>
      <c r="B306" s="64"/>
      <c r="C306" s="40"/>
      <c r="D306" s="212"/>
      <c r="E306" s="27"/>
      <c r="L306" s="76" t="str">
        <f t="shared" si="7"/>
        <v>
Telefon: </v>
      </c>
      <c r="M306" s="36"/>
      <c r="N306" s="37"/>
      <c r="O306" s="220"/>
      <c r="P306" s="40"/>
      <c r="Q306" s="171"/>
      <c r="R306" s="190"/>
    </row>
    <row r="307">
      <c r="A307" s="64"/>
      <c r="B307" s="64"/>
      <c r="C307" s="40"/>
      <c r="D307" s="212"/>
      <c r="E307" s="27"/>
      <c r="L307" s="76" t="str">
        <f t="shared" si="7"/>
        <v>
Telefon: </v>
      </c>
      <c r="M307" s="36"/>
      <c r="N307" s="37"/>
      <c r="O307" s="220"/>
      <c r="P307" s="40"/>
      <c r="Q307" s="171"/>
      <c r="R307" s="190"/>
    </row>
    <row r="308">
      <c r="A308" s="64"/>
      <c r="B308" s="64"/>
      <c r="C308" s="40"/>
      <c r="D308" s="212"/>
      <c r="E308" s="27"/>
      <c r="L308" s="76" t="str">
        <f t="shared" si="7"/>
        <v>
Telefon: </v>
      </c>
      <c r="M308" s="36"/>
      <c r="N308" s="37"/>
      <c r="O308" s="220"/>
      <c r="P308" s="40"/>
      <c r="Q308" s="171"/>
      <c r="R308" s="190"/>
    </row>
    <row r="309">
      <c r="A309" s="64"/>
      <c r="B309" s="64"/>
      <c r="C309" s="40"/>
      <c r="D309" s="212"/>
      <c r="E309" s="27"/>
      <c r="L309" s="76" t="str">
        <f t="shared" si="7"/>
        <v>
Telefon: </v>
      </c>
      <c r="M309" s="36"/>
      <c r="N309" s="37"/>
      <c r="O309" s="220"/>
      <c r="P309" s="40"/>
      <c r="Q309" s="171"/>
      <c r="R309" s="190"/>
    </row>
    <row r="310">
      <c r="A310" s="64"/>
      <c r="B310" s="64"/>
      <c r="C310" s="40"/>
      <c r="D310" s="212"/>
      <c r="E310" s="27"/>
      <c r="L310" s="76" t="str">
        <f t="shared" si="7"/>
        <v>
Telefon: </v>
      </c>
      <c r="M310" s="36"/>
      <c r="N310" s="37"/>
      <c r="O310" s="220"/>
      <c r="P310" s="40"/>
      <c r="Q310" s="171"/>
      <c r="R310" s="190"/>
    </row>
    <row r="311">
      <c r="A311" s="64"/>
      <c r="B311" s="64"/>
      <c r="C311" s="40"/>
      <c r="D311" s="212"/>
      <c r="E311" s="27"/>
      <c r="L311" s="76" t="str">
        <f t="shared" si="7"/>
        <v>
Telefon: </v>
      </c>
      <c r="M311" s="36"/>
      <c r="N311" s="37"/>
      <c r="O311" s="220"/>
      <c r="P311" s="40"/>
      <c r="Q311" s="171"/>
      <c r="R311" s="190"/>
    </row>
    <row r="312">
      <c r="A312" s="64"/>
      <c r="B312" s="64"/>
      <c r="C312" s="40"/>
      <c r="D312" s="212"/>
      <c r="E312" s="27"/>
      <c r="L312" s="76" t="str">
        <f t="shared" si="7"/>
        <v>
Telefon: </v>
      </c>
      <c r="M312" s="36"/>
      <c r="N312" s="37"/>
      <c r="O312" s="220"/>
      <c r="P312" s="40"/>
      <c r="Q312" s="171"/>
      <c r="R312" s="190"/>
    </row>
    <row r="313">
      <c r="A313" s="64"/>
      <c r="B313" s="64"/>
      <c r="C313" s="40"/>
      <c r="D313" s="212"/>
      <c r="E313" s="27"/>
      <c r="L313" s="76" t="str">
        <f t="shared" si="7"/>
        <v>
Telefon: </v>
      </c>
      <c r="M313" s="36"/>
      <c r="N313" s="37"/>
      <c r="O313" s="220"/>
      <c r="P313" s="40"/>
      <c r="Q313" s="171"/>
      <c r="R313" s="190"/>
    </row>
    <row r="314">
      <c r="A314" s="64"/>
      <c r="B314" s="64"/>
      <c r="C314" s="40"/>
      <c r="D314" s="212"/>
      <c r="E314" s="27"/>
      <c r="L314" s="76" t="str">
        <f t="shared" si="7"/>
        <v>
Telefon: </v>
      </c>
      <c r="M314" s="36"/>
      <c r="N314" s="37"/>
      <c r="O314" s="220"/>
      <c r="P314" s="40"/>
      <c r="Q314" s="171"/>
      <c r="R314" s="190"/>
    </row>
    <row r="315">
      <c r="A315" s="64"/>
      <c r="B315" s="64"/>
      <c r="C315" s="40"/>
      <c r="D315" s="212"/>
      <c r="E315" s="27"/>
      <c r="L315" s="76" t="str">
        <f t="shared" si="7"/>
        <v>
Telefon: </v>
      </c>
      <c r="M315" s="36"/>
      <c r="N315" s="37"/>
      <c r="O315" s="220"/>
      <c r="P315" s="40"/>
      <c r="Q315" s="171"/>
      <c r="R315" s="190"/>
    </row>
    <row r="316">
      <c r="A316" s="64"/>
      <c r="B316" s="64"/>
      <c r="C316" s="40"/>
      <c r="D316" s="212"/>
      <c r="E316" s="27"/>
      <c r="L316" s="76" t="str">
        <f t="shared" si="7"/>
        <v>
Telefon: </v>
      </c>
      <c r="M316" s="36"/>
      <c r="N316" s="37"/>
      <c r="O316" s="220"/>
      <c r="P316" s="40"/>
      <c r="Q316" s="171"/>
      <c r="R316" s="190"/>
    </row>
    <row r="317">
      <c r="A317" s="64"/>
      <c r="B317" s="64"/>
      <c r="C317" s="40"/>
      <c r="D317" s="212"/>
      <c r="E317" s="27"/>
      <c r="L317" s="76" t="str">
        <f t="shared" si="7"/>
        <v>
Telefon: </v>
      </c>
      <c r="M317" s="36"/>
      <c r="N317" s="37"/>
      <c r="O317" s="220"/>
      <c r="P317" s="40"/>
      <c r="Q317" s="171"/>
      <c r="R317" s="190"/>
    </row>
    <row r="318">
      <c r="A318" s="64"/>
      <c r="B318" s="64"/>
      <c r="C318" s="40"/>
      <c r="D318" s="212"/>
      <c r="E318" s="27"/>
      <c r="L318" s="76" t="str">
        <f t="shared" si="7"/>
        <v>
Telefon: </v>
      </c>
      <c r="M318" s="36"/>
      <c r="N318" s="37"/>
      <c r="O318" s="220"/>
      <c r="P318" s="40"/>
      <c r="Q318" s="171"/>
      <c r="R318" s="190"/>
    </row>
    <row r="319">
      <c r="A319" s="64"/>
      <c r="B319" s="64"/>
      <c r="C319" s="40"/>
      <c r="D319" s="212"/>
      <c r="E319" s="27"/>
      <c r="L319" s="76" t="str">
        <f t="shared" si="7"/>
        <v>
Telefon: </v>
      </c>
      <c r="M319" s="36"/>
      <c r="N319" s="37"/>
      <c r="O319" s="220"/>
      <c r="P319" s="40"/>
      <c r="Q319" s="171"/>
      <c r="R319" s="190"/>
    </row>
    <row r="320">
      <c r="A320" s="64"/>
      <c r="B320" s="64"/>
      <c r="C320" s="40"/>
      <c r="D320" s="212"/>
      <c r="E320" s="27"/>
      <c r="L320" s="76" t="str">
        <f t="shared" si="7"/>
        <v>
Telefon: </v>
      </c>
      <c r="M320" s="36"/>
      <c r="N320" s="37"/>
      <c r="O320" s="220"/>
      <c r="P320" s="40"/>
      <c r="Q320" s="171"/>
      <c r="R320" s="190"/>
    </row>
    <row r="321">
      <c r="A321" s="64"/>
      <c r="B321" s="64"/>
      <c r="C321" s="40"/>
      <c r="D321" s="212"/>
      <c r="E321" s="27"/>
      <c r="L321" s="76" t="str">
        <f t="shared" si="7"/>
        <v>
Telefon: </v>
      </c>
      <c r="M321" s="36"/>
      <c r="N321" s="37"/>
      <c r="O321" s="220"/>
      <c r="P321" s="40"/>
      <c r="Q321" s="171"/>
      <c r="R321" s="190"/>
    </row>
    <row r="322">
      <c r="A322" s="64"/>
      <c r="B322" s="64"/>
      <c r="C322" s="40"/>
      <c r="D322" s="212"/>
      <c r="E322" s="27"/>
      <c r="L322" s="76" t="str">
        <f t="shared" si="7"/>
        <v>
Telefon: </v>
      </c>
      <c r="M322" s="36"/>
      <c r="N322" s="37"/>
      <c r="O322" s="220"/>
      <c r="P322" s="40"/>
      <c r="Q322" s="171"/>
      <c r="R322" s="190"/>
    </row>
    <row r="323">
      <c r="A323" s="64"/>
      <c r="B323" s="64"/>
      <c r="C323" s="40"/>
      <c r="D323" s="212"/>
      <c r="E323" s="27"/>
      <c r="L323" s="76" t="str">
        <f t="shared" si="7"/>
        <v>
Telefon: </v>
      </c>
      <c r="M323" s="36"/>
      <c r="N323" s="37"/>
      <c r="O323" s="220"/>
      <c r="P323" s="40"/>
      <c r="Q323" s="171"/>
      <c r="R323" s="190"/>
    </row>
    <row r="324">
      <c r="A324" s="64"/>
      <c r="B324" s="64"/>
      <c r="C324" s="40"/>
      <c r="D324" s="212"/>
      <c r="E324" s="27"/>
      <c r="L324" s="76" t="str">
        <f t="shared" si="7"/>
        <v>
Telefon: </v>
      </c>
      <c r="M324" s="36"/>
      <c r="N324" s="37"/>
      <c r="O324" s="220"/>
      <c r="P324" s="40"/>
      <c r="Q324" s="171"/>
      <c r="R324" s="190"/>
    </row>
    <row r="325">
      <c r="A325" s="64"/>
      <c r="B325" s="64"/>
      <c r="C325" s="40"/>
      <c r="D325" s="212"/>
      <c r="E325" s="27"/>
      <c r="L325" s="76" t="str">
        <f t="shared" si="7"/>
        <v>
Telefon: </v>
      </c>
      <c r="M325" s="36"/>
      <c r="N325" s="37"/>
      <c r="O325" s="220"/>
      <c r="P325" s="40"/>
      <c r="Q325" s="171"/>
      <c r="R325" s="190"/>
    </row>
    <row r="326">
      <c r="A326" s="64"/>
      <c r="B326" s="64"/>
      <c r="C326" s="40"/>
      <c r="D326" s="212"/>
      <c r="E326" s="27"/>
      <c r="L326" s="76" t="str">
        <f t="shared" si="7"/>
        <v>
Telefon: </v>
      </c>
      <c r="M326" s="36"/>
      <c r="N326" s="37"/>
      <c r="O326" s="220"/>
      <c r="P326" s="40"/>
      <c r="Q326" s="171"/>
      <c r="R326" s="190"/>
    </row>
    <row r="327">
      <c r="A327" s="64"/>
      <c r="B327" s="64"/>
      <c r="C327" s="40"/>
      <c r="D327" s="212"/>
      <c r="E327" s="27"/>
      <c r="L327" s="76" t="str">
        <f t="shared" si="7"/>
        <v>
Telefon: </v>
      </c>
      <c r="M327" s="36"/>
      <c r="N327" s="37"/>
      <c r="O327" s="220"/>
      <c r="P327" s="40"/>
      <c r="Q327" s="171"/>
      <c r="R327" s="190"/>
    </row>
    <row r="328">
      <c r="A328" s="64"/>
      <c r="B328" s="64"/>
      <c r="C328" s="40"/>
      <c r="D328" s="212"/>
      <c r="E328" s="27"/>
      <c r="L328" s="76" t="str">
        <f t="shared" si="7"/>
        <v>
Telefon: </v>
      </c>
      <c r="M328" s="36"/>
      <c r="N328" s="37"/>
      <c r="O328" s="220"/>
      <c r="P328" s="40"/>
      <c r="Q328" s="171"/>
      <c r="R328" s="190"/>
    </row>
    <row r="329">
      <c r="A329" s="64"/>
      <c r="B329" s="64"/>
      <c r="C329" s="40"/>
      <c r="D329" s="212"/>
      <c r="E329" s="27"/>
      <c r="L329" s="76" t="str">
        <f t="shared" si="7"/>
        <v>
Telefon: </v>
      </c>
      <c r="M329" s="36"/>
      <c r="N329" s="37"/>
      <c r="O329" s="220"/>
      <c r="P329" s="40"/>
      <c r="Q329" s="171"/>
      <c r="R329" s="190"/>
    </row>
    <row r="330">
      <c r="A330" s="64"/>
      <c r="B330" s="64"/>
      <c r="C330" s="40"/>
      <c r="D330" s="212"/>
      <c r="E330" s="27"/>
      <c r="L330" s="76" t="str">
        <f t="shared" si="7"/>
        <v>
Telefon: </v>
      </c>
      <c r="M330" s="36"/>
      <c r="N330" s="37"/>
      <c r="O330" s="220"/>
      <c r="P330" s="40"/>
      <c r="Q330" s="171"/>
      <c r="R330" s="190"/>
    </row>
    <row r="331">
      <c r="A331" s="64"/>
      <c r="B331" s="64"/>
      <c r="C331" s="40"/>
      <c r="D331" s="212"/>
      <c r="E331" s="27"/>
      <c r="L331" s="76" t="str">
        <f t="shared" si="7"/>
        <v>
Telefon: </v>
      </c>
      <c r="M331" s="36"/>
      <c r="N331" s="37"/>
      <c r="O331" s="220"/>
      <c r="P331" s="40"/>
      <c r="Q331" s="171"/>
      <c r="R331" s="190"/>
    </row>
    <row r="332">
      <c r="A332" s="64"/>
      <c r="B332" s="64"/>
      <c r="C332" s="40"/>
      <c r="D332" s="212"/>
      <c r="E332" s="27"/>
      <c r="L332" s="76" t="str">
        <f t="shared" si="7"/>
        <v>
Telefon: </v>
      </c>
      <c r="M332" s="36"/>
      <c r="N332" s="37"/>
      <c r="O332" s="220"/>
      <c r="P332" s="40"/>
      <c r="Q332" s="171"/>
      <c r="R332" s="190"/>
    </row>
    <row r="333">
      <c r="A333" s="64"/>
      <c r="B333" s="64"/>
      <c r="C333" s="40"/>
      <c r="D333" s="212"/>
      <c r="E333" s="27"/>
      <c r="L333" s="76" t="str">
        <f t="shared" si="7"/>
        <v>
Telefon: </v>
      </c>
      <c r="M333" s="36"/>
      <c r="N333" s="37"/>
      <c r="O333" s="220"/>
      <c r="P333" s="40"/>
      <c r="Q333" s="171"/>
      <c r="R333" s="190"/>
    </row>
    <row r="334">
      <c r="A334" s="64"/>
      <c r="B334" s="64"/>
      <c r="C334" s="40"/>
      <c r="D334" s="212"/>
      <c r="E334" s="27"/>
      <c r="L334" s="76" t="str">
        <f t="shared" si="7"/>
        <v>
Telefon: </v>
      </c>
      <c r="M334" s="36"/>
      <c r="N334" s="37"/>
      <c r="O334" s="220"/>
      <c r="P334" s="40"/>
      <c r="Q334" s="171"/>
      <c r="R334" s="190"/>
    </row>
    <row r="335">
      <c r="A335" s="64"/>
      <c r="B335" s="64"/>
      <c r="C335" s="40"/>
      <c r="D335" s="212"/>
      <c r="E335" s="27"/>
      <c r="L335" s="76" t="str">
        <f t="shared" si="7"/>
        <v>
Telefon: </v>
      </c>
      <c r="M335" s="36"/>
      <c r="N335" s="37"/>
      <c r="O335" s="220"/>
      <c r="P335" s="40"/>
      <c r="Q335" s="171"/>
      <c r="R335" s="190"/>
    </row>
    <row r="336">
      <c r="A336" s="64"/>
      <c r="B336" s="64"/>
      <c r="C336" s="40"/>
      <c r="D336" s="212"/>
      <c r="E336" s="27"/>
      <c r="L336" s="76" t="str">
        <f t="shared" si="7"/>
        <v>
Telefon: </v>
      </c>
      <c r="M336" s="36"/>
      <c r="N336" s="37"/>
      <c r="O336" s="220"/>
      <c r="P336" s="40"/>
      <c r="Q336" s="171"/>
      <c r="R336" s="190"/>
    </row>
    <row r="337">
      <c r="A337" s="64"/>
      <c r="B337" s="64"/>
      <c r="C337" s="40"/>
      <c r="D337" s="212"/>
      <c r="E337" s="27"/>
      <c r="L337" s="76" t="str">
        <f t="shared" si="7"/>
        <v>
Telefon: </v>
      </c>
      <c r="M337" s="36"/>
      <c r="N337" s="37"/>
      <c r="O337" s="220"/>
      <c r="P337" s="40"/>
      <c r="Q337" s="171"/>
      <c r="R337" s="190"/>
    </row>
    <row r="338">
      <c r="A338" s="64"/>
      <c r="B338" s="64"/>
      <c r="C338" s="40"/>
      <c r="D338" s="212"/>
      <c r="E338" s="27"/>
      <c r="L338" s="76" t="str">
        <f t="shared" si="7"/>
        <v>
Telefon: </v>
      </c>
      <c r="M338" s="36"/>
      <c r="N338" s="37"/>
      <c r="O338" s="220"/>
      <c r="P338" s="40"/>
      <c r="Q338" s="171"/>
      <c r="R338" s="190"/>
    </row>
    <row r="339">
      <c r="A339" s="64"/>
      <c r="B339" s="64"/>
      <c r="C339" s="40"/>
      <c r="D339" s="212"/>
      <c r="E339" s="27"/>
      <c r="L339" s="76" t="str">
        <f t="shared" si="7"/>
        <v>
Telefon: </v>
      </c>
      <c r="M339" s="36"/>
      <c r="N339" s="37"/>
      <c r="O339" s="220"/>
      <c r="P339" s="40"/>
      <c r="Q339" s="171"/>
      <c r="R339" s="190"/>
    </row>
    <row r="340">
      <c r="A340" s="64"/>
      <c r="B340" s="64"/>
      <c r="C340" s="40"/>
      <c r="D340" s="212"/>
      <c r="E340" s="27"/>
      <c r="L340" s="76" t="str">
        <f t="shared" si="7"/>
        <v>
Telefon: </v>
      </c>
      <c r="M340" s="36"/>
      <c r="N340" s="37"/>
      <c r="O340" s="220"/>
      <c r="P340" s="40"/>
      <c r="Q340" s="171"/>
      <c r="R340" s="190"/>
    </row>
    <row r="341">
      <c r="A341" s="64"/>
      <c r="B341" s="64"/>
      <c r="C341" s="40"/>
      <c r="D341" s="212"/>
      <c r="E341" s="27"/>
      <c r="L341" s="76" t="str">
        <f t="shared" si="7"/>
        <v>
Telefon: </v>
      </c>
      <c r="M341" s="36"/>
      <c r="N341" s="37"/>
      <c r="O341" s="220"/>
      <c r="P341" s="40"/>
      <c r="Q341" s="171"/>
      <c r="R341" s="190"/>
    </row>
    <row r="342">
      <c r="A342" s="64"/>
      <c r="B342" s="64"/>
      <c r="C342" s="40"/>
      <c r="D342" s="212"/>
      <c r="E342" s="27"/>
      <c r="L342" s="76" t="str">
        <f t="shared" si="7"/>
        <v>
Telefon: </v>
      </c>
      <c r="M342" s="36"/>
      <c r="N342" s="37"/>
      <c r="O342" s="220"/>
      <c r="P342" s="40"/>
      <c r="Q342" s="171"/>
      <c r="R342" s="190"/>
    </row>
    <row r="343">
      <c r="A343" s="64"/>
      <c r="B343" s="64"/>
      <c r="C343" s="40"/>
      <c r="D343" s="212"/>
      <c r="E343" s="27"/>
      <c r="L343" s="76" t="str">
        <f t="shared" si="7"/>
        <v>
Telefon: </v>
      </c>
      <c r="M343" s="36"/>
      <c r="N343" s="37"/>
      <c r="O343" s="220"/>
      <c r="P343" s="40"/>
      <c r="Q343" s="171"/>
      <c r="R343" s="190"/>
    </row>
    <row r="344">
      <c r="A344" s="64"/>
      <c r="B344" s="64"/>
      <c r="C344" s="40"/>
      <c r="D344" s="212"/>
      <c r="E344" s="27"/>
      <c r="L344" s="76" t="str">
        <f t="shared" si="7"/>
        <v>
Telefon: </v>
      </c>
      <c r="M344" s="36"/>
      <c r="N344" s="37"/>
      <c r="O344" s="220"/>
      <c r="P344" s="40"/>
      <c r="Q344" s="171"/>
      <c r="R344" s="190"/>
    </row>
    <row r="345">
      <c r="A345" s="64"/>
      <c r="B345" s="64"/>
      <c r="C345" s="40"/>
      <c r="D345" s="212"/>
      <c r="E345" s="27"/>
      <c r="L345" s="76" t="str">
        <f t="shared" si="7"/>
        <v>
Telefon: </v>
      </c>
      <c r="M345" s="36"/>
      <c r="N345" s="37"/>
      <c r="O345" s="220"/>
      <c r="P345" s="40"/>
      <c r="Q345" s="171"/>
      <c r="R345" s="190"/>
    </row>
    <row r="346">
      <c r="A346" s="64"/>
      <c r="B346" s="64"/>
      <c r="C346" s="40"/>
      <c r="D346" s="212"/>
      <c r="E346" s="27"/>
      <c r="L346" s="76" t="str">
        <f t="shared" si="7"/>
        <v>
Telefon: </v>
      </c>
      <c r="M346" s="36"/>
      <c r="N346" s="37"/>
      <c r="O346" s="220"/>
      <c r="P346" s="40"/>
      <c r="Q346" s="171"/>
      <c r="R346" s="190"/>
    </row>
    <row r="347">
      <c r="A347" s="64"/>
      <c r="B347" s="64"/>
      <c r="C347" s="40"/>
      <c r="D347" s="212"/>
      <c r="E347" s="27"/>
      <c r="L347" s="76" t="str">
        <f t="shared" si="7"/>
        <v>
Telefon: </v>
      </c>
      <c r="M347" s="36"/>
      <c r="N347" s="37"/>
      <c r="O347" s="220"/>
      <c r="P347" s="40"/>
      <c r="Q347" s="171"/>
      <c r="R347" s="190"/>
    </row>
    <row r="348">
      <c r="A348" s="64"/>
      <c r="B348" s="64"/>
      <c r="C348" s="40"/>
      <c r="D348" s="212"/>
      <c r="E348" s="27"/>
      <c r="L348" s="76" t="str">
        <f t="shared" si="7"/>
        <v>
Telefon: </v>
      </c>
      <c r="M348" s="36"/>
      <c r="N348" s="37"/>
      <c r="O348" s="220"/>
      <c r="P348" s="40"/>
      <c r="Q348" s="171"/>
      <c r="R348" s="190"/>
    </row>
    <row r="349">
      <c r="A349" s="64"/>
      <c r="B349" s="64"/>
      <c r="C349" s="40"/>
      <c r="D349" s="212"/>
      <c r="E349" s="27"/>
      <c r="L349" s="76" t="str">
        <f t="shared" si="7"/>
        <v>
Telefon: </v>
      </c>
      <c r="M349" s="36"/>
      <c r="N349" s="37"/>
      <c r="O349" s="220"/>
      <c r="P349" s="40"/>
      <c r="Q349" s="171"/>
      <c r="R349" s="190"/>
    </row>
    <row r="350">
      <c r="A350" s="64"/>
      <c r="B350" s="64"/>
      <c r="C350" s="40"/>
      <c r="D350" s="212"/>
      <c r="E350" s="27"/>
      <c r="L350" s="76" t="str">
        <f t="shared" si="7"/>
        <v>
Telefon: </v>
      </c>
      <c r="M350" s="36"/>
      <c r="N350" s="37"/>
      <c r="O350" s="220"/>
      <c r="P350" s="40"/>
      <c r="Q350" s="171"/>
      <c r="R350" s="190"/>
    </row>
    <row r="351">
      <c r="A351" s="64"/>
      <c r="B351" s="64"/>
      <c r="C351" s="40"/>
      <c r="D351" s="212"/>
      <c r="E351" s="27"/>
      <c r="L351" s="76" t="str">
        <f t="shared" si="7"/>
        <v>
Telefon: </v>
      </c>
      <c r="M351" s="36"/>
      <c r="N351" s="37"/>
      <c r="O351" s="220"/>
      <c r="P351" s="40"/>
      <c r="Q351" s="171"/>
      <c r="R351" s="190"/>
    </row>
    <row r="352">
      <c r="A352" s="64"/>
      <c r="B352" s="64"/>
      <c r="C352" s="40"/>
      <c r="D352" s="212"/>
      <c r="E352" s="27"/>
      <c r="L352" s="76" t="str">
        <f t="shared" si="7"/>
        <v>
Telefon: </v>
      </c>
      <c r="M352" s="36"/>
      <c r="N352" s="37"/>
      <c r="O352" s="220"/>
      <c r="P352" s="40"/>
      <c r="Q352" s="171"/>
      <c r="R352" s="190"/>
    </row>
    <row r="353">
      <c r="A353" s="64"/>
      <c r="B353" s="64"/>
      <c r="C353" s="40"/>
      <c r="D353" s="212"/>
      <c r="E353" s="27"/>
      <c r="L353" s="76" t="str">
        <f t="shared" si="7"/>
        <v>
Telefon: </v>
      </c>
      <c r="M353" s="36"/>
      <c r="N353" s="37"/>
      <c r="O353" s="220"/>
      <c r="P353" s="40"/>
      <c r="Q353" s="171"/>
      <c r="R353" s="190"/>
    </row>
    <row r="354">
      <c r="A354" s="64"/>
      <c r="B354" s="64"/>
      <c r="C354" s="40"/>
      <c r="D354" s="212"/>
      <c r="E354" s="27"/>
      <c r="L354" s="76" t="str">
        <f t="shared" si="7"/>
        <v>
Telefon: </v>
      </c>
      <c r="M354" s="36"/>
      <c r="N354" s="37"/>
      <c r="O354" s="220"/>
      <c r="P354" s="40"/>
      <c r="Q354" s="171"/>
      <c r="R354" s="190"/>
    </row>
    <row r="355">
      <c r="A355" s="64"/>
      <c r="B355" s="64"/>
      <c r="C355" s="40"/>
      <c r="D355" s="212"/>
      <c r="E355" s="27"/>
      <c r="L355" s="76" t="str">
        <f t="shared" si="7"/>
        <v>
Telefon: </v>
      </c>
      <c r="M355" s="36"/>
      <c r="N355" s="37"/>
      <c r="O355" s="220"/>
      <c r="P355" s="40"/>
      <c r="Q355" s="171"/>
      <c r="R355" s="190"/>
    </row>
    <row r="356">
      <c r="A356" s="64"/>
      <c r="B356" s="64"/>
      <c r="C356" s="40"/>
      <c r="D356" s="212"/>
      <c r="E356" s="27"/>
      <c r="L356" s="76" t="str">
        <f t="shared" si="7"/>
        <v>
Telefon: </v>
      </c>
      <c r="M356" s="36"/>
      <c r="N356" s="37"/>
      <c r="O356" s="220"/>
      <c r="P356" s="40"/>
      <c r="Q356" s="171"/>
      <c r="R356" s="190"/>
    </row>
    <row r="357">
      <c r="A357" s="64"/>
      <c r="B357" s="64"/>
      <c r="C357" s="40"/>
      <c r="D357" s="212"/>
      <c r="E357" s="27"/>
      <c r="L357" s="76" t="str">
        <f t="shared" si="7"/>
        <v>
Telefon: </v>
      </c>
      <c r="M357" s="36"/>
      <c r="N357" s="37"/>
      <c r="O357" s="220"/>
      <c r="P357" s="40"/>
      <c r="Q357" s="171"/>
      <c r="R357" s="190"/>
    </row>
    <row r="358">
      <c r="A358" s="64"/>
      <c r="B358" s="64"/>
      <c r="C358" s="40"/>
      <c r="D358" s="212"/>
      <c r="E358" s="27"/>
      <c r="L358" s="76" t="str">
        <f t="shared" si="7"/>
        <v>
Telefon: </v>
      </c>
      <c r="M358" s="36"/>
      <c r="N358" s="37"/>
      <c r="O358" s="220"/>
      <c r="P358" s="40"/>
      <c r="Q358" s="171"/>
      <c r="R358" s="190"/>
    </row>
    <row r="359">
      <c r="A359" s="64"/>
      <c r="B359" s="64"/>
      <c r="C359" s="40"/>
      <c r="D359" s="212"/>
      <c r="E359" s="27"/>
      <c r="L359" s="76" t="str">
        <f t="shared" si="7"/>
        <v>
Telefon: </v>
      </c>
      <c r="M359" s="36"/>
      <c r="N359" s="37"/>
      <c r="O359" s="220"/>
      <c r="P359" s="40"/>
      <c r="Q359" s="171"/>
      <c r="R359" s="190"/>
    </row>
    <row r="360">
      <c r="A360" s="64"/>
      <c r="B360" s="64"/>
      <c r="C360" s="40"/>
      <c r="D360" s="212"/>
      <c r="E360" s="27"/>
      <c r="L360" s="76" t="str">
        <f t="shared" si="7"/>
        <v>
Telefon: </v>
      </c>
      <c r="M360" s="36"/>
      <c r="N360" s="37"/>
      <c r="O360" s="220"/>
      <c r="P360" s="40"/>
      <c r="Q360" s="171"/>
      <c r="R360" s="190"/>
    </row>
    <row r="361">
      <c r="A361" s="64"/>
      <c r="B361" s="64"/>
      <c r="C361" s="40"/>
      <c r="D361" s="212"/>
      <c r="E361" s="27"/>
      <c r="L361" s="76" t="str">
        <f t="shared" si="7"/>
        <v>
Telefon: </v>
      </c>
      <c r="M361" s="36"/>
      <c r="N361" s="37"/>
      <c r="O361" s="220"/>
      <c r="P361" s="40"/>
      <c r="Q361" s="171"/>
      <c r="R361" s="190"/>
    </row>
    <row r="362">
      <c r="A362" s="64"/>
      <c r="B362" s="64"/>
      <c r="C362" s="40"/>
      <c r="D362" s="212"/>
      <c r="E362" s="27"/>
      <c r="L362" s="76" t="str">
        <f t="shared" si="7"/>
        <v>
Telefon: </v>
      </c>
      <c r="M362" s="36"/>
      <c r="N362" s="37"/>
      <c r="O362" s="220"/>
      <c r="P362" s="40"/>
      <c r="Q362" s="171"/>
      <c r="R362" s="190"/>
    </row>
    <row r="363">
      <c r="A363" s="64"/>
      <c r="B363" s="64"/>
      <c r="C363" s="40"/>
      <c r="D363" s="212"/>
      <c r="E363" s="27"/>
      <c r="L363" s="76" t="str">
        <f t="shared" si="7"/>
        <v>
Telefon: </v>
      </c>
      <c r="M363" s="36"/>
      <c r="N363" s="37"/>
      <c r="O363" s="220"/>
      <c r="P363" s="40"/>
      <c r="Q363" s="171"/>
      <c r="R363" s="190"/>
    </row>
    <row r="364">
      <c r="A364" s="64"/>
      <c r="B364" s="64"/>
      <c r="C364" s="40"/>
      <c r="D364" s="212"/>
      <c r="E364" s="27"/>
      <c r="L364" s="76" t="str">
        <f t="shared" si="7"/>
        <v>
Telefon: </v>
      </c>
      <c r="M364" s="36"/>
      <c r="N364" s="37"/>
      <c r="O364" s="220"/>
      <c r="P364" s="40"/>
      <c r="Q364" s="171"/>
      <c r="R364" s="190"/>
    </row>
    <row r="365">
      <c r="A365" s="64"/>
      <c r="B365" s="64"/>
      <c r="C365" s="40"/>
      <c r="D365" s="212"/>
      <c r="E365" s="27"/>
      <c r="L365" s="76" t="str">
        <f t="shared" si="7"/>
        <v>
Telefon: </v>
      </c>
      <c r="M365" s="36"/>
      <c r="N365" s="37"/>
      <c r="O365" s="220"/>
      <c r="P365" s="40"/>
      <c r="Q365" s="171"/>
      <c r="R365" s="190"/>
    </row>
    <row r="366">
      <c r="A366" s="64"/>
      <c r="B366" s="64"/>
      <c r="C366" s="40"/>
      <c r="D366" s="212"/>
      <c r="E366" s="27"/>
      <c r="L366" s="76" t="str">
        <f t="shared" si="7"/>
        <v>
Telefon: </v>
      </c>
      <c r="M366" s="36"/>
      <c r="N366" s="37"/>
      <c r="O366" s="220"/>
      <c r="P366" s="40"/>
      <c r="Q366" s="171"/>
      <c r="R366" s="190"/>
    </row>
    <row r="367">
      <c r="A367" s="64"/>
      <c r="B367" s="64"/>
      <c r="C367" s="40"/>
      <c r="D367" s="212"/>
      <c r="E367" s="27"/>
      <c r="L367" s="76" t="str">
        <f t="shared" si="7"/>
        <v>
Telefon: </v>
      </c>
      <c r="M367" s="36"/>
      <c r="N367" s="37"/>
      <c r="O367" s="220"/>
      <c r="P367" s="40"/>
      <c r="Q367" s="171"/>
      <c r="R367" s="190"/>
    </row>
    <row r="368">
      <c r="A368" s="64"/>
      <c r="B368" s="64"/>
      <c r="C368" s="40"/>
      <c r="D368" s="212"/>
      <c r="E368" s="27"/>
      <c r="L368" s="76" t="str">
        <f t="shared" si="7"/>
        <v>
Telefon: </v>
      </c>
      <c r="M368" s="36"/>
      <c r="N368" s="37"/>
      <c r="O368" s="220"/>
      <c r="P368" s="40"/>
      <c r="Q368" s="171"/>
      <c r="R368" s="190"/>
    </row>
    <row r="369">
      <c r="A369" s="64"/>
      <c r="B369" s="64"/>
      <c r="C369" s="40"/>
      <c r="D369" s="212"/>
      <c r="E369" s="27"/>
      <c r="L369" s="76" t="str">
        <f t="shared" si="7"/>
        <v>
Telefon: </v>
      </c>
      <c r="M369" s="36"/>
      <c r="N369" s="37"/>
      <c r="O369" s="220"/>
      <c r="P369" s="40"/>
      <c r="Q369" s="171"/>
      <c r="R369" s="190"/>
    </row>
    <row r="370">
      <c r="A370" s="64"/>
      <c r="B370" s="64"/>
      <c r="C370" s="40"/>
      <c r="D370" s="212"/>
      <c r="E370" s="27"/>
      <c r="L370" s="76" t="str">
        <f t="shared" si="7"/>
        <v>
Telefon: </v>
      </c>
      <c r="M370" s="36"/>
      <c r="N370" s="37"/>
      <c r="O370" s="220"/>
      <c r="P370" s="40"/>
      <c r="Q370" s="171"/>
      <c r="R370" s="190"/>
    </row>
    <row r="371">
      <c r="A371" s="64"/>
      <c r="B371" s="64"/>
      <c r="C371" s="40"/>
      <c r="D371" s="212"/>
      <c r="E371" s="27"/>
      <c r="L371" s="76" t="str">
        <f t="shared" si="7"/>
        <v>
Telefon: </v>
      </c>
      <c r="M371" s="36"/>
      <c r="N371" s="37"/>
      <c r="O371" s="220"/>
      <c r="P371" s="40"/>
      <c r="Q371" s="171"/>
      <c r="R371" s="190"/>
    </row>
    <row r="372">
      <c r="A372" s="64"/>
      <c r="B372" s="64"/>
      <c r="C372" s="40"/>
      <c r="D372" s="212"/>
      <c r="E372" s="27"/>
      <c r="L372" s="76" t="str">
        <f t="shared" si="7"/>
        <v>
Telefon: </v>
      </c>
      <c r="M372" s="36"/>
      <c r="N372" s="37"/>
      <c r="O372" s="220"/>
      <c r="P372" s="40"/>
      <c r="Q372" s="171"/>
      <c r="R372" s="190"/>
    </row>
    <row r="373">
      <c r="A373" s="64"/>
      <c r="B373" s="64"/>
      <c r="C373" s="40"/>
      <c r="D373" s="212"/>
      <c r="E373" s="27"/>
      <c r="L373" s="76" t="str">
        <f t="shared" si="7"/>
        <v>
Telefon: </v>
      </c>
      <c r="M373" s="36"/>
      <c r="N373" s="37"/>
      <c r="O373" s="220"/>
      <c r="P373" s="40"/>
      <c r="Q373" s="171"/>
      <c r="R373" s="190"/>
    </row>
    <row r="374">
      <c r="A374" s="64"/>
      <c r="B374" s="64"/>
      <c r="C374" s="40"/>
      <c r="D374" s="212"/>
      <c r="E374" s="27"/>
      <c r="L374" s="76" t="str">
        <f t="shared" si="7"/>
        <v>
Telefon: </v>
      </c>
      <c r="M374" s="36"/>
      <c r="N374" s="37"/>
      <c r="O374" s="220"/>
      <c r="P374" s="40"/>
      <c r="Q374" s="171"/>
      <c r="R374" s="190"/>
    </row>
    <row r="375">
      <c r="A375" s="64"/>
      <c r="B375" s="64"/>
      <c r="C375" s="40"/>
      <c r="D375" s="212"/>
      <c r="E375" s="27"/>
      <c r="L375" s="76" t="str">
        <f t="shared" si="7"/>
        <v>
Telefon: </v>
      </c>
      <c r="M375" s="36"/>
      <c r="N375" s="37"/>
      <c r="O375" s="220"/>
      <c r="P375" s="40"/>
      <c r="Q375" s="171"/>
      <c r="R375" s="190"/>
    </row>
    <row r="376">
      <c r="A376" s="64"/>
      <c r="B376" s="64"/>
      <c r="C376" s="40"/>
      <c r="D376" s="212"/>
      <c r="E376" s="27"/>
      <c r="L376" s="76" t="str">
        <f t="shared" si="7"/>
        <v>
Telefon: </v>
      </c>
      <c r="M376" s="36"/>
      <c r="N376" s="37"/>
      <c r="O376" s="220"/>
      <c r="P376" s="40"/>
      <c r="Q376" s="171"/>
      <c r="R376" s="190"/>
    </row>
    <row r="377">
      <c r="A377" s="64"/>
      <c r="B377" s="64"/>
      <c r="C377" s="40"/>
      <c r="D377" s="212"/>
      <c r="E377" s="27"/>
      <c r="L377" s="76" t="str">
        <f t="shared" si="7"/>
        <v>
Telefon: </v>
      </c>
      <c r="M377" s="36"/>
      <c r="N377" s="37"/>
      <c r="O377" s="220"/>
      <c r="P377" s="40"/>
      <c r="Q377" s="171"/>
      <c r="R377" s="190"/>
    </row>
    <row r="378">
      <c r="A378" s="64"/>
      <c r="B378" s="64"/>
      <c r="C378" s="40"/>
      <c r="D378" s="212"/>
      <c r="E378" s="27"/>
      <c r="L378" s="76" t="str">
        <f t="shared" si="7"/>
        <v>
Telefon: </v>
      </c>
      <c r="M378" s="36"/>
      <c r="N378" s="37"/>
      <c r="O378" s="220"/>
      <c r="P378" s="40"/>
      <c r="Q378" s="171"/>
      <c r="R378" s="190"/>
    </row>
    <row r="379">
      <c r="A379" s="64"/>
      <c r="B379" s="64"/>
      <c r="C379" s="40"/>
      <c r="D379" s="212"/>
      <c r="E379" s="27"/>
      <c r="L379" s="76" t="str">
        <f t="shared" si="7"/>
        <v>
Telefon: </v>
      </c>
      <c r="M379" s="36"/>
      <c r="N379" s="37"/>
      <c r="O379" s="220"/>
      <c r="P379" s="40"/>
      <c r="Q379" s="171"/>
      <c r="R379" s="190"/>
    </row>
    <row r="380">
      <c r="A380" s="64"/>
      <c r="B380" s="64"/>
      <c r="C380" s="40"/>
      <c r="D380" s="212"/>
      <c r="E380" s="27"/>
      <c r="L380" s="76" t="str">
        <f t="shared" si="7"/>
        <v>
Telefon: </v>
      </c>
      <c r="M380" s="36"/>
      <c r="N380" s="37"/>
      <c r="O380" s="220"/>
      <c r="P380" s="40"/>
      <c r="Q380" s="171"/>
      <c r="R380" s="190"/>
    </row>
    <row r="381">
      <c r="A381" s="64"/>
      <c r="B381" s="64"/>
      <c r="C381" s="40"/>
      <c r="D381" s="212"/>
      <c r="E381" s="27"/>
      <c r="L381" s="76" t="str">
        <f t="shared" si="7"/>
        <v>
Telefon: </v>
      </c>
      <c r="M381" s="36"/>
      <c r="N381" s="37"/>
      <c r="O381" s="220"/>
      <c r="P381" s="40"/>
      <c r="Q381" s="171"/>
      <c r="R381" s="190"/>
    </row>
    <row r="382">
      <c r="A382" s="64"/>
      <c r="B382" s="64"/>
      <c r="C382" s="40"/>
      <c r="D382" s="212"/>
      <c r="E382" s="27"/>
      <c r="L382" s="242"/>
      <c r="M382" s="36"/>
      <c r="N382" s="37"/>
      <c r="O382" s="220"/>
      <c r="P382" s="40"/>
      <c r="Q382" s="171"/>
      <c r="R382" s="190"/>
    </row>
    <row r="383">
      <c r="A383" s="64"/>
      <c r="B383" s="64"/>
      <c r="C383" s="40"/>
      <c r="D383" s="212"/>
      <c r="E383" s="27"/>
      <c r="L383" s="242"/>
      <c r="M383" s="36"/>
      <c r="N383" s="37"/>
      <c r="O383" s="220"/>
      <c r="P383" s="40"/>
      <c r="Q383" s="171"/>
      <c r="R383" s="190"/>
    </row>
    <row r="384">
      <c r="A384" s="64"/>
      <c r="B384" s="64"/>
      <c r="C384" s="40"/>
      <c r="D384" s="212"/>
      <c r="E384" s="27"/>
      <c r="L384" s="242"/>
      <c r="M384" s="36"/>
      <c r="N384" s="37"/>
      <c r="O384" s="220"/>
      <c r="P384" s="40"/>
      <c r="Q384" s="171"/>
      <c r="R384" s="190"/>
    </row>
    <row r="385">
      <c r="A385" s="64"/>
      <c r="B385" s="64"/>
      <c r="C385" s="40"/>
      <c r="D385" s="212"/>
      <c r="E385" s="27"/>
      <c r="L385" s="242"/>
      <c r="M385" s="36"/>
      <c r="N385" s="37"/>
      <c r="O385" s="220"/>
      <c r="P385" s="40"/>
      <c r="Q385" s="171"/>
      <c r="R385" s="190"/>
    </row>
    <row r="386">
      <c r="A386" s="64"/>
      <c r="B386" s="64"/>
      <c r="C386" s="40"/>
      <c r="D386" s="212"/>
      <c r="E386" s="27"/>
      <c r="L386" s="242"/>
      <c r="M386" s="36"/>
      <c r="N386" s="37"/>
      <c r="O386" s="220"/>
      <c r="P386" s="40"/>
      <c r="Q386" s="171"/>
      <c r="R386" s="190"/>
    </row>
    <row r="387">
      <c r="A387" s="64"/>
      <c r="B387" s="64"/>
      <c r="C387" s="40"/>
      <c r="D387" s="212"/>
      <c r="E387" s="27"/>
      <c r="L387" s="242"/>
      <c r="M387" s="36"/>
      <c r="N387" s="37"/>
      <c r="O387" s="220"/>
      <c r="P387" s="40"/>
      <c r="Q387" s="171"/>
      <c r="R387" s="190"/>
    </row>
    <row r="388">
      <c r="A388" s="64"/>
      <c r="B388" s="64"/>
      <c r="C388" s="40"/>
      <c r="D388" s="212"/>
      <c r="E388" s="27"/>
      <c r="L388" s="242"/>
      <c r="M388" s="36"/>
      <c r="N388" s="37"/>
      <c r="O388" s="220"/>
      <c r="P388" s="40"/>
      <c r="Q388" s="171"/>
      <c r="R388" s="190"/>
    </row>
    <row r="389">
      <c r="A389" s="64"/>
      <c r="B389" s="64"/>
      <c r="C389" s="40"/>
      <c r="D389" s="212"/>
      <c r="E389" s="27"/>
      <c r="L389" s="242"/>
      <c r="M389" s="36"/>
      <c r="N389" s="37"/>
      <c r="O389" s="220"/>
      <c r="P389" s="40"/>
      <c r="Q389" s="171"/>
      <c r="R389" s="190"/>
    </row>
    <row r="390">
      <c r="A390" s="64"/>
      <c r="B390" s="64"/>
      <c r="C390" s="40"/>
      <c r="D390" s="212"/>
      <c r="E390" s="27"/>
      <c r="L390" s="242"/>
      <c r="M390" s="36"/>
      <c r="N390" s="37"/>
      <c r="O390" s="220"/>
      <c r="P390" s="40"/>
      <c r="Q390" s="171"/>
      <c r="R390" s="190"/>
    </row>
    <row r="391">
      <c r="A391" s="64"/>
      <c r="B391" s="64"/>
      <c r="C391" s="40"/>
      <c r="D391" s="212"/>
      <c r="E391" s="27"/>
      <c r="L391" s="242"/>
      <c r="M391" s="36"/>
      <c r="N391" s="37"/>
      <c r="O391" s="220"/>
      <c r="P391" s="40"/>
      <c r="Q391" s="171"/>
      <c r="R391" s="190"/>
    </row>
    <row r="392">
      <c r="A392" s="64"/>
      <c r="B392" s="64"/>
      <c r="C392" s="40"/>
      <c r="D392" s="212"/>
      <c r="E392" s="27"/>
      <c r="L392" s="242"/>
      <c r="M392" s="36"/>
      <c r="N392" s="37"/>
      <c r="O392" s="220"/>
      <c r="P392" s="40"/>
      <c r="Q392" s="171"/>
      <c r="R392" s="190"/>
    </row>
    <row r="393">
      <c r="A393" s="64"/>
      <c r="B393" s="64"/>
      <c r="C393" s="40"/>
      <c r="D393" s="212"/>
      <c r="E393" s="27"/>
      <c r="L393" s="242"/>
      <c r="M393" s="36"/>
      <c r="N393" s="37"/>
      <c r="O393" s="220"/>
      <c r="P393" s="40"/>
      <c r="Q393" s="171"/>
      <c r="R393" s="190"/>
    </row>
    <row r="394">
      <c r="A394" s="64"/>
      <c r="B394" s="64"/>
      <c r="C394" s="40"/>
      <c r="D394" s="212"/>
      <c r="E394" s="27"/>
      <c r="L394" s="242"/>
      <c r="M394" s="36"/>
      <c r="N394" s="37"/>
      <c r="O394" s="220"/>
      <c r="P394" s="40"/>
      <c r="Q394" s="171"/>
      <c r="R394" s="190"/>
    </row>
    <row r="395">
      <c r="A395" s="64"/>
      <c r="B395" s="64"/>
      <c r="C395" s="40"/>
      <c r="D395" s="212"/>
      <c r="E395" s="27"/>
      <c r="L395" s="242"/>
      <c r="M395" s="36"/>
      <c r="N395" s="37"/>
      <c r="O395" s="220"/>
      <c r="P395" s="40"/>
      <c r="Q395" s="171"/>
      <c r="R395" s="190"/>
    </row>
    <row r="396">
      <c r="A396" s="64"/>
      <c r="B396" s="64"/>
      <c r="C396" s="40"/>
      <c r="D396" s="212"/>
      <c r="E396" s="27"/>
      <c r="L396" s="242"/>
      <c r="M396" s="36"/>
      <c r="N396" s="37"/>
      <c r="O396" s="220"/>
      <c r="P396" s="40"/>
      <c r="Q396" s="171"/>
      <c r="R396" s="190"/>
    </row>
    <row r="397">
      <c r="A397" s="64"/>
      <c r="B397" s="64"/>
      <c r="C397" s="40"/>
      <c r="D397" s="212"/>
      <c r="E397" s="27"/>
      <c r="L397" s="242"/>
      <c r="M397" s="36"/>
      <c r="N397" s="37"/>
      <c r="O397" s="220"/>
      <c r="P397" s="40"/>
      <c r="Q397" s="171"/>
      <c r="R397" s="190"/>
    </row>
    <row r="398">
      <c r="A398" s="64"/>
      <c r="B398" s="64"/>
      <c r="C398" s="40"/>
      <c r="D398" s="212"/>
      <c r="E398" s="27"/>
      <c r="L398" s="242"/>
      <c r="M398" s="36"/>
      <c r="N398" s="37"/>
      <c r="O398" s="220"/>
      <c r="P398" s="40"/>
      <c r="Q398" s="171"/>
      <c r="R398" s="190"/>
    </row>
    <row r="399">
      <c r="A399" s="64"/>
      <c r="B399" s="64"/>
      <c r="C399" s="40"/>
      <c r="D399" s="212"/>
      <c r="E399" s="27"/>
      <c r="L399" s="242"/>
      <c r="M399" s="36"/>
      <c r="N399" s="37"/>
      <c r="O399" s="220"/>
      <c r="P399" s="40"/>
      <c r="Q399" s="171"/>
      <c r="R399" s="190"/>
    </row>
    <row r="400">
      <c r="A400" s="64"/>
      <c r="B400" s="64"/>
      <c r="C400" s="40"/>
      <c r="D400" s="212"/>
      <c r="E400" s="27"/>
      <c r="L400" s="242"/>
      <c r="M400" s="36"/>
      <c r="N400" s="37"/>
      <c r="O400" s="220"/>
      <c r="P400" s="40"/>
      <c r="Q400" s="171"/>
      <c r="R400" s="190"/>
    </row>
    <row r="401">
      <c r="A401" s="64"/>
      <c r="B401" s="64"/>
      <c r="C401" s="40"/>
      <c r="D401" s="212"/>
      <c r="E401" s="27"/>
      <c r="L401" s="242"/>
      <c r="M401" s="36"/>
      <c r="N401" s="37"/>
      <c r="O401" s="220"/>
      <c r="P401" s="40"/>
      <c r="Q401" s="171"/>
      <c r="R401" s="190"/>
    </row>
    <row r="402">
      <c r="A402" s="64"/>
      <c r="B402" s="64"/>
      <c r="C402" s="40"/>
      <c r="D402" s="212"/>
      <c r="E402" s="27"/>
      <c r="L402" s="242"/>
      <c r="M402" s="36"/>
      <c r="N402" s="37"/>
      <c r="O402" s="220"/>
      <c r="P402" s="40"/>
      <c r="Q402" s="171"/>
      <c r="R402" s="190"/>
    </row>
    <row r="403">
      <c r="A403" s="64"/>
      <c r="B403" s="64"/>
      <c r="C403" s="40"/>
      <c r="D403" s="212"/>
      <c r="E403" s="27"/>
      <c r="L403" s="242"/>
      <c r="M403" s="36"/>
      <c r="N403" s="37"/>
      <c r="O403" s="220"/>
      <c r="P403" s="40"/>
      <c r="Q403" s="171"/>
      <c r="R403" s="190"/>
    </row>
    <row r="404">
      <c r="A404" s="64"/>
      <c r="B404" s="64"/>
      <c r="C404" s="40"/>
      <c r="D404" s="212"/>
      <c r="E404" s="27"/>
      <c r="L404" s="242"/>
      <c r="M404" s="36"/>
      <c r="N404" s="37"/>
      <c r="O404" s="220"/>
      <c r="P404" s="40"/>
      <c r="Q404" s="171"/>
      <c r="R404" s="190"/>
    </row>
    <row r="405">
      <c r="A405" s="64"/>
      <c r="B405" s="64"/>
      <c r="C405" s="40"/>
      <c r="D405" s="212"/>
      <c r="E405" s="27"/>
      <c r="L405" s="242"/>
      <c r="M405" s="36"/>
      <c r="N405" s="37"/>
      <c r="O405" s="220"/>
      <c r="P405" s="40"/>
      <c r="Q405" s="171"/>
      <c r="R405" s="190"/>
    </row>
    <row r="406">
      <c r="A406" s="64"/>
      <c r="B406" s="64"/>
      <c r="C406" s="40"/>
      <c r="D406" s="212"/>
      <c r="E406" s="27"/>
      <c r="L406" s="242"/>
      <c r="M406" s="36"/>
      <c r="N406" s="37"/>
      <c r="O406" s="220"/>
      <c r="P406" s="40"/>
      <c r="Q406" s="171"/>
      <c r="R406" s="190"/>
    </row>
    <row r="407">
      <c r="A407" s="64"/>
      <c r="B407" s="64"/>
      <c r="C407" s="40"/>
      <c r="D407" s="212"/>
      <c r="E407" s="27"/>
      <c r="L407" s="242"/>
      <c r="M407" s="36"/>
      <c r="N407" s="37"/>
      <c r="O407" s="220"/>
      <c r="P407" s="40"/>
      <c r="Q407" s="171"/>
      <c r="R407" s="190"/>
    </row>
    <row r="408">
      <c r="A408" s="64"/>
      <c r="B408" s="64"/>
      <c r="C408" s="40"/>
      <c r="D408" s="212"/>
      <c r="E408" s="27"/>
      <c r="L408" s="242"/>
      <c r="M408" s="36"/>
      <c r="N408" s="37"/>
      <c r="O408" s="220"/>
      <c r="P408" s="40"/>
      <c r="Q408" s="171"/>
      <c r="R408" s="190"/>
    </row>
    <row r="409">
      <c r="A409" s="64"/>
      <c r="B409" s="64"/>
      <c r="C409" s="40"/>
      <c r="D409" s="212"/>
      <c r="E409" s="27"/>
      <c r="L409" s="242"/>
      <c r="M409" s="36"/>
      <c r="N409" s="37"/>
      <c r="O409" s="220"/>
      <c r="P409" s="40"/>
      <c r="Q409" s="171"/>
      <c r="R409" s="190"/>
    </row>
    <row r="410">
      <c r="A410" s="64"/>
      <c r="B410" s="64"/>
      <c r="C410" s="40"/>
      <c r="D410" s="212"/>
      <c r="E410" s="27"/>
      <c r="L410" s="242"/>
      <c r="M410" s="36"/>
      <c r="N410" s="37"/>
      <c r="O410" s="220"/>
      <c r="P410" s="40"/>
      <c r="Q410" s="171"/>
      <c r="R410" s="190"/>
    </row>
    <row r="411">
      <c r="A411" s="64"/>
      <c r="B411" s="64"/>
      <c r="C411" s="40"/>
      <c r="D411" s="212"/>
      <c r="E411" s="27"/>
      <c r="L411" s="242"/>
      <c r="M411" s="36"/>
      <c r="N411" s="37"/>
      <c r="O411" s="220"/>
      <c r="P411" s="40"/>
      <c r="Q411" s="171"/>
      <c r="R411" s="190"/>
    </row>
    <row r="412">
      <c r="A412" s="64"/>
      <c r="B412" s="64"/>
      <c r="C412" s="40"/>
      <c r="D412" s="212"/>
      <c r="E412" s="27"/>
      <c r="L412" s="242"/>
      <c r="M412" s="36"/>
      <c r="N412" s="37"/>
      <c r="O412" s="220"/>
      <c r="P412" s="40"/>
      <c r="Q412" s="171"/>
      <c r="R412" s="190"/>
    </row>
    <row r="413">
      <c r="A413" s="64"/>
      <c r="B413" s="64"/>
      <c r="C413" s="40"/>
      <c r="D413" s="212"/>
      <c r="E413" s="27"/>
      <c r="L413" s="242"/>
      <c r="M413" s="36"/>
      <c r="N413" s="37"/>
      <c r="O413" s="220"/>
      <c r="P413" s="40"/>
      <c r="Q413" s="171"/>
      <c r="R413" s="190"/>
    </row>
    <row r="414">
      <c r="A414" s="64"/>
      <c r="B414" s="64"/>
      <c r="C414" s="40"/>
      <c r="D414" s="212"/>
      <c r="E414" s="27"/>
      <c r="L414" s="242"/>
      <c r="M414" s="36"/>
      <c r="N414" s="37"/>
      <c r="O414" s="220"/>
      <c r="P414" s="40"/>
      <c r="Q414" s="171"/>
      <c r="R414" s="190"/>
    </row>
    <row r="415">
      <c r="A415" s="64"/>
      <c r="B415" s="64"/>
      <c r="C415" s="40"/>
      <c r="D415" s="212"/>
      <c r="E415" s="27"/>
      <c r="L415" s="242"/>
      <c r="M415" s="36"/>
      <c r="N415" s="37"/>
      <c r="O415" s="220"/>
      <c r="P415" s="40"/>
      <c r="Q415" s="171"/>
      <c r="R415" s="190"/>
    </row>
    <row r="416">
      <c r="A416" s="64"/>
      <c r="B416" s="64"/>
      <c r="C416" s="40"/>
      <c r="D416" s="212"/>
      <c r="E416" s="27"/>
      <c r="L416" s="242"/>
      <c r="M416" s="36"/>
      <c r="N416" s="37"/>
      <c r="O416" s="220"/>
      <c r="P416" s="40"/>
      <c r="Q416" s="171"/>
      <c r="R416" s="190"/>
    </row>
    <row r="417">
      <c r="A417" s="64"/>
      <c r="B417" s="64"/>
      <c r="C417" s="40"/>
      <c r="D417" s="212"/>
      <c r="E417" s="27"/>
      <c r="L417" s="242"/>
      <c r="M417" s="36"/>
      <c r="N417" s="37"/>
      <c r="O417" s="220"/>
      <c r="P417" s="40"/>
      <c r="Q417" s="171"/>
      <c r="R417" s="190"/>
    </row>
    <row r="418">
      <c r="A418" s="64"/>
      <c r="B418" s="64"/>
      <c r="C418" s="40"/>
      <c r="D418" s="212"/>
      <c r="E418" s="27"/>
      <c r="L418" s="242"/>
      <c r="M418" s="36"/>
      <c r="N418" s="37"/>
      <c r="O418" s="220"/>
      <c r="P418" s="40"/>
      <c r="Q418" s="171"/>
      <c r="R418" s="190"/>
    </row>
    <row r="419">
      <c r="A419" s="64"/>
      <c r="B419" s="64"/>
      <c r="C419" s="40"/>
      <c r="D419" s="212"/>
      <c r="E419" s="27"/>
      <c r="L419" s="242"/>
      <c r="M419" s="36"/>
      <c r="N419" s="37"/>
      <c r="O419" s="220"/>
      <c r="P419" s="40"/>
      <c r="Q419" s="171"/>
      <c r="R419" s="190"/>
    </row>
    <row r="420">
      <c r="A420" s="64"/>
      <c r="B420" s="64"/>
      <c r="C420" s="40"/>
      <c r="D420" s="212"/>
      <c r="E420" s="27"/>
      <c r="L420" s="242"/>
      <c r="M420" s="36"/>
      <c r="N420" s="37"/>
      <c r="O420" s="220"/>
      <c r="P420" s="40"/>
      <c r="Q420" s="171"/>
      <c r="R420" s="190"/>
    </row>
    <row r="421">
      <c r="A421" s="64"/>
      <c r="B421" s="64"/>
      <c r="C421" s="40"/>
      <c r="D421" s="212"/>
      <c r="E421" s="27"/>
      <c r="L421" s="242"/>
      <c r="M421" s="36"/>
      <c r="N421" s="37"/>
      <c r="O421" s="220"/>
      <c r="P421" s="40"/>
      <c r="Q421" s="171"/>
      <c r="R421" s="190"/>
    </row>
    <row r="422">
      <c r="A422" s="64"/>
      <c r="B422" s="64"/>
      <c r="C422" s="40"/>
      <c r="D422" s="212"/>
      <c r="E422" s="27"/>
      <c r="L422" s="242"/>
      <c r="M422" s="36"/>
      <c r="N422" s="37"/>
      <c r="O422" s="220"/>
      <c r="P422" s="40"/>
      <c r="Q422" s="171"/>
      <c r="R422" s="190"/>
    </row>
    <row r="423">
      <c r="A423" s="64"/>
      <c r="B423" s="64"/>
      <c r="C423" s="40"/>
      <c r="D423" s="212"/>
      <c r="E423" s="27"/>
      <c r="L423" s="242"/>
      <c r="M423" s="36"/>
      <c r="N423" s="37"/>
      <c r="O423" s="220"/>
      <c r="P423" s="40"/>
      <c r="Q423" s="171"/>
      <c r="R423" s="190"/>
    </row>
    <row r="424">
      <c r="A424" s="64"/>
      <c r="B424" s="64"/>
      <c r="C424" s="40"/>
      <c r="D424" s="212"/>
      <c r="E424" s="27"/>
      <c r="L424" s="242"/>
      <c r="M424" s="36"/>
      <c r="N424" s="37"/>
      <c r="O424" s="220"/>
      <c r="P424" s="40"/>
      <c r="Q424" s="171"/>
      <c r="R424" s="190"/>
    </row>
    <row r="425">
      <c r="A425" s="64"/>
      <c r="B425" s="64"/>
      <c r="C425" s="40"/>
      <c r="D425" s="212"/>
      <c r="E425" s="27"/>
      <c r="L425" s="242"/>
      <c r="M425" s="36"/>
      <c r="N425" s="37"/>
      <c r="O425" s="220"/>
      <c r="P425" s="40"/>
      <c r="Q425" s="171"/>
      <c r="R425" s="190"/>
    </row>
    <row r="426">
      <c r="A426" s="64"/>
      <c r="B426" s="64"/>
      <c r="C426" s="40"/>
      <c r="D426" s="212"/>
      <c r="E426" s="27"/>
      <c r="L426" s="242"/>
      <c r="M426" s="36"/>
      <c r="N426" s="37"/>
      <c r="O426" s="220"/>
      <c r="P426" s="40"/>
      <c r="Q426" s="171"/>
      <c r="R426" s="190"/>
    </row>
    <row r="427">
      <c r="A427" s="64"/>
      <c r="B427" s="64"/>
      <c r="C427" s="40"/>
      <c r="D427" s="212"/>
      <c r="E427" s="27"/>
      <c r="L427" s="242"/>
      <c r="M427" s="36"/>
      <c r="N427" s="37"/>
      <c r="O427" s="220"/>
      <c r="P427" s="40"/>
      <c r="Q427" s="171"/>
      <c r="R427" s="190"/>
    </row>
    <row r="428">
      <c r="A428" s="64"/>
      <c r="B428" s="64"/>
      <c r="C428" s="40"/>
      <c r="D428" s="212"/>
      <c r="E428" s="27"/>
      <c r="L428" s="242"/>
      <c r="M428" s="36"/>
      <c r="N428" s="37"/>
      <c r="O428" s="220"/>
      <c r="P428" s="40"/>
      <c r="Q428" s="171"/>
      <c r="R428" s="190"/>
    </row>
    <row r="429">
      <c r="A429" s="64"/>
      <c r="B429" s="64"/>
      <c r="C429" s="40"/>
      <c r="D429" s="212"/>
      <c r="E429" s="27"/>
      <c r="L429" s="242"/>
      <c r="M429" s="36"/>
      <c r="N429" s="37"/>
      <c r="O429" s="220"/>
      <c r="P429" s="40"/>
      <c r="Q429" s="171"/>
      <c r="R429" s="190"/>
    </row>
    <row r="430">
      <c r="A430" s="64"/>
      <c r="B430" s="64"/>
      <c r="C430" s="40"/>
      <c r="D430" s="212"/>
      <c r="E430" s="27"/>
      <c r="L430" s="242"/>
      <c r="M430" s="36"/>
      <c r="N430" s="37"/>
      <c r="O430" s="220"/>
      <c r="P430" s="40"/>
      <c r="Q430" s="171"/>
      <c r="R430" s="190"/>
    </row>
    <row r="431">
      <c r="A431" s="64"/>
      <c r="B431" s="64"/>
      <c r="C431" s="40"/>
      <c r="D431" s="212"/>
      <c r="E431" s="27"/>
      <c r="L431" s="242"/>
      <c r="M431" s="36"/>
      <c r="N431" s="37"/>
      <c r="O431" s="220"/>
      <c r="P431" s="40"/>
      <c r="Q431" s="171"/>
      <c r="R431" s="190"/>
    </row>
    <row r="432">
      <c r="A432" s="64"/>
      <c r="B432" s="64"/>
      <c r="C432" s="40"/>
      <c r="D432" s="212"/>
      <c r="E432" s="27"/>
      <c r="L432" s="242"/>
      <c r="M432" s="36"/>
      <c r="N432" s="37"/>
      <c r="O432" s="220"/>
      <c r="P432" s="40"/>
      <c r="Q432" s="171"/>
      <c r="R432" s="190"/>
    </row>
    <row r="433">
      <c r="A433" s="64"/>
      <c r="B433" s="64"/>
      <c r="C433" s="40"/>
      <c r="D433" s="212"/>
      <c r="E433" s="27"/>
      <c r="L433" s="242"/>
      <c r="M433" s="36"/>
      <c r="N433" s="37"/>
      <c r="O433" s="220"/>
      <c r="P433" s="40"/>
      <c r="Q433" s="171"/>
      <c r="R433" s="190"/>
    </row>
    <row r="434">
      <c r="A434" s="64"/>
      <c r="B434" s="64"/>
      <c r="C434" s="40"/>
      <c r="D434" s="212"/>
      <c r="E434" s="27"/>
      <c r="L434" s="242"/>
      <c r="M434" s="36"/>
      <c r="N434" s="37"/>
      <c r="O434" s="220"/>
      <c r="P434" s="40"/>
      <c r="Q434" s="171"/>
      <c r="R434" s="190"/>
    </row>
    <row r="435">
      <c r="A435" s="64"/>
      <c r="B435" s="64"/>
      <c r="C435" s="40"/>
      <c r="D435" s="212"/>
      <c r="E435" s="27"/>
      <c r="L435" s="242"/>
      <c r="M435" s="36"/>
      <c r="N435" s="37"/>
      <c r="O435" s="220"/>
      <c r="P435" s="40"/>
      <c r="Q435" s="171"/>
      <c r="R435" s="190"/>
    </row>
    <row r="436">
      <c r="A436" s="64"/>
      <c r="B436" s="64"/>
      <c r="C436" s="40"/>
      <c r="D436" s="212"/>
      <c r="E436" s="27"/>
      <c r="L436" s="242"/>
      <c r="M436" s="36"/>
      <c r="N436" s="37"/>
      <c r="O436" s="220"/>
      <c r="P436" s="40"/>
      <c r="Q436" s="171"/>
      <c r="R436" s="190"/>
    </row>
    <row r="437">
      <c r="A437" s="64"/>
      <c r="B437" s="64"/>
      <c r="C437" s="40"/>
      <c r="D437" s="212"/>
      <c r="E437" s="27"/>
      <c r="L437" s="242"/>
      <c r="M437" s="36"/>
      <c r="N437" s="37"/>
      <c r="O437" s="220"/>
      <c r="P437" s="40"/>
      <c r="Q437" s="171"/>
      <c r="R437" s="190"/>
    </row>
    <row r="438">
      <c r="A438" s="64"/>
      <c r="B438" s="64"/>
      <c r="C438" s="40"/>
      <c r="D438" s="212"/>
      <c r="E438" s="27"/>
      <c r="L438" s="242"/>
      <c r="M438" s="36"/>
      <c r="N438" s="37"/>
      <c r="O438" s="220"/>
      <c r="P438" s="40"/>
      <c r="Q438" s="171"/>
      <c r="R438" s="190"/>
    </row>
    <row r="439">
      <c r="A439" s="64"/>
      <c r="B439" s="64"/>
      <c r="C439" s="40"/>
      <c r="D439" s="212"/>
      <c r="E439" s="27"/>
      <c r="L439" s="242"/>
      <c r="M439" s="36"/>
      <c r="N439" s="37"/>
      <c r="O439" s="220"/>
      <c r="P439" s="40"/>
      <c r="Q439" s="171"/>
      <c r="R439" s="190"/>
    </row>
    <row r="440">
      <c r="A440" s="64"/>
      <c r="B440" s="64"/>
      <c r="C440" s="40"/>
      <c r="D440" s="212"/>
      <c r="E440" s="27"/>
      <c r="L440" s="242"/>
      <c r="M440" s="36"/>
      <c r="N440" s="37"/>
      <c r="O440" s="220"/>
      <c r="P440" s="40"/>
      <c r="Q440" s="171"/>
      <c r="R440" s="190"/>
    </row>
    <row r="441">
      <c r="A441" s="64"/>
      <c r="B441" s="64"/>
      <c r="C441" s="40"/>
      <c r="D441" s="212"/>
      <c r="E441" s="27"/>
      <c r="L441" s="242"/>
      <c r="M441" s="36"/>
      <c r="N441" s="37"/>
      <c r="O441" s="220"/>
      <c r="P441" s="40"/>
      <c r="Q441" s="171"/>
      <c r="R441" s="190"/>
    </row>
    <row r="442">
      <c r="A442" s="64"/>
      <c r="B442" s="64"/>
      <c r="C442" s="40"/>
      <c r="D442" s="212"/>
      <c r="E442" s="27"/>
      <c r="L442" s="242"/>
      <c r="M442" s="36"/>
      <c r="N442" s="37"/>
      <c r="O442" s="220"/>
      <c r="P442" s="40"/>
      <c r="Q442" s="171"/>
      <c r="R442" s="190"/>
    </row>
    <row r="443">
      <c r="A443" s="64"/>
      <c r="B443" s="64"/>
      <c r="C443" s="40"/>
      <c r="D443" s="212"/>
      <c r="E443" s="27"/>
      <c r="L443" s="242"/>
      <c r="M443" s="36"/>
      <c r="N443" s="37"/>
      <c r="O443" s="220"/>
      <c r="P443" s="40"/>
      <c r="Q443" s="171"/>
      <c r="R443" s="190"/>
    </row>
    <row r="444">
      <c r="A444" s="64"/>
      <c r="B444" s="64"/>
      <c r="C444" s="40"/>
      <c r="D444" s="212"/>
      <c r="E444" s="27"/>
      <c r="L444" s="242"/>
      <c r="M444" s="36"/>
      <c r="N444" s="37"/>
      <c r="O444" s="220"/>
      <c r="P444" s="40"/>
      <c r="Q444" s="171"/>
      <c r="R444" s="190"/>
    </row>
    <row r="445">
      <c r="A445" s="64"/>
      <c r="B445" s="64"/>
      <c r="C445" s="40"/>
      <c r="D445" s="212"/>
      <c r="E445" s="27"/>
      <c r="L445" s="242"/>
      <c r="M445" s="36"/>
      <c r="N445" s="37"/>
      <c r="O445" s="220"/>
      <c r="P445" s="40"/>
      <c r="Q445" s="171"/>
      <c r="R445" s="190"/>
    </row>
    <row r="446">
      <c r="A446" s="64"/>
      <c r="B446" s="64"/>
      <c r="C446" s="40"/>
      <c r="D446" s="212"/>
      <c r="E446" s="27"/>
      <c r="L446" s="242"/>
      <c r="M446" s="36"/>
      <c r="N446" s="37"/>
      <c r="O446" s="220"/>
      <c r="P446" s="40"/>
      <c r="Q446" s="171"/>
      <c r="R446" s="190"/>
    </row>
    <row r="447">
      <c r="A447" s="64"/>
      <c r="B447" s="64"/>
      <c r="C447" s="40"/>
      <c r="D447" s="212"/>
      <c r="E447" s="27"/>
      <c r="L447" s="242"/>
      <c r="M447" s="36"/>
      <c r="N447" s="37"/>
      <c r="O447" s="220"/>
      <c r="P447" s="40"/>
      <c r="Q447" s="171"/>
      <c r="R447" s="190"/>
    </row>
    <row r="448">
      <c r="A448" s="64"/>
      <c r="B448" s="64"/>
      <c r="C448" s="40"/>
      <c r="D448" s="212"/>
      <c r="E448" s="27"/>
      <c r="L448" s="242"/>
      <c r="M448" s="36"/>
      <c r="N448" s="37"/>
      <c r="O448" s="220"/>
      <c r="P448" s="40"/>
      <c r="Q448" s="171"/>
      <c r="R448" s="190"/>
    </row>
    <row r="449">
      <c r="A449" s="64"/>
      <c r="B449" s="64"/>
      <c r="C449" s="40"/>
      <c r="D449" s="212"/>
      <c r="E449" s="27"/>
      <c r="L449" s="242"/>
      <c r="M449" s="36"/>
      <c r="N449" s="37"/>
      <c r="O449" s="220"/>
      <c r="P449" s="40"/>
      <c r="Q449" s="171"/>
      <c r="R449" s="190"/>
    </row>
    <row r="450">
      <c r="A450" s="64"/>
      <c r="B450" s="64"/>
      <c r="C450" s="40"/>
      <c r="D450" s="212"/>
      <c r="E450" s="27"/>
      <c r="L450" s="242"/>
      <c r="M450" s="36"/>
      <c r="N450" s="37"/>
      <c r="O450" s="220"/>
      <c r="P450" s="40"/>
      <c r="Q450" s="171"/>
      <c r="R450" s="190"/>
    </row>
    <row r="451">
      <c r="A451" s="64"/>
      <c r="B451" s="64"/>
      <c r="C451" s="40"/>
      <c r="D451" s="212"/>
      <c r="E451" s="27"/>
      <c r="L451" s="242"/>
      <c r="M451" s="36"/>
      <c r="N451" s="37"/>
      <c r="O451" s="220"/>
      <c r="P451" s="40"/>
      <c r="Q451" s="171"/>
      <c r="R451" s="190"/>
    </row>
    <row r="452">
      <c r="A452" s="64"/>
      <c r="B452" s="64"/>
      <c r="C452" s="40"/>
      <c r="D452" s="212"/>
      <c r="E452" s="27"/>
      <c r="L452" s="242"/>
      <c r="M452" s="36"/>
      <c r="N452" s="37"/>
      <c r="O452" s="220"/>
      <c r="P452" s="40"/>
      <c r="Q452" s="171"/>
      <c r="R452" s="190"/>
    </row>
    <row r="453">
      <c r="A453" s="64"/>
      <c r="B453" s="64"/>
      <c r="C453" s="40"/>
      <c r="D453" s="212"/>
      <c r="E453" s="27"/>
      <c r="L453" s="242"/>
      <c r="M453" s="36"/>
      <c r="N453" s="37"/>
      <c r="O453" s="220"/>
      <c r="P453" s="40"/>
      <c r="Q453" s="171"/>
      <c r="R453" s="190"/>
    </row>
    <row r="454">
      <c r="A454" s="64"/>
      <c r="B454" s="64"/>
      <c r="C454" s="40"/>
      <c r="D454" s="212"/>
      <c r="E454" s="27"/>
      <c r="L454" s="242"/>
      <c r="M454" s="36"/>
      <c r="N454" s="37"/>
      <c r="O454" s="220"/>
      <c r="P454" s="40"/>
      <c r="Q454" s="171"/>
      <c r="R454" s="190"/>
    </row>
    <row r="455">
      <c r="A455" s="64"/>
      <c r="B455" s="64"/>
      <c r="C455" s="40"/>
      <c r="D455" s="212"/>
      <c r="E455" s="27"/>
      <c r="L455" s="242"/>
      <c r="M455" s="36"/>
      <c r="N455" s="37"/>
      <c r="O455" s="220"/>
      <c r="P455" s="40"/>
      <c r="Q455" s="171"/>
      <c r="R455" s="190"/>
    </row>
    <row r="456">
      <c r="A456" s="64"/>
      <c r="B456" s="64"/>
      <c r="C456" s="40"/>
      <c r="D456" s="212"/>
      <c r="E456" s="27"/>
      <c r="L456" s="242"/>
      <c r="M456" s="36"/>
      <c r="N456" s="37"/>
      <c r="O456" s="220"/>
      <c r="P456" s="40"/>
      <c r="Q456" s="171"/>
      <c r="R456" s="190"/>
    </row>
    <row r="457">
      <c r="A457" s="64"/>
      <c r="B457" s="64"/>
      <c r="C457" s="40"/>
      <c r="D457" s="212"/>
      <c r="E457" s="27"/>
      <c r="L457" s="242"/>
      <c r="M457" s="36"/>
      <c r="N457" s="37"/>
      <c r="O457" s="220"/>
      <c r="P457" s="40"/>
      <c r="Q457" s="171"/>
      <c r="R457" s="190"/>
    </row>
    <row r="458">
      <c r="A458" s="64"/>
      <c r="B458" s="64"/>
      <c r="C458" s="40"/>
      <c r="D458" s="212"/>
      <c r="E458" s="27"/>
      <c r="L458" s="242"/>
      <c r="M458" s="36"/>
      <c r="N458" s="37"/>
      <c r="O458" s="220"/>
      <c r="P458" s="40"/>
      <c r="Q458" s="171"/>
      <c r="R458" s="190"/>
    </row>
    <row r="459">
      <c r="A459" s="64"/>
      <c r="B459" s="64"/>
      <c r="C459" s="40"/>
      <c r="D459" s="212"/>
      <c r="E459" s="27"/>
      <c r="L459" s="242"/>
      <c r="M459" s="36"/>
      <c r="N459" s="37"/>
      <c r="O459" s="220"/>
      <c r="P459" s="40"/>
      <c r="Q459" s="171"/>
      <c r="R459" s="190"/>
    </row>
    <row r="460">
      <c r="A460" s="64"/>
      <c r="B460" s="64"/>
      <c r="C460" s="40"/>
      <c r="D460" s="212"/>
      <c r="E460" s="27"/>
      <c r="L460" s="242"/>
      <c r="M460" s="36"/>
      <c r="N460" s="37"/>
      <c r="O460" s="220"/>
      <c r="P460" s="40"/>
      <c r="Q460" s="171"/>
      <c r="R460" s="190"/>
    </row>
    <row r="461">
      <c r="A461" s="64"/>
      <c r="B461" s="64"/>
      <c r="C461" s="40"/>
      <c r="D461" s="212"/>
      <c r="E461" s="27"/>
      <c r="L461" s="242"/>
      <c r="M461" s="36"/>
      <c r="N461" s="37"/>
      <c r="O461" s="220"/>
      <c r="P461" s="40"/>
      <c r="Q461" s="171"/>
      <c r="R461" s="190"/>
    </row>
    <row r="462">
      <c r="A462" s="64"/>
      <c r="B462" s="64"/>
      <c r="C462" s="40"/>
      <c r="D462" s="212"/>
      <c r="E462" s="27"/>
      <c r="L462" s="242"/>
      <c r="M462" s="36"/>
      <c r="N462" s="37"/>
      <c r="O462" s="220"/>
      <c r="P462" s="40"/>
      <c r="Q462" s="171"/>
      <c r="R462" s="190"/>
    </row>
    <row r="463">
      <c r="A463" s="64"/>
      <c r="B463" s="64"/>
      <c r="C463" s="40"/>
      <c r="D463" s="212"/>
      <c r="E463" s="27"/>
      <c r="L463" s="242"/>
      <c r="M463" s="36"/>
      <c r="N463" s="37"/>
      <c r="O463" s="220"/>
      <c r="P463" s="40"/>
      <c r="Q463" s="171"/>
      <c r="R463" s="190"/>
    </row>
    <row r="464">
      <c r="A464" s="64"/>
      <c r="B464" s="64"/>
      <c r="C464" s="40"/>
      <c r="D464" s="212"/>
      <c r="E464" s="27"/>
      <c r="L464" s="242"/>
      <c r="M464" s="36"/>
      <c r="N464" s="37"/>
      <c r="O464" s="220"/>
      <c r="P464" s="40"/>
      <c r="Q464" s="171"/>
      <c r="R464" s="190"/>
    </row>
    <row r="465">
      <c r="A465" s="64"/>
      <c r="B465" s="64"/>
      <c r="C465" s="40"/>
      <c r="D465" s="212"/>
      <c r="E465" s="27"/>
      <c r="L465" s="242"/>
      <c r="M465" s="36"/>
      <c r="N465" s="37"/>
      <c r="O465" s="220"/>
      <c r="P465" s="40"/>
      <c r="Q465" s="171"/>
      <c r="R465" s="190"/>
    </row>
    <row r="466">
      <c r="A466" s="64"/>
      <c r="B466" s="64"/>
      <c r="C466" s="40"/>
      <c r="D466" s="212"/>
      <c r="E466" s="27"/>
      <c r="L466" s="242"/>
      <c r="M466" s="36"/>
      <c r="N466" s="37"/>
      <c r="O466" s="220"/>
      <c r="P466" s="40"/>
      <c r="Q466" s="171"/>
      <c r="R466" s="190"/>
    </row>
    <row r="467">
      <c r="A467" s="64"/>
      <c r="B467" s="64"/>
      <c r="C467" s="40"/>
      <c r="D467" s="212"/>
      <c r="E467" s="27"/>
      <c r="L467" s="242"/>
      <c r="M467" s="36"/>
      <c r="N467" s="37"/>
      <c r="O467" s="220"/>
      <c r="P467" s="40"/>
      <c r="Q467" s="171"/>
      <c r="R467" s="190"/>
    </row>
    <row r="468">
      <c r="A468" s="64"/>
      <c r="B468" s="64"/>
      <c r="C468" s="40"/>
      <c r="D468" s="212"/>
      <c r="E468" s="27"/>
      <c r="L468" s="242"/>
      <c r="M468" s="36"/>
      <c r="N468" s="37"/>
      <c r="O468" s="220"/>
      <c r="P468" s="40"/>
      <c r="Q468" s="171"/>
      <c r="R468" s="190"/>
    </row>
    <row r="469">
      <c r="A469" s="64"/>
      <c r="B469" s="64"/>
      <c r="C469" s="40"/>
      <c r="D469" s="212"/>
      <c r="E469" s="27"/>
      <c r="L469" s="242"/>
      <c r="M469" s="36"/>
      <c r="N469" s="37"/>
      <c r="O469" s="220"/>
      <c r="P469" s="40"/>
      <c r="Q469" s="171"/>
      <c r="R469" s="190"/>
    </row>
    <row r="470">
      <c r="A470" s="64"/>
      <c r="B470" s="64"/>
      <c r="C470" s="40"/>
      <c r="D470" s="212"/>
      <c r="E470" s="27"/>
      <c r="L470" s="242"/>
      <c r="M470" s="36"/>
      <c r="N470" s="37"/>
      <c r="O470" s="220"/>
      <c r="P470" s="40"/>
      <c r="Q470" s="171"/>
      <c r="R470" s="190"/>
    </row>
    <row r="471">
      <c r="A471" s="64"/>
      <c r="B471" s="64"/>
      <c r="C471" s="40"/>
      <c r="D471" s="212"/>
      <c r="E471" s="27"/>
      <c r="L471" s="242"/>
      <c r="M471" s="36"/>
      <c r="N471" s="37"/>
      <c r="O471" s="220"/>
      <c r="P471" s="40"/>
      <c r="Q471" s="171"/>
      <c r="R471" s="190"/>
    </row>
    <row r="472">
      <c r="A472" s="64"/>
      <c r="B472" s="64"/>
      <c r="C472" s="40"/>
      <c r="D472" s="212"/>
      <c r="E472" s="27"/>
      <c r="L472" s="242"/>
      <c r="M472" s="36"/>
      <c r="N472" s="37"/>
      <c r="O472" s="220"/>
      <c r="P472" s="40"/>
      <c r="Q472" s="171"/>
      <c r="R472" s="190"/>
    </row>
    <row r="473">
      <c r="A473" s="64"/>
      <c r="B473" s="64"/>
      <c r="C473" s="40"/>
      <c r="D473" s="212"/>
      <c r="E473" s="27"/>
      <c r="L473" s="242"/>
      <c r="M473" s="36"/>
      <c r="N473" s="37"/>
      <c r="O473" s="220"/>
      <c r="P473" s="40"/>
      <c r="Q473" s="171"/>
      <c r="R473" s="190"/>
    </row>
    <row r="474">
      <c r="A474" s="64"/>
      <c r="B474" s="64"/>
      <c r="C474" s="40"/>
      <c r="D474" s="212"/>
      <c r="E474" s="27"/>
      <c r="L474" s="242"/>
      <c r="M474" s="36"/>
      <c r="N474" s="37"/>
      <c r="O474" s="220"/>
      <c r="P474" s="40"/>
      <c r="Q474" s="171"/>
      <c r="R474" s="190"/>
    </row>
    <row r="475">
      <c r="A475" s="64"/>
      <c r="B475" s="64"/>
      <c r="C475" s="40"/>
      <c r="D475" s="212"/>
      <c r="E475" s="27"/>
      <c r="L475" s="242"/>
      <c r="M475" s="36"/>
      <c r="N475" s="37"/>
      <c r="O475" s="220"/>
      <c r="P475" s="40"/>
      <c r="Q475" s="171"/>
      <c r="R475" s="190"/>
    </row>
    <row r="476">
      <c r="A476" s="64"/>
      <c r="B476" s="64"/>
      <c r="C476" s="40"/>
      <c r="D476" s="212"/>
      <c r="E476" s="27"/>
      <c r="L476" s="242"/>
      <c r="M476" s="36"/>
      <c r="N476" s="37"/>
      <c r="O476" s="220"/>
      <c r="P476" s="40"/>
      <c r="Q476" s="171"/>
      <c r="R476" s="190"/>
    </row>
    <row r="477">
      <c r="A477" s="64"/>
      <c r="B477" s="64"/>
      <c r="C477" s="40"/>
      <c r="D477" s="212"/>
      <c r="E477" s="27"/>
      <c r="L477" s="242"/>
      <c r="M477" s="36"/>
      <c r="N477" s="37"/>
      <c r="O477" s="220"/>
      <c r="P477" s="40"/>
      <c r="Q477" s="171"/>
      <c r="R477" s="190"/>
    </row>
    <row r="478">
      <c r="A478" s="64"/>
      <c r="B478" s="64"/>
      <c r="C478" s="40"/>
      <c r="D478" s="212"/>
      <c r="E478" s="27"/>
      <c r="L478" s="242"/>
      <c r="M478" s="36"/>
      <c r="N478" s="37"/>
      <c r="O478" s="220"/>
      <c r="P478" s="40"/>
      <c r="Q478" s="171"/>
      <c r="R478" s="190"/>
    </row>
    <row r="479">
      <c r="A479" s="64"/>
      <c r="B479" s="64"/>
      <c r="C479" s="40"/>
      <c r="D479" s="212"/>
      <c r="E479" s="27"/>
      <c r="L479" s="242"/>
      <c r="M479" s="36"/>
      <c r="N479" s="37"/>
      <c r="O479" s="220"/>
      <c r="P479" s="40"/>
      <c r="Q479" s="171"/>
      <c r="R479" s="190"/>
    </row>
    <row r="480">
      <c r="A480" s="64"/>
      <c r="B480" s="64"/>
      <c r="C480" s="40"/>
      <c r="D480" s="212"/>
      <c r="E480" s="27"/>
      <c r="L480" s="242"/>
      <c r="M480" s="36"/>
      <c r="N480" s="37"/>
      <c r="O480" s="220"/>
      <c r="P480" s="40"/>
      <c r="Q480" s="171"/>
      <c r="R480" s="190"/>
    </row>
    <row r="481">
      <c r="A481" s="64"/>
      <c r="B481" s="64"/>
      <c r="C481" s="40"/>
      <c r="D481" s="212"/>
      <c r="E481" s="27"/>
      <c r="L481" s="242"/>
      <c r="M481" s="36"/>
      <c r="N481" s="37"/>
      <c r="O481" s="220"/>
      <c r="P481" s="40"/>
      <c r="Q481" s="171"/>
      <c r="R481" s="190"/>
    </row>
    <row r="482">
      <c r="A482" s="64"/>
      <c r="B482" s="64"/>
      <c r="C482" s="40"/>
      <c r="D482" s="212"/>
      <c r="E482" s="27"/>
      <c r="L482" s="242"/>
      <c r="M482" s="36"/>
      <c r="N482" s="37"/>
      <c r="O482" s="220"/>
      <c r="P482" s="40"/>
      <c r="Q482" s="171"/>
      <c r="R482" s="190"/>
    </row>
    <row r="483">
      <c r="A483" s="64"/>
      <c r="B483" s="64"/>
      <c r="C483" s="40"/>
      <c r="D483" s="212"/>
      <c r="E483" s="27"/>
      <c r="L483" s="242"/>
      <c r="M483" s="36"/>
      <c r="N483" s="37"/>
      <c r="O483" s="220"/>
      <c r="P483" s="40"/>
      <c r="Q483" s="171"/>
      <c r="R483" s="190"/>
    </row>
    <row r="484">
      <c r="A484" s="64"/>
      <c r="B484" s="64"/>
      <c r="C484" s="40"/>
      <c r="D484" s="212"/>
      <c r="E484" s="27"/>
      <c r="L484" s="242"/>
      <c r="M484" s="36"/>
      <c r="N484" s="37"/>
      <c r="O484" s="220"/>
      <c r="P484" s="40"/>
      <c r="Q484" s="171"/>
      <c r="R484" s="190"/>
    </row>
    <row r="485">
      <c r="A485" s="64"/>
      <c r="B485" s="64"/>
      <c r="C485" s="40"/>
      <c r="D485" s="212"/>
      <c r="E485" s="27"/>
      <c r="L485" s="242"/>
      <c r="M485" s="36"/>
      <c r="N485" s="37"/>
      <c r="O485" s="220"/>
      <c r="P485" s="40"/>
      <c r="Q485" s="171"/>
      <c r="R485" s="190"/>
    </row>
    <row r="486">
      <c r="A486" s="64"/>
      <c r="B486" s="64"/>
      <c r="C486" s="40"/>
      <c r="D486" s="212"/>
      <c r="E486" s="27"/>
      <c r="L486" s="242"/>
      <c r="M486" s="36"/>
      <c r="N486" s="37"/>
      <c r="O486" s="220"/>
      <c r="P486" s="40"/>
      <c r="Q486" s="171"/>
      <c r="R486" s="190"/>
    </row>
    <row r="487">
      <c r="A487" s="64"/>
      <c r="B487" s="64"/>
      <c r="C487" s="40"/>
      <c r="D487" s="212"/>
      <c r="E487" s="27"/>
      <c r="L487" s="242"/>
      <c r="M487" s="36"/>
      <c r="N487" s="37"/>
      <c r="O487" s="220"/>
      <c r="P487" s="40"/>
      <c r="Q487" s="171"/>
      <c r="R487" s="190"/>
    </row>
    <row r="488">
      <c r="A488" s="64"/>
      <c r="B488" s="64"/>
      <c r="C488" s="40"/>
      <c r="D488" s="212"/>
      <c r="E488" s="27"/>
      <c r="L488" s="242"/>
      <c r="M488" s="36"/>
      <c r="N488" s="37"/>
      <c r="O488" s="220"/>
      <c r="P488" s="40"/>
      <c r="Q488" s="171"/>
      <c r="R488" s="190"/>
    </row>
    <row r="489">
      <c r="A489" s="64"/>
      <c r="B489" s="64"/>
      <c r="C489" s="40"/>
      <c r="D489" s="212"/>
      <c r="E489" s="27"/>
      <c r="L489" s="242"/>
      <c r="M489" s="36"/>
      <c r="N489" s="37"/>
      <c r="O489" s="220"/>
      <c r="P489" s="40"/>
      <c r="Q489" s="171"/>
      <c r="R489" s="190"/>
    </row>
    <row r="490">
      <c r="A490" s="64"/>
      <c r="B490" s="64"/>
      <c r="C490" s="40"/>
      <c r="D490" s="212"/>
      <c r="E490" s="27"/>
      <c r="L490" s="242"/>
      <c r="M490" s="36"/>
      <c r="N490" s="37"/>
      <c r="O490" s="220"/>
      <c r="P490" s="40"/>
      <c r="Q490" s="171"/>
      <c r="R490" s="190"/>
    </row>
    <row r="491">
      <c r="A491" s="64"/>
      <c r="B491" s="64"/>
      <c r="C491" s="40"/>
      <c r="D491" s="212"/>
      <c r="E491" s="27"/>
      <c r="L491" s="242"/>
      <c r="M491" s="36"/>
      <c r="N491" s="37"/>
      <c r="O491" s="220"/>
      <c r="P491" s="40"/>
      <c r="Q491" s="171"/>
      <c r="R491" s="190"/>
    </row>
    <row r="492">
      <c r="A492" s="64"/>
      <c r="B492" s="64"/>
      <c r="C492" s="40"/>
      <c r="D492" s="212"/>
      <c r="E492" s="27"/>
      <c r="L492" s="242"/>
      <c r="M492" s="36"/>
      <c r="N492" s="37"/>
      <c r="O492" s="220"/>
      <c r="P492" s="40"/>
      <c r="Q492" s="171"/>
      <c r="R492" s="190"/>
    </row>
    <row r="493">
      <c r="A493" s="64"/>
      <c r="B493" s="64"/>
      <c r="C493" s="40"/>
      <c r="D493" s="212"/>
      <c r="E493" s="27"/>
      <c r="L493" s="242"/>
      <c r="M493" s="36"/>
      <c r="N493" s="37"/>
      <c r="O493" s="220"/>
      <c r="P493" s="40"/>
      <c r="Q493" s="171"/>
      <c r="R493" s="190"/>
    </row>
    <row r="494">
      <c r="A494" s="64"/>
      <c r="B494" s="64"/>
      <c r="C494" s="40"/>
      <c r="D494" s="212"/>
      <c r="E494" s="27"/>
      <c r="L494" s="242"/>
      <c r="M494" s="36"/>
      <c r="N494" s="37"/>
      <c r="O494" s="220"/>
      <c r="P494" s="40"/>
      <c r="Q494" s="171"/>
      <c r="R494" s="190"/>
    </row>
    <row r="495">
      <c r="A495" s="64"/>
      <c r="B495" s="64"/>
      <c r="C495" s="40"/>
      <c r="D495" s="212"/>
      <c r="E495" s="27"/>
      <c r="L495" s="242"/>
      <c r="M495" s="36"/>
      <c r="N495" s="37"/>
      <c r="O495" s="220"/>
      <c r="P495" s="40"/>
      <c r="Q495" s="171"/>
      <c r="R495" s="190"/>
    </row>
    <row r="496">
      <c r="A496" s="64"/>
      <c r="B496" s="64"/>
      <c r="C496" s="40"/>
      <c r="D496" s="212"/>
      <c r="E496" s="27"/>
      <c r="L496" s="242"/>
      <c r="M496" s="36"/>
      <c r="N496" s="37"/>
      <c r="O496" s="220"/>
      <c r="P496" s="40"/>
      <c r="Q496" s="171"/>
      <c r="R496" s="190"/>
    </row>
    <row r="497">
      <c r="A497" s="64"/>
      <c r="B497" s="64"/>
      <c r="C497" s="40"/>
      <c r="D497" s="212"/>
      <c r="E497" s="27"/>
      <c r="L497" s="242"/>
      <c r="M497" s="36"/>
      <c r="N497" s="37"/>
      <c r="O497" s="220"/>
      <c r="P497" s="40"/>
      <c r="Q497" s="171"/>
      <c r="R497" s="190"/>
    </row>
    <row r="498">
      <c r="A498" s="64"/>
      <c r="B498" s="64"/>
      <c r="C498" s="40"/>
      <c r="D498" s="212"/>
      <c r="E498" s="27"/>
      <c r="L498" s="242"/>
      <c r="M498" s="36"/>
      <c r="N498" s="37"/>
      <c r="O498" s="220"/>
      <c r="P498" s="40"/>
      <c r="Q498" s="171"/>
      <c r="R498" s="190"/>
    </row>
    <row r="499">
      <c r="A499" s="64"/>
      <c r="B499" s="64"/>
      <c r="C499" s="40"/>
      <c r="D499" s="212"/>
      <c r="E499" s="27"/>
      <c r="L499" s="242"/>
      <c r="M499" s="36"/>
      <c r="N499" s="37"/>
      <c r="O499" s="220"/>
      <c r="P499" s="40"/>
      <c r="Q499" s="171"/>
      <c r="R499" s="190"/>
    </row>
    <row r="500">
      <c r="A500" s="64"/>
      <c r="B500" s="64"/>
      <c r="C500" s="40"/>
      <c r="D500" s="212"/>
      <c r="E500" s="27"/>
      <c r="L500" s="242"/>
      <c r="M500" s="36"/>
      <c r="N500" s="37"/>
      <c r="O500" s="220"/>
      <c r="P500" s="40"/>
      <c r="Q500" s="171"/>
      <c r="R500" s="190"/>
    </row>
    <row r="501">
      <c r="A501" s="64"/>
      <c r="B501" s="64"/>
      <c r="C501" s="40"/>
      <c r="D501" s="212"/>
      <c r="E501" s="27"/>
      <c r="L501" s="242"/>
      <c r="M501" s="36"/>
      <c r="N501" s="37"/>
      <c r="O501" s="220"/>
      <c r="P501" s="40"/>
      <c r="Q501" s="171"/>
      <c r="R501" s="190"/>
    </row>
    <row r="502">
      <c r="A502" s="64"/>
      <c r="B502" s="64"/>
      <c r="C502" s="40"/>
      <c r="D502" s="212"/>
      <c r="E502" s="27"/>
      <c r="L502" s="242"/>
      <c r="M502" s="36"/>
      <c r="N502" s="37"/>
      <c r="O502" s="220"/>
      <c r="P502" s="40"/>
      <c r="Q502" s="171"/>
      <c r="R502" s="190"/>
    </row>
    <row r="503">
      <c r="A503" s="64"/>
      <c r="B503" s="64"/>
      <c r="C503" s="40"/>
      <c r="D503" s="212"/>
      <c r="E503" s="27"/>
      <c r="L503" s="242"/>
      <c r="M503" s="36"/>
      <c r="N503" s="37"/>
      <c r="O503" s="220"/>
      <c r="P503" s="40"/>
      <c r="Q503" s="171"/>
      <c r="R503" s="190"/>
    </row>
    <row r="504">
      <c r="A504" s="64"/>
      <c r="B504" s="64"/>
      <c r="C504" s="40"/>
      <c r="D504" s="212"/>
      <c r="E504" s="27"/>
      <c r="L504" s="242"/>
      <c r="M504" s="36"/>
      <c r="N504" s="37"/>
      <c r="O504" s="220"/>
      <c r="P504" s="40"/>
      <c r="Q504" s="171"/>
      <c r="R504" s="190"/>
    </row>
    <row r="505">
      <c r="A505" s="64"/>
      <c r="B505" s="64"/>
      <c r="C505" s="40"/>
      <c r="D505" s="212"/>
      <c r="E505" s="27"/>
      <c r="L505" s="242"/>
      <c r="M505" s="36"/>
      <c r="N505" s="37"/>
      <c r="O505" s="220"/>
      <c r="P505" s="40"/>
      <c r="Q505" s="171"/>
      <c r="R505" s="190"/>
    </row>
    <row r="506">
      <c r="A506" s="64"/>
      <c r="B506" s="64"/>
      <c r="C506" s="40"/>
      <c r="D506" s="212"/>
      <c r="E506" s="27"/>
      <c r="L506" s="242"/>
      <c r="M506" s="36"/>
      <c r="N506" s="37"/>
      <c r="O506" s="220"/>
      <c r="P506" s="40"/>
      <c r="Q506" s="171"/>
      <c r="R506" s="190"/>
    </row>
    <row r="507">
      <c r="A507" s="64"/>
      <c r="B507" s="64"/>
      <c r="C507" s="40"/>
      <c r="D507" s="212"/>
      <c r="E507" s="27"/>
      <c r="L507" s="242"/>
      <c r="M507" s="36"/>
      <c r="N507" s="37"/>
      <c r="O507" s="220"/>
      <c r="P507" s="40"/>
      <c r="Q507" s="171"/>
      <c r="R507" s="190"/>
    </row>
    <row r="508">
      <c r="A508" s="64"/>
      <c r="B508" s="64"/>
      <c r="C508" s="40"/>
      <c r="D508" s="212"/>
      <c r="E508" s="27"/>
      <c r="L508" s="242"/>
      <c r="M508" s="36"/>
      <c r="N508" s="37"/>
      <c r="O508" s="220"/>
      <c r="P508" s="40"/>
      <c r="Q508" s="171"/>
      <c r="R508" s="190"/>
    </row>
    <row r="509">
      <c r="A509" s="64"/>
      <c r="B509" s="64"/>
      <c r="C509" s="40"/>
      <c r="D509" s="212"/>
      <c r="E509" s="27"/>
      <c r="L509" s="242"/>
      <c r="M509" s="36"/>
      <c r="N509" s="37"/>
      <c r="O509" s="220"/>
      <c r="P509" s="40"/>
      <c r="Q509" s="171"/>
      <c r="R509" s="190"/>
    </row>
    <row r="510">
      <c r="A510" s="64"/>
      <c r="B510" s="64"/>
      <c r="C510" s="40"/>
      <c r="D510" s="212"/>
      <c r="E510" s="27"/>
      <c r="L510" s="242"/>
      <c r="M510" s="36"/>
      <c r="N510" s="37"/>
      <c r="O510" s="220"/>
      <c r="P510" s="40"/>
      <c r="Q510" s="171"/>
      <c r="R510" s="190"/>
    </row>
    <row r="511">
      <c r="A511" s="64"/>
      <c r="B511" s="64"/>
      <c r="C511" s="40"/>
      <c r="D511" s="212"/>
      <c r="E511" s="27"/>
      <c r="L511" s="242"/>
      <c r="M511" s="36"/>
      <c r="N511" s="37"/>
      <c r="O511" s="220"/>
      <c r="P511" s="40"/>
      <c r="Q511" s="171"/>
      <c r="R511" s="190"/>
    </row>
    <row r="512">
      <c r="A512" s="64"/>
      <c r="B512" s="64"/>
      <c r="C512" s="40"/>
      <c r="D512" s="212"/>
      <c r="E512" s="27"/>
      <c r="L512" s="242"/>
      <c r="M512" s="36"/>
      <c r="N512" s="37"/>
      <c r="O512" s="220"/>
      <c r="P512" s="40"/>
      <c r="Q512" s="171"/>
      <c r="R512" s="190"/>
    </row>
    <row r="513">
      <c r="A513" s="64"/>
      <c r="B513" s="64"/>
      <c r="C513" s="40"/>
      <c r="D513" s="212"/>
      <c r="E513" s="27"/>
      <c r="L513" s="242"/>
      <c r="M513" s="36"/>
      <c r="N513" s="37"/>
      <c r="O513" s="220"/>
      <c r="P513" s="40"/>
      <c r="Q513" s="171"/>
      <c r="R513" s="190"/>
    </row>
    <row r="514">
      <c r="A514" s="64"/>
      <c r="B514" s="64"/>
      <c r="C514" s="40"/>
      <c r="D514" s="212"/>
      <c r="E514" s="27"/>
      <c r="L514" s="242"/>
      <c r="M514" s="36"/>
      <c r="N514" s="37"/>
      <c r="O514" s="220"/>
      <c r="P514" s="40"/>
      <c r="Q514" s="171"/>
      <c r="R514" s="190"/>
    </row>
    <row r="515">
      <c r="A515" s="64"/>
      <c r="B515" s="64"/>
      <c r="C515" s="40"/>
      <c r="D515" s="212"/>
      <c r="E515" s="27"/>
      <c r="L515" s="242"/>
      <c r="M515" s="36"/>
      <c r="N515" s="37"/>
      <c r="O515" s="220"/>
      <c r="P515" s="40"/>
      <c r="Q515" s="171"/>
      <c r="R515" s="190"/>
    </row>
    <row r="516">
      <c r="A516" s="64"/>
      <c r="B516" s="64"/>
      <c r="C516" s="40"/>
      <c r="D516" s="212"/>
      <c r="E516" s="27"/>
      <c r="L516" s="242"/>
      <c r="M516" s="36"/>
      <c r="N516" s="37"/>
      <c r="O516" s="220"/>
      <c r="P516" s="40"/>
      <c r="Q516" s="171"/>
      <c r="R516" s="190"/>
    </row>
    <row r="517">
      <c r="A517" s="64"/>
      <c r="B517" s="64"/>
      <c r="C517" s="40"/>
      <c r="D517" s="212"/>
      <c r="E517" s="27"/>
      <c r="L517" s="242"/>
      <c r="M517" s="36"/>
      <c r="N517" s="37"/>
      <c r="O517" s="220"/>
      <c r="P517" s="40"/>
      <c r="Q517" s="171"/>
      <c r="R517" s="190"/>
    </row>
    <row r="518">
      <c r="A518" s="64"/>
      <c r="B518" s="64"/>
      <c r="C518" s="40"/>
      <c r="D518" s="212"/>
      <c r="E518" s="27"/>
      <c r="L518" s="242"/>
      <c r="M518" s="36"/>
      <c r="N518" s="37"/>
      <c r="O518" s="220"/>
      <c r="P518" s="40"/>
      <c r="Q518" s="171"/>
      <c r="R518" s="190"/>
    </row>
    <row r="519">
      <c r="A519" s="64"/>
      <c r="B519" s="64"/>
      <c r="C519" s="40"/>
      <c r="D519" s="212"/>
      <c r="E519" s="27"/>
      <c r="L519" s="242"/>
      <c r="M519" s="36"/>
      <c r="N519" s="37"/>
      <c r="O519" s="220"/>
      <c r="P519" s="40"/>
      <c r="Q519" s="171"/>
      <c r="R519" s="190"/>
    </row>
    <row r="520">
      <c r="A520" s="64"/>
      <c r="B520" s="64"/>
      <c r="C520" s="40"/>
      <c r="D520" s="212"/>
      <c r="E520" s="27"/>
      <c r="L520" s="242"/>
      <c r="M520" s="36"/>
      <c r="N520" s="37"/>
      <c r="O520" s="220"/>
      <c r="P520" s="40"/>
      <c r="Q520" s="171"/>
      <c r="R520" s="190"/>
    </row>
    <row r="521">
      <c r="A521" s="64"/>
      <c r="B521" s="64"/>
      <c r="C521" s="40"/>
      <c r="D521" s="212"/>
      <c r="E521" s="27"/>
      <c r="L521" s="242"/>
      <c r="M521" s="36"/>
      <c r="N521" s="37"/>
      <c r="O521" s="220"/>
      <c r="P521" s="40"/>
      <c r="Q521" s="171"/>
      <c r="R521" s="190"/>
    </row>
    <row r="522">
      <c r="A522" s="64"/>
      <c r="B522" s="64"/>
      <c r="C522" s="40"/>
      <c r="D522" s="212"/>
      <c r="E522" s="27"/>
      <c r="L522" s="242"/>
      <c r="M522" s="36"/>
      <c r="N522" s="37"/>
      <c r="O522" s="220"/>
      <c r="P522" s="40"/>
      <c r="Q522" s="171"/>
      <c r="R522" s="190"/>
    </row>
    <row r="523">
      <c r="A523" s="64"/>
      <c r="B523" s="64"/>
      <c r="C523" s="40"/>
      <c r="D523" s="212"/>
      <c r="E523" s="27"/>
      <c r="L523" s="242"/>
      <c r="M523" s="36"/>
      <c r="N523" s="37"/>
      <c r="O523" s="220"/>
      <c r="P523" s="40"/>
      <c r="Q523" s="171"/>
      <c r="R523" s="190"/>
    </row>
    <row r="524">
      <c r="A524" s="64"/>
      <c r="B524" s="64"/>
      <c r="C524" s="40"/>
      <c r="D524" s="212"/>
      <c r="E524" s="27"/>
      <c r="L524" s="242"/>
      <c r="M524" s="36"/>
      <c r="N524" s="37"/>
      <c r="O524" s="220"/>
      <c r="P524" s="40"/>
      <c r="Q524" s="171"/>
      <c r="R524" s="190"/>
    </row>
    <row r="525">
      <c r="A525" s="64"/>
      <c r="B525" s="64"/>
      <c r="C525" s="40"/>
      <c r="D525" s="212"/>
      <c r="E525" s="27"/>
      <c r="L525" s="242"/>
      <c r="M525" s="36"/>
      <c r="N525" s="37"/>
      <c r="O525" s="220"/>
      <c r="P525" s="40"/>
      <c r="Q525" s="171"/>
      <c r="R525" s="190"/>
    </row>
    <row r="526">
      <c r="A526" s="64"/>
      <c r="B526" s="64"/>
      <c r="C526" s="40"/>
      <c r="D526" s="212"/>
      <c r="E526" s="27"/>
      <c r="L526" s="242"/>
      <c r="M526" s="36"/>
      <c r="N526" s="37"/>
      <c r="O526" s="220"/>
      <c r="P526" s="40"/>
      <c r="Q526" s="171"/>
      <c r="R526" s="190"/>
    </row>
    <row r="527">
      <c r="A527" s="64"/>
      <c r="B527" s="64"/>
      <c r="C527" s="40"/>
      <c r="D527" s="212"/>
      <c r="E527" s="27"/>
      <c r="L527" s="242"/>
      <c r="M527" s="36"/>
      <c r="N527" s="37"/>
      <c r="O527" s="220"/>
      <c r="P527" s="40"/>
      <c r="Q527" s="171"/>
      <c r="R527" s="190"/>
    </row>
    <row r="528">
      <c r="A528" s="64"/>
      <c r="B528" s="64"/>
      <c r="C528" s="40"/>
      <c r="D528" s="212"/>
      <c r="E528" s="27"/>
      <c r="L528" s="242"/>
      <c r="M528" s="36"/>
      <c r="N528" s="37"/>
      <c r="O528" s="220"/>
      <c r="P528" s="40"/>
      <c r="Q528" s="171"/>
      <c r="R528" s="190"/>
    </row>
    <row r="529">
      <c r="A529" s="64"/>
      <c r="B529" s="64"/>
      <c r="C529" s="40"/>
      <c r="D529" s="212"/>
      <c r="E529" s="27"/>
      <c r="L529" s="242"/>
      <c r="M529" s="36"/>
      <c r="N529" s="37"/>
      <c r="O529" s="220"/>
      <c r="P529" s="40"/>
      <c r="Q529" s="171"/>
      <c r="R529" s="190"/>
    </row>
    <row r="530">
      <c r="A530" s="64"/>
      <c r="B530" s="64"/>
      <c r="C530" s="40"/>
      <c r="D530" s="212"/>
      <c r="E530" s="27"/>
      <c r="L530" s="242"/>
      <c r="M530" s="36"/>
      <c r="N530" s="37"/>
      <c r="O530" s="220"/>
      <c r="P530" s="40"/>
      <c r="Q530" s="171"/>
      <c r="R530" s="190"/>
    </row>
    <row r="531">
      <c r="A531" s="64"/>
      <c r="B531" s="64"/>
      <c r="C531" s="40"/>
      <c r="D531" s="212"/>
      <c r="E531" s="27"/>
      <c r="L531" s="242"/>
      <c r="M531" s="36"/>
      <c r="N531" s="37"/>
      <c r="O531" s="220"/>
      <c r="P531" s="40"/>
      <c r="Q531" s="171"/>
      <c r="R531" s="190"/>
    </row>
    <row r="532">
      <c r="A532" s="64"/>
      <c r="B532" s="64"/>
      <c r="C532" s="40"/>
      <c r="D532" s="212"/>
      <c r="E532" s="27"/>
      <c r="L532" s="242"/>
      <c r="M532" s="36"/>
      <c r="N532" s="37"/>
      <c r="O532" s="220"/>
      <c r="P532" s="40"/>
      <c r="Q532" s="171"/>
      <c r="R532" s="190"/>
    </row>
    <row r="533">
      <c r="A533" s="64"/>
      <c r="B533" s="64"/>
      <c r="C533" s="40"/>
      <c r="D533" s="212"/>
      <c r="E533" s="27"/>
      <c r="L533" s="242"/>
      <c r="M533" s="36"/>
      <c r="N533" s="37"/>
      <c r="O533" s="220"/>
      <c r="P533" s="40"/>
      <c r="Q533" s="171"/>
      <c r="R533" s="190"/>
    </row>
    <row r="534">
      <c r="A534" s="64"/>
      <c r="B534" s="64"/>
      <c r="C534" s="40"/>
      <c r="D534" s="212"/>
      <c r="E534" s="27"/>
      <c r="L534" s="242"/>
      <c r="M534" s="36"/>
      <c r="N534" s="37"/>
      <c r="O534" s="220"/>
      <c r="P534" s="40"/>
      <c r="Q534" s="171"/>
      <c r="R534" s="190"/>
    </row>
    <row r="535">
      <c r="A535" s="64"/>
      <c r="B535" s="64"/>
      <c r="C535" s="40"/>
      <c r="D535" s="212"/>
      <c r="E535" s="27"/>
      <c r="L535" s="242"/>
      <c r="M535" s="36"/>
      <c r="N535" s="37"/>
      <c r="O535" s="220"/>
      <c r="P535" s="40"/>
      <c r="Q535" s="171"/>
      <c r="R535" s="190"/>
    </row>
    <row r="536">
      <c r="A536" s="64"/>
      <c r="B536" s="64"/>
      <c r="C536" s="40"/>
      <c r="D536" s="212"/>
      <c r="E536" s="27"/>
      <c r="L536" s="242"/>
      <c r="M536" s="36"/>
      <c r="N536" s="37"/>
      <c r="O536" s="220"/>
      <c r="P536" s="40"/>
      <c r="Q536" s="171"/>
      <c r="R536" s="190"/>
    </row>
    <row r="537">
      <c r="A537" s="64"/>
      <c r="B537" s="64"/>
      <c r="C537" s="40"/>
      <c r="D537" s="212"/>
      <c r="E537" s="27"/>
      <c r="L537" s="242"/>
      <c r="M537" s="36"/>
      <c r="N537" s="37"/>
      <c r="O537" s="220"/>
      <c r="P537" s="40"/>
      <c r="Q537" s="171"/>
      <c r="R537" s="190"/>
    </row>
    <row r="538">
      <c r="A538" s="64"/>
      <c r="B538" s="64"/>
      <c r="C538" s="40"/>
      <c r="D538" s="212"/>
      <c r="E538" s="27"/>
      <c r="L538" s="242"/>
      <c r="M538" s="36"/>
      <c r="N538" s="37"/>
      <c r="O538" s="220"/>
      <c r="P538" s="40"/>
      <c r="Q538" s="171"/>
      <c r="R538" s="190"/>
    </row>
    <row r="539">
      <c r="A539" s="64"/>
      <c r="B539" s="64"/>
      <c r="C539" s="40"/>
      <c r="D539" s="212"/>
      <c r="E539" s="27"/>
      <c r="L539" s="242"/>
      <c r="M539" s="36"/>
      <c r="N539" s="37"/>
      <c r="O539" s="220"/>
      <c r="P539" s="40"/>
      <c r="Q539" s="171"/>
      <c r="R539" s="190"/>
    </row>
    <row r="540">
      <c r="A540" s="64"/>
      <c r="B540" s="64"/>
      <c r="C540" s="40"/>
      <c r="D540" s="212"/>
      <c r="E540" s="27"/>
      <c r="L540" s="242"/>
      <c r="M540" s="36"/>
      <c r="N540" s="37"/>
      <c r="O540" s="220"/>
      <c r="P540" s="40"/>
      <c r="Q540" s="171"/>
      <c r="R540" s="190"/>
    </row>
    <row r="541">
      <c r="A541" s="64"/>
      <c r="B541" s="64"/>
      <c r="C541" s="40"/>
      <c r="D541" s="212"/>
      <c r="E541" s="27"/>
      <c r="L541" s="242"/>
      <c r="M541" s="36"/>
      <c r="N541" s="37"/>
      <c r="O541" s="220"/>
      <c r="P541" s="40"/>
      <c r="Q541" s="171"/>
      <c r="R541" s="190"/>
    </row>
    <row r="542">
      <c r="A542" s="64"/>
      <c r="B542" s="64"/>
      <c r="C542" s="40"/>
      <c r="D542" s="212"/>
      <c r="E542" s="27"/>
      <c r="L542" s="242"/>
      <c r="M542" s="36"/>
      <c r="N542" s="37"/>
      <c r="O542" s="220"/>
      <c r="P542" s="40"/>
      <c r="Q542" s="171"/>
      <c r="R542" s="190"/>
    </row>
    <row r="543">
      <c r="A543" s="64"/>
      <c r="B543" s="64"/>
      <c r="C543" s="40"/>
      <c r="D543" s="212"/>
      <c r="E543" s="27"/>
      <c r="L543" s="242"/>
      <c r="M543" s="36"/>
      <c r="N543" s="37"/>
      <c r="O543" s="220"/>
      <c r="P543" s="40"/>
      <c r="Q543" s="171"/>
      <c r="R543" s="190"/>
    </row>
    <row r="544">
      <c r="A544" s="64"/>
      <c r="B544" s="64"/>
      <c r="C544" s="40"/>
      <c r="D544" s="212"/>
      <c r="E544" s="27"/>
      <c r="L544" s="242"/>
      <c r="M544" s="36"/>
      <c r="N544" s="37"/>
      <c r="O544" s="220"/>
      <c r="P544" s="40"/>
      <c r="Q544" s="171"/>
      <c r="R544" s="190"/>
    </row>
    <row r="545">
      <c r="A545" s="64"/>
      <c r="B545" s="64"/>
      <c r="C545" s="40"/>
      <c r="D545" s="212"/>
      <c r="E545" s="27"/>
      <c r="L545" s="242"/>
      <c r="M545" s="36"/>
      <c r="N545" s="37"/>
      <c r="O545" s="220"/>
      <c r="P545" s="40"/>
      <c r="Q545" s="171"/>
      <c r="R545" s="190"/>
    </row>
    <row r="546">
      <c r="A546" s="64"/>
      <c r="B546" s="64"/>
      <c r="C546" s="40"/>
      <c r="D546" s="212"/>
      <c r="E546" s="27"/>
      <c r="L546" s="242"/>
      <c r="M546" s="36"/>
      <c r="N546" s="37"/>
      <c r="O546" s="220"/>
      <c r="P546" s="40"/>
      <c r="Q546" s="171"/>
      <c r="R546" s="190"/>
    </row>
    <row r="547">
      <c r="A547" s="64"/>
      <c r="B547" s="64"/>
      <c r="C547" s="40"/>
      <c r="D547" s="212"/>
      <c r="E547" s="27"/>
      <c r="L547" s="242"/>
      <c r="M547" s="36"/>
      <c r="N547" s="37"/>
      <c r="O547" s="220"/>
      <c r="P547" s="40"/>
      <c r="Q547" s="171"/>
      <c r="R547" s="190"/>
    </row>
    <row r="548">
      <c r="A548" s="64"/>
      <c r="B548" s="64"/>
      <c r="C548" s="40"/>
      <c r="D548" s="212"/>
      <c r="E548" s="27"/>
      <c r="L548" s="242"/>
      <c r="M548" s="36"/>
      <c r="N548" s="37"/>
      <c r="O548" s="220"/>
      <c r="P548" s="40"/>
      <c r="Q548" s="171"/>
      <c r="R548" s="190"/>
    </row>
    <row r="549">
      <c r="A549" s="64"/>
      <c r="B549" s="64"/>
      <c r="C549" s="40"/>
      <c r="D549" s="212"/>
      <c r="E549" s="27"/>
      <c r="L549" s="242"/>
      <c r="M549" s="36"/>
      <c r="N549" s="37"/>
      <c r="O549" s="220"/>
      <c r="P549" s="40"/>
      <c r="Q549" s="171"/>
      <c r="R549" s="190"/>
    </row>
    <row r="550">
      <c r="A550" s="64"/>
      <c r="B550" s="64"/>
      <c r="C550" s="40"/>
      <c r="D550" s="212"/>
      <c r="E550" s="27"/>
      <c r="L550" s="242"/>
      <c r="M550" s="36"/>
      <c r="N550" s="37"/>
      <c r="O550" s="220"/>
      <c r="P550" s="40"/>
      <c r="Q550" s="171"/>
      <c r="R550" s="190"/>
    </row>
    <row r="551">
      <c r="A551" s="64"/>
      <c r="B551" s="64"/>
      <c r="C551" s="40"/>
      <c r="D551" s="212"/>
      <c r="E551" s="27"/>
      <c r="L551" s="242"/>
      <c r="M551" s="36"/>
      <c r="N551" s="37"/>
      <c r="O551" s="220"/>
      <c r="P551" s="40"/>
      <c r="Q551" s="171"/>
      <c r="R551" s="190"/>
    </row>
    <row r="552">
      <c r="A552" s="64"/>
      <c r="B552" s="64"/>
      <c r="C552" s="40"/>
      <c r="D552" s="212"/>
      <c r="E552" s="27"/>
      <c r="L552" s="242"/>
      <c r="M552" s="36"/>
      <c r="N552" s="37"/>
      <c r="O552" s="220"/>
      <c r="P552" s="40"/>
      <c r="Q552" s="171"/>
      <c r="R552" s="190"/>
    </row>
    <row r="553">
      <c r="A553" s="64"/>
      <c r="B553" s="64"/>
      <c r="C553" s="40"/>
      <c r="D553" s="212"/>
      <c r="E553" s="27"/>
      <c r="L553" s="242"/>
      <c r="M553" s="36"/>
      <c r="N553" s="37"/>
      <c r="O553" s="220"/>
      <c r="P553" s="40"/>
      <c r="Q553" s="171"/>
      <c r="R553" s="190"/>
    </row>
    <row r="554">
      <c r="A554" s="64"/>
      <c r="B554" s="64"/>
      <c r="C554" s="40"/>
      <c r="D554" s="212"/>
      <c r="E554" s="27"/>
      <c r="L554" s="242"/>
      <c r="M554" s="36"/>
      <c r="N554" s="37"/>
      <c r="O554" s="220"/>
      <c r="P554" s="40"/>
      <c r="Q554" s="171"/>
      <c r="R554" s="190"/>
    </row>
    <row r="555">
      <c r="A555" s="64"/>
      <c r="B555" s="64"/>
      <c r="C555" s="40"/>
      <c r="D555" s="212"/>
      <c r="E555" s="27"/>
      <c r="L555" s="242"/>
      <c r="M555" s="36"/>
      <c r="N555" s="37"/>
      <c r="O555" s="220"/>
      <c r="P555" s="40"/>
      <c r="Q555" s="171"/>
      <c r="R555" s="190"/>
    </row>
    <row r="556">
      <c r="A556" s="64"/>
      <c r="B556" s="64"/>
      <c r="C556" s="40"/>
      <c r="D556" s="212"/>
      <c r="E556" s="27"/>
      <c r="L556" s="242"/>
      <c r="M556" s="36"/>
      <c r="N556" s="37"/>
      <c r="O556" s="220"/>
      <c r="P556" s="40"/>
      <c r="Q556" s="171"/>
      <c r="R556" s="190"/>
    </row>
    <row r="557">
      <c r="A557" s="64"/>
      <c r="B557" s="64"/>
      <c r="C557" s="40"/>
      <c r="D557" s="212"/>
      <c r="E557" s="27"/>
      <c r="L557" s="242"/>
      <c r="M557" s="36"/>
      <c r="N557" s="37"/>
      <c r="O557" s="220"/>
      <c r="P557" s="40"/>
      <c r="Q557" s="171"/>
      <c r="R557" s="190"/>
    </row>
    <row r="558">
      <c r="A558" s="64"/>
      <c r="B558" s="64"/>
      <c r="C558" s="40"/>
      <c r="D558" s="212"/>
      <c r="E558" s="27"/>
      <c r="L558" s="242"/>
      <c r="M558" s="36"/>
      <c r="N558" s="37"/>
      <c r="O558" s="220"/>
      <c r="P558" s="40"/>
      <c r="Q558" s="171"/>
      <c r="R558" s="190"/>
    </row>
    <row r="559">
      <c r="A559" s="64"/>
      <c r="B559" s="64"/>
      <c r="C559" s="40"/>
      <c r="D559" s="212"/>
      <c r="E559" s="27"/>
      <c r="L559" s="242"/>
      <c r="M559" s="36"/>
      <c r="N559" s="37"/>
      <c r="O559" s="220"/>
      <c r="P559" s="40"/>
      <c r="Q559" s="171"/>
      <c r="R559" s="190"/>
    </row>
    <row r="560">
      <c r="A560" s="64"/>
      <c r="B560" s="64"/>
      <c r="C560" s="40"/>
      <c r="D560" s="212"/>
      <c r="E560" s="27"/>
      <c r="L560" s="242"/>
      <c r="M560" s="36"/>
      <c r="N560" s="37"/>
      <c r="O560" s="220"/>
      <c r="P560" s="40"/>
      <c r="Q560" s="171"/>
      <c r="R560" s="190"/>
    </row>
    <row r="561">
      <c r="A561" s="64"/>
      <c r="B561" s="64"/>
      <c r="C561" s="40"/>
      <c r="D561" s="212"/>
      <c r="E561" s="27"/>
      <c r="L561" s="242"/>
      <c r="M561" s="36"/>
      <c r="N561" s="37"/>
      <c r="O561" s="220"/>
      <c r="P561" s="40"/>
      <c r="Q561" s="171"/>
      <c r="R561" s="190"/>
    </row>
    <row r="562">
      <c r="A562" s="64"/>
      <c r="B562" s="64"/>
      <c r="C562" s="40"/>
      <c r="D562" s="212"/>
      <c r="E562" s="27"/>
      <c r="L562" s="242"/>
      <c r="M562" s="36"/>
      <c r="N562" s="37"/>
      <c r="O562" s="220"/>
      <c r="P562" s="40"/>
      <c r="Q562" s="171"/>
      <c r="R562" s="190"/>
    </row>
    <row r="563">
      <c r="A563" s="64"/>
      <c r="B563" s="64"/>
      <c r="C563" s="40"/>
      <c r="D563" s="212"/>
      <c r="E563" s="27"/>
      <c r="L563" s="242"/>
      <c r="M563" s="36"/>
      <c r="N563" s="37"/>
      <c r="O563" s="220"/>
      <c r="P563" s="40"/>
      <c r="Q563" s="171"/>
      <c r="R563" s="190"/>
    </row>
    <row r="564">
      <c r="A564" s="64"/>
      <c r="B564" s="64"/>
      <c r="C564" s="40"/>
      <c r="D564" s="212"/>
      <c r="E564" s="27"/>
      <c r="L564" s="242"/>
      <c r="M564" s="36"/>
      <c r="N564" s="37"/>
      <c r="O564" s="220"/>
      <c r="P564" s="40"/>
      <c r="Q564" s="171"/>
      <c r="R564" s="190"/>
    </row>
    <row r="565">
      <c r="A565" s="64"/>
      <c r="B565" s="64"/>
      <c r="C565" s="40"/>
      <c r="D565" s="212"/>
      <c r="E565" s="27"/>
      <c r="L565" s="242"/>
      <c r="M565" s="36"/>
      <c r="N565" s="37"/>
      <c r="O565" s="220"/>
      <c r="P565" s="40"/>
      <c r="Q565" s="171"/>
      <c r="R565" s="190"/>
    </row>
    <row r="566">
      <c r="A566" s="64"/>
      <c r="B566" s="64"/>
      <c r="C566" s="40"/>
      <c r="D566" s="212"/>
      <c r="E566" s="27"/>
      <c r="L566" s="242"/>
      <c r="M566" s="36"/>
      <c r="N566" s="37"/>
      <c r="O566" s="220"/>
      <c r="P566" s="40"/>
      <c r="Q566" s="171"/>
      <c r="R566" s="190"/>
    </row>
    <row r="567">
      <c r="A567" s="64"/>
      <c r="B567" s="64"/>
      <c r="C567" s="40"/>
      <c r="D567" s="212"/>
      <c r="E567" s="27"/>
      <c r="L567" s="242"/>
      <c r="M567" s="36"/>
      <c r="N567" s="37"/>
      <c r="O567" s="220"/>
      <c r="P567" s="40"/>
      <c r="Q567" s="171"/>
      <c r="R567" s="190"/>
    </row>
    <row r="568">
      <c r="A568" s="64"/>
      <c r="B568" s="64"/>
      <c r="C568" s="40"/>
      <c r="D568" s="212"/>
      <c r="E568" s="27"/>
      <c r="L568" s="242"/>
      <c r="M568" s="36"/>
      <c r="N568" s="37"/>
      <c r="O568" s="220"/>
      <c r="P568" s="40"/>
      <c r="Q568" s="171"/>
      <c r="R568" s="190"/>
    </row>
    <row r="569">
      <c r="A569" s="64"/>
      <c r="B569" s="64"/>
      <c r="C569" s="40"/>
      <c r="D569" s="212"/>
      <c r="E569" s="27"/>
      <c r="L569" s="242"/>
      <c r="M569" s="36"/>
      <c r="N569" s="37"/>
      <c r="O569" s="220"/>
      <c r="P569" s="40"/>
      <c r="Q569" s="171"/>
      <c r="R569" s="190"/>
    </row>
    <row r="570">
      <c r="A570" s="64"/>
      <c r="B570" s="64"/>
      <c r="C570" s="40"/>
      <c r="D570" s="212"/>
      <c r="E570" s="27"/>
      <c r="L570" s="242"/>
      <c r="M570" s="36"/>
      <c r="N570" s="37"/>
      <c r="O570" s="220"/>
      <c r="P570" s="40"/>
      <c r="Q570" s="171"/>
      <c r="R570" s="190"/>
    </row>
    <row r="571">
      <c r="A571" s="64"/>
      <c r="B571" s="64"/>
      <c r="C571" s="40"/>
      <c r="D571" s="212"/>
      <c r="E571" s="27"/>
      <c r="L571" s="242"/>
      <c r="M571" s="36"/>
      <c r="N571" s="37"/>
      <c r="O571" s="220"/>
      <c r="P571" s="40"/>
      <c r="Q571" s="171"/>
      <c r="R571" s="190"/>
    </row>
    <row r="572">
      <c r="A572" s="64"/>
      <c r="B572" s="64"/>
      <c r="C572" s="40"/>
      <c r="D572" s="212"/>
      <c r="E572" s="27"/>
      <c r="L572" s="242"/>
      <c r="M572" s="36"/>
      <c r="N572" s="37"/>
      <c r="O572" s="220"/>
      <c r="P572" s="40"/>
      <c r="Q572" s="171"/>
      <c r="R572" s="190"/>
    </row>
    <row r="573">
      <c r="A573" s="64"/>
      <c r="B573" s="64"/>
      <c r="C573" s="40"/>
      <c r="D573" s="212"/>
      <c r="E573" s="27"/>
      <c r="L573" s="242"/>
      <c r="M573" s="36"/>
      <c r="N573" s="37"/>
      <c r="O573" s="220"/>
      <c r="P573" s="40"/>
      <c r="Q573" s="171"/>
      <c r="R573" s="190"/>
    </row>
    <row r="574">
      <c r="A574" s="64"/>
      <c r="B574" s="64"/>
      <c r="C574" s="40"/>
      <c r="D574" s="212"/>
      <c r="E574" s="27"/>
      <c r="L574" s="242"/>
      <c r="M574" s="36"/>
      <c r="N574" s="37"/>
      <c r="O574" s="220"/>
      <c r="P574" s="40"/>
      <c r="Q574" s="171"/>
      <c r="R574" s="190"/>
    </row>
    <row r="575">
      <c r="A575" s="64"/>
      <c r="B575" s="64"/>
      <c r="C575" s="40"/>
      <c r="D575" s="212"/>
      <c r="E575" s="27"/>
      <c r="L575" s="242"/>
      <c r="M575" s="36"/>
      <c r="N575" s="37"/>
      <c r="O575" s="220"/>
      <c r="P575" s="40"/>
      <c r="Q575" s="171"/>
      <c r="R575" s="190"/>
    </row>
    <row r="576">
      <c r="A576" s="64"/>
      <c r="B576" s="64"/>
      <c r="C576" s="40"/>
      <c r="D576" s="212"/>
      <c r="E576" s="27"/>
      <c r="L576" s="242"/>
      <c r="M576" s="36"/>
      <c r="N576" s="37"/>
      <c r="O576" s="220"/>
      <c r="P576" s="40"/>
      <c r="Q576" s="171"/>
      <c r="R576" s="190"/>
    </row>
    <row r="577">
      <c r="A577" s="64"/>
      <c r="B577" s="64"/>
      <c r="C577" s="40"/>
      <c r="D577" s="212"/>
      <c r="E577" s="27"/>
      <c r="L577" s="242"/>
      <c r="M577" s="36"/>
      <c r="N577" s="37"/>
      <c r="O577" s="220"/>
      <c r="P577" s="40"/>
      <c r="Q577" s="171"/>
      <c r="R577" s="190"/>
    </row>
    <row r="578">
      <c r="A578" s="64"/>
      <c r="B578" s="64"/>
      <c r="C578" s="40"/>
      <c r="D578" s="212"/>
      <c r="E578" s="27"/>
      <c r="L578" s="242"/>
      <c r="M578" s="36"/>
      <c r="N578" s="37"/>
      <c r="O578" s="220"/>
      <c r="P578" s="40"/>
      <c r="Q578" s="171"/>
      <c r="R578" s="190"/>
    </row>
    <row r="579">
      <c r="A579" s="64"/>
      <c r="B579" s="64"/>
      <c r="C579" s="40"/>
      <c r="D579" s="212"/>
      <c r="E579" s="27"/>
      <c r="L579" s="242"/>
      <c r="M579" s="36"/>
      <c r="N579" s="37"/>
      <c r="O579" s="220"/>
      <c r="P579" s="40"/>
      <c r="Q579" s="171"/>
      <c r="R579" s="190"/>
    </row>
    <row r="580">
      <c r="A580" s="64"/>
      <c r="B580" s="64"/>
      <c r="C580" s="40"/>
      <c r="D580" s="212"/>
      <c r="E580" s="27"/>
      <c r="L580" s="242"/>
      <c r="M580" s="36"/>
      <c r="N580" s="37"/>
      <c r="O580" s="220"/>
      <c r="P580" s="40"/>
      <c r="Q580" s="171"/>
      <c r="R580" s="190"/>
    </row>
    <row r="581">
      <c r="A581" s="64"/>
      <c r="B581" s="64"/>
      <c r="C581" s="40"/>
      <c r="D581" s="212"/>
      <c r="E581" s="27"/>
      <c r="L581" s="242"/>
      <c r="M581" s="36"/>
      <c r="N581" s="37"/>
      <c r="O581" s="220"/>
      <c r="P581" s="40"/>
      <c r="Q581" s="171"/>
      <c r="R581" s="190"/>
    </row>
    <row r="582">
      <c r="A582" s="64"/>
      <c r="B582" s="64"/>
      <c r="C582" s="40"/>
      <c r="D582" s="212"/>
      <c r="E582" s="27"/>
      <c r="L582" s="242"/>
      <c r="M582" s="36"/>
      <c r="N582" s="37"/>
      <c r="O582" s="220"/>
      <c r="P582" s="40"/>
      <c r="Q582" s="171"/>
      <c r="R582" s="190"/>
    </row>
    <row r="583">
      <c r="A583" s="64"/>
      <c r="B583" s="64"/>
      <c r="C583" s="40"/>
      <c r="D583" s="212"/>
      <c r="E583" s="27"/>
      <c r="L583" s="242"/>
      <c r="M583" s="36"/>
      <c r="N583" s="37"/>
      <c r="O583" s="220"/>
      <c r="P583" s="40"/>
      <c r="Q583" s="171"/>
      <c r="R583" s="190"/>
    </row>
    <row r="584">
      <c r="A584" s="64"/>
      <c r="B584" s="64"/>
      <c r="C584" s="40"/>
      <c r="D584" s="212"/>
      <c r="E584" s="27"/>
      <c r="L584" s="242"/>
      <c r="M584" s="36"/>
      <c r="N584" s="37"/>
      <c r="O584" s="220"/>
      <c r="P584" s="40"/>
      <c r="Q584" s="171"/>
      <c r="R584" s="190"/>
    </row>
    <row r="585">
      <c r="A585" s="64"/>
      <c r="B585" s="64"/>
      <c r="C585" s="40"/>
      <c r="D585" s="212"/>
      <c r="E585" s="27"/>
      <c r="L585" s="242"/>
      <c r="M585" s="36"/>
      <c r="N585" s="37"/>
      <c r="O585" s="220"/>
      <c r="P585" s="40"/>
      <c r="Q585" s="171"/>
      <c r="R585" s="190"/>
    </row>
    <row r="586">
      <c r="A586" s="64"/>
      <c r="B586" s="64"/>
      <c r="C586" s="40"/>
      <c r="D586" s="212"/>
      <c r="E586" s="27"/>
      <c r="L586" s="242"/>
      <c r="M586" s="36"/>
      <c r="N586" s="37"/>
      <c r="O586" s="220"/>
      <c r="P586" s="40"/>
      <c r="Q586" s="171"/>
      <c r="R586" s="190"/>
    </row>
    <row r="587">
      <c r="A587" s="64"/>
      <c r="B587" s="64"/>
      <c r="C587" s="40"/>
      <c r="D587" s="212"/>
      <c r="E587" s="27"/>
      <c r="L587" s="242"/>
      <c r="M587" s="36"/>
      <c r="N587" s="37"/>
      <c r="O587" s="220"/>
      <c r="P587" s="40"/>
      <c r="Q587" s="171"/>
      <c r="R587" s="190"/>
    </row>
    <row r="588">
      <c r="A588" s="64"/>
      <c r="B588" s="64"/>
      <c r="C588" s="40"/>
      <c r="D588" s="212"/>
      <c r="E588" s="27"/>
      <c r="L588" s="242"/>
      <c r="M588" s="36"/>
      <c r="N588" s="37"/>
      <c r="O588" s="220"/>
      <c r="P588" s="40"/>
      <c r="Q588" s="171"/>
      <c r="R588" s="190"/>
    </row>
    <row r="589">
      <c r="A589" s="64"/>
      <c r="B589" s="64"/>
      <c r="C589" s="40"/>
      <c r="D589" s="212"/>
      <c r="E589" s="27"/>
      <c r="L589" s="242"/>
      <c r="M589" s="36"/>
      <c r="N589" s="37"/>
      <c r="O589" s="220"/>
      <c r="P589" s="40"/>
      <c r="Q589" s="171"/>
      <c r="R589" s="190"/>
    </row>
    <row r="590">
      <c r="A590" s="64"/>
      <c r="B590" s="64"/>
      <c r="C590" s="40"/>
      <c r="D590" s="212"/>
      <c r="E590" s="27"/>
      <c r="L590" s="242"/>
      <c r="M590" s="36"/>
      <c r="N590" s="37"/>
      <c r="O590" s="220"/>
      <c r="P590" s="40"/>
      <c r="Q590" s="171"/>
      <c r="R590" s="190"/>
    </row>
    <row r="591">
      <c r="A591" s="64"/>
      <c r="B591" s="64"/>
      <c r="C591" s="40"/>
      <c r="D591" s="212"/>
      <c r="E591" s="27"/>
      <c r="L591" s="242"/>
      <c r="M591" s="36"/>
      <c r="N591" s="37"/>
      <c r="O591" s="220"/>
      <c r="P591" s="40"/>
      <c r="Q591" s="171"/>
      <c r="R591" s="190"/>
    </row>
    <row r="592">
      <c r="A592" s="64"/>
      <c r="B592" s="64"/>
      <c r="C592" s="40"/>
      <c r="D592" s="212"/>
      <c r="E592" s="27"/>
      <c r="L592" s="242"/>
      <c r="M592" s="36"/>
      <c r="N592" s="37"/>
      <c r="O592" s="220"/>
      <c r="P592" s="40"/>
      <c r="Q592" s="171"/>
      <c r="R592" s="190"/>
    </row>
    <row r="593">
      <c r="A593" s="64"/>
      <c r="B593" s="64"/>
      <c r="C593" s="40"/>
      <c r="D593" s="212"/>
      <c r="E593" s="27"/>
      <c r="L593" s="242"/>
      <c r="M593" s="36"/>
      <c r="N593" s="37"/>
      <c r="O593" s="220"/>
      <c r="P593" s="40"/>
      <c r="Q593" s="171"/>
      <c r="R593" s="190"/>
    </row>
    <row r="594">
      <c r="A594" s="64"/>
      <c r="B594" s="64"/>
      <c r="C594" s="40"/>
      <c r="D594" s="212"/>
      <c r="E594" s="27"/>
      <c r="L594" s="242"/>
      <c r="M594" s="36"/>
      <c r="N594" s="37"/>
      <c r="O594" s="220"/>
      <c r="P594" s="40"/>
      <c r="Q594" s="171"/>
      <c r="R594" s="190"/>
    </row>
    <row r="595">
      <c r="A595" s="64"/>
      <c r="B595" s="64"/>
      <c r="C595" s="40"/>
      <c r="D595" s="212"/>
      <c r="E595" s="27"/>
      <c r="L595" s="242"/>
      <c r="M595" s="36"/>
      <c r="N595" s="37"/>
      <c r="O595" s="220"/>
      <c r="P595" s="40"/>
      <c r="Q595" s="171"/>
      <c r="R595" s="190"/>
    </row>
    <row r="596">
      <c r="A596" s="64"/>
      <c r="B596" s="64"/>
      <c r="C596" s="40"/>
      <c r="D596" s="212"/>
      <c r="E596" s="27"/>
      <c r="L596" s="242"/>
      <c r="M596" s="36"/>
      <c r="N596" s="37"/>
      <c r="O596" s="220"/>
      <c r="P596" s="40"/>
      <c r="Q596" s="171"/>
      <c r="R596" s="190"/>
    </row>
    <row r="597">
      <c r="A597" s="64"/>
      <c r="B597" s="64"/>
      <c r="C597" s="40"/>
      <c r="D597" s="212"/>
      <c r="E597" s="27"/>
      <c r="L597" s="242"/>
      <c r="M597" s="36"/>
      <c r="N597" s="37"/>
      <c r="O597" s="220"/>
      <c r="P597" s="40"/>
      <c r="Q597" s="171"/>
      <c r="R597" s="190"/>
    </row>
    <row r="598">
      <c r="A598" s="64"/>
      <c r="B598" s="64"/>
      <c r="C598" s="40"/>
      <c r="D598" s="212"/>
      <c r="E598" s="27"/>
      <c r="L598" s="242"/>
      <c r="M598" s="36"/>
      <c r="N598" s="37"/>
      <c r="O598" s="220"/>
      <c r="P598" s="40"/>
      <c r="Q598" s="171"/>
      <c r="R598" s="190"/>
    </row>
    <row r="599">
      <c r="A599" s="64"/>
      <c r="B599" s="64"/>
      <c r="C599" s="40"/>
      <c r="D599" s="212"/>
      <c r="E599" s="27"/>
      <c r="L599" s="242"/>
      <c r="M599" s="36"/>
      <c r="N599" s="37"/>
      <c r="O599" s="220"/>
      <c r="P599" s="40"/>
      <c r="Q599" s="171"/>
      <c r="R599" s="190"/>
    </row>
    <row r="600">
      <c r="A600" s="64"/>
      <c r="B600" s="64"/>
      <c r="C600" s="40"/>
      <c r="D600" s="212"/>
      <c r="E600" s="27"/>
      <c r="L600" s="242"/>
      <c r="M600" s="36"/>
      <c r="N600" s="37"/>
      <c r="O600" s="220"/>
      <c r="P600" s="40"/>
      <c r="Q600" s="171"/>
      <c r="R600" s="190"/>
    </row>
    <row r="601">
      <c r="A601" s="64"/>
      <c r="B601" s="64"/>
      <c r="C601" s="40"/>
      <c r="D601" s="212"/>
      <c r="E601" s="27"/>
      <c r="L601" s="242"/>
      <c r="M601" s="36"/>
      <c r="N601" s="37"/>
      <c r="O601" s="220"/>
      <c r="P601" s="40"/>
      <c r="Q601" s="171"/>
      <c r="R601" s="190"/>
    </row>
    <row r="602">
      <c r="A602" s="64"/>
      <c r="B602" s="64"/>
      <c r="C602" s="40"/>
      <c r="D602" s="212"/>
      <c r="E602" s="27"/>
      <c r="L602" s="242"/>
      <c r="M602" s="36"/>
      <c r="N602" s="37"/>
      <c r="O602" s="220"/>
      <c r="P602" s="40"/>
      <c r="Q602" s="171"/>
      <c r="R602" s="190"/>
    </row>
    <row r="603">
      <c r="A603" s="64"/>
      <c r="B603" s="64"/>
      <c r="C603" s="40"/>
      <c r="D603" s="212"/>
      <c r="E603" s="27"/>
      <c r="L603" s="242"/>
      <c r="M603" s="36"/>
      <c r="N603" s="37"/>
      <c r="O603" s="220"/>
      <c r="P603" s="40"/>
      <c r="Q603" s="171"/>
      <c r="R603" s="190"/>
    </row>
    <row r="604">
      <c r="A604" s="64"/>
      <c r="B604" s="64"/>
      <c r="C604" s="40"/>
      <c r="D604" s="212"/>
      <c r="E604" s="27"/>
      <c r="L604" s="242"/>
      <c r="M604" s="36"/>
      <c r="N604" s="37"/>
      <c r="O604" s="220"/>
      <c r="P604" s="40"/>
      <c r="Q604" s="171"/>
      <c r="R604" s="190"/>
    </row>
    <row r="605">
      <c r="A605" s="64"/>
      <c r="B605" s="64"/>
      <c r="C605" s="40"/>
      <c r="D605" s="212"/>
      <c r="E605" s="27"/>
      <c r="L605" s="242"/>
      <c r="M605" s="36"/>
      <c r="N605" s="37"/>
      <c r="O605" s="220"/>
      <c r="P605" s="40"/>
      <c r="Q605" s="171"/>
      <c r="R605" s="190"/>
    </row>
    <row r="606">
      <c r="A606" s="64"/>
      <c r="B606" s="64"/>
      <c r="C606" s="40"/>
      <c r="D606" s="212"/>
      <c r="E606" s="27"/>
      <c r="L606" s="242"/>
      <c r="M606" s="36"/>
      <c r="N606" s="37"/>
      <c r="O606" s="220"/>
      <c r="P606" s="40"/>
      <c r="Q606" s="171"/>
      <c r="R606" s="190"/>
    </row>
    <row r="607">
      <c r="A607" s="64"/>
      <c r="B607" s="64"/>
      <c r="C607" s="40"/>
      <c r="D607" s="212"/>
      <c r="E607" s="27"/>
      <c r="L607" s="242"/>
      <c r="M607" s="36"/>
      <c r="N607" s="37"/>
      <c r="O607" s="220"/>
      <c r="P607" s="40"/>
      <c r="Q607" s="171"/>
      <c r="R607" s="190"/>
    </row>
    <row r="608">
      <c r="A608" s="64"/>
      <c r="B608" s="64"/>
      <c r="C608" s="40"/>
      <c r="D608" s="212"/>
      <c r="E608" s="27"/>
      <c r="L608" s="242"/>
      <c r="M608" s="36"/>
      <c r="N608" s="37"/>
      <c r="O608" s="220"/>
      <c r="P608" s="40"/>
      <c r="Q608" s="171"/>
      <c r="R608" s="190"/>
    </row>
    <row r="609">
      <c r="A609" s="64"/>
      <c r="B609" s="64"/>
      <c r="C609" s="40"/>
      <c r="D609" s="212"/>
      <c r="E609" s="27"/>
      <c r="L609" s="242"/>
      <c r="M609" s="36"/>
      <c r="N609" s="37"/>
      <c r="O609" s="220"/>
      <c r="P609" s="40"/>
      <c r="Q609" s="171"/>
      <c r="R609" s="190"/>
    </row>
    <row r="610">
      <c r="A610" s="64"/>
      <c r="B610" s="64"/>
      <c r="C610" s="40"/>
      <c r="D610" s="212"/>
      <c r="E610" s="27"/>
      <c r="L610" s="242"/>
      <c r="M610" s="36"/>
      <c r="N610" s="37"/>
      <c r="O610" s="220"/>
      <c r="P610" s="40"/>
      <c r="Q610" s="171"/>
      <c r="R610" s="190"/>
    </row>
    <row r="611">
      <c r="A611" s="64"/>
      <c r="B611" s="64"/>
      <c r="C611" s="40"/>
      <c r="D611" s="212"/>
      <c r="E611" s="27"/>
      <c r="L611" s="242"/>
      <c r="M611" s="36"/>
      <c r="N611" s="37"/>
      <c r="O611" s="220"/>
      <c r="P611" s="40"/>
      <c r="Q611" s="171"/>
      <c r="R611" s="190"/>
    </row>
    <row r="612">
      <c r="A612" s="64"/>
      <c r="B612" s="64"/>
      <c r="C612" s="40"/>
      <c r="D612" s="212"/>
      <c r="E612" s="27"/>
      <c r="L612" s="242"/>
      <c r="M612" s="36"/>
      <c r="N612" s="37"/>
      <c r="O612" s="220"/>
      <c r="P612" s="40"/>
      <c r="Q612" s="171"/>
      <c r="R612" s="190"/>
    </row>
    <row r="613">
      <c r="A613" s="64"/>
      <c r="B613" s="64"/>
      <c r="C613" s="40"/>
      <c r="D613" s="212"/>
      <c r="E613" s="27"/>
      <c r="L613" s="242"/>
      <c r="M613" s="36"/>
      <c r="N613" s="37"/>
      <c r="O613" s="220"/>
      <c r="P613" s="40"/>
      <c r="Q613" s="171"/>
      <c r="R613" s="190"/>
    </row>
    <row r="614">
      <c r="A614" s="64"/>
      <c r="B614" s="64"/>
      <c r="C614" s="40"/>
      <c r="D614" s="212"/>
      <c r="E614" s="27"/>
      <c r="L614" s="242"/>
      <c r="M614" s="36"/>
      <c r="N614" s="37"/>
      <c r="O614" s="220"/>
      <c r="P614" s="40"/>
      <c r="Q614" s="171"/>
      <c r="R614" s="190"/>
    </row>
    <row r="615">
      <c r="A615" s="64"/>
      <c r="B615" s="64"/>
      <c r="C615" s="40"/>
      <c r="D615" s="212"/>
      <c r="E615" s="27"/>
      <c r="L615" s="242"/>
      <c r="M615" s="36"/>
      <c r="N615" s="37"/>
      <c r="O615" s="220"/>
      <c r="P615" s="40"/>
      <c r="Q615" s="171"/>
      <c r="R615" s="190"/>
    </row>
    <row r="616">
      <c r="A616" s="64"/>
      <c r="B616" s="64"/>
      <c r="C616" s="40"/>
      <c r="D616" s="212"/>
      <c r="E616" s="27"/>
      <c r="L616" s="242"/>
      <c r="M616" s="36"/>
      <c r="N616" s="37"/>
      <c r="O616" s="220"/>
      <c r="P616" s="40"/>
      <c r="Q616" s="171"/>
      <c r="R616" s="190"/>
    </row>
    <row r="617">
      <c r="A617" s="64"/>
      <c r="B617" s="64"/>
      <c r="C617" s="40"/>
      <c r="D617" s="212"/>
      <c r="E617" s="27"/>
      <c r="L617" s="242"/>
      <c r="M617" s="36"/>
      <c r="N617" s="37"/>
      <c r="O617" s="220"/>
      <c r="P617" s="40"/>
      <c r="Q617" s="171"/>
      <c r="R617" s="190"/>
    </row>
    <row r="618">
      <c r="A618" s="64"/>
      <c r="B618" s="64"/>
      <c r="C618" s="40"/>
      <c r="D618" s="212"/>
      <c r="E618" s="27"/>
      <c r="L618" s="242"/>
      <c r="M618" s="36"/>
      <c r="N618" s="37"/>
      <c r="O618" s="220"/>
      <c r="P618" s="40"/>
      <c r="Q618" s="171"/>
      <c r="R618" s="190"/>
    </row>
    <row r="619">
      <c r="A619" s="64"/>
      <c r="B619" s="64"/>
      <c r="C619" s="40"/>
      <c r="D619" s="212"/>
      <c r="E619" s="27"/>
      <c r="L619" s="242"/>
      <c r="M619" s="36"/>
      <c r="N619" s="37"/>
      <c r="O619" s="220"/>
      <c r="P619" s="40"/>
      <c r="Q619" s="171"/>
      <c r="R619" s="190"/>
    </row>
    <row r="620">
      <c r="A620" s="64"/>
      <c r="B620" s="64"/>
      <c r="C620" s="40"/>
      <c r="D620" s="212"/>
      <c r="E620" s="27"/>
      <c r="L620" s="242"/>
      <c r="M620" s="36"/>
      <c r="N620" s="37"/>
      <c r="O620" s="220"/>
      <c r="P620" s="40"/>
      <c r="Q620" s="171"/>
      <c r="R620" s="190"/>
    </row>
    <row r="621">
      <c r="A621" s="64"/>
      <c r="B621" s="64"/>
      <c r="C621" s="40"/>
      <c r="D621" s="212"/>
      <c r="E621" s="27"/>
      <c r="L621" s="242"/>
      <c r="M621" s="36"/>
      <c r="N621" s="37"/>
      <c r="O621" s="220"/>
      <c r="P621" s="40"/>
      <c r="Q621" s="171"/>
      <c r="R621" s="190"/>
    </row>
    <row r="622">
      <c r="A622" s="64"/>
      <c r="B622" s="64"/>
      <c r="C622" s="40"/>
      <c r="D622" s="212"/>
      <c r="E622" s="27"/>
      <c r="L622" s="242"/>
      <c r="M622" s="36"/>
      <c r="N622" s="37"/>
      <c r="O622" s="220"/>
      <c r="P622" s="40"/>
      <c r="Q622" s="171"/>
      <c r="R622" s="190"/>
    </row>
    <row r="623">
      <c r="A623" s="64"/>
      <c r="B623" s="64"/>
      <c r="C623" s="40"/>
      <c r="D623" s="212"/>
      <c r="E623" s="27"/>
      <c r="L623" s="242"/>
      <c r="M623" s="36"/>
      <c r="N623" s="37"/>
      <c r="O623" s="220"/>
      <c r="P623" s="40"/>
      <c r="Q623" s="171"/>
      <c r="R623" s="190"/>
    </row>
    <row r="624">
      <c r="A624" s="64"/>
      <c r="B624" s="64"/>
      <c r="C624" s="40"/>
      <c r="D624" s="212"/>
      <c r="E624" s="27"/>
      <c r="L624" s="242"/>
      <c r="M624" s="36"/>
      <c r="N624" s="37"/>
      <c r="O624" s="220"/>
      <c r="P624" s="40"/>
      <c r="Q624" s="171"/>
      <c r="R624" s="190"/>
    </row>
    <row r="625">
      <c r="A625" s="64"/>
      <c r="B625" s="64"/>
      <c r="C625" s="40"/>
      <c r="D625" s="212"/>
      <c r="E625" s="27"/>
      <c r="L625" s="242"/>
      <c r="M625" s="36"/>
      <c r="N625" s="37"/>
      <c r="O625" s="220"/>
      <c r="P625" s="40"/>
      <c r="Q625" s="171"/>
      <c r="R625" s="190"/>
    </row>
    <row r="626">
      <c r="A626" s="64"/>
      <c r="B626" s="64"/>
      <c r="C626" s="40"/>
      <c r="D626" s="212"/>
      <c r="E626" s="27"/>
      <c r="L626" s="242"/>
      <c r="M626" s="36"/>
      <c r="N626" s="37"/>
      <c r="O626" s="220"/>
      <c r="P626" s="40"/>
      <c r="Q626" s="171"/>
      <c r="R626" s="190"/>
    </row>
    <row r="627">
      <c r="A627" s="64"/>
      <c r="B627" s="64"/>
      <c r="C627" s="40"/>
      <c r="D627" s="212"/>
      <c r="E627" s="27"/>
      <c r="L627" s="242"/>
      <c r="M627" s="36"/>
      <c r="N627" s="37"/>
      <c r="O627" s="220"/>
      <c r="P627" s="40"/>
      <c r="Q627" s="171"/>
      <c r="R627" s="190"/>
    </row>
    <row r="628">
      <c r="A628" s="64"/>
      <c r="B628" s="64"/>
      <c r="C628" s="40"/>
      <c r="D628" s="212"/>
      <c r="E628" s="27"/>
      <c r="L628" s="242"/>
      <c r="M628" s="36"/>
      <c r="N628" s="37"/>
      <c r="O628" s="220"/>
      <c r="P628" s="40"/>
      <c r="Q628" s="171"/>
      <c r="R628" s="190"/>
    </row>
    <row r="629">
      <c r="A629" s="64"/>
      <c r="B629" s="64"/>
      <c r="C629" s="40"/>
      <c r="D629" s="212"/>
      <c r="E629" s="27"/>
      <c r="L629" s="242"/>
      <c r="M629" s="36"/>
      <c r="N629" s="37"/>
      <c r="O629" s="220"/>
      <c r="P629" s="40"/>
      <c r="Q629" s="171"/>
      <c r="R629" s="190"/>
    </row>
    <row r="630">
      <c r="A630" s="64"/>
      <c r="B630" s="64"/>
      <c r="C630" s="40"/>
      <c r="D630" s="212"/>
      <c r="E630" s="27"/>
      <c r="L630" s="242"/>
      <c r="M630" s="36"/>
      <c r="N630" s="37"/>
      <c r="O630" s="220"/>
      <c r="P630" s="40"/>
      <c r="Q630" s="171"/>
      <c r="R630" s="190"/>
    </row>
    <row r="631">
      <c r="A631" s="64"/>
      <c r="B631" s="64"/>
      <c r="C631" s="40"/>
      <c r="D631" s="212"/>
      <c r="E631" s="27"/>
      <c r="L631" s="242"/>
      <c r="M631" s="36"/>
      <c r="N631" s="37"/>
      <c r="O631" s="220"/>
      <c r="P631" s="40"/>
      <c r="Q631" s="171"/>
      <c r="R631" s="190"/>
    </row>
    <row r="632">
      <c r="A632" s="64"/>
      <c r="B632" s="64"/>
      <c r="C632" s="40"/>
      <c r="D632" s="212"/>
      <c r="E632" s="27"/>
      <c r="L632" s="242"/>
      <c r="M632" s="36"/>
      <c r="N632" s="37"/>
      <c r="O632" s="220"/>
      <c r="P632" s="40"/>
      <c r="Q632" s="171"/>
      <c r="R632" s="190"/>
    </row>
    <row r="633">
      <c r="A633" s="64"/>
      <c r="B633" s="64"/>
      <c r="C633" s="40"/>
      <c r="D633" s="212"/>
      <c r="E633" s="27"/>
      <c r="L633" s="242"/>
      <c r="M633" s="36"/>
      <c r="N633" s="37"/>
      <c r="O633" s="220"/>
      <c r="P633" s="40"/>
      <c r="Q633" s="171"/>
      <c r="R633" s="190"/>
    </row>
    <row r="634">
      <c r="A634" s="64"/>
      <c r="B634" s="64"/>
      <c r="C634" s="40"/>
      <c r="D634" s="212"/>
      <c r="E634" s="27"/>
      <c r="L634" s="242"/>
      <c r="M634" s="36"/>
      <c r="N634" s="37"/>
      <c r="O634" s="220"/>
      <c r="P634" s="40"/>
      <c r="Q634" s="171"/>
      <c r="R634" s="190"/>
    </row>
    <row r="635">
      <c r="A635" s="64"/>
      <c r="B635" s="64"/>
      <c r="C635" s="40"/>
      <c r="D635" s="212"/>
      <c r="E635" s="27"/>
      <c r="L635" s="242"/>
      <c r="M635" s="36"/>
      <c r="N635" s="37"/>
      <c r="O635" s="220"/>
      <c r="P635" s="40"/>
      <c r="Q635" s="171"/>
      <c r="R635" s="190"/>
    </row>
    <row r="636">
      <c r="A636" s="64"/>
      <c r="B636" s="64"/>
      <c r="C636" s="40"/>
      <c r="D636" s="212"/>
      <c r="E636" s="27"/>
      <c r="L636" s="242"/>
      <c r="M636" s="36"/>
      <c r="N636" s="37"/>
      <c r="O636" s="220"/>
      <c r="P636" s="40"/>
      <c r="Q636" s="171"/>
      <c r="R636" s="190"/>
    </row>
    <row r="637">
      <c r="A637" s="64"/>
      <c r="B637" s="64"/>
      <c r="C637" s="40"/>
      <c r="D637" s="212"/>
      <c r="E637" s="27"/>
      <c r="L637" s="242"/>
      <c r="M637" s="36"/>
      <c r="N637" s="37"/>
      <c r="O637" s="220"/>
      <c r="P637" s="40"/>
      <c r="Q637" s="171"/>
      <c r="R637" s="190"/>
    </row>
    <row r="638">
      <c r="A638" s="64"/>
      <c r="B638" s="64"/>
      <c r="C638" s="40"/>
      <c r="D638" s="212"/>
      <c r="E638" s="27"/>
      <c r="L638" s="242"/>
      <c r="M638" s="36"/>
      <c r="N638" s="37"/>
      <c r="O638" s="220"/>
      <c r="P638" s="40"/>
      <c r="Q638" s="171"/>
      <c r="R638" s="190"/>
    </row>
    <row r="639">
      <c r="A639" s="64"/>
      <c r="B639" s="64"/>
      <c r="C639" s="40"/>
      <c r="D639" s="212"/>
      <c r="E639" s="27"/>
      <c r="L639" s="242"/>
      <c r="M639" s="36"/>
      <c r="N639" s="37"/>
      <c r="O639" s="220"/>
      <c r="P639" s="40"/>
      <c r="Q639" s="171"/>
      <c r="R639" s="190"/>
    </row>
    <row r="640">
      <c r="A640" s="64"/>
      <c r="B640" s="64"/>
      <c r="C640" s="40"/>
      <c r="D640" s="212"/>
      <c r="E640" s="27"/>
      <c r="L640" s="242"/>
      <c r="M640" s="36"/>
      <c r="N640" s="37"/>
      <c r="O640" s="220"/>
      <c r="P640" s="40"/>
      <c r="Q640" s="171"/>
      <c r="R640" s="190"/>
    </row>
    <row r="641">
      <c r="A641" s="64"/>
      <c r="B641" s="64"/>
      <c r="C641" s="40"/>
      <c r="D641" s="212"/>
      <c r="E641" s="27"/>
      <c r="L641" s="242"/>
      <c r="M641" s="36"/>
      <c r="N641" s="37"/>
      <c r="O641" s="220"/>
      <c r="P641" s="40"/>
      <c r="Q641" s="171"/>
      <c r="R641" s="190"/>
    </row>
    <row r="642">
      <c r="A642" s="64"/>
      <c r="B642" s="64"/>
      <c r="C642" s="40"/>
      <c r="D642" s="212"/>
      <c r="E642" s="27"/>
      <c r="L642" s="242"/>
      <c r="M642" s="36"/>
      <c r="N642" s="37"/>
      <c r="O642" s="220"/>
      <c r="P642" s="40"/>
      <c r="Q642" s="171"/>
      <c r="R642" s="190"/>
    </row>
    <row r="643">
      <c r="A643" s="64"/>
      <c r="B643" s="64"/>
      <c r="C643" s="40"/>
      <c r="D643" s="212"/>
      <c r="E643" s="27"/>
      <c r="L643" s="242"/>
      <c r="M643" s="36"/>
      <c r="N643" s="37"/>
      <c r="O643" s="220"/>
      <c r="P643" s="40"/>
      <c r="Q643" s="171"/>
      <c r="R643" s="190"/>
    </row>
    <row r="644">
      <c r="A644" s="64"/>
      <c r="B644" s="64"/>
      <c r="C644" s="40"/>
      <c r="D644" s="212"/>
      <c r="E644" s="27"/>
      <c r="L644" s="242"/>
      <c r="M644" s="36"/>
      <c r="N644" s="37"/>
      <c r="O644" s="220"/>
      <c r="P644" s="40"/>
      <c r="Q644" s="171"/>
      <c r="R644" s="190"/>
    </row>
    <row r="645">
      <c r="A645" s="64"/>
      <c r="B645" s="64"/>
      <c r="C645" s="40"/>
      <c r="D645" s="212"/>
      <c r="E645" s="27"/>
      <c r="L645" s="242"/>
      <c r="M645" s="36"/>
      <c r="N645" s="37"/>
      <c r="O645" s="220"/>
      <c r="P645" s="40"/>
      <c r="Q645" s="171"/>
      <c r="R645" s="190"/>
    </row>
    <row r="646">
      <c r="A646" s="64"/>
      <c r="B646" s="64"/>
      <c r="C646" s="40"/>
      <c r="D646" s="212"/>
      <c r="E646" s="27"/>
      <c r="L646" s="242"/>
      <c r="M646" s="36"/>
      <c r="N646" s="37"/>
      <c r="O646" s="220"/>
      <c r="P646" s="40"/>
      <c r="Q646" s="171"/>
      <c r="R646" s="190"/>
    </row>
    <row r="647">
      <c r="A647" s="64"/>
      <c r="B647" s="64"/>
      <c r="C647" s="40"/>
      <c r="D647" s="212"/>
      <c r="E647" s="27"/>
      <c r="L647" s="242"/>
      <c r="M647" s="36"/>
      <c r="N647" s="37"/>
      <c r="O647" s="220"/>
      <c r="P647" s="40"/>
      <c r="Q647" s="171"/>
      <c r="R647" s="190"/>
    </row>
    <row r="648">
      <c r="A648" s="64"/>
      <c r="B648" s="64"/>
      <c r="C648" s="40"/>
      <c r="D648" s="212"/>
      <c r="E648" s="27"/>
      <c r="L648" s="242"/>
      <c r="M648" s="36"/>
      <c r="N648" s="37"/>
      <c r="O648" s="220"/>
      <c r="P648" s="40"/>
      <c r="Q648" s="171"/>
      <c r="R648" s="190"/>
    </row>
    <row r="649">
      <c r="A649" s="64"/>
      <c r="B649" s="64"/>
      <c r="C649" s="40"/>
      <c r="D649" s="212"/>
      <c r="E649" s="27"/>
      <c r="L649" s="242"/>
      <c r="M649" s="36"/>
      <c r="N649" s="37"/>
      <c r="O649" s="220"/>
      <c r="P649" s="40"/>
      <c r="Q649" s="171"/>
      <c r="R649" s="190"/>
    </row>
    <row r="650">
      <c r="A650" s="64"/>
      <c r="B650" s="64"/>
      <c r="C650" s="40"/>
      <c r="D650" s="212"/>
      <c r="E650" s="27"/>
      <c r="L650" s="242"/>
      <c r="M650" s="36"/>
      <c r="N650" s="37"/>
      <c r="O650" s="220"/>
      <c r="P650" s="40"/>
      <c r="Q650" s="171"/>
      <c r="R650" s="190"/>
    </row>
    <row r="651">
      <c r="A651" s="64"/>
      <c r="B651" s="64"/>
      <c r="C651" s="40"/>
      <c r="D651" s="212"/>
      <c r="E651" s="27"/>
      <c r="L651" s="242"/>
      <c r="M651" s="36"/>
      <c r="N651" s="37"/>
      <c r="O651" s="220"/>
      <c r="P651" s="40"/>
      <c r="Q651" s="171"/>
      <c r="R651" s="190"/>
    </row>
    <row r="652">
      <c r="A652" s="64"/>
      <c r="B652" s="64"/>
      <c r="C652" s="40"/>
      <c r="D652" s="212"/>
      <c r="E652" s="27"/>
      <c r="L652" s="242"/>
      <c r="M652" s="36"/>
      <c r="N652" s="37"/>
      <c r="O652" s="220"/>
      <c r="P652" s="40"/>
      <c r="Q652" s="171"/>
      <c r="R652" s="190"/>
    </row>
    <row r="653">
      <c r="A653" s="64"/>
      <c r="B653" s="64"/>
      <c r="C653" s="40"/>
      <c r="D653" s="212"/>
      <c r="E653" s="27"/>
      <c r="L653" s="242"/>
      <c r="M653" s="36"/>
      <c r="N653" s="37"/>
      <c r="O653" s="220"/>
      <c r="P653" s="40"/>
      <c r="Q653" s="171"/>
      <c r="R653" s="190"/>
    </row>
    <row r="654">
      <c r="A654" s="64"/>
      <c r="B654" s="64"/>
      <c r="C654" s="40"/>
      <c r="D654" s="212"/>
      <c r="E654" s="27"/>
      <c r="L654" s="242"/>
      <c r="M654" s="36"/>
      <c r="N654" s="37"/>
      <c r="O654" s="220"/>
      <c r="P654" s="40"/>
      <c r="Q654" s="171"/>
      <c r="R654" s="190"/>
    </row>
    <row r="655">
      <c r="A655" s="64"/>
      <c r="B655" s="64"/>
      <c r="C655" s="40"/>
      <c r="D655" s="212"/>
      <c r="E655" s="27"/>
      <c r="L655" s="242"/>
      <c r="M655" s="36"/>
      <c r="N655" s="37"/>
      <c r="O655" s="220"/>
      <c r="P655" s="40"/>
      <c r="Q655" s="171"/>
      <c r="R655" s="190"/>
    </row>
    <row r="656">
      <c r="A656" s="64"/>
      <c r="B656" s="64"/>
      <c r="C656" s="40"/>
      <c r="D656" s="212"/>
      <c r="E656" s="27"/>
      <c r="L656" s="242"/>
      <c r="M656" s="36"/>
      <c r="N656" s="37"/>
      <c r="O656" s="220"/>
      <c r="P656" s="40"/>
      <c r="Q656" s="171"/>
      <c r="R656" s="190"/>
    </row>
    <row r="657">
      <c r="A657" s="64"/>
      <c r="B657" s="64"/>
      <c r="C657" s="40"/>
      <c r="D657" s="212"/>
      <c r="E657" s="27"/>
      <c r="L657" s="242"/>
      <c r="M657" s="36"/>
      <c r="N657" s="37"/>
      <c r="O657" s="220"/>
      <c r="P657" s="40"/>
      <c r="Q657" s="171"/>
      <c r="R657" s="190"/>
    </row>
    <row r="658">
      <c r="A658" s="64"/>
      <c r="B658" s="64"/>
      <c r="C658" s="40"/>
      <c r="D658" s="212"/>
      <c r="E658" s="27"/>
      <c r="L658" s="242"/>
      <c r="M658" s="36"/>
      <c r="N658" s="37"/>
      <c r="O658" s="220"/>
      <c r="P658" s="40"/>
      <c r="Q658" s="171"/>
      <c r="R658" s="190"/>
    </row>
    <row r="659">
      <c r="A659" s="64"/>
      <c r="B659" s="64"/>
      <c r="C659" s="40"/>
      <c r="D659" s="212"/>
      <c r="E659" s="27"/>
      <c r="L659" s="242"/>
      <c r="M659" s="36"/>
      <c r="N659" s="37"/>
      <c r="O659" s="220"/>
      <c r="P659" s="40"/>
      <c r="Q659" s="171"/>
      <c r="R659" s="190"/>
    </row>
    <row r="660">
      <c r="A660" s="64"/>
      <c r="B660" s="64"/>
      <c r="C660" s="40"/>
      <c r="D660" s="212"/>
      <c r="E660" s="27"/>
      <c r="L660" s="242"/>
      <c r="M660" s="36"/>
      <c r="N660" s="37"/>
      <c r="O660" s="220"/>
      <c r="P660" s="40"/>
      <c r="Q660" s="171"/>
      <c r="R660" s="190"/>
    </row>
    <row r="661">
      <c r="A661" s="64"/>
      <c r="B661" s="64"/>
      <c r="C661" s="40"/>
      <c r="D661" s="212"/>
      <c r="E661" s="27"/>
      <c r="L661" s="242"/>
      <c r="M661" s="36"/>
      <c r="N661" s="37"/>
      <c r="O661" s="220"/>
      <c r="P661" s="40"/>
      <c r="Q661" s="171"/>
      <c r="R661" s="190"/>
    </row>
    <row r="662">
      <c r="A662" s="64"/>
      <c r="B662" s="64"/>
      <c r="C662" s="40"/>
      <c r="D662" s="212"/>
      <c r="E662" s="27"/>
      <c r="L662" s="242"/>
      <c r="M662" s="36"/>
      <c r="N662" s="37"/>
      <c r="O662" s="220"/>
      <c r="P662" s="40"/>
      <c r="Q662" s="171"/>
      <c r="R662" s="190"/>
    </row>
    <row r="663">
      <c r="A663" s="64"/>
      <c r="B663" s="64"/>
      <c r="C663" s="40"/>
      <c r="D663" s="212"/>
      <c r="E663" s="27"/>
      <c r="L663" s="242"/>
      <c r="M663" s="36"/>
      <c r="N663" s="37"/>
      <c r="O663" s="220"/>
      <c r="P663" s="40"/>
      <c r="Q663" s="171"/>
      <c r="R663" s="190"/>
    </row>
    <row r="664">
      <c r="A664" s="64"/>
      <c r="B664" s="64"/>
      <c r="C664" s="40"/>
      <c r="D664" s="212"/>
      <c r="E664" s="27"/>
      <c r="L664" s="242"/>
      <c r="M664" s="36"/>
      <c r="N664" s="37"/>
      <c r="O664" s="220"/>
      <c r="P664" s="40"/>
      <c r="Q664" s="171"/>
      <c r="R664" s="190"/>
    </row>
    <row r="665">
      <c r="A665" s="64"/>
      <c r="B665" s="64"/>
      <c r="C665" s="40"/>
      <c r="D665" s="212"/>
      <c r="E665" s="27"/>
      <c r="L665" s="242"/>
      <c r="M665" s="36"/>
      <c r="N665" s="37"/>
      <c r="O665" s="220"/>
      <c r="P665" s="40"/>
      <c r="Q665" s="171"/>
      <c r="R665" s="190"/>
    </row>
    <row r="666">
      <c r="A666" s="64"/>
      <c r="B666" s="64"/>
      <c r="C666" s="40"/>
      <c r="D666" s="212"/>
      <c r="E666" s="27"/>
      <c r="L666" s="242"/>
      <c r="M666" s="36"/>
      <c r="N666" s="37"/>
      <c r="O666" s="220"/>
      <c r="P666" s="40"/>
      <c r="Q666" s="171"/>
      <c r="R666" s="190"/>
    </row>
    <row r="667">
      <c r="A667" s="64"/>
      <c r="B667" s="64"/>
      <c r="C667" s="40"/>
      <c r="D667" s="212"/>
      <c r="E667" s="27"/>
      <c r="L667" s="242"/>
      <c r="M667" s="36"/>
      <c r="N667" s="37"/>
      <c r="O667" s="220"/>
      <c r="P667" s="40"/>
      <c r="Q667" s="171"/>
      <c r="R667" s="190"/>
    </row>
    <row r="668">
      <c r="A668" s="64"/>
      <c r="B668" s="64"/>
      <c r="C668" s="40"/>
      <c r="D668" s="212"/>
      <c r="E668" s="27"/>
      <c r="L668" s="242"/>
      <c r="M668" s="36"/>
      <c r="N668" s="37"/>
      <c r="O668" s="220"/>
      <c r="P668" s="40"/>
      <c r="Q668" s="171"/>
      <c r="R668" s="190"/>
    </row>
    <row r="669">
      <c r="A669" s="64"/>
      <c r="B669" s="64"/>
      <c r="C669" s="40"/>
      <c r="D669" s="212"/>
      <c r="E669" s="27"/>
      <c r="L669" s="242"/>
      <c r="M669" s="36"/>
      <c r="N669" s="37"/>
      <c r="O669" s="220"/>
      <c r="P669" s="40"/>
      <c r="Q669" s="171"/>
      <c r="R669" s="190"/>
    </row>
    <row r="670">
      <c r="A670" s="64"/>
      <c r="B670" s="64"/>
      <c r="C670" s="40"/>
      <c r="D670" s="212"/>
      <c r="E670" s="27"/>
      <c r="L670" s="242"/>
      <c r="M670" s="36"/>
      <c r="N670" s="37"/>
      <c r="O670" s="220"/>
      <c r="P670" s="40"/>
      <c r="Q670" s="171"/>
      <c r="R670" s="190"/>
    </row>
    <row r="671">
      <c r="A671" s="64"/>
      <c r="B671" s="64"/>
      <c r="C671" s="40"/>
      <c r="D671" s="212"/>
      <c r="E671" s="27"/>
      <c r="L671" s="242"/>
      <c r="M671" s="36"/>
      <c r="N671" s="37"/>
      <c r="O671" s="220"/>
      <c r="P671" s="40"/>
      <c r="Q671" s="171"/>
      <c r="R671" s="190"/>
    </row>
    <row r="672">
      <c r="A672" s="64"/>
      <c r="B672" s="64"/>
      <c r="C672" s="40"/>
      <c r="D672" s="212"/>
      <c r="E672" s="27"/>
      <c r="L672" s="242"/>
      <c r="M672" s="36"/>
      <c r="N672" s="37"/>
      <c r="O672" s="220"/>
      <c r="P672" s="40"/>
      <c r="Q672" s="171"/>
      <c r="R672" s="190"/>
    </row>
    <row r="673">
      <c r="A673" s="64"/>
      <c r="B673" s="64"/>
      <c r="C673" s="40"/>
      <c r="D673" s="212"/>
      <c r="E673" s="27"/>
      <c r="L673" s="242"/>
      <c r="M673" s="36"/>
      <c r="N673" s="37"/>
      <c r="O673" s="220"/>
      <c r="P673" s="40"/>
      <c r="Q673" s="171"/>
      <c r="R673" s="190"/>
    </row>
    <row r="674">
      <c r="A674" s="64"/>
      <c r="B674" s="64"/>
      <c r="C674" s="40"/>
      <c r="D674" s="212"/>
      <c r="E674" s="27"/>
      <c r="L674" s="242"/>
      <c r="M674" s="36"/>
      <c r="N674" s="37"/>
      <c r="O674" s="220"/>
      <c r="P674" s="40"/>
      <c r="Q674" s="171"/>
      <c r="R674" s="190"/>
    </row>
    <row r="675">
      <c r="A675" s="64"/>
      <c r="B675" s="64"/>
      <c r="C675" s="40"/>
      <c r="D675" s="212"/>
      <c r="E675" s="27"/>
      <c r="L675" s="242"/>
      <c r="M675" s="36"/>
      <c r="N675" s="37"/>
      <c r="O675" s="220"/>
      <c r="P675" s="40"/>
      <c r="Q675" s="171"/>
      <c r="R675" s="190"/>
    </row>
    <row r="676">
      <c r="A676" s="64"/>
      <c r="B676" s="64"/>
      <c r="C676" s="40"/>
      <c r="D676" s="212"/>
      <c r="E676" s="27"/>
      <c r="L676" s="242"/>
      <c r="M676" s="36"/>
      <c r="N676" s="37"/>
      <c r="O676" s="220"/>
      <c r="P676" s="40"/>
      <c r="Q676" s="171"/>
      <c r="R676" s="190"/>
    </row>
    <row r="677">
      <c r="A677" s="64"/>
      <c r="B677" s="64"/>
      <c r="C677" s="40"/>
      <c r="D677" s="212"/>
      <c r="E677" s="27"/>
      <c r="L677" s="242"/>
      <c r="M677" s="36"/>
      <c r="N677" s="37"/>
      <c r="O677" s="220"/>
      <c r="P677" s="40"/>
      <c r="Q677" s="171"/>
      <c r="R677" s="190"/>
    </row>
    <row r="678">
      <c r="A678" s="64"/>
      <c r="B678" s="64"/>
      <c r="C678" s="40"/>
      <c r="D678" s="212"/>
      <c r="E678" s="27"/>
      <c r="L678" s="242"/>
      <c r="M678" s="36"/>
      <c r="N678" s="37"/>
      <c r="O678" s="220"/>
      <c r="P678" s="40"/>
      <c r="Q678" s="171"/>
      <c r="R678" s="190"/>
    </row>
    <row r="679">
      <c r="A679" s="64"/>
      <c r="B679" s="64"/>
      <c r="C679" s="40"/>
      <c r="D679" s="212"/>
      <c r="E679" s="27"/>
      <c r="L679" s="242"/>
      <c r="M679" s="36"/>
      <c r="N679" s="37"/>
      <c r="O679" s="220"/>
      <c r="P679" s="40"/>
      <c r="Q679" s="171"/>
      <c r="R679" s="190"/>
    </row>
    <row r="680">
      <c r="A680" s="64"/>
      <c r="B680" s="64"/>
      <c r="C680" s="40"/>
      <c r="D680" s="212"/>
      <c r="E680" s="27"/>
      <c r="L680" s="242"/>
      <c r="M680" s="36"/>
      <c r="N680" s="37"/>
      <c r="O680" s="220"/>
      <c r="P680" s="40"/>
      <c r="Q680" s="171"/>
      <c r="R680" s="190"/>
    </row>
    <row r="681">
      <c r="A681" s="64"/>
      <c r="B681" s="64"/>
      <c r="C681" s="40"/>
      <c r="D681" s="212"/>
      <c r="E681" s="27"/>
      <c r="L681" s="242"/>
      <c r="M681" s="36"/>
      <c r="N681" s="37"/>
      <c r="O681" s="220"/>
      <c r="P681" s="40"/>
      <c r="Q681" s="171"/>
      <c r="R681" s="190"/>
    </row>
    <row r="682">
      <c r="A682" s="64"/>
      <c r="B682" s="64"/>
      <c r="C682" s="40"/>
      <c r="D682" s="212"/>
      <c r="E682" s="27"/>
      <c r="L682" s="242"/>
      <c r="M682" s="36"/>
      <c r="N682" s="37"/>
      <c r="O682" s="220"/>
      <c r="P682" s="40"/>
      <c r="Q682" s="171"/>
      <c r="R682" s="190"/>
    </row>
    <row r="683">
      <c r="A683" s="64"/>
      <c r="B683" s="64"/>
      <c r="C683" s="40"/>
      <c r="D683" s="212"/>
      <c r="E683" s="27"/>
      <c r="L683" s="242"/>
      <c r="M683" s="36"/>
      <c r="N683" s="37"/>
      <c r="O683" s="220"/>
      <c r="P683" s="40"/>
      <c r="Q683" s="171"/>
      <c r="R683" s="190"/>
    </row>
    <row r="684">
      <c r="A684" s="64"/>
      <c r="B684" s="64"/>
      <c r="C684" s="40"/>
      <c r="D684" s="212"/>
      <c r="E684" s="27"/>
      <c r="L684" s="242"/>
      <c r="M684" s="36"/>
      <c r="N684" s="37"/>
      <c r="O684" s="220"/>
      <c r="P684" s="40"/>
      <c r="Q684" s="171"/>
      <c r="R684" s="190"/>
    </row>
    <row r="685">
      <c r="A685" s="64"/>
      <c r="B685" s="64"/>
      <c r="C685" s="40"/>
      <c r="D685" s="212"/>
      <c r="E685" s="27"/>
      <c r="L685" s="242"/>
      <c r="M685" s="36"/>
      <c r="N685" s="37"/>
      <c r="O685" s="220"/>
      <c r="P685" s="40"/>
      <c r="Q685" s="171"/>
      <c r="R685" s="190"/>
    </row>
    <row r="686">
      <c r="A686" s="64"/>
      <c r="B686" s="64"/>
      <c r="C686" s="40"/>
      <c r="D686" s="212"/>
      <c r="E686" s="27"/>
      <c r="L686" s="242"/>
      <c r="M686" s="36"/>
      <c r="N686" s="37"/>
      <c r="O686" s="220"/>
      <c r="P686" s="40"/>
      <c r="Q686" s="171"/>
      <c r="R686" s="190"/>
    </row>
    <row r="687">
      <c r="A687" s="64"/>
      <c r="B687" s="64"/>
      <c r="C687" s="40"/>
      <c r="D687" s="212"/>
      <c r="E687" s="27"/>
      <c r="L687" s="242"/>
      <c r="M687" s="36"/>
      <c r="N687" s="37"/>
      <c r="O687" s="220"/>
      <c r="P687" s="40"/>
      <c r="Q687" s="171"/>
      <c r="R687" s="190"/>
    </row>
    <row r="688">
      <c r="A688" s="64"/>
      <c r="B688" s="64"/>
      <c r="C688" s="40"/>
      <c r="D688" s="212"/>
      <c r="E688" s="27"/>
      <c r="L688" s="242"/>
      <c r="M688" s="36"/>
      <c r="N688" s="37"/>
      <c r="O688" s="220"/>
      <c r="P688" s="40"/>
      <c r="Q688" s="171"/>
      <c r="R688" s="190"/>
    </row>
    <row r="689">
      <c r="A689" s="64"/>
      <c r="B689" s="64"/>
      <c r="C689" s="40"/>
      <c r="D689" s="212"/>
      <c r="E689" s="27"/>
      <c r="L689" s="242"/>
      <c r="M689" s="36"/>
      <c r="N689" s="37"/>
      <c r="O689" s="220"/>
      <c r="P689" s="40"/>
      <c r="Q689" s="171"/>
      <c r="R689" s="190"/>
    </row>
    <row r="690">
      <c r="A690" s="64"/>
      <c r="B690" s="64"/>
      <c r="C690" s="40"/>
      <c r="D690" s="212"/>
      <c r="E690" s="27"/>
      <c r="L690" s="242"/>
      <c r="M690" s="36"/>
      <c r="N690" s="37"/>
      <c r="O690" s="220"/>
      <c r="P690" s="40"/>
      <c r="Q690" s="171"/>
      <c r="R690" s="190"/>
    </row>
    <row r="691">
      <c r="A691" s="64"/>
      <c r="B691" s="64"/>
      <c r="C691" s="40"/>
      <c r="D691" s="212"/>
      <c r="E691" s="27"/>
      <c r="L691" s="242"/>
      <c r="M691" s="36"/>
      <c r="N691" s="37"/>
      <c r="O691" s="220"/>
      <c r="P691" s="40"/>
      <c r="Q691" s="171"/>
      <c r="R691" s="190"/>
    </row>
    <row r="692">
      <c r="A692" s="64"/>
      <c r="B692" s="64"/>
      <c r="C692" s="40"/>
      <c r="D692" s="212"/>
      <c r="E692" s="27"/>
      <c r="L692" s="242"/>
      <c r="M692" s="36"/>
      <c r="N692" s="37"/>
      <c r="O692" s="220"/>
      <c r="P692" s="40"/>
      <c r="Q692" s="171"/>
      <c r="R692" s="190"/>
    </row>
    <row r="693">
      <c r="A693" s="64"/>
      <c r="B693" s="64"/>
      <c r="C693" s="40"/>
      <c r="D693" s="212"/>
      <c r="E693" s="27"/>
      <c r="L693" s="242"/>
      <c r="M693" s="36"/>
      <c r="N693" s="37"/>
      <c r="O693" s="220"/>
      <c r="P693" s="40"/>
      <c r="Q693" s="171"/>
      <c r="R693" s="190"/>
    </row>
    <row r="694">
      <c r="A694" s="64"/>
      <c r="B694" s="64"/>
      <c r="C694" s="40"/>
      <c r="D694" s="212"/>
      <c r="E694" s="27"/>
      <c r="L694" s="242"/>
      <c r="M694" s="36"/>
      <c r="N694" s="37"/>
      <c r="O694" s="220"/>
      <c r="P694" s="40"/>
      <c r="Q694" s="171"/>
      <c r="R694" s="190"/>
    </row>
    <row r="695">
      <c r="A695" s="64"/>
      <c r="B695" s="64"/>
      <c r="C695" s="40"/>
      <c r="D695" s="212"/>
      <c r="E695" s="27"/>
      <c r="L695" s="242"/>
      <c r="M695" s="36"/>
      <c r="N695" s="37"/>
      <c r="O695" s="220"/>
      <c r="P695" s="40"/>
      <c r="Q695" s="171"/>
      <c r="R695" s="190"/>
    </row>
    <row r="696">
      <c r="A696" s="64"/>
      <c r="B696" s="64"/>
      <c r="C696" s="40"/>
      <c r="D696" s="212"/>
      <c r="E696" s="27"/>
      <c r="L696" s="242"/>
      <c r="M696" s="36"/>
      <c r="N696" s="37"/>
      <c r="O696" s="220"/>
      <c r="P696" s="40"/>
      <c r="Q696" s="171"/>
      <c r="R696" s="190"/>
    </row>
    <row r="697">
      <c r="A697" s="64"/>
      <c r="B697" s="64"/>
      <c r="C697" s="40"/>
      <c r="D697" s="212"/>
      <c r="E697" s="27"/>
      <c r="L697" s="242"/>
      <c r="M697" s="36"/>
      <c r="N697" s="37"/>
      <c r="O697" s="220"/>
      <c r="P697" s="40"/>
      <c r="Q697" s="171"/>
      <c r="R697" s="190"/>
    </row>
    <row r="698">
      <c r="A698" s="64"/>
      <c r="B698" s="64"/>
      <c r="C698" s="40"/>
      <c r="D698" s="212"/>
      <c r="E698" s="27"/>
      <c r="L698" s="242"/>
      <c r="M698" s="36"/>
      <c r="N698" s="37"/>
      <c r="O698" s="220"/>
      <c r="P698" s="40"/>
      <c r="Q698" s="171"/>
      <c r="R698" s="190"/>
    </row>
    <row r="699">
      <c r="A699" s="64"/>
      <c r="B699" s="64"/>
      <c r="C699" s="40"/>
      <c r="D699" s="212"/>
      <c r="E699" s="27"/>
      <c r="L699" s="242"/>
      <c r="M699" s="36"/>
      <c r="N699" s="37"/>
      <c r="O699" s="220"/>
      <c r="P699" s="40"/>
      <c r="Q699" s="171"/>
      <c r="R699" s="190"/>
    </row>
    <row r="700">
      <c r="A700" s="64"/>
      <c r="B700" s="64"/>
      <c r="C700" s="40"/>
      <c r="D700" s="212"/>
      <c r="E700" s="27"/>
      <c r="L700" s="242"/>
      <c r="M700" s="36"/>
      <c r="N700" s="37"/>
      <c r="O700" s="220"/>
      <c r="P700" s="40"/>
      <c r="Q700" s="171"/>
      <c r="R700" s="190"/>
    </row>
    <row r="701">
      <c r="A701" s="64"/>
      <c r="B701" s="64"/>
      <c r="C701" s="40"/>
      <c r="D701" s="212"/>
      <c r="E701" s="27"/>
      <c r="L701" s="242"/>
      <c r="M701" s="36"/>
      <c r="N701" s="37"/>
      <c r="O701" s="220"/>
      <c r="P701" s="40"/>
      <c r="Q701" s="171"/>
      <c r="R701" s="190"/>
    </row>
    <row r="702">
      <c r="A702" s="64"/>
      <c r="B702" s="64"/>
      <c r="C702" s="40"/>
      <c r="D702" s="212"/>
      <c r="E702" s="27"/>
      <c r="L702" s="242"/>
      <c r="M702" s="36"/>
      <c r="N702" s="37"/>
      <c r="O702" s="220"/>
      <c r="P702" s="40"/>
      <c r="Q702" s="171"/>
      <c r="R702" s="190"/>
    </row>
    <row r="703">
      <c r="A703" s="64"/>
      <c r="B703" s="64"/>
      <c r="C703" s="40"/>
      <c r="D703" s="212"/>
      <c r="E703" s="27"/>
      <c r="L703" s="242"/>
      <c r="M703" s="36"/>
      <c r="N703" s="37"/>
      <c r="O703" s="220"/>
      <c r="P703" s="40"/>
      <c r="Q703" s="171"/>
      <c r="R703" s="190"/>
    </row>
    <row r="704">
      <c r="A704" s="64"/>
      <c r="B704" s="64"/>
      <c r="C704" s="40"/>
      <c r="D704" s="212"/>
      <c r="E704" s="27"/>
      <c r="L704" s="242"/>
      <c r="M704" s="36"/>
      <c r="N704" s="37"/>
      <c r="O704" s="220"/>
      <c r="P704" s="40"/>
      <c r="Q704" s="171"/>
      <c r="R704" s="190"/>
    </row>
    <row r="705">
      <c r="A705" s="64"/>
      <c r="B705" s="64"/>
      <c r="C705" s="40"/>
      <c r="D705" s="212"/>
      <c r="E705" s="27"/>
      <c r="L705" s="242"/>
      <c r="M705" s="36"/>
      <c r="N705" s="37"/>
      <c r="O705" s="220"/>
      <c r="P705" s="40"/>
      <c r="Q705" s="171"/>
      <c r="R705" s="190"/>
    </row>
    <row r="706">
      <c r="A706" s="64"/>
      <c r="B706" s="64"/>
      <c r="C706" s="40"/>
      <c r="D706" s="212"/>
      <c r="E706" s="27"/>
      <c r="L706" s="242"/>
      <c r="M706" s="36"/>
      <c r="N706" s="37"/>
      <c r="O706" s="220"/>
      <c r="P706" s="40"/>
      <c r="Q706" s="171"/>
      <c r="R706" s="190"/>
    </row>
    <row r="707">
      <c r="A707" s="64"/>
      <c r="B707" s="64"/>
      <c r="C707" s="40"/>
      <c r="D707" s="212"/>
      <c r="E707" s="27"/>
      <c r="L707" s="242"/>
      <c r="M707" s="36"/>
      <c r="N707" s="37"/>
      <c r="O707" s="220"/>
      <c r="P707" s="40"/>
      <c r="Q707" s="171"/>
      <c r="R707" s="190"/>
    </row>
    <row r="708">
      <c r="A708" s="64"/>
      <c r="B708" s="64"/>
      <c r="C708" s="40"/>
      <c r="D708" s="212"/>
      <c r="E708" s="27"/>
      <c r="L708" s="242"/>
      <c r="M708" s="36"/>
      <c r="N708" s="37"/>
      <c r="O708" s="220"/>
      <c r="P708" s="40"/>
      <c r="Q708" s="171"/>
      <c r="R708" s="190"/>
    </row>
    <row r="709">
      <c r="A709" s="64"/>
      <c r="B709" s="64"/>
      <c r="C709" s="40"/>
      <c r="D709" s="212"/>
      <c r="E709" s="27"/>
      <c r="L709" s="242"/>
      <c r="M709" s="36"/>
      <c r="N709" s="37"/>
      <c r="O709" s="220"/>
      <c r="P709" s="40"/>
      <c r="Q709" s="171"/>
      <c r="R709" s="190"/>
    </row>
    <row r="710">
      <c r="A710" s="64"/>
      <c r="B710" s="64"/>
      <c r="C710" s="40"/>
      <c r="D710" s="212"/>
      <c r="E710" s="27"/>
      <c r="L710" s="242"/>
      <c r="M710" s="36"/>
      <c r="N710" s="37"/>
      <c r="O710" s="220"/>
      <c r="P710" s="40"/>
      <c r="Q710" s="171"/>
      <c r="R710" s="190"/>
    </row>
    <row r="711">
      <c r="A711" s="64"/>
      <c r="B711" s="64"/>
      <c r="C711" s="40"/>
      <c r="D711" s="212"/>
      <c r="E711" s="27"/>
      <c r="L711" s="242"/>
      <c r="M711" s="36"/>
      <c r="N711" s="37"/>
      <c r="O711" s="220"/>
      <c r="P711" s="40"/>
      <c r="Q711" s="171"/>
      <c r="R711" s="190"/>
    </row>
    <row r="712">
      <c r="A712" s="64"/>
      <c r="B712" s="64"/>
      <c r="C712" s="40"/>
      <c r="D712" s="212"/>
      <c r="E712" s="27"/>
      <c r="L712" s="242"/>
      <c r="M712" s="36"/>
      <c r="N712" s="37"/>
      <c r="O712" s="220"/>
      <c r="P712" s="40"/>
      <c r="Q712" s="171"/>
      <c r="R712" s="190"/>
    </row>
    <row r="713">
      <c r="A713" s="64"/>
      <c r="B713" s="64"/>
      <c r="C713" s="40"/>
      <c r="D713" s="212"/>
      <c r="E713" s="27"/>
      <c r="L713" s="242"/>
      <c r="M713" s="36"/>
      <c r="N713" s="37"/>
      <c r="O713" s="220"/>
      <c r="P713" s="40"/>
      <c r="Q713" s="171"/>
      <c r="R713" s="190"/>
    </row>
    <row r="714">
      <c r="A714" s="64"/>
      <c r="B714" s="64"/>
      <c r="C714" s="40"/>
      <c r="D714" s="212"/>
      <c r="E714" s="27"/>
      <c r="L714" s="242"/>
      <c r="M714" s="36"/>
      <c r="N714" s="37"/>
      <c r="O714" s="220"/>
      <c r="P714" s="40"/>
      <c r="Q714" s="171"/>
      <c r="R714" s="190"/>
    </row>
    <row r="715">
      <c r="A715" s="64"/>
      <c r="B715" s="64"/>
      <c r="C715" s="40"/>
      <c r="D715" s="212"/>
      <c r="E715" s="27"/>
      <c r="L715" s="242"/>
      <c r="M715" s="36"/>
      <c r="N715" s="37"/>
      <c r="O715" s="220"/>
      <c r="P715" s="40"/>
      <c r="Q715" s="171"/>
      <c r="R715" s="190"/>
    </row>
    <row r="716">
      <c r="A716" s="64"/>
      <c r="B716" s="64"/>
      <c r="C716" s="40"/>
      <c r="D716" s="212"/>
      <c r="E716" s="27"/>
      <c r="L716" s="242"/>
      <c r="M716" s="36"/>
      <c r="N716" s="37"/>
      <c r="O716" s="220"/>
      <c r="P716" s="40"/>
      <c r="Q716" s="171"/>
      <c r="R716" s="190"/>
    </row>
    <row r="717">
      <c r="A717" s="64"/>
      <c r="B717" s="64"/>
      <c r="C717" s="40"/>
      <c r="D717" s="212"/>
      <c r="E717" s="27"/>
      <c r="L717" s="242"/>
      <c r="M717" s="36"/>
      <c r="N717" s="37"/>
      <c r="O717" s="220"/>
      <c r="P717" s="40"/>
      <c r="Q717" s="171"/>
      <c r="R717" s="190"/>
    </row>
    <row r="718">
      <c r="A718" s="64"/>
      <c r="B718" s="64"/>
      <c r="C718" s="40"/>
      <c r="D718" s="212"/>
      <c r="E718" s="27"/>
      <c r="L718" s="242"/>
      <c r="M718" s="36"/>
      <c r="N718" s="37"/>
      <c r="O718" s="220"/>
      <c r="P718" s="40"/>
      <c r="Q718" s="171"/>
      <c r="R718" s="190"/>
    </row>
    <row r="719">
      <c r="A719" s="64"/>
      <c r="B719" s="64"/>
      <c r="C719" s="40"/>
      <c r="D719" s="212"/>
      <c r="E719" s="27"/>
      <c r="L719" s="242"/>
      <c r="M719" s="36"/>
      <c r="N719" s="37"/>
      <c r="O719" s="220"/>
      <c r="P719" s="40"/>
      <c r="Q719" s="171"/>
      <c r="R719" s="190"/>
    </row>
    <row r="720">
      <c r="A720" s="64"/>
      <c r="B720" s="64"/>
      <c r="C720" s="40"/>
      <c r="D720" s="212"/>
      <c r="E720" s="27"/>
      <c r="L720" s="242"/>
      <c r="M720" s="36"/>
      <c r="N720" s="37"/>
      <c r="O720" s="220"/>
      <c r="P720" s="40"/>
      <c r="Q720" s="171"/>
      <c r="R720" s="190"/>
    </row>
    <row r="721">
      <c r="A721" s="64"/>
      <c r="B721" s="64"/>
      <c r="C721" s="40"/>
      <c r="D721" s="212"/>
      <c r="E721" s="27"/>
      <c r="L721" s="242"/>
      <c r="M721" s="36"/>
      <c r="N721" s="37"/>
      <c r="O721" s="220"/>
      <c r="P721" s="40"/>
      <c r="Q721" s="171"/>
      <c r="R721" s="190"/>
    </row>
    <row r="722">
      <c r="A722" s="64"/>
      <c r="B722" s="64"/>
      <c r="C722" s="40"/>
      <c r="D722" s="212"/>
      <c r="E722" s="27"/>
      <c r="L722" s="242"/>
      <c r="M722" s="36"/>
      <c r="N722" s="37"/>
      <c r="O722" s="220"/>
      <c r="P722" s="40"/>
      <c r="Q722" s="171"/>
      <c r="R722" s="190"/>
    </row>
    <row r="723">
      <c r="A723" s="64"/>
      <c r="B723" s="64"/>
      <c r="C723" s="40"/>
      <c r="D723" s="212"/>
      <c r="E723" s="27"/>
      <c r="L723" s="242"/>
      <c r="M723" s="36"/>
      <c r="N723" s="37"/>
      <c r="O723" s="220"/>
      <c r="P723" s="40"/>
      <c r="Q723" s="171"/>
      <c r="R723" s="190"/>
    </row>
    <row r="724">
      <c r="A724" s="64"/>
      <c r="B724" s="64"/>
      <c r="C724" s="40"/>
      <c r="D724" s="212"/>
      <c r="E724" s="27"/>
      <c r="L724" s="242"/>
      <c r="M724" s="36"/>
      <c r="N724" s="37"/>
      <c r="O724" s="220"/>
      <c r="P724" s="40"/>
      <c r="Q724" s="171"/>
      <c r="R724" s="190"/>
    </row>
    <row r="725">
      <c r="A725" s="64"/>
      <c r="B725" s="64"/>
      <c r="C725" s="40"/>
      <c r="D725" s="212"/>
      <c r="E725" s="27"/>
      <c r="L725" s="242"/>
      <c r="M725" s="36"/>
      <c r="N725" s="37"/>
      <c r="O725" s="220"/>
      <c r="P725" s="40"/>
      <c r="Q725" s="171"/>
      <c r="R725" s="190"/>
    </row>
    <row r="726">
      <c r="A726" s="64"/>
      <c r="B726" s="64"/>
      <c r="C726" s="40"/>
      <c r="D726" s="212"/>
      <c r="E726" s="27"/>
      <c r="L726" s="242"/>
      <c r="M726" s="36"/>
      <c r="N726" s="37"/>
      <c r="O726" s="220"/>
      <c r="P726" s="40"/>
      <c r="Q726" s="171"/>
      <c r="R726" s="190"/>
    </row>
    <row r="727">
      <c r="A727" s="64"/>
      <c r="B727" s="64"/>
      <c r="C727" s="40"/>
      <c r="D727" s="212"/>
      <c r="E727" s="27"/>
      <c r="L727" s="242"/>
      <c r="M727" s="36"/>
      <c r="N727" s="37"/>
      <c r="O727" s="220"/>
      <c r="P727" s="40"/>
      <c r="Q727" s="171"/>
      <c r="R727" s="190"/>
    </row>
    <row r="728">
      <c r="A728" s="64"/>
      <c r="B728" s="64"/>
      <c r="C728" s="40"/>
      <c r="D728" s="212"/>
      <c r="E728" s="27"/>
      <c r="L728" s="242"/>
      <c r="M728" s="36"/>
      <c r="N728" s="37"/>
      <c r="O728" s="220"/>
      <c r="P728" s="40"/>
      <c r="Q728" s="171"/>
      <c r="R728" s="190"/>
    </row>
    <row r="729">
      <c r="A729" s="64"/>
      <c r="B729" s="64"/>
      <c r="C729" s="40"/>
      <c r="D729" s="212"/>
      <c r="E729" s="27"/>
      <c r="L729" s="242"/>
      <c r="M729" s="36"/>
      <c r="N729" s="37"/>
      <c r="O729" s="220"/>
      <c r="P729" s="40"/>
      <c r="Q729" s="171"/>
      <c r="R729" s="190"/>
    </row>
    <row r="730">
      <c r="A730" s="64"/>
      <c r="B730" s="64"/>
      <c r="C730" s="40"/>
      <c r="D730" s="212"/>
      <c r="E730" s="27"/>
      <c r="L730" s="242"/>
      <c r="M730" s="36"/>
      <c r="N730" s="37"/>
      <c r="O730" s="220"/>
      <c r="P730" s="40"/>
      <c r="Q730" s="171"/>
      <c r="R730" s="190"/>
    </row>
    <row r="731">
      <c r="A731" s="64"/>
      <c r="B731" s="64"/>
      <c r="C731" s="40"/>
      <c r="D731" s="212"/>
      <c r="E731" s="27"/>
      <c r="L731" s="242"/>
      <c r="M731" s="36"/>
      <c r="N731" s="37"/>
      <c r="O731" s="220"/>
      <c r="P731" s="40"/>
      <c r="Q731" s="171"/>
      <c r="R731" s="190"/>
    </row>
    <row r="732">
      <c r="A732" s="64"/>
      <c r="B732" s="64"/>
      <c r="C732" s="40"/>
      <c r="D732" s="212"/>
      <c r="E732" s="27"/>
      <c r="L732" s="242"/>
      <c r="M732" s="36"/>
      <c r="N732" s="37"/>
      <c r="O732" s="220"/>
      <c r="P732" s="40"/>
      <c r="Q732" s="171"/>
      <c r="R732" s="190"/>
    </row>
    <row r="733">
      <c r="A733" s="64"/>
      <c r="B733" s="64"/>
      <c r="C733" s="40"/>
      <c r="D733" s="212"/>
      <c r="E733" s="27"/>
      <c r="L733" s="242"/>
      <c r="M733" s="36"/>
      <c r="N733" s="37"/>
      <c r="O733" s="220"/>
      <c r="P733" s="40"/>
      <c r="Q733" s="171"/>
      <c r="R733" s="190"/>
    </row>
    <row r="734">
      <c r="A734" s="64"/>
      <c r="B734" s="64"/>
      <c r="C734" s="40"/>
      <c r="D734" s="212"/>
      <c r="E734" s="27"/>
      <c r="L734" s="242"/>
      <c r="M734" s="36"/>
      <c r="N734" s="37"/>
      <c r="O734" s="220"/>
      <c r="P734" s="40"/>
      <c r="Q734" s="171"/>
      <c r="R734" s="190"/>
    </row>
    <row r="735">
      <c r="A735" s="64"/>
      <c r="B735" s="64"/>
      <c r="C735" s="40"/>
      <c r="D735" s="212"/>
      <c r="E735" s="27"/>
      <c r="L735" s="242"/>
      <c r="M735" s="36"/>
      <c r="N735" s="37"/>
      <c r="O735" s="220"/>
      <c r="P735" s="40"/>
      <c r="Q735" s="171"/>
      <c r="R735" s="190"/>
    </row>
    <row r="736">
      <c r="A736" s="64"/>
      <c r="B736" s="64"/>
      <c r="C736" s="40"/>
      <c r="D736" s="212"/>
      <c r="E736" s="27"/>
      <c r="L736" s="242"/>
      <c r="M736" s="36"/>
      <c r="N736" s="37"/>
      <c r="O736" s="220"/>
      <c r="P736" s="40"/>
      <c r="Q736" s="171"/>
      <c r="R736" s="190"/>
    </row>
    <row r="737">
      <c r="A737" s="64"/>
      <c r="B737" s="64"/>
      <c r="C737" s="40"/>
      <c r="D737" s="212"/>
      <c r="E737" s="27"/>
      <c r="L737" s="242"/>
      <c r="M737" s="36"/>
      <c r="N737" s="37"/>
      <c r="O737" s="220"/>
      <c r="P737" s="40"/>
      <c r="Q737" s="171"/>
      <c r="R737" s="190"/>
    </row>
    <row r="738">
      <c r="A738" s="64"/>
      <c r="B738" s="64"/>
      <c r="C738" s="40"/>
      <c r="D738" s="212"/>
      <c r="E738" s="27"/>
      <c r="L738" s="242"/>
      <c r="M738" s="36"/>
      <c r="N738" s="37"/>
      <c r="O738" s="220"/>
      <c r="P738" s="40"/>
      <c r="Q738" s="171"/>
      <c r="R738" s="190"/>
    </row>
    <row r="739">
      <c r="A739" s="64"/>
      <c r="B739" s="64"/>
      <c r="C739" s="40"/>
      <c r="D739" s="212"/>
      <c r="E739" s="27"/>
      <c r="L739" s="242"/>
      <c r="M739" s="36"/>
      <c r="N739" s="37"/>
      <c r="O739" s="220"/>
      <c r="P739" s="40"/>
      <c r="Q739" s="171"/>
      <c r="R739" s="190"/>
    </row>
    <row r="740">
      <c r="A740" s="64"/>
      <c r="B740" s="64"/>
      <c r="C740" s="40"/>
      <c r="D740" s="212"/>
      <c r="E740" s="27"/>
      <c r="L740" s="242"/>
      <c r="M740" s="36"/>
      <c r="N740" s="37"/>
      <c r="O740" s="220"/>
      <c r="P740" s="40"/>
      <c r="Q740" s="171"/>
      <c r="R740" s="190"/>
    </row>
    <row r="741">
      <c r="A741" s="64"/>
      <c r="B741" s="64"/>
      <c r="C741" s="40"/>
      <c r="D741" s="212"/>
      <c r="E741" s="27"/>
      <c r="L741" s="242"/>
      <c r="M741" s="36"/>
      <c r="N741" s="37"/>
      <c r="O741" s="220"/>
      <c r="P741" s="40"/>
      <c r="Q741" s="171"/>
      <c r="R741" s="190"/>
    </row>
    <row r="742">
      <c r="A742" s="64"/>
      <c r="B742" s="64"/>
      <c r="C742" s="40"/>
      <c r="D742" s="212"/>
      <c r="E742" s="27"/>
      <c r="L742" s="242"/>
      <c r="M742" s="36"/>
      <c r="N742" s="37"/>
      <c r="O742" s="220"/>
      <c r="P742" s="40"/>
      <c r="Q742" s="171"/>
      <c r="R742" s="190"/>
    </row>
    <row r="743">
      <c r="A743" s="64"/>
      <c r="B743" s="64"/>
      <c r="C743" s="40"/>
      <c r="D743" s="212"/>
      <c r="E743" s="27"/>
      <c r="L743" s="242"/>
      <c r="M743" s="36"/>
      <c r="N743" s="37"/>
      <c r="O743" s="220"/>
      <c r="P743" s="40"/>
      <c r="Q743" s="171"/>
      <c r="R743" s="190"/>
    </row>
    <row r="744">
      <c r="A744" s="64"/>
      <c r="B744" s="64"/>
      <c r="C744" s="40"/>
      <c r="D744" s="212"/>
      <c r="E744" s="27"/>
      <c r="L744" s="242"/>
      <c r="M744" s="36"/>
      <c r="N744" s="37"/>
      <c r="O744" s="220"/>
      <c r="P744" s="40"/>
      <c r="Q744" s="171"/>
      <c r="R744" s="190"/>
    </row>
    <row r="745">
      <c r="A745" s="64"/>
      <c r="B745" s="64"/>
      <c r="C745" s="40"/>
      <c r="D745" s="212"/>
      <c r="E745" s="27"/>
      <c r="L745" s="242"/>
      <c r="M745" s="36"/>
      <c r="N745" s="37"/>
      <c r="O745" s="220"/>
      <c r="P745" s="40"/>
      <c r="Q745" s="171"/>
      <c r="R745" s="190"/>
    </row>
    <row r="746">
      <c r="A746" s="64"/>
      <c r="B746" s="64"/>
      <c r="C746" s="40"/>
      <c r="D746" s="212"/>
      <c r="E746" s="27"/>
      <c r="L746" s="242"/>
      <c r="M746" s="36"/>
      <c r="N746" s="37"/>
      <c r="O746" s="220"/>
      <c r="P746" s="40"/>
      <c r="Q746" s="171"/>
      <c r="R746" s="190"/>
    </row>
    <row r="747">
      <c r="A747" s="64"/>
      <c r="B747" s="64"/>
      <c r="C747" s="40"/>
      <c r="D747" s="212"/>
      <c r="E747" s="27"/>
      <c r="L747" s="242"/>
      <c r="M747" s="36"/>
      <c r="N747" s="37"/>
      <c r="O747" s="220"/>
      <c r="P747" s="40"/>
      <c r="Q747" s="171"/>
      <c r="R747" s="190"/>
    </row>
    <row r="748">
      <c r="A748" s="64"/>
      <c r="B748" s="64"/>
      <c r="C748" s="40"/>
      <c r="D748" s="212"/>
      <c r="E748" s="27"/>
      <c r="L748" s="242"/>
      <c r="M748" s="36"/>
      <c r="N748" s="37"/>
      <c r="O748" s="220"/>
      <c r="P748" s="40"/>
      <c r="Q748" s="171"/>
      <c r="R748" s="190"/>
    </row>
    <row r="749">
      <c r="A749" s="64"/>
      <c r="B749" s="64"/>
      <c r="C749" s="40"/>
      <c r="D749" s="212"/>
      <c r="E749" s="27"/>
      <c r="L749" s="242"/>
      <c r="M749" s="36"/>
      <c r="N749" s="37"/>
      <c r="O749" s="220"/>
      <c r="P749" s="40"/>
      <c r="Q749" s="171"/>
      <c r="R749" s="190"/>
    </row>
    <row r="750">
      <c r="A750" s="64"/>
      <c r="B750" s="64"/>
      <c r="C750" s="40"/>
      <c r="D750" s="212"/>
      <c r="E750" s="27"/>
      <c r="L750" s="242"/>
      <c r="M750" s="36"/>
      <c r="N750" s="37"/>
      <c r="O750" s="220"/>
      <c r="P750" s="40"/>
      <c r="Q750" s="171"/>
      <c r="R750" s="190"/>
    </row>
    <row r="751">
      <c r="A751" s="64"/>
      <c r="B751" s="64"/>
      <c r="C751" s="40"/>
      <c r="D751" s="212"/>
      <c r="E751" s="27"/>
      <c r="L751" s="242"/>
      <c r="M751" s="36"/>
      <c r="N751" s="37"/>
      <c r="O751" s="220"/>
      <c r="P751" s="40"/>
      <c r="Q751" s="171"/>
      <c r="R751" s="190"/>
    </row>
    <row r="752">
      <c r="A752" s="64"/>
      <c r="B752" s="64"/>
      <c r="C752" s="40"/>
      <c r="D752" s="212"/>
      <c r="E752" s="27"/>
      <c r="L752" s="242"/>
      <c r="M752" s="36"/>
      <c r="N752" s="37"/>
      <c r="O752" s="220"/>
      <c r="P752" s="40"/>
      <c r="Q752" s="171"/>
      <c r="R752" s="190"/>
    </row>
    <row r="753">
      <c r="A753" s="64"/>
      <c r="B753" s="64"/>
      <c r="C753" s="40"/>
      <c r="D753" s="212"/>
      <c r="E753" s="27"/>
      <c r="L753" s="242"/>
      <c r="M753" s="36"/>
      <c r="N753" s="37"/>
      <c r="O753" s="220"/>
      <c r="P753" s="40"/>
      <c r="Q753" s="171"/>
      <c r="R753" s="190"/>
    </row>
    <row r="754">
      <c r="A754" s="64"/>
      <c r="B754" s="64"/>
      <c r="C754" s="40"/>
      <c r="D754" s="212"/>
      <c r="E754" s="27"/>
      <c r="L754" s="242"/>
      <c r="M754" s="36"/>
      <c r="N754" s="37"/>
      <c r="O754" s="220"/>
      <c r="P754" s="40"/>
      <c r="Q754" s="171"/>
      <c r="R754" s="190"/>
    </row>
    <row r="755">
      <c r="A755" s="64"/>
      <c r="B755" s="64"/>
      <c r="C755" s="40"/>
      <c r="D755" s="212"/>
      <c r="E755" s="27"/>
      <c r="L755" s="242"/>
      <c r="M755" s="36"/>
      <c r="N755" s="37"/>
      <c r="O755" s="220"/>
      <c r="P755" s="40"/>
      <c r="Q755" s="171"/>
      <c r="R755" s="190"/>
    </row>
    <row r="756">
      <c r="A756" s="64"/>
      <c r="B756" s="64"/>
      <c r="C756" s="40"/>
      <c r="D756" s="212"/>
      <c r="E756" s="27"/>
      <c r="L756" s="242"/>
      <c r="M756" s="36"/>
      <c r="N756" s="37"/>
      <c r="O756" s="220"/>
      <c r="P756" s="40"/>
      <c r="Q756" s="171"/>
      <c r="R756" s="190"/>
    </row>
    <row r="757">
      <c r="A757" s="64"/>
      <c r="B757" s="64"/>
      <c r="C757" s="40"/>
      <c r="D757" s="212"/>
      <c r="E757" s="27"/>
      <c r="L757" s="242"/>
      <c r="M757" s="36"/>
      <c r="N757" s="37"/>
      <c r="O757" s="220"/>
      <c r="P757" s="40"/>
      <c r="Q757" s="171"/>
      <c r="R757" s="190"/>
    </row>
    <row r="758">
      <c r="A758" s="64"/>
      <c r="B758" s="64"/>
      <c r="C758" s="40"/>
      <c r="D758" s="212"/>
      <c r="E758" s="27"/>
      <c r="L758" s="242"/>
      <c r="M758" s="36"/>
      <c r="N758" s="37"/>
      <c r="O758" s="220"/>
      <c r="P758" s="40"/>
      <c r="Q758" s="171"/>
      <c r="R758" s="190"/>
    </row>
    <row r="759">
      <c r="A759" s="64"/>
      <c r="B759" s="64"/>
      <c r="C759" s="40"/>
      <c r="D759" s="212"/>
      <c r="E759" s="27"/>
      <c r="L759" s="242"/>
      <c r="M759" s="36"/>
      <c r="N759" s="37"/>
      <c r="O759" s="220"/>
      <c r="P759" s="40"/>
      <c r="Q759" s="171"/>
      <c r="R759" s="190"/>
    </row>
    <row r="760">
      <c r="A760" s="64"/>
      <c r="B760" s="64"/>
      <c r="C760" s="40"/>
      <c r="D760" s="212"/>
      <c r="E760" s="27"/>
      <c r="L760" s="242"/>
      <c r="M760" s="36"/>
      <c r="N760" s="37"/>
      <c r="O760" s="220"/>
      <c r="P760" s="40"/>
      <c r="Q760" s="171"/>
      <c r="R760" s="190"/>
    </row>
    <row r="761">
      <c r="A761" s="64"/>
      <c r="B761" s="64"/>
      <c r="C761" s="40"/>
      <c r="D761" s="212"/>
      <c r="E761" s="27"/>
      <c r="L761" s="242"/>
      <c r="M761" s="36"/>
      <c r="N761" s="37"/>
      <c r="O761" s="220"/>
      <c r="P761" s="40"/>
      <c r="Q761" s="171"/>
      <c r="R761" s="190"/>
    </row>
    <row r="762">
      <c r="A762" s="64"/>
      <c r="B762" s="64"/>
      <c r="C762" s="40"/>
      <c r="D762" s="212"/>
      <c r="E762" s="27"/>
      <c r="L762" s="242"/>
      <c r="M762" s="36"/>
      <c r="N762" s="37"/>
      <c r="O762" s="220"/>
      <c r="P762" s="40"/>
      <c r="Q762" s="171"/>
      <c r="R762" s="190"/>
    </row>
    <row r="763">
      <c r="A763" s="64"/>
      <c r="B763" s="64"/>
      <c r="C763" s="40"/>
      <c r="D763" s="212"/>
      <c r="E763" s="27"/>
      <c r="L763" s="242"/>
      <c r="M763" s="36"/>
      <c r="N763" s="37"/>
      <c r="O763" s="220"/>
      <c r="P763" s="40"/>
      <c r="Q763" s="171"/>
      <c r="R763" s="190"/>
    </row>
    <row r="764">
      <c r="A764" s="64"/>
      <c r="B764" s="64"/>
      <c r="C764" s="40"/>
      <c r="D764" s="212"/>
      <c r="E764" s="27"/>
      <c r="L764" s="242"/>
      <c r="M764" s="36"/>
      <c r="N764" s="37"/>
      <c r="O764" s="220"/>
      <c r="P764" s="40"/>
      <c r="Q764" s="171"/>
      <c r="R764" s="190"/>
    </row>
    <row r="765">
      <c r="A765" s="64"/>
      <c r="B765" s="64"/>
      <c r="C765" s="40"/>
      <c r="D765" s="212"/>
      <c r="E765" s="27"/>
      <c r="L765" s="242"/>
      <c r="M765" s="36"/>
      <c r="N765" s="37"/>
      <c r="O765" s="220"/>
      <c r="P765" s="40"/>
      <c r="Q765" s="171"/>
      <c r="R765" s="190"/>
    </row>
    <row r="766">
      <c r="A766" s="64"/>
      <c r="B766" s="64"/>
      <c r="C766" s="40"/>
      <c r="D766" s="212"/>
      <c r="E766" s="27"/>
      <c r="L766" s="242"/>
      <c r="M766" s="36"/>
      <c r="N766" s="37"/>
      <c r="O766" s="220"/>
      <c r="P766" s="40"/>
      <c r="Q766" s="171"/>
      <c r="R766" s="190"/>
    </row>
    <row r="767">
      <c r="A767" s="64"/>
      <c r="B767" s="64"/>
      <c r="C767" s="40"/>
      <c r="D767" s="212"/>
      <c r="E767" s="27"/>
      <c r="L767" s="242"/>
      <c r="M767" s="36"/>
      <c r="N767" s="37"/>
      <c r="O767" s="220"/>
      <c r="P767" s="40"/>
      <c r="Q767" s="171"/>
      <c r="R767" s="190"/>
    </row>
    <row r="768">
      <c r="A768" s="64"/>
      <c r="B768" s="64"/>
      <c r="C768" s="40"/>
      <c r="D768" s="212"/>
      <c r="E768" s="27"/>
      <c r="L768" s="242"/>
      <c r="M768" s="36"/>
      <c r="N768" s="37"/>
      <c r="O768" s="220"/>
      <c r="P768" s="40"/>
      <c r="Q768" s="171"/>
      <c r="R768" s="190"/>
    </row>
    <row r="769">
      <c r="A769" s="64"/>
      <c r="B769" s="64"/>
      <c r="C769" s="40"/>
      <c r="D769" s="212"/>
      <c r="E769" s="27"/>
      <c r="L769" s="242"/>
      <c r="M769" s="36"/>
      <c r="N769" s="37"/>
      <c r="O769" s="220"/>
      <c r="P769" s="40"/>
      <c r="Q769" s="171"/>
      <c r="R769" s="190"/>
    </row>
    <row r="770">
      <c r="A770" s="64"/>
      <c r="B770" s="64"/>
      <c r="C770" s="40"/>
      <c r="D770" s="212"/>
      <c r="E770" s="27"/>
      <c r="L770" s="242"/>
      <c r="M770" s="36"/>
      <c r="N770" s="37"/>
      <c r="O770" s="220"/>
      <c r="P770" s="40"/>
      <c r="Q770" s="171"/>
      <c r="R770" s="190"/>
    </row>
    <row r="771">
      <c r="A771" s="64"/>
      <c r="B771" s="64"/>
      <c r="C771" s="40"/>
      <c r="D771" s="212"/>
      <c r="E771" s="27"/>
      <c r="L771" s="242"/>
      <c r="M771" s="36"/>
      <c r="N771" s="37"/>
      <c r="O771" s="220"/>
      <c r="P771" s="40"/>
      <c r="Q771" s="171"/>
      <c r="R771" s="190"/>
    </row>
    <row r="772">
      <c r="A772" s="64"/>
      <c r="B772" s="64"/>
      <c r="C772" s="40"/>
      <c r="D772" s="212"/>
      <c r="E772" s="27"/>
      <c r="L772" s="242"/>
      <c r="M772" s="36"/>
      <c r="N772" s="37"/>
      <c r="O772" s="220"/>
      <c r="P772" s="40"/>
      <c r="Q772" s="171"/>
      <c r="R772" s="190"/>
    </row>
    <row r="773">
      <c r="A773" s="64"/>
      <c r="B773" s="64"/>
      <c r="C773" s="40"/>
      <c r="D773" s="212"/>
      <c r="E773" s="27"/>
      <c r="L773" s="242"/>
      <c r="M773" s="36"/>
      <c r="N773" s="37"/>
      <c r="O773" s="220"/>
      <c r="P773" s="40"/>
      <c r="Q773" s="171"/>
      <c r="R773" s="190"/>
    </row>
    <row r="774">
      <c r="A774" s="64"/>
      <c r="B774" s="64"/>
      <c r="C774" s="40"/>
      <c r="D774" s="212"/>
      <c r="E774" s="27"/>
      <c r="L774" s="242"/>
      <c r="M774" s="36"/>
      <c r="N774" s="37"/>
      <c r="O774" s="220"/>
      <c r="P774" s="40"/>
      <c r="Q774" s="171"/>
      <c r="R774" s="190"/>
    </row>
    <row r="775">
      <c r="A775" s="64"/>
      <c r="B775" s="64"/>
      <c r="C775" s="40"/>
      <c r="D775" s="212"/>
      <c r="E775" s="27"/>
      <c r="L775" s="242"/>
      <c r="M775" s="36"/>
      <c r="N775" s="37"/>
      <c r="O775" s="220"/>
      <c r="P775" s="40"/>
      <c r="Q775" s="171"/>
      <c r="R775" s="190"/>
    </row>
    <row r="776">
      <c r="A776" s="64"/>
      <c r="B776" s="64"/>
      <c r="C776" s="40"/>
      <c r="D776" s="212"/>
      <c r="E776" s="27"/>
      <c r="L776" s="242"/>
      <c r="M776" s="36"/>
      <c r="N776" s="37"/>
      <c r="O776" s="220"/>
      <c r="P776" s="40"/>
      <c r="Q776" s="171"/>
      <c r="R776" s="190"/>
    </row>
    <row r="777">
      <c r="A777" s="64"/>
      <c r="B777" s="64"/>
      <c r="C777" s="40"/>
      <c r="D777" s="212"/>
      <c r="E777" s="27"/>
      <c r="L777" s="242"/>
      <c r="M777" s="36"/>
      <c r="N777" s="37"/>
      <c r="O777" s="220"/>
      <c r="P777" s="40"/>
      <c r="Q777" s="171"/>
      <c r="R777" s="190"/>
    </row>
    <row r="778">
      <c r="A778" s="64"/>
      <c r="B778" s="64"/>
      <c r="C778" s="40"/>
      <c r="D778" s="212"/>
      <c r="E778" s="27"/>
      <c r="L778" s="242"/>
      <c r="M778" s="36"/>
      <c r="N778" s="37"/>
      <c r="O778" s="220"/>
      <c r="P778" s="40"/>
      <c r="Q778" s="171"/>
      <c r="R778" s="190"/>
    </row>
    <row r="779">
      <c r="A779" s="64"/>
      <c r="B779" s="64"/>
      <c r="C779" s="40"/>
      <c r="D779" s="212"/>
      <c r="E779" s="27"/>
      <c r="L779" s="242"/>
      <c r="M779" s="36"/>
      <c r="N779" s="37"/>
      <c r="O779" s="220"/>
      <c r="P779" s="40"/>
      <c r="Q779" s="171"/>
      <c r="R779" s="190"/>
    </row>
    <row r="780">
      <c r="A780" s="64"/>
      <c r="B780" s="64"/>
      <c r="C780" s="40"/>
      <c r="D780" s="212"/>
      <c r="E780" s="27"/>
      <c r="L780" s="242"/>
      <c r="M780" s="36"/>
      <c r="N780" s="37"/>
      <c r="O780" s="220"/>
      <c r="P780" s="40"/>
      <c r="Q780" s="171"/>
      <c r="R780" s="190"/>
    </row>
    <row r="781">
      <c r="A781" s="64"/>
      <c r="B781" s="64"/>
      <c r="C781" s="40"/>
      <c r="D781" s="212"/>
      <c r="E781" s="27"/>
      <c r="L781" s="242"/>
      <c r="M781" s="36"/>
      <c r="N781" s="37"/>
      <c r="O781" s="220"/>
      <c r="P781" s="40"/>
      <c r="Q781" s="171"/>
      <c r="R781" s="190"/>
    </row>
    <row r="782">
      <c r="A782" s="64"/>
      <c r="B782" s="64"/>
      <c r="C782" s="40"/>
      <c r="D782" s="212"/>
      <c r="E782" s="27"/>
      <c r="L782" s="242"/>
      <c r="M782" s="36"/>
      <c r="N782" s="37"/>
      <c r="O782" s="220"/>
      <c r="P782" s="40"/>
      <c r="Q782" s="171"/>
      <c r="R782" s="190"/>
    </row>
    <row r="783">
      <c r="A783" s="64"/>
      <c r="B783" s="64"/>
      <c r="C783" s="40"/>
      <c r="D783" s="212"/>
      <c r="E783" s="27"/>
      <c r="L783" s="242"/>
      <c r="M783" s="36"/>
      <c r="N783" s="37"/>
      <c r="O783" s="220"/>
      <c r="P783" s="40"/>
      <c r="Q783" s="171"/>
      <c r="R783" s="190"/>
    </row>
    <row r="784">
      <c r="A784" s="64"/>
      <c r="B784" s="64"/>
      <c r="C784" s="40"/>
      <c r="D784" s="212"/>
      <c r="E784" s="27"/>
      <c r="L784" s="242"/>
      <c r="M784" s="36"/>
      <c r="N784" s="37"/>
      <c r="O784" s="220"/>
      <c r="P784" s="40"/>
      <c r="Q784" s="171"/>
      <c r="R784" s="190"/>
    </row>
    <row r="785">
      <c r="A785" s="64"/>
      <c r="B785" s="64"/>
      <c r="C785" s="40"/>
      <c r="D785" s="212"/>
      <c r="E785" s="27"/>
      <c r="L785" s="242"/>
      <c r="M785" s="36"/>
      <c r="N785" s="37"/>
      <c r="O785" s="220"/>
      <c r="P785" s="40"/>
      <c r="Q785" s="171"/>
      <c r="R785" s="190"/>
    </row>
    <row r="786">
      <c r="A786" s="64"/>
      <c r="B786" s="64"/>
      <c r="C786" s="40"/>
      <c r="D786" s="212"/>
      <c r="E786" s="27"/>
      <c r="L786" s="242"/>
      <c r="M786" s="36"/>
      <c r="N786" s="37"/>
      <c r="O786" s="220"/>
      <c r="P786" s="40"/>
      <c r="Q786" s="171"/>
      <c r="R786" s="190"/>
    </row>
    <row r="787">
      <c r="A787" s="64"/>
      <c r="B787" s="64"/>
      <c r="C787" s="40"/>
      <c r="D787" s="212"/>
      <c r="E787" s="27"/>
      <c r="L787" s="242"/>
      <c r="M787" s="36"/>
      <c r="N787" s="37"/>
      <c r="O787" s="220"/>
      <c r="P787" s="40"/>
      <c r="Q787" s="171"/>
      <c r="R787" s="190"/>
    </row>
    <row r="788">
      <c r="A788" s="64"/>
      <c r="B788" s="64"/>
      <c r="C788" s="40"/>
      <c r="D788" s="212"/>
      <c r="E788" s="27"/>
      <c r="L788" s="242"/>
      <c r="M788" s="36"/>
      <c r="N788" s="37"/>
      <c r="O788" s="220"/>
      <c r="P788" s="40"/>
      <c r="Q788" s="171"/>
      <c r="R788" s="190"/>
    </row>
    <row r="789">
      <c r="A789" s="64"/>
      <c r="B789" s="64"/>
      <c r="C789" s="40"/>
      <c r="D789" s="212"/>
      <c r="E789" s="27"/>
      <c r="L789" s="242"/>
      <c r="M789" s="36"/>
      <c r="N789" s="37"/>
      <c r="O789" s="220"/>
      <c r="P789" s="40"/>
      <c r="Q789" s="171"/>
      <c r="R789" s="190"/>
    </row>
    <row r="790">
      <c r="A790" s="64"/>
      <c r="B790" s="64"/>
      <c r="C790" s="40"/>
      <c r="D790" s="212"/>
      <c r="E790" s="27"/>
      <c r="L790" s="242"/>
      <c r="M790" s="36"/>
      <c r="N790" s="37"/>
      <c r="O790" s="220"/>
      <c r="P790" s="40"/>
      <c r="Q790" s="171"/>
      <c r="R790" s="190"/>
    </row>
    <row r="791">
      <c r="A791" s="64"/>
      <c r="B791" s="64"/>
      <c r="C791" s="40"/>
      <c r="D791" s="212"/>
      <c r="E791" s="27"/>
      <c r="L791" s="242"/>
      <c r="M791" s="36"/>
      <c r="N791" s="37"/>
      <c r="O791" s="220"/>
      <c r="P791" s="40"/>
      <c r="Q791" s="171"/>
      <c r="R791" s="190"/>
    </row>
    <row r="792">
      <c r="A792" s="64"/>
      <c r="B792" s="64"/>
      <c r="C792" s="40"/>
      <c r="D792" s="212"/>
      <c r="E792" s="27"/>
      <c r="L792" s="242"/>
      <c r="M792" s="36"/>
      <c r="N792" s="37"/>
      <c r="O792" s="220"/>
      <c r="P792" s="40"/>
      <c r="Q792" s="171"/>
      <c r="R792" s="190"/>
    </row>
    <row r="793">
      <c r="A793" s="64"/>
      <c r="B793" s="64"/>
      <c r="C793" s="40"/>
      <c r="D793" s="212"/>
      <c r="E793" s="27"/>
      <c r="L793" s="242"/>
      <c r="M793" s="36"/>
      <c r="N793" s="37"/>
      <c r="O793" s="220"/>
      <c r="P793" s="40"/>
      <c r="Q793" s="171"/>
      <c r="R793" s="190"/>
    </row>
    <row r="794">
      <c r="A794" s="64"/>
      <c r="B794" s="64"/>
      <c r="C794" s="40"/>
      <c r="D794" s="212"/>
      <c r="E794" s="27"/>
      <c r="L794" s="242"/>
      <c r="M794" s="36"/>
      <c r="N794" s="37"/>
      <c r="O794" s="220"/>
      <c r="P794" s="40"/>
      <c r="Q794" s="171"/>
      <c r="R794" s="190"/>
    </row>
    <row r="795">
      <c r="A795" s="64"/>
      <c r="B795" s="64"/>
      <c r="C795" s="40"/>
      <c r="D795" s="212"/>
      <c r="E795" s="27"/>
      <c r="L795" s="242"/>
      <c r="M795" s="36"/>
      <c r="N795" s="37"/>
      <c r="O795" s="220"/>
      <c r="P795" s="40"/>
      <c r="Q795" s="171"/>
      <c r="R795" s="190"/>
    </row>
    <row r="796">
      <c r="A796" s="64"/>
      <c r="B796" s="64"/>
      <c r="C796" s="40"/>
      <c r="D796" s="212"/>
      <c r="E796" s="27"/>
      <c r="L796" s="242"/>
      <c r="M796" s="36"/>
      <c r="N796" s="37"/>
      <c r="O796" s="220"/>
      <c r="P796" s="40"/>
      <c r="Q796" s="171"/>
      <c r="R796" s="190"/>
    </row>
    <row r="797">
      <c r="A797" s="64"/>
      <c r="B797" s="64"/>
      <c r="C797" s="40"/>
      <c r="D797" s="212"/>
      <c r="E797" s="27"/>
      <c r="L797" s="242"/>
      <c r="M797" s="36"/>
      <c r="N797" s="37"/>
      <c r="O797" s="220"/>
      <c r="P797" s="40"/>
      <c r="Q797" s="171"/>
      <c r="R797" s="190"/>
    </row>
    <row r="798">
      <c r="A798" s="64"/>
      <c r="B798" s="64"/>
      <c r="C798" s="40"/>
      <c r="D798" s="212"/>
      <c r="E798" s="27"/>
      <c r="L798" s="242"/>
      <c r="M798" s="36"/>
      <c r="N798" s="37"/>
      <c r="O798" s="220"/>
      <c r="P798" s="40"/>
      <c r="Q798" s="171"/>
      <c r="R798" s="190"/>
    </row>
    <row r="799">
      <c r="A799" s="64"/>
      <c r="B799" s="64"/>
      <c r="C799" s="40"/>
      <c r="D799" s="212"/>
      <c r="E799" s="27"/>
      <c r="L799" s="242"/>
      <c r="M799" s="36"/>
      <c r="N799" s="37"/>
      <c r="O799" s="220"/>
      <c r="P799" s="40"/>
      <c r="Q799" s="171"/>
      <c r="R799" s="190"/>
    </row>
    <row r="800">
      <c r="A800" s="64"/>
      <c r="B800" s="64"/>
      <c r="C800" s="40"/>
      <c r="D800" s="212"/>
      <c r="E800" s="27"/>
      <c r="L800" s="242"/>
      <c r="M800" s="36"/>
      <c r="N800" s="37"/>
      <c r="O800" s="220"/>
      <c r="P800" s="40"/>
      <c r="Q800" s="171"/>
      <c r="R800" s="190"/>
    </row>
    <row r="801">
      <c r="A801" s="64"/>
      <c r="B801" s="64"/>
      <c r="C801" s="40"/>
      <c r="D801" s="212"/>
      <c r="E801" s="27"/>
      <c r="L801" s="242"/>
      <c r="M801" s="36"/>
      <c r="N801" s="37"/>
      <c r="O801" s="220"/>
      <c r="P801" s="40"/>
      <c r="Q801" s="171"/>
      <c r="R801" s="190"/>
    </row>
    <row r="802">
      <c r="A802" s="64"/>
      <c r="B802" s="64"/>
      <c r="C802" s="40"/>
      <c r="D802" s="212"/>
      <c r="E802" s="27"/>
      <c r="L802" s="242"/>
      <c r="M802" s="36"/>
      <c r="N802" s="37"/>
      <c r="O802" s="220"/>
      <c r="P802" s="40"/>
      <c r="Q802" s="171"/>
      <c r="R802" s="190"/>
    </row>
    <row r="803">
      <c r="A803" s="64"/>
      <c r="B803" s="64"/>
      <c r="C803" s="40"/>
      <c r="D803" s="212"/>
      <c r="E803" s="27"/>
      <c r="L803" s="242"/>
      <c r="M803" s="36"/>
      <c r="N803" s="37"/>
      <c r="O803" s="220"/>
      <c r="P803" s="40"/>
      <c r="Q803" s="171"/>
      <c r="R803" s="190"/>
    </row>
    <row r="804">
      <c r="A804" s="64"/>
      <c r="B804" s="64"/>
      <c r="C804" s="40"/>
      <c r="D804" s="212"/>
      <c r="E804" s="27"/>
      <c r="L804" s="242"/>
      <c r="M804" s="36"/>
      <c r="N804" s="37"/>
      <c r="O804" s="220"/>
      <c r="P804" s="40"/>
      <c r="Q804" s="171"/>
      <c r="R804" s="190"/>
    </row>
    <row r="805">
      <c r="A805" s="64"/>
      <c r="B805" s="64"/>
      <c r="C805" s="40"/>
      <c r="D805" s="212"/>
      <c r="E805" s="27"/>
      <c r="L805" s="242"/>
      <c r="M805" s="36"/>
      <c r="N805" s="37"/>
      <c r="O805" s="220"/>
      <c r="P805" s="40"/>
      <c r="Q805" s="171"/>
      <c r="R805" s="190"/>
    </row>
    <row r="806">
      <c r="A806" s="64"/>
      <c r="B806" s="64"/>
      <c r="C806" s="40"/>
      <c r="D806" s="212"/>
      <c r="E806" s="27"/>
      <c r="L806" s="242"/>
      <c r="M806" s="36"/>
      <c r="N806" s="37"/>
      <c r="O806" s="220"/>
      <c r="P806" s="40"/>
      <c r="Q806" s="171"/>
      <c r="R806" s="190"/>
    </row>
    <row r="807">
      <c r="A807" s="64"/>
      <c r="B807" s="64"/>
      <c r="C807" s="40"/>
      <c r="D807" s="212"/>
      <c r="E807" s="27"/>
      <c r="L807" s="242"/>
      <c r="M807" s="36"/>
      <c r="N807" s="37"/>
      <c r="O807" s="220"/>
      <c r="P807" s="40"/>
      <c r="Q807" s="171"/>
      <c r="R807" s="190"/>
    </row>
    <row r="808">
      <c r="A808" s="64"/>
      <c r="B808" s="64"/>
      <c r="C808" s="40"/>
      <c r="D808" s="212"/>
      <c r="E808" s="27"/>
      <c r="L808" s="242"/>
      <c r="M808" s="36"/>
      <c r="N808" s="37"/>
      <c r="O808" s="220"/>
      <c r="P808" s="40"/>
      <c r="Q808" s="171"/>
      <c r="R808" s="190"/>
    </row>
    <row r="809">
      <c r="A809" s="64"/>
      <c r="B809" s="64"/>
      <c r="C809" s="40"/>
      <c r="D809" s="212"/>
      <c r="E809" s="27"/>
      <c r="L809" s="242"/>
      <c r="M809" s="36"/>
      <c r="N809" s="37"/>
      <c r="O809" s="220"/>
      <c r="P809" s="40"/>
      <c r="Q809" s="171"/>
      <c r="R809" s="190"/>
    </row>
    <row r="810">
      <c r="A810" s="64"/>
      <c r="B810" s="64"/>
      <c r="C810" s="40"/>
      <c r="D810" s="212"/>
      <c r="E810" s="27"/>
      <c r="L810" s="242"/>
      <c r="M810" s="36"/>
      <c r="N810" s="37"/>
      <c r="O810" s="220"/>
      <c r="P810" s="40"/>
      <c r="Q810" s="171"/>
      <c r="R810" s="190"/>
    </row>
    <row r="811">
      <c r="A811" s="64"/>
      <c r="B811" s="64"/>
      <c r="C811" s="40"/>
      <c r="D811" s="212"/>
      <c r="E811" s="27"/>
      <c r="L811" s="242"/>
      <c r="M811" s="36"/>
      <c r="N811" s="37"/>
      <c r="O811" s="220"/>
      <c r="P811" s="40"/>
      <c r="Q811" s="171"/>
      <c r="R811" s="190"/>
    </row>
    <row r="812">
      <c r="A812" s="64"/>
      <c r="B812" s="64"/>
      <c r="C812" s="40"/>
      <c r="D812" s="212"/>
      <c r="E812" s="27"/>
      <c r="L812" s="242"/>
      <c r="M812" s="36"/>
      <c r="N812" s="37"/>
      <c r="O812" s="220"/>
      <c r="P812" s="40"/>
      <c r="Q812" s="171"/>
      <c r="R812" s="190"/>
    </row>
    <row r="813">
      <c r="A813" s="64"/>
      <c r="B813" s="64"/>
      <c r="C813" s="40"/>
      <c r="D813" s="212"/>
      <c r="E813" s="27"/>
      <c r="L813" s="242"/>
      <c r="M813" s="36"/>
      <c r="N813" s="37"/>
      <c r="O813" s="220"/>
      <c r="P813" s="40"/>
      <c r="Q813" s="171"/>
      <c r="R813" s="190"/>
    </row>
    <row r="814">
      <c r="A814" s="64"/>
      <c r="B814" s="64"/>
      <c r="C814" s="40"/>
      <c r="D814" s="212"/>
      <c r="E814" s="27"/>
      <c r="L814" s="242"/>
      <c r="M814" s="36"/>
      <c r="N814" s="37"/>
      <c r="O814" s="220"/>
      <c r="P814" s="40"/>
      <c r="Q814" s="171"/>
      <c r="R814" s="190"/>
    </row>
    <row r="815">
      <c r="A815" s="64"/>
      <c r="B815" s="64"/>
      <c r="C815" s="40"/>
      <c r="D815" s="212"/>
      <c r="E815" s="27"/>
      <c r="L815" s="242"/>
      <c r="M815" s="36"/>
      <c r="N815" s="37"/>
      <c r="O815" s="220"/>
      <c r="P815" s="40"/>
      <c r="Q815" s="171"/>
      <c r="R815" s="190"/>
    </row>
    <row r="816">
      <c r="A816" s="64"/>
      <c r="B816" s="64"/>
      <c r="C816" s="40"/>
      <c r="D816" s="212"/>
      <c r="E816" s="27"/>
      <c r="L816" s="242"/>
      <c r="M816" s="36"/>
      <c r="N816" s="37"/>
      <c r="O816" s="220"/>
      <c r="P816" s="40"/>
      <c r="Q816" s="171"/>
      <c r="R816" s="190"/>
    </row>
    <row r="817">
      <c r="A817" s="64"/>
      <c r="B817" s="64"/>
      <c r="C817" s="40"/>
      <c r="D817" s="212"/>
      <c r="E817" s="27"/>
      <c r="L817" s="242"/>
      <c r="M817" s="36"/>
      <c r="N817" s="37"/>
      <c r="O817" s="220"/>
      <c r="P817" s="40"/>
      <c r="Q817" s="171"/>
      <c r="R817" s="190"/>
    </row>
    <row r="818">
      <c r="A818" s="64"/>
      <c r="B818" s="64"/>
      <c r="C818" s="40"/>
      <c r="D818" s="212"/>
      <c r="E818" s="27"/>
      <c r="L818" s="242"/>
      <c r="M818" s="36"/>
      <c r="N818" s="37"/>
      <c r="O818" s="220"/>
      <c r="P818" s="40"/>
      <c r="Q818" s="171"/>
      <c r="R818" s="190"/>
    </row>
    <row r="819">
      <c r="A819" s="64"/>
      <c r="B819" s="64"/>
      <c r="C819" s="40"/>
      <c r="D819" s="212"/>
      <c r="E819" s="27"/>
      <c r="L819" s="242"/>
      <c r="M819" s="36"/>
      <c r="N819" s="37"/>
      <c r="O819" s="220"/>
      <c r="P819" s="40"/>
      <c r="Q819" s="171"/>
      <c r="R819" s="190"/>
    </row>
    <row r="820">
      <c r="A820" s="64"/>
      <c r="B820" s="64"/>
      <c r="C820" s="40"/>
      <c r="D820" s="212"/>
      <c r="E820" s="27"/>
      <c r="L820" s="242"/>
      <c r="M820" s="36"/>
      <c r="N820" s="37"/>
      <c r="O820" s="220"/>
      <c r="P820" s="40"/>
      <c r="Q820" s="171"/>
      <c r="R820" s="190"/>
    </row>
    <row r="821">
      <c r="A821" s="64"/>
      <c r="B821" s="64"/>
      <c r="C821" s="40"/>
      <c r="D821" s="212"/>
      <c r="E821" s="27"/>
      <c r="L821" s="242"/>
      <c r="M821" s="36"/>
      <c r="N821" s="37"/>
      <c r="O821" s="220"/>
      <c r="P821" s="40"/>
      <c r="Q821" s="171"/>
      <c r="R821" s="190"/>
    </row>
    <row r="822">
      <c r="A822" s="64"/>
      <c r="B822" s="64"/>
      <c r="C822" s="40"/>
      <c r="D822" s="212"/>
      <c r="E822" s="27"/>
      <c r="L822" s="242"/>
      <c r="M822" s="36"/>
      <c r="N822" s="37"/>
      <c r="O822" s="220"/>
      <c r="P822" s="40"/>
      <c r="Q822" s="171"/>
      <c r="R822" s="190"/>
    </row>
    <row r="823">
      <c r="A823" s="64"/>
      <c r="B823" s="64"/>
      <c r="C823" s="40"/>
      <c r="D823" s="212"/>
      <c r="E823" s="27"/>
      <c r="L823" s="242"/>
      <c r="M823" s="36"/>
      <c r="N823" s="37"/>
      <c r="O823" s="220"/>
      <c r="P823" s="40"/>
      <c r="Q823" s="171"/>
      <c r="R823" s="190"/>
    </row>
    <row r="824">
      <c r="A824" s="64"/>
      <c r="B824" s="64"/>
      <c r="C824" s="40"/>
      <c r="D824" s="212"/>
      <c r="E824" s="27"/>
      <c r="L824" s="242"/>
      <c r="M824" s="36"/>
      <c r="N824" s="37"/>
      <c r="O824" s="220"/>
      <c r="P824" s="40"/>
      <c r="Q824" s="171"/>
      <c r="R824" s="190"/>
    </row>
    <row r="825">
      <c r="A825" s="64"/>
      <c r="B825" s="64"/>
      <c r="C825" s="40"/>
      <c r="D825" s="212"/>
      <c r="E825" s="27"/>
      <c r="L825" s="242"/>
      <c r="M825" s="36"/>
      <c r="N825" s="37"/>
      <c r="O825" s="220"/>
      <c r="P825" s="40"/>
      <c r="Q825" s="171"/>
      <c r="R825" s="190"/>
    </row>
    <row r="826">
      <c r="A826" s="64"/>
      <c r="B826" s="64"/>
      <c r="C826" s="40"/>
      <c r="D826" s="212"/>
      <c r="E826" s="27"/>
      <c r="L826" s="242"/>
      <c r="M826" s="36"/>
      <c r="N826" s="37"/>
      <c r="O826" s="220"/>
      <c r="P826" s="40"/>
      <c r="Q826" s="171"/>
      <c r="R826" s="190"/>
    </row>
    <row r="827">
      <c r="A827" s="64"/>
      <c r="B827" s="64"/>
      <c r="C827" s="40"/>
      <c r="D827" s="212"/>
      <c r="E827" s="27"/>
      <c r="L827" s="242"/>
      <c r="M827" s="36"/>
      <c r="N827" s="37"/>
      <c r="O827" s="220"/>
      <c r="P827" s="40"/>
      <c r="Q827" s="171"/>
      <c r="R827" s="190"/>
    </row>
    <row r="828">
      <c r="A828" s="64"/>
      <c r="B828" s="64"/>
      <c r="C828" s="40"/>
      <c r="D828" s="212"/>
      <c r="E828" s="27"/>
      <c r="L828" s="242"/>
      <c r="M828" s="36"/>
      <c r="N828" s="37"/>
      <c r="O828" s="220"/>
      <c r="P828" s="40"/>
      <c r="Q828" s="171"/>
      <c r="R828" s="190"/>
    </row>
    <row r="829">
      <c r="A829" s="64"/>
      <c r="B829" s="64"/>
      <c r="C829" s="40"/>
      <c r="D829" s="212"/>
      <c r="E829" s="27"/>
      <c r="L829" s="242"/>
      <c r="M829" s="36"/>
      <c r="N829" s="37"/>
      <c r="O829" s="220"/>
      <c r="P829" s="40"/>
      <c r="Q829" s="171"/>
      <c r="R829" s="190"/>
    </row>
    <row r="830">
      <c r="A830" s="64"/>
      <c r="B830" s="64"/>
      <c r="C830" s="40"/>
      <c r="D830" s="212"/>
      <c r="E830" s="27"/>
      <c r="L830" s="242"/>
      <c r="M830" s="36"/>
      <c r="N830" s="37"/>
      <c r="O830" s="220"/>
      <c r="P830" s="40"/>
      <c r="Q830" s="171"/>
      <c r="R830" s="190"/>
    </row>
    <row r="831">
      <c r="A831" s="64"/>
      <c r="B831" s="64"/>
      <c r="C831" s="40"/>
      <c r="D831" s="212"/>
      <c r="E831" s="27"/>
      <c r="L831" s="242"/>
      <c r="M831" s="36"/>
      <c r="N831" s="37"/>
      <c r="O831" s="220"/>
      <c r="P831" s="40"/>
      <c r="Q831" s="171"/>
      <c r="R831" s="190"/>
    </row>
    <row r="832">
      <c r="A832" s="64"/>
      <c r="B832" s="64"/>
      <c r="C832" s="40"/>
      <c r="D832" s="212"/>
      <c r="E832" s="27"/>
      <c r="L832" s="242"/>
      <c r="M832" s="36"/>
      <c r="N832" s="37"/>
      <c r="O832" s="220"/>
      <c r="P832" s="40"/>
      <c r="Q832" s="171"/>
      <c r="R832" s="190"/>
    </row>
    <row r="833">
      <c r="A833" s="64"/>
      <c r="B833" s="64"/>
      <c r="C833" s="40"/>
      <c r="D833" s="212"/>
      <c r="E833" s="27"/>
      <c r="L833" s="242"/>
      <c r="M833" s="36"/>
      <c r="N833" s="37"/>
      <c r="O833" s="220"/>
      <c r="P833" s="40"/>
      <c r="Q833" s="171"/>
      <c r="R833" s="190"/>
    </row>
    <row r="834">
      <c r="A834" s="64"/>
      <c r="B834" s="64"/>
      <c r="C834" s="40"/>
      <c r="D834" s="212"/>
      <c r="E834" s="27"/>
      <c r="L834" s="242"/>
      <c r="M834" s="36"/>
      <c r="N834" s="37"/>
      <c r="O834" s="220"/>
      <c r="P834" s="40"/>
      <c r="Q834" s="171"/>
      <c r="R834" s="190"/>
    </row>
    <row r="835">
      <c r="A835" s="64"/>
      <c r="B835" s="64"/>
      <c r="C835" s="40"/>
      <c r="D835" s="212"/>
      <c r="E835" s="27"/>
      <c r="L835" s="242"/>
      <c r="M835" s="36"/>
      <c r="N835" s="37"/>
      <c r="O835" s="220"/>
      <c r="P835" s="40"/>
      <c r="Q835" s="171"/>
      <c r="R835" s="190"/>
    </row>
    <row r="836">
      <c r="A836" s="64"/>
      <c r="B836" s="64"/>
      <c r="C836" s="40"/>
      <c r="D836" s="212"/>
      <c r="E836" s="27"/>
      <c r="L836" s="242"/>
      <c r="M836" s="36"/>
      <c r="N836" s="37"/>
      <c r="O836" s="220"/>
      <c r="P836" s="40"/>
      <c r="Q836" s="171"/>
      <c r="R836" s="190"/>
    </row>
    <row r="837">
      <c r="A837" s="64"/>
      <c r="B837" s="64"/>
      <c r="C837" s="40"/>
      <c r="D837" s="212"/>
      <c r="E837" s="27"/>
      <c r="L837" s="242"/>
      <c r="M837" s="36"/>
      <c r="N837" s="37"/>
      <c r="O837" s="220"/>
      <c r="P837" s="40"/>
      <c r="Q837" s="171"/>
      <c r="R837" s="190"/>
    </row>
    <row r="838">
      <c r="A838" s="64"/>
      <c r="B838" s="64"/>
      <c r="C838" s="40"/>
      <c r="D838" s="212"/>
      <c r="E838" s="27"/>
      <c r="L838" s="242"/>
      <c r="M838" s="36"/>
      <c r="N838" s="37"/>
      <c r="O838" s="220"/>
      <c r="P838" s="40"/>
      <c r="Q838" s="171"/>
      <c r="R838" s="190"/>
    </row>
    <row r="839">
      <c r="A839" s="64"/>
      <c r="B839" s="64"/>
      <c r="C839" s="40"/>
      <c r="D839" s="212"/>
      <c r="E839" s="27"/>
      <c r="L839" s="242"/>
      <c r="M839" s="36"/>
      <c r="N839" s="37"/>
      <c r="O839" s="220"/>
      <c r="P839" s="40"/>
      <c r="Q839" s="171"/>
      <c r="R839" s="190"/>
    </row>
    <row r="840">
      <c r="A840" s="64"/>
      <c r="B840" s="64"/>
      <c r="C840" s="40"/>
      <c r="D840" s="212"/>
      <c r="E840" s="27"/>
      <c r="L840" s="242"/>
      <c r="M840" s="36"/>
      <c r="N840" s="37"/>
      <c r="O840" s="220"/>
      <c r="P840" s="40"/>
      <c r="Q840" s="171"/>
      <c r="R840" s="190"/>
    </row>
    <row r="841">
      <c r="A841" s="64"/>
      <c r="B841" s="64"/>
      <c r="C841" s="40"/>
      <c r="D841" s="212"/>
      <c r="E841" s="27"/>
      <c r="L841" s="242"/>
      <c r="M841" s="36"/>
      <c r="N841" s="37"/>
      <c r="O841" s="220"/>
      <c r="P841" s="40"/>
      <c r="Q841" s="171"/>
      <c r="R841" s="190"/>
    </row>
    <row r="842">
      <c r="A842" s="64"/>
      <c r="B842" s="64"/>
      <c r="C842" s="40"/>
      <c r="D842" s="212"/>
      <c r="E842" s="27"/>
      <c r="L842" s="242"/>
      <c r="M842" s="36"/>
      <c r="N842" s="37"/>
      <c r="O842" s="220"/>
      <c r="P842" s="40"/>
      <c r="Q842" s="171"/>
      <c r="R842" s="190"/>
    </row>
    <row r="843">
      <c r="A843" s="64"/>
      <c r="B843" s="64"/>
      <c r="C843" s="40"/>
      <c r="D843" s="212"/>
      <c r="E843" s="27"/>
      <c r="L843" s="242"/>
      <c r="M843" s="36"/>
      <c r="N843" s="37"/>
      <c r="O843" s="220"/>
      <c r="P843" s="40"/>
      <c r="Q843" s="171"/>
      <c r="R843" s="190"/>
    </row>
    <row r="844">
      <c r="A844" s="64"/>
      <c r="B844" s="64"/>
      <c r="C844" s="40"/>
      <c r="D844" s="212"/>
      <c r="E844" s="27"/>
      <c r="L844" s="242"/>
      <c r="M844" s="36"/>
      <c r="N844" s="37"/>
      <c r="O844" s="220"/>
      <c r="P844" s="40"/>
      <c r="Q844" s="171"/>
      <c r="R844" s="190"/>
    </row>
    <row r="845">
      <c r="A845" s="64"/>
      <c r="B845" s="64"/>
      <c r="C845" s="40"/>
      <c r="D845" s="212"/>
      <c r="E845" s="27"/>
      <c r="L845" s="242"/>
      <c r="M845" s="36"/>
      <c r="N845" s="37"/>
      <c r="O845" s="220"/>
      <c r="P845" s="40"/>
      <c r="Q845" s="171"/>
      <c r="R845" s="190"/>
    </row>
    <row r="846">
      <c r="A846" s="64"/>
      <c r="B846" s="64"/>
      <c r="C846" s="40"/>
      <c r="D846" s="212"/>
      <c r="E846" s="27"/>
      <c r="L846" s="242"/>
      <c r="M846" s="36"/>
      <c r="N846" s="37"/>
      <c r="O846" s="220"/>
      <c r="P846" s="40"/>
      <c r="Q846" s="171"/>
      <c r="R846" s="190"/>
    </row>
    <row r="847">
      <c r="A847" s="64"/>
      <c r="B847" s="64"/>
      <c r="C847" s="40"/>
      <c r="D847" s="212"/>
      <c r="E847" s="27"/>
      <c r="L847" s="242"/>
      <c r="M847" s="36"/>
      <c r="N847" s="37"/>
      <c r="O847" s="220"/>
      <c r="P847" s="40"/>
      <c r="Q847" s="171"/>
      <c r="R847" s="190"/>
    </row>
    <row r="848">
      <c r="A848" s="64"/>
      <c r="B848" s="64"/>
      <c r="C848" s="40"/>
      <c r="D848" s="212"/>
      <c r="E848" s="27"/>
      <c r="L848" s="242"/>
      <c r="M848" s="36"/>
      <c r="N848" s="37"/>
      <c r="O848" s="220"/>
      <c r="P848" s="40"/>
      <c r="Q848" s="171"/>
      <c r="R848" s="190"/>
    </row>
    <row r="849">
      <c r="A849" s="64"/>
      <c r="B849" s="64"/>
      <c r="C849" s="40"/>
      <c r="D849" s="212"/>
      <c r="E849" s="27"/>
      <c r="L849" s="242"/>
      <c r="M849" s="36"/>
      <c r="N849" s="37"/>
      <c r="O849" s="220"/>
      <c r="P849" s="40"/>
      <c r="Q849" s="171"/>
      <c r="R849" s="190"/>
    </row>
    <row r="850">
      <c r="A850" s="64"/>
      <c r="B850" s="64"/>
      <c r="C850" s="40"/>
      <c r="D850" s="212"/>
      <c r="E850" s="27"/>
      <c r="L850" s="242"/>
      <c r="M850" s="36"/>
      <c r="N850" s="37"/>
      <c r="O850" s="220"/>
      <c r="P850" s="40"/>
      <c r="Q850" s="171"/>
      <c r="R850" s="190"/>
    </row>
    <row r="851">
      <c r="A851" s="64"/>
      <c r="B851" s="64"/>
      <c r="C851" s="40"/>
      <c r="D851" s="212"/>
      <c r="E851" s="27"/>
      <c r="L851" s="242"/>
      <c r="M851" s="36"/>
      <c r="N851" s="37"/>
      <c r="O851" s="220"/>
      <c r="P851" s="40"/>
      <c r="Q851" s="171"/>
      <c r="R851" s="190"/>
    </row>
    <row r="852">
      <c r="A852" s="64"/>
      <c r="B852" s="64"/>
      <c r="C852" s="40"/>
      <c r="D852" s="212"/>
      <c r="E852" s="27"/>
      <c r="L852" s="242"/>
      <c r="M852" s="36"/>
      <c r="N852" s="37"/>
      <c r="O852" s="220"/>
      <c r="P852" s="40"/>
      <c r="Q852" s="171"/>
      <c r="R852" s="190"/>
    </row>
    <row r="853">
      <c r="A853" s="64"/>
      <c r="B853" s="64"/>
      <c r="C853" s="40"/>
      <c r="D853" s="212"/>
      <c r="E853" s="27"/>
      <c r="L853" s="242"/>
      <c r="M853" s="36"/>
      <c r="N853" s="37"/>
      <c r="O853" s="220"/>
      <c r="P853" s="40"/>
      <c r="Q853" s="171"/>
      <c r="R853" s="190"/>
    </row>
    <row r="854">
      <c r="A854" s="64"/>
      <c r="B854" s="64"/>
      <c r="C854" s="40"/>
      <c r="D854" s="212"/>
      <c r="E854" s="27"/>
      <c r="L854" s="242"/>
      <c r="M854" s="36"/>
      <c r="N854" s="37"/>
      <c r="O854" s="220"/>
      <c r="P854" s="40"/>
      <c r="Q854" s="171"/>
      <c r="R854" s="190"/>
    </row>
    <row r="855">
      <c r="A855" s="64"/>
      <c r="B855" s="64"/>
      <c r="C855" s="40"/>
      <c r="D855" s="212"/>
      <c r="E855" s="27"/>
      <c r="L855" s="242"/>
      <c r="M855" s="36"/>
      <c r="N855" s="37"/>
      <c r="O855" s="220"/>
      <c r="P855" s="40"/>
      <c r="Q855" s="171"/>
      <c r="R855" s="190"/>
    </row>
    <row r="856">
      <c r="A856" s="64"/>
      <c r="B856" s="64"/>
      <c r="C856" s="40"/>
      <c r="D856" s="212"/>
      <c r="E856" s="27"/>
      <c r="L856" s="242"/>
      <c r="M856" s="36"/>
      <c r="N856" s="37"/>
      <c r="O856" s="220"/>
      <c r="P856" s="40"/>
      <c r="Q856" s="171"/>
      <c r="R856" s="190"/>
    </row>
    <row r="857">
      <c r="A857" s="64"/>
      <c r="B857" s="64"/>
      <c r="C857" s="40"/>
      <c r="D857" s="212"/>
      <c r="E857" s="27"/>
      <c r="L857" s="242"/>
      <c r="M857" s="36"/>
      <c r="N857" s="37"/>
      <c r="O857" s="220"/>
      <c r="P857" s="40"/>
      <c r="Q857" s="171"/>
      <c r="R857" s="190"/>
    </row>
    <row r="858">
      <c r="A858" s="64"/>
      <c r="B858" s="64"/>
      <c r="C858" s="40"/>
      <c r="D858" s="212"/>
      <c r="E858" s="27"/>
      <c r="L858" s="242"/>
      <c r="M858" s="36"/>
      <c r="N858" s="37"/>
      <c r="O858" s="220"/>
      <c r="P858" s="40"/>
      <c r="Q858" s="171"/>
      <c r="R858" s="190"/>
    </row>
    <row r="859">
      <c r="A859" s="64"/>
      <c r="B859" s="64"/>
      <c r="C859" s="40"/>
      <c r="D859" s="212"/>
      <c r="E859" s="27"/>
      <c r="L859" s="242"/>
      <c r="M859" s="36"/>
      <c r="N859" s="37"/>
      <c r="O859" s="220"/>
      <c r="P859" s="40"/>
      <c r="Q859" s="171"/>
      <c r="R859" s="190"/>
    </row>
    <row r="860">
      <c r="A860" s="64"/>
      <c r="B860" s="64"/>
      <c r="C860" s="40"/>
      <c r="D860" s="212"/>
      <c r="E860" s="27"/>
      <c r="L860" s="242"/>
      <c r="M860" s="36"/>
      <c r="N860" s="37"/>
      <c r="O860" s="220"/>
      <c r="P860" s="40"/>
      <c r="Q860" s="171"/>
      <c r="R860" s="190"/>
    </row>
    <row r="861">
      <c r="A861" s="64"/>
      <c r="B861" s="64"/>
      <c r="C861" s="40"/>
      <c r="D861" s="212"/>
      <c r="E861" s="27"/>
      <c r="L861" s="242"/>
      <c r="M861" s="36"/>
      <c r="N861" s="37"/>
      <c r="O861" s="220"/>
      <c r="P861" s="40"/>
      <c r="Q861" s="171"/>
      <c r="R861" s="190"/>
    </row>
    <row r="862">
      <c r="A862" s="64"/>
      <c r="B862" s="64"/>
      <c r="C862" s="40"/>
      <c r="D862" s="212"/>
      <c r="E862" s="27"/>
      <c r="L862" s="242"/>
      <c r="M862" s="36"/>
      <c r="N862" s="37"/>
      <c r="O862" s="220"/>
      <c r="P862" s="40"/>
      <c r="Q862" s="171"/>
      <c r="R862" s="190"/>
    </row>
    <row r="863">
      <c r="A863" s="64"/>
      <c r="B863" s="64"/>
      <c r="C863" s="40"/>
      <c r="D863" s="212"/>
      <c r="E863" s="27"/>
      <c r="L863" s="242"/>
      <c r="M863" s="36"/>
      <c r="N863" s="37"/>
      <c r="O863" s="220"/>
      <c r="P863" s="40"/>
      <c r="Q863" s="171"/>
      <c r="R863" s="190"/>
    </row>
    <row r="864">
      <c r="A864" s="64"/>
      <c r="B864" s="64"/>
      <c r="C864" s="40"/>
      <c r="D864" s="212"/>
      <c r="E864" s="27"/>
      <c r="L864" s="242"/>
      <c r="M864" s="36"/>
      <c r="N864" s="37"/>
      <c r="O864" s="220"/>
      <c r="P864" s="40"/>
      <c r="Q864" s="171"/>
      <c r="R864" s="190"/>
    </row>
    <row r="865">
      <c r="A865" s="64"/>
      <c r="B865" s="64"/>
      <c r="C865" s="40"/>
      <c r="D865" s="212"/>
      <c r="E865" s="27"/>
      <c r="L865" s="242"/>
      <c r="M865" s="36"/>
      <c r="N865" s="37"/>
      <c r="O865" s="220"/>
      <c r="P865" s="40"/>
      <c r="Q865" s="171"/>
      <c r="R865" s="190"/>
    </row>
    <row r="866">
      <c r="A866" s="64"/>
      <c r="B866" s="64"/>
      <c r="C866" s="40"/>
      <c r="D866" s="212"/>
      <c r="E866" s="27"/>
      <c r="L866" s="242"/>
      <c r="M866" s="36"/>
      <c r="N866" s="37"/>
      <c r="O866" s="220"/>
      <c r="P866" s="40"/>
      <c r="Q866" s="171"/>
      <c r="R866" s="190"/>
    </row>
    <row r="867">
      <c r="A867" s="64"/>
      <c r="B867" s="64"/>
      <c r="C867" s="40"/>
      <c r="D867" s="212"/>
      <c r="E867" s="27"/>
      <c r="L867" s="242"/>
      <c r="M867" s="36"/>
      <c r="N867" s="37"/>
      <c r="O867" s="220"/>
      <c r="P867" s="40"/>
      <c r="Q867" s="171"/>
      <c r="R867" s="190"/>
    </row>
    <row r="868">
      <c r="A868" s="64"/>
      <c r="B868" s="64"/>
      <c r="C868" s="40"/>
      <c r="D868" s="212"/>
      <c r="E868" s="27"/>
      <c r="L868" s="242"/>
      <c r="M868" s="36"/>
      <c r="N868" s="37"/>
      <c r="O868" s="220"/>
      <c r="P868" s="40"/>
      <c r="Q868" s="171"/>
      <c r="R868" s="190"/>
    </row>
    <row r="869">
      <c r="A869" s="64"/>
      <c r="B869" s="64"/>
      <c r="C869" s="40"/>
      <c r="D869" s="212"/>
      <c r="E869" s="27"/>
      <c r="L869" s="242"/>
      <c r="M869" s="36"/>
      <c r="N869" s="37"/>
      <c r="O869" s="220"/>
      <c r="P869" s="40"/>
      <c r="Q869" s="171"/>
      <c r="R869" s="190"/>
    </row>
    <row r="870">
      <c r="A870" s="64"/>
      <c r="B870" s="64"/>
      <c r="C870" s="40"/>
      <c r="D870" s="212"/>
      <c r="E870" s="27"/>
      <c r="L870" s="242"/>
      <c r="M870" s="36"/>
      <c r="N870" s="37"/>
      <c r="O870" s="220"/>
      <c r="P870" s="40"/>
      <c r="Q870" s="171"/>
      <c r="R870" s="190"/>
    </row>
    <row r="871">
      <c r="A871" s="64"/>
      <c r="B871" s="64"/>
      <c r="C871" s="40"/>
      <c r="D871" s="212"/>
      <c r="E871" s="27"/>
      <c r="L871" s="242"/>
      <c r="M871" s="36"/>
      <c r="N871" s="37"/>
      <c r="O871" s="220"/>
      <c r="P871" s="40"/>
      <c r="Q871" s="171"/>
      <c r="R871" s="190"/>
    </row>
    <row r="872">
      <c r="A872" s="64"/>
      <c r="B872" s="64"/>
      <c r="C872" s="40"/>
      <c r="D872" s="212"/>
      <c r="E872" s="27"/>
      <c r="L872" s="242"/>
      <c r="M872" s="36"/>
      <c r="N872" s="37"/>
      <c r="O872" s="220"/>
      <c r="P872" s="40"/>
      <c r="Q872" s="171"/>
      <c r="R872" s="190"/>
    </row>
    <row r="873">
      <c r="A873" s="64"/>
      <c r="B873" s="64"/>
      <c r="C873" s="40"/>
      <c r="D873" s="212"/>
      <c r="E873" s="27"/>
      <c r="L873" s="242"/>
      <c r="M873" s="36"/>
      <c r="N873" s="37"/>
      <c r="O873" s="220"/>
      <c r="P873" s="40"/>
      <c r="Q873" s="171"/>
      <c r="R873" s="190"/>
    </row>
    <row r="874">
      <c r="A874" s="64"/>
      <c r="B874" s="64"/>
      <c r="C874" s="40"/>
      <c r="D874" s="212"/>
      <c r="E874" s="27"/>
      <c r="L874" s="242"/>
      <c r="M874" s="36"/>
      <c r="N874" s="37"/>
      <c r="O874" s="220"/>
      <c r="P874" s="40"/>
      <c r="Q874" s="171"/>
      <c r="R874" s="190"/>
    </row>
    <row r="875">
      <c r="A875" s="64"/>
      <c r="B875" s="64"/>
      <c r="C875" s="40"/>
      <c r="D875" s="212"/>
      <c r="E875" s="27"/>
      <c r="L875" s="242"/>
      <c r="M875" s="36"/>
      <c r="N875" s="37"/>
      <c r="O875" s="220"/>
      <c r="P875" s="40"/>
      <c r="Q875" s="171"/>
      <c r="R875" s="190"/>
    </row>
    <row r="876">
      <c r="A876" s="64"/>
      <c r="B876" s="64"/>
      <c r="C876" s="40"/>
      <c r="D876" s="212"/>
      <c r="E876" s="27"/>
      <c r="L876" s="242"/>
      <c r="M876" s="36"/>
      <c r="N876" s="37"/>
      <c r="O876" s="220"/>
      <c r="P876" s="40"/>
      <c r="Q876" s="171"/>
      <c r="R876" s="190"/>
    </row>
    <row r="877">
      <c r="A877" s="64"/>
      <c r="B877" s="64"/>
      <c r="C877" s="40"/>
      <c r="D877" s="212"/>
      <c r="E877" s="27"/>
      <c r="L877" s="242"/>
      <c r="M877" s="36"/>
      <c r="N877" s="37"/>
      <c r="O877" s="220"/>
      <c r="P877" s="40"/>
      <c r="Q877" s="171"/>
      <c r="R877" s="190"/>
    </row>
    <row r="878">
      <c r="A878" s="64"/>
      <c r="B878" s="64"/>
      <c r="C878" s="40"/>
      <c r="D878" s="212"/>
      <c r="E878" s="27"/>
      <c r="L878" s="242"/>
      <c r="M878" s="36"/>
      <c r="N878" s="37"/>
      <c r="O878" s="220"/>
      <c r="P878" s="40"/>
      <c r="Q878" s="171"/>
      <c r="R878" s="190"/>
    </row>
    <row r="879">
      <c r="A879" s="64"/>
      <c r="B879" s="64"/>
      <c r="C879" s="40"/>
      <c r="D879" s="212"/>
      <c r="E879" s="27"/>
      <c r="L879" s="242"/>
      <c r="M879" s="36"/>
      <c r="N879" s="37"/>
      <c r="O879" s="220"/>
      <c r="P879" s="40"/>
      <c r="Q879" s="171"/>
      <c r="R879" s="190"/>
    </row>
    <row r="880">
      <c r="A880" s="64"/>
      <c r="B880" s="64"/>
      <c r="C880" s="40"/>
      <c r="D880" s="212"/>
      <c r="E880" s="27"/>
      <c r="L880" s="242"/>
      <c r="M880" s="36"/>
      <c r="N880" s="37"/>
      <c r="O880" s="220"/>
      <c r="P880" s="40"/>
      <c r="Q880" s="171"/>
      <c r="R880" s="190"/>
    </row>
    <row r="881">
      <c r="A881" s="64"/>
      <c r="B881" s="64"/>
      <c r="C881" s="40"/>
      <c r="D881" s="212"/>
      <c r="E881" s="27"/>
      <c r="L881" s="242"/>
      <c r="M881" s="36"/>
      <c r="N881" s="37"/>
      <c r="O881" s="220"/>
      <c r="P881" s="40"/>
      <c r="Q881" s="171"/>
      <c r="R881" s="190"/>
    </row>
    <row r="882">
      <c r="A882" s="64"/>
      <c r="B882" s="64"/>
      <c r="C882" s="40"/>
      <c r="D882" s="212"/>
      <c r="E882" s="27"/>
      <c r="L882" s="242"/>
      <c r="M882" s="36"/>
      <c r="N882" s="37"/>
      <c r="O882" s="220"/>
      <c r="P882" s="40"/>
      <c r="Q882" s="171"/>
      <c r="R882" s="190"/>
    </row>
    <row r="883">
      <c r="A883" s="64"/>
      <c r="B883" s="64"/>
      <c r="C883" s="40"/>
      <c r="D883" s="212"/>
      <c r="E883" s="27"/>
      <c r="L883" s="242"/>
      <c r="M883" s="36"/>
      <c r="N883" s="37"/>
      <c r="O883" s="220"/>
      <c r="P883" s="40"/>
      <c r="Q883" s="171"/>
      <c r="R883" s="190"/>
    </row>
    <row r="884">
      <c r="A884" s="64"/>
      <c r="B884" s="64"/>
      <c r="C884" s="40"/>
      <c r="D884" s="212"/>
      <c r="E884" s="27"/>
      <c r="L884" s="242"/>
      <c r="M884" s="36"/>
      <c r="N884" s="37"/>
      <c r="O884" s="220"/>
      <c r="P884" s="40"/>
      <c r="Q884" s="171"/>
      <c r="R884" s="190"/>
    </row>
    <row r="885">
      <c r="A885" s="64"/>
      <c r="B885" s="64"/>
      <c r="C885" s="40"/>
      <c r="D885" s="212"/>
      <c r="E885" s="27"/>
      <c r="L885" s="242"/>
      <c r="M885" s="36"/>
      <c r="N885" s="37"/>
      <c r="O885" s="220"/>
      <c r="P885" s="40"/>
      <c r="Q885" s="171"/>
      <c r="R885" s="190"/>
    </row>
    <row r="886">
      <c r="A886" s="64"/>
      <c r="B886" s="64"/>
      <c r="C886" s="40"/>
      <c r="D886" s="212"/>
      <c r="E886" s="27"/>
      <c r="L886" s="242"/>
      <c r="M886" s="36"/>
      <c r="N886" s="37"/>
      <c r="O886" s="220"/>
      <c r="P886" s="40"/>
      <c r="Q886" s="171"/>
      <c r="R886" s="190"/>
    </row>
    <row r="887">
      <c r="A887" s="64"/>
      <c r="B887" s="64"/>
      <c r="C887" s="40"/>
      <c r="D887" s="212"/>
      <c r="E887" s="27"/>
      <c r="L887" s="242"/>
      <c r="M887" s="36"/>
      <c r="N887" s="37"/>
      <c r="O887" s="220"/>
      <c r="P887" s="40"/>
      <c r="Q887" s="171"/>
      <c r="R887" s="190"/>
    </row>
    <row r="888">
      <c r="A888" s="64"/>
      <c r="B888" s="64"/>
      <c r="C888" s="40"/>
      <c r="D888" s="212"/>
      <c r="E888" s="27"/>
      <c r="L888" s="242"/>
      <c r="M888" s="36"/>
      <c r="N888" s="37"/>
      <c r="O888" s="220"/>
      <c r="P888" s="40"/>
      <c r="Q888" s="171"/>
      <c r="R888" s="190"/>
    </row>
    <row r="889">
      <c r="A889" s="64"/>
      <c r="B889" s="64"/>
      <c r="C889" s="40"/>
      <c r="D889" s="212"/>
      <c r="E889" s="27"/>
      <c r="L889" s="242"/>
      <c r="M889" s="36"/>
      <c r="N889" s="37"/>
      <c r="O889" s="220"/>
      <c r="P889" s="40"/>
      <c r="Q889" s="171"/>
      <c r="R889" s="190"/>
    </row>
    <row r="890">
      <c r="A890" s="64"/>
      <c r="B890" s="64"/>
      <c r="C890" s="40"/>
      <c r="D890" s="212"/>
      <c r="E890" s="27"/>
      <c r="L890" s="242"/>
      <c r="M890" s="36"/>
      <c r="N890" s="37"/>
      <c r="O890" s="220"/>
      <c r="P890" s="40"/>
      <c r="Q890" s="171"/>
      <c r="R890" s="190"/>
    </row>
    <row r="891">
      <c r="A891" s="64"/>
      <c r="B891" s="64"/>
      <c r="C891" s="40"/>
      <c r="D891" s="212"/>
      <c r="E891" s="27"/>
      <c r="L891" s="242"/>
      <c r="M891" s="36"/>
      <c r="N891" s="37"/>
      <c r="O891" s="220"/>
      <c r="P891" s="40"/>
      <c r="Q891" s="171"/>
      <c r="R891" s="190"/>
    </row>
    <row r="892">
      <c r="A892" s="64"/>
      <c r="B892" s="64"/>
      <c r="C892" s="40"/>
      <c r="D892" s="212"/>
      <c r="E892" s="27"/>
      <c r="L892" s="242"/>
      <c r="M892" s="36"/>
      <c r="N892" s="37"/>
      <c r="O892" s="220"/>
      <c r="P892" s="40"/>
      <c r="Q892" s="171"/>
      <c r="R892" s="190"/>
    </row>
    <row r="893">
      <c r="A893" s="64"/>
      <c r="B893" s="64"/>
      <c r="C893" s="40"/>
      <c r="D893" s="212"/>
      <c r="E893" s="27"/>
      <c r="L893" s="242"/>
      <c r="M893" s="36"/>
      <c r="N893" s="37"/>
      <c r="O893" s="220"/>
      <c r="P893" s="40"/>
      <c r="Q893" s="171"/>
      <c r="R893" s="190"/>
    </row>
    <row r="894">
      <c r="A894" s="64"/>
      <c r="B894" s="64"/>
      <c r="C894" s="40"/>
      <c r="D894" s="212"/>
      <c r="E894" s="27"/>
      <c r="L894" s="242"/>
      <c r="M894" s="36"/>
      <c r="N894" s="37"/>
      <c r="O894" s="220"/>
      <c r="P894" s="40"/>
      <c r="Q894" s="171"/>
      <c r="R894" s="190"/>
    </row>
    <row r="895">
      <c r="A895" s="64"/>
      <c r="B895" s="64"/>
      <c r="C895" s="40"/>
      <c r="D895" s="212"/>
      <c r="E895" s="27"/>
      <c r="L895" s="242"/>
      <c r="M895" s="36"/>
      <c r="N895" s="37"/>
      <c r="O895" s="220"/>
      <c r="P895" s="40"/>
      <c r="Q895" s="171"/>
      <c r="R895" s="190"/>
    </row>
    <row r="896">
      <c r="A896" s="64"/>
      <c r="B896" s="64"/>
      <c r="C896" s="40"/>
      <c r="D896" s="212"/>
      <c r="E896" s="27"/>
      <c r="L896" s="242"/>
      <c r="M896" s="36"/>
      <c r="N896" s="37"/>
      <c r="O896" s="220"/>
      <c r="P896" s="40"/>
      <c r="Q896" s="171"/>
      <c r="R896" s="190"/>
    </row>
    <row r="897">
      <c r="A897" s="64"/>
      <c r="B897" s="64"/>
      <c r="C897" s="40"/>
      <c r="D897" s="212"/>
      <c r="E897" s="27"/>
      <c r="L897" s="242"/>
      <c r="M897" s="36"/>
      <c r="N897" s="37"/>
      <c r="O897" s="220"/>
      <c r="P897" s="40"/>
      <c r="Q897" s="171"/>
      <c r="R897" s="190"/>
    </row>
    <row r="898">
      <c r="A898" s="64"/>
      <c r="B898" s="64"/>
      <c r="C898" s="40"/>
      <c r="D898" s="212"/>
      <c r="E898" s="27"/>
      <c r="L898" s="242"/>
      <c r="M898" s="36"/>
      <c r="N898" s="37"/>
      <c r="O898" s="220"/>
      <c r="P898" s="40"/>
      <c r="Q898" s="171"/>
      <c r="R898" s="190"/>
    </row>
    <row r="899">
      <c r="A899" s="64"/>
      <c r="B899" s="64"/>
      <c r="C899" s="40"/>
      <c r="D899" s="212"/>
      <c r="E899" s="27"/>
      <c r="L899" s="242"/>
      <c r="M899" s="36"/>
      <c r="N899" s="37"/>
      <c r="O899" s="220"/>
      <c r="P899" s="40"/>
      <c r="Q899" s="171"/>
      <c r="R899" s="190"/>
    </row>
    <row r="900">
      <c r="A900" s="64"/>
      <c r="B900" s="64"/>
      <c r="C900" s="40"/>
      <c r="D900" s="212"/>
      <c r="E900" s="27"/>
      <c r="L900" s="242"/>
      <c r="M900" s="36"/>
      <c r="N900" s="37"/>
      <c r="O900" s="220"/>
      <c r="P900" s="40"/>
      <c r="Q900" s="171"/>
      <c r="R900" s="190"/>
    </row>
    <row r="901">
      <c r="A901" s="64"/>
      <c r="B901" s="64"/>
      <c r="C901" s="40"/>
      <c r="D901" s="212"/>
      <c r="E901" s="27"/>
      <c r="L901" s="242"/>
      <c r="M901" s="36"/>
      <c r="N901" s="37"/>
      <c r="O901" s="220"/>
      <c r="P901" s="40"/>
      <c r="Q901" s="171"/>
      <c r="R901" s="190"/>
    </row>
    <row r="902">
      <c r="A902" s="64"/>
      <c r="B902" s="64"/>
      <c r="C902" s="40"/>
      <c r="D902" s="212"/>
      <c r="E902" s="27"/>
      <c r="L902" s="242"/>
      <c r="M902" s="36"/>
      <c r="N902" s="37"/>
      <c r="O902" s="220"/>
      <c r="P902" s="40"/>
      <c r="Q902" s="171"/>
      <c r="R902" s="190"/>
    </row>
    <row r="903">
      <c r="A903" s="64"/>
      <c r="B903" s="64"/>
      <c r="C903" s="40"/>
      <c r="D903" s="212"/>
      <c r="E903" s="27"/>
      <c r="L903" s="242"/>
      <c r="M903" s="36"/>
      <c r="N903" s="37"/>
      <c r="O903" s="220"/>
      <c r="P903" s="40"/>
      <c r="Q903" s="171"/>
      <c r="R903" s="190"/>
    </row>
    <row r="904">
      <c r="A904" s="64"/>
      <c r="B904" s="64"/>
      <c r="C904" s="40"/>
      <c r="D904" s="212"/>
      <c r="E904" s="27"/>
      <c r="L904" s="242"/>
      <c r="M904" s="36"/>
      <c r="N904" s="37"/>
      <c r="O904" s="220"/>
      <c r="P904" s="40"/>
      <c r="Q904" s="171"/>
      <c r="R904" s="190"/>
    </row>
    <row r="905">
      <c r="A905" s="64"/>
      <c r="B905" s="64"/>
      <c r="C905" s="40"/>
      <c r="D905" s="212"/>
      <c r="E905" s="27"/>
      <c r="L905" s="242"/>
      <c r="M905" s="36"/>
      <c r="N905" s="37"/>
      <c r="O905" s="220"/>
      <c r="P905" s="40"/>
      <c r="Q905" s="171"/>
      <c r="R905" s="190"/>
    </row>
    <row r="906">
      <c r="A906" s="64"/>
      <c r="B906" s="64"/>
      <c r="C906" s="40"/>
      <c r="D906" s="212"/>
      <c r="E906" s="27"/>
      <c r="L906" s="242"/>
      <c r="M906" s="36"/>
      <c r="N906" s="37"/>
      <c r="O906" s="220"/>
      <c r="P906" s="40"/>
      <c r="Q906" s="171"/>
      <c r="R906" s="190"/>
    </row>
    <row r="907">
      <c r="A907" s="64"/>
      <c r="B907" s="64"/>
      <c r="C907" s="40"/>
      <c r="D907" s="212"/>
      <c r="E907" s="27"/>
      <c r="L907" s="242"/>
      <c r="M907" s="36"/>
      <c r="N907" s="37"/>
      <c r="O907" s="220"/>
      <c r="P907" s="40"/>
      <c r="Q907" s="171"/>
      <c r="R907" s="190"/>
    </row>
    <row r="908">
      <c r="A908" s="64"/>
      <c r="B908" s="64"/>
      <c r="C908" s="40"/>
      <c r="D908" s="212"/>
      <c r="E908" s="27"/>
      <c r="L908" s="242"/>
      <c r="M908" s="36"/>
      <c r="N908" s="37"/>
      <c r="O908" s="220"/>
      <c r="P908" s="40"/>
      <c r="Q908" s="171"/>
      <c r="R908" s="190"/>
    </row>
    <row r="909">
      <c r="A909" s="64"/>
      <c r="B909" s="64"/>
      <c r="C909" s="40"/>
      <c r="D909" s="212"/>
      <c r="E909" s="27"/>
      <c r="L909" s="242"/>
      <c r="M909" s="36"/>
      <c r="N909" s="37"/>
      <c r="O909" s="220"/>
      <c r="P909" s="40"/>
      <c r="Q909" s="171"/>
      <c r="R909" s="190"/>
    </row>
    <row r="910">
      <c r="A910" s="64"/>
      <c r="B910" s="64"/>
      <c r="C910" s="40"/>
      <c r="D910" s="212"/>
      <c r="E910" s="27"/>
      <c r="L910" s="242"/>
      <c r="M910" s="36"/>
      <c r="N910" s="37"/>
      <c r="O910" s="220"/>
      <c r="P910" s="40"/>
      <c r="Q910" s="171"/>
      <c r="R910" s="190"/>
    </row>
    <row r="911">
      <c r="A911" s="64"/>
      <c r="B911" s="64"/>
      <c r="C911" s="40"/>
      <c r="D911" s="212"/>
      <c r="E911" s="27"/>
      <c r="L911" s="242"/>
      <c r="M911" s="36"/>
      <c r="N911" s="37"/>
      <c r="O911" s="220"/>
      <c r="P911" s="40"/>
      <c r="Q911" s="171"/>
      <c r="R911" s="190"/>
    </row>
    <row r="912">
      <c r="A912" s="64"/>
      <c r="B912" s="64"/>
      <c r="C912" s="40"/>
      <c r="D912" s="212"/>
      <c r="E912" s="27"/>
      <c r="L912" s="242"/>
      <c r="M912" s="36"/>
      <c r="N912" s="37"/>
      <c r="O912" s="220"/>
      <c r="P912" s="40"/>
      <c r="Q912" s="171"/>
      <c r="R912" s="190"/>
    </row>
    <row r="913">
      <c r="A913" s="64"/>
      <c r="B913" s="64"/>
      <c r="C913" s="40"/>
      <c r="D913" s="212"/>
      <c r="E913" s="27"/>
      <c r="L913" s="242"/>
      <c r="M913" s="36"/>
      <c r="N913" s="37"/>
      <c r="O913" s="220"/>
      <c r="P913" s="40"/>
      <c r="Q913" s="171"/>
      <c r="R913" s="190"/>
    </row>
    <row r="914">
      <c r="A914" s="64"/>
      <c r="B914" s="64"/>
      <c r="C914" s="40"/>
      <c r="D914" s="212"/>
      <c r="E914" s="27"/>
      <c r="L914" s="242"/>
      <c r="M914" s="36"/>
      <c r="N914" s="37"/>
      <c r="O914" s="220"/>
      <c r="P914" s="40"/>
      <c r="Q914" s="171"/>
      <c r="R914" s="190"/>
    </row>
    <row r="915">
      <c r="A915" s="64"/>
      <c r="B915" s="64"/>
      <c r="C915" s="40"/>
      <c r="D915" s="212"/>
      <c r="E915" s="27"/>
      <c r="L915" s="242"/>
      <c r="M915" s="36"/>
      <c r="N915" s="37"/>
      <c r="O915" s="220"/>
      <c r="P915" s="40"/>
      <c r="Q915" s="171"/>
      <c r="R915" s="190"/>
    </row>
    <row r="916">
      <c r="A916" s="64"/>
      <c r="B916" s="64"/>
      <c r="C916" s="40"/>
      <c r="D916" s="212"/>
      <c r="E916" s="27"/>
      <c r="L916" s="242"/>
      <c r="M916" s="36"/>
      <c r="N916" s="37"/>
      <c r="O916" s="220"/>
      <c r="P916" s="40"/>
      <c r="Q916" s="171"/>
      <c r="R916" s="190"/>
    </row>
    <row r="917">
      <c r="A917" s="64"/>
      <c r="B917" s="64"/>
      <c r="C917" s="40"/>
      <c r="D917" s="212"/>
      <c r="E917" s="27"/>
      <c r="L917" s="242"/>
      <c r="M917" s="36"/>
      <c r="N917" s="37"/>
      <c r="O917" s="220"/>
      <c r="P917" s="40"/>
      <c r="Q917" s="171"/>
      <c r="R917" s="190"/>
    </row>
    <row r="918">
      <c r="A918" s="64"/>
      <c r="B918" s="64"/>
      <c r="C918" s="40"/>
      <c r="D918" s="212"/>
      <c r="E918" s="27"/>
      <c r="L918" s="242"/>
      <c r="M918" s="36"/>
      <c r="N918" s="37"/>
      <c r="O918" s="220"/>
      <c r="P918" s="40"/>
      <c r="Q918" s="171"/>
      <c r="R918" s="190"/>
    </row>
    <row r="919">
      <c r="A919" s="64"/>
      <c r="B919" s="64"/>
      <c r="C919" s="40"/>
      <c r="D919" s="212"/>
      <c r="E919" s="27"/>
      <c r="L919" s="242"/>
      <c r="M919" s="36"/>
      <c r="N919" s="37"/>
      <c r="O919" s="220"/>
      <c r="P919" s="40"/>
      <c r="Q919" s="171"/>
      <c r="R919" s="190"/>
    </row>
    <row r="920">
      <c r="A920" s="64"/>
      <c r="B920" s="64"/>
      <c r="C920" s="40"/>
      <c r="D920" s="212"/>
      <c r="E920" s="27"/>
      <c r="L920" s="242"/>
      <c r="M920" s="36"/>
      <c r="N920" s="37"/>
      <c r="O920" s="220"/>
      <c r="P920" s="40"/>
      <c r="Q920" s="171"/>
      <c r="R920" s="190"/>
    </row>
    <row r="921">
      <c r="A921" s="64"/>
      <c r="B921" s="64"/>
      <c r="C921" s="40"/>
      <c r="D921" s="212"/>
      <c r="E921" s="27"/>
      <c r="L921" s="242"/>
      <c r="M921" s="36"/>
      <c r="N921" s="37"/>
      <c r="O921" s="220"/>
      <c r="P921" s="40"/>
      <c r="Q921" s="171"/>
      <c r="R921" s="190"/>
    </row>
    <row r="922">
      <c r="A922" s="64"/>
      <c r="B922" s="64"/>
      <c r="C922" s="40"/>
      <c r="D922" s="212"/>
      <c r="E922" s="27"/>
      <c r="L922" s="242"/>
      <c r="M922" s="36"/>
      <c r="N922" s="37"/>
      <c r="O922" s="220"/>
      <c r="P922" s="40"/>
      <c r="Q922" s="171"/>
      <c r="R922" s="190"/>
    </row>
    <row r="923">
      <c r="A923" s="64"/>
      <c r="B923" s="64"/>
      <c r="C923" s="40"/>
      <c r="D923" s="212"/>
      <c r="E923" s="27"/>
      <c r="L923" s="242"/>
      <c r="M923" s="36"/>
      <c r="N923" s="37"/>
      <c r="O923" s="220"/>
      <c r="P923" s="40"/>
      <c r="Q923" s="171"/>
      <c r="R923" s="190"/>
    </row>
    <row r="924">
      <c r="A924" s="64"/>
      <c r="B924" s="64"/>
      <c r="C924" s="40"/>
      <c r="D924" s="212"/>
      <c r="E924" s="27"/>
      <c r="L924" s="242"/>
      <c r="M924" s="36"/>
      <c r="N924" s="37"/>
      <c r="O924" s="220"/>
      <c r="P924" s="40"/>
      <c r="Q924" s="171"/>
      <c r="R924" s="190"/>
    </row>
    <row r="925">
      <c r="A925" s="64"/>
      <c r="B925" s="64"/>
      <c r="C925" s="40"/>
      <c r="D925" s="212"/>
      <c r="E925" s="27"/>
      <c r="L925" s="242"/>
      <c r="M925" s="36"/>
      <c r="N925" s="37"/>
      <c r="O925" s="220"/>
      <c r="P925" s="40"/>
      <c r="Q925" s="171"/>
      <c r="R925" s="190"/>
    </row>
    <row r="926">
      <c r="A926" s="64"/>
      <c r="B926" s="64"/>
      <c r="C926" s="40"/>
      <c r="D926" s="212"/>
      <c r="E926" s="27"/>
      <c r="L926" s="242"/>
      <c r="M926" s="36"/>
      <c r="N926" s="37"/>
      <c r="O926" s="220"/>
      <c r="P926" s="40"/>
      <c r="Q926" s="171"/>
      <c r="R926" s="190"/>
    </row>
    <row r="927">
      <c r="A927" s="64"/>
      <c r="B927" s="64"/>
      <c r="C927" s="40"/>
      <c r="D927" s="212"/>
      <c r="E927" s="27"/>
      <c r="L927" s="242"/>
      <c r="M927" s="36"/>
      <c r="N927" s="37"/>
      <c r="O927" s="220"/>
      <c r="P927" s="40"/>
      <c r="Q927" s="171"/>
      <c r="R927" s="190"/>
    </row>
    <row r="928">
      <c r="A928" s="64"/>
      <c r="B928" s="64"/>
      <c r="C928" s="40"/>
      <c r="D928" s="212"/>
      <c r="E928" s="27"/>
      <c r="L928" s="242"/>
      <c r="M928" s="36"/>
      <c r="N928" s="37"/>
      <c r="O928" s="220"/>
      <c r="P928" s="40"/>
      <c r="Q928" s="171"/>
      <c r="R928" s="190"/>
    </row>
    <row r="929">
      <c r="A929" s="64"/>
      <c r="B929" s="64"/>
      <c r="C929" s="40"/>
      <c r="D929" s="212"/>
      <c r="E929" s="27"/>
      <c r="L929" s="242"/>
      <c r="M929" s="36"/>
      <c r="N929" s="37"/>
      <c r="O929" s="220"/>
      <c r="P929" s="40"/>
      <c r="Q929" s="171"/>
      <c r="R929" s="190"/>
    </row>
    <row r="930">
      <c r="A930" s="64"/>
      <c r="B930" s="64"/>
      <c r="C930" s="40"/>
      <c r="D930" s="212"/>
      <c r="E930" s="27"/>
      <c r="L930" s="242"/>
      <c r="M930" s="36"/>
      <c r="N930" s="37"/>
      <c r="O930" s="220"/>
      <c r="P930" s="40"/>
      <c r="Q930" s="171"/>
      <c r="R930" s="190"/>
    </row>
    <row r="931">
      <c r="A931" s="64"/>
      <c r="B931" s="64"/>
      <c r="C931" s="40"/>
      <c r="D931" s="212"/>
      <c r="E931" s="27"/>
      <c r="L931" s="242"/>
      <c r="M931" s="36"/>
      <c r="N931" s="37"/>
      <c r="O931" s="220"/>
      <c r="P931" s="40"/>
      <c r="Q931" s="171"/>
      <c r="R931" s="190"/>
    </row>
    <row r="932">
      <c r="A932" s="64"/>
      <c r="B932" s="64"/>
      <c r="C932" s="40"/>
      <c r="D932" s="212"/>
      <c r="E932" s="27"/>
      <c r="L932" s="242"/>
      <c r="M932" s="36"/>
      <c r="N932" s="37"/>
      <c r="O932" s="220"/>
      <c r="P932" s="40"/>
      <c r="Q932" s="171"/>
      <c r="R932" s="190"/>
    </row>
    <row r="933">
      <c r="A933" s="64"/>
      <c r="B933" s="64"/>
      <c r="C933" s="40"/>
      <c r="D933" s="212"/>
      <c r="E933" s="27"/>
      <c r="L933" s="242"/>
      <c r="M933" s="36"/>
      <c r="N933" s="37"/>
      <c r="O933" s="220"/>
      <c r="P933" s="40"/>
      <c r="Q933" s="171"/>
      <c r="R933" s="190"/>
    </row>
    <row r="934">
      <c r="A934" s="64"/>
      <c r="B934" s="64"/>
      <c r="C934" s="40"/>
      <c r="D934" s="212"/>
      <c r="E934" s="27"/>
      <c r="L934" s="242"/>
      <c r="M934" s="36"/>
      <c r="N934" s="37"/>
      <c r="O934" s="220"/>
      <c r="P934" s="40"/>
      <c r="Q934" s="171"/>
      <c r="R934" s="190"/>
    </row>
    <row r="935">
      <c r="A935" s="64"/>
      <c r="B935" s="64"/>
      <c r="C935" s="40"/>
      <c r="D935" s="212"/>
      <c r="E935" s="27"/>
      <c r="L935" s="242"/>
      <c r="M935" s="36"/>
      <c r="N935" s="37"/>
      <c r="O935" s="220"/>
      <c r="P935" s="40"/>
      <c r="Q935" s="171"/>
      <c r="R935" s="190"/>
    </row>
    <row r="936">
      <c r="A936" s="64"/>
      <c r="B936" s="64"/>
      <c r="C936" s="40"/>
      <c r="D936" s="212"/>
      <c r="E936" s="27"/>
      <c r="L936" s="242"/>
      <c r="M936" s="36"/>
      <c r="N936" s="37"/>
      <c r="O936" s="220"/>
      <c r="P936" s="40"/>
      <c r="Q936" s="171"/>
      <c r="R936" s="190"/>
    </row>
    <row r="937">
      <c r="A937" s="64"/>
      <c r="B937" s="64"/>
      <c r="C937" s="40"/>
      <c r="D937" s="212"/>
      <c r="E937" s="27"/>
      <c r="L937" s="242"/>
      <c r="M937" s="36"/>
      <c r="N937" s="37"/>
      <c r="O937" s="220"/>
      <c r="P937" s="40"/>
      <c r="Q937" s="171"/>
      <c r="R937" s="190"/>
    </row>
    <row r="938">
      <c r="A938" s="64"/>
      <c r="B938" s="64"/>
      <c r="C938" s="40"/>
      <c r="D938" s="212"/>
      <c r="E938" s="27"/>
      <c r="L938" s="242"/>
      <c r="M938" s="36"/>
      <c r="N938" s="37"/>
      <c r="O938" s="220"/>
      <c r="P938" s="40"/>
      <c r="Q938" s="171"/>
      <c r="R938" s="190"/>
    </row>
    <row r="939">
      <c r="A939" s="64"/>
      <c r="B939" s="64"/>
      <c r="C939" s="40"/>
      <c r="D939" s="212"/>
      <c r="E939" s="27"/>
      <c r="L939" s="242"/>
      <c r="M939" s="36"/>
      <c r="N939" s="37"/>
      <c r="O939" s="220"/>
      <c r="P939" s="40"/>
      <c r="Q939" s="171"/>
      <c r="R939" s="190"/>
    </row>
    <row r="940">
      <c r="A940" s="64"/>
      <c r="B940" s="64"/>
      <c r="C940" s="40"/>
      <c r="D940" s="212"/>
      <c r="E940" s="27"/>
      <c r="L940" s="242"/>
      <c r="M940" s="36"/>
      <c r="N940" s="37"/>
      <c r="O940" s="220"/>
      <c r="P940" s="40"/>
      <c r="Q940" s="171"/>
      <c r="R940" s="190"/>
    </row>
    <row r="941">
      <c r="A941" s="64"/>
      <c r="B941" s="64"/>
      <c r="C941" s="40"/>
      <c r="D941" s="212"/>
      <c r="E941" s="27"/>
      <c r="L941" s="242"/>
      <c r="M941" s="36"/>
      <c r="N941" s="37"/>
      <c r="O941" s="220"/>
      <c r="P941" s="40"/>
      <c r="Q941" s="171"/>
      <c r="R941" s="190"/>
    </row>
    <row r="942">
      <c r="A942" s="64"/>
      <c r="B942" s="64"/>
      <c r="C942" s="40"/>
      <c r="D942" s="212"/>
      <c r="E942" s="27"/>
      <c r="L942" s="242"/>
      <c r="M942" s="36"/>
      <c r="N942" s="37"/>
      <c r="O942" s="220"/>
      <c r="P942" s="40"/>
      <c r="Q942" s="171"/>
      <c r="R942" s="190"/>
    </row>
    <row r="943">
      <c r="A943" s="64"/>
      <c r="B943" s="64"/>
      <c r="C943" s="40"/>
      <c r="D943" s="212"/>
      <c r="E943" s="27"/>
      <c r="L943" s="242"/>
      <c r="M943" s="36"/>
      <c r="N943" s="37"/>
      <c r="O943" s="220"/>
      <c r="P943" s="40"/>
      <c r="Q943" s="171"/>
      <c r="R943" s="190"/>
    </row>
    <row r="944">
      <c r="A944" s="64"/>
      <c r="B944" s="64"/>
      <c r="C944" s="40"/>
      <c r="D944" s="212"/>
      <c r="E944" s="27"/>
      <c r="L944" s="242"/>
      <c r="M944" s="36"/>
      <c r="N944" s="37"/>
      <c r="O944" s="220"/>
      <c r="P944" s="40"/>
      <c r="Q944" s="171"/>
      <c r="R944" s="190"/>
    </row>
    <row r="945">
      <c r="A945" s="64"/>
      <c r="B945" s="64"/>
      <c r="C945" s="40"/>
      <c r="D945" s="212"/>
      <c r="E945" s="27"/>
      <c r="L945" s="242"/>
      <c r="M945" s="36"/>
      <c r="N945" s="37"/>
      <c r="O945" s="220"/>
      <c r="P945" s="40"/>
      <c r="Q945" s="171"/>
      <c r="R945" s="190"/>
    </row>
    <row r="946">
      <c r="A946" s="64"/>
      <c r="B946" s="64"/>
      <c r="C946" s="40"/>
      <c r="D946" s="212"/>
      <c r="E946" s="27"/>
      <c r="L946" s="242"/>
      <c r="M946" s="36"/>
      <c r="N946" s="37"/>
      <c r="O946" s="220"/>
      <c r="P946" s="40"/>
      <c r="Q946" s="171"/>
      <c r="R946" s="190"/>
    </row>
    <row r="947">
      <c r="A947" s="64"/>
      <c r="B947" s="64"/>
      <c r="C947" s="40"/>
      <c r="D947" s="212"/>
      <c r="E947" s="27"/>
      <c r="L947" s="242"/>
      <c r="M947" s="36"/>
      <c r="N947" s="37"/>
      <c r="O947" s="220"/>
      <c r="P947" s="40"/>
      <c r="Q947" s="171"/>
      <c r="R947" s="190"/>
    </row>
    <row r="948">
      <c r="A948" s="64"/>
      <c r="B948" s="64"/>
      <c r="C948" s="40"/>
      <c r="D948" s="212"/>
      <c r="E948" s="27"/>
      <c r="L948" s="242"/>
      <c r="M948" s="36"/>
      <c r="N948" s="37"/>
      <c r="O948" s="220"/>
      <c r="P948" s="40"/>
      <c r="Q948" s="171"/>
      <c r="R948" s="190"/>
    </row>
    <row r="949">
      <c r="A949" s="64"/>
      <c r="B949" s="64"/>
      <c r="C949" s="40"/>
      <c r="D949" s="212"/>
      <c r="E949" s="27"/>
      <c r="L949" s="242"/>
      <c r="M949" s="36"/>
      <c r="N949" s="37"/>
      <c r="O949" s="220"/>
      <c r="P949" s="40"/>
      <c r="Q949" s="171"/>
      <c r="R949" s="190"/>
    </row>
    <row r="950">
      <c r="A950" s="64"/>
      <c r="B950" s="64"/>
      <c r="C950" s="40"/>
      <c r="D950" s="212"/>
      <c r="E950" s="27"/>
      <c r="L950" s="242"/>
      <c r="M950" s="36"/>
      <c r="N950" s="37"/>
      <c r="O950" s="220"/>
      <c r="P950" s="40"/>
      <c r="Q950" s="171"/>
      <c r="R950" s="190"/>
    </row>
    <row r="951">
      <c r="A951" s="64"/>
      <c r="B951" s="64"/>
      <c r="C951" s="40"/>
      <c r="D951" s="212"/>
      <c r="E951" s="27"/>
      <c r="L951" s="242"/>
      <c r="M951" s="36"/>
      <c r="N951" s="37"/>
      <c r="O951" s="220"/>
      <c r="P951" s="40"/>
      <c r="Q951" s="171"/>
      <c r="R951" s="190"/>
    </row>
    <row r="952">
      <c r="A952" s="64"/>
      <c r="B952" s="64"/>
      <c r="C952" s="40"/>
      <c r="D952" s="212"/>
      <c r="E952" s="27"/>
      <c r="L952" s="242"/>
      <c r="M952" s="36"/>
      <c r="N952" s="37"/>
      <c r="O952" s="220"/>
      <c r="P952" s="40"/>
      <c r="Q952" s="171"/>
      <c r="R952" s="190"/>
    </row>
    <row r="953">
      <c r="A953" s="64"/>
      <c r="B953" s="64"/>
      <c r="C953" s="40"/>
      <c r="D953" s="212"/>
      <c r="E953" s="27"/>
      <c r="L953" s="242"/>
      <c r="M953" s="36"/>
      <c r="N953" s="37"/>
      <c r="O953" s="220"/>
      <c r="P953" s="40"/>
      <c r="Q953" s="171"/>
      <c r="R953" s="190"/>
    </row>
    <row r="954">
      <c r="A954" s="64"/>
      <c r="B954" s="64"/>
      <c r="C954" s="40"/>
      <c r="D954" s="212"/>
      <c r="E954" s="27"/>
      <c r="L954" s="242"/>
      <c r="M954" s="36"/>
      <c r="N954" s="37"/>
      <c r="O954" s="220"/>
      <c r="P954" s="40"/>
      <c r="Q954" s="171"/>
      <c r="R954" s="190"/>
    </row>
    <row r="955">
      <c r="A955" s="64"/>
      <c r="B955" s="64"/>
      <c r="C955" s="40"/>
      <c r="D955" s="212"/>
      <c r="E955" s="27"/>
      <c r="L955" s="242"/>
      <c r="M955" s="36"/>
      <c r="N955" s="37"/>
      <c r="O955" s="220"/>
      <c r="P955" s="40"/>
      <c r="Q955" s="171"/>
      <c r="R955" s="190"/>
    </row>
    <row r="956">
      <c r="A956" s="64"/>
      <c r="B956" s="64"/>
      <c r="C956" s="40"/>
      <c r="D956" s="212"/>
      <c r="E956" s="27"/>
      <c r="L956" s="242"/>
      <c r="M956" s="36"/>
      <c r="N956" s="37"/>
      <c r="O956" s="220"/>
      <c r="P956" s="40"/>
      <c r="Q956" s="171"/>
      <c r="R956" s="190"/>
    </row>
    <row r="957">
      <c r="A957" s="64"/>
      <c r="B957" s="64"/>
      <c r="C957" s="40"/>
      <c r="D957" s="212"/>
      <c r="E957" s="27"/>
      <c r="L957" s="242"/>
      <c r="M957" s="36"/>
      <c r="N957" s="37"/>
      <c r="O957" s="220"/>
      <c r="P957" s="40"/>
      <c r="Q957" s="171"/>
      <c r="R957" s="190"/>
    </row>
    <row r="958">
      <c r="A958" s="64"/>
      <c r="B958" s="64"/>
      <c r="C958" s="40"/>
      <c r="D958" s="212"/>
      <c r="E958" s="27"/>
      <c r="L958" s="242"/>
      <c r="M958" s="36"/>
      <c r="N958" s="37"/>
      <c r="O958" s="220"/>
      <c r="P958" s="40"/>
      <c r="Q958" s="171"/>
      <c r="R958" s="190"/>
    </row>
    <row r="959">
      <c r="A959" s="64"/>
      <c r="B959" s="64"/>
      <c r="C959" s="40"/>
      <c r="D959" s="212"/>
      <c r="E959" s="27"/>
      <c r="L959" s="242"/>
      <c r="M959" s="36"/>
      <c r="N959" s="37"/>
      <c r="O959" s="220"/>
      <c r="P959" s="40"/>
      <c r="Q959" s="171"/>
      <c r="R959" s="190"/>
    </row>
    <row r="960">
      <c r="A960" s="64"/>
      <c r="B960" s="64"/>
      <c r="C960" s="40"/>
      <c r="D960" s="212"/>
      <c r="E960" s="27"/>
      <c r="L960" s="242"/>
      <c r="M960" s="36"/>
      <c r="N960" s="37"/>
      <c r="O960" s="220"/>
      <c r="P960" s="40"/>
      <c r="Q960" s="171"/>
      <c r="R960" s="190"/>
    </row>
    <row r="961">
      <c r="A961" s="64"/>
      <c r="B961" s="64"/>
      <c r="C961" s="40"/>
      <c r="D961" s="212"/>
      <c r="E961" s="27"/>
      <c r="L961" s="242"/>
      <c r="M961" s="36"/>
      <c r="N961" s="37"/>
      <c r="O961" s="220"/>
      <c r="P961" s="40"/>
      <c r="Q961" s="171"/>
      <c r="R961" s="190"/>
    </row>
    <row r="962">
      <c r="A962" s="64"/>
      <c r="B962" s="64"/>
      <c r="C962" s="40"/>
      <c r="D962" s="212"/>
      <c r="E962" s="27"/>
      <c r="L962" s="242"/>
      <c r="M962" s="36"/>
      <c r="N962" s="37"/>
      <c r="O962" s="220"/>
      <c r="P962" s="40"/>
      <c r="Q962" s="171"/>
      <c r="R962" s="190"/>
    </row>
    <row r="963">
      <c r="A963" s="64"/>
      <c r="B963" s="64"/>
      <c r="C963" s="40"/>
      <c r="D963" s="212"/>
      <c r="E963" s="27"/>
      <c r="L963" s="242"/>
      <c r="M963" s="36"/>
      <c r="N963" s="37"/>
      <c r="O963" s="220"/>
      <c r="P963" s="40"/>
      <c r="Q963" s="171"/>
      <c r="R963" s="190"/>
    </row>
    <row r="964">
      <c r="A964" s="64"/>
      <c r="B964" s="64"/>
      <c r="C964" s="40"/>
      <c r="D964" s="212"/>
      <c r="E964" s="27"/>
      <c r="L964" s="242"/>
      <c r="M964" s="36"/>
      <c r="N964" s="37"/>
      <c r="O964" s="220"/>
      <c r="P964" s="40"/>
      <c r="Q964" s="171"/>
      <c r="R964" s="190"/>
    </row>
    <row r="965">
      <c r="A965" s="64"/>
      <c r="B965" s="64"/>
      <c r="C965" s="40"/>
      <c r="D965" s="212"/>
      <c r="E965" s="27"/>
      <c r="L965" s="242"/>
      <c r="M965" s="36"/>
      <c r="N965" s="37"/>
      <c r="O965" s="220"/>
      <c r="P965" s="40"/>
      <c r="Q965" s="171"/>
      <c r="R965" s="190"/>
    </row>
    <row r="966">
      <c r="A966" s="64"/>
      <c r="B966" s="64"/>
      <c r="C966" s="40"/>
      <c r="D966" s="212"/>
      <c r="E966" s="27"/>
      <c r="L966" s="242"/>
      <c r="M966" s="36"/>
      <c r="N966" s="37"/>
      <c r="O966" s="220"/>
      <c r="P966" s="40"/>
      <c r="Q966" s="171"/>
      <c r="R966" s="190"/>
    </row>
    <row r="967">
      <c r="A967" s="64"/>
      <c r="B967" s="64"/>
      <c r="C967" s="40"/>
      <c r="D967" s="212"/>
      <c r="E967" s="27"/>
      <c r="L967" s="242"/>
      <c r="M967" s="36"/>
      <c r="N967" s="37"/>
      <c r="O967" s="220"/>
      <c r="P967" s="40"/>
      <c r="Q967" s="171"/>
      <c r="R967" s="190"/>
    </row>
    <row r="968">
      <c r="A968" s="64"/>
      <c r="B968" s="64"/>
      <c r="C968" s="40"/>
      <c r="D968" s="212"/>
      <c r="E968" s="27"/>
      <c r="L968" s="242"/>
      <c r="M968" s="36"/>
      <c r="N968" s="37"/>
      <c r="O968" s="220"/>
      <c r="P968" s="40"/>
      <c r="Q968" s="171"/>
      <c r="R968" s="190"/>
    </row>
    <row r="969">
      <c r="A969" s="64"/>
      <c r="B969" s="64"/>
      <c r="C969" s="40"/>
      <c r="D969" s="212"/>
      <c r="E969" s="27"/>
      <c r="L969" s="242"/>
      <c r="M969" s="36"/>
      <c r="N969" s="37"/>
      <c r="O969" s="220"/>
      <c r="P969" s="40"/>
      <c r="Q969" s="171"/>
      <c r="R969" s="190"/>
    </row>
    <row r="970">
      <c r="A970" s="64"/>
      <c r="B970" s="64"/>
      <c r="C970" s="40"/>
      <c r="D970" s="212"/>
      <c r="E970" s="27"/>
      <c r="L970" s="242"/>
      <c r="M970" s="36"/>
      <c r="N970" s="37"/>
      <c r="O970" s="220"/>
      <c r="P970" s="40"/>
      <c r="Q970" s="171"/>
      <c r="R970" s="190"/>
    </row>
    <row r="971">
      <c r="A971" s="64"/>
      <c r="B971" s="64"/>
      <c r="C971" s="40"/>
      <c r="D971" s="212"/>
      <c r="E971" s="27"/>
      <c r="L971" s="242"/>
      <c r="M971" s="36"/>
      <c r="N971" s="37"/>
      <c r="O971" s="220"/>
      <c r="P971" s="40"/>
      <c r="Q971" s="171"/>
      <c r="R971" s="190"/>
    </row>
    <row r="972">
      <c r="A972" s="64"/>
      <c r="B972" s="64"/>
      <c r="C972" s="40"/>
      <c r="D972" s="212"/>
      <c r="E972" s="27"/>
      <c r="L972" s="242"/>
      <c r="M972" s="36"/>
      <c r="N972" s="37"/>
      <c r="O972" s="220"/>
      <c r="P972" s="40"/>
      <c r="Q972" s="171"/>
      <c r="R972" s="190"/>
    </row>
    <row r="973">
      <c r="A973" s="64"/>
      <c r="B973" s="64"/>
      <c r="C973" s="40"/>
      <c r="D973" s="212"/>
      <c r="E973" s="27"/>
      <c r="L973" s="242"/>
      <c r="M973" s="36"/>
      <c r="N973" s="37"/>
      <c r="O973" s="220"/>
      <c r="P973" s="40"/>
      <c r="Q973" s="171"/>
      <c r="R973" s="190"/>
    </row>
    <row r="974">
      <c r="A974" s="64"/>
      <c r="B974" s="64"/>
      <c r="C974" s="40"/>
      <c r="D974" s="212"/>
      <c r="E974" s="27"/>
      <c r="L974" s="242"/>
      <c r="M974" s="36"/>
      <c r="N974" s="37"/>
      <c r="O974" s="220"/>
      <c r="P974" s="40"/>
      <c r="Q974" s="171"/>
      <c r="R974" s="190"/>
    </row>
    <row r="975">
      <c r="A975" s="64"/>
      <c r="B975" s="64"/>
      <c r="C975" s="40"/>
      <c r="D975" s="212"/>
      <c r="E975" s="27"/>
      <c r="L975" s="242"/>
      <c r="M975" s="36"/>
      <c r="N975" s="37"/>
      <c r="O975" s="220"/>
      <c r="P975" s="40"/>
      <c r="Q975" s="171"/>
      <c r="R975" s="190"/>
    </row>
    <row r="976">
      <c r="A976" s="64"/>
      <c r="B976" s="64"/>
      <c r="C976" s="40"/>
      <c r="D976" s="212"/>
      <c r="E976" s="27"/>
      <c r="L976" s="242"/>
      <c r="M976" s="36"/>
      <c r="N976" s="37"/>
      <c r="O976" s="220"/>
      <c r="P976" s="40"/>
      <c r="Q976" s="171"/>
      <c r="R976" s="190"/>
    </row>
    <row r="977">
      <c r="A977" s="64"/>
      <c r="B977" s="64"/>
      <c r="C977" s="40"/>
      <c r="D977" s="212"/>
      <c r="E977" s="27"/>
      <c r="L977" s="242"/>
      <c r="M977" s="36"/>
      <c r="N977" s="37"/>
      <c r="O977" s="220"/>
      <c r="P977" s="40"/>
      <c r="Q977" s="171"/>
      <c r="R977" s="190"/>
    </row>
    <row r="978">
      <c r="A978" s="64"/>
      <c r="B978" s="64"/>
      <c r="C978" s="40"/>
      <c r="D978" s="212"/>
      <c r="E978" s="27"/>
      <c r="L978" s="242"/>
      <c r="M978" s="36"/>
      <c r="N978" s="37"/>
      <c r="O978" s="220"/>
      <c r="P978" s="40"/>
      <c r="Q978" s="171"/>
      <c r="R978" s="190"/>
    </row>
    <row r="979">
      <c r="A979" s="64"/>
      <c r="B979" s="64"/>
      <c r="C979" s="40"/>
      <c r="D979" s="212"/>
      <c r="E979" s="27"/>
      <c r="L979" s="242"/>
      <c r="M979" s="36"/>
      <c r="N979" s="37"/>
      <c r="O979" s="220"/>
      <c r="P979" s="40"/>
      <c r="Q979" s="171"/>
      <c r="R979" s="190"/>
    </row>
    <row r="980">
      <c r="A980" s="64"/>
      <c r="B980" s="64"/>
      <c r="C980" s="40"/>
      <c r="D980" s="212"/>
      <c r="E980" s="27"/>
      <c r="L980" s="242"/>
      <c r="M980" s="36"/>
      <c r="N980" s="37"/>
      <c r="O980" s="220"/>
      <c r="P980" s="40"/>
      <c r="Q980" s="171"/>
      <c r="R980" s="190"/>
    </row>
    <row r="981">
      <c r="A981" s="64"/>
      <c r="B981" s="64"/>
      <c r="C981" s="40"/>
      <c r="D981" s="212"/>
      <c r="E981" s="27"/>
      <c r="L981" s="242"/>
      <c r="M981" s="36"/>
      <c r="N981" s="37"/>
      <c r="O981" s="220"/>
      <c r="P981" s="40"/>
      <c r="Q981" s="171"/>
      <c r="R981" s="190"/>
    </row>
    <row r="982">
      <c r="A982" s="64"/>
      <c r="B982" s="64"/>
      <c r="C982" s="40"/>
      <c r="D982" s="212"/>
      <c r="E982" s="27"/>
      <c r="L982" s="242"/>
      <c r="M982" s="36"/>
      <c r="N982" s="37"/>
      <c r="O982" s="220"/>
      <c r="P982" s="40"/>
      <c r="Q982" s="171"/>
      <c r="R982" s="190"/>
    </row>
    <row r="983">
      <c r="A983" s="64"/>
      <c r="B983" s="64"/>
      <c r="C983" s="40"/>
      <c r="D983" s="212"/>
      <c r="E983" s="27"/>
      <c r="L983" s="242"/>
      <c r="M983" s="36"/>
      <c r="N983" s="37"/>
      <c r="O983" s="220"/>
      <c r="P983" s="40"/>
      <c r="Q983" s="171"/>
      <c r="R983" s="190"/>
    </row>
    <row r="984">
      <c r="A984" s="64"/>
      <c r="B984" s="64"/>
      <c r="C984" s="40"/>
      <c r="D984" s="212"/>
      <c r="E984" s="27"/>
      <c r="L984" s="242"/>
      <c r="M984" s="36"/>
      <c r="N984" s="37"/>
      <c r="O984" s="220"/>
      <c r="P984" s="40"/>
      <c r="Q984" s="171"/>
      <c r="R984" s="190"/>
    </row>
    <row r="985">
      <c r="A985" s="64"/>
      <c r="B985" s="64"/>
      <c r="C985" s="40"/>
      <c r="D985" s="212"/>
      <c r="E985" s="27"/>
      <c r="L985" s="242"/>
      <c r="M985" s="36"/>
      <c r="N985" s="37"/>
      <c r="O985" s="220"/>
      <c r="P985" s="40"/>
      <c r="Q985" s="171"/>
      <c r="R985" s="190"/>
    </row>
    <row r="986">
      <c r="A986" s="64"/>
      <c r="B986" s="64"/>
      <c r="C986" s="40"/>
      <c r="D986" s="212"/>
      <c r="E986" s="27"/>
      <c r="L986" s="242"/>
      <c r="M986" s="36"/>
      <c r="N986" s="37"/>
      <c r="O986" s="220"/>
      <c r="P986" s="40"/>
      <c r="Q986" s="171"/>
      <c r="R986" s="190"/>
    </row>
    <row r="987">
      <c r="A987" s="64"/>
      <c r="B987" s="64"/>
      <c r="C987" s="40"/>
      <c r="D987" s="212"/>
      <c r="E987" s="27"/>
      <c r="L987" s="242"/>
      <c r="M987" s="36"/>
      <c r="N987" s="37"/>
      <c r="O987" s="220"/>
      <c r="P987" s="40"/>
      <c r="Q987" s="171"/>
      <c r="R987" s="190"/>
    </row>
  </sheetData>
  <autoFilter ref="$A$1:$W$381"/>
  <customSheetViews>
    <customSheetView guid="{D639D50D-F16E-46C4-8B84-3CE90BA94453}" filter="1" showAutoFilter="1">
      <autoFilter ref="$A$1:$AL$987"/>
    </customSheetView>
  </customSheetViews>
  <hyperlinks>
    <hyperlink r:id="rId4" ref="T59"/>
    <hyperlink r:id="rId5" ref="T63"/>
    <hyperlink r:id="rId6" ref="K96"/>
    <hyperlink r:id="rId7" ref="K109"/>
  </hyperlinks>
  <drawing r:id="rId8"/>
  <legacy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3.0"/>
    <col customWidth="1" min="3" max="3" width="26.75"/>
  </cols>
  <sheetData>
    <row r="1">
      <c r="A1" s="7" t="s">
        <v>7</v>
      </c>
      <c r="B1" s="7" t="s">
        <v>9</v>
      </c>
      <c r="C1" s="8" t="s">
        <v>10</v>
      </c>
      <c r="D1" s="3" t="s">
        <v>13</v>
      </c>
      <c r="E1" s="3" t="s">
        <v>14</v>
      </c>
      <c r="F1" s="3" t="s">
        <v>16</v>
      </c>
      <c r="G1" s="3" t="s">
        <v>18</v>
      </c>
      <c r="H1" s="3" t="s">
        <v>19</v>
      </c>
      <c r="I1" s="3" t="s">
        <v>20</v>
      </c>
      <c r="J1" s="3"/>
      <c r="K1" s="7" t="s">
        <v>22</v>
      </c>
      <c r="L1" s="15" t="s">
        <v>24</v>
      </c>
      <c r="M1" s="8" t="s">
        <v>29</v>
      </c>
      <c r="N1" s="8" t="s">
        <v>30</v>
      </c>
      <c r="O1" s="3" t="s">
        <v>7</v>
      </c>
      <c r="P1" s="8" t="s">
        <v>33</v>
      </c>
      <c r="Q1" s="3" t="s">
        <v>34</v>
      </c>
      <c r="R1" s="3" t="s">
        <v>35</v>
      </c>
      <c r="S1" s="17" t="s">
        <v>37</v>
      </c>
      <c r="T1" s="3" t="s">
        <v>39</v>
      </c>
      <c r="U1" s="3" t="s">
        <v>40</v>
      </c>
      <c r="V1" s="4"/>
      <c r="W1" s="4"/>
      <c r="X1" s="4"/>
      <c r="Y1" s="4"/>
      <c r="Z1" s="4"/>
      <c r="AA1" s="4"/>
      <c r="AB1" s="4"/>
      <c r="AC1" s="4"/>
      <c r="AD1" s="4"/>
      <c r="AE1" s="4"/>
      <c r="AF1" s="4"/>
      <c r="AG1" s="4"/>
      <c r="AH1" s="4"/>
      <c r="AI1" s="4"/>
      <c r="AJ1" s="4"/>
    </row>
    <row r="2" ht="25.5" customHeight="1">
      <c r="A2" s="6" t="s">
        <v>43</v>
      </c>
      <c r="B2" s="6" t="s">
        <v>45</v>
      </c>
      <c r="C2" s="6" t="s">
        <v>46</v>
      </c>
    </row>
    <row r="3" ht="30.75" customHeight="1">
      <c r="A3" s="6" t="s">
        <v>48</v>
      </c>
      <c r="B3" s="6" t="s">
        <v>49</v>
      </c>
      <c r="C3" s="6" t="s">
        <v>46</v>
      </c>
    </row>
    <row r="4">
      <c r="A4" s="20">
        <v>46043.0</v>
      </c>
      <c r="B4" s="6" t="s">
        <v>50</v>
      </c>
      <c r="C4" s="6" t="s">
        <v>51</v>
      </c>
    </row>
    <row r="5">
      <c r="A5" s="20">
        <v>46043.0</v>
      </c>
      <c r="B5" s="6" t="s">
        <v>53</v>
      </c>
      <c r="C5" s="6" t="s">
        <v>51</v>
      </c>
    </row>
    <row r="6">
      <c r="A6" s="20">
        <v>46043.0</v>
      </c>
      <c r="B6" s="6" t="s">
        <v>55</v>
      </c>
      <c r="C6" s="6" t="s">
        <v>56</v>
      </c>
    </row>
    <row r="7">
      <c r="A7" s="20">
        <v>46043.0</v>
      </c>
      <c r="B7" s="6" t="s">
        <v>58</v>
      </c>
      <c r="C7" s="6" t="s">
        <v>56</v>
      </c>
    </row>
    <row r="8">
      <c r="A8" s="20">
        <v>46043.0</v>
      </c>
      <c r="B8" s="6" t="s">
        <v>63</v>
      </c>
      <c r="C8" s="6" t="s">
        <v>56</v>
      </c>
    </row>
    <row r="9">
      <c r="A9" s="20">
        <v>46043.0</v>
      </c>
      <c r="B9" s="6" t="s">
        <v>67</v>
      </c>
      <c r="C9" s="6" t="s">
        <v>56</v>
      </c>
    </row>
    <row r="10">
      <c r="A10" s="20">
        <v>46043.0</v>
      </c>
      <c r="B10" s="6" t="s">
        <v>68</v>
      </c>
      <c r="C10" s="6" t="s">
        <v>56</v>
      </c>
    </row>
    <row r="11">
      <c r="A11" s="20">
        <v>46043.0</v>
      </c>
      <c r="B11" s="6" t="s">
        <v>69</v>
      </c>
      <c r="C11" s="6" t="s">
        <v>56</v>
      </c>
    </row>
    <row r="12">
      <c r="A12" s="20">
        <v>46043.0</v>
      </c>
      <c r="B12" s="6" t="s">
        <v>70</v>
      </c>
      <c r="C12" s="6" t="s">
        <v>56</v>
      </c>
    </row>
    <row r="13">
      <c r="A13" s="20">
        <v>46043.0</v>
      </c>
      <c r="B13" s="6" t="s">
        <v>71</v>
      </c>
      <c r="C13" s="6" t="s">
        <v>56</v>
      </c>
    </row>
    <row r="14">
      <c r="A14" s="20">
        <v>46043.0</v>
      </c>
      <c r="B14" s="6" t="s">
        <v>72</v>
      </c>
      <c r="C14" s="6" t="s">
        <v>56</v>
      </c>
    </row>
    <row r="15">
      <c r="A15" s="20">
        <v>46043.0</v>
      </c>
      <c r="B15" s="6" t="s">
        <v>74</v>
      </c>
      <c r="C15" s="6" t="s">
        <v>56</v>
      </c>
    </row>
    <row r="16">
      <c r="A16" s="20">
        <v>46043.0</v>
      </c>
      <c r="B16" s="6" t="s">
        <v>76</v>
      </c>
      <c r="C16" s="6" t="s">
        <v>56</v>
      </c>
    </row>
    <row r="17">
      <c r="A17" s="20">
        <v>46043.0</v>
      </c>
      <c r="B17" s="6" t="s">
        <v>77</v>
      </c>
      <c r="C17" s="6" t="s">
        <v>56</v>
      </c>
    </row>
    <row r="18">
      <c r="A18" s="20">
        <v>46043.0</v>
      </c>
      <c r="B18" s="6" t="s">
        <v>80</v>
      </c>
      <c r="C18" s="6" t="s">
        <v>56</v>
      </c>
    </row>
    <row r="19">
      <c r="A19" s="20">
        <v>46043.0</v>
      </c>
      <c r="B19" s="6" t="s">
        <v>83</v>
      </c>
      <c r="C19" s="6" t="s">
        <v>56</v>
      </c>
    </row>
    <row r="20">
      <c r="A20" s="20">
        <v>46044.0</v>
      </c>
      <c r="B20" s="6" t="s">
        <v>85</v>
      </c>
      <c r="C20" s="6" t="s">
        <v>56</v>
      </c>
    </row>
    <row r="21">
      <c r="A21" s="20">
        <v>46044.0</v>
      </c>
      <c r="B21" s="6" t="s">
        <v>90</v>
      </c>
      <c r="C21" s="6" t="s">
        <v>56</v>
      </c>
    </row>
    <row r="22">
      <c r="A22" s="20">
        <v>46044.0</v>
      </c>
      <c r="B22" s="6" t="s">
        <v>93</v>
      </c>
      <c r="C22" s="6" t="s">
        <v>56</v>
      </c>
    </row>
    <row r="23">
      <c r="A23" s="20">
        <v>46044.0</v>
      </c>
      <c r="B23" s="6" t="s">
        <v>96</v>
      </c>
      <c r="C23" s="6" t="s">
        <v>56</v>
      </c>
    </row>
    <row r="24">
      <c r="A24" s="20">
        <v>46051.0</v>
      </c>
      <c r="B24" s="6" t="s">
        <v>103</v>
      </c>
      <c r="C24" s="6" t="s">
        <v>105</v>
      </c>
    </row>
    <row r="25">
      <c r="A25" s="20">
        <v>46056.0</v>
      </c>
      <c r="B25" s="6" t="s">
        <v>106</v>
      </c>
      <c r="C25" s="6" t="s">
        <v>107</v>
      </c>
      <c r="D25" s="6" t="s">
        <v>108</v>
      </c>
    </row>
    <row r="26">
      <c r="A26" s="20">
        <v>46056.0</v>
      </c>
      <c r="B26" s="6" t="s">
        <v>109</v>
      </c>
      <c r="C26" s="6" t="s">
        <v>110</v>
      </c>
      <c r="D26" s="6" t="s">
        <v>111</v>
      </c>
    </row>
    <row r="27">
      <c r="A27" s="20">
        <v>46056.0</v>
      </c>
      <c r="B27" s="6" t="s">
        <v>112</v>
      </c>
      <c r="C27" s="6" t="s">
        <v>56</v>
      </c>
      <c r="D27" s="6" t="s">
        <v>113</v>
      </c>
    </row>
    <row r="28">
      <c r="A28" s="20">
        <v>46070.0</v>
      </c>
      <c r="B28" s="6" t="s">
        <v>115</v>
      </c>
      <c r="C28" s="6" t="s">
        <v>117</v>
      </c>
    </row>
    <row r="29">
      <c r="A29" s="20">
        <v>46070.0</v>
      </c>
      <c r="B29" s="6" t="s">
        <v>118</v>
      </c>
      <c r="C29" s="6" t="s">
        <v>121</v>
      </c>
    </row>
    <row r="30">
      <c r="A30" s="20">
        <v>46070.0</v>
      </c>
      <c r="B30" s="6" t="s">
        <v>126</v>
      </c>
      <c r="C30" s="6" t="s">
        <v>129</v>
      </c>
      <c r="D30" s="6" t="s">
        <v>113</v>
      </c>
    </row>
    <row r="31">
      <c r="A31" s="20">
        <v>46070.0</v>
      </c>
      <c r="B31" s="6" t="s">
        <v>133</v>
      </c>
      <c r="C31" s="6" t="s">
        <v>129</v>
      </c>
      <c r="D31" s="6" t="s">
        <v>134</v>
      </c>
    </row>
    <row r="32">
      <c r="A32" s="20">
        <v>46070.0</v>
      </c>
      <c r="B32" s="6" t="s">
        <v>136</v>
      </c>
      <c r="C32" s="6" t="s">
        <v>138</v>
      </c>
      <c r="D32" s="6" t="s">
        <v>139</v>
      </c>
    </row>
    <row r="33">
      <c r="A33" s="20">
        <v>46070.0</v>
      </c>
      <c r="B33" s="6" t="s">
        <v>143</v>
      </c>
      <c r="C33" s="6" t="s">
        <v>129</v>
      </c>
    </row>
    <row r="34">
      <c r="A34" s="20">
        <v>46070.0</v>
      </c>
      <c r="B34" s="6" t="s">
        <v>152</v>
      </c>
      <c r="C34" s="6" t="s">
        <v>129</v>
      </c>
    </row>
    <row r="35">
      <c r="A35" s="20">
        <v>46070.0</v>
      </c>
      <c r="B35" s="6" t="s">
        <v>157</v>
      </c>
      <c r="C35" s="6" t="s">
        <v>129</v>
      </c>
    </row>
    <row r="36">
      <c r="A36" s="20">
        <v>46070.0</v>
      </c>
      <c r="B36" s="6" t="s">
        <v>162</v>
      </c>
      <c r="C36" s="6" t="s">
        <v>129</v>
      </c>
    </row>
    <row r="37">
      <c r="A37" s="20">
        <v>46070.0</v>
      </c>
      <c r="B37" s="6" t="s">
        <v>173</v>
      </c>
      <c r="C37" s="6" t="s">
        <v>129</v>
      </c>
    </row>
    <row r="38">
      <c r="A38" s="20">
        <v>46071.0</v>
      </c>
      <c r="B38" s="6" t="s">
        <v>177</v>
      </c>
      <c r="C38" s="6" t="s">
        <v>178</v>
      </c>
      <c r="D38" s="6" t="s">
        <v>180</v>
      </c>
      <c r="H38" s="6" t="s">
        <v>182</v>
      </c>
    </row>
    <row r="39">
      <c r="A39" s="20">
        <v>46072.0</v>
      </c>
      <c r="B39" s="6" t="s">
        <v>185</v>
      </c>
      <c r="C39" s="6" t="s">
        <v>187</v>
      </c>
      <c r="D39" s="6" t="s">
        <v>188</v>
      </c>
      <c r="H39" s="6" t="s">
        <v>190</v>
      </c>
    </row>
    <row r="40">
      <c r="A40" s="20">
        <v>46072.0</v>
      </c>
      <c r="B40" s="6" t="s">
        <v>194</v>
      </c>
      <c r="C40" s="6" t="s">
        <v>195</v>
      </c>
      <c r="H40" s="6" t="s">
        <v>196</v>
      </c>
    </row>
    <row r="41">
      <c r="A41" s="20">
        <v>46072.0</v>
      </c>
      <c r="B41" s="6" t="s">
        <v>197</v>
      </c>
      <c r="C41" s="6" t="s">
        <v>195</v>
      </c>
      <c r="D41" s="6" t="s">
        <v>199</v>
      </c>
      <c r="H41" s="6" t="s">
        <v>201</v>
      </c>
    </row>
    <row r="42">
      <c r="A42" s="20">
        <v>46072.0</v>
      </c>
      <c r="B42" s="6" t="s">
        <v>203</v>
      </c>
      <c r="C42" s="6" t="s">
        <v>195</v>
      </c>
    </row>
    <row r="43">
      <c r="A43" s="20">
        <v>46072.0</v>
      </c>
      <c r="B43" s="6" t="s">
        <v>204</v>
      </c>
      <c r="C43" s="6" t="s">
        <v>205</v>
      </c>
      <c r="D43" s="6" t="s">
        <v>206</v>
      </c>
      <c r="H43" s="6" t="s">
        <v>207</v>
      </c>
    </row>
    <row r="44">
      <c r="A44" s="20">
        <v>46079.0</v>
      </c>
      <c r="B44" s="6" t="s">
        <v>214</v>
      </c>
      <c r="C44" s="6" t="s">
        <v>187</v>
      </c>
      <c r="H44" s="6" t="s">
        <v>218</v>
      </c>
    </row>
    <row r="45">
      <c r="A45" s="20">
        <v>46083.0</v>
      </c>
      <c r="B45" s="6" t="s">
        <v>220</v>
      </c>
      <c r="C45" s="6" t="s">
        <v>222</v>
      </c>
      <c r="H45" s="6" t="s">
        <v>223</v>
      </c>
      <c r="K45" s="6">
        <v>5.594077306E9</v>
      </c>
    </row>
    <row r="46">
      <c r="A46" s="20">
        <v>46083.0</v>
      </c>
      <c r="B46" s="68" t="s">
        <v>232</v>
      </c>
      <c r="C46" s="6" t="s">
        <v>234</v>
      </c>
      <c r="H46" s="6" t="s">
        <v>236</v>
      </c>
    </row>
    <row r="47">
      <c r="A47" s="20">
        <v>46084.0</v>
      </c>
      <c r="B47" s="71" t="s">
        <v>239</v>
      </c>
      <c r="C47" s="6" t="s">
        <v>240</v>
      </c>
      <c r="H47" s="6" t="s">
        <v>242</v>
      </c>
    </row>
    <row r="48">
      <c r="A48" s="20">
        <v>46085.0</v>
      </c>
      <c r="B48" s="6" t="s">
        <v>251</v>
      </c>
      <c r="C48" s="6" t="s">
        <v>240</v>
      </c>
      <c r="H48" s="6" t="s">
        <v>254</v>
      </c>
    </row>
    <row r="49">
      <c r="A49" s="20">
        <v>46086.0</v>
      </c>
      <c r="B49" s="6" t="s">
        <v>259</v>
      </c>
      <c r="C49" s="6" t="s">
        <v>260</v>
      </c>
    </row>
    <row r="50">
      <c r="A50" s="20">
        <v>46086.0</v>
      </c>
      <c r="B50" s="6" t="s">
        <v>264</v>
      </c>
      <c r="C50" s="6" t="s">
        <v>260</v>
      </c>
    </row>
    <row r="51">
      <c r="A51" s="20">
        <v>46086.0</v>
      </c>
      <c r="B51" s="6" t="s">
        <v>265</v>
      </c>
      <c r="C51" s="6" t="s">
        <v>260</v>
      </c>
      <c r="H51" s="6" t="s">
        <v>267</v>
      </c>
      <c r="I51" s="6" t="s">
        <v>268</v>
      </c>
    </row>
    <row r="52">
      <c r="A52" s="20">
        <v>46092.0</v>
      </c>
      <c r="B52" s="6" t="s">
        <v>270</v>
      </c>
      <c r="C52" s="6" t="s">
        <v>272</v>
      </c>
      <c r="D52" s="6" t="s">
        <v>273</v>
      </c>
      <c r="E52" s="6" t="s">
        <v>274</v>
      </c>
      <c r="F52" s="6" t="s">
        <v>277</v>
      </c>
      <c r="G52" s="6" t="s">
        <v>280</v>
      </c>
      <c r="H52" s="6" t="s">
        <v>282</v>
      </c>
      <c r="I52" s="6" t="s">
        <v>285</v>
      </c>
    </row>
    <row r="53">
      <c r="A53" s="20">
        <v>46094.0</v>
      </c>
      <c r="B53" s="6" t="s">
        <v>288</v>
      </c>
      <c r="C53" s="6" t="s">
        <v>289</v>
      </c>
      <c r="H53" s="6" t="s">
        <v>291</v>
      </c>
    </row>
    <row r="54">
      <c r="A54" s="20">
        <v>46164.0</v>
      </c>
      <c r="B54" s="6" t="s">
        <v>292</v>
      </c>
      <c r="D54" s="6" t="s">
        <v>294</v>
      </c>
      <c r="E54" s="6" t="s">
        <v>295</v>
      </c>
      <c r="H54" s="6" t="s">
        <v>296</v>
      </c>
      <c r="I54" s="6" t="s">
        <v>297</v>
      </c>
    </row>
    <row r="55">
      <c r="A55" s="20">
        <v>46170.0</v>
      </c>
      <c r="B55" s="6" t="s">
        <v>301</v>
      </c>
      <c r="C55" s="6" t="s">
        <v>304</v>
      </c>
      <c r="E55" s="6" t="s">
        <v>305</v>
      </c>
      <c r="F55" s="6" t="s">
        <v>306</v>
      </c>
      <c r="G55" s="6" t="s">
        <v>307</v>
      </c>
      <c r="H55" s="6">
        <v>7.0742666E8</v>
      </c>
      <c r="I55" s="6" t="s">
        <v>308</v>
      </c>
    </row>
    <row r="56">
      <c r="A56" s="20">
        <v>46174.0</v>
      </c>
      <c r="B56" s="6" t="s">
        <v>309</v>
      </c>
      <c r="C56" s="6" t="s">
        <v>310</v>
      </c>
      <c r="D56" s="6" t="s">
        <v>311</v>
      </c>
      <c r="E56" s="6" t="s">
        <v>312</v>
      </c>
      <c r="F56" s="6" t="s">
        <v>313</v>
      </c>
      <c r="G56" s="6" t="s">
        <v>314</v>
      </c>
      <c r="H56" s="6" t="s">
        <v>315</v>
      </c>
      <c r="I56" s="6" t="s">
        <v>316</v>
      </c>
    </row>
    <row r="57">
      <c r="A57" s="20">
        <v>46055.0</v>
      </c>
      <c r="B57" s="6" t="s">
        <v>318</v>
      </c>
      <c r="C57" s="6" t="s">
        <v>310</v>
      </c>
      <c r="D57" s="6" t="s">
        <v>319</v>
      </c>
      <c r="E57" s="6" t="s">
        <v>321</v>
      </c>
      <c r="G57" s="6" t="s">
        <v>314</v>
      </c>
      <c r="H57" s="6" t="s">
        <v>322</v>
      </c>
      <c r="I57" s="6" t="s">
        <v>323</v>
      </c>
    </row>
    <row r="58">
      <c r="A58" s="20">
        <v>46055.0</v>
      </c>
      <c r="B58" s="6" t="s">
        <v>325</v>
      </c>
      <c r="C58" s="6" t="s">
        <v>310</v>
      </c>
      <c r="D58" s="6" t="s">
        <v>326</v>
      </c>
      <c r="E58" s="6" t="s">
        <v>327</v>
      </c>
      <c r="F58" s="6" t="s">
        <v>329</v>
      </c>
      <c r="G58" s="6" t="s">
        <v>314</v>
      </c>
      <c r="H58" s="6" t="s">
        <v>330</v>
      </c>
      <c r="I58" s="6" t="s">
        <v>331</v>
      </c>
    </row>
    <row r="59">
      <c r="A59" s="20">
        <v>46176.0</v>
      </c>
      <c r="B59" s="6" t="s">
        <v>333</v>
      </c>
      <c r="C59" s="6" t="s">
        <v>334</v>
      </c>
      <c r="D59" s="6" t="s">
        <v>335</v>
      </c>
      <c r="E59" s="6" t="s">
        <v>336</v>
      </c>
      <c r="G59" s="6" t="s">
        <v>314</v>
      </c>
      <c r="H59" s="6" t="s">
        <v>337</v>
      </c>
      <c r="I59" s="6" t="s">
        <v>338</v>
      </c>
      <c r="K59" s="6" t="s">
        <v>339</v>
      </c>
      <c r="L59" s="6" t="s">
        <v>340</v>
      </c>
    </row>
    <row r="60">
      <c r="A60" s="20">
        <v>46176.0</v>
      </c>
      <c r="B60" s="6" t="s">
        <v>347</v>
      </c>
      <c r="C60" s="6" t="s">
        <v>349</v>
      </c>
      <c r="D60" s="6" t="s">
        <v>351</v>
      </c>
      <c r="E60" s="6" t="s">
        <v>353</v>
      </c>
      <c r="F60" s="6" t="s">
        <v>356</v>
      </c>
      <c r="G60" s="6" t="s">
        <v>359</v>
      </c>
      <c r="H60" s="6" t="s">
        <v>363</v>
      </c>
      <c r="I60" s="6" t="s">
        <v>365</v>
      </c>
      <c r="K60" s="6" t="s">
        <v>366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25"/>
    <col customWidth="1" min="3" max="3" width="15.13"/>
  </cols>
  <sheetData>
    <row r="1">
      <c r="A1" s="3" t="s">
        <v>800</v>
      </c>
      <c r="B1" s="3" t="s">
        <v>804</v>
      </c>
      <c r="C1" s="3" t="s">
        <v>805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3" max="3" width="29.13"/>
    <col customWidth="1" min="8" max="8" width="6.0"/>
    <col customWidth="1" min="10" max="11" width="8.63"/>
    <col customWidth="1" min="12" max="12" width="36.88"/>
  </cols>
  <sheetData>
    <row r="1">
      <c r="A1" s="6" t="s">
        <v>838</v>
      </c>
      <c r="B1" s="6" t="s">
        <v>839</v>
      </c>
      <c r="C1" s="6" t="s">
        <v>840</v>
      </c>
      <c r="D1" s="6" t="s">
        <v>841</v>
      </c>
      <c r="E1" s="6" t="s">
        <v>843</v>
      </c>
      <c r="F1" s="6" t="s">
        <v>844</v>
      </c>
      <c r="G1" s="6" t="s">
        <v>847</v>
      </c>
      <c r="H1" s="6" t="s">
        <v>850</v>
      </c>
      <c r="I1" s="6" t="s">
        <v>851</v>
      </c>
      <c r="J1" s="6" t="s">
        <v>34</v>
      </c>
      <c r="K1" s="6" t="s">
        <v>854</v>
      </c>
      <c r="L1" s="6" t="s">
        <v>21</v>
      </c>
    </row>
    <row r="2">
      <c r="A2" s="6">
        <v>1.0</v>
      </c>
      <c r="B2" s="6">
        <v>5.591025852E9</v>
      </c>
      <c r="C2" s="6" t="s">
        <v>856</v>
      </c>
      <c r="D2" s="6" t="s">
        <v>857</v>
      </c>
      <c r="F2" s="6">
        <v>41260.0</v>
      </c>
      <c r="G2" s="6" t="s">
        <v>281</v>
      </c>
      <c r="H2" s="6" t="s">
        <v>859</v>
      </c>
      <c r="I2" s="6" t="s">
        <v>860</v>
      </c>
      <c r="J2" s="6" t="b">
        <v>1</v>
      </c>
      <c r="K2" t="b">
        <v>0</v>
      </c>
    </row>
    <row r="3">
      <c r="A3" s="6">
        <v>2.0</v>
      </c>
      <c r="C3" s="6" t="s">
        <v>867</v>
      </c>
      <c r="D3" s="6" t="s">
        <v>869</v>
      </c>
      <c r="F3" s="6" t="s">
        <v>871</v>
      </c>
      <c r="G3" s="6" t="s">
        <v>872</v>
      </c>
      <c r="H3" s="6" t="s">
        <v>873</v>
      </c>
      <c r="I3" s="6" t="s">
        <v>874</v>
      </c>
      <c r="J3" s="6" t="b">
        <v>1</v>
      </c>
      <c r="K3" t="b">
        <v>0</v>
      </c>
    </row>
    <row r="4">
      <c r="A4" s="6">
        <v>3.0</v>
      </c>
      <c r="B4" s="6">
        <v>6.827593036E9</v>
      </c>
      <c r="C4" s="6" t="s">
        <v>342</v>
      </c>
      <c r="D4" s="6" t="s">
        <v>876</v>
      </c>
      <c r="F4" s="6" t="s">
        <v>871</v>
      </c>
      <c r="G4" s="6" t="s">
        <v>877</v>
      </c>
      <c r="H4" s="6" t="s">
        <v>873</v>
      </c>
      <c r="I4" s="6" t="s">
        <v>874</v>
      </c>
      <c r="J4" s="6" t="b">
        <v>1</v>
      </c>
      <c r="K4" t="b">
        <v>0</v>
      </c>
    </row>
    <row r="5" hidden="1">
      <c r="A5" s="6">
        <v>4.0</v>
      </c>
      <c r="B5" s="6">
        <v>3.0687388E7</v>
      </c>
      <c r="C5" s="6" t="s">
        <v>878</v>
      </c>
      <c r="D5" s="6" t="s">
        <v>879</v>
      </c>
      <c r="F5" s="6">
        <v>86706.0</v>
      </c>
      <c r="G5" s="6" t="s">
        <v>880</v>
      </c>
      <c r="H5" s="6" t="s">
        <v>881</v>
      </c>
      <c r="I5" s="6" t="s">
        <v>882</v>
      </c>
      <c r="J5" t="b">
        <v>0</v>
      </c>
      <c r="K5" t="b">
        <v>0</v>
      </c>
    </row>
    <row r="6" hidden="1">
      <c r="A6" s="6">
        <v>5.0</v>
      </c>
      <c r="B6" s="6">
        <v>5.561094532E9</v>
      </c>
      <c r="C6" s="6" t="s">
        <v>883</v>
      </c>
      <c r="D6" s="6" t="s">
        <v>884</v>
      </c>
      <c r="F6" s="6">
        <v>17543.0</v>
      </c>
      <c r="G6" s="6" t="s">
        <v>885</v>
      </c>
      <c r="H6" s="6" t="s">
        <v>859</v>
      </c>
      <c r="I6" s="6" t="s">
        <v>860</v>
      </c>
      <c r="J6" t="b">
        <v>0</v>
      </c>
      <c r="K6" t="b">
        <v>0</v>
      </c>
    </row>
    <row r="7" hidden="1">
      <c r="A7" s="6">
        <v>6.0</v>
      </c>
      <c r="C7" s="6" t="s">
        <v>890</v>
      </c>
      <c r="D7" s="6" t="s">
        <v>891</v>
      </c>
      <c r="F7" s="6">
        <v>40016.0</v>
      </c>
      <c r="G7" s="6" t="s">
        <v>281</v>
      </c>
      <c r="H7" s="6" t="s">
        <v>859</v>
      </c>
      <c r="I7" s="6" t="s">
        <v>860</v>
      </c>
      <c r="J7" t="b">
        <v>0</v>
      </c>
      <c r="K7" t="b">
        <v>0</v>
      </c>
    </row>
    <row r="8" hidden="1">
      <c r="A8" s="6">
        <v>7.0</v>
      </c>
      <c r="B8" s="6">
        <v>5.568170707E9</v>
      </c>
      <c r="C8" s="6" t="s">
        <v>897</v>
      </c>
      <c r="D8" s="6" t="s">
        <v>898</v>
      </c>
      <c r="F8" s="6">
        <v>47172.0</v>
      </c>
      <c r="G8" s="6" t="s">
        <v>900</v>
      </c>
      <c r="H8" s="6" t="s">
        <v>859</v>
      </c>
      <c r="I8" s="6" t="s">
        <v>860</v>
      </c>
      <c r="J8" t="b">
        <v>0</v>
      </c>
      <c r="K8" t="b">
        <v>0</v>
      </c>
    </row>
    <row r="9" hidden="1">
      <c r="A9" s="6">
        <v>8.0</v>
      </c>
      <c r="B9" s="6">
        <v>5.564300142E9</v>
      </c>
      <c r="C9" s="6" t="s">
        <v>902</v>
      </c>
      <c r="F9" s="6">
        <v>12386.0</v>
      </c>
      <c r="G9" s="6" t="s">
        <v>903</v>
      </c>
      <c r="H9" s="6" t="s">
        <v>859</v>
      </c>
      <c r="I9" s="6" t="s">
        <v>860</v>
      </c>
      <c r="J9" t="b">
        <v>0</v>
      </c>
      <c r="K9" t="b">
        <v>0</v>
      </c>
    </row>
    <row r="10">
      <c r="A10" s="6">
        <v>9.0</v>
      </c>
      <c r="B10" s="6">
        <v>5.562675164E9</v>
      </c>
      <c r="C10" s="6" t="s">
        <v>908</v>
      </c>
      <c r="D10" s="6" t="s">
        <v>910</v>
      </c>
      <c r="F10" s="6">
        <v>16494.0</v>
      </c>
      <c r="G10" s="6" t="s">
        <v>913</v>
      </c>
      <c r="H10" s="6" t="s">
        <v>859</v>
      </c>
      <c r="I10" s="6" t="s">
        <v>860</v>
      </c>
      <c r="J10" s="6" t="b">
        <v>1</v>
      </c>
      <c r="K10" t="b">
        <v>0</v>
      </c>
    </row>
    <row r="11" hidden="1">
      <c r="A11" s="6">
        <v>10.0</v>
      </c>
      <c r="B11" s="6">
        <v>5.569462129E9</v>
      </c>
      <c r="C11" s="6" t="s">
        <v>915</v>
      </c>
      <c r="D11" s="6" t="s">
        <v>916</v>
      </c>
      <c r="F11" s="6">
        <v>69450.0</v>
      </c>
      <c r="G11" s="6" t="s">
        <v>917</v>
      </c>
      <c r="H11" s="6" t="s">
        <v>859</v>
      </c>
      <c r="I11" s="6" t="s">
        <v>860</v>
      </c>
      <c r="J11" t="b">
        <v>0</v>
      </c>
      <c r="K11" t="b">
        <v>0</v>
      </c>
    </row>
    <row r="12" hidden="1">
      <c r="A12" s="6">
        <v>11.0</v>
      </c>
      <c r="B12" s="6">
        <v>5.568163637E9</v>
      </c>
      <c r="C12" s="6" t="s">
        <v>923</v>
      </c>
      <c r="D12" s="6" t="s">
        <v>925</v>
      </c>
      <c r="F12" s="6">
        <v>45175.0</v>
      </c>
      <c r="G12" s="6" t="s">
        <v>929</v>
      </c>
      <c r="H12" s="6" t="s">
        <v>859</v>
      </c>
      <c r="I12" s="6" t="s">
        <v>860</v>
      </c>
      <c r="J12" t="b">
        <v>0</v>
      </c>
      <c r="K12" t="b">
        <v>0</v>
      </c>
    </row>
    <row r="13">
      <c r="A13" s="6">
        <v>12.0</v>
      </c>
      <c r="B13" s="6">
        <v>5.566748066E9</v>
      </c>
      <c r="C13" s="6" t="s">
        <v>940</v>
      </c>
      <c r="D13" s="6" t="s">
        <v>941</v>
      </c>
      <c r="F13" s="6">
        <v>90422.0</v>
      </c>
      <c r="G13" s="6" t="s">
        <v>943</v>
      </c>
      <c r="H13" s="6" t="s">
        <v>859</v>
      </c>
      <c r="I13" s="6" t="s">
        <v>860</v>
      </c>
      <c r="J13" s="6" t="b">
        <v>1</v>
      </c>
      <c r="K13" t="b">
        <v>0</v>
      </c>
    </row>
    <row r="14" hidden="1">
      <c r="A14" s="6">
        <v>13.0</v>
      </c>
      <c r="B14" s="6">
        <v>9.69738248E9</v>
      </c>
      <c r="C14" s="6" t="s">
        <v>945</v>
      </c>
      <c r="D14" s="6" t="s">
        <v>947</v>
      </c>
      <c r="F14" s="6">
        <v>16347.0</v>
      </c>
      <c r="G14" s="6" t="s">
        <v>949</v>
      </c>
      <c r="H14" s="6" t="s">
        <v>859</v>
      </c>
      <c r="I14" s="6" t="s">
        <v>860</v>
      </c>
      <c r="J14" s="6" t="b">
        <v>0</v>
      </c>
      <c r="K14" t="b">
        <v>0</v>
      </c>
    </row>
    <row r="15" hidden="1">
      <c r="A15" s="6">
        <v>14.0</v>
      </c>
      <c r="B15" s="6">
        <v>5.56734304E9</v>
      </c>
      <c r="C15" s="6" t="s">
        <v>959</v>
      </c>
      <c r="D15" s="6" t="s">
        <v>961</v>
      </c>
      <c r="F15" s="6">
        <v>73425.0</v>
      </c>
      <c r="G15" s="6" t="s">
        <v>962</v>
      </c>
      <c r="H15" s="6" t="s">
        <v>859</v>
      </c>
      <c r="I15" s="6" t="s">
        <v>860</v>
      </c>
      <c r="J15" t="b">
        <v>0</v>
      </c>
      <c r="K15" t="b">
        <v>0</v>
      </c>
    </row>
    <row r="16">
      <c r="A16" s="6">
        <v>15.0</v>
      </c>
      <c r="B16" s="6">
        <v>5.567884415E9</v>
      </c>
      <c r="C16" s="6" t="s">
        <v>965</v>
      </c>
      <c r="D16" s="6" t="s">
        <v>540</v>
      </c>
      <c r="F16" s="6">
        <v>42836.0</v>
      </c>
      <c r="G16" s="6" t="s">
        <v>967</v>
      </c>
      <c r="H16" s="6" t="s">
        <v>859</v>
      </c>
      <c r="I16" s="6" t="s">
        <v>860</v>
      </c>
      <c r="J16" s="6" t="b">
        <v>1</v>
      </c>
      <c r="K16" t="b">
        <v>0</v>
      </c>
    </row>
    <row r="17" hidden="1">
      <c r="A17" s="6">
        <v>16.0</v>
      </c>
      <c r="B17" s="6">
        <v>6.708215055E9</v>
      </c>
      <c r="C17" s="6" t="s">
        <v>120</v>
      </c>
      <c r="D17" s="6" t="s">
        <v>124</v>
      </c>
      <c r="F17" s="6">
        <v>43974.0</v>
      </c>
      <c r="G17" s="6" t="s">
        <v>128</v>
      </c>
      <c r="J17" t="b">
        <v>0</v>
      </c>
      <c r="K17" t="b">
        <v>0</v>
      </c>
    </row>
    <row r="18">
      <c r="A18" s="6">
        <v>17.0</v>
      </c>
      <c r="B18" s="6">
        <v>5.56761496E9</v>
      </c>
      <c r="C18" s="6" t="s">
        <v>978</v>
      </c>
      <c r="D18" s="6" t="s">
        <v>980</v>
      </c>
      <c r="F18" s="6">
        <v>13124.0</v>
      </c>
      <c r="G18" s="6" t="s">
        <v>981</v>
      </c>
      <c r="H18" s="6" t="s">
        <v>859</v>
      </c>
      <c r="I18" s="6" t="s">
        <v>860</v>
      </c>
      <c r="J18" s="6" t="b">
        <v>1</v>
      </c>
      <c r="K18" t="b">
        <v>0</v>
      </c>
    </row>
    <row r="19" hidden="1">
      <c r="A19" s="6">
        <v>18.0</v>
      </c>
      <c r="B19" s="6">
        <v>5.020077862E9</v>
      </c>
      <c r="C19" s="6" t="s">
        <v>985</v>
      </c>
      <c r="F19" s="6">
        <v>10670.0</v>
      </c>
      <c r="G19" s="6" t="s">
        <v>989</v>
      </c>
      <c r="H19" s="6" t="s">
        <v>859</v>
      </c>
      <c r="I19" s="6" t="s">
        <v>860</v>
      </c>
      <c r="J19" t="b">
        <v>0</v>
      </c>
      <c r="K19" t="b">
        <v>0</v>
      </c>
    </row>
    <row r="20" hidden="1">
      <c r="A20" s="6">
        <v>19.0</v>
      </c>
      <c r="B20" s="6">
        <v>5.566103429E9</v>
      </c>
      <c r="C20" s="6" t="s">
        <v>994</v>
      </c>
      <c r="F20" s="6">
        <v>16981.0</v>
      </c>
      <c r="G20" s="6" t="s">
        <v>597</v>
      </c>
      <c r="J20" s="6" t="b">
        <v>0</v>
      </c>
      <c r="K20" t="b">
        <v>0</v>
      </c>
    </row>
    <row r="21" hidden="1">
      <c r="A21" s="6">
        <v>20.0</v>
      </c>
      <c r="B21" s="6">
        <v>5.164074709E9</v>
      </c>
      <c r="C21" s="6" t="s">
        <v>1003</v>
      </c>
      <c r="D21" s="6" t="s">
        <v>1006</v>
      </c>
      <c r="F21" s="6">
        <v>10123.0</v>
      </c>
      <c r="G21" s="6" t="s">
        <v>989</v>
      </c>
      <c r="H21" s="6" t="s">
        <v>859</v>
      </c>
      <c r="I21" s="6" t="s">
        <v>860</v>
      </c>
      <c r="J21" t="b">
        <v>0</v>
      </c>
      <c r="K21" t="b">
        <v>0</v>
      </c>
    </row>
    <row r="22" hidden="1">
      <c r="A22" s="6">
        <v>21.0</v>
      </c>
      <c r="B22" s="6">
        <v>8.024657119E9</v>
      </c>
      <c r="C22" s="6" t="s">
        <v>1009</v>
      </c>
      <c r="D22" s="6" t="s">
        <v>1010</v>
      </c>
      <c r="F22" s="6">
        <v>43908.0</v>
      </c>
      <c r="G22" s="6" t="s">
        <v>1011</v>
      </c>
      <c r="H22" s="6" t="s">
        <v>859</v>
      </c>
      <c r="I22" s="6" t="s">
        <v>860</v>
      </c>
      <c r="J22" t="b">
        <v>0</v>
      </c>
      <c r="K22" t="b">
        <v>0</v>
      </c>
    </row>
    <row r="23" hidden="1">
      <c r="A23" s="6">
        <v>22.0</v>
      </c>
      <c r="B23" s="6">
        <v>2.021006099E9</v>
      </c>
      <c r="C23" s="6" t="s">
        <v>1014</v>
      </c>
      <c r="F23" s="6">
        <v>70195.0</v>
      </c>
      <c r="G23" s="6" t="s">
        <v>698</v>
      </c>
      <c r="J23" t="b">
        <v>0</v>
      </c>
      <c r="K23" t="b">
        <v>0</v>
      </c>
    </row>
    <row r="24" hidden="1">
      <c r="A24" s="6">
        <v>23.0</v>
      </c>
      <c r="B24" s="6">
        <v>5.565185989E9</v>
      </c>
      <c r="C24" s="6" t="s">
        <v>1022</v>
      </c>
      <c r="D24" s="6" t="s">
        <v>1023</v>
      </c>
      <c r="F24" s="6">
        <v>40092.0</v>
      </c>
      <c r="G24" s="6" t="s">
        <v>1027</v>
      </c>
      <c r="H24" s="6" t="s">
        <v>859</v>
      </c>
      <c r="I24" s="6" t="s">
        <v>860</v>
      </c>
      <c r="J24" t="b">
        <v>0</v>
      </c>
      <c r="K24" t="b">
        <v>0</v>
      </c>
    </row>
    <row r="25" hidden="1">
      <c r="A25" s="6">
        <v>24.0</v>
      </c>
      <c r="C25" s="6" t="s">
        <v>1034</v>
      </c>
      <c r="D25" s="6" t="s">
        <v>1035</v>
      </c>
      <c r="F25" s="6" t="s">
        <v>1037</v>
      </c>
      <c r="G25" s="6" t="s">
        <v>1039</v>
      </c>
      <c r="H25" s="6" t="s">
        <v>1041</v>
      </c>
      <c r="I25" s="6" t="s">
        <v>1042</v>
      </c>
      <c r="J25" t="b">
        <v>0</v>
      </c>
      <c r="K25" t="b">
        <v>0</v>
      </c>
    </row>
    <row r="26" hidden="1">
      <c r="A26" s="6">
        <v>25.0</v>
      </c>
      <c r="B26" s="6">
        <v>5.565861472E9</v>
      </c>
      <c r="C26" s="6" t="s">
        <v>1044</v>
      </c>
      <c r="D26" s="6" t="s">
        <v>1045</v>
      </c>
      <c r="F26" s="6">
        <v>43137.0</v>
      </c>
      <c r="G26" s="6" t="s">
        <v>1047</v>
      </c>
      <c r="H26" s="6" t="s">
        <v>859</v>
      </c>
      <c r="I26" s="6" t="s">
        <v>860</v>
      </c>
      <c r="J26" t="b">
        <v>0</v>
      </c>
      <c r="K26" t="b">
        <v>0</v>
      </c>
    </row>
    <row r="27" hidden="1">
      <c r="A27" s="6">
        <v>26.0</v>
      </c>
      <c r="B27" s="6">
        <v>5.566307806E9</v>
      </c>
      <c r="C27" s="6" t="s">
        <v>1051</v>
      </c>
      <c r="D27" s="6" t="s">
        <v>1052</v>
      </c>
      <c r="F27" s="6">
        <v>37134.0</v>
      </c>
      <c r="G27" s="6" t="s">
        <v>1054</v>
      </c>
      <c r="H27" s="6" t="s">
        <v>859</v>
      </c>
      <c r="I27" s="6" t="s">
        <v>860</v>
      </c>
      <c r="J27" t="b">
        <v>0</v>
      </c>
      <c r="K27" t="b">
        <v>0</v>
      </c>
    </row>
    <row r="28" hidden="1">
      <c r="A28" s="6">
        <v>27.0</v>
      </c>
      <c r="B28" s="6">
        <v>5.569889743E9</v>
      </c>
      <c r="C28" s="6" t="s">
        <v>1061</v>
      </c>
      <c r="D28" s="6" t="s">
        <v>1064</v>
      </c>
      <c r="F28" s="6">
        <v>55303.0</v>
      </c>
      <c r="G28" s="6" t="s">
        <v>1066</v>
      </c>
      <c r="H28" s="6" t="s">
        <v>859</v>
      </c>
      <c r="I28" s="6" t="s">
        <v>860</v>
      </c>
      <c r="J28" t="b">
        <v>0</v>
      </c>
      <c r="K28" t="b">
        <v>0</v>
      </c>
    </row>
    <row r="29">
      <c r="A29" s="6">
        <v>28.0</v>
      </c>
      <c r="B29" s="6">
        <v>5.564696291E9</v>
      </c>
      <c r="C29" s="6" t="s">
        <v>1069</v>
      </c>
      <c r="D29" s="6" t="s">
        <v>1070</v>
      </c>
      <c r="F29" s="6">
        <v>35106.0</v>
      </c>
      <c r="G29" s="6" t="s">
        <v>1071</v>
      </c>
      <c r="H29" s="6" t="s">
        <v>859</v>
      </c>
      <c r="I29" s="6" t="s">
        <v>860</v>
      </c>
      <c r="J29" s="6" t="b">
        <v>1</v>
      </c>
      <c r="K29" t="b">
        <v>0</v>
      </c>
    </row>
    <row r="30" hidden="1">
      <c r="A30" s="6">
        <v>29.0</v>
      </c>
      <c r="B30" s="6">
        <v>5.702133215E9</v>
      </c>
      <c r="C30" s="6" t="s">
        <v>475</v>
      </c>
      <c r="D30" s="6" t="s">
        <v>1074</v>
      </c>
      <c r="F30" s="6">
        <v>62261.0</v>
      </c>
      <c r="G30" s="6" t="s">
        <v>1075</v>
      </c>
      <c r="H30" s="6" t="s">
        <v>859</v>
      </c>
      <c r="I30" s="6" t="s">
        <v>860</v>
      </c>
      <c r="J30" t="b">
        <v>0</v>
      </c>
      <c r="K30" t="b">
        <v>0</v>
      </c>
    </row>
    <row r="31" hidden="1">
      <c r="A31" s="6">
        <v>30.0</v>
      </c>
      <c r="B31" s="6">
        <v>9.112031019E9</v>
      </c>
      <c r="C31" s="6" t="s">
        <v>1081</v>
      </c>
      <c r="D31" s="6" t="s">
        <v>1083</v>
      </c>
      <c r="F31" s="6">
        <v>79430.0</v>
      </c>
      <c r="G31" s="6" t="s">
        <v>1085</v>
      </c>
      <c r="H31" s="6" t="s">
        <v>859</v>
      </c>
      <c r="I31" s="6" t="s">
        <v>860</v>
      </c>
      <c r="J31" t="b">
        <v>0</v>
      </c>
      <c r="K31" t="b">
        <v>0</v>
      </c>
    </row>
    <row r="32" hidden="1">
      <c r="A32" s="6">
        <v>31.0</v>
      </c>
      <c r="B32" s="6">
        <v>5.567977888E9</v>
      </c>
      <c r="C32" s="6" t="s">
        <v>1094</v>
      </c>
      <c r="D32" s="6" t="s">
        <v>1095</v>
      </c>
      <c r="F32" s="6">
        <v>41672.0</v>
      </c>
      <c r="G32" s="6" t="s">
        <v>1027</v>
      </c>
      <c r="H32" s="6" t="s">
        <v>859</v>
      </c>
      <c r="I32" s="6" t="s">
        <v>860</v>
      </c>
      <c r="J32" t="b">
        <v>0</v>
      </c>
      <c r="K32" t="b">
        <v>0</v>
      </c>
    </row>
    <row r="33" hidden="1">
      <c r="A33" s="6">
        <v>32.0</v>
      </c>
      <c r="B33" s="6">
        <v>5.569340424E9</v>
      </c>
      <c r="C33" s="6" t="s">
        <v>1100</v>
      </c>
      <c r="D33" s="6" t="s">
        <v>1101</v>
      </c>
      <c r="F33" s="6">
        <v>21134.0</v>
      </c>
      <c r="G33" s="6" t="s">
        <v>1108</v>
      </c>
      <c r="H33" s="6" t="s">
        <v>859</v>
      </c>
      <c r="I33" s="6" t="s">
        <v>860</v>
      </c>
      <c r="J33" t="b">
        <v>0</v>
      </c>
      <c r="K33" t="b">
        <v>0</v>
      </c>
    </row>
    <row r="34" hidden="1">
      <c r="A34" s="6">
        <v>33.0</v>
      </c>
      <c r="B34" s="6">
        <v>5.590054523E9</v>
      </c>
      <c r="C34" s="6" t="s">
        <v>1111</v>
      </c>
      <c r="D34" s="6" t="s">
        <v>278</v>
      </c>
      <c r="F34" s="6">
        <v>41474.0</v>
      </c>
      <c r="G34" s="6" t="s">
        <v>1027</v>
      </c>
      <c r="H34" s="6" t="s">
        <v>859</v>
      </c>
      <c r="I34" s="6" t="s">
        <v>860</v>
      </c>
      <c r="J34" t="b">
        <v>0</v>
      </c>
      <c r="K34" t="b">
        <v>0</v>
      </c>
    </row>
    <row r="35" hidden="1">
      <c r="A35" s="6">
        <v>34.0</v>
      </c>
      <c r="B35" s="6">
        <v>5.164029257E9</v>
      </c>
      <c r="C35" s="6" t="s">
        <v>1115</v>
      </c>
      <c r="D35" s="6" t="s">
        <v>1117</v>
      </c>
      <c r="F35" s="6">
        <v>19045.0</v>
      </c>
      <c r="G35" s="6" t="s">
        <v>1120</v>
      </c>
      <c r="H35" s="6" t="s">
        <v>859</v>
      </c>
      <c r="I35" s="6" t="s">
        <v>860</v>
      </c>
      <c r="J35" t="b">
        <v>0</v>
      </c>
      <c r="K35" t="b">
        <v>0</v>
      </c>
    </row>
    <row r="36">
      <c r="A36" s="6">
        <v>35.0</v>
      </c>
      <c r="B36" s="6">
        <v>5.590429386E9</v>
      </c>
      <c r="C36" s="6" t="s">
        <v>1131</v>
      </c>
      <c r="D36" s="6" t="s">
        <v>355</v>
      </c>
      <c r="F36" s="6">
        <v>21363.0</v>
      </c>
      <c r="G36" s="6" t="s">
        <v>1108</v>
      </c>
      <c r="H36" s="6" t="s">
        <v>859</v>
      </c>
      <c r="I36" s="6" t="s">
        <v>860</v>
      </c>
      <c r="J36" s="6" t="b">
        <v>1</v>
      </c>
      <c r="K36" t="b">
        <v>0</v>
      </c>
    </row>
    <row r="37" hidden="1">
      <c r="A37" s="6">
        <v>36.0</v>
      </c>
      <c r="B37" s="6">
        <v>5.564306578E9</v>
      </c>
      <c r="C37" s="6" t="s">
        <v>1135</v>
      </c>
      <c r="D37" s="6" t="s">
        <v>1136</v>
      </c>
      <c r="F37" s="6">
        <v>41451.0</v>
      </c>
      <c r="G37" s="6" t="s">
        <v>1027</v>
      </c>
      <c r="H37" s="6" t="s">
        <v>859</v>
      </c>
      <c r="I37" s="6" t="s">
        <v>860</v>
      </c>
      <c r="J37" t="b">
        <v>0</v>
      </c>
      <c r="K37" t="b">
        <v>0</v>
      </c>
    </row>
    <row r="38" hidden="1">
      <c r="A38" s="6">
        <v>37.0</v>
      </c>
      <c r="B38" s="6">
        <v>5.566881974E9</v>
      </c>
      <c r="C38" s="6" t="s">
        <v>1143</v>
      </c>
      <c r="D38" s="6" t="s">
        <v>1145</v>
      </c>
      <c r="F38" s="6">
        <v>70220.0</v>
      </c>
      <c r="G38" s="6" t="s">
        <v>1147</v>
      </c>
      <c r="H38" s="6" t="s">
        <v>859</v>
      </c>
      <c r="I38" s="6" t="s">
        <v>860</v>
      </c>
      <c r="J38" t="b">
        <v>0</v>
      </c>
      <c r="K38" t="b">
        <v>0</v>
      </c>
    </row>
    <row r="39" hidden="1">
      <c r="A39" s="6">
        <v>38.0</v>
      </c>
      <c r="B39" s="6">
        <v>5.590212543E9</v>
      </c>
      <c r="C39" s="6" t="s">
        <v>1150</v>
      </c>
      <c r="D39" s="6" t="s">
        <v>1151</v>
      </c>
      <c r="F39" s="6">
        <v>19637.0</v>
      </c>
      <c r="G39" s="6" t="s">
        <v>1152</v>
      </c>
      <c r="H39" s="6" t="s">
        <v>859</v>
      </c>
      <c r="I39" s="6" t="s">
        <v>860</v>
      </c>
      <c r="J39" t="b">
        <v>0</v>
      </c>
      <c r="K39" t="b">
        <v>0</v>
      </c>
    </row>
    <row r="40" hidden="1">
      <c r="A40" s="6">
        <v>39.0</v>
      </c>
      <c r="B40" s="6">
        <v>5.568752959E9</v>
      </c>
      <c r="C40" s="6" t="s">
        <v>1158</v>
      </c>
      <c r="D40" s="6" t="s">
        <v>1159</v>
      </c>
      <c r="F40" s="6">
        <v>30256.0</v>
      </c>
      <c r="G40" s="6" t="s">
        <v>1160</v>
      </c>
      <c r="H40" s="6" t="s">
        <v>859</v>
      </c>
      <c r="I40" s="6" t="s">
        <v>860</v>
      </c>
      <c r="J40" t="b">
        <v>0</v>
      </c>
      <c r="K40" t="b">
        <v>0</v>
      </c>
    </row>
    <row r="41" hidden="1">
      <c r="A41" s="6">
        <v>40.0</v>
      </c>
      <c r="B41" s="6">
        <v>5.566081716E9</v>
      </c>
      <c r="C41" s="6" t="s">
        <v>1166</v>
      </c>
      <c r="D41" s="6" t="s">
        <v>1167</v>
      </c>
      <c r="F41" s="6">
        <v>40315.0</v>
      </c>
      <c r="G41" s="6" t="s">
        <v>1027</v>
      </c>
      <c r="H41" s="6" t="s">
        <v>859</v>
      </c>
      <c r="I41" s="6" t="s">
        <v>860</v>
      </c>
      <c r="J41" t="b">
        <v>0</v>
      </c>
      <c r="K41" t="b">
        <v>0</v>
      </c>
    </row>
    <row r="42" hidden="1">
      <c r="A42" s="6">
        <v>41.0</v>
      </c>
      <c r="B42" s="6" t="s">
        <v>1172</v>
      </c>
      <c r="C42" s="6" t="s">
        <v>1173</v>
      </c>
      <c r="D42" s="6" t="s">
        <v>1174</v>
      </c>
      <c r="F42" s="6" t="s">
        <v>1175</v>
      </c>
      <c r="G42" s="6" t="s">
        <v>1176</v>
      </c>
      <c r="H42" s="6" t="s">
        <v>881</v>
      </c>
      <c r="I42" s="6" t="s">
        <v>882</v>
      </c>
      <c r="J42" t="b">
        <v>0</v>
      </c>
      <c r="K42" t="b">
        <v>0</v>
      </c>
    </row>
    <row r="43" hidden="1">
      <c r="A43" s="6">
        <v>42.0</v>
      </c>
      <c r="C43" s="6" t="s">
        <v>1178</v>
      </c>
      <c r="J43" t="b">
        <v>0</v>
      </c>
      <c r="K43" t="b">
        <v>0</v>
      </c>
    </row>
    <row r="44" hidden="1">
      <c r="A44" s="6">
        <v>43.0</v>
      </c>
      <c r="B44" s="6">
        <v>5.56118104E9</v>
      </c>
      <c r="C44" s="6" t="s">
        <v>1182</v>
      </c>
      <c r="D44" s="6" t="s">
        <v>1183</v>
      </c>
      <c r="F44" s="6">
        <v>13521.0</v>
      </c>
      <c r="G44" s="6" t="s">
        <v>1186</v>
      </c>
      <c r="H44" s="6" t="s">
        <v>859</v>
      </c>
      <c r="I44" s="6" t="s">
        <v>860</v>
      </c>
      <c r="J44" t="b">
        <v>0</v>
      </c>
      <c r="K44" t="b">
        <v>0</v>
      </c>
    </row>
    <row r="45">
      <c r="A45" s="6">
        <v>44.0</v>
      </c>
      <c r="B45" s="6">
        <v>5.568871999E9</v>
      </c>
      <c r="C45" s="6" t="s">
        <v>1191</v>
      </c>
      <c r="D45" s="6" t="s">
        <v>1193</v>
      </c>
      <c r="F45" s="6">
        <v>10432.0</v>
      </c>
      <c r="G45" s="6" t="s">
        <v>989</v>
      </c>
      <c r="H45" s="6" t="s">
        <v>859</v>
      </c>
      <c r="I45" s="6" t="s">
        <v>860</v>
      </c>
      <c r="J45" s="6" t="b">
        <v>1</v>
      </c>
      <c r="K45" t="b">
        <v>0</v>
      </c>
    </row>
    <row r="46" hidden="1">
      <c r="A46" s="6">
        <v>45.0</v>
      </c>
      <c r="B46" s="6">
        <v>5.568399231E9</v>
      </c>
      <c r="C46" s="6" t="s">
        <v>1199</v>
      </c>
      <c r="D46" s="6" t="s">
        <v>1200</v>
      </c>
      <c r="F46" s="6">
        <v>10227.0</v>
      </c>
      <c r="G46" s="6" t="s">
        <v>989</v>
      </c>
      <c r="H46" s="6" t="s">
        <v>859</v>
      </c>
      <c r="I46" s="6" t="s">
        <v>860</v>
      </c>
      <c r="J46" t="b">
        <v>0</v>
      </c>
      <c r="K46" t="b">
        <v>0</v>
      </c>
    </row>
    <row r="47" hidden="1">
      <c r="A47" s="6">
        <v>46.0</v>
      </c>
      <c r="B47" s="6">
        <v>9.16850278E9</v>
      </c>
      <c r="C47" s="6" t="s">
        <v>1202</v>
      </c>
      <c r="D47" s="6" t="s">
        <v>1203</v>
      </c>
      <c r="F47" s="6">
        <v>41474.0</v>
      </c>
      <c r="G47" s="6" t="s">
        <v>1027</v>
      </c>
      <c r="H47" s="6" t="s">
        <v>859</v>
      </c>
      <c r="I47" s="6" t="s">
        <v>860</v>
      </c>
      <c r="J47" t="b">
        <v>0</v>
      </c>
      <c r="K47" t="b">
        <v>0</v>
      </c>
    </row>
    <row r="48" hidden="1">
      <c r="A48" s="6">
        <v>47.0</v>
      </c>
      <c r="B48" s="6">
        <v>8.504243992E9</v>
      </c>
      <c r="C48" s="6" t="s">
        <v>1213</v>
      </c>
      <c r="D48" s="6" t="s">
        <v>1216</v>
      </c>
      <c r="F48" s="6">
        <v>24322.0</v>
      </c>
      <c r="G48" s="6" t="s">
        <v>1220</v>
      </c>
      <c r="H48" s="6" t="s">
        <v>859</v>
      </c>
      <c r="I48" s="6" t="s">
        <v>860</v>
      </c>
      <c r="J48" t="b">
        <v>0</v>
      </c>
      <c r="K48" t="b">
        <v>0</v>
      </c>
    </row>
    <row r="49" hidden="1">
      <c r="A49" s="6">
        <v>48.0</v>
      </c>
      <c r="B49" s="6">
        <v>5.562332592E9</v>
      </c>
      <c r="C49" s="6" t="s">
        <v>1227</v>
      </c>
      <c r="D49" s="6" t="s">
        <v>1229</v>
      </c>
      <c r="F49" s="6">
        <v>72594.0</v>
      </c>
      <c r="G49" s="6" t="s">
        <v>1231</v>
      </c>
      <c r="H49" s="6" t="s">
        <v>859</v>
      </c>
      <c r="I49" s="6" t="s">
        <v>860</v>
      </c>
      <c r="J49" t="b">
        <v>0</v>
      </c>
      <c r="K49" t="b">
        <v>0</v>
      </c>
    </row>
    <row r="50" hidden="1">
      <c r="A50" s="6">
        <v>49.0</v>
      </c>
      <c r="B50" s="6">
        <v>5.5678809E9</v>
      </c>
      <c r="C50" s="6" t="s">
        <v>1232</v>
      </c>
      <c r="D50" s="6" t="s">
        <v>1233</v>
      </c>
      <c r="F50" s="6">
        <v>40022.0</v>
      </c>
      <c r="G50" s="6" t="s">
        <v>1027</v>
      </c>
      <c r="H50" s="6" t="s">
        <v>859</v>
      </c>
      <c r="I50" s="6" t="s">
        <v>860</v>
      </c>
      <c r="J50" t="b">
        <v>0</v>
      </c>
      <c r="K50" t="b">
        <v>0</v>
      </c>
    </row>
    <row r="51" hidden="1">
      <c r="A51" s="6">
        <v>50.0</v>
      </c>
      <c r="B51" s="6">
        <v>5.560530841E9</v>
      </c>
      <c r="C51" s="6" t="s">
        <v>1239</v>
      </c>
      <c r="F51" s="6">
        <v>10635.0</v>
      </c>
      <c r="G51" s="6" t="s">
        <v>989</v>
      </c>
      <c r="H51" s="6" t="s">
        <v>859</v>
      </c>
      <c r="I51" s="6" t="s">
        <v>860</v>
      </c>
      <c r="J51" t="b">
        <v>0</v>
      </c>
      <c r="K51" t="b">
        <v>0</v>
      </c>
    </row>
    <row r="52" hidden="1">
      <c r="A52" s="6">
        <v>51.0</v>
      </c>
      <c r="B52" s="6">
        <v>5.564763562E9</v>
      </c>
      <c r="C52" s="6" t="s">
        <v>1246</v>
      </c>
      <c r="D52" s="6" t="s">
        <v>1247</v>
      </c>
      <c r="F52" s="6">
        <v>11136.0</v>
      </c>
      <c r="G52" s="6" t="s">
        <v>989</v>
      </c>
      <c r="H52" s="6" t="s">
        <v>859</v>
      </c>
      <c r="I52" s="6" t="s">
        <v>860</v>
      </c>
      <c r="J52" t="b">
        <v>0</v>
      </c>
      <c r="K52" t="b">
        <v>0</v>
      </c>
    </row>
    <row r="53">
      <c r="A53" s="6">
        <v>52.0</v>
      </c>
      <c r="B53" s="6">
        <v>5.565724696E9</v>
      </c>
      <c r="C53" s="6" t="s">
        <v>1252</v>
      </c>
      <c r="D53" s="6" t="s">
        <v>1254</v>
      </c>
      <c r="F53" s="6">
        <v>40120.0</v>
      </c>
      <c r="G53" s="6" t="s">
        <v>1027</v>
      </c>
      <c r="H53" s="6" t="s">
        <v>859</v>
      </c>
      <c r="I53" s="6" t="s">
        <v>860</v>
      </c>
      <c r="J53" s="6" t="b">
        <v>1</v>
      </c>
      <c r="K53" t="b">
        <v>0</v>
      </c>
    </row>
    <row r="54" hidden="1">
      <c r="A54" s="6">
        <v>53.0</v>
      </c>
      <c r="B54" s="6">
        <v>5.566784624E9</v>
      </c>
      <c r="C54" s="6" t="s">
        <v>1266</v>
      </c>
      <c r="D54" s="6" t="s">
        <v>1267</v>
      </c>
      <c r="F54" s="6">
        <v>21111.0</v>
      </c>
      <c r="G54" s="6" t="s">
        <v>1108</v>
      </c>
      <c r="H54" s="6" t="s">
        <v>859</v>
      </c>
      <c r="I54" s="6" t="s">
        <v>860</v>
      </c>
      <c r="J54" t="b">
        <v>0</v>
      </c>
      <c r="K54" t="b">
        <v>0</v>
      </c>
    </row>
    <row r="55">
      <c r="A55" s="6">
        <v>54.0</v>
      </c>
      <c r="B55" s="6">
        <v>5.567115695E9</v>
      </c>
      <c r="C55" s="6" t="s">
        <v>1269</v>
      </c>
      <c r="D55" s="6" t="s">
        <v>1271</v>
      </c>
      <c r="F55" s="6">
        <v>10500.0</v>
      </c>
      <c r="G55" s="6" t="s">
        <v>989</v>
      </c>
      <c r="H55" s="6" t="s">
        <v>859</v>
      </c>
      <c r="I55" s="6" t="s">
        <v>860</v>
      </c>
      <c r="J55" s="6" t="b">
        <v>1</v>
      </c>
      <c r="K55" t="b">
        <v>0</v>
      </c>
    </row>
    <row r="56" hidden="1">
      <c r="A56" s="6">
        <v>55.0</v>
      </c>
      <c r="B56" s="6">
        <v>5.563626794E9</v>
      </c>
      <c r="C56" s="6" t="s">
        <v>1276</v>
      </c>
      <c r="D56" s="6" t="s">
        <v>1254</v>
      </c>
      <c r="F56" s="6">
        <v>40120.0</v>
      </c>
      <c r="G56" s="6" t="s">
        <v>1027</v>
      </c>
      <c r="H56" s="6" t="s">
        <v>859</v>
      </c>
      <c r="I56" s="6" t="s">
        <v>860</v>
      </c>
      <c r="J56" t="b">
        <v>0</v>
      </c>
      <c r="K56" t="b">
        <v>0</v>
      </c>
    </row>
    <row r="57" hidden="1">
      <c r="A57" s="6">
        <v>56.0</v>
      </c>
      <c r="B57" s="6">
        <v>2.021006099E9</v>
      </c>
      <c r="C57" s="6" t="s">
        <v>1285</v>
      </c>
      <c r="J57" t="b">
        <v>0</v>
      </c>
      <c r="K57" t="b">
        <v>0</v>
      </c>
    </row>
    <row r="58" hidden="1">
      <c r="A58" s="6">
        <v>57.0</v>
      </c>
      <c r="B58" s="6">
        <v>5.561194878E9</v>
      </c>
      <c r="C58" s="6" t="s">
        <v>1290</v>
      </c>
      <c r="D58" s="6" t="s">
        <v>1291</v>
      </c>
      <c r="F58" s="6">
        <v>40233.0</v>
      </c>
      <c r="G58" s="6" t="s">
        <v>1027</v>
      </c>
      <c r="H58" s="6" t="s">
        <v>859</v>
      </c>
      <c r="I58" s="6" t="s">
        <v>860</v>
      </c>
      <c r="J58" t="b">
        <v>0</v>
      </c>
      <c r="K58" t="b">
        <v>0</v>
      </c>
    </row>
    <row r="59" hidden="1">
      <c r="A59" s="6">
        <v>58.0</v>
      </c>
      <c r="B59" s="6">
        <v>5.567293666E9</v>
      </c>
      <c r="C59" s="6" t="s">
        <v>1298</v>
      </c>
      <c r="D59" s="6" t="s">
        <v>1300</v>
      </c>
      <c r="F59" s="6">
        <v>42837.0</v>
      </c>
      <c r="G59" s="6" t="s">
        <v>967</v>
      </c>
      <c r="H59" s="6" t="s">
        <v>859</v>
      </c>
      <c r="I59" s="6" t="s">
        <v>860</v>
      </c>
      <c r="J59" t="b">
        <v>0</v>
      </c>
      <c r="K59" t="b">
        <v>0</v>
      </c>
    </row>
    <row r="60" hidden="1">
      <c r="A60" s="6">
        <v>59.0</v>
      </c>
      <c r="B60" s="6">
        <v>5.563041283E9</v>
      </c>
      <c r="C60" s="6" t="s">
        <v>1312</v>
      </c>
      <c r="D60" s="6" t="s">
        <v>1313</v>
      </c>
      <c r="F60" s="6">
        <v>41474.0</v>
      </c>
      <c r="G60" s="6" t="s">
        <v>1027</v>
      </c>
      <c r="H60" s="6" t="s">
        <v>859</v>
      </c>
      <c r="I60" s="6" t="s">
        <v>860</v>
      </c>
      <c r="J60" t="b">
        <v>0</v>
      </c>
      <c r="K60" t="b">
        <v>0</v>
      </c>
    </row>
    <row r="61">
      <c r="A61" s="6">
        <v>60.0</v>
      </c>
      <c r="B61" s="6">
        <v>5.560249558E9</v>
      </c>
      <c r="C61" s="6" t="s">
        <v>1318</v>
      </c>
      <c r="D61" s="6" t="s">
        <v>1320</v>
      </c>
      <c r="F61" s="6">
        <v>16903.0</v>
      </c>
      <c r="G61" s="6" t="s">
        <v>1322</v>
      </c>
      <c r="H61" s="6" t="s">
        <v>859</v>
      </c>
      <c r="I61" s="6" t="s">
        <v>860</v>
      </c>
      <c r="J61" s="6" t="b">
        <v>1</v>
      </c>
      <c r="K61" t="b">
        <v>0</v>
      </c>
    </row>
    <row r="62" hidden="1">
      <c r="A62" s="6">
        <v>61.0</v>
      </c>
      <c r="B62" s="6">
        <v>5.591162697E9</v>
      </c>
      <c r="C62" s="6" t="s">
        <v>1331</v>
      </c>
      <c r="D62" s="6" t="s">
        <v>1332</v>
      </c>
      <c r="E62" s="6" t="s">
        <v>1333</v>
      </c>
      <c r="F62" s="6">
        <v>36593.0</v>
      </c>
      <c r="G62" s="6" t="s">
        <v>1336</v>
      </c>
      <c r="H62" s="6" t="s">
        <v>859</v>
      </c>
      <c r="I62" s="6" t="s">
        <v>860</v>
      </c>
      <c r="J62" t="b">
        <v>0</v>
      </c>
      <c r="K62" t="b">
        <v>0</v>
      </c>
    </row>
    <row r="63" hidden="1">
      <c r="A63" s="6">
        <v>62.0</v>
      </c>
      <c r="B63" s="6">
        <v>5.568204779E9</v>
      </c>
      <c r="C63" s="6" t="s">
        <v>208</v>
      </c>
      <c r="D63" s="6" t="s">
        <v>211</v>
      </c>
      <c r="F63" s="6">
        <v>26030.0</v>
      </c>
      <c r="G63" s="6" t="s">
        <v>1346</v>
      </c>
      <c r="H63" s="6" t="s">
        <v>859</v>
      </c>
      <c r="I63" s="6" t="s">
        <v>860</v>
      </c>
      <c r="J63" t="b">
        <v>0</v>
      </c>
      <c r="K63" t="b">
        <v>0</v>
      </c>
    </row>
    <row r="64" hidden="1">
      <c r="A64" s="6">
        <v>63.0</v>
      </c>
      <c r="B64" s="6">
        <v>5.569303471E9</v>
      </c>
      <c r="C64" s="6" t="s">
        <v>142</v>
      </c>
      <c r="D64" s="6" t="s">
        <v>1349</v>
      </c>
      <c r="F64" s="6">
        <v>55302.0</v>
      </c>
      <c r="G64" s="6" t="s">
        <v>1066</v>
      </c>
      <c r="H64" s="6" t="s">
        <v>859</v>
      </c>
      <c r="I64" s="6" t="s">
        <v>860</v>
      </c>
      <c r="J64" t="b">
        <v>0</v>
      </c>
      <c r="K64" t="b">
        <v>0</v>
      </c>
    </row>
    <row r="65" hidden="1">
      <c r="A65" s="6">
        <v>64.0</v>
      </c>
      <c r="B65" s="6">
        <v>5.5621023E9</v>
      </c>
      <c r="C65" s="6" t="s">
        <v>1355</v>
      </c>
      <c r="D65" s="6" t="s">
        <v>1356</v>
      </c>
      <c r="F65" s="6">
        <v>30231.0</v>
      </c>
      <c r="G65" s="6" t="s">
        <v>1160</v>
      </c>
      <c r="H65" s="6" t="s">
        <v>859</v>
      </c>
      <c r="I65" s="6" t="s">
        <v>860</v>
      </c>
      <c r="J65" t="b">
        <v>0</v>
      </c>
      <c r="K65" t="b">
        <v>0</v>
      </c>
    </row>
    <row r="66" hidden="1">
      <c r="A66" s="6">
        <v>65.0</v>
      </c>
      <c r="B66" s="6">
        <v>5.409111811E9</v>
      </c>
      <c r="C66" s="6" t="s">
        <v>1358</v>
      </c>
      <c r="D66" s="6" t="s">
        <v>1359</v>
      </c>
      <c r="F66" s="6">
        <v>43645.0</v>
      </c>
      <c r="G66" s="6" t="s">
        <v>1360</v>
      </c>
      <c r="J66" t="b">
        <v>0</v>
      </c>
      <c r="K66" t="b">
        <v>0</v>
      </c>
    </row>
    <row r="67" hidden="1">
      <c r="A67" s="6">
        <v>66.0</v>
      </c>
      <c r="B67" s="6">
        <v>5.562443951E9</v>
      </c>
      <c r="C67" s="6" t="s">
        <v>1367</v>
      </c>
      <c r="D67" s="6" t="s">
        <v>1368</v>
      </c>
      <c r="F67" s="6">
        <v>93180.0</v>
      </c>
      <c r="G67" s="6" t="s">
        <v>1369</v>
      </c>
      <c r="H67" s="6" t="s">
        <v>859</v>
      </c>
      <c r="I67" s="6" t="s">
        <v>860</v>
      </c>
      <c r="J67" s="6" t="b">
        <v>0</v>
      </c>
      <c r="K67" t="b">
        <v>0</v>
      </c>
    </row>
    <row r="68">
      <c r="A68" s="6">
        <v>67.0</v>
      </c>
      <c r="C68" s="6" t="s">
        <v>1370</v>
      </c>
      <c r="D68" s="6" t="s">
        <v>1371</v>
      </c>
      <c r="E68" s="6" t="s">
        <v>1372</v>
      </c>
      <c r="F68" s="6" t="s">
        <v>1373</v>
      </c>
      <c r="G68" s="6" t="s">
        <v>1374</v>
      </c>
      <c r="H68" s="6" t="s">
        <v>1041</v>
      </c>
      <c r="I68" s="6" t="s">
        <v>1042</v>
      </c>
      <c r="J68" s="6" t="b">
        <v>1</v>
      </c>
      <c r="K68" t="b">
        <v>0</v>
      </c>
    </row>
    <row r="69" hidden="1">
      <c r="A69" s="6">
        <v>68.0</v>
      </c>
      <c r="B69" s="6">
        <v>5.567887038E9</v>
      </c>
      <c r="C69" s="6" t="s">
        <v>1378</v>
      </c>
      <c r="D69" s="6" t="s">
        <v>1380</v>
      </c>
      <c r="F69" s="6">
        <v>13440.0</v>
      </c>
      <c r="G69" s="6" t="s">
        <v>1384</v>
      </c>
      <c r="H69" s="6" t="s">
        <v>859</v>
      </c>
      <c r="I69" s="6" t="s">
        <v>860</v>
      </c>
      <c r="J69" t="b">
        <v>0</v>
      </c>
      <c r="K69" t="b">
        <v>0</v>
      </c>
    </row>
    <row r="70">
      <c r="A70" s="6">
        <v>69.0</v>
      </c>
      <c r="B70" s="6">
        <v>5.566314786E9</v>
      </c>
      <c r="C70" s="6" t="s">
        <v>1388</v>
      </c>
      <c r="D70" s="6" t="s">
        <v>1389</v>
      </c>
      <c r="F70" s="6">
        <v>41103.0</v>
      </c>
      <c r="G70" s="6" t="s">
        <v>1027</v>
      </c>
      <c r="H70" s="6" t="s">
        <v>859</v>
      </c>
      <c r="I70" s="6" t="s">
        <v>860</v>
      </c>
      <c r="J70" s="6" t="b">
        <v>1</v>
      </c>
      <c r="K70" t="b">
        <v>0</v>
      </c>
    </row>
    <row r="71" hidden="1">
      <c r="A71" s="6">
        <v>70.0</v>
      </c>
      <c r="B71" s="6">
        <v>5.569106973E9</v>
      </c>
      <c r="C71" s="6" t="s">
        <v>1394</v>
      </c>
      <c r="D71" s="6" t="s">
        <v>1395</v>
      </c>
      <c r="F71" s="6">
        <v>42150.0</v>
      </c>
      <c r="G71" s="6" t="s">
        <v>1397</v>
      </c>
      <c r="H71" s="6" t="s">
        <v>859</v>
      </c>
      <c r="I71" s="6" t="s">
        <v>860</v>
      </c>
      <c r="J71" t="b">
        <v>0</v>
      </c>
      <c r="K71" t="b">
        <v>0</v>
      </c>
    </row>
    <row r="72" hidden="1">
      <c r="A72" s="6">
        <v>71.0</v>
      </c>
      <c r="B72" s="6">
        <v>5.564732997E9</v>
      </c>
      <c r="C72" s="6" t="s">
        <v>1406</v>
      </c>
      <c r="D72" s="6" t="s">
        <v>1408</v>
      </c>
      <c r="F72" s="6">
        <v>41707.0</v>
      </c>
      <c r="G72" s="6" t="s">
        <v>1027</v>
      </c>
      <c r="H72" s="6" t="s">
        <v>859</v>
      </c>
      <c r="I72" s="6" t="s">
        <v>860</v>
      </c>
      <c r="J72" t="b">
        <v>0</v>
      </c>
      <c r="K72" t="b">
        <v>0</v>
      </c>
    </row>
    <row r="73" hidden="1">
      <c r="A73" s="6">
        <v>72.0</v>
      </c>
      <c r="B73" s="6">
        <v>5.562309004E9</v>
      </c>
      <c r="C73" s="6" t="s">
        <v>1417</v>
      </c>
      <c r="D73" s="6" t="s">
        <v>1418</v>
      </c>
      <c r="F73" s="6">
        <v>10064.0</v>
      </c>
      <c r="G73" s="6" t="s">
        <v>989</v>
      </c>
      <c r="H73" s="6" t="s">
        <v>859</v>
      </c>
      <c r="I73" s="6" t="s">
        <v>860</v>
      </c>
      <c r="J73" t="b">
        <v>0</v>
      </c>
      <c r="K73" t="b">
        <v>0</v>
      </c>
    </row>
    <row r="74">
      <c r="A74" s="6">
        <v>73.0</v>
      </c>
      <c r="B74" s="6">
        <v>5.591591879E9</v>
      </c>
      <c r="C74" s="6" t="s">
        <v>1423</v>
      </c>
      <c r="D74" s="6" t="s">
        <v>786</v>
      </c>
      <c r="F74" s="6">
        <v>94141.0</v>
      </c>
      <c r="G74" s="6" t="s">
        <v>1425</v>
      </c>
      <c r="H74" s="6" t="s">
        <v>859</v>
      </c>
      <c r="I74" s="6" t="s">
        <v>860</v>
      </c>
      <c r="J74" s="6" t="b">
        <v>1</v>
      </c>
      <c r="K74" t="b">
        <v>0</v>
      </c>
    </row>
    <row r="75" hidden="1">
      <c r="A75" s="6">
        <v>74.0</v>
      </c>
      <c r="B75" s="6">
        <v>5.568200926E9</v>
      </c>
      <c r="C75" s="6" t="s">
        <v>1430</v>
      </c>
      <c r="D75" s="6" t="s">
        <v>1431</v>
      </c>
      <c r="F75" s="6">
        <v>70009.0</v>
      </c>
      <c r="G75" s="6" t="s">
        <v>1147</v>
      </c>
      <c r="H75" s="6" t="s">
        <v>859</v>
      </c>
      <c r="I75" s="6" t="s">
        <v>860</v>
      </c>
      <c r="J75" t="b">
        <v>0</v>
      </c>
      <c r="K75" t="b">
        <v>0</v>
      </c>
    </row>
    <row r="76" hidden="1">
      <c r="A76" s="6">
        <v>75.0</v>
      </c>
      <c r="B76" s="6">
        <v>5.569079543E9</v>
      </c>
      <c r="C76" s="6" t="s">
        <v>52</v>
      </c>
      <c r="D76" s="6" t="s">
        <v>1435</v>
      </c>
      <c r="F76" s="6">
        <v>13502.0</v>
      </c>
      <c r="G76" s="6" t="s">
        <v>1186</v>
      </c>
      <c r="H76" s="6" t="s">
        <v>859</v>
      </c>
      <c r="I76" s="6" t="s">
        <v>860</v>
      </c>
      <c r="J76" t="b">
        <v>0</v>
      </c>
      <c r="K76" t="b">
        <v>0</v>
      </c>
    </row>
    <row r="77" hidden="1">
      <c r="A77" s="6">
        <v>76.0</v>
      </c>
      <c r="B77" s="6">
        <v>5.561849836E9</v>
      </c>
      <c r="C77" s="6" t="s">
        <v>1443</v>
      </c>
      <c r="D77" s="6" t="s">
        <v>1444</v>
      </c>
      <c r="F77" s="6">
        <v>40274.0</v>
      </c>
      <c r="G77" s="6" t="s">
        <v>1027</v>
      </c>
      <c r="H77" s="6" t="s">
        <v>859</v>
      </c>
      <c r="I77" s="6" t="s">
        <v>860</v>
      </c>
      <c r="J77" t="b">
        <v>0</v>
      </c>
      <c r="K77" t="b">
        <v>0</v>
      </c>
    </row>
    <row r="78" hidden="1">
      <c r="A78" s="6">
        <v>77.0</v>
      </c>
      <c r="B78" s="6">
        <v>5.567420418E9</v>
      </c>
      <c r="C78" s="6" t="s">
        <v>1449</v>
      </c>
      <c r="D78" s="6" t="s">
        <v>1450</v>
      </c>
      <c r="F78" s="6">
        <v>43338.0</v>
      </c>
      <c r="G78" s="6" t="s">
        <v>1451</v>
      </c>
      <c r="H78" s="6" t="s">
        <v>859</v>
      </c>
      <c r="I78" s="6" t="s">
        <v>860</v>
      </c>
      <c r="J78" t="b">
        <v>0</v>
      </c>
      <c r="K78" t="b">
        <v>0</v>
      </c>
    </row>
    <row r="79" hidden="1">
      <c r="A79" s="6">
        <v>78.0</v>
      </c>
      <c r="B79" s="6">
        <v>5.567807358E9</v>
      </c>
      <c r="C79" s="6" t="s">
        <v>1455</v>
      </c>
      <c r="D79" s="6" t="s">
        <v>1456</v>
      </c>
      <c r="F79" s="6">
        <v>24138.0</v>
      </c>
      <c r="G79" s="6" t="s">
        <v>1457</v>
      </c>
      <c r="H79" s="6" t="s">
        <v>859</v>
      </c>
      <c r="I79" s="6" t="s">
        <v>860</v>
      </c>
      <c r="J79" t="b">
        <v>0</v>
      </c>
      <c r="K79" t="b">
        <v>0</v>
      </c>
    </row>
    <row r="80" hidden="1">
      <c r="A80" s="6">
        <v>79.0</v>
      </c>
      <c r="B80" s="6">
        <v>5.590035308E9</v>
      </c>
      <c r="C80" s="6" t="s">
        <v>1458</v>
      </c>
      <c r="D80" s="6" t="s">
        <v>1459</v>
      </c>
      <c r="F80" s="6">
        <v>59231.0</v>
      </c>
      <c r="G80" s="6" t="s">
        <v>1460</v>
      </c>
      <c r="H80" s="6" t="s">
        <v>859</v>
      </c>
      <c r="I80" s="6" t="s">
        <v>860</v>
      </c>
      <c r="J80" t="b">
        <v>0</v>
      </c>
      <c r="K80" t="b">
        <v>0</v>
      </c>
    </row>
    <row r="81" hidden="1">
      <c r="A81" s="6">
        <v>80.0</v>
      </c>
      <c r="B81" s="6">
        <v>5.567807358E9</v>
      </c>
      <c r="C81" s="6" t="s">
        <v>1455</v>
      </c>
      <c r="D81" s="6" t="s">
        <v>1456</v>
      </c>
      <c r="F81" s="6">
        <v>24138.0</v>
      </c>
      <c r="G81" s="6" t="s">
        <v>1457</v>
      </c>
      <c r="H81" s="6" t="s">
        <v>859</v>
      </c>
      <c r="I81" s="6" t="s">
        <v>860</v>
      </c>
      <c r="J81" t="b">
        <v>0</v>
      </c>
      <c r="K81" t="b">
        <v>0</v>
      </c>
    </row>
    <row r="82" hidden="1">
      <c r="A82" s="6">
        <v>81.0</v>
      </c>
      <c r="B82" s="6">
        <v>8.111067578E9</v>
      </c>
      <c r="C82" s="6" t="s">
        <v>459</v>
      </c>
      <c r="D82" s="6" t="s">
        <v>1471</v>
      </c>
      <c r="F82" s="6">
        <v>81492.0</v>
      </c>
      <c r="G82" s="6" t="s">
        <v>1472</v>
      </c>
      <c r="H82" s="6" t="s">
        <v>859</v>
      </c>
      <c r="I82" s="6" t="s">
        <v>860</v>
      </c>
      <c r="J82" t="b">
        <v>0</v>
      </c>
      <c r="K82" t="b">
        <v>0</v>
      </c>
    </row>
    <row r="83" hidden="1">
      <c r="A83" s="6">
        <v>82.0</v>
      </c>
      <c r="B83" s="6">
        <v>5.591731681E9</v>
      </c>
      <c r="C83" s="6" t="s">
        <v>1475</v>
      </c>
      <c r="D83" s="6" t="s">
        <v>1477</v>
      </c>
      <c r="F83" s="6">
        <v>65221.0</v>
      </c>
      <c r="G83" s="6" t="s">
        <v>1480</v>
      </c>
      <c r="H83" s="6" t="s">
        <v>859</v>
      </c>
      <c r="I83" s="6" t="s">
        <v>860</v>
      </c>
      <c r="J83" t="b">
        <v>0</v>
      </c>
      <c r="K83" t="b">
        <v>0</v>
      </c>
    </row>
    <row r="84" hidden="1">
      <c r="A84" s="6">
        <v>83.0</v>
      </c>
      <c r="C84" s="6" t="s">
        <v>1486</v>
      </c>
      <c r="D84" s="6" t="s">
        <v>1487</v>
      </c>
      <c r="F84" s="6" t="s">
        <v>1488</v>
      </c>
      <c r="G84" s="6" t="s">
        <v>1489</v>
      </c>
      <c r="H84" s="6" t="s">
        <v>873</v>
      </c>
      <c r="I84" s="6" t="s">
        <v>874</v>
      </c>
      <c r="J84" t="b">
        <v>0</v>
      </c>
      <c r="K84" t="b">
        <v>0</v>
      </c>
    </row>
    <row r="85" hidden="1">
      <c r="A85" s="6">
        <v>84.0</v>
      </c>
      <c r="B85" s="6">
        <v>5.569270936E9</v>
      </c>
      <c r="C85" s="6" t="s">
        <v>1491</v>
      </c>
      <c r="D85" s="6" t="s">
        <v>1499</v>
      </c>
      <c r="F85" s="6">
        <v>70227.0</v>
      </c>
      <c r="G85" s="6" t="s">
        <v>1147</v>
      </c>
      <c r="H85" s="6" t="s">
        <v>859</v>
      </c>
      <c r="I85" s="6" t="s">
        <v>860</v>
      </c>
      <c r="J85" t="b">
        <v>0</v>
      </c>
      <c r="K85" t="b">
        <v>0</v>
      </c>
    </row>
    <row r="86" hidden="1">
      <c r="A86" s="6">
        <v>85.0</v>
      </c>
      <c r="C86" s="6" t="s">
        <v>1500</v>
      </c>
      <c r="D86" s="6" t="s">
        <v>1501</v>
      </c>
      <c r="F86" s="6" t="s">
        <v>1502</v>
      </c>
      <c r="G86" s="6" t="s">
        <v>1503</v>
      </c>
      <c r="H86" s="6" t="s">
        <v>873</v>
      </c>
      <c r="I86" s="6" t="s">
        <v>874</v>
      </c>
      <c r="J86" t="b">
        <v>0</v>
      </c>
      <c r="K86" t="b">
        <v>0</v>
      </c>
    </row>
    <row r="87" hidden="1">
      <c r="A87" s="6">
        <v>86.0</v>
      </c>
      <c r="B87" s="6">
        <v>9.697457894E9</v>
      </c>
      <c r="C87" s="6" t="s">
        <v>1508</v>
      </c>
      <c r="D87" s="6" t="s">
        <v>253</v>
      </c>
      <c r="F87" s="6">
        <v>17677.0</v>
      </c>
      <c r="G87" s="6" t="s">
        <v>885</v>
      </c>
      <c r="H87" s="6" t="s">
        <v>859</v>
      </c>
      <c r="I87" s="6" t="s">
        <v>860</v>
      </c>
      <c r="J87" t="b">
        <v>0</v>
      </c>
      <c r="K87" t="b">
        <v>0</v>
      </c>
    </row>
    <row r="88" hidden="1">
      <c r="A88" s="6">
        <v>87.0</v>
      </c>
      <c r="B88" s="6">
        <v>5.564444593E9</v>
      </c>
      <c r="C88" s="6" t="s">
        <v>1510</v>
      </c>
      <c r="D88" s="6" t="s">
        <v>1511</v>
      </c>
      <c r="F88" s="6">
        <v>39232.0</v>
      </c>
      <c r="G88" s="6" t="s">
        <v>1512</v>
      </c>
      <c r="H88" s="6" t="s">
        <v>859</v>
      </c>
      <c r="I88" s="6" t="s">
        <v>860</v>
      </c>
      <c r="J88" t="b">
        <v>0</v>
      </c>
      <c r="K88" t="b">
        <v>0</v>
      </c>
    </row>
    <row r="89" hidden="1">
      <c r="A89" s="6">
        <v>88.0</v>
      </c>
      <c r="B89" s="6">
        <v>5.568110174E9</v>
      </c>
      <c r="C89" s="6" t="s">
        <v>1513</v>
      </c>
      <c r="D89" s="6" t="s">
        <v>1514</v>
      </c>
      <c r="F89" s="6">
        <v>43437.0</v>
      </c>
      <c r="G89" s="6" t="s">
        <v>1515</v>
      </c>
      <c r="H89" s="6" t="s">
        <v>859</v>
      </c>
      <c r="I89" s="6" t="s">
        <v>860</v>
      </c>
      <c r="J89" t="b">
        <v>0</v>
      </c>
      <c r="K89" t="b">
        <v>0</v>
      </c>
    </row>
    <row r="90">
      <c r="A90" s="6">
        <v>89.0</v>
      </c>
      <c r="B90" s="6">
        <v>5.164060948E9</v>
      </c>
      <c r="C90" s="6" t="s">
        <v>1516</v>
      </c>
      <c r="F90" s="6">
        <v>10655.0</v>
      </c>
      <c r="G90" s="6" t="s">
        <v>989</v>
      </c>
      <c r="H90" s="6" t="s">
        <v>859</v>
      </c>
      <c r="I90" s="6" t="s">
        <v>860</v>
      </c>
      <c r="J90" s="6" t="b">
        <v>1</v>
      </c>
      <c r="K90" t="b">
        <v>0</v>
      </c>
    </row>
    <row r="91">
      <c r="A91" s="6">
        <v>90.0</v>
      </c>
      <c r="B91" s="6">
        <v>5.020173083E9</v>
      </c>
      <c r="C91" s="6" t="s">
        <v>1517</v>
      </c>
      <c r="F91" s="6">
        <v>10655.0</v>
      </c>
      <c r="G91" s="6" t="s">
        <v>989</v>
      </c>
      <c r="H91" s="6" t="s">
        <v>859</v>
      </c>
      <c r="I91" s="6" t="s">
        <v>860</v>
      </c>
      <c r="J91" s="6" t="b">
        <v>1</v>
      </c>
      <c r="K91" t="b">
        <v>0</v>
      </c>
    </row>
    <row r="92" hidden="1">
      <c r="A92" s="6">
        <v>91.0</v>
      </c>
      <c r="B92" s="6">
        <v>5.565954533E9</v>
      </c>
      <c r="C92" s="6" t="s">
        <v>1521</v>
      </c>
      <c r="D92" s="6" t="s">
        <v>1522</v>
      </c>
      <c r="F92" s="6">
        <v>75450.0</v>
      </c>
      <c r="G92" s="6" t="s">
        <v>1524</v>
      </c>
      <c r="H92" s="6" t="s">
        <v>859</v>
      </c>
      <c r="I92" s="6" t="s">
        <v>860</v>
      </c>
      <c r="J92" t="b">
        <v>0</v>
      </c>
      <c r="K92" t="b">
        <v>0</v>
      </c>
    </row>
    <row r="93" hidden="1">
      <c r="A93" s="6">
        <v>92.0</v>
      </c>
      <c r="B93" s="6">
        <v>5.563396794E9</v>
      </c>
      <c r="C93" s="6" t="s">
        <v>1532</v>
      </c>
      <c r="D93" s="6" t="s">
        <v>1533</v>
      </c>
      <c r="F93" s="6">
        <v>43632.0</v>
      </c>
      <c r="G93" s="6" t="s">
        <v>1534</v>
      </c>
      <c r="H93" s="6" t="s">
        <v>859</v>
      </c>
      <c r="I93" s="6" t="s">
        <v>860</v>
      </c>
      <c r="J93" t="b">
        <v>0</v>
      </c>
      <c r="K93" t="b">
        <v>0</v>
      </c>
    </row>
    <row r="94" hidden="1">
      <c r="A94" s="6">
        <v>93.0</v>
      </c>
      <c r="B94" s="6">
        <v>5.568663743E9</v>
      </c>
      <c r="C94" s="6" t="s">
        <v>1537</v>
      </c>
      <c r="D94" s="6" t="s">
        <v>387</v>
      </c>
      <c r="F94" s="6">
        <v>59132.0</v>
      </c>
      <c r="G94" s="6" t="s">
        <v>1543</v>
      </c>
      <c r="H94" s="6" t="s">
        <v>859</v>
      </c>
      <c r="I94" s="6" t="s">
        <v>860</v>
      </c>
      <c r="J94" t="b">
        <v>0</v>
      </c>
      <c r="K94" t="b">
        <v>0</v>
      </c>
    </row>
    <row r="95" hidden="1">
      <c r="A95" s="6">
        <v>94.0</v>
      </c>
      <c r="B95" s="6">
        <v>5.569634099E9</v>
      </c>
      <c r="C95" s="6" t="s">
        <v>1550</v>
      </c>
      <c r="D95" s="6" t="s">
        <v>1551</v>
      </c>
      <c r="F95" s="6">
        <v>21134.0</v>
      </c>
      <c r="G95" s="6" t="s">
        <v>1108</v>
      </c>
      <c r="H95" s="6" t="s">
        <v>859</v>
      </c>
      <c r="I95" s="6" t="s">
        <v>860</v>
      </c>
      <c r="J95" t="b">
        <v>0</v>
      </c>
      <c r="K95" t="b">
        <v>0</v>
      </c>
    </row>
    <row r="96">
      <c r="A96" s="6">
        <v>95.0</v>
      </c>
      <c r="B96" s="6">
        <v>5.164060948E9</v>
      </c>
      <c r="C96" s="6" t="s">
        <v>1560</v>
      </c>
      <c r="F96" s="6">
        <v>10655.0</v>
      </c>
      <c r="G96" s="6" t="s">
        <v>989</v>
      </c>
      <c r="H96" s="6" t="s">
        <v>859</v>
      </c>
      <c r="I96" s="6" t="s">
        <v>860</v>
      </c>
      <c r="J96" s="6" t="b">
        <v>1</v>
      </c>
      <c r="K96" t="b">
        <v>0</v>
      </c>
    </row>
    <row r="97">
      <c r="A97" s="6">
        <v>96.0</v>
      </c>
      <c r="B97" s="6">
        <v>5.566890397E9</v>
      </c>
      <c r="C97" s="6" t="s">
        <v>1563</v>
      </c>
      <c r="D97" s="6" t="s">
        <v>1565</v>
      </c>
      <c r="F97" s="6">
        <v>11251.0</v>
      </c>
      <c r="G97" s="6" t="s">
        <v>989</v>
      </c>
      <c r="H97" s="6" t="s">
        <v>859</v>
      </c>
      <c r="I97" s="6" t="s">
        <v>860</v>
      </c>
      <c r="J97" s="6" t="b">
        <v>1</v>
      </c>
      <c r="K97" t="b">
        <v>0</v>
      </c>
    </row>
    <row r="98">
      <c r="A98" s="6">
        <v>97.0</v>
      </c>
      <c r="B98" s="6">
        <v>5.561907329E9</v>
      </c>
      <c r="C98" s="6" t="s">
        <v>1569</v>
      </c>
      <c r="F98" s="6">
        <v>30182.0</v>
      </c>
      <c r="G98" s="6" t="s">
        <v>1160</v>
      </c>
      <c r="H98" s="6" t="s">
        <v>859</v>
      </c>
      <c r="I98" s="6" t="s">
        <v>860</v>
      </c>
      <c r="J98" s="6" t="b">
        <v>1</v>
      </c>
      <c r="K98" t="b">
        <v>0</v>
      </c>
    </row>
    <row r="99" hidden="1">
      <c r="A99" s="6">
        <v>98.0</v>
      </c>
      <c r="B99" s="6">
        <v>5.590193487E9</v>
      </c>
      <c r="C99" s="6" t="s">
        <v>1578</v>
      </c>
      <c r="D99" s="6" t="s">
        <v>1579</v>
      </c>
      <c r="F99" s="6">
        <v>83134.0</v>
      </c>
      <c r="G99" s="6" t="s">
        <v>1581</v>
      </c>
      <c r="H99" s="6" t="s">
        <v>859</v>
      </c>
      <c r="I99" s="6" t="s">
        <v>860</v>
      </c>
      <c r="J99" t="b">
        <v>0</v>
      </c>
      <c r="K99" t="b">
        <v>0</v>
      </c>
    </row>
    <row r="100" hidden="1">
      <c r="A100" s="6">
        <v>99.0</v>
      </c>
      <c r="C100" s="6" t="s">
        <v>1582</v>
      </c>
      <c r="D100" s="6" t="s">
        <v>1585</v>
      </c>
      <c r="E100" s="6" t="s">
        <v>1587</v>
      </c>
      <c r="F100" s="6">
        <v>101101.0</v>
      </c>
      <c r="G100" s="6" t="s">
        <v>1589</v>
      </c>
      <c r="H100" s="6" t="s">
        <v>1591</v>
      </c>
      <c r="I100" s="6" t="s">
        <v>1593</v>
      </c>
      <c r="J100" t="b">
        <v>0</v>
      </c>
      <c r="K100" t="b">
        <v>0</v>
      </c>
    </row>
    <row r="101">
      <c r="A101" s="6">
        <v>100.0</v>
      </c>
      <c r="B101" s="6">
        <v>5.568311095E9</v>
      </c>
      <c r="C101" s="6" t="s">
        <v>1599</v>
      </c>
      <c r="D101" s="6" t="s">
        <v>1600</v>
      </c>
      <c r="F101" s="6">
        <v>41119.0</v>
      </c>
      <c r="G101" s="6" t="s">
        <v>1027</v>
      </c>
      <c r="H101" s="6" t="s">
        <v>859</v>
      </c>
      <c r="I101" s="6" t="s">
        <v>860</v>
      </c>
      <c r="J101" s="6" t="b">
        <v>1</v>
      </c>
      <c r="K101" t="b">
        <v>0</v>
      </c>
    </row>
    <row r="102">
      <c r="A102" s="6">
        <v>101.0</v>
      </c>
      <c r="B102" s="6">
        <v>5.563735629E9</v>
      </c>
      <c r="C102" s="6" t="s">
        <v>1607</v>
      </c>
      <c r="D102" s="6" t="s">
        <v>1608</v>
      </c>
      <c r="F102" s="6">
        <v>90420.0</v>
      </c>
      <c r="G102" s="6" t="s">
        <v>943</v>
      </c>
      <c r="H102" s="6" t="s">
        <v>859</v>
      </c>
      <c r="I102" s="6" t="s">
        <v>860</v>
      </c>
      <c r="J102" s="6" t="b">
        <v>1</v>
      </c>
      <c r="K102" t="b">
        <v>0</v>
      </c>
    </row>
    <row r="103" hidden="1">
      <c r="A103" s="6">
        <v>102.0</v>
      </c>
      <c r="B103" s="6">
        <v>5.591073662E9</v>
      </c>
      <c r="C103" s="6" t="s">
        <v>1292</v>
      </c>
      <c r="D103" s="6" t="s">
        <v>147</v>
      </c>
      <c r="F103" s="6">
        <v>55302.0</v>
      </c>
      <c r="G103" s="6" t="s">
        <v>1066</v>
      </c>
      <c r="H103" s="6" t="s">
        <v>859</v>
      </c>
      <c r="I103" s="6" t="s">
        <v>860</v>
      </c>
      <c r="J103" t="b">
        <v>0</v>
      </c>
      <c r="K103" t="b">
        <v>0</v>
      </c>
    </row>
    <row r="104" hidden="1">
      <c r="A104" s="6">
        <v>103.0</v>
      </c>
      <c r="B104" s="6">
        <v>5.569898835E9</v>
      </c>
      <c r="C104" s="6" t="s">
        <v>1618</v>
      </c>
      <c r="D104" s="6" t="s">
        <v>1619</v>
      </c>
      <c r="F104" s="6">
        <v>52337.0</v>
      </c>
      <c r="G104" s="6" t="s">
        <v>1620</v>
      </c>
      <c r="H104" s="6" t="s">
        <v>859</v>
      </c>
      <c r="I104" s="6" t="s">
        <v>860</v>
      </c>
      <c r="J104" t="b">
        <v>0</v>
      </c>
      <c r="K104" t="b">
        <v>0</v>
      </c>
    </row>
    <row r="105" hidden="1">
      <c r="A105" s="6">
        <v>104.0</v>
      </c>
      <c r="B105" s="6">
        <v>9.697491752E9</v>
      </c>
      <c r="C105" s="6" t="s">
        <v>1623</v>
      </c>
      <c r="D105" s="6" t="s">
        <v>1626</v>
      </c>
      <c r="F105" s="6">
        <v>44195.0</v>
      </c>
      <c r="G105" s="6" t="s">
        <v>1630</v>
      </c>
      <c r="H105" s="6" t="s">
        <v>859</v>
      </c>
      <c r="I105" s="6" t="s">
        <v>860</v>
      </c>
      <c r="J105" t="b">
        <v>0</v>
      </c>
      <c r="K105" t="b">
        <v>0</v>
      </c>
    </row>
    <row r="106" hidden="1">
      <c r="A106" s="6">
        <v>105.0</v>
      </c>
      <c r="C106" s="6" t="s">
        <v>1635</v>
      </c>
      <c r="J106" t="b">
        <v>0</v>
      </c>
      <c r="K106" t="b">
        <v>0</v>
      </c>
    </row>
    <row r="107" hidden="1">
      <c r="A107" s="6">
        <v>106.0</v>
      </c>
      <c r="B107" s="6">
        <v>7.611205019E9</v>
      </c>
      <c r="C107" s="6" t="s">
        <v>293</v>
      </c>
      <c r="D107" s="6" t="s">
        <v>1636</v>
      </c>
      <c r="F107" s="6">
        <v>43149.0</v>
      </c>
      <c r="G107" s="6" t="s">
        <v>1047</v>
      </c>
      <c r="H107" s="6" t="s">
        <v>859</v>
      </c>
      <c r="I107" s="6" t="s">
        <v>860</v>
      </c>
      <c r="J107" t="b">
        <v>0</v>
      </c>
      <c r="K107" t="b">
        <v>0</v>
      </c>
    </row>
    <row r="108" hidden="1">
      <c r="A108" s="6">
        <v>107.0</v>
      </c>
      <c r="B108" s="6">
        <v>5.590488135E9</v>
      </c>
      <c r="C108" s="6" t="s">
        <v>1644</v>
      </c>
      <c r="D108" s="6" t="s">
        <v>1646</v>
      </c>
      <c r="F108" s="6">
        <v>42163.0</v>
      </c>
      <c r="G108" s="6" t="s">
        <v>1397</v>
      </c>
      <c r="H108" s="6" t="s">
        <v>859</v>
      </c>
      <c r="I108" s="6" t="s">
        <v>860</v>
      </c>
      <c r="J108" t="b">
        <v>0</v>
      </c>
      <c r="K108" t="b">
        <v>0</v>
      </c>
    </row>
    <row r="109">
      <c r="A109" s="6">
        <v>108.0</v>
      </c>
      <c r="B109" s="6">
        <v>8.804050014E9</v>
      </c>
      <c r="C109" s="6" t="s">
        <v>225</v>
      </c>
      <c r="D109" s="6" t="s">
        <v>1649</v>
      </c>
      <c r="F109" s="6">
        <v>27396.0</v>
      </c>
      <c r="G109" s="6" t="s">
        <v>1651</v>
      </c>
      <c r="H109" s="6" t="s">
        <v>859</v>
      </c>
      <c r="I109" s="6" t="s">
        <v>860</v>
      </c>
      <c r="J109" s="6" t="b">
        <v>1</v>
      </c>
      <c r="K109" t="b">
        <v>0</v>
      </c>
    </row>
    <row r="110" hidden="1">
      <c r="A110" s="6">
        <v>109.0</v>
      </c>
      <c r="B110" s="6">
        <v>5.568299886E9</v>
      </c>
      <c r="C110" s="6" t="s">
        <v>431</v>
      </c>
      <c r="D110" s="6" t="s">
        <v>432</v>
      </c>
      <c r="F110" s="6">
        <v>83244.0</v>
      </c>
      <c r="G110" s="6" t="s">
        <v>434</v>
      </c>
      <c r="H110" s="6" t="s">
        <v>859</v>
      </c>
      <c r="I110" s="6" t="s">
        <v>860</v>
      </c>
      <c r="J110" t="b">
        <v>0</v>
      </c>
      <c r="K110" t="b">
        <v>0</v>
      </c>
    </row>
    <row r="111" hidden="1">
      <c r="A111" s="6">
        <v>110.0</v>
      </c>
      <c r="C111" s="6" t="s">
        <v>1660</v>
      </c>
      <c r="D111" s="6" t="s">
        <v>1662</v>
      </c>
      <c r="E111" s="6" t="s">
        <v>1663</v>
      </c>
      <c r="J111" t="b">
        <v>0</v>
      </c>
      <c r="K111" t="b">
        <v>0</v>
      </c>
    </row>
    <row r="112" hidden="1">
      <c r="A112" s="6">
        <v>111.0</v>
      </c>
      <c r="B112" s="6">
        <v>5.562095363E9</v>
      </c>
      <c r="C112" s="6" t="s">
        <v>1665</v>
      </c>
      <c r="F112" s="6">
        <v>41293.0</v>
      </c>
      <c r="G112" s="6" t="s">
        <v>1027</v>
      </c>
      <c r="H112" s="6" t="s">
        <v>859</v>
      </c>
      <c r="I112" s="6" t="s">
        <v>860</v>
      </c>
      <c r="J112" t="b">
        <v>0</v>
      </c>
      <c r="K112" t="b">
        <v>0</v>
      </c>
    </row>
    <row r="113" hidden="1">
      <c r="A113" s="6">
        <v>112.0</v>
      </c>
      <c r="B113" s="6">
        <v>5.164018102E9</v>
      </c>
      <c r="C113" s="6" t="s">
        <v>1672</v>
      </c>
      <c r="F113" s="6">
        <v>10680.0</v>
      </c>
      <c r="G113" s="6" t="s">
        <v>989</v>
      </c>
      <c r="H113" s="6" t="s">
        <v>859</v>
      </c>
      <c r="I113" s="6" t="s">
        <v>860</v>
      </c>
      <c r="J113" t="b">
        <v>0</v>
      </c>
      <c r="K113" t="b">
        <v>0</v>
      </c>
    </row>
    <row r="114" hidden="1">
      <c r="A114" s="6">
        <v>113.0</v>
      </c>
      <c r="B114" s="6">
        <v>5.560498676E9</v>
      </c>
      <c r="C114" s="6" t="s">
        <v>1676</v>
      </c>
      <c r="D114" s="6" t="s">
        <v>1677</v>
      </c>
      <c r="F114" s="6">
        <v>78127.0</v>
      </c>
      <c r="G114" s="6" t="s">
        <v>1678</v>
      </c>
      <c r="H114" s="6" t="s">
        <v>859</v>
      </c>
      <c r="I114" s="6" t="s">
        <v>860</v>
      </c>
      <c r="J114" t="b">
        <v>0</v>
      </c>
      <c r="K114" t="b">
        <v>0</v>
      </c>
    </row>
    <row r="115" hidden="1">
      <c r="A115" s="6">
        <v>114.0</v>
      </c>
      <c r="B115" s="6">
        <v>6.207037117E9</v>
      </c>
      <c r="C115" s="6" t="s">
        <v>1681</v>
      </c>
      <c r="D115" s="6" t="s">
        <v>1682</v>
      </c>
      <c r="F115" s="6">
        <v>78191.0</v>
      </c>
      <c r="G115" s="6" t="s">
        <v>1678</v>
      </c>
      <c r="H115" s="6" t="s">
        <v>859</v>
      </c>
      <c r="I115" s="6" t="s">
        <v>860</v>
      </c>
      <c r="J115" t="b">
        <v>0</v>
      </c>
      <c r="K115" t="b">
        <v>0</v>
      </c>
    </row>
    <row r="116" hidden="1">
      <c r="A116" s="6">
        <v>115.0</v>
      </c>
      <c r="B116" s="6">
        <v>5.566783709E9</v>
      </c>
      <c r="C116" s="6" t="s">
        <v>1691</v>
      </c>
      <c r="D116" s="6" t="s">
        <v>1694</v>
      </c>
      <c r="F116" s="6">
        <v>41505.0</v>
      </c>
      <c r="G116" s="6" t="s">
        <v>1027</v>
      </c>
      <c r="H116" s="6" t="s">
        <v>859</v>
      </c>
      <c r="I116" s="6" t="s">
        <v>860</v>
      </c>
      <c r="J116" t="b">
        <v>0</v>
      </c>
      <c r="K116" t="b">
        <v>0</v>
      </c>
    </row>
    <row r="117" hidden="1">
      <c r="A117" s="6">
        <v>116.0</v>
      </c>
      <c r="B117" s="6">
        <v>6.504053536E9</v>
      </c>
      <c r="C117" s="6" t="s">
        <v>1700</v>
      </c>
      <c r="D117" s="6" t="s">
        <v>1702</v>
      </c>
      <c r="F117" s="6">
        <v>25468.0</v>
      </c>
      <c r="G117" s="6" t="s">
        <v>1705</v>
      </c>
      <c r="H117" s="6" t="s">
        <v>859</v>
      </c>
      <c r="I117" s="6" t="s">
        <v>860</v>
      </c>
      <c r="J117" t="b">
        <v>0</v>
      </c>
      <c r="K117" t="b">
        <v>0</v>
      </c>
    </row>
    <row r="118" hidden="1">
      <c r="A118" s="6">
        <v>117.0</v>
      </c>
      <c r="B118" s="6">
        <v>5.566698881E9</v>
      </c>
      <c r="C118" s="6" t="s">
        <v>1711</v>
      </c>
      <c r="D118" s="6" t="s">
        <v>378</v>
      </c>
      <c r="F118" s="6">
        <v>25467.0</v>
      </c>
      <c r="G118" s="6" t="s">
        <v>1705</v>
      </c>
      <c r="H118" s="6" t="s">
        <v>859</v>
      </c>
      <c r="I118" s="6" t="s">
        <v>860</v>
      </c>
      <c r="J118" s="6" t="b">
        <v>0</v>
      </c>
      <c r="K118" t="b">
        <v>0</v>
      </c>
    </row>
    <row r="119" hidden="1">
      <c r="A119" s="6">
        <v>118.0</v>
      </c>
      <c r="B119" s="6">
        <v>5.566630348E9</v>
      </c>
      <c r="C119" s="6" t="s">
        <v>1721</v>
      </c>
      <c r="D119" s="6" t="s">
        <v>1722</v>
      </c>
      <c r="F119" s="6">
        <v>11360.0</v>
      </c>
      <c r="G119" s="6" t="s">
        <v>989</v>
      </c>
      <c r="H119" s="6" t="s">
        <v>859</v>
      </c>
      <c r="I119" s="6" t="s">
        <v>860</v>
      </c>
      <c r="J119" t="b">
        <v>0</v>
      </c>
      <c r="K119" t="b">
        <v>0</v>
      </c>
    </row>
    <row r="120">
      <c r="A120" s="6">
        <v>119.0</v>
      </c>
      <c r="B120" s="6">
        <v>5.563980951E9</v>
      </c>
      <c r="C120" s="6" t="s">
        <v>1727</v>
      </c>
      <c r="D120" s="6" t="s">
        <v>1728</v>
      </c>
      <c r="F120" s="6">
        <v>58422.0</v>
      </c>
      <c r="G120" s="6" t="s">
        <v>1729</v>
      </c>
      <c r="H120" s="6" t="s">
        <v>859</v>
      </c>
      <c r="I120" s="6" t="s">
        <v>860</v>
      </c>
      <c r="J120" s="6" t="b">
        <v>1</v>
      </c>
      <c r="K120" t="b">
        <v>0</v>
      </c>
    </row>
    <row r="121">
      <c r="A121" s="6">
        <v>120.0</v>
      </c>
      <c r="C121" s="6" t="s">
        <v>1730</v>
      </c>
      <c r="D121" s="6" t="s">
        <v>1732</v>
      </c>
      <c r="F121" s="6" t="s">
        <v>1733</v>
      </c>
      <c r="G121" s="6" t="s">
        <v>1734</v>
      </c>
      <c r="H121" s="6" t="s">
        <v>873</v>
      </c>
      <c r="I121" s="6" t="s">
        <v>874</v>
      </c>
      <c r="J121" s="6" t="b">
        <v>1</v>
      </c>
      <c r="K121" t="b">
        <v>0</v>
      </c>
      <c r="L121" s="6" t="s">
        <v>1735</v>
      </c>
    </row>
    <row r="122">
      <c r="A122" s="6">
        <v>121.0</v>
      </c>
      <c r="B122" s="6">
        <v>5.561871806E9</v>
      </c>
      <c r="C122" s="6" t="s">
        <v>1736</v>
      </c>
      <c r="D122" s="6" t="s">
        <v>1737</v>
      </c>
      <c r="F122" s="6">
        <v>17407.0</v>
      </c>
      <c r="G122" s="6" t="s">
        <v>1739</v>
      </c>
      <c r="H122" s="6" t="s">
        <v>859</v>
      </c>
      <c r="I122" s="6" t="s">
        <v>860</v>
      </c>
      <c r="J122" s="6" t="b">
        <v>1</v>
      </c>
      <c r="K122" t="b">
        <v>0</v>
      </c>
    </row>
    <row r="123" hidden="1">
      <c r="A123" s="6">
        <v>122.0</v>
      </c>
      <c r="B123" s="6">
        <v>5.565445953E9</v>
      </c>
      <c r="C123" s="6" t="s">
        <v>1741</v>
      </c>
      <c r="D123" s="6" t="s">
        <v>1742</v>
      </c>
      <c r="F123" s="6">
        <v>71531.0</v>
      </c>
      <c r="G123" s="6" t="s">
        <v>1743</v>
      </c>
      <c r="H123" s="6" t="s">
        <v>859</v>
      </c>
      <c r="I123" s="6" t="s">
        <v>860</v>
      </c>
      <c r="J123" t="b">
        <v>0</v>
      </c>
      <c r="K123" t="b">
        <v>0</v>
      </c>
    </row>
    <row r="124" hidden="1">
      <c r="A124" s="6">
        <v>123.0</v>
      </c>
      <c r="B124" s="6">
        <v>5.102284956E9</v>
      </c>
      <c r="C124" s="6" t="s">
        <v>1745</v>
      </c>
      <c r="D124" s="6" t="s">
        <v>1746</v>
      </c>
      <c r="F124" s="6">
        <v>43346.0</v>
      </c>
      <c r="G124" s="6" t="s">
        <v>1451</v>
      </c>
      <c r="H124" s="6" t="s">
        <v>859</v>
      </c>
      <c r="I124" s="6" t="s">
        <v>860</v>
      </c>
      <c r="J124" t="b">
        <v>0</v>
      </c>
      <c r="K124" t="b">
        <v>0</v>
      </c>
    </row>
    <row r="125" hidden="1">
      <c r="A125" s="6">
        <v>124.0</v>
      </c>
      <c r="C125" s="6" t="s">
        <v>1750</v>
      </c>
      <c r="H125" s="6" t="s">
        <v>1591</v>
      </c>
      <c r="I125" s="6" t="s">
        <v>1593</v>
      </c>
      <c r="J125" t="b">
        <v>0</v>
      </c>
      <c r="K125" t="b">
        <v>0</v>
      </c>
    </row>
    <row r="126" hidden="1">
      <c r="A126" s="6">
        <v>125.0</v>
      </c>
      <c r="B126" s="6">
        <v>5.567125777E9</v>
      </c>
      <c r="C126" s="6" t="s">
        <v>1751</v>
      </c>
      <c r="D126" s="6" t="s">
        <v>1752</v>
      </c>
      <c r="F126" s="6">
        <v>75853.0</v>
      </c>
      <c r="G126" s="6" t="s">
        <v>1524</v>
      </c>
      <c r="H126" s="6" t="s">
        <v>859</v>
      </c>
      <c r="I126" s="6" t="s">
        <v>860</v>
      </c>
      <c r="J126" t="b">
        <v>0</v>
      </c>
      <c r="K126" t="b">
        <v>0</v>
      </c>
    </row>
    <row r="127">
      <c r="A127" s="6">
        <v>126.0</v>
      </c>
      <c r="B127" s="6">
        <v>7.004202557E9</v>
      </c>
      <c r="C127" s="6" t="s">
        <v>1755</v>
      </c>
      <c r="D127" s="6" t="s">
        <v>656</v>
      </c>
      <c r="F127" s="6">
        <v>57536.0</v>
      </c>
      <c r="G127" s="6" t="s">
        <v>1756</v>
      </c>
      <c r="H127" s="6" t="s">
        <v>859</v>
      </c>
      <c r="I127" s="6" t="s">
        <v>860</v>
      </c>
      <c r="J127" s="6" t="b">
        <v>1</v>
      </c>
      <c r="K127" t="b">
        <v>0</v>
      </c>
    </row>
    <row r="128">
      <c r="A128" s="6">
        <v>127.0</v>
      </c>
      <c r="B128" s="6">
        <v>5.591162697E9</v>
      </c>
      <c r="C128" s="6" t="s">
        <v>1331</v>
      </c>
      <c r="D128" s="6" t="s">
        <v>511</v>
      </c>
      <c r="F128" s="6">
        <v>36593.0</v>
      </c>
      <c r="G128" s="6" t="s">
        <v>1336</v>
      </c>
      <c r="H128" s="6" t="s">
        <v>859</v>
      </c>
      <c r="I128" s="6" t="s">
        <v>860</v>
      </c>
      <c r="J128" s="6" t="b">
        <v>1</v>
      </c>
      <c r="K128" t="b">
        <v>0</v>
      </c>
    </row>
    <row r="129">
      <c r="A129" s="6">
        <v>128.0</v>
      </c>
      <c r="B129" s="6" t="s">
        <v>1758</v>
      </c>
      <c r="C129" s="6" t="s">
        <v>1759</v>
      </c>
      <c r="D129" s="6" t="s">
        <v>1760</v>
      </c>
      <c r="E129" s="6" t="s">
        <v>1761</v>
      </c>
      <c r="F129" s="6">
        <v>42025.0</v>
      </c>
      <c r="G129" s="6" t="s">
        <v>1762</v>
      </c>
      <c r="H129" s="6" t="s">
        <v>1763</v>
      </c>
      <c r="I129" s="6" t="s">
        <v>1764</v>
      </c>
      <c r="J129" s="6" t="b">
        <v>1</v>
      </c>
      <c r="K129" t="b">
        <v>0</v>
      </c>
    </row>
    <row r="130" hidden="1">
      <c r="A130" s="6">
        <v>129.0</v>
      </c>
      <c r="B130" s="6">
        <v>5.561306399E9</v>
      </c>
      <c r="C130" s="6" t="s">
        <v>1766</v>
      </c>
      <c r="D130" s="6" t="s">
        <v>1767</v>
      </c>
      <c r="F130" s="6">
        <v>44138.0</v>
      </c>
      <c r="G130" s="6" t="s">
        <v>1630</v>
      </c>
      <c r="H130" s="6" t="s">
        <v>859</v>
      </c>
      <c r="I130" s="6" t="s">
        <v>860</v>
      </c>
      <c r="J130" t="b">
        <v>0</v>
      </c>
      <c r="K130" t="b">
        <v>0</v>
      </c>
    </row>
    <row r="131" hidden="1">
      <c r="A131" s="6">
        <v>130.0</v>
      </c>
      <c r="B131" s="6">
        <v>5.567585327E9</v>
      </c>
      <c r="C131" s="6" t="s">
        <v>1770</v>
      </c>
      <c r="D131" s="6" t="s">
        <v>1771</v>
      </c>
      <c r="F131" s="6">
        <v>75451.0</v>
      </c>
      <c r="G131" s="6" t="s">
        <v>1524</v>
      </c>
      <c r="H131" s="6" t="s">
        <v>859</v>
      </c>
      <c r="I131" s="6" t="s">
        <v>860</v>
      </c>
      <c r="J131" t="b">
        <v>0</v>
      </c>
      <c r="K131" t="b">
        <v>0</v>
      </c>
    </row>
    <row r="132" hidden="1">
      <c r="A132" s="6">
        <v>131.0</v>
      </c>
      <c r="B132" s="6">
        <v>5.59075837E9</v>
      </c>
      <c r="C132" s="6" t="s">
        <v>1772</v>
      </c>
      <c r="D132" s="6" t="s">
        <v>99</v>
      </c>
      <c r="F132" s="6">
        <v>18640.0</v>
      </c>
      <c r="G132" s="6" t="s">
        <v>101</v>
      </c>
      <c r="H132" s="6" t="s">
        <v>859</v>
      </c>
      <c r="I132" s="6" t="s">
        <v>860</v>
      </c>
      <c r="J132" t="b">
        <v>0</v>
      </c>
      <c r="K132" t="b">
        <v>0</v>
      </c>
    </row>
    <row r="133">
      <c r="A133" s="6">
        <v>132.0</v>
      </c>
      <c r="B133" s="6">
        <v>8.801156798E9</v>
      </c>
      <c r="C133" s="6" t="s">
        <v>238</v>
      </c>
      <c r="D133" s="6" t="s">
        <v>1774</v>
      </c>
      <c r="F133" s="6">
        <v>16273.0</v>
      </c>
      <c r="G133" s="6" t="s">
        <v>1775</v>
      </c>
      <c r="H133" s="6" t="s">
        <v>859</v>
      </c>
      <c r="I133" s="6" t="s">
        <v>860</v>
      </c>
      <c r="J133" s="6" t="b">
        <v>1</v>
      </c>
      <c r="K133" t="b">
        <v>0</v>
      </c>
    </row>
    <row r="134" hidden="1">
      <c r="A134" s="6">
        <v>133.0</v>
      </c>
      <c r="B134" s="6" t="s">
        <v>1776</v>
      </c>
      <c r="C134" s="6" t="s">
        <v>1777</v>
      </c>
      <c r="D134" s="6" t="s">
        <v>1779</v>
      </c>
      <c r="F134" s="6">
        <v>57210.0</v>
      </c>
      <c r="G134" s="6" t="s">
        <v>1780</v>
      </c>
      <c r="H134" s="6" t="s">
        <v>1781</v>
      </c>
      <c r="I134" s="6" t="s">
        <v>1782</v>
      </c>
      <c r="J134" t="b">
        <v>0</v>
      </c>
      <c r="K134" t="b">
        <v>0</v>
      </c>
    </row>
    <row r="135">
      <c r="A135" s="6">
        <v>134.0</v>
      </c>
      <c r="B135" s="6">
        <v>5.566339304E9</v>
      </c>
      <c r="C135" s="6" t="s">
        <v>1784</v>
      </c>
      <c r="D135" s="6" t="s">
        <v>1785</v>
      </c>
      <c r="F135" s="6">
        <v>72213.0</v>
      </c>
      <c r="G135" s="6" t="s">
        <v>1231</v>
      </c>
      <c r="H135" s="6" t="s">
        <v>859</v>
      </c>
      <c r="I135" s="6" t="s">
        <v>860</v>
      </c>
      <c r="J135" s="6" t="b">
        <v>1</v>
      </c>
      <c r="K135" t="b">
        <v>0</v>
      </c>
    </row>
    <row r="136" hidden="1">
      <c r="A136" s="6">
        <v>135.0</v>
      </c>
      <c r="B136" s="6">
        <v>5.568528474E9</v>
      </c>
      <c r="C136" s="6" t="s">
        <v>1787</v>
      </c>
      <c r="D136" s="6" t="s">
        <v>1788</v>
      </c>
      <c r="F136" s="6">
        <v>60238.0</v>
      </c>
      <c r="G136" s="6" t="s">
        <v>1789</v>
      </c>
      <c r="H136" s="6" t="s">
        <v>859</v>
      </c>
      <c r="I136" s="6" t="s">
        <v>860</v>
      </c>
      <c r="J136" t="b">
        <v>0</v>
      </c>
      <c r="K136" t="b">
        <v>0</v>
      </c>
    </row>
    <row r="137" hidden="1">
      <c r="A137" s="6">
        <v>136.0</v>
      </c>
      <c r="B137" s="6">
        <v>5.56571236E9</v>
      </c>
      <c r="C137" s="6" t="s">
        <v>1792</v>
      </c>
      <c r="D137" s="6" t="s">
        <v>1793</v>
      </c>
      <c r="F137" s="6">
        <v>41707.0</v>
      </c>
      <c r="G137" s="6" t="s">
        <v>1027</v>
      </c>
      <c r="H137" s="6" t="s">
        <v>859</v>
      </c>
      <c r="I137" s="6" t="s">
        <v>860</v>
      </c>
      <c r="J137" t="b">
        <v>0</v>
      </c>
      <c r="K137" t="b">
        <v>0</v>
      </c>
    </row>
    <row r="138">
      <c r="A138" s="6">
        <v>137.0</v>
      </c>
      <c r="B138" s="6">
        <v>5.567307367E9</v>
      </c>
      <c r="C138" s="6" t="s">
        <v>1794</v>
      </c>
      <c r="F138" s="6">
        <v>11788.0</v>
      </c>
      <c r="G138" s="6" t="s">
        <v>989</v>
      </c>
      <c r="H138" s="6" t="s">
        <v>859</v>
      </c>
      <c r="I138" s="6" t="s">
        <v>860</v>
      </c>
      <c r="J138" s="6" t="b">
        <v>1</v>
      </c>
      <c r="K138" t="b">
        <v>0</v>
      </c>
    </row>
    <row r="139">
      <c r="A139" s="6">
        <v>138.0</v>
      </c>
      <c r="B139" s="6">
        <v>2.5242246E7</v>
      </c>
      <c r="C139" s="6" t="s">
        <v>1795</v>
      </c>
      <c r="D139" s="6" t="s">
        <v>1796</v>
      </c>
      <c r="F139" s="6" t="s">
        <v>1797</v>
      </c>
      <c r="G139" s="6" t="s">
        <v>1798</v>
      </c>
      <c r="J139" s="6" t="b">
        <v>1</v>
      </c>
      <c r="K139" t="b">
        <v>0</v>
      </c>
      <c r="L139" s="6" t="s">
        <v>1799</v>
      </c>
    </row>
    <row r="140" hidden="1">
      <c r="A140" s="6">
        <v>139.0</v>
      </c>
      <c r="B140" s="6">
        <v>5.569172595E9</v>
      </c>
      <c r="C140" s="6" t="s">
        <v>1800</v>
      </c>
      <c r="J140" t="b">
        <v>0</v>
      </c>
      <c r="K140" t="b">
        <v>0</v>
      </c>
    </row>
    <row r="141" hidden="1">
      <c r="A141" s="6">
        <v>140.0</v>
      </c>
      <c r="B141" s="6">
        <v>5.566492483E9</v>
      </c>
      <c r="C141" s="6" t="s">
        <v>1803</v>
      </c>
      <c r="D141" s="6" t="s">
        <v>1804</v>
      </c>
      <c r="F141" s="6">
        <v>44240.0</v>
      </c>
      <c r="G141" s="6" t="s">
        <v>1807</v>
      </c>
      <c r="H141" s="6" t="s">
        <v>859</v>
      </c>
      <c r="I141" s="6" t="s">
        <v>860</v>
      </c>
      <c r="J141" t="b">
        <v>0</v>
      </c>
      <c r="K141" t="b">
        <v>0</v>
      </c>
    </row>
    <row r="142" hidden="1">
      <c r="A142" s="6">
        <v>141.0</v>
      </c>
      <c r="C142" s="6" t="s">
        <v>1808</v>
      </c>
      <c r="H142" s="6" t="s">
        <v>859</v>
      </c>
      <c r="I142" s="6" t="s">
        <v>860</v>
      </c>
      <c r="J142" t="b">
        <v>0</v>
      </c>
      <c r="K142" t="b">
        <v>0</v>
      </c>
    </row>
    <row r="143">
      <c r="A143" s="6">
        <v>142.0</v>
      </c>
      <c r="B143" s="6">
        <v>5.020724174E9</v>
      </c>
      <c r="C143" s="6" t="s">
        <v>1809</v>
      </c>
      <c r="D143" s="6" t="s">
        <v>1810</v>
      </c>
      <c r="F143" s="6">
        <v>7338.0</v>
      </c>
      <c r="G143" s="6" t="s">
        <v>1811</v>
      </c>
      <c r="H143" s="6" t="s">
        <v>881</v>
      </c>
      <c r="I143" s="6" t="s">
        <v>882</v>
      </c>
      <c r="J143" s="6" t="b">
        <v>1</v>
      </c>
      <c r="K143" t="b">
        <v>0</v>
      </c>
    </row>
    <row r="144">
      <c r="A144" s="6">
        <v>143.0</v>
      </c>
      <c r="B144" s="6">
        <v>5.560751975E9</v>
      </c>
      <c r="C144" s="6" t="s">
        <v>1814</v>
      </c>
      <c r="D144" s="6" t="s">
        <v>1816</v>
      </c>
      <c r="F144" s="6">
        <v>19181.0</v>
      </c>
      <c r="G144" s="6" t="s">
        <v>1817</v>
      </c>
      <c r="H144" s="6" t="s">
        <v>859</v>
      </c>
      <c r="I144" s="6" t="s">
        <v>860</v>
      </c>
      <c r="J144" s="6" t="b">
        <v>1</v>
      </c>
      <c r="K144" t="b">
        <v>0</v>
      </c>
    </row>
    <row r="145" hidden="1">
      <c r="A145" s="6">
        <v>144.0</v>
      </c>
      <c r="B145" s="6">
        <v>5.560813031E9</v>
      </c>
      <c r="C145" s="6" t="s">
        <v>1820</v>
      </c>
      <c r="D145" s="6" t="s">
        <v>1821</v>
      </c>
      <c r="F145" s="6">
        <v>26224.0</v>
      </c>
      <c r="G145" s="6" t="s">
        <v>1822</v>
      </c>
      <c r="H145" s="6" t="s">
        <v>859</v>
      </c>
      <c r="I145" s="6" t="s">
        <v>860</v>
      </c>
      <c r="J145" t="b">
        <v>0</v>
      </c>
      <c r="K145" t="b">
        <v>0</v>
      </c>
    </row>
    <row r="146" hidden="1">
      <c r="A146" s="6">
        <v>145.0</v>
      </c>
      <c r="B146" s="6">
        <v>5.569970055E9</v>
      </c>
      <c r="C146" s="6" t="s">
        <v>1823</v>
      </c>
      <c r="D146" s="6" t="s">
        <v>1824</v>
      </c>
      <c r="F146" s="6">
        <v>42135.0</v>
      </c>
      <c r="G146" s="6" t="s">
        <v>1397</v>
      </c>
      <c r="H146" s="6" t="s">
        <v>859</v>
      </c>
      <c r="I146" s="6" t="s">
        <v>860</v>
      </c>
      <c r="J146" t="b">
        <v>0</v>
      </c>
      <c r="K146" t="b">
        <v>0</v>
      </c>
    </row>
    <row r="147" hidden="1">
      <c r="A147" s="6">
        <v>146.0</v>
      </c>
      <c r="B147" s="6">
        <v>5.565387502E9</v>
      </c>
      <c r="C147" s="6" t="s">
        <v>1826</v>
      </c>
      <c r="D147" s="6" t="s">
        <v>1827</v>
      </c>
      <c r="F147" s="6">
        <v>14123.0</v>
      </c>
      <c r="G147" s="6" t="s">
        <v>1829</v>
      </c>
      <c r="H147" s="6" t="s">
        <v>859</v>
      </c>
      <c r="I147" s="6" t="s">
        <v>860</v>
      </c>
      <c r="J147" t="b">
        <v>0</v>
      </c>
      <c r="K147" t="b">
        <v>0</v>
      </c>
    </row>
    <row r="148" hidden="1">
      <c r="A148" s="6">
        <v>147.0</v>
      </c>
      <c r="B148" s="6">
        <v>5.564397478E9</v>
      </c>
      <c r="C148" s="6" t="s">
        <v>1830</v>
      </c>
      <c r="D148" s="6" t="s">
        <v>1831</v>
      </c>
      <c r="F148" s="6">
        <v>10074.0</v>
      </c>
      <c r="G148" s="6" t="s">
        <v>989</v>
      </c>
      <c r="H148" s="6" t="s">
        <v>859</v>
      </c>
      <c r="I148" s="6" t="s">
        <v>860</v>
      </c>
      <c r="J148" t="b">
        <v>0</v>
      </c>
      <c r="K148" t="b">
        <v>0</v>
      </c>
    </row>
    <row r="149" hidden="1">
      <c r="A149" s="6">
        <v>148.0</v>
      </c>
      <c r="B149" s="6">
        <v>5.563369981E9</v>
      </c>
      <c r="C149" s="6" t="s">
        <v>1832</v>
      </c>
      <c r="D149" s="6" t="s">
        <v>1833</v>
      </c>
      <c r="F149" s="6">
        <v>31100.0</v>
      </c>
      <c r="G149" s="6" t="s">
        <v>1834</v>
      </c>
      <c r="H149" s="6" t="s">
        <v>859</v>
      </c>
      <c r="I149" s="6" t="s">
        <v>860</v>
      </c>
      <c r="J149" t="b">
        <v>0</v>
      </c>
      <c r="K149" t="b">
        <v>0</v>
      </c>
    </row>
    <row r="150" hidden="1">
      <c r="A150" s="6">
        <v>149.0</v>
      </c>
      <c r="B150" s="6">
        <v>5.566436779E9</v>
      </c>
      <c r="C150" s="6" t="s">
        <v>1835</v>
      </c>
      <c r="D150" s="6" t="s">
        <v>1837</v>
      </c>
      <c r="F150" s="6">
        <v>37434.0</v>
      </c>
      <c r="G150" s="6" t="s">
        <v>1838</v>
      </c>
      <c r="H150" s="6" t="s">
        <v>859</v>
      </c>
      <c r="I150" s="6" t="s">
        <v>860</v>
      </c>
      <c r="J150" t="b">
        <v>0</v>
      </c>
      <c r="K150" t="b">
        <v>0</v>
      </c>
    </row>
    <row r="151" hidden="1">
      <c r="A151" s="6">
        <v>150.0</v>
      </c>
      <c r="B151" s="6">
        <v>5.564951704E9</v>
      </c>
      <c r="C151" s="6" t="s">
        <v>1840</v>
      </c>
      <c r="D151" s="6" t="s">
        <v>1841</v>
      </c>
      <c r="F151" s="6">
        <v>43215.0</v>
      </c>
      <c r="G151" s="6" t="s">
        <v>1842</v>
      </c>
      <c r="H151" s="6" t="s">
        <v>859</v>
      </c>
      <c r="I151" s="6" t="s">
        <v>860</v>
      </c>
      <c r="J151" t="b">
        <v>0</v>
      </c>
      <c r="K151" t="b">
        <v>0</v>
      </c>
    </row>
    <row r="152" hidden="1">
      <c r="A152" s="6">
        <v>151.0</v>
      </c>
      <c r="B152" s="6">
        <v>5.59081838E9</v>
      </c>
      <c r="C152" s="6" t="s">
        <v>1843</v>
      </c>
      <c r="D152" s="6" t="s">
        <v>588</v>
      </c>
      <c r="F152" s="6">
        <v>55303.0</v>
      </c>
      <c r="G152" s="6" t="s">
        <v>1066</v>
      </c>
      <c r="H152" s="6" t="s">
        <v>859</v>
      </c>
      <c r="I152" s="6" t="s">
        <v>860</v>
      </c>
      <c r="J152" t="b">
        <v>0</v>
      </c>
      <c r="K152" t="b">
        <v>0</v>
      </c>
    </row>
    <row r="153" hidden="1">
      <c r="A153" s="6">
        <v>152.0</v>
      </c>
      <c r="B153" s="6">
        <v>5.591963144E9</v>
      </c>
      <c r="C153" s="6" t="s">
        <v>1845</v>
      </c>
      <c r="D153" s="6" t="s">
        <v>1846</v>
      </c>
      <c r="F153" s="6">
        <v>53450.0</v>
      </c>
      <c r="G153" s="6" t="s">
        <v>1848</v>
      </c>
      <c r="H153" s="6" t="s">
        <v>859</v>
      </c>
      <c r="I153" s="6" t="s">
        <v>860</v>
      </c>
      <c r="J153" t="b">
        <v>0</v>
      </c>
      <c r="K153" t="b">
        <v>0</v>
      </c>
    </row>
    <row r="154" hidden="1">
      <c r="A154" s="6">
        <v>153.0</v>
      </c>
      <c r="B154" s="6">
        <v>5.563408037E9</v>
      </c>
      <c r="C154" s="6" t="s">
        <v>1850</v>
      </c>
      <c r="D154" s="6" t="s">
        <v>1851</v>
      </c>
      <c r="F154" s="6">
        <v>56134.0</v>
      </c>
      <c r="G154" s="6" t="s">
        <v>1852</v>
      </c>
      <c r="H154" s="6" t="s">
        <v>859</v>
      </c>
      <c r="I154" s="6" t="s">
        <v>860</v>
      </c>
      <c r="J154" t="b">
        <v>0</v>
      </c>
      <c r="K154" t="b">
        <v>0</v>
      </c>
    </row>
    <row r="155" hidden="1">
      <c r="A155" s="6">
        <v>154.0</v>
      </c>
      <c r="B155" s="6">
        <v>5.591311328E9</v>
      </c>
      <c r="C155" s="6" t="s">
        <v>1854</v>
      </c>
      <c r="D155" s="6" t="s">
        <v>278</v>
      </c>
      <c r="E155" s="6" t="s">
        <v>278</v>
      </c>
      <c r="F155" s="6">
        <v>41474.0</v>
      </c>
      <c r="G155" s="6" t="s">
        <v>281</v>
      </c>
      <c r="H155" s="6" t="s">
        <v>859</v>
      </c>
      <c r="I155" s="6" t="s">
        <v>860</v>
      </c>
      <c r="J155" t="b">
        <v>0</v>
      </c>
      <c r="K155" t="b">
        <v>0</v>
      </c>
    </row>
    <row r="156" hidden="1">
      <c r="A156" s="6">
        <v>155.0</v>
      </c>
      <c r="B156" s="6">
        <v>5.561317487E9</v>
      </c>
      <c r="C156" s="6" t="s">
        <v>1856</v>
      </c>
      <c r="D156" s="6" t="s">
        <v>1857</v>
      </c>
      <c r="F156" s="6">
        <v>55593.0</v>
      </c>
      <c r="G156" s="6" t="s">
        <v>1066</v>
      </c>
      <c r="H156" s="6" t="s">
        <v>859</v>
      </c>
      <c r="I156" s="6" t="s">
        <v>860</v>
      </c>
      <c r="J156" t="b">
        <v>0</v>
      </c>
      <c r="K156" t="b">
        <v>0</v>
      </c>
    </row>
    <row r="157" hidden="1">
      <c r="A157" s="6">
        <v>156.0</v>
      </c>
      <c r="B157" s="6">
        <v>5.565464939E9</v>
      </c>
      <c r="C157" s="6" t="s">
        <v>1859</v>
      </c>
      <c r="D157" s="6" t="s">
        <v>1860</v>
      </c>
      <c r="F157" s="6">
        <v>55652.0</v>
      </c>
      <c r="G157" s="6" t="s">
        <v>1066</v>
      </c>
      <c r="H157" s="6" t="s">
        <v>859</v>
      </c>
      <c r="I157" s="6" t="s">
        <v>860</v>
      </c>
      <c r="J157" t="b">
        <v>0</v>
      </c>
      <c r="K157" t="b">
        <v>0</v>
      </c>
    </row>
    <row r="158" hidden="1">
      <c r="A158" s="6">
        <v>157.0</v>
      </c>
      <c r="B158" s="6">
        <v>5.565693743E9</v>
      </c>
      <c r="C158" s="6" t="s">
        <v>1864</v>
      </c>
      <c r="D158" s="6" t="s">
        <v>1865</v>
      </c>
      <c r="F158" s="6">
        <v>66193.0</v>
      </c>
      <c r="G158" s="6" t="s">
        <v>1866</v>
      </c>
      <c r="H158" s="6" t="s">
        <v>859</v>
      </c>
      <c r="I158" s="6" t="s">
        <v>860</v>
      </c>
      <c r="J158" t="b">
        <v>0</v>
      </c>
      <c r="K158" t="b">
        <v>0</v>
      </c>
    </row>
    <row r="159" hidden="1">
      <c r="A159" s="6">
        <v>158.0</v>
      </c>
      <c r="C159" s="6" t="s">
        <v>1867</v>
      </c>
      <c r="D159" s="6" t="s">
        <v>1869</v>
      </c>
      <c r="E159" s="6" t="s">
        <v>1870</v>
      </c>
      <c r="F159" s="6" t="s">
        <v>1871</v>
      </c>
      <c r="G159" s="6" t="s">
        <v>1872</v>
      </c>
      <c r="H159" s="6" t="s">
        <v>1041</v>
      </c>
      <c r="I159" s="6" t="s">
        <v>1042</v>
      </c>
      <c r="J159" t="b">
        <v>0</v>
      </c>
      <c r="K159" t="b">
        <v>0</v>
      </c>
    </row>
    <row r="160">
      <c r="A160" s="6">
        <v>159.0</v>
      </c>
      <c r="B160" s="6">
        <v>8.503174719E9</v>
      </c>
      <c r="C160" s="6" t="s">
        <v>1875</v>
      </c>
      <c r="D160" s="6" t="s">
        <v>1876</v>
      </c>
      <c r="F160" s="6">
        <v>53450.0</v>
      </c>
      <c r="G160" s="6" t="s">
        <v>614</v>
      </c>
      <c r="H160" s="6" t="s">
        <v>859</v>
      </c>
      <c r="I160" s="6" t="s">
        <v>860</v>
      </c>
      <c r="J160" s="6" t="b">
        <v>1</v>
      </c>
      <c r="K160" t="b">
        <v>0</v>
      </c>
    </row>
    <row r="161" hidden="1">
      <c r="A161" s="6">
        <v>160.0</v>
      </c>
      <c r="B161" s="6">
        <v>5.565528295E9</v>
      </c>
      <c r="C161" s="6" t="s">
        <v>1877</v>
      </c>
      <c r="D161" s="6" t="s">
        <v>1878</v>
      </c>
      <c r="F161" s="6">
        <v>50635.0</v>
      </c>
      <c r="G161" s="6" t="s">
        <v>1879</v>
      </c>
      <c r="H161" s="6" t="s">
        <v>859</v>
      </c>
      <c r="I161" s="6" t="s">
        <v>860</v>
      </c>
      <c r="J161" t="b">
        <v>0</v>
      </c>
      <c r="K161" t="b">
        <v>0</v>
      </c>
    </row>
    <row r="162" hidden="1">
      <c r="A162" s="6">
        <v>161.0</v>
      </c>
      <c r="B162" s="6">
        <v>5.59168619E9</v>
      </c>
      <c r="C162" s="6" t="s">
        <v>1881</v>
      </c>
      <c r="D162" s="6" t="s">
        <v>1882</v>
      </c>
      <c r="F162" s="6">
        <v>95391.0</v>
      </c>
      <c r="G162" s="6" t="s">
        <v>1884</v>
      </c>
      <c r="H162" s="6" t="s">
        <v>859</v>
      </c>
      <c r="I162" s="6" t="s">
        <v>860</v>
      </c>
      <c r="J162" t="b">
        <v>0</v>
      </c>
      <c r="K162" t="b">
        <v>0</v>
      </c>
    </row>
    <row r="163" hidden="1">
      <c r="A163" s="6">
        <v>162.0</v>
      </c>
      <c r="B163" s="6">
        <v>5.560719105E9</v>
      </c>
      <c r="C163" s="6" t="s">
        <v>1885</v>
      </c>
      <c r="D163" s="6" t="s">
        <v>1886</v>
      </c>
      <c r="F163" s="6">
        <v>41474.0</v>
      </c>
      <c r="G163" s="6" t="s">
        <v>1027</v>
      </c>
      <c r="H163" s="6" t="s">
        <v>859</v>
      </c>
      <c r="I163" s="6" t="s">
        <v>860</v>
      </c>
      <c r="J163" t="b">
        <v>0</v>
      </c>
      <c r="K163" t="b">
        <v>0</v>
      </c>
    </row>
    <row r="164" hidden="1">
      <c r="A164" s="6">
        <v>163.0</v>
      </c>
      <c r="B164" s="6">
        <v>8.10827723E9</v>
      </c>
      <c r="C164" s="6" t="s">
        <v>106</v>
      </c>
      <c r="D164" s="6" t="s">
        <v>400</v>
      </c>
      <c r="F164" s="6">
        <v>54235.0</v>
      </c>
      <c r="G164" s="6" t="s">
        <v>1890</v>
      </c>
      <c r="H164" s="6" t="s">
        <v>859</v>
      </c>
      <c r="I164" s="6" t="s">
        <v>860</v>
      </c>
      <c r="J164" t="b">
        <v>0</v>
      </c>
      <c r="K164" t="b">
        <v>0</v>
      </c>
    </row>
    <row r="165" hidden="1">
      <c r="A165" s="6">
        <v>164.0</v>
      </c>
      <c r="B165" s="6">
        <v>5.565425757E9</v>
      </c>
      <c r="C165" s="6" t="s">
        <v>1891</v>
      </c>
      <c r="D165" s="6" t="s">
        <v>1892</v>
      </c>
      <c r="F165" s="6">
        <v>41114.0</v>
      </c>
      <c r="G165" s="6" t="s">
        <v>1027</v>
      </c>
      <c r="H165" s="6" t="s">
        <v>859</v>
      </c>
      <c r="I165" s="6" t="s">
        <v>860</v>
      </c>
      <c r="J165" t="b">
        <v>0</v>
      </c>
      <c r="K165" t="b">
        <v>0</v>
      </c>
    </row>
    <row r="166" hidden="1">
      <c r="A166" s="6">
        <v>165.0</v>
      </c>
      <c r="B166" s="6">
        <v>5.568253347E9</v>
      </c>
      <c r="C166" s="6" t="s">
        <v>1893</v>
      </c>
      <c r="D166" s="6" t="s">
        <v>1894</v>
      </c>
      <c r="F166" s="6">
        <v>50435.0</v>
      </c>
      <c r="G166" s="6" t="s">
        <v>1879</v>
      </c>
      <c r="H166" s="6" t="s">
        <v>859</v>
      </c>
      <c r="I166" s="6" t="s">
        <v>860</v>
      </c>
      <c r="J166" t="b">
        <v>0</v>
      </c>
      <c r="K166" t="b">
        <v>0</v>
      </c>
    </row>
    <row r="167" hidden="1">
      <c r="A167" s="6">
        <v>166.0</v>
      </c>
      <c r="B167" s="6">
        <v>5.591236681E9</v>
      </c>
      <c r="C167" s="6" t="s">
        <v>1898</v>
      </c>
      <c r="D167" s="6" t="s">
        <v>579</v>
      </c>
      <c r="F167" s="6">
        <v>85124.0</v>
      </c>
      <c r="G167" s="6" t="s">
        <v>1899</v>
      </c>
      <c r="H167" s="6" t="s">
        <v>859</v>
      </c>
      <c r="I167" s="6" t="s">
        <v>860</v>
      </c>
      <c r="J167" t="b">
        <v>0</v>
      </c>
      <c r="K167" t="b">
        <v>0</v>
      </c>
    </row>
    <row r="168" hidden="1">
      <c r="A168" s="6">
        <v>167.0</v>
      </c>
      <c r="B168" s="6">
        <v>1.620052322E9</v>
      </c>
      <c r="C168" s="6" t="s">
        <v>1900</v>
      </c>
      <c r="D168" s="6" t="s">
        <v>1901</v>
      </c>
      <c r="E168" s="6" t="s">
        <v>1902</v>
      </c>
      <c r="F168" s="6" t="s">
        <v>1903</v>
      </c>
      <c r="G168" s="6" t="s">
        <v>1904</v>
      </c>
      <c r="H168" s="6" t="s">
        <v>1905</v>
      </c>
      <c r="I168" s="6" t="s">
        <v>1906</v>
      </c>
      <c r="J168" t="b">
        <v>0</v>
      </c>
      <c r="K168" t="b">
        <v>0</v>
      </c>
      <c r="L168" s="6" t="s">
        <v>1908</v>
      </c>
    </row>
    <row r="169" hidden="1">
      <c r="A169" s="6">
        <v>168.0</v>
      </c>
      <c r="B169" s="6">
        <v>5.164038662E9</v>
      </c>
      <c r="C169" s="6" t="s">
        <v>1911</v>
      </c>
      <c r="D169" s="6" t="s">
        <v>1912</v>
      </c>
      <c r="F169" s="6">
        <v>40314.0</v>
      </c>
      <c r="G169" s="6" t="s">
        <v>1027</v>
      </c>
      <c r="H169" s="6" t="s">
        <v>859</v>
      </c>
      <c r="I169" s="6" t="s">
        <v>860</v>
      </c>
      <c r="J169" t="b">
        <v>0</v>
      </c>
      <c r="K169" t="b">
        <v>0</v>
      </c>
    </row>
    <row r="170" hidden="1">
      <c r="A170" s="6">
        <v>169.0</v>
      </c>
      <c r="B170" s="6">
        <v>5.561375113E9</v>
      </c>
      <c r="C170" s="6" t="s">
        <v>1913</v>
      </c>
      <c r="D170" s="6" t="s">
        <v>1914</v>
      </c>
      <c r="F170" s="6">
        <v>11788.0</v>
      </c>
      <c r="G170" s="6" t="s">
        <v>989</v>
      </c>
      <c r="H170" s="6" t="s">
        <v>859</v>
      </c>
      <c r="I170" s="6" t="s">
        <v>860</v>
      </c>
      <c r="J170" t="b">
        <v>0</v>
      </c>
      <c r="K170" t="b">
        <v>0</v>
      </c>
    </row>
    <row r="171" hidden="1">
      <c r="A171" s="6">
        <v>170.0</v>
      </c>
      <c r="B171" s="6">
        <v>5.590838644E9</v>
      </c>
      <c r="C171" s="6" t="s">
        <v>1916</v>
      </c>
      <c r="D171" s="6" t="s">
        <v>1918</v>
      </c>
      <c r="F171" s="6">
        <v>37141.0</v>
      </c>
      <c r="G171" s="6" t="s">
        <v>1054</v>
      </c>
      <c r="H171" s="6" t="s">
        <v>859</v>
      </c>
      <c r="I171" s="6" t="s">
        <v>860</v>
      </c>
      <c r="J171" t="b">
        <v>0</v>
      </c>
      <c r="K171" t="b">
        <v>0</v>
      </c>
    </row>
    <row r="172" hidden="1">
      <c r="A172" s="6">
        <v>171.0</v>
      </c>
      <c r="B172" s="6">
        <v>5.591229892E9</v>
      </c>
      <c r="C172" s="6" t="s">
        <v>1919</v>
      </c>
      <c r="D172" s="6" t="s">
        <v>715</v>
      </c>
      <c r="F172" s="6">
        <v>72137.0</v>
      </c>
      <c r="G172" s="6" t="s">
        <v>1231</v>
      </c>
      <c r="H172" s="6" t="s">
        <v>859</v>
      </c>
      <c r="I172" s="6" t="s">
        <v>860</v>
      </c>
      <c r="J172" t="b">
        <v>0</v>
      </c>
      <c r="K172" t="b">
        <v>0</v>
      </c>
    </row>
    <row r="173" hidden="1">
      <c r="A173" s="6">
        <v>172.0</v>
      </c>
      <c r="B173" s="6">
        <v>5.567889414E9</v>
      </c>
      <c r="C173" s="6" t="s">
        <v>1923</v>
      </c>
      <c r="D173" s="6" t="s">
        <v>1924</v>
      </c>
      <c r="F173" s="6">
        <v>11553.0</v>
      </c>
      <c r="G173" s="6" t="s">
        <v>989</v>
      </c>
      <c r="H173" s="6" t="s">
        <v>859</v>
      </c>
      <c r="I173" s="6" t="s">
        <v>860</v>
      </c>
      <c r="J173" t="b">
        <v>0</v>
      </c>
      <c r="K173" t="b">
        <v>0</v>
      </c>
    </row>
    <row r="174" hidden="1">
      <c r="A174" s="6">
        <v>173.0</v>
      </c>
      <c r="B174" s="6">
        <v>5.565436291E9</v>
      </c>
      <c r="C174" s="6" t="s">
        <v>1925</v>
      </c>
      <c r="D174" s="6" t="s">
        <v>1926</v>
      </c>
      <c r="F174" s="6">
        <v>31061.0</v>
      </c>
      <c r="G174" s="6" t="s">
        <v>1927</v>
      </c>
      <c r="H174" s="6" t="s">
        <v>859</v>
      </c>
      <c r="I174" s="6" t="s">
        <v>860</v>
      </c>
      <c r="J174" t="b">
        <v>0</v>
      </c>
      <c r="K174" t="b">
        <v>0</v>
      </c>
    </row>
    <row r="175" hidden="1">
      <c r="A175" s="6">
        <v>174.0</v>
      </c>
      <c r="B175" s="6">
        <v>5.565970513E9</v>
      </c>
      <c r="C175" s="6" t="s">
        <v>1929</v>
      </c>
      <c r="D175" s="6" t="s">
        <v>1930</v>
      </c>
      <c r="F175" s="6">
        <v>43833.0</v>
      </c>
      <c r="G175" s="6" t="s">
        <v>1931</v>
      </c>
      <c r="H175" s="6" t="s">
        <v>859</v>
      </c>
      <c r="I175" s="6" t="s">
        <v>860</v>
      </c>
      <c r="J175" t="b">
        <v>0</v>
      </c>
      <c r="K175" t="b">
        <v>0</v>
      </c>
    </row>
    <row r="176">
      <c r="A176" s="6">
        <v>175.0</v>
      </c>
      <c r="B176" s="6">
        <v>5.568716962E9</v>
      </c>
      <c r="C176" s="6" t="s">
        <v>1932</v>
      </c>
      <c r="D176" s="6" t="s">
        <v>634</v>
      </c>
      <c r="F176" s="6">
        <v>39239.0</v>
      </c>
      <c r="G176" s="6" t="s">
        <v>1512</v>
      </c>
      <c r="H176" s="6" t="s">
        <v>859</v>
      </c>
      <c r="I176" s="6" t="s">
        <v>860</v>
      </c>
      <c r="J176" s="6" t="b">
        <v>1</v>
      </c>
      <c r="K176" t="b">
        <v>0</v>
      </c>
    </row>
    <row r="177">
      <c r="A177" s="6">
        <v>176.0</v>
      </c>
      <c r="B177" s="6">
        <v>5.591473037E9</v>
      </c>
      <c r="C177" s="6" t="s">
        <v>1933</v>
      </c>
      <c r="D177" s="6" t="s">
        <v>674</v>
      </c>
      <c r="F177" s="6">
        <v>63346.0</v>
      </c>
      <c r="G177" s="6" t="s">
        <v>1934</v>
      </c>
      <c r="H177" s="6" t="s">
        <v>859</v>
      </c>
      <c r="I177" s="6" t="s">
        <v>860</v>
      </c>
      <c r="J177" s="6" t="b">
        <v>1</v>
      </c>
      <c r="K177" t="b">
        <v>0</v>
      </c>
    </row>
    <row r="178" hidden="1">
      <c r="A178" s="6">
        <v>177.0</v>
      </c>
      <c r="B178" s="6" t="s">
        <v>1935</v>
      </c>
      <c r="C178" s="6" t="s">
        <v>1936</v>
      </c>
      <c r="D178" s="6" t="s">
        <v>1937</v>
      </c>
      <c r="F178" s="6">
        <v>6000.0</v>
      </c>
      <c r="G178" s="6">
        <v>6000.0</v>
      </c>
      <c r="H178" s="6" t="s">
        <v>1938</v>
      </c>
      <c r="I178" s="6" t="s">
        <v>1939</v>
      </c>
      <c r="J178" t="b">
        <v>0</v>
      </c>
      <c r="K178" t="b">
        <v>0</v>
      </c>
    </row>
    <row r="179" hidden="1">
      <c r="A179" s="6">
        <v>178.0</v>
      </c>
      <c r="B179" s="6">
        <v>7.401075853E9</v>
      </c>
      <c r="C179" s="6" t="s">
        <v>1941</v>
      </c>
      <c r="D179" s="6" t="s">
        <v>620</v>
      </c>
      <c r="F179" s="6">
        <v>58644.0</v>
      </c>
      <c r="G179" s="6" t="s">
        <v>1729</v>
      </c>
      <c r="H179" s="6" t="s">
        <v>859</v>
      </c>
      <c r="I179" s="6" t="s">
        <v>860</v>
      </c>
      <c r="J179" t="b">
        <v>0</v>
      </c>
      <c r="K179" t="b">
        <v>0</v>
      </c>
    </row>
    <row r="180" hidden="1">
      <c r="A180" s="6">
        <v>179.0</v>
      </c>
      <c r="C180" s="6" t="s">
        <v>1943</v>
      </c>
      <c r="D180" s="6" t="s">
        <v>1944</v>
      </c>
      <c r="F180" s="6">
        <v>42658.0</v>
      </c>
      <c r="G180" s="6" t="s">
        <v>524</v>
      </c>
      <c r="J180" t="b">
        <v>0</v>
      </c>
      <c r="K180" t="b">
        <v>0</v>
      </c>
    </row>
    <row r="181">
      <c r="A181" s="6">
        <v>180.0</v>
      </c>
      <c r="B181" s="6">
        <v>5.563579431E9</v>
      </c>
      <c r="C181" s="6" t="s">
        <v>1945</v>
      </c>
      <c r="D181" s="6" t="s">
        <v>1946</v>
      </c>
      <c r="F181" s="6">
        <v>29641.0</v>
      </c>
      <c r="G181" s="6" t="s">
        <v>1947</v>
      </c>
      <c r="H181" s="6" t="s">
        <v>859</v>
      </c>
      <c r="I181" s="6" t="s">
        <v>860</v>
      </c>
      <c r="J181" s="6" t="b">
        <v>1</v>
      </c>
      <c r="K181" t="b">
        <v>0</v>
      </c>
    </row>
    <row r="182" hidden="1">
      <c r="A182" s="6">
        <v>181.0</v>
      </c>
      <c r="B182" s="6">
        <v>7.50718515E9</v>
      </c>
      <c r="C182" s="6" t="s">
        <v>517</v>
      </c>
      <c r="D182" s="6" t="s">
        <v>522</v>
      </c>
      <c r="F182" s="6">
        <v>42131.0</v>
      </c>
      <c r="G182" s="6" t="s">
        <v>524</v>
      </c>
      <c r="H182" s="6" t="s">
        <v>859</v>
      </c>
      <c r="I182" s="6" t="s">
        <v>860</v>
      </c>
      <c r="J182" s="6" t="b">
        <v>0</v>
      </c>
      <c r="K182" t="b">
        <v>0</v>
      </c>
    </row>
    <row r="183" hidden="1">
      <c r="A183" s="6">
        <v>182.0</v>
      </c>
      <c r="B183" s="6">
        <v>5.567456487E9</v>
      </c>
      <c r="C183" s="6" t="s">
        <v>1951</v>
      </c>
      <c r="D183" s="6" t="s">
        <v>1952</v>
      </c>
      <c r="F183" s="6">
        <v>43974.0</v>
      </c>
      <c r="G183" s="6" t="s">
        <v>1953</v>
      </c>
      <c r="H183" s="6" t="s">
        <v>859</v>
      </c>
      <c r="I183" s="6" t="s">
        <v>860</v>
      </c>
      <c r="J183" t="b">
        <v>0</v>
      </c>
      <c r="K183" t="b">
        <v>0</v>
      </c>
    </row>
    <row r="184" hidden="1">
      <c r="A184" s="6">
        <v>183.0</v>
      </c>
      <c r="B184" s="6">
        <v>4.708177151E9</v>
      </c>
      <c r="C184" s="6" t="s">
        <v>1954</v>
      </c>
      <c r="D184" s="6" t="s">
        <v>1955</v>
      </c>
      <c r="F184" s="6">
        <v>58750.0</v>
      </c>
      <c r="G184" s="6" t="s">
        <v>1729</v>
      </c>
      <c r="H184" s="6" t="s">
        <v>859</v>
      </c>
      <c r="I184" s="6" t="s">
        <v>860</v>
      </c>
      <c r="J184" t="b">
        <v>0</v>
      </c>
      <c r="K184" t="b">
        <v>0</v>
      </c>
    </row>
    <row r="185" hidden="1">
      <c r="A185" s="6">
        <v>184.0</v>
      </c>
      <c r="B185" s="6">
        <v>5.566086673E9</v>
      </c>
      <c r="C185" s="6" t="s">
        <v>1957</v>
      </c>
      <c r="D185" s="6" t="s">
        <v>1958</v>
      </c>
      <c r="F185" s="6">
        <v>12702.0</v>
      </c>
      <c r="G185" s="6" t="s">
        <v>1959</v>
      </c>
      <c r="H185" s="6" t="s">
        <v>859</v>
      </c>
      <c r="I185" s="6" t="s">
        <v>860</v>
      </c>
      <c r="J185" t="b">
        <v>0</v>
      </c>
      <c r="K185" t="b">
        <v>0</v>
      </c>
    </row>
    <row r="186" hidden="1">
      <c r="A186" s="6">
        <v>185.0</v>
      </c>
      <c r="B186" s="6">
        <v>5.569983538E9</v>
      </c>
      <c r="C186" s="6" t="s">
        <v>1962</v>
      </c>
      <c r="D186" s="6" t="s">
        <v>321</v>
      </c>
      <c r="F186" s="6">
        <v>78172.0</v>
      </c>
      <c r="G186" s="6" t="s">
        <v>1678</v>
      </c>
      <c r="H186" s="6" t="s">
        <v>859</v>
      </c>
      <c r="I186" s="6" t="s">
        <v>860</v>
      </c>
      <c r="J186" t="b">
        <v>0</v>
      </c>
      <c r="K186" t="b">
        <v>0</v>
      </c>
    </row>
    <row r="187">
      <c r="A187" s="6">
        <v>186.0</v>
      </c>
      <c r="B187" s="6">
        <v>5.590043716E9</v>
      </c>
      <c r="C187" s="6" t="s">
        <v>1963</v>
      </c>
      <c r="D187" s="6" t="s">
        <v>1964</v>
      </c>
      <c r="F187" s="6">
        <v>43137.0</v>
      </c>
      <c r="G187" s="6" t="s">
        <v>1047</v>
      </c>
      <c r="H187" s="6" t="s">
        <v>859</v>
      </c>
      <c r="I187" s="6" t="s">
        <v>860</v>
      </c>
      <c r="J187" s="6" t="b">
        <v>1</v>
      </c>
      <c r="K187" t="b">
        <v>0</v>
      </c>
    </row>
    <row r="188" hidden="1">
      <c r="A188" s="6">
        <v>187.0</v>
      </c>
      <c r="C188" s="6" t="s">
        <v>1969</v>
      </c>
      <c r="D188" s="6" t="s">
        <v>1970</v>
      </c>
      <c r="F188" s="6">
        <v>6132.0</v>
      </c>
      <c r="G188" s="6" t="s">
        <v>1972</v>
      </c>
      <c r="H188" s="6" t="s">
        <v>1763</v>
      </c>
      <c r="I188" s="6" t="s">
        <v>1764</v>
      </c>
      <c r="J188" t="b">
        <v>0</v>
      </c>
      <c r="K188" t="b">
        <v>0</v>
      </c>
    </row>
    <row r="189">
      <c r="A189" s="6">
        <v>188.0</v>
      </c>
      <c r="B189" s="6">
        <v>5.590178637E9</v>
      </c>
      <c r="C189" s="6" t="s">
        <v>1973</v>
      </c>
      <c r="D189" s="6" t="s">
        <v>470</v>
      </c>
      <c r="F189" s="6">
        <v>30241.0</v>
      </c>
      <c r="G189" s="6" t="s">
        <v>1160</v>
      </c>
      <c r="H189" s="6" t="s">
        <v>859</v>
      </c>
      <c r="I189" s="6" t="s">
        <v>860</v>
      </c>
      <c r="J189" s="6" t="b">
        <v>1</v>
      </c>
      <c r="K189" t="b">
        <v>0</v>
      </c>
    </row>
    <row r="190">
      <c r="A190" s="6">
        <v>189.0</v>
      </c>
      <c r="B190" s="6">
        <v>5.592087547E9</v>
      </c>
      <c r="C190" s="6" t="s">
        <v>1974</v>
      </c>
      <c r="D190" s="6" t="s">
        <v>715</v>
      </c>
      <c r="F190" s="6">
        <v>72137.0</v>
      </c>
      <c r="G190" s="6" t="s">
        <v>1231</v>
      </c>
      <c r="H190" s="6" t="s">
        <v>859</v>
      </c>
      <c r="I190" s="6" t="s">
        <v>860</v>
      </c>
      <c r="J190" s="6" t="b">
        <v>1</v>
      </c>
      <c r="K190" t="b">
        <v>0</v>
      </c>
    </row>
    <row r="191">
      <c r="A191" s="6">
        <v>190.0</v>
      </c>
      <c r="B191" s="6">
        <v>5.56681032E9</v>
      </c>
      <c r="C191" s="6" t="s">
        <v>1975</v>
      </c>
      <c r="D191" s="6" t="s">
        <v>1976</v>
      </c>
      <c r="F191" s="6">
        <v>31132.0</v>
      </c>
      <c r="G191" s="6" t="s">
        <v>1834</v>
      </c>
      <c r="H191" s="6" t="s">
        <v>859</v>
      </c>
      <c r="I191" s="6" t="s">
        <v>860</v>
      </c>
      <c r="J191" s="6" t="b">
        <v>1</v>
      </c>
      <c r="K191" t="b">
        <v>0</v>
      </c>
    </row>
    <row r="192" hidden="1">
      <c r="A192" s="6">
        <v>191.0</v>
      </c>
      <c r="B192" s="6">
        <v>5.560670266E9</v>
      </c>
      <c r="C192" s="6" t="s">
        <v>1978</v>
      </c>
      <c r="D192" s="6" t="s">
        <v>1979</v>
      </c>
      <c r="F192" s="6">
        <v>43893.0</v>
      </c>
      <c r="G192" s="6" t="s">
        <v>1931</v>
      </c>
      <c r="H192" s="6" t="s">
        <v>859</v>
      </c>
      <c r="I192" s="6" t="s">
        <v>860</v>
      </c>
      <c r="J192" t="b">
        <v>0</v>
      </c>
      <c r="K192" t="b">
        <v>0</v>
      </c>
    </row>
    <row r="193" hidden="1">
      <c r="A193" s="6">
        <v>192.0</v>
      </c>
      <c r="B193" s="6">
        <v>5.568582125E9</v>
      </c>
      <c r="C193" s="6" t="s">
        <v>1980</v>
      </c>
      <c r="D193" s="6" t="s">
        <v>705</v>
      </c>
      <c r="F193" s="6">
        <v>46137.0</v>
      </c>
      <c r="G193" s="6" t="s">
        <v>1981</v>
      </c>
      <c r="H193" s="6" t="s">
        <v>859</v>
      </c>
      <c r="I193" s="6" t="s">
        <v>860</v>
      </c>
      <c r="J193" t="b">
        <v>0</v>
      </c>
      <c r="K193" t="b">
        <v>0</v>
      </c>
    </row>
    <row r="194" hidden="1">
      <c r="A194" s="6">
        <v>193.0</v>
      </c>
      <c r="C194" s="6" t="s">
        <v>1982</v>
      </c>
      <c r="D194" s="6" t="s">
        <v>1983</v>
      </c>
      <c r="F194" s="6">
        <v>60323.0</v>
      </c>
      <c r="G194" s="6" t="s">
        <v>1984</v>
      </c>
      <c r="H194" s="6" t="s">
        <v>881</v>
      </c>
      <c r="I194" s="6" t="s">
        <v>882</v>
      </c>
      <c r="J194" t="b">
        <v>0</v>
      </c>
      <c r="K194" t="b">
        <v>0</v>
      </c>
    </row>
    <row r="195">
      <c r="A195" s="6">
        <v>194.0</v>
      </c>
      <c r="B195" s="6">
        <v>5.564694296E9</v>
      </c>
      <c r="C195" s="6" t="s">
        <v>1055</v>
      </c>
      <c r="D195" s="6" t="s">
        <v>1986</v>
      </c>
      <c r="F195" s="6">
        <v>80592.0</v>
      </c>
      <c r="G195" s="6" t="s">
        <v>463</v>
      </c>
      <c r="H195" s="6" t="s">
        <v>859</v>
      </c>
      <c r="I195" s="6" t="s">
        <v>860</v>
      </c>
      <c r="J195" s="6" t="b">
        <v>1</v>
      </c>
      <c r="K195" t="b">
        <v>0</v>
      </c>
    </row>
    <row r="196" hidden="1">
      <c r="A196" s="6">
        <v>195.0</v>
      </c>
      <c r="B196" s="6">
        <v>5.585008039E9</v>
      </c>
      <c r="C196" s="6" t="s">
        <v>1987</v>
      </c>
      <c r="D196" s="6" t="s">
        <v>1989</v>
      </c>
      <c r="F196" s="6">
        <v>40484.0</v>
      </c>
      <c r="G196" s="6" t="s">
        <v>1027</v>
      </c>
      <c r="H196" s="6" t="s">
        <v>859</v>
      </c>
      <c r="I196" s="6" t="s">
        <v>860</v>
      </c>
      <c r="J196" t="b">
        <v>0</v>
      </c>
      <c r="K196" t="b">
        <v>0</v>
      </c>
    </row>
    <row r="197" hidden="1">
      <c r="A197" s="6">
        <v>196.0</v>
      </c>
      <c r="B197" s="6">
        <v>5.585008039E9</v>
      </c>
      <c r="C197" s="6" t="s">
        <v>1991</v>
      </c>
      <c r="D197" s="6" t="s">
        <v>1989</v>
      </c>
      <c r="F197" s="6">
        <v>40484.0</v>
      </c>
      <c r="G197" s="6" t="s">
        <v>1027</v>
      </c>
      <c r="H197" s="6" t="s">
        <v>859</v>
      </c>
      <c r="I197" s="6" t="s">
        <v>860</v>
      </c>
      <c r="J197" t="b">
        <v>0</v>
      </c>
      <c r="K197" t="b">
        <v>0</v>
      </c>
    </row>
    <row r="198">
      <c r="A198" s="6">
        <v>197.0</v>
      </c>
      <c r="B198" s="6">
        <v>5.569768806E9</v>
      </c>
      <c r="C198" s="6" t="s">
        <v>1992</v>
      </c>
      <c r="D198" s="6" t="s">
        <v>1993</v>
      </c>
      <c r="F198" s="6">
        <v>27139.0</v>
      </c>
      <c r="G198" s="6" t="s">
        <v>1994</v>
      </c>
      <c r="H198" s="6" t="s">
        <v>859</v>
      </c>
      <c r="I198" s="6" t="s">
        <v>860</v>
      </c>
      <c r="J198" s="6" t="b">
        <v>1</v>
      </c>
      <c r="K198" t="b">
        <v>0</v>
      </c>
    </row>
    <row r="199" hidden="1">
      <c r="A199" s="6">
        <v>198.0</v>
      </c>
      <c r="B199" s="6">
        <v>5.591937585E9</v>
      </c>
      <c r="C199" s="6" t="s">
        <v>1996</v>
      </c>
      <c r="D199" s="6" t="s">
        <v>1997</v>
      </c>
      <c r="F199" s="6">
        <v>85644.0</v>
      </c>
      <c r="G199" s="6" t="s">
        <v>1899</v>
      </c>
      <c r="H199" s="6" t="s">
        <v>859</v>
      </c>
      <c r="I199" s="6" t="s">
        <v>860</v>
      </c>
      <c r="J199" t="b">
        <v>0</v>
      </c>
      <c r="K199" t="b">
        <v>0</v>
      </c>
    </row>
    <row r="200" hidden="1">
      <c r="A200" s="6">
        <v>199.0</v>
      </c>
      <c r="B200" s="6">
        <v>5.568924194E9</v>
      </c>
      <c r="C200" s="6" t="s">
        <v>1999</v>
      </c>
      <c r="D200" s="6" t="s">
        <v>2000</v>
      </c>
      <c r="F200" s="6">
        <v>91593.0</v>
      </c>
      <c r="G200" s="6" t="s">
        <v>2001</v>
      </c>
      <c r="H200" s="6" t="s">
        <v>859</v>
      </c>
      <c r="I200" s="6" t="s">
        <v>860</v>
      </c>
      <c r="J200" t="b">
        <v>0</v>
      </c>
      <c r="K200" t="b">
        <v>0</v>
      </c>
    </row>
    <row r="201" hidden="1">
      <c r="A201" s="6">
        <v>200.0</v>
      </c>
      <c r="B201" s="6">
        <v>9.69736348E9</v>
      </c>
      <c r="C201" s="6" t="s">
        <v>2002</v>
      </c>
      <c r="D201" s="6" t="s">
        <v>2003</v>
      </c>
      <c r="F201" s="6">
        <v>13549.0</v>
      </c>
      <c r="G201" s="6" t="s">
        <v>1186</v>
      </c>
      <c r="H201" s="6" t="s">
        <v>859</v>
      </c>
      <c r="I201" s="6" t="s">
        <v>860</v>
      </c>
      <c r="J201" t="b">
        <v>0</v>
      </c>
      <c r="K201" t="b">
        <v>0</v>
      </c>
    </row>
    <row r="202" hidden="1">
      <c r="A202" s="6">
        <v>201.0</v>
      </c>
      <c r="B202" s="6">
        <v>5.562224583E9</v>
      </c>
      <c r="C202" s="6" t="s">
        <v>2005</v>
      </c>
      <c r="F202" s="6">
        <v>64023.0</v>
      </c>
      <c r="G202" s="6" t="s">
        <v>2007</v>
      </c>
      <c r="H202" s="6" t="s">
        <v>859</v>
      </c>
      <c r="I202" s="6" t="s">
        <v>860</v>
      </c>
      <c r="J202" t="b">
        <v>0</v>
      </c>
      <c r="K202" t="b">
        <v>0</v>
      </c>
    </row>
    <row r="203">
      <c r="A203" s="6">
        <v>202.0</v>
      </c>
      <c r="B203" s="6">
        <v>5.561030437E9</v>
      </c>
      <c r="C203" s="6" t="s">
        <v>2010</v>
      </c>
      <c r="D203" s="6" t="s">
        <v>2011</v>
      </c>
      <c r="F203" s="6">
        <v>16973.0</v>
      </c>
      <c r="G203" s="6" t="s">
        <v>1322</v>
      </c>
      <c r="H203" s="6" t="s">
        <v>859</v>
      </c>
      <c r="I203" s="6" t="s">
        <v>860</v>
      </c>
      <c r="J203" s="6" t="b">
        <v>1</v>
      </c>
      <c r="K203" t="b">
        <v>0</v>
      </c>
    </row>
    <row r="204" hidden="1">
      <c r="A204" s="6">
        <v>203.0</v>
      </c>
      <c r="B204" s="6">
        <v>5.591743678E9</v>
      </c>
      <c r="C204" s="6" t="s">
        <v>2013</v>
      </c>
      <c r="D204" s="6" t="s">
        <v>863</v>
      </c>
      <c r="F204" s="6">
        <v>80309.0</v>
      </c>
      <c r="G204" s="6" t="s">
        <v>2014</v>
      </c>
      <c r="H204" s="6" t="s">
        <v>859</v>
      </c>
      <c r="I204" s="6" t="s">
        <v>860</v>
      </c>
      <c r="J204" t="b">
        <v>0</v>
      </c>
      <c r="K204" t="b">
        <v>0</v>
      </c>
    </row>
    <row r="205" hidden="1">
      <c r="A205" s="6">
        <v>204.0</v>
      </c>
      <c r="B205" s="6">
        <v>5.561304519E9</v>
      </c>
      <c r="C205" s="6" t="s">
        <v>2016</v>
      </c>
      <c r="D205" s="6" t="s">
        <v>2017</v>
      </c>
      <c r="F205" s="6">
        <v>50433.0</v>
      </c>
      <c r="G205" s="6" t="s">
        <v>1879</v>
      </c>
      <c r="H205" s="6" t="s">
        <v>859</v>
      </c>
      <c r="I205" s="6" t="s">
        <v>860</v>
      </c>
      <c r="J205" t="b">
        <v>0</v>
      </c>
      <c r="K205" t="b">
        <v>0</v>
      </c>
    </row>
    <row r="206">
      <c r="A206" s="6">
        <v>205.0</v>
      </c>
      <c r="B206" s="6">
        <v>5.567437263E9</v>
      </c>
      <c r="C206" s="6" t="s">
        <v>2018</v>
      </c>
      <c r="D206" s="6" t="s">
        <v>604</v>
      </c>
      <c r="F206" s="6">
        <v>51840.0</v>
      </c>
      <c r="G206" s="6" t="s">
        <v>2019</v>
      </c>
      <c r="H206" s="6" t="s">
        <v>859</v>
      </c>
      <c r="I206" s="6" t="s">
        <v>860</v>
      </c>
      <c r="J206" s="6" t="b">
        <v>1</v>
      </c>
      <c r="K206" t="b">
        <v>0</v>
      </c>
    </row>
    <row r="207">
      <c r="A207" s="6">
        <v>206.0</v>
      </c>
      <c r="B207" s="6">
        <v>5.566877667E9</v>
      </c>
      <c r="C207" s="6" t="s">
        <v>2021</v>
      </c>
      <c r="D207" s="6" t="s">
        <v>2022</v>
      </c>
      <c r="F207" s="6">
        <v>75593.0</v>
      </c>
      <c r="G207" s="6" t="s">
        <v>1524</v>
      </c>
      <c r="H207" s="6" t="s">
        <v>859</v>
      </c>
      <c r="I207" s="6" t="s">
        <v>860</v>
      </c>
      <c r="J207" s="6" t="b">
        <v>1</v>
      </c>
      <c r="K207" t="b">
        <v>0</v>
      </c>
    </row>
    <row r="208" hidden="1">
      <c r="A208" s="6">
        <v>207.0</v>
      </c>
      <c r="B208" s="6">
        <v>5.562095363E9</v>
      </c>
      <c r="C208" s="6" t="s">
        <v>2026</v>
      </c>
      <c r="F208" s="6">
        <v>41293.0</v>
      </c>
      <c r="G208" s="6" t="s">
        <v>1027</v>
      </c>
      <c r="H208" s="6" t="s">
        <v>859</v>
      </c>
      <c r="I208" s="6" t="s">
        <v>860</v>
      </c>
      <c r="J208" t="b">
        <v>0</v>
      </c>
      <c r="K208" t="b">
        <v>0</v>
      </c>
    </row>
    <row r="209" hidden="1">
      <c r="A209" s="6">
        <v>208.0</v>
      </c>
      <c r="B209" s="6">
        <v>5.562492412E9</v>
      </c>
      <c r="C209" s="6" t="s">
        <v>2027</v>
      </c>
      <c r="D209" s="6" t="s">
        <v>2028</v>
      </c>
      <c r="F209" s="6">
        <v>41474.0</v>
      </c>
      <c r="G209" s="6" t="s">
        <v>1027</v>
      </c>
      <c r="H209" s="6" t="s">
        <v>859</v>
      </c>
      <c r="I209" s="6" t="s">
        <v>860</v>
      </c>
      <c r="J209" t="b">
        <v>0</v>
      </c>
      <c r="K209" t="b">
        <v>0</v>
      </c>
    </row>
    <row r="210" hidden="1">
      <c r="A210" s="6">
        <v>209.0</v>
      </c>
      <c r="B210" s="6">
        <v>5.020329081E9</v>
      </c>
      <c r="C210" s="6" t="s">
        <v>2029</v>
      </c>
      <c r="J210" t="b">
        <v>0</v>
      </c>
      <c r="K210" t="b">
        <v>0</v>
      </c>
    </row>
    <row r="211" hidden="1">
      <c r="A211" s="6">
        <v>210.0</v>
      </c>
      <c r="B211" s="6">
        <v>9.31173685E8</v>
      </c>
      <c r="C211" s="6" t="s">
        <v>2032</v>
      </c>
      <c r="D211" s="6" t="s">
        <v>2033</v>
      </c>
      <c r="F211" s="6">
        <v>3515.0</v>
      </c>
      <c r="G211" s="6" t="s">
        <v>2034</v>
      </c>
      <c r="H211" s="6" t="s">
        <v>2035</v>
      </c>
      <c r="I211" s="6" t="s">
        <v>2036</v>
      </c>
      <c r="J211" s="6" t="b">
        <v>0</v>
      </c>
      <c r="K211" t="b">
        <v>0</v>
      </c>
    </row>
    <row r="212" hidden="1">
      <c r="A212" s="6">
        <v>211.0</v>
      </c>
      <c r="B212" s="6">
        <v>5.590202049E9</v>
      </c>
      <c r="C212" s="6" t="s">
        <v>2037</v>
      </c>
      <c r="D212" s="6" t="s">
        <v>2038</v>
      </c>
      <c r="F212" s="6">
        <v>24621.0</v>
      </c>
      <c r="G212" s="6" t="s">
        <v>2039</v>
      </c>
      <c r="H212" s="6" t="s">
        <v>859</v>
      </c>
      <c r="I212" s="6" t="s">
        <v>860</v>
      </c>
      <c r="J212" t="b">
        <v>0</v>
      </c>
      <c r="K212" t="b">
        <v>0</v>
      </c>
    </row>
    <row r="213" hidden="1">
      <c r="A213" s="6">
        <v>212.0</v>
      </c>
      <c r="B213" s="6">
        <v>5.563600674E9</v>
      </c>
      <c r="C213" s="6" t="s">
        <v>2041</v>
      </c>
      <c r="D213" s="6" t="s">
        <v>2042</v>
      </c>
      <c r="F213" s="6">
        <v>11346.0</v>
      </c>
      <c r="G213" s="6" t="s">
        <v>989</v>
      </c>
      <c r="H213" s="6" t="s">
        <v>859</v>
      </c>
      <c r="I213" s="6" t="s">
        <v>860</v>
      </c>
      <c r="J213" t="b">
        <v>0</v>
      </c>
      <c r="K213" t="b">
        <v>0</v>
      </c>
    </row>
    <row r="214">
      <c r="A214" s="6">
        <v>213.0</v>
      </c>
      <c r="B214" s="6" t="s">
        <v>2044</v>
      </c>
      <c r="C214" s="6" t="s">
        <v>2045</v>
      </c>
      <c r="D214" s="6" t="s">
        <v>2046</v>
      </c>
      <c r="F214" s="6">
        <v>50016.0</v>
      </c>
      <c r="G214" s="6" t="s">
        <v>2047</v>
      </c>
      <c r="H214" s="6" t="s">
        <v>2048</v>
      </c>
      <c r="I214" s="6" t="s">
        <v>2049</v>
      </c>
      <c r="J214" s="6" t="b">
        <v>1</v>
      </c>
      <c r="K214" t="b">
        <v>0</v>
      </c>
      <c r="L214" s="6" t="s">
        <v>2050</v>
      </c>
    </row>
    <row r="215" hidden="1">
      <c r="A215" s="6">
        <v>214.0</v>
      </c>
      <c r="C215" s="6" t="s">
        <v>2051</v>
      </c>
      <c r="D215" s="6" t="s">
        <v>2052</v>
      </c>
      <c r="F215" s="6" t="s">
        <v>2053</v>
      </c>
      <c r="G215" s="6" t="s">
        <v>2054</v>
      </c>
      <c r="H215" s="6" t="s">
        <v>1041</v>
      </c>
      <c r="I215" s="6" t="s">
        <v>1042</v>
      </c>
      <c r="J215" t="b">
        <v>0</v>
      </c>
      <c r="K215" t="b">
        <v>0</v>
      </c>
    </row>
    <row r="216">
      <c r="A216" s="6">
        <v>215.0</v>
      </c>
      <c r="B216" s="6">
        <v>6.70117627E9</v>
      </c>
      <c r="C216" s="6" t="s">
        <v>683</v>
      </c>
      <c r="D216" s="6" t="s">
        <v>686</v>
      </c>
      <c r="F216" s="6">
        <v>65595.0</v>
      </c>
      <c r="G216" s="6" t="s">
        <v>2057</v>
      </c>
      <c r="H216" s="6" t="s">
        <v>859</v>
      </c>
      <c r="I216" s="6" t="s">
        <v>860</v>
      </c>
      <c r="J216" s="6" t="b">
        <v>1</v>
      </c>
      <c r="K216" t="b">
        <v>0</v>
      </c>
    </row>
    <row r="217">
      <c r="A217" s="6">
        <v>216.0</v>
      </c>
      <c r="B217" s="6">
        <v>5.565746624E9</v>
      </c>
      <c r="C217" s="6" t="s">
        <v>2058</v>
      </c>
      <c r="F217" s="6">
        <v>10640.0</v>
      </c>
      <c r="G217" s="6" t="s">
        <v>989</v>
      </c>
      <c r="H217" s="6" t="s">
        <v>859</v>
      </c>
      <c r="I217" s="6" t="s">
        <v>860</v>
      </c>
      <c r="J217" s="6" t="b">
        <v>1</v>
      </c>
      <c r="K217" t="b">
        <v>0</v>
      </c>
    </row>
    <row r="218">
      <c r="A218" s="6">
        <v>217.0</v>
      </c>
      <c r="B218" s="6">
        <v>9.168513605E9</v>
      </c>
      <c r="C218" s="6" t="s">
        <v>2059</v>
      </c>
      <c r="D218" s="6" t="s">
        <v>2060</v>
      </c>
      <c r="F218" s="6">
        <v>41705.0</v>
      </c>
      <c r="G218" s="6" t="s">
        <v>1027</v>
      </c>
      <c r="H218" s="6" t="s">
        <v>859</v>
      </c>
      <c r="I218" s="6" t="s">
        <v>860</v>
      </c>
      <c r="J218" s="6" t="b">
        <v>1</v>
      </c>
      <c r="K218" s="6" t="b">
        <v>1</v>
      </c>
      <c r="L218" s="6" t="s">
        <v>2062</v>
      </c>
    </row>
    <row r="219">
      <c r="A219" s="6">
        <v>218.0</v>
      </c>
      <c r="B219" s="6">
        <v>7.003179152E9</v>
      </c>
      <c r="C219" s="6" t="s">
        <v>2063</v>
      </c>
      <c r="D219" s="6" t="s">
        <v>560</v>
      </c>
      <c r="E219" s="6" t="s">
        <v>2064</v>
      </c>
      <c r="F219" s="6">
        <v>46492.0</v>
      </c>
      <c r="G219" s="6" t="s">
        <v>2065</v>
      </c>
      <c r="H219" s="6" t="s">
        <v>859</v>
      </c>
      <c r="I219" s="6" t="s">
        <v>860</v>
      </c>
      <c r="J219" s="6" t="b">
        <v>1</v>
      </c>
      <c r="K219" t="b">
        <v>0</v>
      </c>
    </row>
    <row r="220" hidden="1">
      <c r="A220" s="6">
        <v>219.0</v>
      </c>
      <c r="B220" s="6">
        <v>5.562169267E9</v>
      </c>
      <c r="C220" s="6" t="s">
        <v>2068</v>
      </c>
      <c r="D220" s="6" t="s">
        <v>2069</v>
      </c>
      <c r="F220" s="6">
        <v>10074.0</v>
      </c>
      <c r="G220" s="6" t="s">
        <v>989</v>
      </c>
      <c r="H220" s="6" t="s">
        <v>859</v>
      </c>
      <c r="I220" s="6" t="s">
        <v>860</v>
      </c>
      <c r="J220" t="b">
        <v>0</v>
      </c>
      <c r="K220" t="b">
        <v>0</v>
      </c>
    </row>
    <row r="221" hidden="1">
      <c r="A221" s="6">
        <v>220.0</v>
      </c>
      <c r="B221" s="6">
        <v>5.567710776E9</v>
      </c>
      <c r="C221" s="6" t="s">
        <v>2072</v>
      </c>
      <c r="D221" s="6" t="s">
        <v>2073</v>
      </c>
      <c r="F221" s="6">
        <v>65350.0</v>
      </c>
      <c r="G221" s="6" t="s">
        <v>1480</v>
      </c>
      <c r="H221" s="6" t="s">
        <v>859</v>
      </c>
      <c r="I221" s="6" t="s">
        <v>860</v>
      </c>
      <c r="J221" t="b">
        <v>0</v>
      </c>
      <c r="K221" t="b">
        <v>0</v>
      </c>
    </row>
    <row r="222" hidden="1">
      <c r="A222" s="6">
        <v>221.0</v>
      </c>
      <c r="B222" s="6">
        <v>5.569547853E9</v>
      </c>
      <c r="C222" s="6" t="s">
        <v>2074</v>
      </c>
      <c r="D222" s="6" t="s">
        <v>2075</v>
      </c>
      <c r="F222" s="6">
        <v>58273.0</v>
      </c>
      <c r="G222" s="6" t="s">
        <v>1729</v>
      </c>
      <c r="H222" s="6" t="s">
        <v>859</v>
      </c>
      <c r="I222" s="6" t="s">
        <v>860</v>
      </c>
      <c r="J222" t="b">
        <v>0</v>
      </c>
      <c r="K222" t="b">
        <v>0</v>
      </c>
    </row>
    <row r="223">
      <c r="A223" s="6">
        <v>222.0</v>
      </c>
      <c r="B223" s="6">
        <v>5.5907513E9</v>
      </c>
      <c r="C223" s="6" t="s">
        <v>2076</v>
      </c>
      <c r="D223" s="6" t="s">
        <v>2077</v>
      </c>
      <c r="F223" s="6">
        <v>50464.0</v>
      </c>
      <c r="G223" s="6" t="s">
        <v>1879</v>
      </c>
      <c r="H223" s="6" t="s">
        <v>859</v>
      </c>
      <c r="I223" s="6" t="s">
        <v>860</v>
      </c>
      <c r="J223" s="6" t="b">
        <v>1</v>
      </c>
      <c r="K223" t="b">
        <v>0</v>
      </c>
    </row>
    <row r="224" hidden="1">
      <c r="A224" s="6">
        <v>223.0</v>
      </c>
      <c r="B224" s="6">
        <v>5.569154346E9</v>
      </c>
      <c r="C224" s="6" t="s">
        <v>2078</v>
      </c>
      <c r="D224" s="6" t="s">
        <v>2079</v>
      </c>
      <c r="F224" s="6">
        <v>59037.0</v>
      </c>
      <c r="G224" s="6" t="s">
        <v>2080</v>
      </c>
      <c r="H224" s="6" t="s">
        <v>859</v>
      </c>
      <c r="I224" s="6" t="s">
        <v>860</v>
      </c>
      <c r="J224" t="b">
        <v>0</v>
      </c>
      <c r="K224" t="b">
        <v>0</v>
      </c>
    </row>
    <row r="225" hidden="1">
      <c r="A225" s="6">
        <v>224.0</v>
      </c>
      <c r="B225" s="6">
        <v>5.561341248E9</v>
      </c>
      <c r="C225" s="6" t="s">
        <v>2082</v>
      </c>
      <c r="F225" s="6">
        <v>10524.0</v>
      </c>
      <c r="G225" s="6" t="s">
        <v>989</v>
      </c>
      <c r="H225" s="6" t="s">
        <v>859</v>
      </c>
      <c r="I225" s="6" t="s">
        <v>860</v>
      </c>
      <c r="J225" t="b">
        <v>0</v>
      </c>
      <c r="K225" t="b">
        <v>0</v>
      </c>
    </row>
    <row r="226" hidden="1">
      <c r="A226" s="6">
        <v>225.0</v>
      </c>
      <c r="B226" s="6">
        <v>5.591235105E9</v>
      </c>
      <c r="C226" s="6" t="s">
        <v>2083</v>
      </c>
      <c r="D226" s="6" t="s">
        <v>2084</v>
      </c>
      <c r="F226" s="6">
        <v>64730.0</v>
      </c>
      <c r="G226" s="6" t="s">
        <v>2085</v>
      </c>
      <c r="H226" s="6" t="s">
        <v>859</v>
      </c>
      <c r="I226" s="6" t="s">
        <v>860</v>
      </c>
      <c r="J226" t="b">
        <v>0</v>
      </c>
      <c r="K226" t="b">
        <v>0</v>
      </c>
    </row>
    <row r="227" hidden="1">
      <c r="A227" s="6">
        <v>226.0</v>
      </c>
      <c r="B227" s="6">
        <v>5.566339304E9</v>
      </c>
      <c r="C227" s="6" t="s">
        <v>2087</v>
      </c>
      <c r="D227" s="6" t="s">
        <v>2088</v>
      </c>
      <c r="F227" s="6">
        <v>72213.0</v>
      </c>
      <c r="G227" s="6" t="s">
        <v>1231</v>
      </c>
      <c r="H227" s="6" t="s">
        <v>859</v>
      </c>
      <c r="I227" s="6" t="s">
        <v>860</v>
      </c>
      <c r="J227" t="b">
        <v>0</v>
      </c>
      <c r="K227" t="b">
        <v>0</v>
      </c>
    </row>
    <row r="228" hidden="1">
      <c r="A228" s="6">
        <v>227.0</v>
      </c>
      <c r="B228" s="6">
        <v>5.592770357E9</v>
      </c>
      <c r="C228" s="6" t="s">
        <v>2092</v>
      </c>
      <c r="D228" s="6" t="s">
        <v>2093</v>
      </c>
      <c r="F228" s="6">
        <v>45140.0</v>
      </c>
      <c r="G228" s="6" t="s">
        <v>929</v>
      </c>
      <c r="H228" s="6" t="s">
        <v>859</v>
      </c>
      <c r="I228" s="6" t="s">
        <v>860</v>
      </c>
      <c r="J228" t="b">
        <v>0</v>
      </c>
      <c r="K228" t="b">
        <v>0</v>
      </c>
    </row>
    <row r="229" hidden="1">
      <c r="A229" s="6">
        <v>228.0</v>
      </c>
      <c r="B229" s="6">
        <v>5.562039148E9</v>
      </c>
      <c r="C229" s="6" t="s">
        <v>2095</v>
      </c>
      <c r="D229" s="6" t="s">
        <v>2097</v>
      </c>
      <c r="F229" s="6">
        <v>12630.0</v>
      </c>
      <c r="G229" s="6" t="s">
        <v>2099</v>
      </c>
      <c r="H229" s="6" t="s">
        <v>859</v>
      </c>
      <c r="I229" s="6" t="s">
        <v>860</v>
      </c>
      <c r="J229" s="6" t="b">
        <v>0</v>
      </c>
      <c r="K229" t="b">
        <v>0</v>
      </c>
    </row>
    <row r="230" hidden="1">
      <c r="A230" s="6">
        <v>229.0</v>
      </c>
      <c r="B230" s="6">
        <v>5.562213115E9</v>
      </c>
      <c r="C230" s="6" t="s">
        <v>2100</v>
      </c>
      <c r="D230" s="6" t="s">
        <v>2101</v>
      </c>
      <c r="F230" s="6">
        <v>50730.0</v>
      </c>
      <c r="G230" s="6" t="s">
        <v>2102</v>
      </c>
      <c r="H230" s="6" t="s">
        <v>859</v>
      </c>
      <c r="I230" s="6" t="s">
        <v>860</v>
      </c>
      <c r="J230" t="b">
        <v>0</v>
      </c>
      <c r="K230" t="b">
        <v>0</v>
      </c>
    </row>
    <row r="231" hidden="1">
      <c r="A231" s="6">
        <v>230.0</v>
      </c>
      <c r="B231" s="6">
        <v>5.567370431E9</v>
      </c>
      <c r="C231" s="6" t="s">
        <v>2103</v>
      </c>
      <c r="D231" s="6" t="s">
        <v>2104</v>
      </c>
      <c r="F231" s="6">
        <v>70227.0</v>
      </c>
      <c r="G231" s="6" t="s">
        <v>1147</v>
      </c>
      <c r="H231" s="6" t="s">
        <v>859</v>
      </c>
      <c r="I231" s="6" t="s">
        <v>860</v>
      </c>
      <c r="J231" t="b">
        <v>0</v>
      </c>
      <c r="K231" t="b">
        <v>0</v>
      </c>
    </row>
    <row r="232" hidden="1">
      <c r="A232" s="6">
        <v>231.0</v>
      </c>
      <c r="B232" s="6">
        <v>5.568340284E9</v>
      </c>
      <c r="C232" s="6" t="s">
        <v>2106</v>
      </c>
      <c r="J232" t="b">
        <v>0</v>
      </c>
      <c r="K232" t="b">
        <v>0</v>
      </c>
    </row>
    <row r="233" hidden="1">
      <c r="A233" s="6">
        <v>232.0</v>
      </c>
      <c r="B233" s="6">
        <v>5.592551336E9</v>
      </c>
      <c r="C233" s="6" t="s">
        <v>2109</v>
      </c>
      <c r="D233" s="6" t="s">
        <v>2110</v>
      </c>
      <c r="F233" s="6">
        <v>11447.0</v>
      </c>
      <c r="G233" s="6" t="s">
        <v>989</v>
      </c>
      <c r="H233" s="6" t="s">
        <v>859</v>
      </c>
      <c r="I233" s="6" t="s">
        <v>860</v>
      </c>
      <c r="J233" t="b">
        <v>0</v>
      </c>
      <c r="K233" t="b">
        <v>0</v>
      </c>
    </row>
    <row r="234" hidden="1">
      <c r="A234" s="6">
        <v>233.0</v>
      </c>
      <c r="C234" s="6" t="s">
        <v>2111</v>
      </c>
      <c r="J234" t="b">
        <v>0</v>
      </c>
      <c r="K234" t="b">
        <v>0</v>
      </c>
    </row>
    <row r="235" hidden="1">
      <c r="A235" s="6">
        <v>234.0</v>
      </c>
      <c r="B235" s="6">
        <v>2.021000837E9</v>
      </c>
      <c r="C235" s="6" t="s">
        <v>2113</v>
      </c>
      <c r="F235" s="6">
        <v>70189.0</v>
      </c>
      <c r="G235" s="6" t="s">
        <v>1147</v>
      </c>
      <c r="H235" s="6" t="s">
        <v>859</v>
      </c>
      <c r="I235" s="6" t="s">
        <v>860</v>
      </c>
      <c r="J235" t="b">
        <v>0</v>
      </c>
      <c r="K235" t="b">
        <v>0</v>
      </c>
    </row>
    <row r="236" hidden="1">
      <c r="A236" s="6">
        <v>235.0</v>
      </c>
      <c r="B236" s="6">
        <v>5.564892924E9</v>
      </c>
      <c r="C236" s="6" t="s">
        <v>2116</v>
      </c>
      <c r="J236" t="b">
        <v>0</v>
      </c>
      <c r="K236" t="b">
        <v>0</v>
      </c>
    </row>
    <row r="237" hidden="1">
      <c r="A237" s="6">
        <v>236.0</v>
      </c>
      <c r="B237" s="6">
        <v>5.567929616E9</v>
      </c>
      <c r="C237" s="6" t="s">
        <v>2117</v>
      </c>
      <c r="D237" s="6" t="s">
        <v>2118</v>
      </c>
      <c r="F237" s="6">
        <v>54335.0</v>
      </c>
      <c r="G237" s="6" t="s">
        <v>2119</v>
      </c>
      <c r="H237" s="6" t="s">
        <v>859</v>
      </c>
      <c r="I237" s="6" t="s">
        <v>860</v>
      </c>
      <c r="J237" t="b">
        <v>0</v>
      </c>
      <c r="K237" t="b">
        <v>0</v>
      </c>
    </row>
    <row r="238" hidden="1">
      <c r="A238" s="6">
        <v>237.0</v>
      </c>
      <c r="B238" s="6">
        <v>5.567805923E9</v>
      </c>
      <c r="C238" s="6" t="s">
        <v>2121</v>
      </c>
      <c r="D238" s="6" t="s">
        <v>2122</v>
      </c>
      <c r="F238" s="6">
        <v>41285.0</v>
      </c>
      <c r="G238" s="6" t="s">
        <v>281</v>
      </c>
      <c r="H238" s="6" t="s">
        <v>859</v>
      </c>
      <c r="I238" s="6" t="s">
        <v>860</v>
      </c>
      <c r="J238" t="b">
        <v>0</v>
      </c>
      <c r="K238" t="b">
        <v>0</v>
      </c>
    </row>
    <row r="239">
      <c r="A239" s="6">
        <v>238.0</v>
      </c>
      <c r="C239" s="6" t="s">
        <v>2124</v>
      </c>
      <c r="D239" s="6" t="s">
        <v>2125</v>
      </c>
      <c r="F239" s="6" t="s">
        <v>2126</v>
      </c>
      <c r="G239" s="6" t="s">
        <v>2127</v>
      </c>
      <c r="H239" s="6" t="s">
        <v>1041</v>
      </c>
      <c r="I239" s="6" t="s">
        <v>1042</v>
      </c>
      <c r="J239" s="6" t="b">
        <v>1</v>
      </c>
      <c r="K239" t="b">
        <v>0</v>
      </c>
    </row>
    <row r="240">
      <c r="A240" s="6">
        <v>239.0</v>
      </c>
      <c r="B240" s="6">
        <v>5.591843486E9</v>
      </c>
      <c r="C240" s="6" t="s">
        <v>2128</v>
      </c>
      <c r="D240" s="6" t="s">
        <v>1506</v>
      </c>
      <c r="F240" s="6">
        <v>70383.0</v>
      </c>
      <c r="G240" s="6" t="s">
        <v>698</v>
      </c>
      <c r="J240" s="6" t="b">
        <v>1</v>
      </c>
      <c r="K240" t="b">
        <v>0</v>
      </c>
    </row>
    <row r="241" hidden="1">
      <c r="A241" s="6">
        <v>240.0</v>
      </c>
      <c r="B241" s="6">
        <v>6.50825489E9</v>
      </c>
      <c r="C241" s="6" t="s">
        <v>2129</v>
      </c>
      <c r="D241" s="6" t="s">
        <v>810</v>
      </c>
      <c r="F241" s="6">
        <v>45292.0</v>
      </c>
      <c r="G241" s="6" t="s">
        <v>812</v>
      </c>
      <c r="H241" s="6" t="s">
        <v>859</v>
      </c>
      <c r="I241" s="6" t="s">
        <v>860</v>
      </c>
      <c r="J241" t="b">
        <v>0</v>
      </c>
      <c r="K241" t="b">
        <v>0</v>
      </c>
    </row>
    <row r="242" hidden="1">
      <c r="A242" s="6">
        <v>241.0</v>
      </c>
      <c r="B242" s="6">
        <v>5.590922521E9</v>
      </c>
      <c r="C242" s="6" t="s">
        <v>2130</v>
      </c>
      <c r="D242" s="6" t="s">
        <v>2131</v>
      </c>
      <c r="F242" s="6">
        <v>22660.0</v>
      </c>
      <c r="G242" s="6" t="s">
        <v>2132</v>
      </c>
      <c r="H242" s="6" t="s">
        <v>859</v>
      </c>
      <c r="I242" s="6" t="s">
        <v>860</v>
      </c>
      <c r="J242" t="b">
        <v>0</v>
      </c>
      <c r="K242" t="b">
        <v>0</v>
      </c>
    </row>
    <row r="243">
      <c r="A243" s="6">
        <v>242.0</v>
      </c>
      <c r="B243" s="6">
        <v>5.592781685E9</v>
      </c>
      <c r="C243" s="6" t="s">
        <v>2135</v>
      </c>
      <c r="D243" s="6" t="s">
        <v>2136</v>
      </c>
      <c r="F243" s="6">
        <v>39356.0</v>
      </c>
      <c r="G243" s="6" t="s">
        <v>637</v>
      </c>
      <c r="H243" s="6" t="s">
        <v>859</v>
      </c>
      <c r="I243" s="6" t="s">
        <v>860</v>
      </c>
      <c r="J243" s="6" t="b">
        <v>1</v>
      </c>
      <c r="K243" t="b">
        <v>0</v>
      </c>
    </row>
    <row r="244" hidden="1">
      <c r="A244" s="6">
        <v>243.0</v>
      </c>
      <c r="B244" s="6">
        <v>5.562957927E9</v>
      </c>
      <c r="C244" s="6" t="s">
        <v>2137</v>
      </c>
      <c r="D244" s="6" t="s">
        <v>825</v>
      </c>
      <c r="F244" s="6">
        <v>14731.0</v>
      </c>
      <c r="G244" s="6" t="s">
        <v>307</v>
      </c>
      <c r="H244" s="6" t="s">
        <v>859</v>
      </c>
      <c r="I244" s="6" t="s">
        <v>860</v>
      </c>
      <c r="J244" t="b">
        <v>0</v>
      </c>
      <c r="K244" t="b">
        <v>0</v>
      </c>
    </row>
    <row r="245" hidden="1">
      <c r="A245" s="6">
        <v>244.0</v>
      </c>
      <c r="B245" s="6">
        <v>5.591854772E9</v>
      </c>
      <c r="C245" s="6" t="s">
        <v>2138</v>
      </c>
      <c r="D245" s="6" t="s">
        <v>2139</v>
      </c>
      <c r="F245" s="6">
        <v>44251.0</v>
      </c>
      <c r="G245" s="6" t="s">
        <v>2140</v>
      </c>
      <c r="H245" s="6" t="s">
        <v>859</v>
      </c>
      <c r="I245" s="6" t="s">
        <v>860</v>
      </c>
      <c r="J245" t="b">
        <v>0</v>
      </c>
      <c r="K245" t="b">
        <v>0</v>
      </c>
    </row>
    <row r="246" hidden="1">
      <c r="A246" s="6">
        <v>245.0</v>
      </c>
      <c r="B246" s="6">
        <v>5.561043539E9</v>
      </c>
      <c r="C246" s="6" t="s">
        <v>2144</v>
      </c>
      <c r="D246" s="6" t="s">
        <v>2145</v>
      </c>
      <c r="F246" s="6">
        <v>16904.0</v>
      </c>
      <c r="G246" s="6" t="s">
        <v>2146</v>
      </c>
      <c r="H246" s="6" t="s">
        <v>859</v>
      </c>
      <c r="I246" s="6" t="s">
        <v>860</v>
      </c>
      <c r="J246" t="b">
        <v>0</v>
      </c>
      <c r="K246" t="b">
        <v>0</v>
      </c>
    </row>
    <row r="247" hidden="1">
      <c r="A247" s="6">
        <v>246.0</v>
      </c>
      <c r="B247" s="6">
        <v>5.56260461E9</v>
      </c>
      <c r="C247" s="6" t="s">
        <v>2147</v>
      </c>
      <c r="D247" s="6" t="s">
        <v>2149</v>
      </c>
      <c r="F247" s="6">
        <v>46730.0</v>
      </c>
      <c r="G247" s="6" t="s">
        <v>2150</v>
      </c>
      <c r="H247" s="6" t="s">
        <v>859</v>
      </c>
      <c r="I247" s="6" t="s">
        <v>860</v>
      </c>
      <c r="J247" t="b">
        <v>0</v>
      </c>
      <c r="K247" t="b">
        <v>0</v>
      </c>
    </row>
    <row r="248" hidden="1">
      <c r="A248" s="6">
        <v>247.0</v>
      </c>
      <c r="B248" s="6">
        <v>5.562141423E9</v>
      </c>
      <c r="C248" s="6" t="s">
        <v>2152</v>
      </c>
      <c r="J248" t="b">
        <v>0</v>
      </c>
      <c r="K248" t="b">
        <v>0</v>
      </c>
    </row>
    <row r="249" hidden="1">
      <c r="A249" s="6">
        <v>248.0</v>
      </c>
      <c r="B249" s="6">
        <v>5.592314685E9</v>
      </c>
      <c r="C249" s="6" t="s">
        <v>2153</v>
      </c>
      <c r="D249" s="6" t="s">
        <v>833</v>
      </c>
      <c r="F249" s="6">
        <v>54134.0</v>
      </c>
      <c r="G249" s="6" t="s">
        <v>835</v>
      </c>
      <c r="H249" s="6" t="s">
        <v>859</v>
      </c>
      <c r="I249" s="6" t="s">
        <v>860</v>
      </c>
      <c r="J249" t="b">
        <v>0</v>
      </c>
      <c r="K249" t="b">
        <v>0</v>
      </c>
    </row>
    <row r="250" hidden="1">
      <c r="A250" s="6">
        <v>249.0</v>
      </c>
      <c r="B250" s="6">
        <v>5.567538136E9</v>
      </c>
      <c r="C250" s="6" t="s">
        <v>2155</v>
      </c>
      <c r="D250" s="6" t="s">
        <v>2156</v>
      </c>
      <c r="F250" s="6">
        <v>24466.0</v>
      </c>
      <c r="G250" s="6" t="s">
        <v>2157</v>
      </c>
      <c r="H250" s="6" t="s">
        <v>859</v>
      </c>
      <c r="I250" s="6" t="s">
        <v>860</v>
      </c>
      <c r="J250" t="b">
        <v>0</v>
      </c>
      <c r="K250" t="b">
        <v>0</v>
      </c>
    </row>
    <row r="251" hidden="1">
      <c r="A251" s="6">
        <v>250.0</v>
      </c>
      <c r="B251" s="6">
        <v>5.568928401E9</v>
      </c>
      <c r="C251" s="6" t="s">
        <v>2160</v>
      </c>
      <c r="D251" s="6" t="s">
        <v>892</v>
      </c>
      <c r="F251" s="6">
        <v>59550.0</v>
      </c>
      <c r="G251" s="6" t="s">
        <v>894</v>
      </c>
      <c r="H251" s="6" t="s">
        <v>859</v>
      </c>
      <c r="I251" s="6" t="s">
        <v>860</v>
      </c>
      <c r="J251" t="b">
        <v>0</v>
      </c>
      <c r="K251" t="b">
        <v>0</v>
      </c>
    </row>
    <row r="252" hidden="1">
      <c r="A252" s="6">
        <v>251.0</v>
      </c>
      <c r="B252" s="6">
        <v>5.56250363E9</v>
      </c>
      <c r="C252" s="6" t="s">
        <v>2161</v>
      </c>
      <c r="F252" s="6">
        <v>41297.0</v>
      </c>
      <c r="G252" s="6" t="s">
        <v>281</v>
      </c>
      <c r="H252" s="6" t="s">
        <v>859</v>
      </c>
      <c r="I252" s="6" t="s">
        <v>860</v>
      </c>
      <c r="J252" t="b">
        <v>0</v>
      </c>
      <c r="K252" t="b">
        <v>0</v>
      </c>
    </row>
    <row r="253" hidden="1">
      <c r="A253" s="6">
        <v>252.0</v>
      </c>
      <c r="B253" s="6">
        <v>5.591086771E9</v>
      </c>
      <c r="C253" s="6" t="s">
        <v>2162</v>
      </c>
      <c r="D253" s="6" t="s">
        <v>954</v>
      </c>
      <c r="F253" s="6">
        <v>44240.0</v>
      </c>
      <c r="G253" s="6" t="s">
        <v>957</v>
      </c>
      <c r="H253" s="6" t="s">
        <v>859</v>
      </c>
      <c r="I253" s="6" t="s">
        <v>860</v>
      </c>
      <c r="J253" t="b">
        <v>0</v>
      </c>
      <c r="K253" t="b">
        <v>0</v>
      </c>
    </row>
    <row r="254" hidden="1">
      <c r="A254" s="6">
        <v>253.0</v>
      </c>
      <c r="B254" s="6">
        <v>5.590366463E9</v>
      </c>
      <c r="C254" s="6" t="s">
        <v>2164</v>
      </c>
      <c r="D254" s="6" t="s">
        <v>907</v>
      </c>
      <c r="F254" s="6">
        <v>18353.0</v>
      </c>
      <c r="G254" s="6" t="s">
        <v>911</v>
      </c>
      <c r="H254" s="6" t="s">
        <v>859</v>
      </c>
      <c r="I254" s="6" t="s">
        <v>860</v>
      </c>
      <c r="J254" t="b">
        <v>0</v>
      </c>
      <c r="K254" t="b">
        <v>0</v>
      </c>
    </row>
    <row r="255">
      <c r="A255" s="6">
        <v>254.0</v>
      </c>
      <c r="B255" s="6">
        <v>5.593750242E9</v>
      </c>
      <c r="C255" s="6" t="s">
        <v>2166</v>
      </c>
      <c r="D255" s="6" t="s">
        <v>2167</v>
      </c>
      <c r="F255" s="6">
        <v>75593.0</v>
      </c>
      <c r="G255" s="6" t="s">
        <v>728</v>
      </c>
      <c r="H255" s="6" t="s">
        <v>859</v>
      </c>
      <c r="I255" s="6" t="s">
        <v>860</v>
      </c>
      <c r="J255" s="6" t="b">
        <v>1</v>
      </c>
      <c r="K255" t="b">
        <v>0</v>
      </c>
    </row>
    <row r="256">
      <c r="A256" s="6">
        <v>255.0</v>
      </c>
      <c r="B256" s="6">
        <v>5.567861678E9</v>
      </c>
      <c r="C256" s="6" t="s">
        <v>2169</v>
      </c>
      <c r="D256" s="6" t="s">
        <v>2170</v>
      </c>
      <c r="F256" s="6">
        <v>10369.0</v>
      </c>
      <c r="G256" s="6" t="s">
        <v>597</v>
      </c>
      <c r="H256" s="6" t="s">
        <v>859</v>
      </c>
      <c r="I256" s="6" t="s">
        <v>860</v>
      </c>
      <c r="J256" s="6" t="b">
        <v>1</v>
      </c>
      <c r="K256" t="b">
        <v>0</v>
      </c>
    </row>
    <row r="257">
      <c r="A257" s="6">
        <v>256.0</v>
      </c>
      <c r="B257" s="6">
        <v>5.565297065E9</v>
      </c>
      <c r="C257" s="6" t="s">
        <v>2173</v>
      </c>
      <c r="J257" s="6" t="b">
        <v>1</v>
      </c>
      <c r="K257" t="b">
        <v>0</v>
      </c>
    </row>
    <row r="258" hidden="1">
      <c r="A258" s="6">
        <v>257.0</v>
      </c>
      <c r="B258" s="6">
        <v>5.59125521E9</v>
      </c>
      <c r="C258" s="6" t="s">
        <v>2174</v>
      </c>
      <c r="D258" s="6" t="s">
        <v>2175</v>
      </c>
      <c r="F258" s="6">
        <v>21115.0</v>
      </c>
      <c r="G258" s="6" t="s">
        <v>360</v>
      </c>
      <c r="H258" s="6" t="s">
        <v>859</v>
      </c>
      <c r="I258" s="6" t="s">
        <v>860</v>
      </c>
      <c r="J258" t="b">
        <v>0</v>
      </c>
      <c r="K258" t="b">
        <v>0</v>
      </c>
    </row>
    <row r="259">
      <c r="A259" s="6">
        <v>258.0</v>
      </c>
      <c r="B259" s="6">
        <v>5.593633158E9</v>
      </c>
      <c r="C259" s="6" t="s">
        <v>1446</v>
      </c>
      <c r="D259" s="6" t="s">
        <v>2177</v>
      </c>
      <c r="F259" s="6">
        <v>82592.0</v>
      </c>
      <c r="G259" s="6" t="s">
        <v>2179</v>
      </c>
      <c r="H259" s="6" t="s">
        <v>859</v>
      </c>
      <c r="I259" s="6" t="s">
        <v>860</v>
      </c>
      <c r="J259" s="6" t="b">
        <v>1</v>
      </c>
      <c r="K259" t="b">
        <v>0</v>
      </c>
    </row>
    <row r="260">
      <c r="A260" s="6">
        <v>259.0</v>
      </c>
      <c r="B260" s="6">
        <v>5.565317467E9</v>
      </c>
      <c r="C260" s="6" t="s">
        <v>2180</v>
      </c>
      <c r="D260" s="6" t="s">
        <v>2181</v>
      </c>
      <c r="F260" s="6">
        <v>43437.0</v>
      </c>
      <c r="G260" s="6" t="s">
        <v>1515</v>
      </c>
      <c r="H260" s="6" t="s">
        <v>859</v>
      </c>
      <c r="I260" s="6" t="s">
        <v>860</v>
      </c>
      <c r="J260" s="6" t="b">
        <v>1</v>
      </c>
      <c r="K260" s="6" t="b">
        <v>1</v>
      </c>
    </row>
    <row r="261" hidden="1">
      <c r="A261" s="6">
        <v>260.0</v>
      </c>
      <c r="B261" s="6">
        <v>5.593058802E9</v>
      </c>
      <c r="C261" s="6" t="s">
        <v>2183</v>
      </c>
      <c r="D261" s="6" t="s">
        <v>2185</v>
      </c>
      <c r="F261" s="6">
        <v>58277.0</v>
      </c>
      <c r="G261" s="6" t="s">
        <v>622</v>
      </c>
      <c r="H261" s="6" t="s">
        <v>859</v>
      </c>
      <c r="I261" s="6" t="s">
        <v>860</v>
      </c>
      <c r="J261" t="b">
        <v>0</v>
      </c>
      <c r="K261" t="b">
        <v>0</v>
      </c>
    </row>
    <row r="262" hidden="1">
      <c r="A262" s="6">
        <v>261.0</v>
      </c>
      <c r="B262" s="6">
        <v>1.34502053E8</v>
      </c>
      <c r="C262" s="6" t="s">
        <v>2187</v>
      </c>
      <c r="J262" t="b">
        <v>0</v>
      </c>
      <c r="K262" t="b">
        <v>0</v>
      </c>
    </row>
    <row r="263" hidden="1">
      <c r="A263" s="6">
        <v>262.0</v>
      </c>
      <c r="B263" s="6">
        <v>5.566363544E9</v>
      </c>
      <c r="C263" s="6" t="s">
        <v>2189</v>
      </c>
      <c r="J263" t="b">
        <v>0</v>
      </c>
      <c r="K263" t="b">
        <v>0</v>
      </c>
    </row>
    <row r="264">
      <c r="A264" s="6">
        <v>263.0</v>
      </c>
      <c r="B264" s="6">
        <v>5.562154004E9</v>
      </c>
      <c r="C264" s="6" t="s">
        <v>2191</v>
      </c>
      <c r="D264" s="6" t="s">
        <v>975</v>
      </c>
      <c r="F264" s="6">
        <v>14730.0</v>
      </c>
      <c r="G264" s="6" t="s">
        <v>307</v>
      </c>
      <c r="H264" s="6" t="s">
        <v>859</v>
      </c>
      <c r="I264" s="6" t="s">
        <v>860</v>
      </c>
      <c r="J264" s="6" t="b">
        <v>1</v>
      </c>
      <c r="K264" t="b">
        <v>0</v>
      </c>
    </row>
    <row r="265" hidden="1">
      <c r="A265" s="6">
        <v>264.0</v>
      </c>
      <c r="B265" s="6">
        <v>5.594070764E9</v>
      </c>
      <c r="C265" s="6" t="s">
        <v>2192</v>
      </c>
      <c r="D265" s="6" t="s">
        <v>2193</v>
      </c>
      <c r="F265" s="6">
        <v>43254.0</v>
      </c>
      <c r="G265" s="6" t="s">
        <v>1842</v>
      </c>
      <c r="H265" s="6" t="s">
        <v>859</v>
      </c>
      <c r="I265" s="6" t="s">
        <v>860</v>
      </c>
      <c r="J265" t="b">
        <v>0</v>
      </c>
      <c r="K265" t="b">
        <v>0</v>
      </c>
    </row>
    <row r="266" hidden="1">
      <c r="A266" s="6">
        <v>265.0</v>
      </c>
      <c r="B266" s="6">
        <v>5.567285738E9</v>
      </c>
      <c r="C266" s="6" t="s">
        <v>2195</v>
      </c>
      <c r="D266" s="6" t="s">
        <v>2196</v>
      </c>
      <c r="F266" s="6">
        <v>42130.0</v>
      </c>
      <c r="G266" s="6" t="s">
        <v>2197</v>
      </c>
      <c r="J266" t="b">
        <v>0</v>
      </c>
      <c r="K266" t="b">
        <v>0</v>
      </c>
    </row>
    <row r="267">
      <c r="A267" s="6">
        <v>266.0</v>
      </c>
      <c r="B267" s="6">
        <v>5.592661465E9</v>
      </c>
      <c r="C267" s="6" t="s">
        <v>990</v>
      </c>
      <c r="D267" s="6" t="s">
        <v>997</v>
      </c>
      <c r="F267" s="6">
        <v>58278.0</v>
      </c>
      <c r="G267" s="6" t="s">
        <v>622</v>
      </c>
      <c r="J267" s="6" t="b">
        <v>1</v>
      </c>
      <c r="K267" t="b">
        <v>0</v>
      </c>
    </row>
    <row r="268">
      <c r="A268" s="6">
        <v>267.0</v>
      </c>
      <c r="B268" s="6">
        <v>9.301301934E9</v>
      </c>
      <c r="C268" s="6" t="s">
        <v>2199</v>
      </c>
      <c r="D268" s="6" t="s">
        <v>1026</v>
      </c>
      <c r="F268" s="6">
        <v>56192.0</v>
      </c>
      <c r="G268" s="6" t="s">
        <v>1029</v>
      </c>
      <c r="J268" s="6" t="b">
        <v>1</v>
      </c>
      <c r="K268" t="b">
        <v>0</v>
      </c>
    </row>
    <row r="269" hidden="1">
      <c r="A269" s="6">
        <v>268.0</v>
      </c>
      <c r="B269" s="6">
        <v>5.562626423E9</v>
      </c>
      <c r="C269" s="6" t="s">
        <v>2200</v>
      </c>
      <c r="J269" t="b">
        <v>0</v>
      </c>
      <c r="K269" t="b">
        <v>0</v>
      </c>
    </row>
    <row r="270" hidden="1">
      <c r="A270" s="6">
        <v>269.0</v>
      </c>
      <c r="B270" s="6">
        <v>5.568977101E9</v>
      </c>
      <c r="C270" s="6" t="s">
        <v>2201</v>
      </c>
      <c r="J270" t="b">
        <v>0</v>
      </c>
      <c r="K270" t="b">
        <v>0</v>
      </c>
    </row>
    <row r="271" hidden="1">
      <c r="A271" s="6">
        <v>270.0</v>
      </c>
      <c r="B271" s="6">
        <v>5.563964138E9</v>
      </c>
      <c r="C271" s="6" t="s">
        <v>2202</v>
      </c>
      <c r="J271" t="b">
        <v>0</v>
      </c>
      <c r="K271" t="b">
        <v>0</v>
      </c>
    </row>
    <row r="272" hidden="1">
      <c r="A272" s="6">
        <v>271.0</v>
      </c>
      <c r="B272" s="6">
        <v>5.593400541E9</v>
      </c>
      <c r="C272" s="6" t="s">
        <v>2203</v>
      </c>
      <c r="J272" t="b">
        <v>0</v>
      </c>
      <c r="K272" t="b">
        <v>0</v>
      </c>
    </row>
    <row r="273" hidden="1">
      <c r="A273" s="6">
        <v>272.0</v>
      </c>
      <c r="B273" s="6">
        <v>5.569202095E9</v>
      </c>
      <c r="C273" s="6" t="s">
        <v>2204</v>
      </c>
      <c r="J273" t="b">
        <v>0</v>
      </c>
      <c r="K273" t="b">
        <v>0</v>
      </c>
    </row>
    <row r="274">
      <c r="A274" s="6">
        <v>273.0</v>
      </c>
      <c r="B274" s="6">
        <v>8.508155812E9</v>
      </c>
      <c r="C274" s="6" t="s">
        <v>2206</v>
      </c>
      <c r="D274" s="6" t="s">
        <v>1105</v>
      </c>
      <c r="F274" s="6">
        <v>25475.0</v>
      </c>
      <c r="G274" s="6" t="s">
        <v>1106</v>
      </c>
      <c r="J274" s="6" t="b">
        <v>1</v>
      </c>
      <c r="K274" t="b">
        <v>0</v>
      </c>
    </row>
    <row r="275">
      <c r="A275" s="6">
        <v>274.0</v>
      </c>
      <c r="B275" s="6">
        <v>5.565781035E9</v>
      </c>
      <c r="C275" s="6" t="s">
        <v>2207</v>
      </c>
      <c r="D275" s="6" t="s">
        <v>2208</v>
      </c>
      <c r="F275" s="6">
        <v>13840.0</v>
      </c>
      <c r="G275" s="6" t="s">
        <v>2209</v>
      </c>
      <c r="H275" s="6" t="s">
        <v>859</v>
      </c>
      <c r="I275" s="6" t="s">
        <v>860</v>
      </c>
      <c r="J275" s="6" t="b">
        <v>1</v>
      </c>
      <c r="K275" t="b">
        <v>0</v>
      </c>
    </row>
    <row r="276">
      <c r="A276" s="6">
        <v>275.0</v>
      </c>
      <c r="B276" s="6">
        <v>5.593000887E9</v>
      </c>
      <c r="C276" s="6" t="s">
        <v>2211</v>
      </c>
      <c r="D276" s="6" t="s">
        <v>2212</v>
      </c>
      <c r="F276" s="6">
        <v>42259.0</v>
      </c>
      <c r="G276" s="6" t="s">
        <v>2213</v>
      </c>
      <c r="H276" s="6" t="s">
        <v>859</v>
      </c>
      <c r="I276" s="6" t="s">
        <v>860</v>
      </c>
      <c r="J276" s="6" t="b">
        <v>1</v>
      </c>
      <c r="K276" t="b">
        <v>0</v>
      </c>
    </row>
    <row r="277" hidden="1">
      <c r="A277" s="6">
        <v>276.0</v>
      </c>
      <c r="B277" s="6">
        <v>5.590838438E9</v>
      </c>
      <c r="C277" s="6" t="s">
        <v>2214</v>
      </c>
      <c r="J277" t="b">
        <v>0</v>
      </c>
      <c r="K277" t="b">
        <v>0</v>
      </c>
    </row>
    <row r="278">
      <c r="A278" s="6">
        <v>277.0</v>
      </c>
      <c r="B278" s="6">
        <v>5.59454649E9</v>
      </c>
      <c r="C278" s="6" t="s">
        <v>1137</v>
      </c>
      <c r="D278" s="6" t="s">
        <v>1140</v>
      </c>
      <c r="F278" s="6">
        <v>44555.0</v>
      </c>
      <c r="G278" s="6" t="s">
        <v>1142</v>
      </c>
      <c r="J278" s="6" t="b">
        <v>1</v>
      </c>
      <c r="K278" t="b">
        <v>0</v>
      </c>
    </row>
    <row r="279">
      <c r="A279" s="6">
        <v>278.0</v>
      </c>
      <c r="B279" s="6">
        <v>5.566018338E9</v>
      </c>
      <c r="C279" s="6" t="s">
        <v>2216</v>
      </c>
      <c r="D279" s="6" t="s">
        <v>1125</v>
      </c>
      <c r="F279" s="6">
        <v>61156.0</v>
      </c>
      <c r="G279" s="6" t="s">
        <v>2217</v>
      </c>
      <c r="J279" s="6" t="b">
        <v>1</v>
      </c>
      <c r="K279" t="b">
        <v>0</v>
      </c>
    </row>
    <row r="280" hidden="1">
      <c r="A280" s="6">
        <v>279.0</v>
      </c>
      <c r="B280" s="6">
        <v>5.561093021E9</v>
      </c>
      <c r="C280" s="6" t="s">
        <v>2218</v>
      </c>
      <c r="D280" s="6" t="s">
        <v>2219</v>
      </c>
      <c r="F280" s="6">
        <v>70117.0</v>
      </c>
      <c r="G280" s="6" t="s">
        <v>698</v>
      </c>
      <c r="J280" t="b">
        <v>0</v>
      </c>
      <c r="K280" t="b">
        <v>0</v>
      </c>
    </row>
    <row r="281">
      <c r="A281" s="6">
        <v>280.0</v>
      </c>
      <c r="B281" s="6">
        <v>5.594814203E9</v>
      </c>
      <c r="C281" s="6" t="s">
        <v>2220</v>
      </c>
      <c r="D281" s="6" t="s">
        <v>2221</v>
      </c>
      <c r="F281" s="6">
        <v>22730.0</v>
      </c>
      <c r="G281" s="6" t="s">
        <v>2132</v>
      </c>
      <c r="H281" s="6" t="s">
        <v>859</v>
      </c>
      <c r="I281" s="6" t="s">
        <v>860</v>
      </c>
      <c r="J281" s="6" t="b">
        <v>1</v>
      </c>
      <c r="K281" t="b">
        <v>0</v>
      </c>
    </row>
  </sheetData>
  <autoFilter ref="$A$1:$AU$1000">
    <filterColumn colId="9">
      <filters blank="1">
        <filter val="TRUE"/>
      </filters>
    </filterColumn>
    <sortState ref="A1:AU1000">
      <sortCondition ref="A1:A1000"/>
    </sortState>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
    <col customWidth="1" min="5" max="5" width="27.75"/>
  </cols>
  <sheetData>
    <row r="1">
      <c r="A1" s="3" t="s">
        <v>919</v>
      </c>
      <c r="B1" s="3" t="s">
        <v>924</v>
      </c>
      <c r="C1" s="3" t="s">
        <v>927</v>
      </c>
      <c r="D1" s="3" t="s">
        <v>82</v>
      </c>
      <c r="E1" s="3" t="s">
        <v>931</v>
      </c>
      <c r="F1" s="3" t="s">
        <v>86</v>
      </c>
      <c r="G1" s="3" t="s">
        <v>24</v>
      </c>
      <c r="H1" s="3" t="s">
        <v>936</v>
      </c>
      <c r="I1" s="3" t="s">
        <v>937</v>
      </c>
      <c r="J1" s="3" t="s">
        <v>82</v>
      </c>
      <c r="K1" s="4"/>
      <c r="L1" s="4"/>
      <c r="M1" s="4"/>
      <c r="N1" s="4"/>
      <c r="O1" s="4"/>
      <c r="P1" s="4"/>
      <c r="Q1" s="4"/>
      <c r="R1" s="4"/>
      <c r="S1" s="4"/>
      <c r="T1" s="4"/>
      <c r="U1" s="4"/>
      <c r="V1" s="4"/>
      <c r="W1" s="4"/>
      <c r="X1" s="4"/>
      <c r="Y1" s="4"/>
      <c r="Z1" s="4"/>
      <c r="AA1" s="4"/>
      <c r="AB1" s="4"/>
      <c r="AC1" s="4"/>
      <c r="AD1" s="4"/>
      <c r="AE1" s="4"/>
      <c r="AF1" s="4"/>
      <c r="AG1" s="4"/>
      <c r="AH1" s="4"/>
      <c r="AI1" s="4"/>
    </row>
    <row r="2">
      <c r="A2" s="6">
        <v>1.0</v>
      </c>
      <c r="B2" s="6" t="s">
        <v>950</v>
      </c>
      <c r="C2" s="6" t="s">
        <v>951</v>
      </c>
      <c r="D2" s="6" t="s">
        <v>953</v>
      </c>
      <c r="E2" s="6" t="s">
        <v>955</v>
      </c>
      <c r="F2" s="6" t="s">
        <v>375</v>
      </c>
      <c r="H2" s="4"/>
      <c r="I2" s="4"/>
      <c r="J2" s="4"/>
    </row>
    <row r="3">
      <c r="A3" s="6">
        <v>2.0</v>
      </c>
      <c r="B3" s="6" t="s">
        <v>950</v>
      </c>
      <c r="C3" s="6" t="s">
        <v>963</v>
      </c>
      <c r="D3" s="6">
        <v>737452.0</v>
      </c>
      <c r="E3" s="6" t="s">
        <v>964</v>
      </c>
      <c r="F3" s="6" t="s">
        <v>793</v>
      </c>
      <c r="H3" s="4"/>
      <c r="I3" s="4"/>
      <c r="J3" s="4"/>
    </row>
    <row r="4">
      <c r="A4" s="6">
        <v>3.0</v>
      </c>
      <c r="B4" s="6" t="s">
        <v>966</v>
      </c>
      <c r="C4" s="6" t="s">
        <v>968</v>
      </c>
      <c r="D4" s="6">
        <v>744184.0</v>
      </c>
      <c r="E4" s="6" t="s">
        <v>969</v>
      </c>
      <c r="H4" s="3" t="s">
        <v>970</v>
      </c>
      <c r="I4" s="3" t="s">
        <v>269</v>
      </c>
      <c r="J4" s="3">
        <v>744184.0</v>
      </c>
    </row>
    <row r="5">
      <c r="A5" s="99">
        <v>4.0</v>
      </c>
      <c r="B5" s="99" t="s">
        <v>950</v>
      </c>
      <c r="C5" s="99" t="s">
        <v>968</v>
      </c>
      <c r="D5" s="99">
        <v>749178.0</v>
      </c>
      <c r="E5" s="99" t="s">
        <v>972</v>
      </c>
      <c r="F5" s="170">
        <v>36617.0</v>
      </c>
      <c r="G5" s="6" t="s">
        <v>976</v>
      </c>
      <c r="H5" s="4"/>
      <c r="I5" s="4"/>
      <c r="J5" s="4"/>
    </row>
    <row r="6">
      <c r="A6" s="6">
        <v>5.0</v>
      </c>
      <c r="B6" s="6" t="s">
        <v>982</v>
      </c>
      <c r="C6" s="6" t="s">
        <v>968</v>
      </c>
      <c r="E6" s="6" t="s">
        <v>983</v>
      </c>
      <c r="F6" s="6" t="s">
        <v>984</v>
      </c>
      <c r="H6" s="4"/>
      <c r="I6" s="4"/>
      <c r="J6" s="4"/>
    </row>
    <row r="7">
      <c r="A7" s="99">
        <v>6.0</v>
      </c>
      <c r="B7" s="99" t="s">
        <v>408</v>
      </c>
      <c r="C7" s="99" t="s">
        <v>968</v>
      </c>
      <c r="D7" s="99">
        <v>3.07400300113E11</v>
      </c>
      <c r="E7" s="99" t="s">
        <v>986</v>
      </c>
      <c r="F7" s="99" t="s">
        <v>987</v>
      </c>
      <c r="G7" s="99" t="s">
        <v>988</v>
      </c>
      <c r="H7" s="4"/>
      <c r="I7" s="4"/>
      <c r="J7" s="4"/>
    </row>
    <row r="8">
      <c r="A8" s="99">
        <v>7.0</v>
      </c>
      <c r="B8" s="99" t="s">
        <v>950</v>
      </c>
      <c r="C8" s="99" t="s">
        <v>968</v>
      </c>
      <c r="D8" s="99">
        <v>737477.0</v>
      </c>
      <c r="E8" s="99" t="s">
        <v>993</v>
      </c>
      <c r="F8" s="99" t="s">
        <v>793</v>
      </c>
      <c r="G8" s="99" t="s">
        <v>996</v>
      </c>
      <c r="H8" s="4"/>
      <c r="I8" s="4"/>
      <c r="J8" s="4"/>
    </row>
    <row r="9">
      <c r="A9" s="6">
        <v>8.0</v>
      </c>
      <c r="B9" s="6" t="s">
        <v>950</v>
      </c>
      <c r="C9" s="6" t="s">
        <v>733</v>
      </c>
      <c r="D9" s="6">
        <v>737391.0</v>
      </c>
      <c r="E9" s="6" t="s">
        <v>1004</v>
      </c>
      <c r="F9" s="6" t="s">
        <v>793</v>
      </c>
      <c r="H9" s="4"/>
      <c r="I9" s="4"/>
      <c r="J9" s="4"/>
    </row>
    <row r="10">
      <c r="A10" s="6">
        <v>9.0</v>
      </c>
      <c r="B10" s="6" t="s">
        <v>950</v>
      </c>
      <c r="C10" s="6" t="s">
        <v>968</v>
      </c>
      <c r="D10" s="6">
        <v>747024.0</v>
      </c>
      <c r="E10" s="6" t="s">
        <v>1004</v>
      </c>
      <c r="F10" s="6" t="s">
        <v>793</v>
      </c>
      <c r="H10" s="4"/>
      <c r="I10" s="4"/>
      <c r="J10" s="4"/>
    </row>
    <row r="11">
      <c r="A11" s="99">
        <v>10.0</v>
      </c>
      <c r="B11" s="99" t="s">
        <v>950</v>
      </c>
      <c r="C11" s="99" t="s">
        <v>968</v>
      </c>
      <c r="D11" s="99">
        <v>748704.0</v>
      </c>
      <c r="E11" s="99" t="s">
        <v>1012</v>
      </c>
      <c r="F11" s="99" t="s">
        <v>1013</v>
      </c>
      <c r="H11" s="4"/>
      <c r="I11" s="4"/>
      <c r="J11" s="4"/>
    </row>
    <row r="12">
      <c r="A12" s="99">
        <v>11.0</v>
      </c>
      <c r="B12" s="99" t="s">
        <v>408</v>
      </c>
      <c r="C12" s="99" t="s">
        <v>968</v>
      </c>
      <c r="D12" s="99" t="s">
        <v>1015</v>
      </c>
      <c r="E12" s="99" t="s">
        <v>1016</v>
      </c>
      <c r="F12" s="99" t="s">
        <v>437</v>
      </c>
      <c r="G12" s="99" t="s">
        <v>1019</v>
      </c>
      <c r="H12" s="4"/>
      <c r="I12" s="4"/>
      <c r="J12" s="4"/>
    </row>
    <row r="13">
      <c r="A13" s="6">
        <v>12.0</v>
      </c>
      <c r="B13" s="6" t="s">
        <v>408</v>
      </c>
      <c r="C13" s="6" t="s">
        <v>733</v>
      </c>
      <c r="E13" s="6" t="s">
        <v>1025</v>
      </c>
      <c r="F13" s="6" t="s">
        <v>1028</v>
      </c>
      <c r="H13" s="4"/>
      <c r="I13" s="4"/>
      <c r="J13" s="4"/>
    </row>
    <row r="14">
      <c r="A14" s="6">
        <v>13.0</v>
      </c>
      <c r="B14" s="6" t="s">
        <v>408</v>
      </c>
      <c r="C14" s="6" t="s">
        <v>968</v>
      </c>
      <c r="D14" s="6" t="s">
        <v>186</v>
      </c>
      <c r="E14" s="6" t="s">
        <v>1036</v>
      </c>
      <c r="F14" s="6" t="s">
        <v>1038</v>
      </c>
      <c r="H14" s="4"/>
      <c r="I14" s="4"/>
      <c r="J14" s="4"/>
    </row>
    <row r="15">
      <c r="A15" s="99">
        <v>14.0</v>
      </c>
      <c r="B15" s="99" t="s">
        <v>950</v>
      </c>
      <c r="C15" s="99" t="s">
        <v>968</v>
      </c>
      <c r="D15" s="99">
        <v>747113.0</v>
      </c>
      <c r="E15" s="99" t="s">
        <v>1043</v>
      </c>
      <c r="F15" s="99" t="s">
        <v>751</v>
      </c>
      <c r="H15" s="4"/>
      <c r="I15" s="4"/>
      <c r="J15" s="4"/>
    </row>
    <row r="16">
      <c r="A16" s="99">
        <v>15.0</v>
      </c>
      <c r="B16" s="99" t="s">
        <v>408</v>
      </c>
      <c r="C16" s="99" t="s">
        <v>968</v>
      </c>
      <c r="D16" s="99">
        <v>3.03451300113E11</v>
      </c>
      <c r="E16" s="99" t="s">
        <v>1048</v>
      </c>
      <c r="F16" s="99" t="s">
        <v>1049</v>
      </c>
      <c r="G16" s="99" t="s">
        <v>1050</v>
      </c>
      <c r="H16" s="4"/>
      <c r="I16" s="4"/>
      <c r="J16" s="4"/>
    </row>
    <row r="17">
      <c r="A17" s="99">
        <v>16.0</v>
      </c>
      <c r="B17" s="99" t="s">
        <v>950</v>
      </c>
      <c r="C17" s="99" t="s">
        <v>968</v>
      </c>
      <c r="D17" s="99">
        <v>747266.0</v>
      </c>
      <c r="E17" s="99" t="s">
        <v>1056</v>
      </c>
      <c r="F17" s="99" t="s">
        <v>1057</v>
      </c>
      <c r="H17" s="4"/>
      <c r="I17" s="4"/>
      <c r="J17" s="4"/>
    </row>
    <row r="18">
      <c r="A18" s="99">
        <v>17.0</v>
      </c>
      <c r="B18" s="99" t="s">
        <v>950</v>
      </c>
      <c r="C18" s="99" t="s">
        <v>968</v>
      </c>
      <c r="D18" s="99">
        <v>747266.0</v>
      </c>
      <c r="E18" s="99" t="s">
        <v>1056</v>
      </c>
      <c r="F18" s="99" t="s">
        <v>1057</v>
      </c>
      <c r="G18" s="6" t="s">
        <v>1068</v>
      </c>
      <c r="H18" s="4"/>
      <c r="I18" s="4"/>
      <c r="J18" s="4"/>
    </row>
    <row r="19">
      <c r="A19" s="99">
        <v>18.0</v>
      </c>
      <c r="B19" s="99" t="s">
        <v>950</v>
      </c>
      <c r="C19" s="99" t="s">
        <v>968</v>
      </c>
      <c r="D19" s="99">
        <v>747266.0</v>
      </c>
      <c r="E19" s="99" t="s">
        <v>1056</v>
      </c>
      <c r="F19" s="99" t="s">
        <v>1057</v>
      </c>
      <c r="H19" s="4"/>
      <c r="I19" s="4"/>
      <c r="J19" s="4"/>
    </row>
    <row r="20">
      <c r="A20" s="99">
        <v>19.0</v>
      </c>
      <c r="B20" s="99" t="s">
        <v>950</v>
      </c>
      <c r="C20" s="99" t="s">
        <v>733</v>
      </c>
      <c r="D20" s="99">
        <v>737559.0</v>
      </c>
      <c r="E20" s="99" t="s">
        <v>1073</v>
      </c>
      <c r="F20" s="99" t="s">
        <v>1057</v>
      </c>
      <c r="H20" s="4"/>
      <c r="I20" s="4"/>
      <c r="J20" s="4"/>
    </row>
    <row r="21">
      <c r="A21" s="99">
        <v>20.0</v>
      </c>
      <c r="B21" s="99" t="s">
        <v>950</v>
      </c>
      <c r="C21" s="99" t="s">
        <v>733</v>
      </c>
      <c r="D21" s="99">
        <v>737559.0</v>
      </c>
      <c r="E21" s="99" t="s">
        <v>1073</v>
      </c>
      <c r="F21" s="99" t="s">
        <v>1057</v>
      </c>
      <c r="H21" s="3" t="s">
        <v>1079</v>
      </c>
      <c r="I21" s="4"/>
      <c r="J21" s="4"/>
    </row>
    <row r="22">
      <c r="A22" s="99">
        <v>21.0</v>
      </c>
      <c r="B22" s="99" t="s">
        <v>950</v>
      </c>
      <c r="C22" s="99" t="s">
        <v>733</v>
      </c>
      <c r="D22" s="99">
        <v>737109.0</v>
      </c>
      <c r="E22" s="99" t="s">
        <v>1090</v>
      </c>
      <c r="F22" s="101"/>
      <c r="G22" s="101"/>
      <c r="H22" s="187" t="s">
        <v>1092</v>
      </c>
      <c r="I22" s="4"/>
      <c r="J22" s="4"/>
    </row>
    <row r="23">
      <c r="A23" s="6">
        <v>22.0</v>
      </c>
      <c r="B23" s="6" t="s">
        <v>1097</v>
      </c>
      <c r="C23" s="6" t="s">
        <v>733</v>
      </c>
      <c r="D23" s="6">
        <v>1.2260101E9</v>
      </c>
      <c r="E23" s="6" t="s">
        <v>1098</v>
      </c>
      <c r="F23" s="6" t="s">
        <v>1099</v>
      </c>
      <c r="H23" s="4"/>
      <c r="I23" s="4"/>
      <c r="J23" s="4"/>
    </row>
    <row r="24">
      <c r="A24" s="6">
        <v>23.0</v>
      </c>
      <c r="B24" s="6" t="s">
        <v>950</v>
      </c>
      <c r="C24" s="6" t="s">
        <v>733</v>
      </c>
      <c r="D24" s="6">
        <v>737403.0</v>
      </c>
      <c r="E24" s="6" t="s">
        <v>1104</v>
      </c>
      <c r="F24" s="6" t="s">
        <v>751</v>
      </c>
      <c r="H24" s="4"/>
      <c r="I24" s="4"/>
      <c r="J24" s="4"/>
    </row>
    <row r="25">
      <c r="A25" s="6">
        <v>24.0</v>
      </c>
      <c r="B25" s="6" t="s">
        <v>950</v>
      </c>
      <c r="C25" s="6" t="s">
        <v>1110</v>
      </c>
      <c r="D25" s="6">
        <v>748242.0</v>
      </c>
      <c r="E25" s="6" t="s">
        <v>1112</v>
      </c>
      <c r="F25" s="6"/>
      <c r="H25" s="3" t="s">
        <v>1114</v>
      </c>
      <c r="I25" s="3" t="s">
        <v>269</v>
      </c>
      <c r="J25" s="3">
        <v>748242.0</v>
      </c>
    </row>
    <row r="26">
      <c r="A26" s="99">
        <v>25.0</v>
      </c>
      <c r="B26" s="99" t="s">
        <v>1116</v>
      </c>
      <c r="C26" s="99" t="s">
        <v>1110</v>
      </c>
      <c r="D26" s="99" t="s">
        <v>1121</v>
      </c>
      <c r="E26" s="99" t="s">
        <v>1122</v>
      </c>
      <c r="F26" s="99" t="s">
        <v>793</v>
      </c>
      <c r="H26" s="4"/>
      <c r="I26" s="4"/>
      <c r="J26" s="4"/>
    </row>
    <row r="27">
      <c r="A27" s="99">
        <v>26.0</v>
      </c>
      <c r="B27" s="99" t="s">
        <v>1116</v>
      </c>
      <c r="C27" s="99" t="s">
        <v>1110</v>
      </c>
      <c r="D27" s="99" t="s">
        <v>1121</v>
      </c>
      <c r="E27" s="99" t="s">
        <v>1122</v>
      </c>
      <c r="F27" s="99" t="s">
        <v>793</v>
      </c>
      <c r="H27" s="187" t="s">
        <v>1133</v>
      </c>
      <c r="I27" s="4"/>
      <c r="J27" s="4"/>
    </row>
    <row r="28">
      <c r="A28" s="99">
        <v>27.0</v>
      </c>
      <c r="B28" s="99" t="s">
        <v>1116</v>
      </c>
      <c r="C28" s="99" t="s">
        <v>1110</v>
      </c>
      <c r="D28" s="99" t="s">
        <v>1121</v>
      </c>
      <c r="E28" s="99" t="s">
        <v>1122</v>
      </c>
      <c r="F28" s="99" t="s">
        <v>793</v>
      </c>
      <c r="H28" s="4"/>
      <c r="I28" s="4"/>
      <c r="J28" s="4"/>
    </row>
    <row r="29">
      <c r="A29" s="6">
        <v>28.0</v>
      </c>
      <c r="B29" s="6" t="s">
        <v>950</v>
      </c>
      <c r="C29" s="6" t="s">
        <v>1110</v>
      </c>
      <c r="D29" s="6">
        <v>748520.0</v>
      </c>
      <c r="E29" s="6" t="s">
        <v>1148</v>
      </c>
      <c r="F29" s="6" t="s">
        <v>437</v>
      </c>
      <c r="G29" s="6" t="s">
        <v>1149</v>
      </c>
      <c r="H29" s="4"/>
      <c r="I29" s="4"/>
      <c r="J29" s="4"/>
    </row>
    <row r="30">
      <c r="A30" s="99">
        <v>29.0</v>
      </c>
      <c r="B30" s="99" t="s">
        <v>1116</v>
      </c>
      <c r="C30" s="99" t="s">
        <v>1110</v>
      </c>
      <c r="D30" s="99" t="s">
        <v>1153</v>
      </c>
      <c r="E30" s="99" t="s">
        <v>1154</v>
      </c>
      <c r="F30" s="99" t="s">
        <v>1155</v>
      </c>
      <c r="H30" s="4"/>
      <c r="I30" s="4"/>
      <c r="J30" s="4"/>
    </row>
    <row r="31">
      <c r="A31" s="6">
        <v>30.0</v>
      </c>
      <c r="B31" s="35" t="s">
        <v>1116</v>
      </c>
      <c r="C31" s="6" t="s">
        <v>1110</v>
      </c>
      <c r="D31" s="6" t="s">
        <v>1153</v>
      </c>
      <c r="E31" s="6" t="s">
        <v>1154</v>
      </c>
      <c r="F31" s="6" t="s">
        <v>1155</v>
      </c>
      <c r="H31" s="4"/>
      <c r="I31" s="4"/>
      <c r="J31" s="4"/>
    </row>
    <row r="32">
      <c r="A32" s="191">
        <v>31.0</v>
      </c>
      <c r="B32" s="191" t="s">
        <v>1180</v>
      </c>
      <c r="C32" s="191" t="s">
        <v>1110</v>
      </c>
      <c r="D32" s="191" t="s">
        <v>1181</v>
      </c>
      <c r="E32" s="191" t="s">
        <v>1184</v>
      </c>
      <c r="F32" s="191" t="s">
        <v>1185</v>
      </c>
      <c r="G32" s="191" t="s">
        <v>1187</v>
      </c>
      <c r="H32" s="4"/>
      <c r="I32" s="4"/>
      <c r="J32" s="4"/>
    </row>
    <row r="33">
      <c r="A33" s="6">
        <v>32.0</v>
      </c>
      <c r="B33" s="6" t="s">
        <v>950</v>
      </c>
      <c r="C33" s="6" t="s">
        <v>733</v>
      </c>
      <c r="D33" s="6">
        <v>737422.0</v>
      </c>
      <c r="E33" s="6" t="s">
        <v>1196</v>
      </c>
      <c r="F33" s="6" t="s">
        <v>793</v>
      </c>
      <c r="G33" s="6" t="s">
        <v>1197</v>
      </c>
      <c r="H33" s="3" t="s">
        <v>970</v>
      </c>
      <c r="I33" s="3" t="s">
        <v>269</v>
      </c>
      <c r="J33" s="3">
        <v>737422.0</v>
      </c>
    </row>
    <row r="34">
      <c r="A34" s="6">
        <v>33.0</v>
      </c>
      <c r="B34" s="6" t="s">
        <v>950</v>
      </c>
      <c r="C34" s="6" t="s">
        <v>1110</v>
      </c>
      <c r="D34" s="6">
        <v>747113.0</v>
      </c>
      <c r="E34" s="6" t="s">
        <v>1204</v>
      </c>
      <c r="G34" s="6" t="s">
        <v>1205</v>
      </c>
      <c r="H34" s="3" t="s">
        <v>1206</v>
      </c>
      <c r="I34" s="3" t="s">
        <v>269</v>
      </c>
      <c r="J34" s="3">
        <v>747113.0</v>
      </c>
    </row>
    <row r="35">
      <c r="B35" s="6" t="s">
        <v>1116</v>
      </c>
      <c r="C35" s="6" t="s">
        <v>1110</v>
      </c>
      <c r="D35" s="6" t="s">
        <v>1215</v>
      </c>
      <c r="E35" s="6" t="s">
        <v>1218</v>
      </c>
      <c r="F35" s="6" t="s">
        <v>1222</v>
      </c>
      <c r="H35" s="4"/>
      <c r="I35" s="4"/>
      <c r="J35" s="4"/>
    </row>
    <row r="36">
      <c r="B36" s="6" t="s">
        <v>1116</v>
      </c>
      <c r="C36" s="6" t="s">
        <v>733</v>
      </c>
      <c r="D36" s="6" t="s">
        <v>1230</v>
      </c>
      <c r="E36" s="6" t="s">
        <v>1218</v>
      </c>
      <c r="F36" s="6" t="s">
        <v>1222</v>
      </c>
      <c r="H36" s="4"/>
      <c r="I36" s="4"/>
      <c r="J36" s="4"/>
    </row>
    <row r="37">
      <c r="B37" s="6" t="s">
        <v>1116</v>
      </c>
      <c r="C37" s="6" t="s">
        <v>1110</v>
      </c>
      <c r="D37" s="6" t="s">
        <v>1234</v>
      </c>
      <c r="E37" s="6" t="s">
        <v>1235</v>
      </c>
      <c r="F37" s="6" t="s">
        <v>1222</v>
      </c>
      <c r="H37" s="4"/>
      <c r="I37" s="4"/>
      <c r="J37" s="4"/>
    </row>
    <row r="38">
      <c r="B38" s="6" t="s">
        <v>1116</v>
      </c>
      <c r="C38" s="6" t="s">
        <v>733</v>
      </c>
      <c r="D38" s="6" t="s">
        <v>1243</v>
      </c>
      <c r="E38" s="6" t="s">
        <v>1235</v>
      </c>
      <c r="F38" s="6" t="s">
        <v>1222</v>
      </c>
      <c r="H38" s="4"/>
      <c r="I38" s="4"/>
      <c r="J38" s="4"/>
    </row>
    <row r="39">
      <c r="A39" s="6">
        <v>34.0</v>
      </c>
      <c r="B39" s="6" t="s">
        <v>950</v>
      </c>
      <c r="C39" s="6" t="s">
        <v>1110</v>
      </c>
      <c r="D39" s="6">
        <v>747202.0</v>
      </c>
      <c r="E39" s="6" t="s">
        <v>1249</v>
      </c>
      <c r="F39" s="6" t="s">
        <v>1185</v>
      </c>
      <c r="H39" s="3" t="s">
        <v>970</v>
      </c>
      <c r="I39" s="3" t="s">
        <v>269</v>
      </c>
      <c r="J39" s="3">
        <v>747202.0</v>
      </c>
    </row>
    <row r="40">
      <c r="B40" s="99" t="s">
        <v>408</v>
      </c>
      <c r="C40" s="99" t="s">
        <v>1110</v>
      </c>
      <c r="D40" s="99">
        <v>3.20134300113E11</v>
      </c>
      <c r="E40" s="99" t="s">
        <v>1263</v>
      </c>
      <c r="F40" s="99" t="s">
        <v>375</v>
      </c>
      <c r="G40" s="6" t="s">
        <v>1265</v>
      </c>
      <c r="H40" s="4"/>
      <c r="I40" s="4"/>
      <c r="J40" s="4"/>
    </row>
    <row r="41">
      <c r="A41" s="6">
        <v>35.0</v>
      </c>
      <c r="B41" s="99" t="s">
        <v>408</v>
      </c>
      <c r="C41" s="99" t="s">
        <v>1110</v>
      </c>
      <c r="D41" s="6">
        <v>3.4513400107E10</v>
      </c>
      <c r="E41" s="6" t="s">
        <v>1270</v>
      </c>
      <c r="F41" s="6">
        <v>2018.0</v>
      </c>
      <c r="G41" s="6" t="s">
        <v>1272</v>
      </c>
      <c r="H41" s="4"/>
      <c r="I41" s="4"/>
      <c r="J41" s="4"/>
    </row>
    <row r="42">
      <c r="A42" s="200"/>
      <c r="B42" s="6" t="s">
        <v>408</v>
      </c>
      <c r="C42" s="200" t="s">
        <v>1282</v>
      </c>
      <c r="D42" s="201" t="s">
        <v>1283</v>
      </c>
      <c r="E42" s="200" t="s">
        <v>1286</v>
      </c>
      <c r="F42" s="200" t="s">
        <v>793</v>
      </c>
      <c r="G42" s="200" t="s">
        <v>1287</v>
      </c>
      <c r="H42" s="3" t="s">
        <v>970</v>
      </c>
      <c r="I42" s="3" t="s">
        <v>269</v>
      </c>
      <c r="J42" s="3">
        <v>3.20165300107E11</v>
      </c>
      <c r="K42" s="200"/>
      <c r="L42" s="200" t="str">
        <f>IFNA(VLOOKUP(D42,'EAN Codes'!A:C,2,False),"")</f>
        <v/>
      </c>
      <c r="M42" s="200"/>
      <c r="N42" s="200"/>
      <c r="O42" s="200"/>
      <c r="P42" s="200" t="s">
        <v>1316</v>
      </c>
      <c r="Q42" s="200"/>
      <c r="R42" s="200"/>
      <c r="S42" s="200"/>
      <c r="T42" s="200"/>
      <c r="U42" s="200"/>
      <c r="V42" s="200"/>
      <c r="W42" s="200"/>
      <c r="X42" s="200"/>
      <c r="Y42" s="200"/>
      <c r="Z42" s="200"/>
      <c r="AA42" s="200"/>
      <c r="AB42" s="200"/>
      <c r="AC42" s="200"/>
      <c r="AD42" s="200"/>
      <c r="AE42" s="200"/>
      <c r="AF42" s="200"/>
      <c r="AG42" s="200"/>
      <c r="AH42" s="200"/>
      <c r="AI42" s="200"/>
    </row>
    <row r="43">
      <c r="A43" s="6">
        <v>36.0</v>
      </c>
      <c r="B43" s="6" t="s">
        <v>408</v>
      </c>
      <c r="C43" s="6" t="s">
        <v>1110</v>
      </c>
      <c r="D43" s="6">
        <v>3.20173300113E11</v>
      </c>
      <c r="E43" s="6" t="s">
        <v>1263</v>
      </c>
      <c r="G43" s="6" t="s">
        <v>1337</v>
      </c>
      <c r="H43" s="3" t="s">
        <v>970</v>
      </c>
      <c r="I43" s="3" t="s">
        <v>269</v>
      </c>
      <c r="J43" s="3">
        <v>3.20173300113E11</v>
      </c>
    </row>
    <row r="44">
      <c r="A44" s="6">
        <v>37.0</v>
      </c>
      <c r="B44" s="6" t="s">
        <v>408</v>
      </c>
      <c r="C44" s="6" t="s">
        <v>1110</v>
      </c>
      <c r="D44" s="6">
        <v>3.03352300113E11</v>
      </c>
      <c r="E44" s="6" t="s">
        <v>1347</v>
      </c>
      <c r="H44" s="4"/>
      <c r="I44" s="4"/>
      <c r="J44" s="4"/>
    </row>
    <row r="45">
      <c r="B45" s="6" t="s">
        <v>408</v>
      </c>
      <c r="C45" s="6" t="s">
        <v>1110</v>
      </c>
      <c r="D45" s="6">
        <v>3.20117300113E11</v>
      </c>
      <c r="H45" s="3" t="s">
        <v>970</v>
      </c>
      <c r="I45" s="3" t="s">
        <v>269</v>
      </c>
      <c r="J45" s="3">
        <v>3.20117300113E11</v>
      </c>
    </row>
    <row r="46">
      <c r="B46" s="6" t="s">
        <v>408</v>
      </c>
      <c r="C46" s="6" t="s">
        <v>1110</v>
      </c>
      <c r="D46" s="6">
        <v>3.45169300113E11</v>
      </c>
      <c r="H46" s="3" t="s">
        <v>970</v>
      </c>
      <c r="I46" s="3" t="s">
        <v>269</v>
      </c>
      <c r="J46" s="3">
        <v>3.45169300113E11</v>
      </c>
    </row>
    <row r="47">
      <c r="H47" s="4"/>
      <c r="I47" s="4"/>
      <c r="J47" s="4"/>
    </row>
    <row r="48">
      <c r="H48" s="4"/>
      <c r="I48" s="4"/>
      <c r="J48" s="4"/>
    </row>
    <row r="49">
      <c r="H49" s="4"/>
      <c r="I49" s="4"/>
      <c r="J49" s="4"/>
    </row>
    <row r="50">
      <c r="H50" s="4"/>
      <c r="I50" s="4"/>
      <c r="J50" s="4"/>
    </row>
    <row r="51">
      <c r="H51" s="4"/>
      <c r="I51" s="4"/>
      <c r="J51" s="4"/>
    </row>
    <row r="52">
      <c r="H52" s="4"/>
      <c r="I52" s="4"/>
      <c r="J52" s="4"/>
    </row>
    <row r="53">
      <c r="H53" s="4"/>
      <c r="I53" s="4"/>
      <c r="J53" s="4"/>
    </row>
    <row r="54">
      <c r="H54" s="4"/>
      <c r="I54" s="4"/>
      <c r="J54" s="4"/>
    </row>
    <row r="55">
      <c r="H55" s="4"/>
      <c r="I55" s="4"/>
      <c r="J55" s="4"/>
    </row>
    <row r="56">
      <c r="H56" s="4"/>
      <c r="I56" s="4"/>
      <c r="J56" s="4"/>
    </row>
    <row r="57">
      <c r="H57" s="4"/>
      <c r="I57" s="4"/>
      <c r="J57" s="4"/>
    </row>
    <row r="58">
      <c r="H58" s="4"/>
      <c r="I58" s="4"/>
      <c r="J58" s="4"/>
    </row>
    <row r="59">
      <c r="H59" s="4"/>
      <c r="I59" s="4"/>
      <c r="J59" s="4"/>
    </row>
    <row r="60">
      <c r="H60" s="4"/>
      <c r="I60" s="4"/>
      <c r="J60" s="4"/>
    </row>
    <row r="61">
      <c r="H61" s="4"/>
      <c r="I61" s="4"/>
      <c r="J61" s="4"/>
    </row>
    <row r="62">
      <c r="H62" s="4"/>
      <c r="I62" s="4"/>
      <c r="J62" s="4"/>
    </row>
    <row r="63">
      <c r="H63" s="4"/>
      <c r="I63" s="4"/>
      <c r="J63" s="4"/>
    </row>
    <row r="64">
      <c r="H64" s="4"/>
      <c r="I64" s="4"/>
      <c r="J64" s="4"/>
    </row>
    <row r="65">
      <c r="H65" s="4"/>
      <c r="I65" s="4"/>
      <c r="J65" s="4"/>
    </row>
    <row r="66">
      <c r="H66" s="4"/>
      <c r="I66" s="4"/>
      <c r="J66" s="4"/>
    </row>
    <row r="67">
      <c r="H67" s="4"/>
      <c r="I67" s="4"/>
      <c r="J67" s="4"/>
    </row>
    <row r="68">
      <c r="H68" s="4"/>
      <c r="I68" s="4"/>
      <c r="J68" s="4"/>
    </row>
    <row r="69">
      <c r="H69" s="4"/>
      <c r="I69" s="4"/>
      <c r="J69" s="4"/>
    </row>
    <row r="70">
      <c r="H70" s="4"/>
      <c r="I70" s="4"/>
      <c r="J70" s="4"/>
    </row>
    <row r="71">
      <c r="H71" s="4"/>
      <c r="I71" s="4"/>
      <c r="J71" s="4"/>
    </row>
    <row r="72">
      <c r="H72" s="4"/>
      <c r="I72" s="4"/>
      <c r="J72" s="4"/>
    </row>
    <row r="73">
      <c r="H73" s="4"/>
      <c r="I73" s="4"/>
      <c r="J73" s="4"/>
    </row>
    <row r="74">
      <c r="H74" s="4"/>
      <c r="I74" s="4"/>
      <c r="J74" s="4"/>
    </row>
    <row r="75">
      <c r="H75" s="4"/>
      <c r="I75" s="4"/>
      <c r="J75" s="4"/>
    </row>
    <row r="76">
      <c r="H76" s="4"/>
      <c r="I76" s="4"/>
      <c r="J76" s="4"/>
    </row>
    <row r="77">
      <c r="H77" s="4"/>
      <c r="I77" s="4"/>
      <c r="J77" s="4"/>
    </row>
    <row r="78">
      <c r="H78" s="4"/>
      <c r="I78" s="4"/>
      <c r="J78" s="4"/>
    </row>
    <row r="79">
      <c r="H79" s="4"/>
      <c r="I79" s="4"/>
      <c r="J79" s="4"/>
    </row>
    <row r="80">
      <c r="H80" s="4"/>
      <c r="I80" s="4"/>
      <c r="J80" s="4"/>
    </row>
    <row r="81">
      <c r="H81" s="4"/>
      <c r="I81" s="4"/>
      <c r="J81" s="4"/>
    </row>
    <row r="82">
      <c r="H82" s="4"/>
      <c r="I82" s="4"/>
      <c r="J82" s="4"/>
    </row>
    <row r="83">
      <c r="H83" s="4"/>
      <c r="I83" s="4"/>
      <c r="J83" s="4"/>
    </row>
    <row r="84">
      <c r="H84" s="4"/>
      <c r="I84" s="4"/>
      <c r="J84" s="4"/>
    </row>
    <row r="85">
      <c r="H85" s="4"/>
      <c r="I85" s="4"/>
      <c r="J85" s="4"/>
    </row>
    <row r="86">
      <c r="H86" s="4"/>
      <c r="I86" s="4"/>
      <c r="J86" s="4"/>
    </row>
    <row r="87">
      <c r="H87" s="4"/>
      <c r="I87" s="4"/>
      <c r="J87" s="4"/>
    </row>
    <row r="88">
      <c r="H88" s="4"/>
      <c r="I88" s="4"/>
      <c r="J88" s="4"/>
    </row>
    <row r="89">
      <c r="H89" s="4"/>
      <c r="I89" s="4"/>
      <c r="J89" s="4"/>
    </row>
    <row r="90">
      <c r="H90" s="4"/>
      <c r="I90" s="4"/>
      <c r="J90" s="4"/>
    </row>
    <row r="91">
      <c r="H91" s="4"/>
      <c r="I91" s="4"/>
      <c r="J91" s="4"/>
    </row>
    <row r="92">
      <c r="H92" s="4"/>
      <c r="I92" s="4"/>
      <c r="J92" s="4"/>
    </row>
    <row r="93">
      <c r="H93" s="4"/>
      <c r="I93" s="4"/>
      <c r="J93" s="4"/>
    </row>
    <row r="94">
      <c r="H94" s="4"/>
      <c r="I94" s="4"/>
      <c r="J94" s="4"/>
    </row>
    <row r="95">
      <c r="H95" s="4"/>
      <c r="I95" s="4"/>
      <c r="J95" s="4"/>
    </row>
    <row r="96">
      <c r="H96" s="4"/>
      <c r="I96" s="4"/>
      <c r="J96" s="4"/>
    </row>
    <row r="97">
      <c r="H97" s="4"/>
      <c r="I97" s="4"/>
      <c r="J97" s="4"/>
    </row>
    <row r="98">
      <c r="H98" s="4"/>
      <c r="I98" s="4"/>
      <c r="J98" s="4"/>
    </row>
    <row r="99">
      <c r="H99" s="4"/>
      <c r="I99" s="4"/>
      <c r="J99" s="4"/>
    </row>
    <row r="100">
      <c r="H100" s="4"/>
      <c r="I100" s="4"/>
      <c r="J100" s="4"/>
    </row>
    <row r="101">
      <c r="H101" s="4"/>
      <c r="I101" s="4"/>
      <c r="J101" s="4"/>
    </row>
    <row r="102">
      <c r="H102" s="4"/>
      <c r="I102" s="4"/>
      <c r="J102" s="4"/>
    </row>
    <row r="103">
      <c r="H103" s="4"/>
      <c r="I103" s="4"/>
      <c r="J103" s="4"/>
    </row>
    <row r="104">
      <c r="H104" s="4"/>
      <c r="I104" s="4"/>
      <c r="J104" s="4"/>
    </row>
    <row r="105">
      <c r="H105" s="4"/>
      <c r="I105" s="4"/>
      <c r="J105" s="4"/>
    </row>
    <row r="106">
      <c r="H106" s="4"/>
      <c r="I106" s="4"/>
      <c r="J106" s="4"/>
    </row>
    <row r="107">
      <c r="H107" s="4"/>
      <c r="I107" s="4"/>
      <c r="J107" s="4"/>
    </row>
    <row r="108">
      <c r="H108" s="4"/>
      <c r="I108" s="4"/>
      <c r="J108" s="4"/>
    </row>
    <row r="109">
      <c r="H109" s="4"/>
      <c r="I109" s="4"/>
      <c r="J109" s="4"/>
    </row>
    <row r="110">
      <c r="H110" s="4"/>
      <c r="I110" s="4"/>
      <c r="J110" s="4"/>
    </row>
    <row r="111">
      <c r="H111" s="4"/>
      <c r="I111" s="4"/>
      <c r="J111" s="4"/>
    </row>
    <row r="112">
      <c r="H112" s="4"/>
      <c r="I112" s="4"/>
      <c r="J112" s="4"/>
    </row>
    <row r="113">
      <c r="H113" s="4"/>
      <c r="I113" s="4"/>
      <c r="J113" s="4"/>
    </row>
    <row r="114">
      <c r="H114" s="4"/>
      <c r="I114" s="4"/>
      <c r="J114" s="4"/>
    </row>
    <row r="115">
      <c r="H115" s="4"/>
      <c r="I115" s="4"/>
      <c r="J115" s="4"/>
    </row>
    <row r="116">
      <c r="H116" s="4"/>
      <c r="I116" s="4"/>
      <c r="J116" s="4"/>
    </row>
    <row r="117">
      <c r="H117" s="4"/>
      <c r="I117" s="4"/>
      <c r="J117" s="4"/>
    </row>
    <row r="118">
      <c r="H118" s="4"/>
      <c r="I118" s="4"/>
      <c r="J118" s="4"/>
    </row>
    <row r="119">
      <c r="H119" s="4"/>
      <c r="I119" s="4"/>
      <c r="J119" s="4"/>
    </row>
    <row r="120">
      <c r="H120" s="4"/>
      <c r="I120" s="4"/>
      <c r="J120" s="4"/>
    </row>
    <row r="121">
      <c r="H121" s="4"/>
      <c r="I121" s="4"/>
      <c r="J121" s="4"/>
    </row>
    <row r="122">
      <c r="H122" s="4"/>
      <c r="I122" s="4"/>
      <c r="J122" s="4"/>
    </row>
    <row r="123">
      <c r="H123" s="4"/>
      <c r="I123" s="4"/>
      <c r="J123" s="4"/>
    </row>
    <row r="124">
      <c r="H124" s="4"/>
      <c r="I124" s="4"/>
      <c r="J124" s="4"/>
    </row>
    <row r="125">
      <c r="H125" s="4"/>
      <c r="I125" s="4"/>
      <c r="J125" s="4"/>
    </row>
    <row r="126">
      <c r="H126" s="4"/>
      <c r="I126" s="4"/>
      <c r="J126" s="4"/>
    </row>
    <row r="127">
      <c r="H127" s="4"/>
      <c r="I127" s="4"/>
      <c r="J127" s="4"/>
    </row>
    <row r="128">
      <c r="H128" s="4"/>
      <c r="I128" s="4"/>
      <c r="J128" s="4"/>
    </row>
    <row r="129">
      <c r="H129" s="4"/>
      <c r="I129" s="4"/>
      <c r="J129" s="4"/>
    </row>
    <row r="130">
      <c r="H130" s="4"/>
      <c r="I130" s="4"/>
      <c r="J130" s="4"/>
    </row>
    <row r="131">
      <c r="H131" s="4"/>
      <c r="I131" s="4"/>
      <c r="J131" s="4"/>
    </row>
    <row r="132">
      <c r="H132" s="4"/>
      <c r="I132" s="4"/>
      <c r="J132" s="4"/>
    </row>
    <row r="133">
      <c r="H133" s="4"/>
      <c r="I133" s="4"/>
      <c r="J133" s="4"/>
    </row>
    <row r="134">
      <c r="H134" s="4"/>
      <c r="I134" s="4"/>
      <c r="J134" s="4"/>
    </row>
    <row r="135">
      <c r="H135" s="4"/>
      <c r="I135" s="4"/>
      <c r="J135" s="4"/>
    </row>
    <row r="136">
      <c r="H136" s="4"/>
      <c r="I136" s="4"/>
      <c r="J136" s="4"/>
    </row>
    <row r="137">
      <c r="H137" s="4"/>
      <c r="I137" s="4"/>
      <c r="J137" s="4"/>
    </row>
    <row r="138">
      <c r="H138" s="4"/>
      <c r="I138" s="4"/>
      <c r="J138" s="4"/>
    </row>
    <row r="139">
      <c r="H139" s="4"/>
      <c r="I139" s="4"/>
      <c r="J139" s="4"/>
    </row>
    <row r="140">
      <c r="H140" s="4"/>
      <c r="I140" s="4"/>
      <c r="J140" s="4"/>
    </row>
    <row r="141">
      <c r="H141" s="4"/>
      <c r="I141" s="4"/>
      <c r="J141" s="4"/>
    </row>
    <row r="142">
      <c r="H142" s="4"/>
      <c r="I142" s="4"/>
      <c r="J142" s="4"/>
    </row>
    <row r="143">
      <c r="H143" s="4"/>
      <c r="I143" s="4"/>
      <c r="J143" s="4"/>
    </row>
    <row r="144">
      <c r="H144" s="4"/>
      <c r="I144" s="4"/>
      <c r="J144" s="4"/>
    </row>
    <row r="145">
      <c r="H145" s="4"/>
      <c r="I145" s="4"/>
      <c r="J145" s="4"/>
    </row>
    <row r="146">
      <c r="H146" s="4"/>
      <c r="I146" s="4"/>
      <c r="J146" s="4"/>
    </row>
    <row r="147">
      <c r="H147" s="4"/>
      <c r="I147" s="4"/>
      <c r="J147" s="4"/>
    </row>
    <row r="148">
      <c r="H148" s="4"/>
      <c r="I148" s="4"/>
      <c r="J148" s="4"/>
    </row>
    <row r="149">
      <c r="H149" s="4"/>
      <c r="I149" s="4"/>
      <c r="J149" s="4"/>
    </row>
    <row r="150">
      <c r="H150" s="4"/>
      <c r="I150" s="4"/>
      <c r="J150" s="4"/>
    </row>
    <row r="151">
      <c r="H151" s="4"/>
      <c r="I151" s="4"/>
      <c r="J151" s="4"/>
    </row>
    <row r="152">
      <c r="H152" s="4"/>
      <c r="I152" s="4"/>
      <c r="J152" s="4"/>
    </row>
    <row r="153">
      <c r="H153" s="4"/>
      <c r="I153" s="4"/>
      <c r="J153" s="4"/>
    </row>
    <row r="154">
      <c r="H154" s="4"/>
      <c r="I154" s="4"/>
      <c r="J154" s="4"/>
    </row>
    <row r="155">
      <c r="H155" s="4"/>
      <c r="I155" s="4"/>
      <c r="J155" s="4"/>
    </row>
    <row r="156">
      <c r="H156" s="4"/>
      <c r="I156" s="4"/>
      <c r="J156" s="4"/>
    </row>
    <row r="157">
      <c r="H157" s="4"/>
      <c r="I157" s="4"/>
      <c r="J157" s="4"/>
    </row>
    <row r="158">
      <c r="H158" s="4"/>
      <c r="I158" s="4"/>
      <c r="J158" s="4"/>
    </row>
    <row r="159">
      <c r="H159" s="4"/>
      <c r="I159" s="4"/>
      <c r="J159" s="4"/>
    </row>
    <row r="160">
      <c r="H160" s="4"/>
      <c r="I160" s="4"/>
      <c r="J160" s="4"/>
    </row>
    <row r="161">
      <c r="H161" s="4"/>
      <c r="I161" s="4"/>
      <c r="J161" s="4"/>
    </row>
    <row r="162">
      <c r="H162" s="4"/>
      <c r="I162" s="4"/>
      <c r="J162" s="4"/>
    </row>
    <row r="163">
      <c r="H163" s="4"/>
      <c r="I163" s="4"/>
      <c r="J163" s="4"/>
    </row>
    <row r="164">
      <c r="H164" s="4"/>
      <c r="I164" s="4"/>
      <c r="J164" s="4"/>
    </row>
    <row r="165">
      <c r="H165" s="4"/>
      <c r="I165" s="4"/>
      <c r="J165" s="4"/>
    </row>
    <row r="166">
      <c r="H166" s="4"/>
      <c r="I166" s="4"/>
      <c r="J166" s="4"/>
    </row>
    <row r="167">
      <c r="H167" s="4"/>
      <c r="I167" s="4"/>
      <c r="J167" s="4"/>
    </row>
    <row r="168">
      <c r="H168" s="4"/>
      <c r="I168" s="4"/>
      <c r="J168" s="4"/>
    </row>
    <row r="169">
      <c r="H169" s="4"/>
      <c r="I169" s="4"/>
      <c r="J169" s="4"/>
    </row>
    <row r="170">
      <c r="H170" s="4"/>
      <c r="I170" s="4"/>
      <c r="J170" s="4"/>
    </row>
    <row r="171">
      <c r="H171" s="4"/>
      <c r="I171" s="4"/>
      <c r="J171" s="4"/>
    </row>
    <row r="172">
      <c r="H172" s="4"/>
      <c r="I172" s="4"/>
      <c r="J172" s="4"/>
    </row>
    <row r="173">
      <c r="H173" s="4"/>
      <c r="I173" s="4"/>
      <c r="J173" s="4"/>
    </row>
    <row r="174">
      <c r="H174" s="4"/>
      <c r="I174" s="4"/>
      <c r="J174" s="4"/>
    </row>
    <row r="175">
      <c r="H175" s="4"/>
      <c r="I175" s="4"/>
      <c r="J175" s="4"/>
    </row>
    <row r="176">
      <c r="H176" s="4"/>
      <c r="I176" s="4"/>
      <c r="J176" s="4"/>
    </row>
    <row r="177">
      <c r="H177" s="4"/>
      <c r="I177" s="4"/>
      <c r="J177" s="4"/>
    </row>
    <row r="178">
      <c r="H178" s="4"/>
      <c r="I178" s="4"/>
      <c r="J178" s="4"/>
    </row>
    <row r="179">
      <c r="H179" s="4"/>
      <c r="I179" s="4"/>
      <c r="J179" s="4"/>
    </row>
    <row r="180">
      <c r="H180" s="4"/>
      <c r="I180" s="4"/>
      <c r="J180" s="4"/>
    </row>
    <row r="181">
      <c r="H181" s="4"/>
      <c r="I181" s="4"/>
      <c r="J181" s="4"/>
    </row>
    <row r="182">
      <c r="H182" s="4"/>
      <c r="I182" s="4"/>
      <c r="J182" s="4"/>
    </row>
    <row r="183">
      <c r="H183" s="4"/>
      <c r="I183" s="4"/>
      <c r="J183" s="4"/>
    </row>
    <row r="184">
      <c r="H184" s="4"/>
      <c r="I184" s="4"/>
      <c r="J184" s="4"/>
    </row>
    <row r="185">
      <c r="H185" s="4"/>
      <c r="I185" s="4"/>
      <c r="J185" s="4"/>
    </row>
    <row r="186">
      <c r="H186" s="4"/>
      <c r="I186" s="4"/>
      <c r="J186" s="4"/>
    </row>
    <row r="187">
      <c r="H187" s="4"/>
      <c r="I187" s="4"/>
      <c r="J187" s="4"/>
    </row>
    <row r="188">
      <c r="H188" s="4"/>
      <c r="I188" s="4"/>
      <c r="J188" s="4"/>
    </row>
    <row r="189">
      <c r="H189" s="4"/>
      <c r="I189" s="4"/>
      <c r="J189" s="4"/>
    </row>
    <row r="190">
      <c r="H190" s="4"/>
      <c r="I190" s="4"/>
      <c r="J190" s="4"/>
    </row>
    <row r="191">
      <c r="H191" s="4"/>
      <c r="I191" s="4"/>
      <c r="J191" s="4"/>
    </row>
    <row r="192">
      <c r="H192" s="4"/>
      <c r="I192" s="4"/>
      <c r="J192" s="4"/>
    </row>
    <row r="193">
      <c r="H193" s="4"/>
      <c r="I193" s="4"/>
      <c r="J193" s="4"/>
    </row>
    <row r="194">
      <c r="H194" s="4"/>
      <c r="I194" s="4"/>
      <c r="J194" s="4"/>
    </row>
    <row r="195">
      <c r="H195" s="4"/>
      <c r="I195" s="4"/>
      <c r="J195" s="4"/>
    </row>
    <row r="196">
      <c r="H196" s="4"/>
      <c r="I196" s="4"/>
      <c r="J196" s="4"/>
    </row>
    <row r="197">
      <c r="H197" s="4"/>
      <c r="I197" s="4"/>
      <c r="J197" s="4"/>
    </row>
    <row r="198">
      <c r="H198" s="4"/>
      <c r="I198" s="4"/>
      <c r="J198" s="4"/>
    </row>
    <row r="199">
      <c r="H199" s="4"/>
      <c r="I199" s="4"/>
      <c r="J199" s="4"/>
    </row>
    <row r="200">
      <c r="H200" s="4"/>
      <c r="I200" s="4"/>
      <c r="J200" s="4"/>
    </row>
    <row r="201">
      <c r="H201" s="4"/>
      <c r="I201" s="4"/>
      <c r="J201" s="4"/>
    </row>
    <row r="202">
      <c r="H202" s="4"/>
      <c r="I202" s="4"/>
      <c r="J202" s="4"/>
    </row>
    <row r="203">
      <c r="H203" s="4"/>
      <c r="I203" s="4"/>
      <c r="J203" s="4"/>
    </row>
    <row r="204">
      <c r="H204" s="4"/>
      <c r="I204" s="4"/>
      <c r="J204" s="4"/>
    </row>
    <row r="205">
      <c r="H205" s="4"/>
      <c r="I205" s="4"/>
      <c r="J205" s="4"/>
    </row>
    <row r="206">
      <c r="H206" s="4"/>
      <c r="I206" s="4"/>
      <c r="J206" s="4"/>
    </row>
    <row r="207">
      <c r="H207" s="4"/>
      <c r="I207" s="4"/>
      <c r="J207" s="4"/>
    </row>
    <row r="208">
      <c r="H208" s="4"/>
      <c r="I208" s="4"/>
      <c r="J208" s="4"/>
    </row>
    <row r="209">
      <c r="H209" s="4"/>
      <c r="I209" s="4"/>
      <c r="J209" s="4"/>
    </row>
    <row r="210">
      <c r="H210" s="4"/>
      <c r="I210" s="4"/>
      <c r="J210" s="4"/>
    </row>
    <row r="211">
      <c r="H211" s="4"/>
      <c r="I211" s="4"/>
      <c r="J211" s="4"/>
    </row>
    <row r="212">
      <c r="H212" s="4"/>
      <c r="I212" s="4"/>
      <c r="J212" s="4"/>
    </row>
    <row r="213">
      <c r="H213" s="4"/>
      <c r="I213" s="4"/>
      <c r="J213" s="4"/>
    </row>
    <row r="214">
      <c r="H214" s="4"/>
      <c r="I214" s="4"/>
      <c r="J214" s="4"/>
    </row>
    <row r="215">
      <c r="H215" s="4"/>
      <c r="I215" s="4"/>
      <c r="J215" s="4"/>
    </row>
    <row r="216">
      <c r="H216" s="4"/>
      <c r="I216" s="4"/>
      <c r="J216" s="4"/>
    </row>
    <row r="217">
      <c r="H217" s="4"/>
      <c r="I217" s="4"/>
      <c r="J217" s="4"/>
    </row>
    <row r="218">
      <c r="H218" s="4"/>
      <c r="I218" s="4"/>
      <c r="J218" s="4"/>
    </row>
    <row r="219">
      <c r="H219" s="4"/>
      <c r="I219" s="4"/>
      <c r="J219" s="4"/>
    </row>
    <row r="220">
      <c r="H220" s="4"/>
      <c r="I220" s="4"/>
      <c r="J220" s="4"/>
    </row>
    <row r="221">
      <c r="H221" s="4"/>
      <c r="I221" s="4"/>
      <c r="J221" s="4"/>
    </row>
    <row r="222">
      <c r="H222" s="4"/>
      <c r="I222" s="4"/>
      <c r="J222" s="4"/>
    </row>
    <row r="223">
      <c r="H223" s="4"/>
      <c r="I223" s="4"/>
      <c r="J223" s="4"/>
    </row>
    <row r="224">
      <c r="H224" s="4"/>
      <c r="I224" s="4"/>
      <c r="J224" s="4"/>
    </row>
    <row r="225">
      <c r="H225" s="4"/>
      <c r="I225" s="4"/>
      <c r="J225" s="4"/>
    </row>
    <row r="226">
      <c r="H226" s="4"/>
      <c r="I226" s="4"/>
      <c r="J226" s="4"/>
    </row>
    <row r="227">
      <c r="H227" s="4"/>
      <c r="I227" s="4"/>
      <c r="J227" s="4"/>
    </row>
    <row r="228">
      <c r="H228" s="4"/>
      <c r="I228" s="4"/>
      <c r="J228" s="4"/>
    </row>
    <row r="229">
      <c r="H229" s="4"/>
      <c r="I229" s="4"/>
      <c r="J229" s="4"/>
    </row>
    <row r="230">
      <c r="H230" s="4"/>
      <c r="I230" s="4"/>
      <c r="J230" s="4"/>
    </row>
    <row r="231">
      <c r="H231" s="4"/>
      <c r="I231" s="4"/>
      <c r="J231" s="4"/>
    </row>
    <row r="232">
      <c r="H232" s="4"/>
      <c r="I232" s="4"/>
      <c r="J232" s="4"/>
    </row>
    <row r="233">
      <c r="H233" s="4"/>
      <c r="I233" s="4"/>
      <c r="J233" s="4"/>
    </row>
    <row r="234">
      <c r="H234" s="4"/>
      <c r="I234" s="4"/>
      <c r="J234" s="4"/>
    </row>
    <row r="235">
      <c r="H235" s="4"/>
      <c r="I235" s="4"/>
      <c r="J235" s="4"/>
    </row>
    <row r="236">
      <c r="H236" s="4"/>
      <c r="I236" s="4"/>
      <c r="J236" s="4"/>
    </row>
    <row r="237">
      <c r="H237" s="4"/>
      <c r="I237" s="4"/>
      <c r="J237" s="4"/>
    </row>
    <row r="238">
      <c r="H238" s="4"/>
      <c r="I238" s="4"/>
      <c r="J238" s="4"/>
    </row>
    <row r="239">
      <c r="H239" s="4"/>
      <c r="I239" s="4"/>
      <c r="J239" s="4"/>
    </row>
    <row r="240">
      <c r="H240" s="4"/>
      <c r="I240" s="4"/>
      <c r="J240" s="4"/>
    </row>
    <row r="241">
      <c r="H241" s="4"/>
      <c r="I241" s="4"/>
      <c r="J241" s="4"/>
    </row>
    <row r="242">
      <c r="H242" s="4"/>
      <c r="I242" s="4"/>
      <c r="J242" s="4"/>
    </row>
    <row r="243">
      <c r="H243" s="4"/>
      <c r="I243" s="4"/>
      <c r="J243" s="4"/>
    </row>
    <row r="244">
      <c r="H244" s="4"/>
      <c r="I244" s="4"/>
      <c r="J244" s="4"/>
    </row>
    <row r="245">
      <c r="H245" s="4"/>
      <c r="I245" s="4"/>
      <c r="J245" s="4"/>
    </row>
    <row r="246">
      <c r="H246" s="4"/>
      <c r="I246" s="4"/>
      <c r="J246" s="4"/>
    </row>
    <row r="247">
      <c r="H247" s="4"/>
      <c r="I247" s="4"/>
      <c r="J247" s="4"/>
    </row>
    <row r="248">
      <c r="H248" s="4"/>
      <c r="I248" s="4"/>
      <c r="J248" s="4"/>
    </row>
    <row r="249">
      <c r="H249" s="4"/>
      <c r="I249" s="4"/>
      <c r="J249" s="4"/>
    </row>
    <row r="250">
      <c r="H250" s="4"/>
      <c r="I250" s="4"/>
      <c r="J250" s="4"/>
    </row>
    <row r="251">
      <c r="H251" s="4"/>
      <c r="I251" s="4"/>
      <c r="J251" s="4"/>
    </row>
    <row r="252">
      <c r="H252" s="4"/>
      <c r="I252" s="4"/>
      <c r="J252" s="4"/>
    </row>
    <row r="253">
      <c r="H253" s="4"/>
      <c r="I253" s="4"/>
      <c r="J253" s="4"/>
    </row>
    <row r="254">
      <c r="H254" s="4"/>
      <c r="I254" s="4"/>
      <c r="J254" s="4"/>
    </row>
    <row r="255">
      <c r="H255" s="4"/>
      <c r="I255" s="4"/>
      <c r="J255" s="4"/>
    </row>
    <row r="256">
      <c r="H256" s="4"/>
      <c r="I256" s="4"/>
      <c r="J256" s="4"/>
    </row>
    <row r="257">
      <c r="H257" s="4"/>
      <c r="I257" s="4"/>
      <c r="J257" s="4"/>
    </row>
    <row r="258">
      <c r="H258" s="4"/>
      <c r="I258" s="4"/>
      <c r="J258" s="4"/>
    </row>
    <row r="259">
      <c r="H259" s="4"/>
      <c r="I259" s="4"/>
      <c r="J259" s="4"/>
    </row>
    <row r="260">
      <c r="H260" s="4"/>
      <c r="I260" s="4"/>
      <c r="J260" s="4"/>
    </row>
    <row r="261">
      <c r="H261" s="4"/>
      <c r="I261" s="4"/>
      <c r="J261" s="4"/>
    </row>
    <row r="262">
      <c r="H262" s="4"/>
      <c r="I262" s="4"/>
      <c r="J262" s="4"/>
    </row>
    <row r="263">
      <c r="H263" s="4"/>
      <c r="I263" s="4"/>
      <c r="J263" s="4"/>
    </row>
    <row r="264">
      <c r="H264" s="4"/>
      <c r="I264" s="4"/>
      <c r="J264" s="4"/>
    </row>
    <row r="265">
      <c r="H265" s="4"/>
      <c r="I265" s="4"/>
      <c r="J265" s="4"/>
    </row>
    <row r="266">
      <c r="H266" s="4"/>
      <c r="I266" s="4"/>
      <c r="J266" s="4"/>
    </row>
    <row r="267">
      <c r="H267" s="4"/>
      <c r="I267" s="4"/>
      <c r="J267" s="4"/>
    </row>
    <row r="268">
      <c r="H268" s="4"/>
      <c r="I268" s="4"/>
      <c r="J268" s="4"/>
    </row>
    <row r="269">
      <c r="H269" s="4"/>
      <c r="I269" s="4"/>
      <c r="J269" s="4"/>
    </row>
    <row r="270">
      <c r="H270" s="4"/>
      <c r="I270" s="4"/>
      <c r="J270" s="4"/>
    </row>
    <row r="271">
      <c r="H271" s="4"/>
      <c r="I271" s="4"/>
      <c r="J271" s="4"/>
    </row>
    <row r="272">
      <c r="H272" s="4"/>
      <c r="I272" s="4"/>
      <c r="J272" s="4"/>
    </row>
    <row r="273">
      <c r="H273" s="4"/>
      <c r="I273" s="4"/>
      <c r="J273" s="4"/>
    </row>
    <row r="274">
      <c r="H274" s="4"/>
      <c r="I274" s="4"/>
      <c r="J274" s="4"/>
    </row>
    <row r="275">
      <c r="H275" s="4"/>
      <c r="I275" s="4"/>
      <c r="J275" s="4"/>
    </row>
    <row r="276">
      <c r="H276" s="4"/>
      <c r="I276" s="4"/>
      <c r="J276" s="4"/>
    </row>
    <row r="277">
      <c r="H277" s="4"/>
      <c r="I277" s="4"/>
      <c r="J277" s="4"/>
    </row>
    <row r="278">
      <c r="H278" s="4"/>
      <c r="I278" s="4"/>
      <c r="J278" s="4"/>
    </row>
    <row r="279">
      <c r="H279" s="4"/>
      <c r="I279" s="4"/>
      <c r="J279" s="4"/>
    </row>
    <row r="280">
      <c r="H280" s="4"/>
      <c r="I280" s="4"/>
      <c r="J280" s="4"/>
    </row>
    <row r="281">
      <c r="H281" s="4"/>
      <c r="I281" s="4"/>
      <c r="J281" s="4"/>
    </row>
    <row r="282">
      <c r="H282" s="4"/>
      <c r="I282" s="4"/>
      <c r="J282" s="4"/>
    </row>
    <row r="283">
      <c r="H283" s="4"/>
      <c r="I283" s="4"/>
      <c r="J283" s="4"/>
    </row>
    <row r="284">
      <c r="H284" s="4"/>
      <c r="I284" s="4"/>
      <c r="J284" s="4"/>
    </row>
    <row r="285">
      <c r="H285" s="4"/>
      <c r="I285" s="4"/>
      <c r="J285" s="4"/>
    </row>
    <row r="286">
      <c r="H286" s="4"/>
      <c r="I286" s="4"/>
      <c r="J286" s="4"/>
    </row>
    <row r="287">
      <c r="H287" s="4"/>
      <c r="I287" s="4"/>
      <c r="J287" s="4"/>
    </row>
    <row r="288">
      <c r="H288" s="4"/>
      <c r="I288" s="4"/>
      <c r="J288" s="4"/>
    </row>
    <row r="289">
      <c r="H289" s="4"/>
      <c r="I289" s="4"/>
      <c r="J289" s="4"/>
    </row>
    <row r="290">
      <c r="H290" s="4"/>
      <c r="I290" s="4"/>
      <c r="J290" s="4"/>
    </row>
    <row r="291">
      <c r="H291" s="4"/>
      <c r="I291" s="4"/>
      <c r="J291" s="4"/>
    </row>
    <row r="292">
      <c r="H292" s="4"/>
      <c r="I292" s="4"/>
      <c r="J292" s="4"/>
    </row>
    <row r="293">
      <c r="H293" s="4"/>
      <c r="I293" s="4"/>
      <c r="J293" s="4"/>
    </row>
    <row r="294">
      <c r="H294" s="4"/>
      <c r="I294" s="4"/>
      <c r="J294" s="4"/>
    </row>
    <row r="295">
      <c r="H295" s="4"/>
      <c r="I295" s="4"/>
      <c r="J295" s="4"/>
    </row>
    <row r="296">
      <c r="H296" s="4"/>
      <c r="I296" s="4"/>
      <c r="J296" s="4"/>
    </row>
    <row r="297">
      <c r="H297" s="4"/>
      <c r="I297" s="4"/>
      <c r="J297" s="4"/>
    </row>
    <row r="298">
      <c r="H298" s="4"/>
      <c r="I298" s="4"/>
      <c r="J298" s="4"/>
    </row>
    <row r="299">
      <c r="H299" s="4"/>
      <c r="I299" s="4"/>
      <c r="J299" s="4"/>
    </row>
    <row r="300">
      <c r="H300" s="4"/>
      <c r="I300" s="4"/>
      <c r="J300" s="4"/>
    </row>
    <row r="301">
      <c r="H301" s="4"/>
      <c r="I301" s="4"/>
      <c r="J301" s="4"/>
    </row>
    <row r="302">
      <c r="H302" s="4"/>
      <c r="I302" s="4"/>
      <c r="J302" s="4"/>
    </row>
    <row r="303">
      <c r="H303" s="4"/>
      <c r="I303" s="4"/>
      <c r="J303" s="4"/>
    </row>
    <row r="304">
      <c r="H304" s="4"/>
      <c r="I304" s="4"/>
      <c r="J304" s="4"/>
    </row>
    <row r="305">
      <c r="H305" s="4"/>
      <c r="I305" s="4"/>
      <c r="J305" s="4"/>
    </row>
    <row r="306">
      <c r="H306" s="4"/>
      <c r="I306" s="4"/>
      <c r="J306" s="4"/>
    </row>
    <row r="307">
      <c r="H307" s="4"/>
      <c r="I307" s="4"/>
      <c r="J307" s="4"/>
    </row>
    <row r="308">
      <c r="H308" s="4"/>
      <c r="I308" s="4"/>
      <c r="J308" s="4"/>
    </row>
    <row r="309">
      <c r="H309" s="4"/>
      <c r="I309" s="4"/>
      <c r="J309" s="4"/>
    </row>
    <row r="310">
      <c r="H310" s="4"/>
      <c r="I310" s="4"/>
      <c r="J310" s="4"/>
    </row>
    <row r="311">
      <c r="H311" s="4"/>
      <c r="I311" s="4"/>
      <c r="J311" s="4"/>
    </row>
    <row r="312">
      <c r="H312" s="4"/>
      <c r="I312" s="4"/>
      <c r="J312" s="4"/>
    </row>
    <row r="313">
      <c r="H313" s="4"/>
      <c r="I313" s="4"/>
      <c r="J313" s="4"/>
    </row>
    <row r="314">
      <c r="H314" s="4"/>
      <c r="I314" s="4"/>
      <c r="J314" s="4"/>
    </row>
    <row r="315">
      <c r="H315" s="4"/>
      <c r="I315" s="4"/>
      <c r="J315" s="4"/>
    </row>
    <row r="316">
      <c r="H316" s="4"/>
      <c r="I316" s="4"/>
      <c r="J316" s="4"/>
    </row>
    <row r="317">
      <c r="H317" s="4"/>
      <c r="I317" s="4"/>
      <c r="J317" s="4"/>
    </row>
    <row r="318">
      <c r="H318" s="4"/>
      <c r="I318" s="4"/>
      <c r="J318" s="4"/>
    </row>
    <row r="319">
      <c r="H319" s="4"/>
      <c r="I319" s="4"/>
      <c r="J319" s="4"/>
    </row>
    <row r="320">
      <c r="H320" s="4"/>
      <c r="I320" s="4"/>
      <c r="J320" s="4"/>
    </row>
    <row r="321">
      <c r="H321" s="4"/>
      <c r="I321" s="4"/>
      <c r="J321" s="4"/>
    </row>
    <row r="322">
      <c r="H322" s="4"/>
      <c r="I322" s="4"/>
      <c r="J322" s="4"/>
    </row>
    <row r="323">
      <c r="H323" s="4"/>
      <c r="I323" s="4"/>
      <c r="J323" s="4"/>
    </row>
    <row r="324">
      <c r="H324" s="4"/>
      <c r="I324" s="4"/>
      <c r="J324" s="4"/>
    </row>
    <row r="325">
      <c r="H325" s="4"/>
      <c r="I325" s="4"/>
      <c r="J325" s="4"/>
    </row>
    <row r="326">
      <c r="H326" s="4"/>
      <c r="I326" s="4"/>
      <c r="J326" s="4"/>
    </row>
    <row r="327">
      <c r="H327" s="4"/>
      <c r="I327" s="4"/>
      <c r="J327" s="4"/>
    </row>
    <row r="328">
      <c r="H328" s="4"/>
      <c r="I328" s="4"/>
      <c r="J328" s="4"/>
    </row>
    <row r="329">
      <c r="H329" s="4"/>
      <c r="I329" s="4"/>
      <c r="J329" s="4"/>
    </row>
    <row r="330">
      <c r="H330" s="4"/>
      <c r="I330" s="4"/>
      <c r="J330" s="4"/>
    </row>
    <row r="331">
      <c r="H331" s="4"/>
      <c r="I331" s="4"/>
      <c r="J331" s="4"/>
    </row>
    <row r="332">
      <c r="H332" s="4"/>
      <c r="I332" s="4"/>
      <c r="J332" s="4"/>
    </row>
    <row r="333">
      <c r="H333" s="4"/>
      <c r="I333" s="4"/>
      <c r="J333" s="4"/>
    </row>
    <row r="334">
      <c r="H334" s="4"/>
      <c r="I334" s="4"/>
      <c r="J334" s="4"/>
    </row>
    <row r="335">
      <c r="H335" s="4"/>
      <c r="I335" s="4"/>
      <c r="J335" s="4"/>
    </row>
    <row r="336">
      <c r="H336" s="4"/>
      <c r="I336" s="4"/>
      <c r="J336" s="4"/>
    </row>
    <row r="337">
      <c r="H337" s="4"/>
      <c r="I337" s="4"/>
      <c r="J337" s="4"/>
    </row>
    <row r="338">
      <c r="H338" s="4"/>
      <c r="I338" s="4"/>
      <c r="J338" s="4"/>
    </row>
    <row r="339">
      <c r="H339" s="4"/>
      <c r="I339" s="4"/>
      <c r="J339" s="4"/>
    </row>
    <row r="340">
      <c r="H340" s="4"/>
      <c r="I340" s="4"/>
      <c r="J340" s="4"/>
    </row>
    <row r="341">
      <c r="H341" s="4"/>
      <c r="I341" s="4"/>
      <c r="J341" s="4"/>
    </row>
    <row r="342">
      <c r="H342" s="4"/>
      <c r="I342" s="4"/>
      <c r="J342" s="4"/>
    </row>
    <row r="343">
      <c r="H343" s="4"/>
      <c r="I343" s="4"/>
      <c r="J343" s="4"/>
    </row>
    <row r="344">
      <c r="H344" s="4"/>
      <c r="I344" s="4"/>
      <c r="J344" s="4"/>
    </row>
    <row r="345">
      <c r="H345" s="4"/>
      <c r="I345" s="4"/>
      <c r="J345" s="4"/>
    </row>
    <row r="346">
      <c r="H346" s="4"/>
      <c r="I346" s="4"/>
      <c r="J346" s="4"/>
    </row>
    <row r="347">
      <c r="H347" s="4"/>
      <c r="I347" s="4"/>
      <c r="J347" s="4"/>
    </row>
    <row r="348">
      <c r="H348" s="4"/>
      <c r="I348" s="4"/>
      <c r="J348" s="4"/>
    </row>
    <row r="349">
      <c r="H349" s="4"/>
      <c r="I349" s="4"/>
      <c r="J349" s="4"/>
    </row>
    <row r="350">
      <c r="H350" s="4"/>
      <c r="I350" s="4"/>
      <c r="J350" s="4"/>
    </row>
    <row r="351">
      <c r="H351" s="4"/>
      <c r="I351" s="4"/>
      <c r="J351" s="4"/>
    </row>
    <row r="352">
      <c r="H352" s="4"/>
      <c r="I352" s="4"/>
      <c r="J352" s="4"/>
    </row>
    <row r="353">
      <c r="H353" s="4"/>
      <c r="I353" s="4"/>
      <c r="J353" s="4"/>
    </row>
    <row r="354">
      <c r="H354" s="4"/>
      <c r="I354" s="4"/>
      <c r="J354" s="4"/>
    </row>
    <row r="355">
      <c r="H355" s="4"/>
      <c r="I355" s="4"/>
      <c r="J355" s="4"/>
    </row>
    <row r="356">
      <c r="H356" s="4"/>
      <c r="I356" s="4"/>
      <c r="J356" s="4"/>
    </row>
    <row r="357">
      <c r="H357" s="4"/>
      <c r="I357" s="4"/>
      <c r="J357" s="4"/>
    </row>
    <row r="358">
      <c r="H358" s="4"/>
      <c r="I358" s="4"/>
      <c r="J358" s="4"/>
    </row>
    <row r="359">
      <c r="H359" s="4"/>
      <c r="I359" s="4"/>
      <c r="J359" s="4"/>
    </row>
    <row r="360">
      <c r="H360" s="4"/>
      <c r="I360" s="4"/>
      <c r="J360" s="4"/>
    </row>
    <row r="361">
      <c r="H361" s="4"/>
      <c r="I361" s="4"/>
      <c r="J361" s="4"/>
    </row>
    <row r="362">
      <c r="H362" s="4"/>
      <c r="I362" s="4"/>
      <c r="J362" s="4"/>
    </row>
    <row r="363">
      <c r="H363" s="4"/>
      <c r="I363" s="4"/>
      <c r="J363" s="4"/>
    </row>
    <row r="364">
      <c r="H364" s="4"/>
      <c r="I364" s="4"/>
      <c r="J364" s="4"/>
    </row>
    <row r="365">
      <c r="H365" s="4"/>
      <c r="I365" s="4"/>
      <c r="J365" s="4"/>
    </row>
    <row r="366">
      <c r="H366" s="4"/>
      <c r="I366" s="4"/>
      <c r="J366" s="4"/>
    </row>
    <row r="367">
      <c r="H367" s="4"/>
      <c r="I367" s="4"/>
      <c r="J367" s="4"/>
    </row>
    <row r="368">
      <c r="H368" s="4"/>
      <c r="I368" s="4"/>
      <c r="J368" s="4"/>
    </row>
    <row r="369">
      <c r="H369" s="4"/>
      <c r="I369" s="4"/>
      <c r="J369" s="4"/>
    </row>
    <row r="370">
      <c r="H370" s="4"/>
      <c r="I370" s="4"/>
      <c r="J370" s="4"/>
    </row>
    <row r="371">
      <c r="H371" s="4"/>
      <c r="I371" s="4"/>
      <c r="J371" s="4"/>
    </row>
    <row r="372">
      <c r="H372" s="4"/>
      <c r="I372" s="4"/>
      <c r="J372" s="4"/>
    </row>
    <row r="373">
      <c r="H373" s="4"/>
      <c r="I373" s="4"/>
      <c r="J373" s="4"/>
    </row>
    <row r="374">
      <c r="H374" s="4"/>
      <c r="I374" s="4"/>
      <c r="J374" s="4"/>
    </row>
    <row r="375">
      <c r="H375" s="4"/>
      <c r="I375" s="4"/>
      <c r="J375" s="4"/>
    </row>
    <row r="376">
      <c r="H376" s="4"/>
      <c r="I376" s="4"/>
      <c r="J376" s="4"/>
    </row>
    <row r="377">
      <c r="H377" s="4"/>
      <c r="I377" s="4"/>
      <c r="J377" s="4"/>
    </row>
    <row r="378">
      <c r="H378" s="4"/>
      <c r="I378" s="4"/>
      <c r="J378" s="4"/>
    </row>
    <row r="379">
      <c r="H379" s="4"/>
      <c r="I379" s="4"/>
      <c r="J379" s="4"/>
    </row>
    <row r="380">
      <c r="H380" s="4"/>
      <c r="I380" s="4"/>
      <c r="J380" s="4"/>
    </row>
    <row r="381">
      <c r="H381" s="4"/>
      <c r="I381" s="4"/>
      <c r="J381" s="4"/>
    </row>
    <row r="382">
      <c r="H382" s="4"/>
      <c r="I382" s="4"/>
      <c r="J382" s="4"/>
    </row>
    <row r="383">
      <c r="H383" s="4"/>
      <c r="I383" s="4"/>
      <c r="J383" s="4"/>
    </row>
    <row r="384">
      <c r="H384" s="4"/>
      <c r="I384" s="4"/>
      <c r="J384" s="4"/>
    </row>
    <row r="385">
      <c r="H385" s="4"/>
      <c r="I385" s="4"/>
      <c r="J385" s="4"/>
    </row>
    <row r="386">
      <c r="H386" s="4"/>
      <c r="I386" s="4"/>
      <c r="J386" s="4"/>
    </row>
    <row r="387">
      <c r="H387" s="4"/>
      <c r="I387" s="4"/>
      <c r="J387" s="4"/>
    </row>
    <row r="388">
      <c r="H388" s="4"/>
      <c r="I388" s="4"/>
      <c r="J388" s="4"/>
    </row>
    <row r="389">
      <c r="H389" s="4"/>
      <c r="I389" s="4"/>
      <c r="J389" s="4"/>
    </row>
    <row r="390">
      <c r="H390" s="4"/>
      <c r="I390" s="4"/>
      <c r="J390" s="4"/>
    </row>
    <row r="391">
      <c r="H391" s="4"/>
      <c r="I391" s="4"/>
      <c r="J391" s="4"/>
    </row>
    <row r="392">
      <c r="H392" s="4"/>
      <c r="I392" s="4"/>
      <c r="J392" s="4"/>
    </row>
    <row r="393">
      <c r="H393" s="4"/>
      <c r="I393" s="4"/>
      <c r="J393" s="4"/>
    </row>
    <row r="394">
      <c r="H394" s="4"/>
      <c r="I394" s="4"/>
      <c r="J394" s="4"/>
    </row>
    <row r="395">
      <c r="H395" s="4"/>
      <c r="I395" s="4"/>
      <c r="J395" s="4"/>
    </row>
    <row r="396">
      <c r="H396" s="4"/>
      <c r="I396" s="4"/>
      <c r="J396" s="4"/>
    </row>
    <row r="397">
      <c r="H397" s="4"/>
      <c r="I397" s="4"/>
      <c r="J397" s="4"/>
    </row>
    <row r="398">
      <c r="H398" s="4"/>
      <c r="I398" s="4"/>
      <c r="J398" s="4"/>
    </row>
    <row r="399">
      <c r="H399" s="4"/>
      <c r="I399" s="4"/>
      <c r="J399" s="4"/>
    </row>
    <row r="400">
      <c r="H400" s="4"/>
      <c r="I400" s="4"/>
      <c r="J400" s="4"/>
    </row>
    <row r="401">
      <c r="H401" s="4"/>
      <c r="I401" s="4"/>
      <c r="J401" s="4"/>
    </row>
    <row r="402">
      <c r="H402" s="4"/>
      <c r="I402" s="4"/>
      <c r="J402" s="4"/>
    </row>
    <row r="403">
      <c r="H403" s="4"/>
      <c r="I403" s="4"/>
      <c r="J403" s="4"/>
    </row>
    <row r="404">
      <c r="H404" s="4"/>
      <c r="I404" s="4"/>
      <c r="J404" s="4"/>
    </row>
    <row r="405">
      <c r="H405" s="4"/>
      <c r="I405" s="4"/>
      <c r="J405" s="4"/>
    </row>
    <row r="406">
      <c r="H406" s="4"/>
      <c r="I406" s="4"/>
      <c r="J406" s="4"/>
    </row>
    <row r="407">
      <c r="H407" s="4"/>
      <c r="I407" s="4"/>
      <c r="J407" s="4"/>
    </row>
    <row r="408">
      <c r="H408" s="4"/>
      <c r="I408" s="4"/>
      <c r="J408" s="4"/>
    </row>
    <row r="409">
      <c r="H409" s="4"/>
      <c r="I409" s="4"/>
      <c r="J409" s="4"/>
    </row>
    <row r="410">
      <c r="H410" s="4"/>
      <c r="I410" s="4"/>
      <c r="J410" s="4"/>
    </row>
    <row r="411">
      <c r="H411" s="4"/>
      <c r="I411" s="4"/>
      <c r="J411" s="4"/>
    </row>
    <row r="412">
      <c r="H412" s="4"/>
      <c r="I412" s="4"/>
      <c r="J412" s="4"/>
    </row>
    <row r="413">
      <c r="H413" s="4"/>
      <c r="I413" s="4"/>
      <c r="J413" s="4"/>
    </row>
    <row r="414">
      <c r="H414" s="4"/>
      <c r="I414" s="4"/>
      <c r="J414" s="4"/>
    </row>
    <row r="415">
      <c r="H415" s="4"/>
      <c r="I415" s="4"/>
      <c r="J415" s="4"/>
    </row>
    <row r="416">
      <c r="H416" s="4"/>
      <c r="I416" s="4"/>
      <c r="J416" s="4"/>
    </row>
    <row r="417">
      <c r="H417" s="4"/>
      <c r="I417" s="4"/>
      <c r="J417" s="4"/>
    </row>
    <row r="418">
      <c r="H418" s="4"/>
      <c r="I418" s="4"/>
      <c r="J418" s="4"/>
    </row>
    <row r="419">
      <c r="H419" s="4"/>
      <c r="I419" s="4"/>
      <c r="J419" s="4"/>
    </row>
    <row r="420">
      <c r="H420" s="4"/>
      <c r="I420" s="4"/>
      <c r="J420" s="4"/>
    </row>
    <row r="421">
      <c r="H421" s="4"/>
      <c r="I421" s="4"/>
      <c r="J421" s="4"/>
    </row>
    <row r="422">
      <c r="H422" s="4"/>
      <c r="I422" s="4"/>
      <c r="J422" s="4"/>
    </row>
    <row r="423">
      <c r="H423" s="4"/>
      <c r="I423" s="4"/>
      <c r="J423" s="4"/>
    </row>
    <row r="424">
      <c r="H424" s="4"/>
      <c r="I424" s="4"/>
      <c r="J424" s="4"/>
    </row>
    <row r="425">
      <c r="H425" s="4"/>
      <c r="I425" s="4"/>
      <c r="J425" s="4"/>
    </row>
    <row r="426">
      <c r="H426" s="4"/>
      <c r="I426" s="4"/>
      <c r="J426" s="4"/>
    </row>
    <row r="427">
      <c r="H427" s="4"/>
      <c r="I427" s="4"/>
      <c r="J427" s="4"/>
    </row>
    <row r="428">
      <c r="H428" s="4"/>
      <c r="I428" s="4"/>
      <c r="J428" s="4"/>
    </row>
    <row r="429">
      <c r="H429" s="4"/>
      <c r="I429" s="4"/>
      <c r="J429" s="4"/>
    </row>
    <row r="430">
      <c r="H430" s="4"/>
      <c r="I430" s="4"/>
      <c r="J430" s="4"/>
    </row>
    <row r="431">
      <c r="H431" s="4"/>
      <c r="I431" s="4"/>
      <c r="J431" s="4"/>
    </row>
    <row r="432">
      <c r="H432" s="4"/>
      <c r="I432" s="4"/>
      <c r="J432" s="4"/>
    </row>
    <row r="433">
      <c r="H433" s="4"/>
      <c r="I433" s="4"/>
      <c r="J433" s="4"/>
    </row>
    <row r="434">
      <c r="H434" s="4"/>
      <c r="I434" s="4"/>
      <c r="J434" s="4"/>
    </row>
    <row r="435">
      <c r="H435" s="4"/>
      <c r="I435" s="4"/>
      <c r="J435" s="4"/>
    </row>
    <row r="436">
      <c r="H436" s="4"/>
      <c r="I436" s="4"/>
      <c r="J436" s="4"/>
    </row>
    <row r="437">
      <c r="H437" s="4"/>
      <c r="I437" s="4"/>
      <c r="J437" s="4"/>
    </row>
    <row r="438">
      <c r="H438" s="4"/>
      <c r="I438" s="4"/>
      <c r="J438" s="4"/>
    </row>
    <row r="439">
      <c r="H439" s="4"/>
      <c r="I439" s="4"/>
      <c r="J439" s="4"/>
    </row>
    <row r="440">
      <c r="H440" s="4"/>
      <c r="I440" s="4"/>
      <c r="J440" s="4"/>
    </row>
    <row r="441">
      <c r="H441" s="4"/>
      <c r="I441" s="4"/>
      <c r="J441" s="4"/>
    </row>
    <row r="442">
      <c r="H442" s="4"/>
      <c r="I442" s="4"/>
      <c r="J442" s="4"/>
    </row>
    <row r="443">
      <c r="H443" s="4"/>
      <c r="I443" s="4"/>
      <c r="J443" s="4"/>
    </row>
    <row r="444">
      <c r="H444" s="4"/>
      <c r="I444" s="4"/>
      <c r="J444" s="4"/>
    </row>
    <row r="445">
      <c r="H445" s="4"/>
      <c r="I445" s="4"/>
      <c r="J445" s="4"/>
    </row>
    <row r="446">
      <c r="H446" s="4"/>
      <c r="I446" s="4"/>
      <c r="J446" s="4"/>
    </row>
    <row r="447">
      <c r="H447" s="4"/>
      <c r="I447" s="4"/>
      <c r="J447" s="4"/>
    </row>
    <row r="448">
      <c r="H448" s="4"/>
      <c r="I448" s="4"/>
      <c r="J448" s="4"/>
    </row>
    <row r="449">
      <c r="H449" s="4"/>
      <c r="I449" s="4"/>
      <c r="J449" s="4"/>
    </row>
    <row r="450">
      <c r="H450" s="4"/>
      <c r="I450" s="4"/>
      <c r="J450" s="4"/>
    </row>
    <row r="451">
      <c r="H451" s="4"/>
      <c r="I451" s="4"/>
      <c r="J451" s="4"/>
    </row>
    <row r="452">
      <c r="H452" s="4"/>
      <c r="I452" s="4"/>
      <c r="J452" s="4"/>
    </row>
    <row r="453">
      <c r="H453" s="4"/>
      <c r="I453" s="4"/>
      <c r="J453" s="4"/>
    </row>
    <row r="454">
      <c r="H454" s="4"/>
      <c r="I454" s="4"/>
      <c r="J454" s="4"/>
    </row>
    <row r="455">
      <c r="H455" s="4"/>
      <c r="I455" s="4"/>
      <c r="J455" s="4"/>
    </row>
    <row r="456">
      <c r="H456" s="4"/>
      <c r="I456" s="4"/>
      <c r="J456" s="4"/>
    </row>
    <row r="457">
      <c r="H457" s="4"/>
      <c r="I457" s="4"/>
      <c r="J457" s="4"/>
    </row>
    <row r="458">
      <c r="H458" s="4"/>
      <c r="I458" s="4"/>
      <c r="J458" s="4"/>
    </row>
    <row r="459">
      <c r="H459" s="4"/>
      <c r="I459" s="4"/>
      <c r="J459" s="4"/>
    </row>
    <row r="460">
      <c r="H460" s="4"/>
      <c r="I460" s="4"/>
      <c r="J460" s="4"/>
    </row>
    <row r="461">
      <c r="H461" s="4"/>
      <c r="I461" s="4"/>
      <c r="J461" s="4"/>
    </row>
    <row r="462">
      <c r="H462" s="4"/>
      <c r="I462" s="4"/>
      <c r="J462" s="4"/>
    </row>
    <row r="463">
      <c r="H463" s="4"/>
      <c r="I463" s="4"/>
      <c r="J463" s="4"/>
    </row>
    <row r="464">
      <c r="H464" s="4"/>
      <c r="I464" s="4"/>
      <c r="J464" s="4"/>
    </row>
    <row r="465">
      <c r="H465" s="4"/>
      <c r="I465" s="4"/>
      <c r="J465" s="4"/>
    </row>
    <row r="466">
      <c r="H466" s="4"/>
      <c r="I466" s="4"/>
      <c r="J466" s="4"/>
    </row>
    <row r="467">
      <c r="H467" s="4"/>
      <c r="I467" s="4"/>
      <c r="J467" s="4"/>
    </row>
    <row r="468">
      <c r="H468" s="4"/>
      <c r="I468" s="4"/>
      <c r="J468" s="4"/>
    </row>
    <row r="469">
      <c r="H469" s="4"/>
      <c r="I469" s="4"/>
      <c r="J469" s="4"/>
    </row>
    <row r="470">
      <c r="H470" s="4"/>
      <c r="I470" s="4"/>
      <c r="J470" s="4"/>
    </row>
    <row r="471">
      <c r="H471" s="4"/>
      <c r="I471" s="4"/>
      <c r="J471" s="4"/>
    </row>
    <row r="472">
      <c r="H472" s="4"/>
      <c r="I472" s="4"/>
      <c r="J472" s="4"/>
    </row>
    <row r="473">
      <c r="H473" s="4"/>
      <c r="I473" s="4"/>
      <c r="J473" s="4"/>
    </row>
    <row r="474">
      <c r="H474" s="4"/>
      <c r="I474" s="4"/>
      <c r="J474" s="4"/>
    </row>
    <row r="475">
      <c r="H475" s="4"/>
      <c r="I475" s="4"/>
      <c r="J475" s="4"/>
    </row>
    <row r="476">
      <c r="H476" s="4"/>
      <c r="I476" s="4"/>
      <c r="J476" s="4"/>
    </row>
    <row r="477">
      <c r="H477" s="4"/>
      <c r="I477" s="4"/>
      <c r="J477" s="4"/>
    </row>
    <row r="478">
      <c r="H478" s="4"/>
      <c r="I478" s="4"/>
      <c r="J478" s="4"/>
    </row>
    <row r="479">
      <c r="H479" s="4"/>
      <c r="I479" s="4"/>
      <c r="J479" s="4"/>
    </row>
    <row r="480">
      <c r="H480" s="4"/>
      <c r="I480" s="4"/>
      <c r="J480" s="4"/>
    </row>
    <row r="481">
      <c r="H481" s="4"/>
      <c r="I481" s="4"/>
      <c r="J481" s="4"/>
    </row>
    <row r="482">
      <c r="H482" s="4"/>
      <c r="I482" s="4"/>
      <c r="J482" s="4"/>
    </row>
    <row r="483">
      <c r="H483" s="4"/>
      <c r="I483" s="4"/>
      <c r="J483" s="4"/>
    </row>
    <row r="484">
      <c r="H484" s="4"/>
      <c r="I484" s="4"/>
      <c r="J484" s="4"/>
    </row>
    <row r="485">
      <c r="H485" s="4"/>
      <c r="I485" s="4"/>
      <c r="J485" s="4"/>
    </row>
    <row r="486">
      <c r="H486" s="4"/>
      <c r="I486" s="4"/>
      <c r="J486" s="4"/>
    </row>
    <row r="487">
      <c r="H487" s="4"/>
      <c r="I487" s="4"/>
      <c r="J487" s="4"/>
    </row>
    <row r="488">
      <c r="H488" s="4"/>
      <c r="I488" s="4"/>
      <c r="J488" s="4"/>
    </row>
    <row r="489">
      <c r="H489" s="4"/>
      <c r="I489" s="4"/>
      <c r="J489" s="4"/>
    </row>
    <row r="490">
      <c r="H490" s="4"/>
      <c r="I490" s="4"/>
      <c r="J490" s="4"/>
    </row>
    <row r="491">
      <c r="H491" s="4"/>
      <c r="I491" s="4"/>
      <c r="J491" s="4"/>
    </row>
    <row r="492">
      <c r="H492" s="4"/>
      <c r="I492" s="4"/>
      <c r="J492" s="4"/>
    </row>
    <row r="493">
      <c r="H493" s="4"/>
      <c r="I493" s="4"/>
      <c r="J493" s="4"/>
    </row>
    <row r="494">
      <c r="H494" s="4"/>
      <c r="I494" s="4"/>
      <c r="J494" s="4"/>
    </row>
    <row r="495">
      <c r="H495" s="4"/>
      <c r="I495" s="4"/>
      <c r="J495" s="4"/>
    </row>
    <row r="496">
      <c r="H496" s="4"/>
      <c r="I496" s="4"/>
      <c r="J496" s="4"/>
    </row>
    <row r="497">
      <c r="H497" s="4"/>
      <c r="I497" s="4"/>
      <c r="J497" s="4"/>
    </row>
    <row r="498">
      <c r="H498" s="4"/>
      <c r="I498" s="4"/>
      <c r="J498" s="4"/>
    </row>
    <row r="499">
      <c r="H499" s="4"/>
      <c r="I499" s="4"/>
      <c r="J499" s="4"/>
    </row>
    <row r="500">
      <c r="H500" s="4"/>
      <c r="I500" s="4"/>
      <c r="J500" s="4"/>
    </row>
    <row r="501">
      <c r="H501" s="4"/>
      <c r="I501" s="4"/>
      <c r="J501" s="4"/>
    </row>
    <row r="502">
      <c r="H502" s="4"/>
      <c r="I502" s="4"/>
      <c r="J502" s="4"/>
    </row>
    <row r="503">
      <c r="H503" s="4"/>
      <c r="I503" s="4"/>
      <c r="J503" s="4"/>
    </row>
    <row r="504">
      <c r="H504" s="4"/>
      <c r="I504" s="4"/>
      <c r="J504" s="4"/>
    </row>
    <row r="505">
      <c r="H505" s="4"/>
      <c r="I505" s="4"/>
      <c r="J505" s="4"/>
    </row>
    <row r="506">
      <c r="H506" s="4"/>
      <c r="I506" s="4"/>
      <c r="J506" s="4"/>
    </row>
    <row r="507">
      <c r="H507" s="4"/>
      <c r="I507" s="4"/>
      <c r="J507" s="4"/>
    </row>
    <row r="508">
      <c r="H508" s="4"/>
      <c r="I508" s="4"/>
      <c r="J508" s="4"/>
    </row>
    <row r="509">
      <c r="H509" s="4"/>
      <c r="I509" s="4"/>
      <c r="J509" s="4"/>
    </row>
    <row r="510">
      <c r="H510" s="4"/>
      <c r="I510" s="4"/>
      <c r="J510" s="4"/>
    </row>
    <row r="511">
      <c r="H511" s="4"/>
      <c r="I511" s="4"/>
      <c r="J511" s="4"/>
    </row>
    <row r="512">
      <c r="H512" s="4"/>
      <c r="I512" s="4"/>
      <c r="J512" s="4"/>
    </row>
    <row r="513">
      <c r="H513" s="4"/>
      <c r="I513" s="4"/>
      <c r="J513" s="4"/>
    </row>
    <row r="514">
      <c r="H514" s="4"/>
      <c r="I514" s="4"/>
      <c r="J514" s="4"/>
    </row>
    <row r="515">
      <c r="H515" s="4"/>
      <c r="I515" s="4"/>
      <c r="J515" s="4"/>
    </row>
    <row r="516">
      <c r="H516" s="4"/>
      <c r="I516" s="4"/>
      <c r="J516" s="4"/>
    </row>
    <row r="517">
      <c r="H517" s="4"/>
      <c r="I517" s="4"/>
      <c r="J517" s="4"/>
    </row>
    <row r="518">
      <c r="H518" s="4"/>
      <c r="I518" s="4"/>
      <c r="J518" s="4"/>
    </row>
    <row r="519">
      <c r="H519" s="4"/>
      <c r="I519" s="4"/>
      <c r="J519" s="4"/>
    </row>
    <row r="520">
      <c r="H520" s="4"/>
      <c r="I520" s="4"/>
      <c r="J520" s="4"/>
    </row>
    <row r="521">
      <c r="H521" s="4"/>
      <c r="I521" s="4"/>
      <c r="J521" s="4"/>
    </row>
    <row r="522">
      <c r="H522" s="4"/>
      <c r="I522" s="4"/>
      <c r="J522" s="4"/>
    </row>
    <row r="523">
      <c r="H523" s="4"/>
      <c r="I523" s="4"/>
      <c r="J523" s="4"/>
    </row>
    <row r="524">
      <c r="H524" s="4"/>
      <c r="I524" s="4"/>
      <c r="J524" s="4"/>
    </row>
    <row r="525">
      <c r="H525" s="4"/>
      <c r="I525" s="4"/>
      <c r="J525" s="4"/>
    </row>
    <row r="526">
      <c r="H526" s="4"/>
      <c r="I526" s="4"/>
      <c r="J526" s="4"/>
    </row>
    <row r="527">
      <c r="H527" s="4"/>
      <c r="I527" s="4"/>
      <c r="J527" s="4"/>
    </row>
    <row r="528">
      <c r="H528" s="4"/>
      <c r="I528" s="4"/>
      <c r="J528" s="4"/>
    </row>
    <row r="529">
      <c r="H529" s="4"/>
      <c r="I529" s="4"/>
      <c r="J529" s="4"/>
    </row>
    <row r="530">
      <c r="H530" s="4"/>
      <c r="I530" s="4"/>
      <c r="J530" s="4"/>
    </row>
    <row r="531">
      <c r="H531" s="4"/>
      <c r="I531" s="4"/>
      <c r="J531" s="4"/>
    </row>
    <row r="532">
      <c r="H532" s="4"/>
      <c r="I532" s="4"/>
      <c r="J532" s="4"/>
    </row>
    <row r="533">
      <c r="H533" s="4"/>
      <c r="I533" s="4"/>
      <c r="J533" s="4"/>
    </row>
    <row r="534">
      <c r="H534" s="4"/>
      <c r="I534" s="4"/>
      <c r="J534" s="4"/>
    </row>
    <row r="535">
      <c r="H535" s="4"/>
      <c r="I535" s="4"/>
      <c r="J535" s="4"/>
    </row>
    <row r="536">
      <c r="H536" s="4"/>
      <c r="I536" s="4"/>
      <c r="J536" s="4"/>
    </row>
    <row r="537">
      <c r="H537" s="4"/>
      <c r="I537" s="4"/>
      <c r="J537" s="4"/>
    </row>
    <row r="538">
      <c r="H538" s="4"/>
      <c r="I538" s="4"/>
      <c r="J538" s="4"/>
    </row>
    <row r="539">
      <c r="H539" s="4"/>
      <c r="I539" s="4"/>
      <c r="J539" s="4"/>
    </row>
    <row r="540">
      <c r="H540" s="4"/>
      <c r="I540" s="4"/>
      <c r="J540" s="4"/>
    </row>
    <row r="541">
      <c r="H541" s="4"/>
      <c r="I541" s="4"/>
      <c r="J541" s="4"/>
    </row>
    <row r="542">
      <c r="H542" s="4"/>
      <c r="I542" s="4"/>
      <c r="J542" s="4"/>
    </row>
    <row r="543">
      <c r="H543" s="4"/>
      <c r="I543" s="4"/>
      <c r="J543" s="4"/>
    </row>
    <row r="544">
      <c r="H544" s="4"/>
      <c r="I544" s="4"/>
      <c r="J544" s="4"/>
    </row>
    <row r="545">
      <c r="H545" s="4"/>
      <c r="I545" s="4"/>
      <c r="J545" s="4"/>
    </row>
    <row r="546">
      <c r="H546" s="4"/>
      <c r="I546" s="4"/>
      <c r="J546" s="4"/>
    </row>
    <row r="547">
      <c r="H547" s="4"/>
      <c r="I547" s="4"/>
      <c r="J547" s="4"/>
    </row>
    <row r="548">
      <c r="H548" s="4"/>
      <c r="I548" s="4"/>
      <c r="J548" s="4"/>
    </row>
    <row r="549">
      <c r="H549" s="4"/>
      <c r="I549" s="4"/>
      <c r="J549" s="4"/>
    </row>
    <row r="550">
      <c r="H550" s="4"/>
      <c r="I550" s="4"/>
      <c r="J550" s="4"/>
    </row>
    <row r="551">
      <c r="H551" s="4"/>
      <c r="I551" s="4"/>
      <c r="J551" s="4"/>
    </row>
    <row r="552">
      <c r="H552" s="4"/>
      <c r="I552" s="4"/>
      <c r="J552" s="4"/>
    </row>
    <row r="553">
      <c r="H553" s="4"/>
      <c r="I553" s="4"/>
      <c r="J553" s="4"/>
    </row>
    <row r="554">
      <c r="H554" s="4"/>
      <c r="I554" s="4"/>
      <c r="J554" s="4"/>
    </row>
    <row r="555">
      <c r="H555" s="4"/>
      <c r="I555" s="4"/>
      <c r="J555" s="4"/>
    </row>
    <row r="556">
      <c r="H556" s="4"/>
      <c r="I556" s="4"/>
      <c r="J556" s="4"/>
    </row>
    <row r="557">
      <c r="H557" s="4"/>
      <c r="I557" s="4"/>
      <c r="J557" s="4"/>
    </row>
    <row r="558">
      <c r="H558" s="4"/>
      <c r="I558" s="4"/>
      <c r="J558" s="4"/>
    </row>
    <row r="559">
      <c r="H559" s="4"/>
      <c r="I559" s="4"/>
      <c r="J559" s="4"/>
    </row>
    <row r="560">
      <c r="H560" s="4"/>
      <c r="I560" s="4"/>
      <c r="J560" s="4"/>
    </row>
    <row r="561">
      <c r="H561" s="4"/>
      <c r="I561" s="4"/>
      <c r="J561" s="4"/>
    </row>
    <row r="562">
      <c r="H562" s="4"/>
      <c r="I562" s="4"/>
      <c r="J562" s="4"/>
    </row>
    <row r="563">
      <c r="H563" s="4"/>
      <c r="I563" s="4"/>
      <c r="J563" s="4"/>
    </row>
    <row r="564">
      <c r="H564" s="4"/>
      <c r="I564" s="4"/>
      <c r="J564" s="4"/>
    </row>
    <row r="565">
      <c r="H565" s="4"/>
      <c r="I565" s="4"/>
      <c r="J565" s="4"/>
    </row>
    <row r="566">
      <c r="H566" s="4"/>
      <c r="I566" s="4"/>
      <c r="J566" s="4"/>
    </row>
    <row r="567">
      <c r="H567" s="4"/>
      <c r="I567" s="4"/>
      <c r="J567" s="4"/>
    </row>
    <row r="568">
      <c r="H568" s="4"/>
      <c r="I568" s="4"/>
      <c r="J568" s="4"/>
    </row>
    <row r="569">
      <c r="H569" s="4"/>
      <c r="I569" s="4"/>
      <c r="J569" s="4"/>
    </row>
    <row r="570">
      <c r="H570" s="4"/>
      <c r="I570" s="4"/>
      <c r="J570" s="4"/>
    </row>
    <row r="571">
      <c r="H571" s="4"/>
      <c r="I571" s="4"/>
      <c r="J571" s="4"/>
    </row>
    <row r="572">
      <c r="H572" s="4"/>
      <c r="I572" s="4"/>
      <c r="J572" s="4"/>
    </row>
    <row r="573">
      <c r="H573" s="4"/>
      <c r="I573" s="4"/>
      <c r="J573" s="4"/>
    </row>
    <row r="574">
      <c r="H574" s="4"/>
      <c r="I574" s="4"/>
      <c r="J574" s="4"/>
    </row>
    <row r="575">
      <c r="H575" s="4"/>
      <c r="I575" s="4"/>
      <c r="J575" s="4"/>
    </row>
    <row r="576">
      <c r="H576" s="4"/>
      <c r="I576" s="4"/>
      <c r="J576" s="4"/>
    </row>
    <row r="577">
      <c r="H577" s="4"/>
      <c r="I577" s="4"/>
      <c r="J577" s="4"/>
    </row>
    <row r="578">
      <c r="H578" s="4"/>
      <c r="I578" s="4"/>
      <c r="J578" s="4"/>
    </row>
    <row r="579">
      <c r="H579" s="4"/>
      <c r="I579" s="4"/>
      <c r="J579" s="4"/>
    </row>
    <row r="580">
      <c r="H580" s="4"/>
      <c r="I580" s="4"/>
      <c r="J580" s="4"/>
    </row>
    <row r="581">
      <c r="H581" s="4"/>
      <c r="I581" s="4"/>
      <c r="J581" s="4"/>
    </row>
    <row r="582">
      <c r="H582" s="4"/>
      <c r="I582" s="4"/>
      <c r="J582" s="4"/>
    </row>
    <row r="583">
      <c r="H583" s="4"/>
      <c r="I583" s="4"/>
      <c r="J583" s="4"/>
    </row>
    <row r="584">
      <c r="H584" s="4"/>
      <c r="I584" s="4"/>
      <c r="J584" s="4"/>
    </row>
    <row r="585">
      <c r="H585" s="4"/>
      <c r="I585" s="4"/>
      <c r="J585" s="4"/>
    </row>
    <row r="586">
      <c r="H586" s="4"/>
      <c r="I586" s="4"/>
      <c r="J586" s="4"/>
    </row>
    <row r="587">
      <c r="H587" s="4"/>
      <c r="I587" s="4"/>
      <c r="J587" s="4"/>
    </row>
    <row r="588">
      <c r="H588" s="4"/>
      <c r="I588" s="4"/>
      <c r="J588" s="4"/>
    </row>
    <row r="589">
      <c r="H589" s="4"/>
      <c r="I589" s="4"/>
      <c r="J589" s="4"/>
    </row>
    <row r="590">
      <c r="H590" s="4"/>
      <c r="I590" s="4"/>
      <c r="J590" s="4"/>
    </row>
    <row r="591">
      <c r="H591" s="4"/>
      <c r="I591" s="4"/>
      <c r="J591" s="4"/>
    </row>
    <row r="592">
      <c r="H592" s="4"/>
      <c r="I592" s="4"/>
      <c r="J592" s="4"/>
    </row>
    <row r="593">
      <c r="H593" s="4"/>
      <c r="I593" s="4"/>
      <c r="J593" s="4"/>
    </row>
    <row r="594">
      <c r="H594" s="4"/>
      <c r="I594" s="4"/>
      <c r="J594" s="4"/>
    </row>
    <row r="595">
      <c r="H595" s="4"/>
      <c r="I595" s="4"/>
      <c r="J595" s="4"/>
    </row>
    <row r="596">
      <c r="H596" s="4"/>
      <c r="I596" s="4"/>
      <c r="J596" s="4"/>
    </row>
    <row r="597">
      <c r="H597" s="4"/>
      <c r="I597" s="4"/>
      <c r="J597" s="4"/>
    </row>
    <row r="598">
      <c r="H598" s="4"/>
      <c r="I598" s="4"/>
      <c r="J598" s="4"/>
    </row>
    <row r="599">
      <c r="H599" s="4"/>
      <c r="I599" s="4"/>
      <c r="J599" s="4"/>
    </row>
    <row r="600">
      <c r="H600" s="4"/>
      <c r="I600" s="4"/>
      <c r="J600" s="4"/>
    </row>
    <row r="601">
      <c r="H601" s="4"/>
      <c r="I601" s="4"/>
      <c r="J601" s="4"/>
    </row>
    <row r="602">
      <c r="H602" s="4"/>
      <c r="I602" s="4"/>
      <c r="J602" s="4"/>
    </row>
    <row r="603">
      <c r="H603" s="4"/>
      <c r="I603" s="4"/>
      <c r="J603" s="4"/>
    </row>
    <row r="604">
      <c r="H604" s="4"/>
      <c r="I604" s="4"/>
      <c r="J604" s="4"/>
    </row>
    <row r="605">
      <c r="H605" s="4"/>
      <c r="I605" s="4"/>
      <c r="J605" s="4"/>
    </row>
    <row r="606">
      <c r="H606" s="4"/>
      <c r="I606" s="4"/>
      <c r="J606" s="4"/>
    </row>
    <row r="607">
      <c r="H607" s="4"/>
      <c r="I607" s="4"/>
      <c r="J607" s="4"/>
    </row>
    <row r="608">
      <c r="H608" s="4"/>
      <c r="I608" s="4"/>
      <c r="J608" s="4"/>
    </row>
    <row r="609">
      <c r="H609" s="4"/>
      <c r="I609" s="4"/>
      <c r="J609" s="4"/>
    </row>
    <row r="610">
      <c r="H610" s="4"/>
      <c r="I610" s="4"/>
      <c r="J610" s="4"/>
    </row>
    <row r="611">
      <c r="H611" s="4"/>
      <c r="I611" s="4"/>
      <c r="J611" s="4"/>
    </row>
    <row r="612">
      <c r="H612" s="4"/>
      <c r="I612" s="4"/>
      <c r="J612" s="4"/>
    </row>
    <row r="613">
      <c r="H613" s="4"/>
      <c r="I613" s="4"/>
      <c r="J613" s="4"/>
    </row>
    <row r="614">
      <c r="H614" s="4"/>
      <c r="I614" s="4"/>
      <c r="J614" s="4"/>
    </row>
    <row r="615">
      <c r="H615" s="4"/>
      <c r="I615" s="4"/>
      <c r="J615" s="4"/>
    </row>
    <row r="616">
      <c r="H616" s="4"/>
      <c r="I616" s="4"/>
      <c r="J616" s="4"/>
    </row>
    <row r="617">
      <c r="H617" s="4"/>
      <c r="I617" s="4"/>
      <c r="J617" s="4"/>
    </row>
    <row r="618">
      <c r="H618" s="4"/>
      <c r="I618" s="4"/>
      <c r="J618" s="4"/>
    </row>
    <row r="619">
      <c r="H619" s="4"/>
      <c r="I619" s="4"/>
      <c r="J619" s="4"/>
    </row>
    <row r="620">
      <c r="H620" s="4"/>
      <c r="I620" s="4"/>
      <c r="J620" s="4"/>
    </row>
    <row r="621">
      <c r="H621" s="4"/>
      <c r="I621" s="4"/>
      <c r="J621" s="4"/>
    </row>
    <row r="622">
      <c r="H622" s="4"/>
      <c r="I622" s="4"/>
      <c r="J622" s="4"/>
    </row>
    <row r="623">
      <c r="H623" s="4"/>
      <c r="I623" s="4"/>
      <c r="J623" s="4"/>
    </row>
    <row r="624">
      <c r="H624" s="4"/>
      <c r="I624" s="4"/>
      <c r="J624" s="4"/>
    </row>
    <row r="625">
      <c r="H625" s="4"/>
      <c r="I625" s="4"/>
      <c r="J625" s="4"/>
    </row>
    <row r="626">
      <c r="H626" s="4"/>
      <c r="I626" s="4"/>
      <c r="J626" s="4"/>
    </row>
    <row r="627">
      <c r="H627" s="4"/>
      <c r="I627" s="4"/>
      <c r="J627" s="4"/>
    </row>
    <row r="628">
      <c r="H628" s="4"/>
      <c r="I628" s="4"/>
      <c r="J628" s="4"/>
    </row>
    <row r="629">
      <c r="H629" s="4"/>
      <c r="I629" s="4"/>
      <c r="J629" s="4"/>
    </row>
    <row r="630">
      <c r="H630" s="4"/>
      <c r="I630" s="4"/>
      <c r="J630" s="4"/>
    </row>
    <row r="631">
      <c r="H631" s="4"/>
      <c r="I631" s="4"/>
      <c r="J631" s="4"/>
    </row>
    <row r="632">
      <c r="H632" s="4"/>
      <c r="I632" s="4"/>
      <c r="J632" s="4"/>
    </row>
    <row r="633">
      <c r="H633" s="4"/>
      <c r="I633" s="4"/>
      <c r="J633" s="4"/>
    </row>
    <row r="634">
      <c r="H634" s="4"/>
      <c r="I634" s="4"/>
      <c r="J634" s="4"/>
    </row>
    <row r="635">
      <c r="H635" s="4"/>
      <c r="I635" s="4"/>
      <c r="J635" s="4"/>
    </row>
    <row r="636">
      <c r="H636" s="4"/>
      <c r="I636" s="4"/>
      <c r="J636" s="4"/>
    </row>
    <row r="637">
      <c r="H637" s="4"/>
      <c r="I637" s="4"/>
      <c r="J637" s="4"/>
    </row>
    <row r="638">
      <c r="H638" s="4"/>
      <c r="I638" s="4"/>
      <c r="J638" s="4"/>
    </row>
    <row r="639">
      <c r="H639" s="4"/>
      <c r="I639" s="4"/>
      <c r="J639" s="4"/>
    </row>
    <row r="640">
      <c r="H640" s="4"/>
      <c r="I640" s="4"/>
      <c r="J640" s="4"/>
    </row>
    <row r="641">
      <c r="H641" s="4"/>
      <c r="I641" s="4"/>
      <c r="J641" s="4"/>
    </row>
    <row r="642">
      <c r="H642" s="4"/>
      <c r="I642" s="4"/>
      <c r="J642" s="4"/>
    </row>
    <row r="643">
      <c r="H643" s="4"/>
      <c r="I643" s="4"/>
      <c r="J643" s="4"/>
    </row>
    <row r="644">
      <c r="H644" s="4"/>
      <c r="I644" s="4"/>
      <c r="J644" s="4"/>
    </row>
    <row r="645">
      <c r="H645" s="4"/>
      <c r="I645" s="4"/>
      <c r="J645" s="4"/>
    </row>
    <row r="646">
      <c r="H646" s="4"/>
      <c r="I646" s="4"/>
      <c r="J646" s="4"/>
    </row>
    <row r="647">
      <c r="H647" s="4"/>
      <c r="I647" s="4"/>
      <c r="J647" s="4"/>
    </row>
    <row r="648">
      <c r="H648" s="4"/>
      <c r="I648" s="4"/>
      <c r="J648" s="4"/>
    </row>
    <row r="649">
      <c r="H649" s="4"/>
      <c r="I649" s="4"/>
      <c r="J649" s="4"/>
    </row>
    <row r="650">
      <c r="H650" s="4"/>
      <c r="I650" s="4"/>
      <c r="J650" s="4"/>
    </row>
    <row r="651">
      <c r="H651" s="4"/>
      <c r="I651" s="4"/>
      <c r="J651" s="4"/>
    </row>
    <row r="652">
      <c r="H652" s="4"/>
      <c r="I652" s="4"/>
      <c r="J652" s="4"/>
    </row>
    <row r="653">
      <c r="H653" s="4"/>
      <c r="I653" s="4"/>
      <c r="J653" s="4"/>
    </row>
    <row r="654">
      <c r="H654" s="4"/>
      <c r="I654" s="4"/>
      <c r="J654" s="4"/>
    </row>
    <row r="655">
      <c r="H655" s="4"/>
      <c r="I655" s="4"/>
      <c r="J655" s="4"/>
    </row>
    <row r="656">
      <c r="H656" s="4"/>
      <c r="I656" s="4"/>
      <c r="J656" s="4"/>
    </row>
    <row r="657">
      <c r="H657" s="4"/>
      <c r="I657" s="4"/>
      <c r="J657" s="4"/>
    </row>
    <row r="658">
      <c r="H658" s="4"/>
      <c r="I658" s="4"/>
      <c r="J658" s="4"/>
    </row>
    <row r="659">
      <c r="H659" s="4"/>
      <c r="I659" s="4"/>
      <c r="J659" s="4"/>
    </row>
    <row r="660">
      <c r="H660" s="4"/>
      <c r="I660" s="4"/>
      <c r="J660" s="4"/>
    </row>
    <row r="661">
      <c r="H661" s="4"/>
      <c r="I661" s="4"/>
      <c r="J661" s="4"/>
    </row>
    <row r="662">
      <c r="H662" s="4"/>
      <c r="I662" s="4"/>
      <c r="J662" s="4"/>
    </row>
    <row r="663">
      <c r="H663" s="4"/>
      <c r="I663" s="4"/>
      <c r="J663" s="4"/>
    </row>
    <row r="664">
      <c r="H664" s="4"/>
      <c r="I664" s="4"/>
      <c r="J664" s="4"/>
    </row>
    <row r="665">
      <c r="H665" s="4"/>
      <c r="I665" s="4"/>
      <c r="J665" s="4"/>
    </row>
    <row r="666">
      <c r="H666" s="4"/>
      <c r="I666" s="4"/>
      <c r="J666" s="4"/>
    </row>
    <row r="667">
      <c r="H667" s="4"/>
      <c r="I667" s="4"/>
      <c r="J667" s="4"/>
    </row>
    <row r="668">
      <c r="H668" s="4"/>
      <c r="I668" s="4"/>
      <c r="J668" s="4"/>
    </row>
    <row r="669">
      <c r="H669" s="4"/>
      <c r="I669" s="4"/>
      <c r="J669" s="4"/>
    </row>
    <row r="670">
      <c r="H670" s="4"/>
      <c r="I670" s="4"/>
      <c r="J670" s="4"/>
    </row>
    <row r="671">
      <c r="H671" s="4"/>
      <c r="I671" s="4"/>
      <c r="J671" s="4"/>
    </row>
    <row r="672">
      <c r="H672" s="4"/>
      <c r="I672" s="4"/>
      <c r="J672" s="4"/>
    </row>
    <row r="673">
      <c r="H673" s="4"/>
      <c r="I673" s="4"/>
      <c r="J673" s="4"/>
    </row>
    <row r="674">
      <c r="H674" s="4"/>
      <c r="I674" s="4"/>
      <c r="J674" s="4"/>
    </row>
    <row r="675">
      <c r="H675" s="4"/>
      <c r="I675" s="4"/>
      <c r="J675" s="4"/>
    </row>
    <row r="676">
      <c r="H676" s="4"/>
      <c r="I676" s="4"/>
      <c r="J676" s="4"/>
    </row>
    <row r="677">
      <c r="H677" s="4"/>
      <c r="I677" s="4"/>
      <c r="J677" s="4"/>
    </row>
    <row r="678">
      <c r="H678" s="4"/>
      <c r="I678" s="4"/>
      <c r="J678" s="4"/>
    </row>
    <row r="679">
      <c r="H679" s="4"/>
      <c r="I679" s="4"/>
      <c r="J679" s="4"/>
    </row>
    <row r="680">
      <c r="H680" s="4"/>
      <c r="I680" s="4"/>
      <c r="J680" s="4"/>
    </row>
    <row r="681">
      <c r="H681" s="4"/>
      <c r="I681" s="4"/>
      <c r="J681" s="4"/>
    </row>
    <row r="682">
      <c r="H682" s="4"/>
      <c r="I682" s="4"/>
      <c r="J682" s="4"/>
    </row>
    <row r="683">
      <c r="H683" s="4"/>
      <c r="I683" s="4"/>
      <c r="J683" s="4"/>
    </row>
    <row r="684">
      <c r="H684" s="4"/>
      <c r="I684" s="4"/>
      <c r="J684" s="4"/>
    </row>
    <row r="685">
      <c r="H685" s="4"/>
      <c r="I685" s="4"/>
      <c r="J685" s="4"/>
    </row>
    <row r="686">
      <c r="H686" s="4"/>
      <c r="I686" s="4"/>
      <c r="J686" s="4"/>
    </row>
    <row r="687">
      <c r="H687" s="4"/>
      <c r="I687" s="4"/>
      <c r="J687" s="4"/>
    </row>
    <row r="688">
      <c r="H688" s="4"/>
      <c r="I688" s="4"/>
      <c r="J688" s="4"/>
    </row>
    <row r="689">
      <c r="H689" s="4"/>
      <c r="I689" s="4"/>
      <c r="J689" s="4"/>
    </row>
    <row r="690">
      <c r="H690" s="4"/>
      <c r="I690" s="4"/>
      <c r="J690" s="4"/>
    </row>
    <row r="691">
      <c r="H691" s="4"/>
      <c r="I691" s="4"/>
      <c r="J691" s="4"/>
    </row>
    <row r="692">
      <c r="H692" s="4"/>
      <c r="I692" s="4"/>
      <c r="J692" s="4"/>
    </row>
    <row r="693">
      <c r="H693" s="4"/>
      <c r="I693" s="4"/>
      <c r="J693" s="4"/>
    </row>
    <row r="694">
      <c r="H694" s="4"/>
      <c r="I694" s="4"/>
      <c r="J694" s="4"/>
    </row>
    <row r="695">
      <c r="H695" s="4"/>
      <c r="I695" s="4"/>
      <c r="J695" s="4"/>
    </row>
    <row r="696">
      <c r="H696" s="4"/>
      <c r="I696" s="4"/>
      <c r="J696" s="4"/>
    </row>
    <row r="697">
      <c r="H697" s="4"/>
      <c r="I697" s="4"/>
      <c r="J697" s="4"/>
    </row>
    <row r="698">
      <c r="H698" s="4"/>
      <c r="I698" s="4"/>
      <c r="J698" s="4"/>
    </row>
    <row r="699">
      <c r="H699" s="4"/>
      <c r="I699" s="4"/>
      <c r="J699" s="4"/>
    </row>
    <row r="700">
      <c r="H700" s="4"/>
      <c r="I700" s="4"/>
      <c r="J700" s="4"/>
    </row>
    <row r="701">
      <c r="H701" s="4"/>
      <c r="I701" s="4"/>
      <c r="J701" s="4"/>
    </row>
    <row r="702">
      <c r="H702" s="4"/>
      <c r="I702" s="4"/>
      <c r="J702" s="4"/>
    </row>
    <row r="703">
      <c r="H703" s="4"/>
      <c r="I703" s="4"/>
      <c r="J703" s="4"/>
    </row>
    <row r="704">
      <c r="H704" s="4"/>
      <c r="I704" s="4"/>
      <c r="J704" s="4"/>
    </row>
    <row r="705">
      <c r="H705" s="4"/>
      <c r="I705" s="4"/>
      <c r="J705" s="4"/>
    </row>
    <row r="706">
      <c r="H706" s="4"/>
      <c r="I706" s="4"/>
      <c r="J706" s="4"/>
    </row>
    <row r="707">
      <c r="H707" s="4"/>
      <c r="I707" s="4"/>
      <c r="J707" s="4"/>
    </row>
    <row r="708">
      <c r="H708" s="4"/>
      <c r="I708" s="4"/>
      <c r="J708" s="4"/>
    </row>
    <row r="709">
      <c r="H709" s="4"/>
      <c r="I709" s="4"/>
      <c r="J709" s="4"/>
    </row>
    <row r="710">
      <c r="H710" s="4"/>
      <c r="I710" s="4"/>
      <c r="J710" s="4"/>
    </row>
    <row r="711">
      <c r="H711" s="4"/>
      <c r="I711" s="4"/>
      <c r="J711" s="4"/>
    </row>
    <row r="712">
      <c r="H712" s="4"/>
      <c r="I712" s="4"/>
      <c r="J712" s="4"/>
    </row>
    <row r="713">
      <c r="H713" s="4"/>
      <c r="I713" s="4"/>
      <c r="J713" s="4"/>
    </row>
    <row r="714">
      <c r="H714" s="4"/>
      <c r="I714" s="4"/>
      <c r="J714" s="4"/>
    </row>
    <row r="715">
      <c r="H715" s="4"/>
      <c r="I715" s="4"/>
      <c r="J715" s="4"/>
    </row>
    <row r="716">
      <c r="H716" s="4"/>
      <c r="I716" s="4"/>
      <c r="J716" s="4"/>
    </row>
    <row r="717">
      <c r="H717" s="4"/>
      <c r="I717" s="4"/>
      <c r="J717" s="4"/>
    </row>
    <row r="718">
      <c r="H718" s="4"/>
      <c r="I718" s="4"/>
      <c r="J718" s="4"/>
    </row>
    <row r="719">
      <c r="H719" s="4"/>
      <c r="I719" s="4"/>
      <c r="J719" s="4"/>
    </row>
    <row r="720">
      <c r="H720" s="4"/>
      <c r="I720" s="4"/>
      <c r="J720" s="4"/>
    </row>
    <row r="721">
      <c r="H721" s="4"/>
      <c r="I721" s="4"/>
      <c r="J721" s="4"/>
    </row>
    <row r="722">
      <c r="H722" s="4"/>
      <c r="I722" s="4"/>
      <c r="J722" s="4"/>
    </row>
    <row r="723">
      <c r="H723" s="4"/>
      <c r="I723" s="4"/>
      <c r="J723" s="4"/>
    </row>
    <row r="724">
      <c r="H724" s="4"/>
      <c r="I724" s="4"/>
      <c r="J724" s="4"/>
    </row>
    <row r="725">
      <c r="H725" s="4"/>
      <c r="I725" s="4"/>
      <c r="J725" s="4"/>
    </row>
    <row r="726">
      <c r="H726" s="4"/>
      <c r="I726" s="4"/>
      <c r="J726" s="4"/>
    </row>
    <row r="727">
      <c r="H727" s="4"/>
      <c r="I727" s="4"/>
      <c r="J727" s="4"/>
    </row>
    <row r="728">
      <c r="H728" s="4"/>
      <c r="I728" s="4"/>
      <c r="J728" s="4"/>
    </row>
    <row r="729">
      <c r="H729" s="4"/>
      <c r="I729" s="4"/>
      <c r="J729" s="4"/>
    </row>
    <row r="730">
      <c r="H730" s="4"/>
      <c r="I730" s="4"/>
      <c r="J730" s="4"/>
    </row>
    <row r="731">
      <c r="H731" s="4"/>
      <c r="I731" s="4"/>
      <c r="J731" s="4"/>
    </row>
    <row r="732">
      <c r="H732" s="4"/>
      <c r="I732" s="4"/>
      <c r="J732" s="4"/>
    </row>
    <row r="733">
      <c r="H733" s="4"/>
      <c r="I733" s="4"/>
      <c r="J733" s="4"/>
    </row>
    <row r="734">
      <c r="H734" s="4"/>
      <c r="I734" s="4"/>
      <c r="J734" s="4"/>
    </row>
    <row r="735">
      <c r="H735" s="4"/>
      <c r="I735" s="4"/>
      <c r="J735" s="4"/>
    </row>
    <row r="736">
      <c r="H736" s="4"/>
      <c r="I736" s="4"/>
      <c r="J736" s="4"/>
    </row>
    <row r="737">
      <c r="H737" s="4"/>
      <c r="I737" s="4"/>
      <c r="J737" s="4"/>
    </row>
    <row r="738">
      <c r="H738" s="4"/>
      <c r="I738" s="4"/>
      <c r="J738" s="4"/>
    </row>
    <row r="739">
      <c r="H739" s="4"/>
      <c r="I739" s="4"/>
      <c r="J739" s="4"/>
    </row>
    <row r="740">
      <c r="H740" s="4"/>
      <c r="I740" s="4"/>
      <c r="J740" s="4"/>
    </row>
    <row r="741">
      <c r="H741" s="4"/>
      <c r="I741" s="4"/>
      <c r="J741" s="4"/>
    </row>
    <row r="742">
      <c r="H742" s="4"/>
      <c r="I742" s="4"/>
      <c r="J742" s="4"/>
    </row>
    <row r="743">
      <c r="H743" s="4"/>
      <c r="I743" s="4"/>
      <c r="J743" s="4"/>
    </row>
    <row r="744">
      <c r="H744" s="4"/>
      <c r="I744" s="4"/>
      <c r="J744" s="4"/>
    </row>
    <row r="745">
      <c r="H745" s="4"/>
      <c r="I745" s="4"/>
      <c r="J745" s="4"/>
    </row>
    <row r="746">
      <c r="H746" s="4"/>
      <c r="I746" s="4"/>
      <c r="J746" s="4"/>
    </row>
    <row r="747">
      <c r="H747" s="4"/>
      <c r="I747" s="4"/>
      <c r="J747" s="4"/>
    </row>
    <row r="748">
      <c r="H748" s="4"/>
      <c r="I748" s="4"/>
      <c r="J748" s="4"/>
    </row>
    <row r="749">
      <c r="H749" s="4"/>
      <c r="I749" s="4"/>
      <c r="J749" s="4"/>
    </row>
    <row r="750">
      <c r="H750" s="4"/>
      <c r="I750" s="4"/>
      <c r="J750" s="4"/>
    </row>
    <row r="751">
      <c r="H751" s="4"/>
      <c r="I751" s="4"/>
      <c r="J751" s="4"/>
    </row>
    <row r="752">
      <c r="H752" s="4"/>
      <c r="I752" s="4"/>
      <c r="J752" s="4"/>
    </row>
    <row r="753">
      <c r="H753" s="4"/>
      <c r="I753" s="4"/>
      <c r="J753" s="4"/>
    </row>
    <row r="754">
      <c r="H754" s="4"/>
      <c r="I754" s="4"/>
      <c r="J754" s="4"/>
    </row>
    <row r="755">
      <c r="H755" s="4"/>
      <c r="I755" s="4"/>
      <c r="J755" s="4"/>
    </row>
    <row r="756">
      <c r="H756" s="4"/>
      <c r="I756" s="4"/>
      <c r="J756" s="4"/>
    </row>
    <row r="757">
      <c r="H757" s="4"/>
      <c r="I757" s="4"/>
      <c r="J757" s="4"/>
    </row>
    <row r="758">
      <c r="H758" s="4"/>
      <c r="I758" s="4"/>
      <c r="J758" s="4"/>
    </row>
    <row r="759">
      <c r="H759" s="4"/>
      <c r="I759" s="4"/>
      <c r="J759" s="4"/>
    </row>
    <row r="760">
      <c r="H760" s="4"/>
      <c r="I760" s="4"/>
      <c r="J760" s="4"/>
    </row>
    <row r="761">
      <c r="H761" s="4"/>
      <c r="I761" s="4"/>
      <c r="J761" s="4"/>
    </row>
    <row r="762">
      <c r="H762" s="4"/>
      <c r="I762" s="4"/>
      <c r="J762" s="4"/>
    </row>
    <row r="763">
      <c r="H763" s="4"/>
      <c r="I763" s="4"/>
      <c r="J763" s="4"/>
    </row>
    <row r="764">
      <c r="H764" s="4"/>
      <c r="I764" s="4"/>
      <c r="J764" s="4"/>
    </row>
    <row r="765">
      <c r="H765" s="4"/>
      <c r="I765" s="4"/>
      <c r="J765" s="4"/>
    </row>
    <row r="766">
      <c r="H766" s="4"/>
      <c r="I766" s="4"/>
      <c r="J766" s="4"/>
    </row>
    <row r="767">
      <c r="H767" s="4"/>
      <c r="I767" s="4"/>
      <c r="J767" s="4"/>
    </row>
    <row r="768">
      <c r="H768" s="4"/>
      <c r="I768" s="4"/>
      <c r="J768" s="4"/>
    </row>
    <row r="769">
      <c r="H769" s="4"/>
      <c r="I769" s="4"/>
      <c r="J769" s="4"/>
    </row>
    <row r="770">
      <c r="H770" s="4"/>
      <c r="I770" s="4"/>
      <c r="J770" s="4"/>
    </row>
    <row r="771">
      <c r="H771" s="4"/>
      <c r="I771" s="4"/>
      <c r="J771" s="4"/>
    </row>
    <row r="772">
      <c r="H772" s="4"/>
      <c r="I772" s="4"/>
      <c r="J772" s="4"/>
    </row>
    <row r="773">
      <c r="H773" s="4"/>
      <c r="I773" s="4"/>
      <c r="J773" s="4"/>
    </row>
    <row r="774">
      <c r="H774" s="4"/>
      <c r="I774" s="4"/>
      <c r="J774" s="4"/>
    </row>
    <row r="775">
      <c r="H775" s="4"/>
      <c r="I775" s="4"/>
      <c r="J775" s="4"/>
    </row>
    <row r="776">
      <c r="H776" s="4"/>
      <c r="I776" s="4"/>
      <c r="J776" s="4"/>
    </row>
    <row r="777">
      <c r="H777" s="4"/>
      <c r="I777" s="4"/>
      <c r="J777" s="4"/>
    </row>
    <row r="778">
      <c r="H778" s="4"/>
      <c r="I778" s="4"/>
      <c r="J778" s="4"/>
    </row>
    <row r="779">
      <c r="H779" s="4"/>
      <c r="I779" s="4"/>
      <c r="J779" s="4"/>
    </row>
    <row r="780">
      <c r="H780" s="4"/>
      <c r="I780" s="4"/>
      <c r="J780" s="4"/>
    </row>
    <row r="781">
      <c r="H781" s="4"/>
      <c r="I781" s="4"/>
      <c r="J781" s="4"/>
    </row>
    <row r="782">
      <c r="H782" s="4"/>
      <c r="I782" s="4"/>
      <c r="J782" s="4"/>
    </row>
    <row r="783">
      <c r="H783" s="4"/>
      <c r="I783" s="4"/>
      <c r="J783" s="4"/>
    </row>
    <row r="784">
      <c r="H784" s="4"/>
      <c r="I784" s="4"/>
      <c r="J784" s="4"/>
    </row>
    <row r="785">
      <c r="H785" s="4"/>
      <c r="I785" s="4"/>
      <c r="J785" s="4"/>
    </row>
    <row r="786">
      <c r="H786" s="4"/>
      <c r="I786" s="4"/>
      <c r="J786" s="4"/>
    </row>
    <row r="787">
      <c r="H787" s="4"/>
      <c r="I787" s="4"/>
      <c r="J787" s="4"/>
    </row>
    <row r="788">
      <c r="H788" s="4"/>
      <c r="I788" s="4"/>
      <c r="J788" s="4"/>
    </row>
    <row r="789">
      <c r="H789" s="4"/>
      <c r="I789" s="4"/>
      <c r="J789" s="4"/>
    </row>
    <row r="790">
      <c r="H790" s="4"/>
      <c r="I790" s="4"/>
      <c r="J790" s="4"/>
    </row>
    <row r="791">
      <c r="H791" s="4"/>
      <c r="I791" s="4"/>
      <c r="J791" s="4"/>
    </row>
    <row r="792">
      <c r="H792" s="4"/>
      <c r="I792" s="4"/>
      <c r="J792" s="4"/>
    </row>
    <row r="793">
      <c r="H793" s="4"/>
      <c r="I793" s="4"/>
      <c r="J793" s="4"/>
    </row>
    <row r="794">
      <c r="H794" s="4"/>
      <c r="I794" s="4"/>
      <c r="J794" s="4"/>
    </row>
    <row r="795">
      <c r="H795" s="4"/>
      <c r="I795" s="4"/>
      <c r="J795" s="4"/>
    </row>
    <row r="796">
      <c r="H796" s="4"/>
      <c r="I796" s="4"/>
      <c r="J796" s="4"/>
    </row>
    <row r="797">
      <c r="H797" s="4"/>
      <c r="I797" s="4"/>
      <c r="J797" s="4"/>
    </row>
    <row r="798">
      <c r="H798" s="4"/>
      <c r="I798" s="4"/>
      <c r="J798" s="4"/>
    </row>
    <row r="799">
      <c r="H799" s="4"/>
      <c r="I799" s="4"/>
      <c r="J799" s="4"/>
    </row>
    <row r="800">
      <c r="H800" s="4"/>
      <c r="I800" s="4"/>
      <c r="J800" s="4"/>
    </row>
    <row r="801">
      <c r="H801" s="4"/>
      <c r="I801" s="4"/>
      <c r="J801" s="4"/>
    </row>
    <row r="802">
      <c r="H802" s="4"/>
      <c r="I802" s="4"/>
      <c r="J802" s="4"/>
    </row>
    <row r="803">
      <c r="H803" s="4"/>
      <c r="I803" s="4"/>
      <c r="J803" s="4"/>
    </row>
    <row r="804">
      <c r="H804" s="4"/>
      <c r="I804" s="4"/>
      <c r="J804" s="4"/>
    </row>
    <row r="805">
      <c r="H805" s="4"/>
      <c r="I805" s="4"/>
      <c r="J805" s="4"/>
    </row>
    <row r="806">
      <c r="H806" s="4"/>
      <c r="I806" s="4"/>
      <c r="J806" s="4"/>
    </row>
    <row r="807">
      <c r="H807" s="4"/>
      <c r="I807" s="4"/>
      <c r="J807" s="4"/>
    </row>
    <row r="808">
      <c r="H808" s="4"/>
      <c r="I808" s="4"/>
      <c r="J808" s="4"/>
    </row>
    <row r="809">
      <c r="H809" s="4"/>
      <c r="I809" s="4"/>
      <c r="J809" s="4"/>
    </row>
    <row r="810">
      <c r="H810" s="4"/>
      <c r="I810" s="4"/>
      <c r="J810" s="4"/>
    </row>
    <row r="811">
      <c r="H811" s="4"/>
      <c r="I811" s="4"/>
      <c r="J811" s="4"/>
    </row>
    <row r="812">
      <c r="H812" s="4"/>
      <c r="I812" s="4"/>
      <c r="J812" s="4"/>
    </row>
    <row r="813">
      <c r="H813" s="4"/>
      <c r="I813" s="4"/>
      <c r="J813" s="4"/>
    </row>
    <row r="814">
      <c r="H814" s="4"/>
      <c r="I814" s="4"/>
      <c r="J814" s="4"/>
    </row>
    <row r="815">
      <c r="H815" s="4"/>
      <c r="I815" s="4"/>
      <c r="J815" s="4"/>
    </row>
    <row r="816">
      <c r="H816" s="4"/>
      <c r="I816" s="4"/>
      <c r="J816" s="4"/>
    </row>
    <row r="817">
      <c r="H817" s="4"/>
      <c r="I817" s="4"/>
      <c r="J817" s="4"/>
    </row>
    <row r="818">
      <c r="H818" s="4"/>
      <c r="I818" s="4"/>
      <c r="J818" s="4"/>
    </row>
    <row r="819">
      <c r="H819" s="4"/>
      <c r="I819" s="4"/>
      <c r="J819" s="4"/>
    </row>
    <row r="820">
      <c r="H820" s="4"/>
      <c r="I820" s="4"/>
      <c r="J820" s="4"/>
    </row>
    <row r="821">
      <c r="H821" s="4"/>
      <c r="I821" s="4"/>
      <c r="J821" s="4"/>
    </row>
    <row r="822">
      <c r="H822" s="4"/>
      <c r="I822" s="4"/>
      <c r="J822" s="4"/>
    </row>
    <row r="823">
      <c r="H823" s="4"/>
      <c r="I823" s="4"/>
      <c r="J823" s="4"/>
    </row>
    <row r="824">
      <c r="H824" s="4"/>
      <c r="I824" s="4"/>
      <c r="J824" s="4"/>
    </row>
    <row r="825">
      <c r="H825" s="4"/>
      <c r="I825" s="4"/>
      <c r="J825" s="4"/>
    </row>
    <row r="826">
      <c r="H826" s="4"/>
      <c r="I826" s="4"/>
      <c r="J826" s="4"/>
    </row>
    <row r="827">
      <c r="H827" s="4"/>
      <c r="I827" s="4"/>
      <c r="J827" s="4"/>
    </row>
    <row r="828">
      <c r="H828" s="4"/>
      <c r="I828" s="4"/>
      <c r="J828" s="4"/>
    </row>
    <row r="829">
      <c r="H829" s="4"/>
      <c r="I829" s="4"/>
      <c r="J829" s="4"/>
    </row>
    <row r="830">
      <c r="H830" s="4"/>
      <c r="I830" s="4"/>
      <c r="J830" s="4"/>
    </row>
    <row r="831">
      <c r="H831" s="4"/>
      <c r="I831" s="4"/>
      <c r="J831" s="4"/>
    </row>
    <row r="832">
      <c r="H832" s="4"/>
      <c r="I832" s="4"/>
      <c r="J832" s="4"/>
    </row>
    <row r="833">
      <c r="H833" s="4"/>
      <c r="I833" s="4"/>
      <c r="J833" s="4"/>
    </row>
    <row r="834">
      <c r="H834" s="4"/>
      <c r="I834" s="4"/>
      <c r="J834" s="4"/>
    </row>
    <row r="835">
      <c r="H835" s="4"/>
      <c r="I835" s="4"/>
      <c r="J835" s="4"/>
    </row>
    <row r="836">
      <c r="H836" s="4"/>
      <c r="I836" s="4"/>
      <c r="J836" s="4"/>
    </row>
    <row r="837">
      <c r="H837" s="4"/>
      <c r="I837" s="4"/>
      <c r="J837" s="4"/>
    </row>
    <row r="838">
      <c r="H838" s="4"/>
      <c r="I838" s="4"/>
      <c r="J838" s="4"/>
    </row>
    <row r="839">
      <c r="H839" s="4"/>
      <c r="I839" s="4"/>
      <c r="J839" s="4"/>
    </row>
    <row r="840">
      <c r="H840" s="4"/>
      <c r="I840" s="4"/>
      <c r="J840" s="4"/>
    </row>
    <row r="841">
      <c r="H841" s="4"/>
      <c r="I841" s="4"/>
      <c r="J841" s="4"/>
    </row>
    <row r="842">
      <c r="H842" s="4"/>
      <c r="I842" s="4"/>
      <c r="J842" s="4"/>
    </row>
    <row r="843">
      <c r="H843" s="4"/>
      <c r="I843" s="4"/>
      <c r="J843" s="4"/>
    </row>
    <row r="844">
      <c r="H844" s="4"/>
      <c r="I844" s="4"/>
      <c r="J844" s="4"/>
    </row>
    <row r="845">
      <c r="H845" s="4"/>
      <c r="I845" s="4"/>
      <c r="J845" s="4"/>
    </row>
    <row r="846">
      <c r="H846" s="4"/>
      <c r="I846" s="4"/>
      <c r="J846" s="4"/>
    </row>
    <row r="847">
      <c r="H847" s="4"/>
      <c r="I847" s="4"/>
      <c r="J847" s="4"/>
    </row>
    <row r="848">
      <c r="H848" s="4"/>
      <c r="I848" s="4"/>
      <c r="J848" s="4"/>
    </row>
    <row r="849">
      <c r="H849" s="4"/>
      <c r="I849" s="4"/>
      <c r="J849" s="4"/>
    </row>
    <row r="850">
      <c r="H850" s="4"/>
      <c r="I850" s="4"/>
      <c r="J850" s="4"/>
    </row>
    <row r="851">
      <c r="H851" s="4"/>
      <c r="I851" s="4"/>
      <c r="J851" s="4"/>
    </row>
    <row r="852">
      <c r="H852" s="4"/>
      <c r="I852" s="4"/>
      <c r="J852" s="4"/>
    </row>
    <row r="853">
      <c r="H853" s="4"/>
      <c r="I853" s="4"/>
      <c r="J853" s="4"/>
    </row>
    <row r="854">
      <c r="H854" s="4"/>
      <c r="I854" s="4"/>
      <c r="J854" s="4"/>
    </row>
    <row r="855">
      <c r="H855" s="4"/>
      <c r="I855" s="4"/>
      <c r="J855" s="4"/>
    </row>
    <row r="856">
      <c r="H856" s="4"/>
      <c r="I856" s="4"/>
      <c r="J856" s="4"/>
    </row>
    <row r="857">
      <c r="H857" s="4"/>
      <c r="I857" s="4"/>
      <c r="J857" s="4"/>
    </row>
    <row r="858">
      <c r="H858" s="4"/>
      <c r="I858" s="4"/>
      <c r="J858" s="4"/>
    </row>
    <row r="859">
      <c r="H859" s="4"/>
      <c r="I859" s="4"/>
      <c r="J859" s="4"/>
    </row>
    <row r="860">
      <c r="H860" s="4"/>
      <c r="I860" s="4"/>
      <c r="J860" s="4"/>
    </row>
    <row r="861">
      <c r="H861" s="4"/>
      <c r="I861" s="4"/>
      <c r="J861" s="4"/>
    </row>
    <row r="862">
      <c r="H862" s="4"/>
      <c r="I862" s="4"/>
      <c r="J862" s="4"/>
    </row>
    <row r="863">
      <c r="H863" s="4"/>
      <c r="I863" s="4"/>
      <c r="J863" s="4"/>
    </row>
    <row r="864">
      <c r="H864" s="4"/>
      <c r="I864" s="4"/>
      <c r="J864" s="4"/>
    </row>
    <row r="865">
      <c r="H865" s="4"/>
      <c r="I865" s="4"/>
      <c r="J865" s="4"/>
    </row>
    <row r="866">
      <c r="H866" s="4"/>
      <c r="I866" s="4"/>
      <c r="J866" s="4"/>
    </row>
    <row r="867">
      <c r="H867" s="4"/>
      <c r="I867" s="4"/>
      <c r="J867" s="4"/>
    </row>
    <row r="868">
      <c r="H868" s="4"/>
      <c r="I868" s="4"/>
      <c r="J868" s="4"/>
    </row>
    <row r="869">
      <c r="H869" s="4"/>
      <c r="I869" s="4"/>
      <c r="J869" s="4"/>
    </row>
    <row r="870">
      <c r="H870" s="4"/>
      <c r="I870" s="4"/>
      <c r="J870" s="4"/>
    </row>
    <row r="871">
      <c r="H871" s="4"/>
      <c r="I871" s="4"/>
      <c r="J871" s="4"/>
    </row>
    <row r="872">
      <c r="H872" s="4"/>
      <c r="I872" s="4"/>
      <c r="J872" s="4"/>
    </row>
    <row r="873">
      <c r="H873" s="4"/>
      <c r="I873" s="4"/>
      <c r="J873" s="4"/>
    </row>
    <row r="874">
      <c r="H874" s="4"/>
      <c r="I874" s="4"/>
      <c r="J874" s="4"/>
    </row>
    <row r="875">
      <c r="H875" s="4"/>
      <c r="I875" s="4"/>
      <c r="J875" s="4"/>
    </row>
    <row r="876">
      <c r="H876" s="4"/>
      <c r="I876" s="4"/>
      <c r="J876" s="4"/>
    </row>
    <row r="877">
      <c r="H877" s="4"/>
      <c r="I877" s="4"/>
      <c r="J877" s="4"/>
    </row>
    <row r="878">
      <c r="H878" s="4"/>
      <c r="I878" s="4"/>
      <c r="J878" s="4"/>
    </row>
    <row r="879">
      <c r="H879" s="4"/>
      <c r="I879" s="4"/>
      <c r="J879" s="4"/>
    </row>
    <row r="880">
      <c r="H880" s="4"/>
      <c r="I880" s="4"/>
      <c r="J880" s="4"/>
    </row>
    <row r="881">
      <c r="H881" s="4"/>
      <c r="I881" s="4"/>
      <c r="J881" s="4"/>
    </row>
    <row r="882">
      <c r="H882" s="4"/>
      <c r="I882" s="4"/>
      <c r="J882" s="4"/>
    </row>
    <row r="883">
      <c r="H883" s="4"/>
      <c r="I883" s="4"/>
      <c r="J883" s="4"/>
    </row>
    <row r="884">
      <c r="H884" s="4"/>
      <c r="I884" s="4"/>
      <c r="J884" s="4"/>
    </row>
    <row r="885">
      <c r="H885" s="4"/>
      <c r="I885" s="4"/>
      <c r="J885" s="4"/>
    </row>
    <row r="886">
      <c r="H886" s="4"/>
      <c r="I886" s="4"/>
      <c r="J886" s="4"/>
    </row>
    <row r="887">
      <c r="H887" s="4"/>
      <c r="I887" s="4"/>
      <c r="J887" s="4"/>
    </row>
    <row r="888">
      <c r="H888" s="4"/>
      <c r="I888" s="4"/>
      <c r="J888" s="4"/>
    </row>
    <row r="889">
      <c r="H889" s="4"/>
      <c r="I889" s="4"/>
      <c r="J889" s="4"/>
    </row>
    <row r="890">
      <c r="H890" s="4"/>
      <c r="I890" s="4"/>
      <c r="J890" s="4"/>
    </row>
    <row r="891">
      <c r="H891" s="4"/>
      <c r="I891" s="4"/>
      <c r="J891" s="4"/>
    </row>
    <row r="892">
      <c r="H892" s="4"/>
      <c r="I892" s="4"/>
      <c r="J892" s="4"/>
    </row>
    <row r="893">
      <c r="H893" s="4"/>
      <c r="I893" s="4"/>
      <c r="J893" s="4"/>
    </row>
    <row r="894">
      <c r="H894" s="4"/>
      <c r="I894" s="4"/>
      <c r="J894" s="4"/>
    </row>
    <row r="895">
      <c r="H895" s="4"/>
      <c r="I895" s="4"/>
      <c r="J895" s="4"/>
    </row>
    <row r="896">
      <c r="H896" s="4"/>
      <c r="I896" s="4"/>
      <c r="J896" s="4"/>
    </row>
    <row r="897">
      <c r="H897" s="4"/>
      <c r="I897" s="4"/>
      <c r="J897" s="4"/>
    </row>
    <row r="898">
      <c r="H898" s="4"/>
      <c r="I898" s="4"/>
      <c r="J898" s="4"/>
    </row>
    <row r="899">
      <c r="H899" s="4"/>
      <c r="I899" s="4"/>
      <c r="J899" s="4"/>
    </row>
    <row r="900">
      <c r="H900" s="4"/>
      <c r="I900" s="4"/>
      <c r="J900" s="4"/>
    </row>
    <row r="901">
      <c r="H901" s="4"/>
      <c r="I901" s="4"/>
      <c r="J901" s="4"/>
    </row>
    <row r="902">
      <c r="H902" s="4"/>
      <c r="I902" s="4"/>
      <c r="J902" s="4"/>
    </row>
    <row r="903">
      <c r="H903" s="4"/>
      <c r="I903" s="4"/>
      <c r="J903" s="4"/>
    </row>
    <row r="904">
      <c r="H904" s="4"/>
      <c r="I904" s="4"/>
      <c r="J904" s="4"/>
    </row>
    <row r="905">
      <c r="H905" s="4"/>
      <c r="I905" s="4"/>
      <c r="J905" s="4"/>
    </row>
    <row r="906">
      <c r="H906" s="4"/>
      <c r="I906" s="4"/>
      <c r="J906" s="4"/>
    </row>
    <row r="907">
      <c r="H907" s="4"/>
      <c r="I907" s="4"/>
      <c r="J907" s="4"/>
    </row>
    <row r="908">
      <c r="H908" s="4"/>
      <c r="I908" s="4"/>
      <c r="J908" s="4"/>
    </row>
    <row r="909">
      <c r="H909" s="4"/>
      <c r="I909" s="4"/>
      <c r="J909" s="4"/>
    </row>
    <row r="910">
      <c r="H910" s="4"/>
      <c r="I910" s="4"/>
      <c r="J910" s="4"/>
    </row>
    <row r="911">
      <c r="H911" s="4"/>
      <c r="I911" s="4"/>
      <c r="J911" s="4"/>
    </row>
    <row r="912">
      <c r="H912" s="4"/>
      <c r="I912" s="4"/>
      <c r="J912" s="4"/>
    </row>
    <row r="913">
      <c r="H913" s="4"/>
      <c r="I913" s="4"/>
      <c r="J913" s="4"/>
    </row>
    <row r="914">
      <c r="H914" s="4"/>
      <c r="I914" s="4"/>
      <c r="J914" s="4"/>
    </row>
    <row r="915">
      <c r="H915" s="4"/>
      <c r="I915" s="4"/>
      <c r="J915" s="4"/>
    </row>
    <row r="916">
      <c r="H916" s="4"/>
      <c r="I916" s="4"/>
      <c r="J916" s="4"/>
    </row>
    <row r="917">
      <c r="H917" s="4"/>
      <c r="I917" s="4"/>
      <c r="J917" s="4"/>
    </row>
    <row r="918">
      <c r="H918" s="4"/>
      <c r="I918" s="4"/>
      <c r="J918" s="4"/>
    </row>
    <row r="919">
      <c r="H919" s="4"/>
      <c r="I919" s="4"/>
      <c r="J919" s="4"/>
    </row>
    <row r="920">
      <c r="H920" s="4"/>
      <c r="I920" s="4"/>
      <c r="J920" s="4"/>
    </row>
    <row r="921">
      <c r="H921" s="4"/>
      <c r="I921" s="4"/>
      <c r="J921" s="4"/>
    </row>
    <row r="922">
      <c r="H922" s="4"/>
      <c r="I922" s="4"/>
      <c r="J922" s="4"/>
    </row>
    <row r="923">
      <c r="H923" s="4"/>
      <c r="I923" s="4"/>
      <c r="J923" s="4"/>
    </row>
    <row r="924">
      <c r="H924" s="4"/>
      <c r="I924" s="4"/>
      <c r="J924" s="4"/>
    </row>
    <row r="925">
      <c r="H925" s="4"/>
      <c r="I925" s="4"/>
      <c r="J925" s="4"/>
    </row>
    <row r="926">
      <c r="H926" s="4"/>
      <c r="I926" s="4"/>
      <c r="J926" s="4"/>
    </row>
    <row r="927">
      <c r="H927" s="4"/>
      <c r="I927" s="4"/>
      <c r="J927" s="4"/>
    </row>
    <row r="928">
      <c r="H928" s="4"/>
      <c r="I928" s="4"/>
      <c r="J928" s="4"/>
    </row>
    <row r="929">
      <c r="H929" s="4"/>
      <c r="I929" s="4"/>
      <c r="J929" s="4"/>
    </row>
    <row r="930">
      <c r="H930" s="4"/>
      <c r="I930" s="4"/>
      <c r="J930" s="4"/>
    </row>
    <row r="931">
      <c r="H931" s="4"/>
      <c r="I931" s="4"/>
      <c r="J931" s="4"/>
    </row>
    <row r="932">
      <c r="H932" s="4"/>
      <c r="I932" s="4"/>
      <c r="J932" s="4"/>
    </row>
    <row r="933">
      <c r="H933" s="4"/>
      <c r="I933" s="4"/>
      <c r="J933" s="4"/>
    </row>
    <row r="934">
      <c r="H934" s="4"/>
      <c r="I934" s="4"/>
      <c r="J934" s="4"/>
    </row>
    <row r="935">
      <c r="H935" s="4"/>
      <c r="I935" s="4"/>
      <c r="J935" s="4"/>
    </row>
    <row r="936">
      <c r="H936" s="4"/>
      <c r="I936" s="4"/>
      <c r="J936" s="4"/>
    </row>
    <row r="937">
      <c r="H937" s="4"/>
      <c r="I937" s="4"/>
      <c r="J937" s="4"/>
    </row>
    <row r="938">
      <c r="H938" s="4"/>
      <c r="I938" s="4"/>
      <c r="J938" s="4"/>
    </row>
    <row r="939">
      <c r="H939" s="4"/>
      <c r="I939" s="4"/>
      <c r="J939" s="4"/>
    </row>
    <row r="940">
      <c r="H940" s="4"/>
      <c r="I940" s="4"/>
      <c r="J940" s="4"/>
    </row>
    <row r="941">
      <c r="H941" s="4"/>
      <c r="I941" s="4"/>
      <c r="J941" s="4"/>
    </row>
    <row r="942">
      <c r="H942" s="4"/>
      <c r="I942" s="4"/>
      <c r="J942" s="4"/>
    </row>
    <row r="943">
      <c r="H943" s="4"/>
      <c r="I943" s="4"/>
      <c r="J943" s="4"/>
    </row>
    <row r="944">
      <c r="H944" s="4"/>
      <c r="I944" s="4"/>
      <c r="J944" s="4"/>
    </row>
    <row r="945">
      <c r="H945" s="4"/>
      <c r="I945" s="4"/>
      <c r="J945" s="4"/>
    </row>
    <row r="946">
      <c r="H946" s="4"/>
      <c r="I946" s="4"/>
      <c r="J946" s="4"/>
    </row>
    <row r="947">
      <c r="H947" s="4"/>
      <c r="I947" s="4"/>
      <c r="J947" s="4"/>
    </row>
    <row r="948">
      <c r="H948" s="4"/>
      <c r="I948" s="4"/>
      <c r="J948" s="4"/>
    </row>
    <row r="949">
      <c r="H949" s="4"/>
      <c r="I949" s="4"/>
      <c r="J949" s="4"/>
    </row>
    <row r="950">
      <c r="H950" s="4"/>
      <c r="I950" s="4"/>
      <c r="J950" s="4"/>
    </row>
    <row r="951">
      <c r="H951" s="4"/>
      <c r="I951" s="4"/>
      <c r="J951" s="4"/>
    </row>
    <row r="952">
      <c r="H952" s="4"/>
      <c r="I952" s="4"/>
      <c r="J952" s="4"/>
    </row>
    <row r="953">
      <c r="H953" s="4"/>
      <c r="I953" s="4"/>
      <c r="J953" s="4"/>
    </row>
    <row r="954">
      <c r="H954" s="4"/>
      <c r="I954" s="4"/>
      <c r="J954" s="4"/>
    </row>
    <row r="955">
      <c r="H955" s="4"/>
      <c r="I955" s="4"/>
      <c r="J955" s="4"/>
    </row>
    <row r="956">
      <c r="H956" s="4"/>
      <c r="I956" s="4"/>
      <c r="J956" s="4"/>
    </row>
    <row r="957">
      <c r="H957" s="4"/>
      <c r="I957" s="4"/>
      <c r="J957" s="4"/>
    </row>
    <row r="958">
      <c r="H958" s="4"/>
      <c r="I958" s="4"/>
      <c r="J958" s="4"/>
    </row>
    <row r="959">
      <c r="H959" s="4"/>
      <c r="I959" s="4"/>
      <c r="J959" s="4"/>
    </row>
    <row r="960">
      <c r="H960" s="4"/>
      <c r="I960" s="4"/>
      <c r="J960" s="4"/>
    </row>
    <row r="961">
      <c r="H961" s="4"/>
      <c r="I961" s="4"/>
      <c r="J961" s="4"/>
    </row>
    <row r="962">
      <c r="H962" s="4"/>
      <c r="I962" s="4"/>
      <c r="J962" s="4"/>
    </row>
    <row r="963">
      <c r="H963" s="4"/>
      <c r="I963" s="4"/>
      <c r="J963" s="4"/>
    </row>
    <row r="964">
      <c r="H964" s="4"/>
      <c r="I964" s="4"/>
      <c r="J964" s="4"/>
    </row>
    <row r="965">
      <c r="H965" s="4"/>
      <c r="I965" s="4"/>
      <c r="J965" s="4"/>
    </row>
    <row r="966">
      <c r="H966" s="4"/>
      <c r="I966" s="4"/>
      <c r="J966" s="4"/>
    </row>
    <row r="967">
      <c r="H967" s="4"/>
      <c r="I967" s="4"/>
      <c r="J967" s="4"/>
    </row>
    <row r="968">
      <c r="H968" s="4"/>
      <c r="I968" s="4"/>
      <c r="J968" s="4"/>
    </row>
    <row r="969">
      <c r="H969" s="4"/>
      <c r="I969" s="4"/>
      <c r="J969" s="4"/>
    </row>
    <row r="970">
      <c r="H970" s="4"/>
      <c r="I970" s="4"/>
      <c r="J970" s="4"/>
    </row>
    <row r="971">
      <c r="H971" s="4"/>
      <c r="I971" s="4"/>
      <c r="J971" s="4"/>
    </row>
    <row r="972">
      <c r="H972" s="4"/>
      <c r="I972" s="4"/>
      <c r="J972" s="4"/>
    </row>
    <row r="973">
      <c r="H973" s="4"/>
      <c r="I973" s="4"/>
      <c r="J973" s="4"/>
    </row>
    <row r="974">
      <c r="H974" s="4"/>
      <c r="I974" s="4"/>
      <c r="J974" s="4"/>
    </row>
    <row r="975">
      <c r="H975" s="4"/>
      <c r="I975" s="4"/>
      <c r="J975" s="4"/>
    </row>
    <row r="976">
      <c r="H976" s="4"/>
      <c r="I976" s="4"/>
      <c r="J976" s="4"/>
    </row>
    <row r="977">
      <c r="H977" s="4"/>
      <c r="I977" s="4"/>
      <c r="J977" s="4"/>
    </row>
    <row r="978">
      <c r="H978" s="4"/>
      <c r="I978" s="4"/>
      <c r="J978" s="4"/>
    </row>
    <row r="979">
      <c r="H979" s="4"/>
      <c r="I979" s="4"/>
      <c r="J979" s="4"/>
    </row>
    <row r="980">
      <c r="H980" s="4"/>
      <c r="I980" s="4"/>
      <c r="J980" s="4"/>
    </row>
    <row r="981">
      <c r="H981" s="4"/>
      <c r="I981" s="4"/>
      <c r="J981" s="4"/>
    </row>
    <row r="982">
      <c r="H982" s="4"/>
      <c r="I982" s="4"/>
      <c r="J982" s="4"/>
    </row>
    <row r="983">
      <c r="H983" s="4"/>
      <c r="I983" s="4"/>
      <c r="J983" s="4"/>
    </row>
    <row r="984">
      <c r="H984" s="4"/>
      <c r="I984" s="4"/>
      <c r="J984" s="4"/>
    </row>
    <row r="985">
      <c r="H985" s="4"/>
      <c r="I985" s="4"/>
      <c r="J985" s="4"/>
    </row>
    <row r="986">
      <c r="H986" s="4"/>
      <c r="I986" s="4"/>
      <c r="J986" s="4"/>
    </row>
    <row r="987">
      <c r="H987" s="4"/>
      <c r="I987" s="4"/>
      <c r="J987" s="4"/>
    </row>
    <row r="988">
      <c r="H988" s="4"/>
      <c r="I988" s="4"/>
      <c r="J988" s="4"/>
    </row>
    <row r="989">
      <c r="H989" s="4"/>
      <c r="I989" s="4"/>
      <c r="J989" s="4"/>
    </row>
    <row r="990">
      <c r="H990" s="4"/>
      <c r="I990" s="4"/>
      <c r="J990" s="4"/>
    </row>
    <row r="991">
      <c r="H991" s="4"/>
      <c r="I991" s="4"/>
      <c r="J991" s="4"/>
    </row>
    <row r="992">
      <c r="H992" s="4"/>
      <c r="I992" s="4"/>
      <c r="J992" s="4"/>
    </row>
    <row r="993">
      <c r="H993" s="4"/>
      <c r="I993" s="4"/>
      <c r="J993" s="4"/>
    </row>
    <row r="994">
      <c r="H994" s="4"/>
      <c r="I994" s="4"/>
      <c r="J994" s="4"/>
    </row>
    <row r="995">
      <c r="H995" s="4"/>
      <c r="I995" s="4"/>
      <c r="J995" s="4"/>
    </row>
    <row r="996">
      <c r="H996" s="4"/>
      <c r="I996" s="4"/>
      <c r="J996" s="4"/>
    </row>
    <row r="997">
      <c r="H997" s="4"/>
      <c r="I997" s="4"/>
      <c r="J997" s="4"/>
    </row>
    <row r="998">
      <c r="H998" s="4"/>
      <c r="I998" s="4"/>
      <c r="J998" s="4"/>
    </row>
    <row r="999">
      <c r="H999" s="4"/>
      <c r="I999" s="4"/>
      <c r="J999" s="4"/>
    </row>
    <row r="1000">
      <c r="H1000" s="4"/>
      <c r="I1000" s="4"/>
      <c r="J1000" s="4"/>
    </row>
    <row r="1001">
      <c r="H1001" s="4"/>
      <c r="I1001" s="4"/>
      <c r="J1001" s="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25.0"/>
    <col customWidth="1" min="3" max="3" width="31.25"/>
    <col customWidth="1" min="4" max="5" width="13.5"/>
    <col customWidth="1" hidden="1" min="6" max="6" width="20.75"/>
    <col customWidth="1" hidden="1" min="7" max="7" width="13.63"/>
    <col hidden="1" min="8" max="8" width="12.63"/>
    <col customWidth="1" hidden="1" min="9" max="9" width="17.63"/>
    <col hidden="1" min="10" max="12" width="12.63"/>
    <col customWidth="1" hidden="1" min="13" max="13" width="19.13"/>
    <col hidden="1" min="14" max="28" width="12.63"/>
  </cols>
  <sheetData>
    <row r="1">
      <c r="A1" s="3" t="s">
        <v>924</v>
      </c>
      <c r="B1" s="3" t="s">
        <v>15</v>
      </c>
      <c r="C1" s="226" t="s">
        <v>82</v>
      </c>
      <c r="D1" s="3" t="s">
        <v>2268</v>
      </c>
      <c r="E1" s="3" t="s">
        <v>2269</v>
      </c>
      <c r="F1" s="243" t="s">
        <v>2270</v>
      </c>
      <c r="G1" s="3" t="s">
        <v>2271</v>
      </c>
      <c r="H1" s="3" t="s">
        <v>2272</v>
      </c>
      <c r="I1" s="3" t="s">
        <v>2273</v>
      </c>
      <c r="J1" s="244" t="s">
        <v>2274</v>
      </c>
      <c r="K1" s="3" t="s">
        <v>2276</v>
      </c>
      <c r="L1" s="3" t="s">
        <v>2272</v>
      </c>
      <c r="M1" s="243" t="s">
        <v>2278</v>
      </c>
      <c r="N1" s="3" t="s">
        <v>2274</v>
      </c>
      <c r="O1" s="3" t="s">
        <v>2276</v>
      </c>
      <c r="P1" s="3" t="s">
        <v>2272</v>
      </c>
      <c r="Q1" s="243" t="s">
        <v>2279</v>
      </c>
      <c r="R1" s="3" t="s">
        <v>2274</v>
      </c>
      <c r="S1" s="3" t="s">
        <v>2280</v>
      </c>
      <c r="T1" s="3" t="s">
        <v>2272</v>
      </c>
      <c r="U1" s="3" t="s">
        <v>2281</v>
      </c>
      <c r="V1" s="3" t="s">
        <v>2282</v>
      </c>
      <c r="W1" s="3" t="s">
        <v>2283</v>
      </c>
      <c r="X1" s="3" t="s">
        <v>2272</v>
      </c>
      <c r="Y1" s="3" t="s">
        <v>2284</v>
      </c>
      <c r="Z1" s="3" t="s">
        <v>2274</v>
      </c>
      <c r="AA1" s="3" t="s">
        <v>2283</v>
      </c>
      <c r="AB1" s="3" t="s">
        <v>2285</v>
      </c>
      <c r="AC1" s="243" t="s">
        <v>2287</v>
      </c>
      <c r="AD1" s="3" t="s">
        <v>2274</v>
      </c>
      <c r="AE1" s="3" t="s">
        <v>2283</v>
      </c>
      <c r="AF1" s="3" t="s">
        <v>2272</v>
      </c>
      <c r="AG1" s="243" t="s">
        <v>2288</v>
      </c>
      <c r="AH1" s="3" t="s">
        <v>2274</v>
      </c>
      <c r="AI1" s="3" t="s">
        <v>2276</v>
      </c>
      <c r="AJ1" s="3" t="s">
        <v>2272</v>
      </c>
      <c r="AK1" s="3" t="s">
        <v>2289</v>
      </c>
      <c r="AL1" s="3" t="s">
        <v>2274</v>
      </c>
      <c r="AM1" s="3" t="s">
        <v>2276</v>
      </c>
      <c r="AN1" s="3" t="s">
        <v>2272</v>
      </c>
      <c r="AO1" s="3" t="s">
        <v>2290</v>
      </c>
      <c r="AP1" s="3" t="s">
        <v>2291</v>
      </c>
      <c r="AQ1" s="3" t="s">
        <v>2292</v>
      </c>
      <c r="AR1" s="3" t="s">
        <v>2293</v>
      </c>
      <c r="AS1" s="3" t="s">
        <v>2294</v>
      </c>
      <c r="AT1" s="3" t="s">
        <v>2272</v>
      </c>
      <c r="AU1" s="243" t="s">
        <v>2295</v>
      </c>
      <c r="AV1" s="3" t="s">
        <v>2274</v>
      </c>
      <c r="AW1" s="3" t="s">
        <v>2276</v>
      </c>
      <c r="AX1" s="3" t="s">
        <v>2272</v>
      </c>
      <c r="AY1" s="243" t="s">
        <v>2297</v>
      </c>
      <c r="AZ1" s="3" t="s">
        <v>2298</v>
      </c>
      <c r="BA1" s="3" t="s">
        <v>2299</v>
      </c>
      <c r="BB1" s="3" t="s">
        <v>2276</v>
      </c>
      <c r="BC1" s="3" t="s">
        <v>2272</v>
      </c>
      <c r="BD1" s="3"/>
      <c r="BE1" s="3" t="s">
        <v>2301</v>
      </c>
    </row>
    <row r="2">
      <c r="A2" s="245" t="s">
        <v>1759</v>
      </c>
      <c r="B2" s="246" t="s">
        <v>2302</v>
      </c>
      <c r="C2" s="247" t="s">
        <v>2304</v>
      </c>
      <c r="D2" s="245">
        <v>49.0</v>
      </c>
      <c r="E2" s="245">
        <v>20.384</v>
      </c>
      <c r="F2" s="248">
        <v>17.0</v>
      </c>
      <c r="G2" s="6">
        <v>0.0</v>
      </c>
      <c r="H2">
        <f t="shared" ref="H2:H4" si="1">F2+G2</f>
        <v>17</v>
      </c>
      <c r="I2" s="248">
        <v>10.0</v>
      </c>
      <c r="J2" s="249">
        <f t="shared" ref="J2:J4" si="2">H2-I2</f>
        <v>7</v>
      </c>
      <c r="K2" s="6">
        <v>0.0</v>
      </c>
      <c r="L2">
        <f t="shared" ref="L2:L4" si="3">I2+K2</f>
        <v>10</v>
      </c>
      <c r="M2" s="248">
        <v>6.0</v>
      </c>
      <c r="N2">
        <f t="shared" ref="N2:N4" si="4">L2-M2</f>
        <v>4</v>
      </c>
      <c r="O2" s="6">
        <v>6.0</v>
      </c>
      <c r="P2">
        <f t="shared" ref="P2:P4" si="5">M2+O2</f>
        <v>12</v>
      </c>
      <c r="Q2" s="248">
        <v>5.0</v>
      </c>
      <c r="R2">
        <f t="shared" ref="R2:R4" si="6">P2-Q2</f>
        <v>7</v>
      </c>
      <c r="S2" s="6">
        <v>12.0</v>
      </c>
      <c r="T2">
        <f t="shared" ref="T2:T4" si="7">Q2+S2</f>
        <v>17</v>
      </c>
      <c r="U2" s="248">
        <v>0.0</v>
      </c>
      <c r="V2">
        <f t="shared" ref="V2:V4" si="8">U2+S2</f>
        <v>12</v>
      </c>
      <c r="W2" s="6">
        <v>12.0</v>
      </c>
      <c r="X2">
        <f t="shared" ref="X2:X4" si="9">V2+W2</f>
        <v>24</v>
      </c>
      <c r="Y2" s="248">
        <v>21.0</v>
      </c>
      <c r="Z2" s="6">
        <f t="shared" ref="Z2:Z4" si="10">X2-Y2</f>
        <v>3</v>
      </c>
      <c r="AB2">
        <f t="shared" ref="AB2:AB4" si="11">Y2+AA2</f>
        <v>21</v>
      </c>
      <c r="AC2" s="248">
        <v>19.0</v>
      </c>
      <c r="AD2">
        <f t="shared" ref="AD2:AD4" si="12">AB2-AC2</f>
        <v>2</v>
      </c>
      <c r="AF2">
        <f t="shared" ref="AF2:AF4" si="13">AC2+AE2</f>
        <v>19</v>
      </c>
      <c r="AG2" s="248">
        <v>17.0</v>
      </c>
      <c r="AH2">
        <f t="shared" ref="AH2:AH4" si="14">AF2-AG2</f>
        <v>2</v>
      </c>
      <c r="AI2" s="6">
        <v>0.0</v>
      </c>
      <c r="AJ2">
        <f t="shared" ref="AJ2:AJ4" si="15">AG2+AI2</f>
        <v>17</v>
      </c>
      <c r="AK2" s="248">
        <v>12.0</v>
      </c>
      <c r="AL2">
        <f t="shared" ref="AL2:AL4" si="16">AJ2-AK2</f>
        <v>5</v>
      </c>
      <c r="AN2">
        <f t="shared" ref="AN2:AN4" si="17">AK2+AM2</f>
        <v>12</v>
      </c>
      <c r="AO2" s="6">
        <v>12.0</v>
      </c>
      <c r="AR2" s="248">
        <v>11.0</v>
      </c>
      <c r="AS2" s="6">
        <v>6.0</v>
      </c>
      <c r="AT2">
        <f t="shared" ref="AT2:AT41" si="18">AR2+AS2</f>
        <v>17</v>
      </c>
      <c r="AU2" s="248">
        <v>15.0</v>
      </c>
      <c r="AV2">
        <f t="shared" ref="AV2:AV41" si="19">AT2-AU2</f>
        <v>2</v>
      </c>
      <c r="AX2">
        <f t="shared" ref="AX2:AX41" si="20">AU2+AW2</f>
        <v>15</v>
      </c>
      <c r="AY2" s="248">
        <v>14.0</v>
      </c>
      <c r="AZ2" s="6">
        <v>13.0</v>
      </c>
      <c r="BA2">
        <f t="shared" ref="BA2:BA41" si="21">AX2-AZ2</f>
        <v>2</v>
      </c>
      <c r="BC2">
        <f t="shared" ref="BC2:BC41" si="22">AZ2+BB2</f>
        <v>13</v>
      </c>
      <c r="BE2">
        <f t="shared" ref="BE2:BE41" si="23">BB2+AW2+AS2+AQ2+AO2+AM2+AJ2</f>
        <v>35</v>
      </c>
    </row>
    <row r="3">
      <c r="A3" s="251" t="s">
        <v>1759</v>
      </c>
      <c r="B3" s="252" t="s">
        <v>2332</v>
      </c>
      <c r="C3" s="253" t="s">
        <v>2339</v>
      </c>
      <c r="D3" s="251">
        <v>55.5</v>
      </c>
      <c r="E3" s="251">
        <v>23.088</v>
      </c>
      <c r="F3" s="254">
        <v>16.0</v>
      </c>
      <c r="G3" s="255">
        <v>0.0</v>
      </c>
      <c r="H3" s="256">
        <f t="shared" si="1"/>
        <v>16</v>
      </c>
      <c r="I3" s="254">
        <v>11.0</v>
      </c>
      <c r="J3" s="257">
        <f t="shared" si="2"/>
        <v>5</v>
      </c>
      <c r="K3" s="255">
        <v>0.0</v>
      </c>
      <c r="L3" s="256">
        <f t="shared" si="3"/>
        <v>11</v>
      </c>
      <c r="M3" s="254">
        <v>5.0</v>
      </c>
      <c r="N3" s="256">
        <f t="shared" si="4"/>
        <v>6</v>
      </c>
      <c r="O3" s="255">
        <v>12.0</v>
      </c>
      <c r="P3" s="256">
        <f t="shared" si="5"/>
        <v>17</v>
      </c>
      <c r="Q3" s="254">
        <v>14.0</v>
      </c>
      <c r="R3" s="256">
        <f t="shared" si="6"/>
        <v>3</v>
      </c>
      <c r="S3" s="256"/>
      <c r="T3" s="256">
        <f t="shared" si="7"/>
        <v>14</v>
      </c>
      <c r="U3" s="254">
        <v>11.0</v>
      </c>
      <c r="V3" s="256">
        <f t="shared" si="8"/>
        <v>11</v>
      </c>
      <c r="W3" s="255">
        <v>8.0</v>
      </c>
      <c r="X3" s="256">
        <f t="shared" si="9"/>
        <v>19</v>
      </c>
      <c r="Y3" s="254">
        <v>12.0</v>
      </c>
      <c r="Z3" s="255">
        <f t="shared" si="10"/>
        <v>7</v>
      </c>
      <c r="AA3" s="255">
        <v>12.0</v>
      </c>
      <c r="AB3" s="256">
        <f t="shared" si="11"/>
        <v>24</v>
      </c>
      <c r="AC3" s="254">
        <v>19.0</v>
      </c>
      <c r="AD3" s="256">
        <f t="shared" si="12"/>
        <v>5</v>
      </c>
      <c r="AE3" s="256"/>
      <c r="AF3" s="256">
        <f t="shared" si="13"/>
        <v>19</v>
      </c>
      <c r="AG3" s="254">
        <v>12.0</v>
      </c>
      <c r="AH3" s="256">
        <f t="shared" si="14"/>
        <v>7</v>
      </c>
      <c r="AI3" s="256"/>
      <c r="AJ3" s="256">
        <f t="shared" si="15"/>
        <v>12</v>
      </c>
      <c r="AK3" s="254">
        <v>4.0</v>
      </c>
      <c r="AL3" s="256">
        <f t="shared" si="16"/>
        <v>8</v>
      </c>
      <c r="AM3" s="255">
        <v>12.0</v>
      </c>
      <c r="AN3" s="256">
        <f t="shared" si="17"/>
        <v>16</v>
      </c>
      <c r="AO3" s="255">
        <v>12.0</v>
      </c>
      <c r="AP3" s="256"/>
      <c r="AQ3" s="256"/>
      <c r="AR3" s="254">
        <v>7.0</v>
      </c>
      <c r="AS3" s="255">
        <v>6.0</v>
      </c>
      <c r="AT3" s="256">
        <f t="shared" si="18"/>
        <v>13</v>
      </c>
      <c r="AU3" s="254">
        <v>11.0</v>
      </c>
      <c r="AV3" s="256">
        <f t="shared" si="19"/>
        <v>2</v>
      </c>
      <c r="AW3" s="256"/>
      <c r="AX3" s="256">
        <f t="shared" si="20"/>
        <v>11</v>
      </c>
      <c r="AY3" s="254">
        <v>7.0</v>
      </c>
      <c r="AZ3" s="255">
        <v>5.0</v>
      </c>
      <c r="BA3" s="256">
        <f t="shared" si="21"/>
        <v>6</v>
      </c>
      <c r="BB3" s="255">
        <v>6.0</v>
      </c>
      <c r="BC3" s="256">
        <f t="shared" si="22"/>
        <v>11</v>
      </c>
      <c r="BD3" s="256"/>
      <c r="BE3">
        <f t="shared" si="23"/>
        <v>48</v>
      </c>
    </row>
    <row r="4">
      <c r="A4" s="258" t="s">
        <v>1759</v>
      </c>
      <c r="B4" s="259" t="s">
        <v>2386</v>
      </c>
      <c r="C4" s="260" t="s">
        <v>2387</v>
      </c>
      <c r="D4" s="258">
        <v>36.0</v>
      </c>
      <c r="E4" s="258">
        <v>14.976</v>
      </c>
      <c r="F4" s="248">
        <v>3.0</v>
      </c>
      <c r="G4" s="6">
        <v>0.0</v>
      </c>
      <c r="H4">
        <f t="shared" si="1"/>
        <v>3</v>
      </c>
      <c r="I4" s="248">
        <v>0.0</v>
      </c>
      <c r="J4" s="249">
        <f t="shared" si="2"/>
        <v>3</v>
      </c>
      <c r="K4" s="6">
        <v>4.0</v>
      </c>
      <c r="L4">
        <f t="shared" si="3"/>
        <v>4</v>
      </c>
      <c r="M4" s="248">
        <v>3.0</v>
      </c>
      <c r="N4">
        <f t="shared" si="4"/>
        <v>1</v>
      </c>
      <c r="O4" s="6">
        <v>0.0</v>
      </c>
      <c r="P4">
        <f t="shared" si="5"/>
        <v>3</v>
      </c>
      <c r="Q4" s="248">
        <v>2.0</v>
      </c>
      <c r="R4">
        <f t="shared" si="6"/>
        <v>1</v>
      </c>
      <c r="T4">
        <f t="shared" si="7"/>
        <v>2</v>
      </c>
      <c r="U4" s="248">
        <v>0.0</v>
      </c>
      <c r="V4">
        <f t="shared" si="8"/>
        <v>0</v>
      </c>
      <c r="W4" s="6">
        <v>2.0</v>
      </c>
      <c r="X4">
        <f t="shared" si="9"/>
        <v>2</v>
      </c>
      <c r="Y4" s="248">
        <v>2.0</v>
      </c>
      <c r="Z4" s="6">
        <f t="shared" si="10"/>
        <v>0</v>
      </c>
      <c r="AB4">
        <f t="shared" si="11"/>
        <v>2</v>
      </c>
      <c r="AC4" s="248">
        <v>2.0</v>
      </c>
      <c r="AD4">
        <f t="shared" si="12"/>
        <v>0</v>
      </c>
      <c r="AF4">
        <f t="shared" si="13"/>
        <v>2</v>
      </c>
      <c r="AG4" s="248">
        <v>2.0</v>
      </c>
      <c r="AH4">
        <f t="shared" si="14"/>
        <v>0</v>
      </c>
      <c r="AJ4">
        <f t="shared" si="15"/>
        <v>2</v>
      </c>
      <c r="AK4" s="248">
        <v>2.0</v>
      </c>
      <c r="AL4">
        <f t="shared" si="16"/>
        <v>0</v>
      </c>
      <c r="AN4">
        <f t="shared" si="17"/>
        <v>2</v>
      </c>
      <c r="AO4" s="6">
        <v>1.0</v>
      </c>
      <c r="AR4" s="248">
        <v>1.0</v>
      </c>
      <c r="AS4" s="6">
        <v>1.0</v>
      </c>
      <c r="AT4">
        <f t="shared" si="18"/>
        <v>2</v>
      </c>
      <c r="AU4" s="248">
        <v>2.0</v>
      </c>
      <c r="AV4">
        <f t="shared" si="19"/>
        <v>0</v>
      </c>
      <c r="AX4">
        <f t="shared" si="20"/>
        <v>2</v>
      </c>
      <c r="AY4" s="248">
        <v>2.0</v>
      </c>
      <c r="AZ4" s="248">
        <v>2.0</v>
      </c>
      <c r="BA4">
        <f t="shared" si="21"/>
        <v>0</v>
      </c>
      <c r="BC4">
        <f t="shared" si="22"/>
        <v>2</v>
      </c>
      <c r="BE4">
        <f t="shared" si="23"/>
        <v>4</v>
      </c>
    </row>
    <row r="5">
      <c r="A5" s="258" t="s">
        <v>1759</v>
      </c>
      <c r="B5" s="258" t="s">
        <v>2398</v>
      </c>
      <c r="C5" s="260"/>
      <c r="D5" s="258"/>
      <c r="E5" s="258"/>
      <c r="F5" s="248"/>
      <c r="G5" s="6"/>
      <c r="I5" s="248"/>
      <c r="J5" s="249"/>
      <c r="K5" s="6"/>
      <c r="M5" s="248"/>
      <c r="O5" s="6"/>
      <c r="Q5" s="248"/>
      <c r="U5" s="248"/>
      <c r="Y5" s="248"/>
      <c r="Z5" s="6"/>
      <c r="AC5" s="248"/>
      <c r="AG5" s="248"/>
      <c r="AK5" s="248"/>
      <c r="AO5" s="6"/>
      <c r="AR5" s="248">
        <v>0.0</v>
      </c>
      <c r="AS5" s="6">
        <v>1.0</v>
      </c>
      <c r="AT5">
        <f t="shared" si="18"/>
        <v>1</v>
      </c>
      <c r="AU5" s="248">
        <v>1.0</v>
      </c>
      <c r="AV5">
        <f t="shared" si="19"/>
        <v>0</v>
      </c>
      <c r="AX5">
        <f t="shared" si="20"/>
        <v>1</v>
      </c>
      <c r="AY5" s="248">
        <v>1.0</v>
      </c>
      <c r="AZ5" s="248">
        <v>1.0</v>
      </c>
      <c r="BA5">
        <f t="shared" si="21"/>
        <v>0</v>
      </c>
      <c r="BC5">
        <f t="shared" si="22"/>
        <v>1</v>
      </c>
      <c r="BE5">
        <f t="shared" si="23"/>
        <v>1</v>
      </c>
    </row>
    <row r="6">
      <c r="A6" s="258" t="s">
        <v>1759</v>
      </c>
      <c r="B6" s="259" t="s">
        <v>2401</v>
      </c>
      <c r="C6" s="260" t="s">
        <v>2402</v>
      </c>
      <c r="D6" s="258">
        <v>36.0</v>
      </c>
      <c r="E6" s="258">
        <v>14.976</v>
      </c>
      <c r="F6" s="248">
        <v>3.0</v>
      </c>
      <c r="G6" s="6">
        <v>0.0</v>
      </c>
      <c r="H6">
        <f t="shared" ref="H6:H16" si="24">F6+G6</f>
        <v>3</v>
      </c>
      <c r="I6" s="248">
        <v>1.0</v>
      </c>
      <c r="J6" s="249">
        <f t="shared" ref="J6:J17" si="25">H6-I6</f>
        <v>2</v>
      </c>
      <c r="K6" s="6">
        <v>2.0</v>
      </c>
      <c r="L6">
        <f t="shared" ref="L6:L17" si="26">I6+K6</f>
        <v>3</v>
      </c>
      <c r="M6" s="248">
        <v>4.0</v>
      </c>
      <c r="N6">
        <f t="shared" ref="N6:N17" si="27">L6-M6</f>
        <v>-1</v>
      </c>
      <c r="O6" s="6">
        <v>0.0</v>
      </c>
      <c r="P6">
        <f t="shared" ref="P6:P8" si="28">M6+O6</f>
        <v>4</v>
      </c>
      <c r="Q6" s="248">
        <v>4.0</v>
      </c>
      <c r="R6">
        <f t="shared" ref="R6:R17" si="29">P6-Q6</f>
        <v>0</v>
      </c>
      <c r="T6">
        <f t="shared" ref="T6:T17" si="30">Q6+S6</f>
        <v>4</v>
      </c>
      <c r="U6" s="248">
        <v>4.0</v>
      </c>
      <c r="V6">
        <f t="shared" ref="V6:V22" si="31">U6+S6</f>
        <v>4</v>
      </c>
      <c r="X6">
        <f t="shared" ref="X6:X22" si="32">V6+W6</f>
        <v>4</v>
      </c>
      <c r="Y6" s="248">
        <v>3.0</v>
      </c>
      <c r="Z6" s="6">
        <f t="shared" ref="Z6:Z22" si="33">X6-Y6</f>
        <v>1</v>
      </c>
      <c r="AB6">
        <f t="shared" ref="AB6:AB22" si="34">Y6+AA6</f>
        <v>3</v>
      </c>
      <c r="AC6" s="248">
        <v>3.0</v>
      </c>
      <c r="AD6">
        <f t="shared" ref="AD6:AD22" si="35">AB6-AC6</f>
        <v>0</v>
      </c>
      <c r="AF6">
        <f t="shared" ref="AF6:AF22" si="36">AC6+AE6</f>
        <v>3</v>
      </c>
      <c r="AG6" s="248">
        <v>2.0</v>
      </c>
      <c r="AH6">
        <f t="shared" ref="AH6:AH22" si="37">AF6-AG6</f>
        <v>1</v>
      </c>
      <c r="AJ6">
        <f t="shared" ref="AJ6:AJ22" si="38">AG6+AI6</f>
        <v>2</v>
      </c>
      <c r="AK6" s="248">
        <v>2.0</v>
      </c>
      <c r="AL6">
        <f t="shared" ref="AL6:AL22" si="39">AJ6-AK6</f>
        <v>0</v>
      </c>
      <c r="AN6">
        <f t="shared" ref="AN6:AN22" si="40">AK6+AM6</f>
        <v>2</v>
      </c>
      <c r="AO6" s="6">
        <v>2.0</v>
      </c>
      <c r="AR6" s="248">
        <v>2.0</v>
      </c>
      <c r="AT6">
        <f t="shared" si="18"/>
        <v>2</v>
      </c>
      <c r="AU6" s="248">
        <v>2.0</v>
      </c>
      <c r="AV6">
        <f t="shared" si="19"/>
        <v>0</v>
      </c>
      <c r="AX6">
        <f t="shared" si="20"/>
        <v>2</v>
      </c>
      <c r="AY6" s="248">
        <v>1.0</v>
      </c>
      <c r="AZ6" s="248">
        <v>2.0</v>
      </c>
      <c r="BA6">
        <f t="shared" si="21"/>
        <v>0</v>
      </c>
      <c r="BC6">
        <f t="shared" si="22"/>
        <v>2</v>
      </c>
      <c r="BE6">
        <f t="shared" si="23"/>
        <v>4</v>
      </c>
    </row>
    <row r="7">
      <c r="A7" s="258" t="s">
        <v>1759</v>
      </c>
      <c r="B7" s="259" t="s">
        <v>2413</v>
      </c>
      <c r="C7" s="260" t="s">
        <v>2414</v>
      </c>
      <c r="D7" s="258">
        <v>36.0</v>
      </c>
      <c r="E7" s="258">
        <v>14.976</v>
      </c>
      <c r="F7" s="248">
        <v>2.0</v>
      </c>
      <c r="G7" s="6">
        <v>0.0</v>
      </c>
      <c r="H7">
        <f t="shared" si="24"/>
        <v>2</v>
      </c>
      <c r="I7" s="248">
        <v>1.0</v>
      </c>
      <c r="J7" s="249">
        <f t="shared" si="25"/>
        <v>1</v>
      </c>
      <c r="K7" s="6">
        <v>1.0</v>
      </c>
      <c r="L7">
        <f t="shared" si="26"/>
        <v>2</v>
      </c>
      <c r="M7" s="248">
        <v>0.0</v>
      </c>
      <c r="N7">
        <f t="shared" si="27"/>
        <v>2</v>
      </c>
      <c r="O7" s="6">
        <v>3.0</v>
      </c>
      <c r="P7">
        <f t="shared" si="28"/>
        <v>3</v>
      </c>
      <c r="Q7" s="248">
        <v>2.0</v>
      </c>
      <c r="R7">
        <f t="shared" si="29"/>
        <v>1</v>
      </c>
      <c r="T7">
        <f t="shared" si="30"/>
        <v>2</v>
      </c>
      <c r="U7" s="248">
        <v>2.0</v>
      </c>
      <c r="V7">
        <f t="shared" si="31"/>
        <v>2</v>
      </c>
      <c r="X7">
        <f t="shared" si="32"/>
        <v>2</v>
      </c>
      <c r="Y7" s="248">
        <v>2.0</v>
      </c>
      <c r="Z7" s="6">
        <f t="shared" si="33"/>
        <v>0</v>
      </c>
      <c r="AB7">
        <f t="shared" si="34"/>
        <v>2</v>
      </c>
      <c r="AC7" s="248">
        <v>1.0</v>
      </c>
      <c r="AD7">
        <f t="shared" si="35"/>
        <v>1</v>
      </c>
      <c r="AE7" s="6">
        <v>1.0</v>
      </c>
      <c r="AF7">
        <f t="shared" si="36"/>
        <v>2</v>
      </c>
      <c r="AG7" s="248">
        <v>2.0</v>
      </c>
      <c r="AH7">
        <f t="shared" si="37"/>
        <v>0</v>
      </c>
      <c r="AJ7">
        <f t="shared" si="38"/>
        <v>2</v>
      </c>
      <c r="AK7" s="248">
        <v>2.0</v>
      </c>
      <c r="AL7">
        <f t="shared" si="39"/>
        <v>0</v>
      </c>
      <c r="AN7">
        <f t="shared" si="40"/>
        <v>2</v>
      </c>
      <c r="AO7" s="6">
        <v>3.0</v>
      </c>
      <c r="AR7" s="248">
        <v>2.0</v>
      </c>
      <c r="AS7" s="6">
        <v>1.0</v>
      </c>
      <c r="AT7">
        <f t="shared" si="18"/>
        <v>3</v>
      </c>
      <c r="AU7" s="248">
        <v>3.0</v>
      </c>
      <c r="AV7">
        <f t="shared" si="19"/>
        <v>0</v>
      </c>
      <c r="AX7">
        <f t="shared" si="20"/>
        <v>3</v>
      </c>
      <c r="AY7" s="248">
        <v>2.0</v>
      </c>
      <c r="AZ7" s="248">
        <v>2.0</v>
      </c>
      <c r="BA7">
        <f t="shared" si="21"/>
        <v>1</v>
      </c>
      <c r="BC7">
        <f t="shared" si="22"/>
        <v>2</v>
      </c>
      <c r="BE7">
        <f t="shared" si="23"/>
        <v>6</v>
      </c>
    </row>
    <row r="8">
      <c r="A8" s="258" t="s">
        <v>1759</v>
      </c>
      <c r="B8" s="259" t="s">
        <v>2419</v>
      </c>
      <c r="C8" s="260" t="s">
        <v>2420</v>
      </c>
      <c r="D8" s="258">
        <v>36.0</v>
      </c>
      <c r="E8" s="258">
        <v>14.976</v>
      </c>
      <c r="F8" s="248">
        <v>3.0</v>
      </c>
      <c r="G8" s="6">
        <v>0.0</v>
      </c>
      <c r="H8">
        <f t="shared" si="24"/>
        <v>3</v>
      </c>
      <c r="I8" s="248">
        <v>3.0</v>
      </c>
      <c r="J8" s="249">
        <f t="shared" si="25"/>
        <v>0</v>
      </c>
      <c r="K8" s="6">
        <v>0.0</v>
      </c>
      <c r="L8">
        <f t="shared" si="26"/>
        <v>3</v>
      </c>
      <c r="M8" s="248">
        <v>2.0</v>
      </c>
      <c r="N8">
        <f t="shared" si="27"/>
        <v>1</v>
      </c>
      <c r="O8" s="6">
        <v>1.0</v>
      </c>
      <c r="P8">
        <f t="shared" si="28"/>
        <v>3</v>
      </c>
      <c r="Q8" s="248">
        <v>3.0</v>
      </c>
      <c r="R8">
        <f t="shared" si="29"/>
        <v>0</v>
      </c>
      <c r="T8">
        <f t="shared" si="30"/>
        <v>3</v>
      </c>
      <c r="U8" s="248">
        <v>2.0</v>
      </c>
      <c r="V8">
        <f t="shared" si="31"/>
        <v>2</v>
      </c>
      <c r="X8">
        <f t="shared" si="32"/>
        <v>2</v>
      </c>
      <c r="Y8" s="248">
        <v>2.0</v>
      </c>
      <c r="Z8" s="6">
        <f t="shared" si="33"/>
        <v>0</v>
      </c>
      <c r="AB8">
        <f t="shared" si="34"/>
        <v>2</v>
      </c>
      <c r="AC8" s="248">
        <v>2.0</v>
      </c>
      <c r="AD8">
        <f t="shared" si="35"/>
        <v>0</v>
      </c>
      <c r="AF8">
        <f t="shared" si="36"/>
        <v>2</v>
      </c>
      <c r="AG8" s="248">
        <v>2.0</v>
      </c>
      <c r="AH8">
        <f t="shared" si="37"/>
        <v>0</v>
      </c>
      <c r="AJ8">
        <f t="shared" si="38"/>
        <v>2</v>
      </c>
      <c r="AK8" s="248">
        <v>2.0</v>
      </c>
      <c r="AL8">
        <f t="shared" si="39"/>
        <v>0</v>
      </c>
      <c r="AN8">
        <f t="shared" si="40"/>
        <v>2</v>
      </c>
      <c r="AR8" s="248">
        <v>2.0</v>
      </c>
      <c r="AT8">
        <f t="shared" si="18"/>
        <v>2</v>
      </c>
      <c r="AU8" s="248">
        <v>1.0</v>
      </c>
      <c r="AV8">
        <f t="shared" si="19"/>
        <v>1</v>
      </c>
      <c r="AX8">
        <f t="shared" si="20"/>
        <v>1</v>
      </c>
      <c r="AY8" s="248">
        <v>1.0</v>
      </c>
      <c r="AZ8" s="248">
        <v>1.0</v>
      </c>
      <c r="BA8">
        <f t="shared" si="21"/>
        <v>0</v>
      </c>
      <c r="BC8">
        <f t="shared" si="22"/>
        <v>1</v>
      </c>
      <c r="BE8">
        <f t="shared" si="23"/>
        <v>2</v>
      </c>
    </row>
    <row r="9">
      <c r="A9" s="258" t="s">
        <v>1759</v>
      </c>
      <c r="B9" s="259" t="s">
        <v>2428</v>
      </c>
      <c r="C9" s="260" t="s">
        <v>2429</v>
      </c>
      <c r="D9" s="258">
        <v>36.0</v>
      </c>
      <c r="E9" s="258">
        <v>14.976</v>
      </c>
      <c r="F9" s="248">
        <v>5.0</v>
      </c>
      <c r="G9" s="6">
        <v>0.0</v>
      </c>
      <c r="H9">
        <f t="shared" si="24"/>
        <v>5</v>
      </c>
      <c r="I9" s="248">
        <v>3.0</v>
      </c>
      <c r="J9" s="249">
        <f t="shared" si="25"/>
        <v>2</v>
      </c>
      <c r="K9" s="6">
        <v>1.0</v>
      </c>
      <c r="L9">
        <f t="shared" si="26"/>
        <v>4</v>
      </c>
      <c r="M9" s="248">
        <v>1.0</v>
      </c>
      <c r="N9">
        <f t="shared" si="27"/>
        <v>3</v>
      </c>
      <c r="O9" s="6">
        <v>2.0</v>
      </c>
      <c r="P9" s="6">
        <v>2.0</v>
      </c>
      <c r="Q9" s="248">
        <v>1.0</v>
      </c>
      <c r="R9">
        <f t="shared" si="29"/>
        <v>1</v>
      </c>
      <c r="S9" s="6">
        <v>1.0</v>
      </c>
      <c r="T9">
        <f t="shared" si="30"/>
        <v>2</v>
      </c>
      <c r="U9" s="248">
        <v>0.0</v>
      </c>
      <c r="V9">
        <f t="shared" si="31"/>
        <v>1</v>
      </c>
      <c r="W9" s="6">
        <v>1.0</v>
      </c>
      <c r="X9">
        <f t="shared" si="32"/>
        <v>2</v>
      </c>
      <c r="Y9" s="248">
        <v>0.0</v>
      </c>
      <c r="Z9" s="6">
        <f t="shared" si="33"/>
        <v>2</v>
      </c>
      <c r="AA9" s="6">
        <v>2.0</v>
      </c>
      <c r="AB9">
        <f t="shared" si="34"/>
        <v>2</v>
      </c>
      <c r="AC9" s="248">
        <v>1.0</v>
      </c>
      <c r="AD9">
        <f t="shared" si="35"/>
        <v>1</v>
      </c>
      <c r="AE9" s="6">
        <v>1.0</v>
      </c>
      <c r="AF9">
        <f t="shared" si="36"/>
        <v>2</v>
      </c>
      <c r="AG9" s="248">
        <v>1.0</v>
      </c>
      <c r="AH9">
        <f t="shared" si="37"/>
        <v>1</v>
      </c>
      <c r="AI9" s="6">
        <v>1.0</v>
      </c>
      <c r="AJ9">
        <f t="shared" si="38"/>
        <v>2</v>
      </c>
      <c r="AK9" s="248">
        <v>1.0</v>
      </c>
      <c r="AL9">
        <f t="shared" si="39"/>
        <v>1</v>
      </c>
      <c r="AM9" s="6">
        <v>1.0</v>
      </c>
      <c r="AN9">
        <f t="shared" si="40"/>
        <v>2</v>
      </c>
      <c r="AO9" s="6">
        <v>1.0</v>
      </c>
      <c r="AR9" s="248">
        <v>1.0</v>
      </c>
      <c r="AS9" s="6">
        <v>2.0</v>
      </c>
      <c r="AT9">
        <f t="shared" si="18"/>
        <v>3</v>
      </c>
      <c r="AU9" s="248">
        <v>3.0</v>
      </c>
      <c r="AV9">
        <f t="shared" si="19"/>
        <v>0</v>
      </c>
      <c r="AX9">
        <f t="shared" si="20"/>
        <v>3</v>
      </c>
      <c r="AY9" s="248">
        <v>3.0</v>
      </c>
      <c r="AZ9" s="248">
        <v>3.0</v>
      </c>
      <c r="BA9">
        <f t="shared" si="21"/>
        <v>0</v>
      </c>
      <c r="BC9">
        <f t="shared" si="22"/>
        <v>3</v>
      </c>
      <c r="BE9">
        <f t="shared" si="23"/>
        <v>6</v>
      </c>
    </row>
    <row r="10">
      <c r="A10" s="258" t="s">
        <v>1759</v>
      </c>
      <c r="B10" s="259" t="s">
        <v>2438</v>
      </c>
      <c r="C10" s="260" t="s">
        <v>2439</v>
      </c>
      <c r="D10" s="258">
        <v>36.0</v>
      </c>
      <c r="E10" s="258">
        <v>14.976</v>
      </c>
      <c r="F10" s="248">
        <v>5.0</v>
      </c>
      <c r="G10" s="6">
        <v>0.0</v>
      </c>
      <c r="H10">
        <f t="shared" si="24"/>
        <v>5</v>
      </c>
      <c r="I10" s="248">
        <v>3.0</v>
      </c>
      <c r="J10" s="249">
        <f t="shared" si="25"/>
        <v>2</v>
      </c>
      <c r="K10" s="6">
        <v>0.0</v>
      </c>
      <c r="L10">
        <f t="shared" si="26"/>
        <v>3</v>
      </c>
      <c r="M10" s="248">
        <v>0.0</v>
      </c>
      <c r="N10">
        <f t="shared" si="27"/>
        <v>3</v>
      </c>
      <c r="O10" s="6">
        <v>3.0</v>
      </c>
      <c r="P10">
        <f t="shared" ref="P10:P17" si="41">M10+O10</f>
        <v>3</v>
      </c>
      <c r="Q10" s="248">
        <v>2.0</v>
      </c>
      <c r="R10">
        <f t="shared" si="29"/>
        <v>1</v>
      </c>
      <c r="T10">
        <f t="shared" si="30"/>
        <v>2</v>
      </c>
      <c r="U10" s="248">
        <v>2.0</v>
      </c>
      <c r="V10">
        <f t="shared" si="31"/>
        <v>2</v>
      </c>
      <c r="X10">
        <f t="shared" si="32"/>
        <v>2</v>
      </c>
      <c r="Y10" s="248">
        <v>0.0</v>
      </c>
      <c r="Z10" s="6">
        <f t="shared" si="33"/>
        <v>2</v>
      </c>
      <c r="AA10" s="6">
        <v>2.0</v>
      </c>
      <c r="AB10">
        <f t="shared" si="34"/>
        <v>2</v>
      </c>
      <c r="AC10" s="248">
        <v>1.0</v>
      </c>
      <c r="AD10">
        <f t="shared" si="35"/>
        <v>1</v>
      </c>
      <c r="AE10" s="6">
        <v>4.0</v>
      </c>
      <c r="AF10">
        <f t="shared" si="36"/>
        <v>5</v>
      </c>
      <c r="AG10" s="248">
        <v>4.0</v>
      </c>
      <c r="AH10">
        <f t="shared" si="37"/>
        <v>1</v>
      </c>
      <c r="AJ10">
        <f t="shared" si="38"/>
        <v>4</v>
      </c>
      <c r="AK10" s="248">
        <v>1.0</v>
      </c>
      <c r="AL10">
        <f t="shared" si="39"/>
        <v>3</v>
      </c>
      <c r="AM10" s="6">
        <v>2.0</v>
      </c>
      <c r="AN10">
        <f t="shared" si="40"/>
        <v>3</v>
      </c>
      <c r="AR10" s="248">
        <v>0.0</v>
      </c>
      <c r="AS10" s="6">
        <v>3.0</v>
      </c>
      <c r="AT10">
        <f t="shared" si="18"/>
        <v>3</v>
      </c>
      <c r="AU10" s="248">
        <v>2.0</v>
      </c>
      <c r="AV10">
        <f t="shared" si="19"/>
        <v>1</v>
      </c>
      <c r="AX10">
        <f t="shared" si="20"/>
        <v>2</v>
      </c>
      <c r="AY10" s="248">
        <v>1.0</v>
      </c>
      <c r="AZ10" s="248">
        <v>1.0</v>
      </c>
      <c r="BA10">
        <f t="shared" si="21"/>
        <v>1</v>
      </c>
      <c r="BB10" s="6">
        <v>2.0</v>
      </c>
      <c r="BC10">
        <f t="shared" si="22"/>
        <v>3</v>
      </c>
      <c r="BE10">
        <f t="shared" si="23"/>
        <v>11</v>
      </c>
    </row>
    <row r="11">
      <c r="A11" s="265" t="s">
        <v>1759</v>
      </c>
      <c r="B11" s="266" t="s">
        <v>2446</v>
      </c>
      <c r="C11" s="267" t="s">
        <v>2447</v>
      </c>
      <c r="D11" s="265">
        <v>36.0</v>
      </c>
      <c r="E11" s="265">
        <v>14.976</v>
      </c>
      <c r="F11" s="254">
        <v>2.0</v>
      </c>
      <c r="G11" s="255">
        <v>0.0</v>
      </c>
      <c r="H11" s="256">
        <f t="shared" si="24"/>
        <v>2</v>
      </c>
      <c r="I11" s="254">
        <v>2.0</v>
      </c>
      <c r="J11" s="257">
        <f t="shared" si="25"/>
        <v>0</v>
      </c>
      <c r="K11" s="255">
        <v>0.0</v>
      </c>
      <c r="L11" s="256">
        <f t="shared" si="26"/>
        <v>2</v>
      </c>
      <c r="M11" s="254">
        <v>2.0</v>
      </c>
      <c r="N11" s="256">
        <f t="shared" si="27"/>
        <v>0</v>
      </c>
      <c r="O11" s="255">
        <v>0.0</v>
      </c>
      <c r="P11" s="256">
        <f t="shared" si="41"/>
        <v>2</v>
      </c>
      <c r="Q11" s="254">
        <v>1.0</v>
      </c>
      <c r="R11" s="256">
        <f t="shared" si="29"/>
        <v>1</v>
      </c>
      <c r="S11" s="255">
        <v>1.0</v>
      </c>
      <c r="T11" s="256">
        <f t="shared" si="30"/>
        <v>2</v>
      </c>
      <c r="U11" s="254">
        <v>0.0</v>
      </c>
      <c r="V11" s="256">
        <f t="shared" si="31"/>
        <v>1</v>
      </c>
      <c r="W11" s="255">
        <v>1.0</v>
      </c>
      <c r="X11" s="256">
        <f t="shared" si="32"/>
        <v>2</v>
      </c>
      <c r="Y11" s="254">
        <v>2.0</v>
      </c>
      <c r="Z11" s="255">
        <f t="shared" si="33"/>
        <v>0</v>
      </c>
      <c r="AA11" s="256"/>
      <c r="AB11" s="256">
        <f t="shared" si="34"/>
        <v>2</v>
      </c>
      <c r="AC11" s="254">
        <v>2.0</v>
      </c>
      <c r="AD11" s="256">
        <f t="shared" si="35"/>
        <v>0</v>
      </c>
      <c r="AE11" s="256"/>
      <c r="AF11" s="256">
        <f t="shared" si="36"/>
        <v>2</v>
      </c>
      <c r="AG11" s="254">
        <v>2.0</v>
      </c>
      <c r="AH11" s="256">
        <f t="shared" si="37"/>
        <v>0</v>
      </c>
      <c r="AI11" s="256"/>
      <c r="AJ11" s="256">
        <f t="shared" si="38"/>
        <v>2</v>
      </c>
      <c r="AK11" s="254">
        <v>0.0</v>
      </c>
      <c r="AL11" s="256">
        <f t="shared" si="39"/>
        <v>2</v>
      </c>
      <c r="AM11" s="255">
        <v>2.0</v>
      </c>
      <c r="AN11" s="256">
        <f t="shared" si="40"/>
        <v>2</v>
      </c>
      <c r="AO11" s="256"/>
      <c r="AP11" s="256"/>
      <c r="AQ11" s="256"/>
      <c r="AR11" s="254">
        <v>1.0</v>
      </c>
      <c r="AS11" s="256"/>
      <c r="AT11" s="256">
        <f t="shared" si="18"/>
        <v>1</v>
      </c>
      <c r="AU11" s="254">
        <v>0.0</v>
      </c>
      <c r="AV11" s="256">
        <f t="shared" si="19"/>
        <v>1</v>
      </c>
      <c r="AW11" s="255">
        <v>2.0</v>
      </c>
      <c r="AX11" s="256">
        <f t="shared" si="20"/>
        <v>2</v>
      </c>
      <c r="AY11" s="254">
        <v>2.0</v>
      </c>
      <c r="AZ11" s="254">
        <v>2.0</v>
      </c>
      <c r="BA11" s="256">
        <f t="shared" si="21"/>
        <v>0</v>
      </c>
      <c r="BB11" s="256"/>
      <c r="BC11" s="256">
        <f t="shared" si="22"/>
        <v>2</v>
      </c>
      <c r="BD11" s="256"/>
      <c r="BE11">
        <f t="shared" si="23"/>
        <v>6</v>
      </c>
    </row>
    <row r="12">
      <c r="A12" s="268" t="s">
        <v>1759</v>
      </c>
      <c r="B12" s="269" t="s">
        <v>2452</v>
      </c>
      <c r="C12" s="270" t="s">
        <v>2453</v>
      </c>
      <c r="D12" s="268">
        <v>28.0</v>
      </c>
      <c r="E12" s="268">
        <v>11.648</v>
      </c>
      <c r="F12" s="248">
        <v>4.0</v>
      </c>
      <c r="G12" s="6">
        <v>0.0</v>
      </c>
      <c r="H12">
        <f t="shared" si="24"/>
        <v>4</v>
      </c>
      <c r="I12" s="248">
        <v>3.0</v>
      </c>
      <c r="J12" s="249">
        <f t="shared" si="25"/>
        <v>1</v>
      </c>
      <c r="K12" s="6">
        <v>0.0</v>
      </c>
      <c r="L12">
        <f t="shared" si="26"/>
        <v>3</v>
      </c>
      <c r="M12" s="248">
        <v>2.0</v>
      </c>
      <c r="N12">
        <f t="shared" si="27"/>
        <v>1</v>
      </c>
      <c r="O12" s="6">
        <v>0.0</v>
      </c>
      <c r="P12">
        <f t="shared" si="41"/>
        <v>2</v>
      </c>
      <c r="Q12" s="248">
        <v>2.0</v>
      </c>
      <c r="R12">
        <f t="shared" si="29"/>
        <v>0</v>
      </c>
      <c r="T12">
        <f t="shared" si="30"/>
        <v>2</v>
      </c>
      <c r="U12" s="248">
        <v>2.0</v>
      </c>
      <c r="V12">
        <f t="shared" si="31"/>
        <v>2</v>
      </c>
      <c r="X12">
        <f t="shared" si="32"/>
        <v>2</v>
      </c>
      <c r="Y12" s="248">
        <v>1.0</v>
      </c>
      <c r="Z12" s="6">
        <f t="shared" si="33"/>
        <v>1</v>
      </c>
      <c r="AA12" s="6">
        <v>1.0</v>
      </c>
      <c r="AB12">
        <f t="shared" si="34"/>
        <v>2</v>
      </c>
      <c r="AC12" s="248">
        <v>3.0</v>
      </c>
      <c r="AD12">
        <f t="shared" si="35"/>
        <v>-1</v>
      </c>
      <c r="AF12">
        <f t="shared" si="36"/>
        <v>3</v>
      </c>
      <c r="AG12" s="248">
        <v>3.0</v>
      </c>
      <c r="AH12">
        <f t="shared" si="37"/>
        <v>0</v>
      </c>
      <c r="AJ12">
        <f t="shared" si="38"/>
        <v>3</v>
      </c>
      <c r="AK12" s="248">
        <v>2.0</v>
      </c>
      <c r="AL12">
        <f t="shared" si="39"/>
        <v>1</v>
      </c>
      <c r="AN12">
        <f t="shared" si="40"/>
        <v>2</v>
      </c>
      <c r="AR12" s="248">
        <v>0.0</v>
      </c>
      <c r="AS12" s="6">
        <v>1.0</v>
      </c>
      <c r="AT12">
        <f t="shared" si="18"/>
        <v>1</v>
      </c>
      <c r="AU12" s="248">
        <v>1.0</v>
      </c>
      <c r="AV12">
        <f t="shared" si="19"/>
        <v>0</v>
      </c>
      <c r="AX12">
        <f t="shared" si="20"/>
        <v>1</v>
      </c>
      <c r="AY12" s="248">
        <v>0.0</v>
      </c>
      <c r="AZ12" s="248">
        <v>0.0</v>
      </c>
      <c r="BA12">
        <f t="shared" si="21"/>
        <v>1</v>
      </c>
      <c r="BB12" s="6">
        <v>2.0</v>
      </c>
      <c r="BC12">
        <f t="shared" si="22"/>
        <v>2</v>
      </c>
      <c r="BE12">
        <f t="shared" si="23"/>
        <v>6</v>
      </c>
    </row>
    <row r="13">
      <c r="A13" s="268" t="s">
        <v>1759</v>
      </c>
      <c r="B13" s="269" t="s">
        <v>2458</v>
      </c>
      <c r="C13" s="270" t="s">
        <v>2459</v>
      </c>
      <c r="D13" s="268">
        <v>28.0</v>
      </c>
      <c r="E13" s="268">
        <v>11.648</v>
      </c>
      <c r="F13" s="248">
        <v>4.0</v>
      </c>
      <c r="G13" s="6">
        <v>0.0</v>
      </c>
      <c r="H13">
        <f t="shared" si="24"/>
        <v>4</v>
      </c>
      <c r="I13" s="248">
        <v>2.0</v>
      </c>
      <c r="J13" s="249">
        <f t="shared" si="25"/>
        <v>2</v>
      </c>
      <c r="K13" s="6">
        <v>0.0</v>
      </c>
      <c r="L13">
        <f t="shared" si="26"/>
        <v>2</v>
      </c>
      <c r="M13" s="248">
        <v>2.0</v>
      </c>
      <c r="N13">
        <f t="shared" si="27"/>
        <v>0</v>
      </c>
      <c r="O13" s="6">
        <v>0.0</v>
      </c>
      <c r="P13">
        <f t="shared" si="41"/>
        <v>2</v>
      </c>
      <c r="Q13" s="248">
        <v>2.0</v>
      </c>
      <c r="R13">
        <f t="shared" si="29"/>
        <v>0</v>
      </c>
      <c r="T13">
        <f t="shared" si="30"/>
        <v>2</v>
      </c>
      <c r="U13" s="248">
        <v>1.0</v>
      </c>
      <c r="V13">
        <f t="shared" si="31"/>
        <v>1</v>
      </c>
      <c r="W13" s="6">
        <v>1.0</v>
      </c>
      <c r="X13">
        <f t="shared" si="32"/>
        <v>2</v>
      </c>
      <c r="Y13" s="248">
        <v>1.0</v>
      </c>
      <c r="Z13" s="6">
        <f t="shared" si="33"/>
        <v>1</v>
      </c>
      <c r="AA13" s="6">
        <v>1.0</v>
      </c>
      <c r="AB13">
        <f t="shared" si="34"/>
        <v>2</v>
      </c>
      <c r="AC13" s="248">
        <v>2.0</v>
      </c>
      <c r="AD13">
        <f t="shared" si="35"/>
        <v>0</v>
      </c>
      <c r="AF13">
        <f t="shared" si="36"/>
        <v>2</v>
      </c>
      <c r="AG13" s="248">
        <v>1.0</v>
      </c>
      <c r="AH13">
        <f t="shared" si="37"/>
        <v>1</v>
      </c>
      <c r="AI13" s="6">
        <v>1.0</v>
      </c>
      <c r="AJ13">
        <f t="shared" si="38"/>
        <v>2</v>
      </c>
      <c r="AK13" s="248">
        <v>0.0</v>
      </c>
      <c r="AL13">
        <f t="shared" si="39"/>
        <v>2</v>
      </c>
      <c r="AM13" s="6">
        <v>2.0</v>
      </c>
      <c r="AN13">
        <f t="shared" si="40"/>
        <v>2</v>
      </c>
      <c r="AR13" s="248">
        <v>1.0</v>
      </c>
      <c r="AT13">
        <f t="shared" si="18"/>
        <v>1</v>
      </c>
      <c r="AU13" s="248">
        <v>0.0</v>
      </c>
      <c r="AV13">
        <f t="shared" si="19"/>
        <v>1</v>
      </c>
      <c r="AW13" s="6">
        <v>2.0</v>
      </c>
      <c r="AX13">
        <f t="shared" si="20"/>
        <v>2</v>
      </c>
      <c r="AY13" s="248">
        <v>1.0</v>
      </c>
      <c r="AZ13" s="248">
        <v>1.0</v>
      </c>
      <c r="BA13">
        <f t="shared" si="21"/>
        <v>1</v>
      </c>
      <c r="BB13" s="6">
        <v>1.0</v>
      </c>
      <c r="BC13">
        <f t="shared" si="22"/>
        <v>2</v>
      </c>
      <c r="BE13">
        <f t="shared" si="23"/>
        <v>7</v>
      </c>
    </row>
    <row r="14">
      <c r="A14" s="268" t="s">
        <v>1759</v>
      </c>
      <c r="B14" s="268" t="s">
        <v>2473</v>
      </c>
      <c r="C14" s="270"/>
      <c r="D14" s="268">
        <v>28.0</v>
      </c>
      <c r="E14" s="268">
        <v>11.648</v>
      </c>
      <c r="F14" s="248">
        <v>2.0</v>
      </c>
      <c r="G14" s="6">
        <v>0.0</v>
      </c>
      <c r="H14">
        <f t="shared" si="24"/>
        <v>2</v>
      </c>
      <c r="I14" s="248">
        <v>2.0</v>
      </c>
      <c r="J14" s="249">
        <f t="shared" si="25"/>
        <v>0</v>
      </c>
      <c r="K14" s="6">
        <v>0.0</v>
      </c>
      <c r="L14">
        <f t="shared" si="26"/>
        <v>2</v>
      </c>
      <c r="M14" s="248">
        <v>2.0</v>
      </c>
      <c r="N14">
        <f t="shared" si="27"/>
        <v>0</v>
      </c>
      <c r="O14" s="6">
        <v>0.0</v>
      </c>
      <c r="P14">
        <f t="shared" si="41"/>
        <v>2</v>
      </c>
      <c r="Q14" s="248">
        <v>2.0</v>
      </c>
      <c r="R14">
        <f t="shared" si="29"/>
        <v>0</v>
      </c>
      <c r="T14">
        <f t="shared" si="30"/>
        <v>2</v>
      </c>
      <c r="U14" s="248">
        <v>2.0</v>
      </c>
      <c r="V14">
        <f t="shared" si="31"/>
        <v>2</v>
      </c>
      <c r="X14">
        <f t="shared" si="32"/>
        <v>2</v>
      </c>
      <c r="Y14" s="248">
        <v>2.0</v>
      </c>
      <c r="Z14" s="6">
        <f t="shared" si="33"/>
        <v>0</v>
      </c>
      <c r="AB14">
        <f t="shared" si="34"/>
        <v>2</v>
      </c>
      <c r="AC14" s="248">
        <v>2.0</v>
      </c>
      <c r="AD14">
        <f t="shared" si="35"/>
        <v>0</v>
      </c>
      <c r="AF14">
        <f t="shared" si="36"/>
        <v>2</v>
      </c>
      <c r="AG14" s="248">
        <v>2.0</v>
      </c>
      <c r="AH14">
        <f t="shared" si="37"/>
        <v>0</v>
      </c>
      <c r="AJ14">
        <f t="shared" si="38"/>
        <v>2</v>
      </c>
      <c r="AK14" s="248">
        <v>2.0</v>
      </c>
      <c r="AL14">
        <f t="shared" si="39"/>
        <v>0</v>
      </c>
      <c r="AN14">
        <f t="shared" si="40"/>
        <v>2</v>
      </c>
      <c r="AR14" s="248">
        <v>1.0</v>
      </c>
      <c r="AT14">
        <f t="shared" si="18"/>
        <v>1</v>
      </c>
      <c r="AU14" s="248">
        <v>1.0</v>
      </c>
      <c r="AV14">
        <f t="shared" si="19"/>
        <v>0</v>
      </c>
      <c r="AX14">
        <f t="shared" si="20"/>
        <v>1</v>
      </c>
      <c r="AY14" s="248">
        <v>1.0</v>
      </c>
      <c r="AZ14" s="248">
        <v>1.0</v>
      </c>
      <c r="BA14">
        <f t="shared" si="21"/>
        <v>0</v>
      </c>
      <c r="BC14">
        <f t="shared" si="22"/>
        <v>1</v>
      </c>
      <c r="BE14">
        <f t="shared" si="23"/>
        <v>2</v>
      </c>
    </row>
    <row r="15">
      <c r="A15" s="268" t="s">
        <v>1759</v>
      </c>
      <c r="B15" s="268" t="s">
        <v>2494</v>
      </c>
      <c r="C15" s="270"/>
      <c r="D15" s="268">
        <v>28.0</v>
      </c>
      <c r="E15" s="268">
        <v>11.648</v>
      </c>
      <c r="F15" s="248">
        <v>3.0</v>
      </c>
      <c r="G15" s="6">
        <v>0.0</v>
      </c>
      <c r="H15">
        <f t="shared" si="24"/>
        <v>3</v>
      </c>
      <c r="I15" s="248">
        <v>2.0</v>
      </c>
      <c r="J15" s="249">
        <f t="shared" si="25"/>
        <v>1</v>
      </c>
      <c r="K15" s="6">
        <v>0.0</v>
      </c>
      <c r="L15">
        <f t="shared" si="26"/>
        <v>2</v>
      </c>
      <c r="M15" s="248">
        <v>2.0</v>
      </c>
      <c r="N15">
        <f t="shared" si="27"/>
        <v>0</v>
      </c>
      <c r="O15" s="6">
        <v>0.0</v>
      </c>
      <c r="P15">
        <f t="shared" si="41"/>
        <v>2</v>
      </c>
      <c r="Q15" s="248">
        <v>2.0</v>
      </c>
      <c r="R15">
        <f t="shared" si="29"/>
        <v>0</v>
      </c>
      <c r="T15">
        <f t="shared" si="30"/>
        <v>2</v>
      </c>
      <c r="U15" s="248">
        <v>2.0</v>
      </c>
      <c r="V15">
        <f t="shared" si="31"/>
        <v>2</v>
      </c>
      <c r="X15">
        <f t="shared" si="32"/>
        <v>2</v>
      </c>
      <c r="Y15" s="248">
        <v>2.0</v>
      </c>
      <c r="Z15" s="6">
        <f t="shared" si="33"/>
        <v>0</v>
      </c>
      <c r="AB15">
        <f t="shared" si="34"/>
        <v>2</v>
      </c>
      <c r="AC15" s="248">
        <v>2.0</v>
      </c>
      <c r="AD15">
        <f t="shared" si="35"/>
        <v>0</v>
      </c>
      <c r="AF15">
        <f t="shared" si="36"/>
        <v>2</v>
      </c>
      <c r="AG15" s="248">
        <v>2.0</v>
      </c>
      <c r="AH15">
        <f t="shared" si="37"/>
        <v>0</v>
      </c>
      <c r="AJ15">
        <f t="shared" si="38"/>
        <v>2</v>
      </c>
      <c r="AK15" s="248">
        <v>2.0</v>
      </c>
      <c r="AL15">
        <f t="shared" si="39"/>
        <v>0</v>
      </c>
      <c r="AN15">
        <f t="shared" si="40"/>
        <v>2</v>
      </c>
      <c r="AR15" s="248">
        <v>2.0</v>
      </c>
      <c r="AT15">
        <f t="shared" si="18"/>
        <v>2</v>
      </c>
      <c r="AU15" s="248">
        <v>2.0</v>
      </c>
      <c r="AV15">
        <f t="shared" si="19"/>
        <v>0</v>
      </c>
      <c r="AX15">
        <f t="shared" si="20"/>
        <v>2</v>
      </c>
      <c r="AY15" s="248">
        <v>2.0</v>
      </c>
      <c r="AZ15" s="248">
        <v>2.0</v>
      </c>
      <c r="BA15">
        <f t="shared" si="21"/>
        <v>0</v>
      </c>
      <c r="BC15">
        <f t="shared" si="22"/>
        <v>2</v>
      </c>
      <c r="BE15">
        <f t="shared" si="23"/>
        <v>2</v>
      </c>
    </row>
    <row r="16">
      <c r="A16" s="268" t="s">
        <v>1759</v>
      </c>
      <c r="B16" s="269" t="s">
        <v>2513</v>
      </c>
      <c r="C16" s="270" t="s">
        <v>2514</v>
      </c>
      <c r="D16" s="268">
        <v>28.0</v>
      </c>
      <c r="E16" s="268">
        <v>11.648</v>
      </c>
      <c r="F16" s="248">
        <v>3.0</v>
      </c>
      <c r="G16" s="6">
        <v>0.0</v>
      </c>
      <c r="H16">
        <f t="shared" si="24"/>
        <v>3</v>
      </c>
      <c r="I16" s="248">
        <v>2.0</v>
      </c>
      <c r="J16" s="249">
        <f t="shared" si="25"/>
        <v>1</v>
      </c>
      <c r="K16" s="6">
        <v>0.0</v>
      </c>
      <c r="L16">
        <f t="shared" si="26"/>
        <v>2</v>
      </c>
      <c r="M16" s="248">
        <v>2.0</v>
      </c>
      <c r="N16">
        <f t="shared" si="27"/>
        <v>0</v>
      </c>
      <c r="O16" s="6">
        <v>0.0</v>
      </c>
      <c r="P16">
        <f t="shared" si="41"/>
        <v>2</v>
      </c>
      <c r="Q16" s="248">
        <v>1.0</v>
      </c>
      <c r="R16">
        <f t="shared" si="29"/>
        <v>1</v>
      </c>
      <c r="S16" s="6">
        <v>1.0</v>
      </c>
      <c r="T16">
        <f t="shared" si="30"/>
        <v>2</v>
      </c>
      <c r="U16" s="248">
        <v>1.0</v>
      </c>
      <c r="V16">
        <f t="shared" si="31"/>
        <v>2</v>
      </c>
      <c r="X16">
        <f t="shared" si="32"/>
        <v>2</v>
      </c>
      <c r="Y16" s="248">
        <v>2.0</v>
      </c>
      <c r="Z16" s="6">
        <f t="shared" si="33"/>
        <v>0</v>
      </c>
      <c r="AB16">
        <f t="shared" si="34"/>
        <v>2</v>
      </c>
      <c r="AC16" s="248">
        <v>2.0</v>
      </c>
      <c r="AD16">
        <f t="shared" si="35"/>
        <v>0</v>
      </c>
      <c r="AF16">
        <f t="shared" si="36"/>
        <v>2</v>
      </c>
      <c r="AG16" s="248">
        <v>1.0</v>
      </c>
      <c r="AH16">
        <f t="shared" si="37"/>
        <v>1</v>
      </c>
      <c r="AI16" s="6">
        <v>1.0</v>
      </c>
      <c r="AJ16">
        <f t="shared" si="38"/>
        <v>2</v>
      </c>
      <c r="AK16" s="248">
        <v>2.0</v>
      </c>
      <c r="AL16">
        <f t="shared" si="39"/>
        <v>0</v>
      </c>
      <c r="AN16">
        <f t="shared" si="40"/>
        <v>2</v>
      </c>
      <c r="AR16" s="248">
        <v>0.0</v>
      </c>
      <c r="AS16" s="6">
        <v>1.0</v>
      </c>
      <c r="AT16">
        <f t="shared" si="18"/>
        <v>1</v>
      </c>
      <c r="AU16" s="248">
        <v>1.0</v>
      </c>
      <c r="AV16">
        <f t="shared" si="19"/>
        <v>0</v>
      </c>
      <c r="AX16">
        <f t="shared" si="20"/>
        <v>1</v>
      </c>
      <c r="AY16" s="248">
        <v>1.0</v>
      </c>
      <c r="AZ16" s="248">
        <v>1.0</v>
      </c>
      <c r="BA16">
        <f t="shared" si="21"/>
        <v>0</v>
      </c>
      <c r="BC16">
        <f t="shared" si="22"/>
        <v>1</v>
      </c>
      <c r="BE16">
        <f t="shared" si="23"/>
        <v>3</v>
      </c>
    </row>
    <row r="17">
      <c r="A17" s="268" t="s">
        <v>1759</v>
      </c>
      <c r="B17" s="269" t="s">
        <v>2528</v>
      </c>
      <c r="C17" s="270" t="s">
        <v>2530</v>
      </c>
      <c r="D17" s="268">
        <v>28.0</v>
      </c>
      <c r="E17" s="268">
        <v>11.648</v>
      </c>
      <c r="F17" s="248">
        <v>2.0</v>
      </c>
      <c r="G17" s="6">
        <v>0.0</v>
      </c>
      <c r="H17" s="6">
        <v>1.0</v>
      </c>
      <c r="I17" s="248">
        <v>1.0</v>
      </c>
      <c r="J17" s="249">
        <f t="shared" si="25"/>
        <v>0</v>
      </c>
      <c r="K17" s="6">
        <v>0.0</v>
      </c>
      <c r="L17">
        <f t="shared" si="26"/>
        <v>1</v>
      </c>
      <c r="M17" s="248">
        <v>1.0</v>
      </c>
      <c r="N17">
        <f t="shared" si="27"/>
        <v>0</v>
      </c>
      <c r="O17" s="6">
        <v>0.0</v>
      </c>
      <c r="P17">
        <f t="shared" si="41"/>
        <v>1</v>
      </c>
      <c r="Q17" s="248">
        <v>1.0</v>
      </c>
      <c r="R17">
        <f t="shared" si="29"/>
        <v>0</v>
      </c>
      <c r="T17">
        <f t="shared" si="30"/>
        <v>1</v>
      </c>
      <c r="U17" s="248">
        <v>1.0</v>
      </c>
      <c r="V17">
        <f t="shared" si="31"/>
        <v>1</v>
      </c>
      <c r="W17" s="6">
        <v>1.0</v>
      </c>
      <c r="X17">
        <f t="shared" si="32"/>
        <v>2</v>
      </c>
      <c r="Y17" s="248">
        <v>1.0</v>
      </c>
      <c r="Z17" s="6">
        <f t="shared" si="33"/>
        <v>1</v>
      </c>
      <c r="AA17" s="6">
        <v>1.0</v>
      </c>
      <c r="AB17">
        <f t="shared" si="34"/>
        <v>2</v>
      </c>
      <c r="AC17" s="248">
        <v>2.0</v>
      </c>
      <c r="AD17">
        <f t="shared" si="35"/>
        <v>0</v>
      </c>
      <c r="AF17">
        <f t="shared" si="36"/>
        <v>2</v>
      </c>
      <c r="AG17" s="248">
        <v>2.0</v>
      </c>
      <c r="AH17">
        <f t="shared" si="37"/>
        <v>0</v>
      </c>
      <c r="AJ17">
        <f t="shared" si="38"/>
        <v>2</v>
      </c>
      <c r="AK17" s="248">
        <v>1.0</v>
      </c>
      <c r="AL17">
        <f t="shared" si="39"/>
        <v>1</v>
      </c>
      <c r="AM17" s="6">
        <v>1.0</v>
      </c>
      <c r="AN17">
        <f t="shared" si="40"/>
        <v>2</v>
      </c>
      <c r="AO17" s="6">
        <v>2.0</v>
      </c>
      <c r="AR17" s="248">
        <v>0.0</v>
      </c>
      <c r="AS17" s="6">
        <v>2.0</v>
      </c>
      <c r="AT17">
        <f t="shared" si="18"/>
        <v>2</v>
      </c>
      <c r="AU17" s="248">
        <v>2.0</v>
      </c>
      <c r="AV17">
        <f t="shared" si="19"/>
        <v>0</v>
      </c>
      <c r="AX17">
        <f t="shared" si="20"/>
        <v>2</v>
      </c>
      <c r="AY17" s="248">
        <v>2.0</v>
      </c>
      <c r="AZ17" s="248">
        <v>2.0</v>
      </c>
      <c r="BA17">
        <f t="shared" si="21"/>
        <v>0</v>
      </c>
      <c r="BC17">
        <f t="shared" si="22"/>
        <v>2</v>
      </c>
      <c r="BE17">
        <f t="shared" si="23"/>
        <v>7</v>
      </c>
    </row>
    <row r="18">
      <c r="A18" s="268" t="s">
        <v>1759</v>
      </c>
      <c r="B18" s="268" t="s">
        <v>2548</v>
      </c>
      <c r="C18" s="270"/>
      <c r="D18" s="268">
        <v>28.0</v>
      </c>
      <c r="E18" s="268">
        <v>11.648</v>
      </c>
      <c r="F18" s="248"/>
      <c r="G18" s="6"/>
      <c r="H18" s="6"/>
      <c r="I18" s="248"/>
      <c r="J18" s="249"/>
      <c r="K18" s="6"/>
      <c r="M18" s="248"/>
      <c r="O18" s="6"/>
      <c r="Q18" s="248"/>
      <c r="U18" s="248">
        <v>1.0</v>
      </c>
      <c r="V18">
        <f t="shared" si="31"/>
        <v>1</v>
      </c>
      <c r="W18" s="6">
        <v>1.0</v>
      </c>
      <c r="X18">
        <f t="shared" si="32"/>
        <v>2</v>
      </c>
      <c r="Y18" s="248">
        <v>2.0</v>
      </c>
      <c r="Z18" s="6">
        <f t="shared" si="33"/>
        <v>0</v>
      </c>
      <c r="AB18">
        <f t="shared" si="34"/>
        <v>2</v>
      </c>
      <c r="AC18" s="248">
        <v>2.0</v>
      </c>
      <c r="AD18">
        <f t="shared" si="35"/>
        <v>0</v>
      </c>
      <c r="AF18">
        <f t="shared" si="36"/>
        <v>2</v>
      </c>
      <c r="AG18" s="248">
        <v>2.0</v>
      </c>
      <c r="AH18">
        <f t="shared" si="37"/>
        <v>0</v>
      </c>
      <c r="AJ18">
        <f t="shared" si="38"/>
        <v>2</v>
      </c>
      <c r="AK18" s="248">
        <v>2.0</v>
      </c>
      <c r="AL18">
        <f t="shared" si="39"/>
        <v>0</v>
      </c>
      <c r="AN18">
        <f t="shared" si="40"/>
        <v>2</v>
      </c>
      <c r="AR18" s="248">
        <v>1.0</v>
      </c>
      <c r="AT18">
        <f t="shared" si="18"/>
        <v>1</v>
      </c>
      <c r="AU18" s="248">
        <v>1.0</v>
      </c>
      <c r="AV18">
        <f t="shared" si="19"/>
        <v>0</v>
      </c>
      <c r="AX18">
        <f t="shared" si="20"/>
        <v>1</v>
      </c>
      <c r="AY18" s="248">
        <v>1.0</v>
      </c>
      <c r="AZ18" s="248">
        <v>1.0</v>
      </c>
      <c r="BA18">
        <f t="shared" si="21"/>
        <v>0</v>
      </c>
      <c r="BC18">
        <f t="shared" si="22"/>
        <v>1</v>
      </c>
      <c r="BE18">
        <f t="shared" si="23"/>
        <v>2</v>
      </c>
    </row>
    <row r="19">
      <c r="A19" s="268" t="s">
        <v>1759</v>
      </c>
      <c r="B19" s="269" t="s">
        <v>2562</v>
      </c>
      <c r="C19" s="270" t="s">
        <v>2563</v>
      </c>
      <c r="D19" s="268">
        <v>28.0</v>
      </c>
      <c r="E19" s="268">
        <v>11.648</v>
      </c>
      <c r="F19" s="248">
        <v>6.0</v>
      </c>
      <c r="G19" s="6">
        <v>0.0</v>
      </c>
      <c r="H19">
        <f t="shared" ref="H19:H22" si="42">F19+G19</f>
        <v>6</v>
      </c>
      <c r="I19" s="248">
        <v>6.0</v>
      </c>
      <c r="J19" s="249">
        <f t="shared" ref="J19:J22" si="43">H19-I19</f>
        <v>0</v>
      </c>
      <c r="K19" s="6">
        <v>0.0</v>
      </c>
      <c r="L19">
        <f t="shared" ref="L19:L22" si="44">I19+K19</f>
        <v>6</v>
      </c>
      <c r="M19" s="248">
        <v>6.0</v>
      </c>
      <c r="N19">
        <f t="shared" ref="N19:N22" si="45">L19-M19</f>
        <v>0</v>
      </c>
      <c r="O19" s="6">
        <v>0.0</v>
      </c>
      <c r="P19">
        <f t="shared" ref="P19:P22" si="46">M19+O19</f>
        <v>6</v>
      </c>
      <c r="Q19" s="248">
        <v>5.0</v>
      </c>
      <c r="R19">
        <f t="shared" ref="R19:R22" si="47">P19-Q19</f>
        <v>1</v>
      </c>
      <c r="T19">
        <f t="shared" ref="T19:T22" si="48">Q19+S19</f>
        <v>5</v>
      </c>
      <c r="U19" s="248">
        <v>5.0</v>
      </c>
      <c r="V19">
        <f t="shared" si="31"/>
        <v>5</v>
      </c>
      <c r="X19">
        <f t="shared" si="32"/>
        <v>5</v>
      </c>
      <c r="Y19" s="248">
        <v>5.0</v>
      </c>
      <c r="Z19" s="6">
        <f t="shared" si="33"/>
        <v>0</v>
      </c>
      <c r="AB19">
        <f t="shared" si="34"/>
        <v>5</v>
      </c>
      <c r="AC19" s="248">
        <v>4.0</v>
      </c>
      <c r="AD19">
        <f t="shared" si="35"/>
        <v>1</v>
      </c>
      <c r="AF19">
        <f t="shared" si="36"/>
        <v>4</v>
      </c>
      <c r="AG19" s="248">
        <v>4.0</v>
      </c>
      <c r="AH19">
        <f t="shared" si="37"/>
        <v>0</v>
      </c>
      <c r="AJ19">
        <f t="shared" si="38"/>
        <v>4</v>
      </c>
      <c r="AK19" s="248">
        <v>3.0</v>
      </c>
      <c r="AL19">
        <f t="shared" si="39"/>
        <v>1</v>
      </c>
      <c r="AN19">
        <f t="shared" si="40"/>
        <v>3</v>
      </c>
      <c r="AR19" s="248">
        <v>2.0</v>
      </c>
      <c r="AT19">
        <f t="shared" si="18"/>
        <v>2</v>
      </c>
      <c r="AU19" s="248">
        <v>2.0</v>
      </c>
      <c r="AV19">
        <f t="shared" si="19"/>
        <v>0</v>
      </c>
      <c r="AX19">
        <f t="shared" si="20"/>
        <v>2</v>
      </c>
      <c r="AY19" s="248">
        <v>1.0</v>
      </c>
      <c r="AZ19" s="248">
        <v>0.0</v>
      </c>
      <c r="BA19">
        <f t="shared" si="21"/>
        <v>2</v>
      </c>
      <c r="BB19" s="6">
        <v>2.0</v>
      </c>
      <c r="BC19">
        <f t="shared" si="22"/>
        <v>2</v>
      </c>
      <c r="BE19">
        <f t="shared" si="23"/>
        <v>6</v>
      </c>
    </row>
    <row r="20">
      <c r="A20" s="268" t="s">
        <v>1759</v>
      </c>
      <c r="B20" s="269" t="s">
        <v>2591</v>
      </c>
      <c r="C20" s="270" t="s">
        <v>2592</v>
      </c>
      <c r="D20" s="268">
        <v>28.0</v>
      </c>
      <c r="E20" s="268">
        <v>11.648</v>
      </c>
      <c r="F20" s="248">
        <v>0.0</v>
      </c>
      <c r="G20" s="6">
        <v>2.0</v>
      </c>
      <c r="H20">
        <f t="shared" si="42"/>
        <v>2</v>
      </c>
      <c r="I20" s="248">
        <v>0.0</v>
      </c>
      <c r="J20" s="249">
        <f t="shared" si="43"/>
        <v>2</v>
      </c>
      <c r="K20" s="6">
        <v>2.0</v>
      </c>
      <c r="L20">
        <f t="shared" si="44"/>
        <v>2</v>
      </c>
      <c r="M20" s="248">
        <v>1.0</v>
      </c>
      <c r="N20">
        <f t="shared" si="45"/>
        <v>1</v>
      </c>
      <c r="O20" s="6">
        <v>1.0</v>
      </c>
      <c r="P20">
        <f t="shared" si="46"/>
        <v>2</v>
      </c>
      <c r="Q20" s="248">
        <v>1.0</v>
      </c>
      <c r="R20">
        <f t="shared" si="47"/>
        <v>1</v>
      </c>
      <c r="S20" s="6">
        <v>1.0</v>
      </c>
      <c r="T20">
        <f t="shared" si="48"/>
        <v>2</v>
      </c>
      <c r="U20" s="248">
        <v>1.0</v>
      </c>
      <c r="V20">
        <f t="shared" si="31"/>
        <v>2</v>
      </c>
      <c r="X20">
        <f t="shared" si="32"/>
        <v>2</v>
      </c>
      <c r="Y20" s="248">
        <v>1.0</v>
      </c>
      <c r="Z20" s="6">
        <f t="shared" si="33"/>
        <v>1</v>
      </c>
      <c r="AA20" s="6">
        <v>1.0</v>
      </c>
      <c r="AB20">
        <f t="shared" si="34"/>
        <v>2</v>
      </c>
      <c r="AC20" s="248">
        <v>2.0</v>
      </c>
      <c r="AD20">
        <f t="shared" si="35"/>
        <v>0</v>
      </c>
      <c r="AF20">
        <f t="shared" si="36"/>
        <v>2</v>
      </c>
      <c r="AG20" s="248">
        <v>1.0</v>
      </c>
      <c r="AH20">
        <f t="shared" si="37"/>
        <v>1</v>
      </c>
      <c r="AI20" s="6">
        <v>1.0</v>
      </c>
      <c r="AJ20">
        <f t="shared" si="38"/>
        <v>2</v>
      </c>
      <c r="AK20" s="248">
        <v>1.0</v>
      </c>
      <c r="AL20">
        <f t="shared" si="39"/>
        <v>1</v>
      </c>
      <c r="AM20" s="6">
        <v>1.0</v>
      </c>
      <c r="AN20">
        <f t="shared" si="40"/>
        <v>2</v>
      </c>
      <c r="AR20" s="248">
        <v>0.0</v>
      </c>
      <c r="AS20" s="6">
        <v>1.0</v>
      </c>
      <c r="AT20">
        <f t="shared" si="18"/>
        <v>1</v>
      </c>
      <c r="AU20" s="248">
        <v>1.0</v>
      </c>
      <c r="AV20">
        <f t="shared" si="19"/>
        <v>0</v>
      </c>
      <c r="AX20">
        <f t="shared" si="20"/>
        <v>1</v>
      </c>
      <c r="AY20" s="248">
        <v>0.0</v>
      </c>
      <c r="AZ20" s="248">
        <v>0.0</v>
      </c>
      <c r="BA20">
        <f t="shared" si="21"/>
        <v>1</v>
      </c>
      <c r="BB20" s="6">
        <v>2.0</v>
      </c>
      <c r="BC20">
        <f t="shared" si="22"/>
        <v>2</v>
      </c>
      <c r="BE20">
        <f t="shared" si="23"/>
        <v>6</v>
      </c>
    </row>
    <row r="21">
      <c r="A21" s="268" t="s">
        <v>1759</v>
      </c>
      <c r="B21" s="269" t="s">
        <v>2615</v>
      </c>
      <c r="C21" s="270" t="s">
        <v>2616</v>
      </c>
      <c r="D21" s="268">
        <v>28.0</v>
      </c>
      <c r="E21" s="268">
        <v>11.648</v>
      </c>
      <c r="F21" s="248">
        <v>4.0</v>
      </c>
      <c r="G21" s="6">
        <v>0.0</v>
      </c>
      <c r="H21">
        <f t="shared" si="42"/>
        <v>4</v>
      </c>
      <c r="I21" s="248">
        <v>4.0</v>
      </c>
      <c r="J21" s="249">
        <f t="shared" si="43"/>
        <v>0</v>
      </c>
      <c r="K21" s="6">
        <v>0.0</v>
      </c>
      <c r="L21">
        <f t="shared" si="44"/>
        <v>4</v>
      </c>
      <c r="M21" s="248">
        <v>4.0</v>
      </c>
      <c r="N21">
        <f t="shared" si="45"/>
        <v>0</v>
      </c>
      <c r="O21" s="6">
        <v>0.0</v>
      </c>
      <c r="P21">
        <f t="shared" si="46"/>
        <v>4</v>
      </c>
      <c r="Q21" s="248">
        <v>4.0</v>
      </c>
      <c r="R21">
        <f t="shared" si="47"/>
        <v>0</v>
      </c>
      <c r="T21">
        <f t="shared" si="48"/>
        <v>4</v>
      </c>
      <c r="U21" s="248">
        <v>4.0</v>
      </c>
      <c r="V21">
        <f t="shared" si="31"/>
        <v>4</v>
      </c>
      <c r="X21">
        <f t="shared" si="32"/>
        <v>4</v>
      </c>
      <c r="Y21" s="248">
        <v>2.0</v>
      </c>
      <c r="Z21" s="6">
        <f t="shared" si="33"/>
        <v>2</v>
      </c>
      <c r="AB21">
        <f t="shared" si="34"/>
        <v>2</v>
      </c>
      <c r="AC21" s="248">
        <v>1.0</v>
      </c>
      <c r="AD21">
        <f t="shared" si="35"/>
        <v>1</v>
      </c>
      <c r="AE21" s="6">
        <v>1.0</v>
      </c>
      <c r="AF21">
        <f t="shared" si="36"/>
        <v>2</v>
      </c>
      <c r="AG21" s="248">
        <v>2.0</v>
      </c>
      <c r="AH21">
        <f t="shared" si="37"/>
        <v>0</v>
      </c>
      <c r="AJ21">
        <f t="shared" si="38"/>
        <v>2</v>
      </c>
      <c r="AK21" s="248">
        <v>2.0</v>
      </c>
      <c r="AL21">
        <f t="shared" si="39"/>
        <v>0</v>
      </c>
      <c r="AN21">
        <f t="shared" si="40"/>
        <v>2</v>
      </c>
      <c r="AR21" s="248">
        <v>1.0</v>
      </c>
      <c r="AT21">
        <f t="shared" si="18"/>
        <v>1</v>
      </c>
      <c r="AU21" s="248">
        <v>1.0</v>
      </c>
      <c r="AV21">
        <f t="shared" si="19"/>
        <v>0</v>
      </c>
      <c r="AX21">
        <f t="shared" si="20"/>
        <v>1</v>
      </c>
      <c r="AY21" s="248">
        <v>1.0</v>
      </c>
      <c r="AZ21" s="248">
        <v>1.0</v>
      </c>
      <c r="BA21">
        <f t="shared" si="21"/>
        <v>0</v>
      </c>
      <c r="BC21">
        <f t="shared" si="22"/>
        <v>1</v>
      </c>
      <c r="BE21">
        <f t="shared" si="23"/>
        <v>2</v>
      </c>
    </row>
    <row r="22">
      <c r="A22" s="268" t="s">
        <v>1759</v>
      </c>
      <c r="B22" s="269" t="s">
        <v>2632</v>
      </c>
      <c r="C22" s="270" t="s">
        <v>2633</v>
      </c>
      <c r="D22" s="268">
        <v>28.0</v>
      </c>
      <c r="E22" s="268">
        <v>11.648</v>
      </c>
      <c r="F22" s="248">
        <v>2.0</v>
      </c>
      <c r="G22" s="6">
        <v>0.0</v>
      </c>
      <c r="H22">
        <f t="shared" si="42"/>
        <v>2</v>
      </c>
      <c r="I22" s="248">
        <v>2.0</v>
      </c>
      <c r="J22" s="249">
        <f t="shared" si="43"/>
        <v>0</v>
      </c>
      <c r="K22" s="6">
        <v>0.0</v>
      </c>
      <c r="L22">
        <f t="shared" si="44"/>
        <v>2</v>
      </c>
      <c r="M22" s="248">
        <v>2.0</v>
      </c>
      <c r="N22">
        <f t="shared" si="45"/>
        <v>0</v>
      </c>
      <c r="O22" s="6">
        <v>0.0</v>
      </c>
      <c r="P22">
        <f t="shared" si="46"/>
        <v>2</v>
      </c>
      <c r="Q22" s="248">
        <v>2.0</v>
      </c>
      <c r="R22">
        <f t="shared" si="47"/>
        <v>0</v>
      </c>
      <c r="T22">
        <f t="shared" si="48"/>
        <v>2</v>
      </c>
      <c r="U22" s="248">
        <v>1.0</v>
      </c>
      <c r="V22">
        <f t="shared" si="31"/>
        <v>1</v>
      </c>
      <c r="W22" s="6">
        <v>1.0</v>
      </c>
      <c r="X22">
        <f t="shared" si="32"/>
        <v>2</v>
      </c>
      <c r="Y22" s="248">
        <v>2.0</v>
      </c>
      <c r="Z22" s="6">
        <f t="shared" si="33"/>
        <v>0</v>
      </c>
      <c r="AB22">
        <f t="shared" si="34"/>
        <v>2</v>
      </c>
      <c r="AC22" s="248">
        <v>2.0</v>
      </c>
      <c r="AD22">
        <f t="shared" si="35"/>
        <v>0</v>
      </c>
      <c r="AF22">
        <f t="shared" si="36"/>
        <v>2</v>
      </c>
      <c r="AG22" s="248">
        <v>2.0</v>
      </c>
      <c r="AH22">
        <f t="shared" si="37"/>
        <v>0</v>
      </c>
      <c r="AJ22">
        <f t="shared" si="38"/>
        <v>2</v>
      </c>
      <c r="AK22" s="248">
        <v>1.0</v>
      </c>
      <c r="AL22">
        <f t="shared" si="39"/>
        <v>1</v>
      </c>
      <c r="AM22" s="6">
        <v>1.0</v>
      </c>
      <c r="AN22">
        <f t="shared" si="40"/>
        <v>2</v>
      </c>
      <c r="AO22" s="6">
        <v>1.0</v>
      </c>
      <c r="AR22" s="248">
        <v>0.0</v>
      </c>
      <c r="AS22" s="6">
        <v>1.0</v>
      </c>
      <c r="AT22">
        <f t="shared" si="18"/>
        <v>1</v>
      </c>
      <c r="AU22" s="248">
        <v>1.0</v>
      </c>
      <c r="AV22">
        <f t="shared" si="19"/>
        <v>0</v>
      </c>
      <c r="AX22">
        <f t="shared" si="20"/>
        <v>1</v>
      </c>
      <c r="AY22" s="248">
        <v>1.0</v>
      </c>
      <c r="AZ22" s="248">
        <v>1.0</v>
      </c>
      <c r="BA22">
        <f t="shared" si="21"/>
        <v>0</v>
      </c>
      <c r="BC22">
        <f t="shared" si="22"/>
        <v>1</v>
      </c>
      <c r="BE22">
        <f t="shared" si="23"/>
        <v>5</v>
      </c>
    </row>
    <row r="23">
      <c r="A23" s="268" t="s">
        <v>1759</v>
      </c>
      <c r="B23" s="268" t="s">
        <v>2656</v>
      </c>
      <c r="C23" s="270"/>
      <c r="D23" s="268"/>
      <c r="E23" s="268"/>
      <c r="F23" s="248"/>
      <c r="G23" s="6"/>
      <c r="I23" s="248"/>
      <c r="J23" s="249"/>
      <c r="K23" s="6"/>
      <c r="M23" s="248"/>
      <c r="O23" s="6"/>
      <c r="Q23" s="248"/>
      <c r="U23" s="248"/>
      <c r="W23" s="6"/>
      <c r="Y23" s="248"/>
      <c r="Z23" s="6"/>
      <c r="AC23" s="248"/>
      <c r="AG23" s="248"/>
      <c r="AK23" s="248"/>
      <c r="AM23" s="6"/>
      <c r="AO23" s="6"/>
      <c r="AR23" s="248">
        <v>1.0</v>
      </c>
      <c r="AT23">
        <f t="shared" si="18"/>
        <v>1</v>
      </c>
      <c r="AU23" s="248">
        <v>1.0</v>
      </c>
      <c r="AV23">
        <f t="shared" si="19"/>
        <v>0</v>
      </c>
      <c r="AX23">
        <f t="shared" si="20"/>
        <v>1</v>
      </c>
      <c r="AY23" s="248">
        <v>1.0</v>
      </c>
      <c r="AZ23" s="248">
        <v>1.0</v>
      </c>
      <c r="BA23">
        <f t="shared" si="21"/>
        <v>0</v>
      </c>
      <c r="BC23">
        <f t="shared" si="22"/>
        <v>1</v>
      </c>
      <c r="BE23">
        <f t="shared" si="23"/>
        <v>0</v>
      </c>
    </row>
    <row r="24">
      <c r="A24" s="268" t="s">
        <v>1759</v>
      </c>
      <c r="B24" s="269" t="s">
        <v>2666</v>
      </c>
      <c r="C24" s="270" t="s">
        <v>2669</v>
      </c>
      <c r="D24" s="268">
        <v>28.0</v>
      </c>
      <c r="E24" s="268">
        <v>11.648</v>
      </c>
      <c r="F24" s="248">
        <v>4.0</v>
      </c>
      <c r="G24" s="6">
        <v>0.0</v>
      </c>
      <c r="H24">
        <f t="shared" ref="H24:H25" si="49">F24+G24</f>
        <v>4</v>
      </c>
      <c r="I24" s="248">
        <v>4.0</v>
      </c>
      <c r="J24" s="249">
        <f t="shared" ref="J24:J25" si="50">H24-I24</f>
        <v>0</v>
      </c>
      <c r="K24" s="6">
        <v>0.0</v>
      </c>
      <c r="L24">
        <f t="shared" ref="L24:L29" si="51">I24+K24</f>
        <v>4</v>
      </c>
      <c r="M24" s="248">
        <v>4.0</v>
      </c>
      <c r="N24">
        <f t="shared" ref="N24:N29" si="52">L24-M24</f>
        <v>0</v>
      </c>
      <c r="O24" s="6">
        <v>0.0</v>
      </c>
      <c r="P24">
        <f t="shared" ref="P24:P29" si="53">M24+O24</f>
        <v>4</v>
      </c>
      <c r="Q24" s="248">
        <v>3.0</v>
      </c>
      <c r="R24">
        <f t="shared" ref="R24:R29" si="54">P24-Q24</f>
        <v>1</v>
      </c>
      <c r="T24">
        <f t="shared" ref="T24:T29" si="55">Q24+S24</f>
        <v>3</v>
      </c>
      <c r="U24" s="248">
        <v>4.0</v>
      </c>
      <c r="V24">
        <f t="shared" ref="V24:V29" si="56">U24+S24</f>
        <v>4</v>
      </c>
      <c r="X24">
        <f t="shared" ref="X24:X29" si="57">V24+W24</f>
        <v>4</v>
      </c>
      <c r="Y24" s="248">
        <v>2.0</v>
      </c>
      <c r="Z24" s="6">
        <f t="shared" ref="Z24:Z29" si="58">X24-Y24</f>
        <v>2</v>
      </c>
      <c r="AB24">
        <f t="shared" ref="AB24:AB29" si="59">Y24+AA24</f>
        <v>2</v>
      </c>
      <c r="AC24" s="248">
        <v>2.0</v>
      </c>
      <c r="AD24">
        <f t="shared" ref="AD24:AD29" si="60">AB24-AC24</f>
        <v>0</v>
      </c>
      <c r="AF24">
        <f t="shared" ref="AF24:AF29" si="61">AC24+AE24</f>
        <v>2</v>
      </c>
      <c r="AG24" s="248">
        <v>1.0</v>
      </c>
      <c r="AH24">
        <f t="shared" ref="AH24:AH29" si="62">AF24-AG24</f>
        <v>1</v>
      </c>
      <c r="AI24" s="6">
        <v>1.0</v>
      </c>
      <c r="AJ24">
        <f t="shared" ref="AJ24:AJ29" si="63">AG24+AI24</f>
        <v>2</v>
      </c>
      <c r="AK24" s="248">
        <v>2.0</v>
      </c>
      <c r="AL24">
        <f t="shared" ref="AL24:AL29" si="64">AJ24-AK24</f>
        <v>0</v>
      </c>
      <c r="AN24">
        <f t="shared" ref="AN24:AN29" si="65">AK24+AM24</f>
        <v>2</v>
      </c>
      <c r="AR24" s="248">
        <v>2.0</v>
      </c>
      <c r="AT24">
        <f t="shared" si="18"/>
        <v>2</v>
      </c>
      <c r="AU24" s="248">
        <v>2.0</v>
      </c>
      <c r="AV24">
        <f t="shared" si="19"/>
        <v>0</v>
      </c>
      <c r="AX24">
        <f t="shared" si="20"/>
        <v>2</v>
      </c>
      <c r="AY24" s="248">
        <v>2.0</v>
      </c>
      <c r="AZ24" s="248">
        <v>2.0</v>
      </c>
      <c r="BA24">
        <f t="shared" si="21"/>
        <v>0</v>
      </c>
      <c r="BC24">
        <f t="shared" si="22"/>
        <v>2</v>
      </c>
      <c r="BE24">
        <f t="shared" si="23"/>
        <v>2</v>
      </c>
    </row>
    <row r="25">
      <c r="A25" s="268" t="s">
        <v>1759</v>
      </c>
      <c r="B25" s="269" t="s">
        <v>2707</v>
      </c>
      <c r="C25" s="270" t="s">
        <v>2708</v>
      </c>
      <c r="D25" s="268">
        <v>28.0</v>
      </c>
      <c r="E25" s="268">
        <v>11.648</v>
      </c>
      <c r="F25" s="248">
        <v>3.0</v>
      </c>
      <c r="G25" s="6">
        <v>0.0</v>
      </c>
      <c r="H25">
        <f t="shared" si="49"/>
        <v>3</v>
      </c>
      <c r="I25" s="248">
        <v>3.0</v>
      </c>
      <c r="J25" s="249">
        <f t="shared" si="50"/>
        <v>0</v>
      </c>
      <c r="K25" s="6">
        <v>0.0</v>
      </c>
      <c r="L25">
        <f t="shared" si="51"/>
        <v>3</v>
      </c>
      <c r="M25" s="248">
        <v>3.0</v>
      </c>
      <c r="N25">
        <f t="shared" si="52"/>
        <v>0</v>
      </c>
      <c r="O25" s="6">
        <v>0.0</v>
      </c>
      <c r="P25">
        <f t="shared" si="53"/>
        <v>3</v>
      </c>
      <c r="Q25" s="248">
        <v>3.0</v>
      </c>
      <c r="R25">
        <f t="shared" si="54"/>
        <v>0</v>
      </c>
      <c r="T25">
        <f t="shared" si="55"/>
        <v>3</v>
      </c>
      <c r="U25" s="248">
        <v>3.0</v>
      </c>
      <c r="V25">
        <f t="shared" si="56"/>
        <v>3</v>
      </c>
      <c r="W25" s="248"/>
      <c r="X25">
        <f t="shared" si="57"/>
        <v>3</v>
      </c>
      <c r="Y25" s="248">
        <v>3.0</v>
      </c>
      <c r="Z25" s="6">
        <f t="shared" si="58"/>
        <v>0</v>
      </c>
      <c r="AB25">
        <f t="shared" si="59"/>
        <v>3</v>
      </c>
      <c r="AC25" s="248">
        <v>2.0</v>
      </c>
      <c r="AD25">
        <f t="shared" si="60"/>
        <v>1</v>
      </c>
      <c r="AE25" s="248"/>
      <c r="AF25">
        <f t="shared" si="61"/>
        <v>2</v>
      </c>
      <c r="AG25" s="248">
        <v>2.0</v>
      </c>
      <c r="AH25">
        <f t="shared" si="62"/>
        <v>0</v>
      </c>
      <c r="AI25" s="248"/>
      <c r="AJ25">
        <f t="shared" si="63"/>
        <v>2</v>
      </c>
      <c r="AK25" s="248">
        <v>0.0</v>
      </c>
      <c r="AL25">
        <f t="shared" si="64"/>
        <v>2</v>
      </c>
      <c r="AM25" s="6">
        <v>2.0</v>
      </c>
      <c r="AN25">
        <f t="shared" si="65"/>
        <v>2</v>
      </c>
      <c r="AR25" s="248">
        <v>4.0</v>
      </c>
      <c r="AT25">
        <f t="shared" si="18"/>
        <v>4</v>
      </c>
      <c r="AU25" s="248">
        <v>4.0</v>
      </c>
      <c r="AV25">
        <f t="shared" si="19"/>
        <v>0</v>
      </c>
      <c r="AX25">
        <f t="shared" si="20"/>
        <v>4</v>
      </c>
      <c r="AY25" s="248">
        <v>4.0</v>
      </c>
      <c r="AZ25" s="248">
        <v>4.0</v>
      </c>
      <c r="BA25">
        <f t="shared" si="21"/>
        <v>0</v>
      </c>
      <c r="BC25">
        <f t="shared" si="22"/>
        <v>4</v>
      </c>
      <c r="BE25">
        <f t="shared" si="23"/>
        <v>4</v>
      </c>
    </row>
    <row r="26">
      <c r="A26" s="268" t="s">
        <v>1759</v>
      </c>
      <c r="B26" s="268" t="s">
        <v>2722</v>
      </c>
      <c r="C26" s="270"/>
      <c r="D26" s="268">
        <v>28.0</v>
      </c>
      <c r="E26" s="268">
        <v>11.648</v>
      </c>
      <c r="F26" s="248"/>
      <c r="G26" s="6"/>
      <c r="I26" s="248"/>
      <c r="J26" s="293">
        <v>0.0</v>
      </c>
      <c r="K26" s="6">
        <v>4.0</v>
      </c>
      <c r="L26">
        <f t="shared" si="51"/>
        <v>4</v>
      </c>
      <c r="M26" s="248">
        <v>4.0</v>
      </c>
      <c r="N26">
        <f t="shared" si="52"/>
        <v>0</v>
      </c>
      <c r="O26" s="6">
        <v>0.0</v>
      </c>
      <c r="P26">
        <f t="shared" si="53"/>
        <v>4</v>
      </c>
      <c r="Q26" s="248">
        <v>4.0</v>
      </c>
      <c r="R26">
        <f t="shared" si="54"/>
        <v>0</v>
      </c>
      <c r="T26">
        <f t="shared" si="55"/>
        <v>4</v>
      </c>
      <c r="U26" s="248">
        <v>4.0</v>
      </c>
      <c r="V26">
        <f t="shared" si="56"/>
        <v>4</v>
      </c>
      <c r="W26" s="248"/>
      <c r="X26">
        <f t="shared" si="57"/>
        <v>4</v>
      </c>
      <c r="Y26" s="248">
        <v>4.0</v>
      </c>
      <c r="Z26" s="6">
        <f t="shared" si="58"/>
        <v>0</v>
      </c>
      <c r="AB26">
        <f t="shared" si="59"/>
        <v>4</v>
      </c>
      <c r="AC26" s="248">
        <v>4.0</v>
      </c>
      <c r="AD26">
        <f t="shared" si="60"/>
        <v>0</v>
      </c>
      <c r="AE26" s="248"/>
      <c r="AF26">
        <f t="shared" si="61"/>
        <v>4</v>
      </c>
      <c r="AG26" s="248">
        <v>3.0</v>
      </c>
      <c r="AH26">
        <f t="shared" si="62"/>
        <v>1</v>
      </c>
      <c r="AI26" s="248"/>
      <c r="AJ26">
        <f t="shared" si="63"/>
        <v>3</v>
      </c>
      <c r="AK26" s="248">
        <v>3.0</v>
      </c>
      <c r="AL26">
        <f t="shared" si="64"/>
        <v>0</v>
      </c>
      <c r="AN26">
        <f t="shared" si="65"/>
        <v>3</v>
      </c>
      <c r="AR26" s="248">
        <v>3.0</v>
      </c>
      <c r="AT26">
        <f t="shared" si="18"/>
        <v>3</v>
      </c>
      <c r="AU26" s="248">
        <v>3.0</v>
      </c>
      <c r="AV26">
        <f t="shared" si="19"/>
        <v>0</v>
      </c>
      <c r="AX26">
        <f t="shared" si="20"/>
        <v>3</v>
      </c>
      <c r="AY26" s="248">
        <v>3.0</v>
      </c>
      <c r="AZ26" s="248">
        <v>2.0</v>
      </c>
      <c r="BA26">
        <f t="shared" si="21"/>
        <v>1</v>
      </c>
      <c r="BC26">
        <f t="shared" si="22"/>
        <v>2</v>
      </c>
      <c r="BE26">
        <f t="shared" si="23"/>
        <v>3</v>
      </c>
    </row>
    <row r="27">
      <c r="A27" s="268" t="s">
        <v>1759</v>
      </c>
      <c r="B27" s="269" t="s">
        <v>2738</v>
      </c>
      <c r="C27" s="270" t="s">
        <v>2740</v>
      </c>
      <c r="D27" s="268">
        <v>28.0</v>
      </c>
      <c r="E27" s="268">
        <v>11.648</v>
      </c>
      <c r="F27" s="248">
        <v>3.0</v>
      </c>
      <c r="G27" s="6">
        <v>0.0</v>
      </c>
      <c r="H27">
        <f t="shared" ref="H27:H29" si="66">F27+G27</f>
        <v>3</v>
      </c>
      <c r="I27" s="248">
        <v>3.0</v>
      </c>
      <c r="J27" s="249">
        <f t="shared" ref="J27:J29" si="67">H27-I27</f>
        <v>0</v>
      </c>
      <c r="K27" s="6">
        <v>0.0</v>
      </c>
      <c r="L27">
        <f t="shared" si="51"/>
        <v>3</v>
      </c>
      <c r="M27" s="248">
        <v>3.0</v>
      </c>
      <c r="N27">
        <f t="shared" si="52"/>
        <v>0</v>
      </c>
      <c r="O27" s="6">
        <v>0.0</v>
      </c>
      <c r="P27">
        <f t="shared" si="53"/>
        <v>3</v>
      </c>
      <c r="Q27" s="248">
        <v>3.0</v>
      </c>
      <c r="R27">
        <f t="shared" si="54"/>
        <v>0</v>
      </c>
      <c r="T27">
        <f t="shared" si="55"/>
        <v>3</v>
      </c>
      <c r="U27" s="248">
        <v>3.0</v>
      </c>
      <c r="V27">
        <f t="shared" si="56"/>
        <v>3</v>
      </c>
      <c r="W27" s="248"/>
      <c r="X27">
        <f t="shared" si="57"/>
        <v>3</v>
      </c>
      <c r="Y27" s="248">
        <v>3.0</v>
      </c>
      <c r="Z27" s="6">
        <f t="shared" si="58"/>
        <v>0</v>
      </c>
      <c r="AB27">
        <f t="shared" si="59"/>
        <v>3</v>
      </c>
      <c r="AC27" s="248">
        <v>3.0</v>
      </c>
      <c r="AD27">
        <f t="shared" si="60"/>
        <v>0</v>
      </c>
      <c r="AE27" s="248"/>
      <c r="AF27">
        <f t="shared" si="61"/>
        <v>3</v>
      </c>
      <c r="AG27" s="248">
        <v>3.0</v>
      </c>
      <c r="AH27">
        <f t="shared" si="62"/>
        <v>0</v>
      </c>
      <c r="AI27" s="248"/>
      <c r="AJ27">
        <f t="shared" si="63"/>
        <v>3</v>
      </c>
      <c r="AK27" s="248">
        <v>3.0</v>
      </c>
      <c r="AL27">
        <f t="shared" si="64"/>
        <v>0</v>
      </c>
      <c r="AN27">
        <f t="shared" si="65"/>
        <v>3</v>
      </c>
      <c r="AR27" s="248">
        <v>2.0</v>
      </c>
      <c r="AT27">
        <f t="shared" si="18"/>
        <v>2</v>
      </c>
      <c r="AU27" s="248">
        <v>2.0</v>
      </c>
      <c r="AV27">
        <f t="shared" si="19"/>
        <v>0</v>
      </c>
      <c r="AX27">
        <f t="shared" si="20"/>
        <v>2</v>
      </c>
      <c r="AY27" s="248">
        <v>2.0</v>
      </c>
      <c r="AZ27" s="248">
        <v>2.0</v>
      </c>
      <c r="BA27">
        <f t="shared" si="21"/>
        <v>0</v>
      </c>
      <c r="BC27">
        <f t="shared" si="22"/>
        <v>2</v>
      </c>
      <c r="BE27">
        <f t="shared" si="23"/>
        <v>3</v>
      </c>
    </row>
    <row r="28">
      <c r="A28" s="268" t="s">
        <v>1759</v>
      </c>
      <c r="B28" s="269" t="s">
        <v>2753</v>
      </c>
      <c r="C28" s="270" t="s">
        <v>2754</v>
      </c>
      <c r="D28" s="268">
        <v>28.0</v>
      </c>
      <c r="E28" s="268">
        <v>11.648</v>
      </c>
      <c r="F28" s="248">
        <v>2.0</v>
      </c>
      <c r="G28" s="6">
        <v>0.0</v>
      </c>
      <c r="H28">
        <f t="shared" si="66"/>
        <v>2</v>
      </c>
      <c r="I28" s="248">
        <v>2.0</v>
      </c>
      <c r="J28" s="249">
        <f t="shared" si="67"/>
        <v>0</v>
      </c>
      <c r="K28" s="6">
        <v>0.0</v>
      </c>
      <c r="L28">
        <f t="shared" si="51"/>
        <v>2</v>
      </c>
      <c r="M28" s="248">
        <v>2.0</v>
      </c>
      <c r="N28">
        <f t="shared" si="52"/>
        <v>0</v>
      </c>
      <c r="O28" s="6">
        <v>0.0</v>
      </c>
      <c r="P28">
        <f t="shared" si="53"/>
        <v>2</v>
      </c>
      <c r="Q28" s="248">
        <v>2.0</v>
      </c>
      <c r="R28">
        <f t="shared" si="54"/>
        <v>0</v>
      </c>
      <c r="T28">
        <f t="shared" si="55"/>
        <v>2</v>
      </c>
      <c r="U28" s="248">
        <v>2.0</v>
      </c>
      <c r="V28">
        <f t="shared" si="56"/>
        <v>2</v>
      </c>
      <c r="W28" s="248"/>
      <c r="X28">
        <f t="shared" si="57"/>
        <v>2</v>
      </c>
      <c r="Y28" s="248">
        <v>1.0</v>
      </c>
      <c r="Z28" s="6">
        <f t="shared" si="58"/>
        <v>1</v>
      </c>
      <c r="AB28">
        <f t="shared" si="59"/>
        <v>1</v>
      </c>
      <c r="AC28" s="248">
        <v>1.0</v>
      </c>
      <c r="AD28">
        <f t="shared" si="60"/>
        <v>0</v>
      </c>
      <c r="AE28" s="248"/>
      <c r="AF28">
        <f t="shared" si="61"/>
        <v>1</v>
      </c>
      <c r="AG28" s="248">
        <v>1.0</v>
      </c>
      <c r="AH28">
        <f t="shared" si="62"/>
        <v>0</v>
      </c>
      <c r="AI28" s="248"/>
      <c r="AJ28">
        <f t="shared" si="63"/>
        <v>1</v>
      </c>
      <c r="AK28" s="248">
        <v>1.0</v>
      </c>
      <c r="AL28">
        <f t="shared" si="64"/>
        <v>0</v>
      </c>
      <c r="AN28">
        <f t="shared" si="65"/>
        <v>1</v>
      </c>
      <c r="AR28" s="248">
        <v>0.0</v>
      </c>
      <c r="AS28" s="6">
        <v>1.0</v>
      </c>
      <c r="AT28">
        <f t="shared" si="18"/>
        <v>1</v>
      </c>
      <c r="AU28" s="248">
        <v>1.0</v>
      </c>
      <c r="AV28">
        <f t="shared" si="19"/>
        <v>0</v>
      </c>
      <c r="AX28">
        <f t="shared" si="20"/>
        <v>1</v>
      </c>
      <c r="AY28" s="248">
        <v>1.0</v>
      </c>
      <c r="AZ28" s="248">
        <v>1.0</v>
      </c>
      <c r="BA28">
        <f t="shared" si="21"/>
        <v>0</v>
      </c>
      <c r="BC28">
        <f t="shared" si="22"/>
        <v>1</v>
      </c>
      <c r="BE28">
        <f t="shared" si="23"/>
        <v>2</v>
      </c>
    </row>
    <row r="29">
      <c r="A29" s="268" t="s">
        <v>1759</v>
      </c>
      <c r="B29" s="269" t="s">
        <v>2774</v>
      </c>
      <c r="C29" s="270" t="s">
        <v>2775</v>
      </c>
      <c r="D29" s="268">
        <v>28.0</v>
      </c>
      <c r="E29" s="268">
        <v>11.648</v>
      </c>
      <c r="F29" s="248">
        <v>2.0</v>
      </c>
      <c r="G29" s="6">
        <v>0.0</v>
      </c>
      <c r="H29">
        <f t="shared" si="66"/>
        <v>2</v>
      </c>
      <c r="I29" s="248">
        <v>2.0</v>
      </c>
      <c r="J29" s="249">
        <f t="shared" si="67"/>
        <v>0</v>
      </c>
      <c r="K29" s="6">
        <v>0.0</v>
      </c>
      <c r="L29">
        <f t="shared" si="51"/>
        <v>2</v>
      </c>
      <c r="M29" s="248">
        <v>2.0</v>
      </c>
      <c r="N29">
        <f t="shared" si="52"/>
        <v>0</v>
      </c>
      <c r="O29" s="6">
        <v>0.0</v>
      </c>
      <c r="P29">
        <f t="shared" si="53"/>
        <v>2</v>
      </c>
      <c r="Q29" s="248">
        <v>2.0</v>
      </c>
      <c r="R29">
        <f t="shared" si="54"/>
        <v>0</v>
      </c>
      <c r="T29">
        <f t="shared" si="55"/>
        <v>2</v>
      </c>
      <c r="U29" s="248">
        <v>2.0</v>
      </c>
      <c r="V29">
        <f t="shared" si="56"/>
        <v>2</v>
      </c>
      <c r="W29" s="248"/>
      <c r="X29">
        <f t="shared" si="57"/>
        <v>2</v>
      </c>
      <c r="Y29" s="248">
        <v>2.0</v>
      </c>
      <c r="Z29" s="6">
        <f t="shared" si="58"/>
        <v>0</v>
      </c>
      <c r="AB29">
        <f t="shared" si="59"/>
        <v>2</v>
      </c>
      <c r="AC29" s="248">
        <v>2.0</v>
      </c>
      <c r="AD29">
        <f t="shared" si="60"/>
        <v>0</v>
      </c>
      <c r="AE29" s="248"/>
      <c r="AF29">
        <f t="shared" si="61"/>
        <v>2</v>
      </c>
      <c r="AG29" s="248">
        <v>2.0</v>
      </c>
      <c r="AH29">
        <f t="shared" si="62"/>
        <v>0</v>
      </c>
      <c r="AI29" s="248"/>
      <c r="AJ29">
        <f t="shared" si="63"/>
        <v>2</v>
      </c>
      <c r="AK29" s="248">
        <v>2.0</v>
      </c>
      <c r="AL29">
        <f t="shared" si="64"/>
        <v>0</v>
      </c>
      <c r="AN29">
        <f t="shared" si="65"/>
        <v>2</v>
      </c>
      <c r="AR29" s="248">
        <v>2.0</v>
      </c>
      <c r="AT29">
        <f t="shared" si="18"/>
        <v>2</v>
      </c>
      <c r="AU29" s="248">
        <v>2.0</v>
      </c>
      <c r="AV29">
        <f t="shared" si="19"/>
        <v>0</v>
      </c>
      <c r="AX29">
        <f t="shared" si="20"/>
        <v>2</v>
      </c>
      <c r="AY29" s="248">
        <v>2.0</v>
      </c>
      <c r="AZ29" s="248">
        <v>2.0</v>
      </c>
      <c r="BA29">
        <f t="shared" si="21"/>
        <v>0</v>
      </c>
      <c r="BC29">
        <f t="shared" si="22"/>
        <v>2</v>
      </c>
      <c r="BE29">
        <f t="shared" si="23"/>
        <v>2</v>
      </c>
    </row>
    <row r="30">
      <c r="A30" s="268" t="s">
        <v>1759</v>
      </c>
      <c r="B30" s="268" t="s">
        <v>2797</v>
      </c>
      <c r="C30" s="270"/>
      <c r="D30" s="268"/>
      <c r="E30" s="268"/>
      <c r="F30" s="248"/>
      <c r="G30" s="6"/>
      <c r="I30" s="248"/>
      <c r="J30" s="249"/>
      <c r="K30" s="6"/>
      <c r="M30" s="248"/>
      <c r="O30" s="6"/>
      <c r="Q30" s="248"/>
      <c r="U30" s="248"/>
      <c r="W30" s="248"/>
      <c r="Y30" s="248"/>
      <c r="Z30" s="6"/>
      <c r="AC30" s="248"/>
      <c r="AE30" s="248"/>
      <c r="AG30" s="248"/>
      <c r="AI30" s="248"/>
      <c r="AK30" s="248"/>
      <c r="AR30" s="248">
        <v>1.0</v>
      </c>
      <c r="AT30">
        <f t="shared" si="18"/>
        <v>1</v>
      </c>
      <c r="AU30" s="248">
        <v>1.0</v>
      </c>
      <c r="AV30">
        <f t="shared" si="19"/>
        <v>0</v>
      </c>
      <c r="AX30">
        <f t="shared" si="20"/>
        <v>1</v>
      </c>
      <c r="AY30" s="248">
        <v>2.0</v>
      </c>
      <c r="AZ30" s="254">
        <v>2.0</v>
      </c>
      <c r="BA30" s="256">
        <f t="shared" si="21"/>
        <v>-1</v>
      </c>
      <c r="BB30" s="256"/>
      <c r="BC30" s="256">
        <f t="shared" si="22"/>
        <v>2</v>
      </c>
      <c r="BE30">
        <f t="shared" si="23"/>
        <v>0</v>
      </c>
    </row>
    <row r="31">
      <c r="A31" s="297" t="s">
        <v>1759</v>
      </c>
      <c r="B31" s="297" t="s">
        <v>2811</v>
      </c>
      <c r="C31" s="298" t="s">
        <v>2812</v>
      </c>
      <c r="D31" s="297">
        <v>39.5</v>
      </c>
      <c r="E31" s="297">
        <v>16.432</v>
      </c>
      <c r="F31" s="299">
        <v>42.0</v>
      </c>
      <c r="G31" s="300">
        <v>0.0</v>
      </c>
      <c r="H31" s="301">
        <f t="shared" ref="H31:H37" si="68">F31+G31</f>
        <v>42</v>
      </c>
      <c r="I31" s="299">
        <v>20.0</v>
      </c>
      <c r="J31" s="302">
        <f t="shared" ref="J31:J37" si="69">H31-I31</f>
        <v>22</v>
      </c>
      <c r="K31" s="300">
        <v>0.0</v>
      </c>
      <c r="L31" s="301">
        <f t="shared" ref="L31:L37" si="70">I31+K31</f>
        <v>20</v>
      </c>
      <c r="M31" s="299">
        <v>10.0</v>
      </c>
      <c r="N31" s="301">
        <f t="shared" ref="N31:N37" si="71">L31-M31</f>
        <v>10</v>
      </c>
      <c r="O31" s="300">
        <v>16.0</v>
      </c>
      <c r="P31" s="301">
        <f t="shared" ref="P31:P37" si="72">M31+O31</f>
        <v>26</v>
      </c>
      <c r="Q31" s="299">
        <v>15.0</v>
      </c>
      <c r="R31" s="301">
        <f t="shared" ref="R31:R37" si="73">P31-Q31</f>
        <v>11</v>
      </c>
      <c r="S31" s="301"/>
      <c r="T31" s="301">
        <f t="shared" ref="T31:T37" si="74">Q31+S31</f>
        <v>15</v>
      </c>
      <c r="U31" s="299">
        <v>8.0</v>
      </c>
      <c r="V31" s="301">
        <f t="shared" ref="V31:V37" si="75">U31+S31</f>
        <v>8</v>
      </c>
      <c r="W31" s="299">
        <v>24.0</v>
      </c>
      <c r="X31" s="301">
        <f t="shared" ref="X31:X37" si="76">V31+W31</f>
        <v>32</v>
      </c>
      <c r="Y31" s="299">
        <v>18.0</v>
      </c>
      <c r="Z31" s="300">
        <f t="shared" ref="Z31:Z37" si="77">X31-Y31</f>
        <v>14</v>
      </c>
      <c r="AA31" s="300">
        <v>8.0</v>
      </c>
      <c r="AB31" s="301">
        <f t="shared" ref="AB31:AB37" si="78">Y31+AA31</f>
        <v>26</v>
      </c>
      <c r="AC31" s="299">
        <v>19.0</v>
      </c>
      <c r="AD31" s="301">
        <f t="shared" ref="AD31:AD37" si="79">AB31-AC31</f>
        <v>7</v>
      </c>
      <c r="AE31" s="299"/>
      <c r="AF31" s="301">
        <f t="shared" ref="AF31:AF37" si="80">AC31+AE31</f>
        <v>19</v>
      </c>
      <c r="AG31" s="299">
        <v>11.0</v>
      </c>
      <c r="AH31" s="301">
        <f t="shared" ref="AH31:AH37" si="81">AF31-AG31</f>
        <v>8</v>
      </c>
      <c r="AI31" s="299"/>
      <c r="AJ31" s="301">
        <f t="shared" ref="AJ31:AJ37" si="82">AG31+AI31</f>
        <v>11</v>
      </c>
      <c r="AK31" s="299">
        <v>10.0</v>
      </c>
      <c r="AL31" s="301">
        <f t="shared" ref="AL31:AL37" si="83">AJ31-AK31</f>
        <v>1</v>
      </c>
      <c r="AM31" s="300">
        <v>8.0</v>
      </c>
      <c r="AN31" s="301">
        <f t="shared" ref="AN31:AN41" si="84">AK31+AM31</f>
        <v>18</v>
      </c>
      <c r="AO31" s="300">
        <v>16.0</v>
      </c>
      <c r="AP31" s="301"/>
      <c r="AQ31" s="300">
        <v>8.0</v>
      </c>
      <c r="AR31" s="299">
        <v>5.0</v>
      </c>
      <c r="AS31" s="300">
        <v>12.0</v>
      </c>
      <c r="AT31" s="301">
        <f t="shared" si="18"/>
        <v>17</v>
      </c>
      <c r="AU31" s="299">
        <v>13.0</v>
      </c>
      <c r="AV31" s="301">
        <f t="shared" si="19"/>
        <v>4</v>
      </c>
      <c r="AW31" s="301"/>
      <c r="AX31" s="301">
        <f t="shared" si="20"/>
        <v>13</v>
      </c>
      <c r="AY31" s="299">
        <v>7.0</v>
      </c>
      <c r="AZ31" s="255">
        <v>4.0</v>
      </c>
      <c r="BA31" s="256">
        <f t="shared" si="21"/>
        <v>9</v>
      </c>
      <c r="BB31" s="255">
        <v>16.0</v>
      </c>
      <c r="BC31" s="256">
        <f t="shared" si="22"/>
        <v>20</v>
      </c>
      <c r="BD31" s="301"/>
      <c r="BE31">
        <f t="shared" si="23"/>
        <v>71</v>
      </c>
    </row>
    <row r="32">
      <c r="A32" s="304" t="s">
        <v>1759</v>
      </c>
      <c r="B32" s="304" t="s">
        <v>2869</v>
      </c>
      <c r="C32" s="305" t="s">
        <v>2870</v>
      </c>
      <c r="D32" s="304">
        <v>131.5</v>
      </c>
      <c r="E32" s="304">
        <v>54.704</v>
      </c>
      <c r="F32" s="248">
        <v>7.0</v>
      </c>
      <c r="G32" s="6">
        <v>28.0</v>
      </c>
      <c r="H32">
        <f t="shared" si="68"/>
        <v>35</v>
      </c>
      <c r="I32" s="248">
        <v>17.0</v>
      </c>
      <c r="J32" s="249">
        <f t="shared" si="69"/>
        <v>18</v>
      </c>
      <c r="K32" s="6">
        <v>20.0</v>
      </c>
      <c r="L32">
        <f t="shared" si="70"/>
        <v>37</v>
      </c>
      <c r="M32" s="248">
        <v>2.0</v>
      </c>
      <c r="N32">
        <f t="shared" si="71"/>
        <v>35</v>
      </c>
      <c r="O32" s="6">
        <v>20.0</v>
      </c>
      <c r="P32">
        <f t="shared" si="72"/>
        <v>22</v>
      </c>
      <c r="Q32" s="248">
        <v>7.0</v>
      </c>
      <c r="R32">
        <f t="shared" si="73"/>
        <v>15</v>
      </c>
      <c r="S32" s="6">
        <v>24.0</v>
      </c>
      <c r="T32">
        <f t="shared" si="74"/>
        <v>31</v>
      </c>
      <c r="U32" s="248">
        <v>0.0</v>
      </c>
      <c r="V32">
        <f t="shared" si="75"/>
        <v>24</v>
      </c>
      <c r="W32" s="248">
        <v>12.0</v>
      </c>
      <c r="X32">
        <f t="shared" si="76"/>
        <v>36</v>
      </c>
      <c r="Y32" s="248">
        <v>11.0</v>
      </c>
      <c r="Z32" s="6">
        <f t="shared" si="77"/>
        <v>25</v>
      </c>
      <c r="AA32" s="6">
        <v>24.0</v>
      </c>
      <c r="AB32">
        <f t="shared" si="78"/>
        <v>35</v>
      </c>
      <c r="AC32" s="248">
        <v>4.0</v>
      </c>
      <c r="AD32">
        <f t="shared" si="79"/>
        <v>31</v>
      </c>
      <c r="AE32" s="248">
        <v>28.0</v>
      </c>
      <c r="AF32">
        <f t="shared" si="80"/>
        <v>32</v>
      </c>
      <c r="AG32" s="248">
        <v>14.0</v>
      </c>
      <c r="AH32">
        <f t="shared" si="81"/>
        <v>18</v>
      </c>
      <c r="AI32" s="248">
        <v>16.0</v>
      </c>
      <c r="AJ32">
        <f t="shared" si="82"/>
        <v>30</v>
      </c>
      <c r="AK32" s="248">
        <v>0.0</v>
      </c>
      <c r="AL32">
        <f t="shared" si="83"/>
        <v>30</v>
      </c>
      <c r="AM32" s="6">
        <v>32.0</v>
      </c>
      <c r="AN32">
        <f t="shared" si="84"/>
        <v>32</v>
      </c>
      <c r="AO32" s="6">
        <v>16.0</v>
      </c>
      <c r="AQ32" s="6">
        <v>20.0</v>
      </c>
      <c r="AR32" s="248">
        <v>6.0</v>
      </c>
      <c r="AT32">
        <f t="shared" si="18"/>
        <v>6</v>
      </c>
      <c r="AU32" s="248">
        <v>0.0</v>
      </c>
      <c r="AV32">
        <f t="shared" si="19"/>
        <v>6</v>
      </c>
      <c r="AW32" s="6">
        <v>28.0</v>
      </c>
      <c r="AX32">
        <f t="shared" si="20"/>
        <v>28</v>
      </c>
      <c r="AY32" s="6">
        <v>24.0</v>
      </c>
      <c r="AZ32" s="6">
        <v>22.0</v>
      </c>
      <c r="BA32">
        <f t="shared" si="21"/>
        <v>6</v>
      </c>
      <c r="BB32" s="6">
        <v>8.0</v>
      </c>
      <c r="BC32">
        <f t="shared" si="22"/>
        <v>30</v>
      </c>
      <c r="BE32">
        <f t="shared" si="23"/>
        <v>134</v>
      </c>
    </row>
    <row r="33">
      <c r="A33" s="304" t="s">
        <v>1759</v>
      </c>
      <c r="B33" s="304" t="s">
        <v>2891</v>
      </c>
      <c r="C33" s="305" t="s">
        <v>2892</v>
      </c>
      <c r="D33" s="304">
        <v>140.0</v>
      </c>
      <c r="E33" s="304">
        <v>58.24</v>
      </c>
      <c r="F33" s="248">
        <v>16.0</v>
      </c>
      <c r="G33" s="6">
        <v>20.0</v>
      </c>
      <c r="H33">
        <f t="shared" si="68"/>
        <v>36</v>
      </c>
      <c r="I33" s="248">
        <v>13.0</v>
      </c>
      <c r="J33" s="249">
        <f t="shared" si="69"/>
        <v>23</v>
      </c>
      <c r="K33" s="6">
        <v>24.0</v>
      </c>
      <c r="L33">
        <f t="shared" si="70"/>
        <v>37</v>
      </c>
      <c r="M33" s="248">
        <v>17.0</v>
      </c>
      <c r="N33">
        <f t="shared" si="71"/>
        <v>20</v>
      </c>
      <c r="O33" s="6">
        <v>12.0</v>
      </c>
      <c r="P33">
        <f t="shared" si="72"/>
        <v>29</v>
      </c>
      <c r="Q33" s="248">
        <v>7.0</v>
      </c>
      <c r="R33">
        <f t="shared" si="73"/>
        <v>22</v>
      </c>
      <c r="S33" s="6">
        <v>24.0</v>
      </c>
      <c r="T33">
        <f t="shared" si="74"/>
        <v>31</v>
      </c>
      <c r="U33" s="248">
        <v>0.0</v>
      </c>
      <c r="V33">
        <f t="shared" si="75"/>
        <v>24</v>
      </c>
      <c r="W33" s="248">
        <v>12.0</v>
      </c>
      <c r="X33">
        <f t="shared" si="76"/>
        <v>36</v>
      </c>
      <c r="Y33" s="248">
        <v>13.0</v>
      </c>
      <c r="Z33" s="6">
        <f t="shared" si="77"/>
        <v>23</v>
      </c>
      <c r="AA33" s="6">
        <v>24.0</v>
      </c>
      <c r="AB33">
        <f t="shared" si="78"/>
        <v>37</v>
      </c>
      <c r="AC33" s="248">
        <v>4.0</v>
      </c>
      <c r="AD33">
        <f t="shared" si="79"/>
        <v>33</v>
      </c>
      <c r="AE33" s="248">
        <v>28.0</v>
      </c>
      <c r="AF33">
        <f t="shared" si="80"/>
        <v>32</v>
      </c>
      <c r="AG33" s="248">
        <v>7.0</v>
      </c>
      <c r="AH33">
        <f t="shared" si="81"/>
        <v>25</v>
      </c>
      <c r="AI33" s="248">
        <v>24.0</v>
      </c>
      <c r="AJ33">
        <f t="shared" si="82"/>
        <v>31</v>
      </c>
      <c r="AK33" s="248">
        <v>11.0</v>
      </c>
      <c r="AL33">
        <f t="shared" si="83"/>
        <v>20</v>
      </c>
      <c r="AM33" s="6">
        <v>24.0</v>
      </c>
      <c r="AN33">
        <f t="shared" si="84"/>
        <v>35</v>
      </c>
      <c r="AO33" s="6">
        <v>20.0</v>
      </c>
      <c r="AQ33" s="6">
        <v>20.0</v>
      </c>
      <c r="AR33" s="248">
        <v>10.0</v>
      </c>
      <c r="AS33" s="6">
        <v>20.0</v>
      </c>
      <c r="AT33">
        <f t="shared" si="18"/>
        <v>30</v>
      </c>
      <c r="AU33" s="248">
        <v>13.0</v>
      </c>
      <c r="AV33">
        <f t="shared" si="19"/>
        <v>17</v>
      </c>
      <c r="AW33" s="6">
        <v>16.0</v>
      </c>
      <c r="AX33">
        <f t="shared" si="20"/>
        <v>29</v>
      </c>
      <c r="AY33" s="6">
        <v>17.0</v>
      </c>
      <c r="AZ33" s="6">
        <v>15.0</v>
      </c>
      <c r="BA33">
        <f t="shared" si="21"/>
        <v>14</v>
      </c>
      <c r="BB33" s="6">
        <v>16.0</v>
      </c>
      <c r="BC33">
        <f t="shared" si="22"/>
        <v>31</v>
      </c>
      <c r="BE33">
        <f t="shared" si="23"/>
        <v>147</v>
      </c>
    </row>
    <row r="34">
      <c r="A34" s="304" t="s">
        <v>1759</v>
      </c>
      <c r="B34" s="304" t="s">
        <v>2932</v>
      </c>
      <c r="C34" s="305" t="s">
        <v>2934</v>
      </c>
      <c r="D34" s="304">
        <v>74.5</v>
      </c>
      <c r="E34" s="304">
        <v>30.992</v>
      </c>
      <c r="F34" s="248">
        <v>0.0</v>
      </c>
      <c r="G34" s="6">
        <v>18.0</v>
      </c>
      <c r="H34">
        <f t="shared" si="68"/>
        <v>18</v>
      </c>
      <c r="I34" s="248">
        <v>0.0</v>
      </c>
      <c r="J34" s="249">
        <f t="shared" si="69"/>
        <v>18</v>
      </c>
      <c r="K34" s="6">
        <v>18.0</v>
      </c>
      <c r="L34">
        <f t="shared" si="70"/>
        <v>18</v>
      </c>
      <c r="M34" s="248">
        <v>13.0</v>
      </c>
      <c r="N34">
        <f t="shared" si="71"/>
        <v>5</v>
      </c>
      <c r="O34" s="6">
        <v>6.0</v>
      </c>
      <c r="P34">
        <f t="shared" si="72"/>
        <v>19</v>
      </c>
      <c r="Q34" s="248">
        <v>6.0</v>
      </c>
      <c r="R34">
        <f t="shared" si="73"/>
        <v>13</v>
      </c>
      <c r="S34" s="6">
        <v>12.0</v>
      </c>
      <c r="T34">
        <f t="shared" si="74"/>
        <v>18</v>
      </c>
      <c r="U34" s="248">
        <v>1.0</v>
      </c>
      <c r="V34">
        <f t="shared" si="75"/>
        <v>13</v>
      </c>
      <c r="W34" s="6">
        <v>6.0</v>
      </c>
      <c r="X34">
        <f t="shared" si="76"/>
        <v>19</v>
      </c>
      <c r="Y34" s="248">
        <v>14.0</v>
      </c>
      <c r="Z34" s="6">
        <f t="shared" si="77"/>
        <v>5</v>
      </c>
      <c r="AA34" s="6">
        <v>6.0</v>
      </c>
      <c r="AB34">
        <f t="shared" si="78"/>
        <v>20</v>
      </c>
      <c r="AC34" s="248">
        <v>14.0</v>
      </c>
      <c r="AD34">
        <f t="shared" si="79"/>
        <v>6</v>
      </c>
      <c r="AF34">
        <f t="shared" si="80"/>
        <v>14</v>
      </c>
      <c r="AG34" s="248">
        <v>7.0</v>
      </c>
      <c r="AH34">
        <f t="shared" si="81"/>
        <v>7</v>
      </c>
      <c r="AI34" s="6">
        <v>6.0</v>
      </c>
      <c r="AJ34">
        <f t="shared" si="82"/>
        <v>13</v>
      </c>
      <c r="AK34" s="248">
        <v>2.0</v>
      </c>
      <c r="AL34">
        <f t="shared" si="83"/>
        <v>11</v>
      </c>
      <c r="AM34" s="6">
        <v>24.0</v>
      </c>
      <c r="AN34">
        <f t="shared" si="84"/>
        <v>26</v>
      </c>
      <c r="AP34" s="6">
        <v>14.0</v>
      </c>
      <c r="AQ34" s="6">
        <v>12.0</v>
      </c>
      <c r="AR34" s="248">
        <v>17.0</v>
      </c>
      <c r="AT34">
        <f t="shared" si="18"/>
        <v>17</v>
      </c>
      <c r="AU34" s="248">
        <v>14.0</v>
      </c>
      <c r="AV34">
        <f t="shared" si="19"/>
        <v>3</v>
      </c>
      <c r="AX34">
        <f t="shared" si="20"/>
        <v>14</v>
      </c>
      <c r="AY34" s="6">
        <v>8.0</v>
      </c>
      <c r="AZ34" s="6">
        <v>7.0</v>
      </c>
      <c r="BA34">
        <f t="shared" si="21"/>
        <v>7</v>
      </c>
      <c r="BB34" s="6">
        <v>12.0</v>
      </c>
      <c r="BC34">
        <f t="shared" si="22"/>
        <v>19</v>
      </c>
      <c r="BE34">
        <f t="shared" si="23"/>
        <v>61</v>
      </c>
    </row>
    <row r="35">
      <c r="A35" s="304" t="s">
        <v>1759</v>
      </c>
      <c r="B35" s="304" t="s">
        <v>2956</v>
      </c>
      <c r="C35" s="305" t="s">
        <v>2957</v>
      </c>
      <c r="D35" s="304">
        <v>84.0</v>
      </c>
      <c r="E35" s="304">
        <v>34.944</v>
      </c>
      <c r="F35" s="248">
        <v>7.0</v>
      </c>
      <c r="G35" s="6">
        <v>12.0</v>
      </c>
      <c r="H35">
        <f t="shared" si="68"/>
        <v>19</v>
      </c>
      <c r="I35" s="248">
        <v>3.0</v>
      </c>
      <c r="J35" s="249">
        <f t="shared" si="69"/>
        <v>16</v>
      </c>
      <c r="K35" s="6">
        <v>18.0</v>
      </c>
      <c r="L35">
        <f t="shared" si="70"/>
        <v>21</v>
      </c>
      <c r="M35" s="248">
        <v>0.0</v>
      </c>
      <c r="N35">
        <f t="shared" si="71"/>
        <v>21</v>
      </c>
      <c r="O35" s="6">
        <v>12.0</v>
      </c>
      <c r="P35">
        <f t="shared" si="72"/>
        <v>12</v>
      </c>
      <c r="Q35" s="248">
        <v>13.0</v>
      </c>
      <c r="R35">
        <f t="shared" si="73"/>
        <v>-1</v>
      </c>
      <c r="S35" s="6">
        <v>6.0</v>
      </c>
      <c r="T35">
        <f t="shared" si="74"/>
        <v>19</v>
      </c>
      <c r="U35" s="248">
        <v>6.0</v>
      </c>
      <c r="V35">
        <f t="shared" si="75"/>
        <v>12</v>
      </c>
      <c r="W35" s="6">
        <v>6.0</v>
      </c>
      <c r="X35">
        <f t="shared" si="76"/>
        <v>18</v>
      </c>
      <c r="Y35" s="248">
        <v>6.0</v>
      </c>
      <c r="Z35" s="6">
        <f t="shared" si="77"/>
        <v>12</v>
      </c>
      <c r="AA35" s="6">
        <v>12.0</v>
      </c>
      <c r="AB35">
        <f t="shared" si="78"/>
        <v>18</v>
      </c>
      <c r="AC35" s="248">
        <v>8.0</v>
      </c>
      <c r="AD35">
        <f t="shared" si="79"/>
        <v>10</v>
      </c>
      <c r="AE35" s="6">
        <v>6.0</v>
      </c>
      <c r="AF35">
        <f t="shared" si="80"/>
        <v>14</v>
      </c>
      <c r="AG35" s="248">
        <v>6.0</v>
      </c>
      <c r="AH35">
        <f t="shared" si="81"/>
        <v>8</v>
      </c>
      <c r="AI35" s="6">
        <v>6.0</v>
      </c>
      <c r="AJ35">
        <f t="shared" si="82"/>
        <v>12</v>
      </c>
      <c r="AK35" s="248">
        <v>1.0</v>
      </c>
      <c r="AL35">
        <f t="shared" si="83"/>
        <v>11</v>
      </c>
      <c r="AM35" s="6">
        <v>18.0</v>
      </c>
      <c r="AN35">
        <f t="shared" si="84"/>
        <v>19</v>
      </c>
      <c r="AO35" s="6">
        <v>6.0</v>
      </c>
      <c r="AP35" s="6">
        <v>1.0</v>
      </c>
      <c r="AQ35" s="6">
        <v>12.0</v>
      </c>
      <c r="AR35" s="248">
        <v>13.0</v>
      </c>
      <c r="AS35" s="6">
        <v>6.0</v>
      </c>
      <c r="AT35">
        <f t="shared" si="18"/>
        <v>19</v>
      </c>
      <c r="AU35" s="248">
        <v>15.0</v>
      </c>
      <c r="AV35">
        <f t="shared" si="19"/>
        <v>4</v>
      </c>
      <c r="AX35">
        <f t="shared" si="20"/>
        <v>15</v>
      </c>
      <c r="AY35" s="6">
        <v>13.0</v>
      </c>
      <c r="AZ35" s="6">
        <v>12.0</v>
      </c>
      <c r="BA35">
        <f t="shared" si="21"/>
        <v>3</v>
      </c>
      <c r="BB35" s="6">
        <v>6.0</v>
      </c>
      <c r="BC35">
        <f t="shared" si="22"/>
        <v>18</v>
      </c>
      <c r="BE35">
        <f t="shared" si="23"/>
        <v>60</v>
      </c>
    </row>
    <row r="36">
      <c r="A36" s="304" t="s">
        <v>1759</v>
      </c>
      <c r="B36" s="304" t="s">
        <v>2974</v>
      </c>
      <c r="C36" s="305" t="s">
        <v>2975</v>
      </c>
      <c r="D36" s="304">
        <v>86.5</v>
      </c>
      <c r="E36" s="304">
        <v>35.984</v>
      </c>
      <c r="F36" s="248">
        <v>11.0</v>
      </c>
      <c r="G36" s="6">
        <v>12.0</v>
      </c>
      <c r="H36">
        <f t="shared" si="68"/>
        <v>23</v>
      </c>
      <c r="I36" s="248">
        <v>16.0</v>
      </c>
      <c r="J36" s="249">
        <f t="shared" si="69"/>
        <v>7</v>
      </c>
      <c r="K36" s="6">
        <v>8.0</v>
      </c>
      <c r="L36">
        <f t="shared" si="70"/>
        <v>24</v>
      </c>
      <c r="M36" s="248">
        <v>19.0</v>
      </c>
      <c r="N36">
        <f t="shared" si="71"/>
        <v>5</v>
      </c>
      <c r="O36" s="6">
        <v>0.0</v>
      </c>
      <c r="P36">
        <f t="shared" si="72"/>
        <v>19</v>
      </c>
      <c r="Q36" s="248">
        <v>15.0</v>
      </c>
      <c r="R36">
        <f t="shared" si="73"/>
        <v>4</v>
      </c>
      <c r="T36">
        <f t="shared" si="74"/>
        <v>15</v>
      </c>
      <c r="U36" s="248">
        <v>12.0</v>
      </c>
      <c r="V36">
        <f t="shared" si="75"/>
        <v>12</v>
      </c>
      <c r="W36" s="6">
        <v>6.0</v>
      </c>
      <c r="X36">
        <f t="shared" si="76"/>
        <v>18</v>
      </c>
      <c r="Y36" s="248">
        <v>6.0</v>
      </c>
      <c r="Z36" s="6">
        <f t="shared" si="77"/>
        <v>12</v>
      </c>
      <c r="AA36" s="6">
        <v>12.0</v>
      </c>
      <c r="AB36">
        <f t="shared" si="78"/>
        <v>18</v>
      </c>
      <c r="AC36" s="248">
        <v>6.0</v>
      </c>
      <c r="AD36">
        <f t="shared" si="79"/>
        <v>12</v>
      </c>
      <c r="AE36" s="6">
        <v>12.0</v>
      </c>
      <c r="AF36">
        <f t="shared" si="80"/>
        <v>18</v>
      </c>
      <c r="AG36" s="248">
        <v>3.0</v>
      </c>
      <c r="AH36">
        <f t="shared" si="81"/>
        <v>15</v>
      </c>
      <c r="AI36" s="6">
        <v>12.0</v>
      </c>
      <c r="AJ36">
        <f t="shared" si="82"/>
        <v>15</v>
      </c>
      <c r="AK36" s="248">
        <v>5.0</v>
      </c>
      <c r="AL36">
        <f t="shared" si="83"/>
        <v>10</v>
      </c>
      <c r="AM36" s="6">
        <v>12.0</v>
      </c>
      <c r="AN36">
        <f t="shared" si="84"/>
        <v>17</v>
      </c>
      <c r="AO36" s="6">
        <v>8.0</v>
      </c>
      <c r="AQ36" s="6">
        <v>12.0</v>
      </c>
      <c r="AR36" s="248">
        <v>0.0</v>
      </c>
      <c r="AT36">
        <f t="shared" si="18"/>
        <v>0</v>
      </c>
      <c r="AU36" s="248">
        <v>0.0</v>
      </c>
      <c r="AV36">
        <f t="shared" si="19"/>
        <v>0</v>
      </c>
      <c r="AW36" s="6">
        <v>24.0</v>
      </c>
      <c r="AX36">
        <f t="shared" si="20"/>
        <v>24</v>
      </c>
      <c r="AY36" s="6">
        <v>15.0</v>
      </c>
      <c r="AZ36" s="6">
        <v>15.0</v>
      </c>
      <c r="BA36">
        <f t="shared" si="21"/>
        <v>9</v>
      </c>
      <c r="BB36" s="6">
        <v>8.0</v>
      </c>
      <c r="BC36">
        <f t="shared" si="22"/>
        <v>23</v>
      </c>
      <c r="BE36">
        <f t="shared" si="23"/>
        <v>79</v>
      </c>
    </row>
    <row r="37">
      <c r="A37" s="304" t="s">
        <v>1759</v>
      </c>
      <c r="B37" s="304" t="s">
        <v>2989</v>
      </c>
      <c r="C37" s="305" t="s">
        <v>2990</v>
      </c>
      <c r="D37" s="304">
        <v>106.0</v>
      </c>
      <c r="E37" s="304">
        <v>44.096</v>
      </c>
      <c r="F37" s="248">
        <v>19.0</v>
      </c>
      <c r="G37" s="6">
        <v>4.0</v>
      </c>
      <c r="H37">
        <f t="shared" si="68"/>
        <v>23</v>
      </c>
      <c r="I37" s="248">
        <v>14.0</v>
      </c>
      <c r="J37" s="249">
        <f t="shared" si="69"/>
        <v>9</v>
      </c>
      <c r="K37" s="6">
        <v>8.0</v>
      </c>
      <c r="L37">
        <f t="shared" si="70"/>
        <v>22</v>
      </c>
      <c r="M37" s="248">
        <v>16.0</v>
      </c>
      <c r="N37">
        <f t="shared" si="71"/>
        <v>6</v>
      </c>
      <c r="O37" s="6">
        <v>0.0</v>
      </c>
      <c r="P37">
        <f t="shared" si="72"/>
        <v>16</v>
      </c>
      <c r="Q37" s="248">
        <v>11.0</v>
      </c>
      <c r="R37">
        <f t="shared" si="73"/>
        <v>5</v>
      </c>
      <c r="S37" s="6">
        <v>4.0</v>
      </c>
      <c r="T37">
        <f t="shared" si="74"/>
        <v>15</v>
      </c>
      <c r="U37" s="248">
        <v>3.0</v>
      </c>
      <c r="V37">
        <f t="shared" si="75"/>
        <v>7</v>
      </c>
      <c r="W37" s="6">
        <v>12.0</v>
      </c>
      <c r="X37">
        <f t="shared" si="76"/>
        <v>19</v>
      </c>
      <c r="Y37" s="248">
        <v>11.0</v>
      </c>
      <c r="Z37" s="6">
        <f t="shared" si="77"/>
        <v>8</v>
      </c>
      <c r="AA37" s="6">
        <v>6.0</v>
      </c>
      <c r="AB37">
        <f t="shared" si="78"/>
        <v>17</v>
      </c>
      <c r="AC37" s="248">
        <v>2.0</v>
      </c>
      <c r="AD37">
        <f t="shared" si="79"/>
        <v>15</v>
      </c>
      <c r="AE37" s="6">
        <v>12.0</v>
      </c>
      <c r="AF37">
        <f t="shared" si="80"/>
        <v>14</v>
      </c>
      <c r="AG37" s="248">
        <v>0.0</v>
      </c>
      <c r="AH37">
        <f t="shared" si="81"/>
        <v>14</v>
      </c>
      <c r="AI37" s="6">
        <v>16.0</v>
      </c>
      <c r="AJ37">
        <f t="shared" si="82"/>
        <v>16</v>
      </c>
      <c r="AK37" s="248">
        <v>9.0</v>
      </c>
      <c r="AL37">
        <f t="shared" si="83"/>
        <v>7</v>
      </c>
      <c r="AM37" s="6">
        <v>8.0</v>
      </c>
      <c r="AN37">
        <f t="shared" si="84"/>
        <v>17</v>
      </c>
      <c r="AO37" s="6">
        <v>16.0</v>
      </c>
      <c r="AQ37" s="6">
        <v>4.0</v>
      </c>
      <c r="AR37" s="248">
        <v>11.0</v>
      </c>
      <c r="AS37" s="6">
        <v>12.0</v>
      </c>
      <c r="AT37">
        <f t="shared" si="18"/>
        <v>23</v>
      </c>
      <c r="AU37" s="248">
        <v>19.0</v>
      </c>
      <c r="AV37">
        <f t="shared" si="19"/>
        <v>4</v>
      </c>
      <c r="AW37" s="6">
        <v>4.0</v>
      </c>
      <c r="AX37">
        <f t="shared" si="20"/>
        <v>23</v>
      </c>
      <c r="AY37" s="6">
        <v>18.0</v>
      </c>
      <c r="AZ37" s="6">
        <v>17.0</v>
      </c>
      <c r="BA37">
        <f t="shared" si="21"/>
        <v>6</v>
      </c>
      <c r="BB37" s="6">
        <v>4.0</v>
      </c>
      <c r="BC37">
        <f t="shared" si="22"/>
        <v>21</v>
      </c>
      <c r="BE37">
        <f t="shared" si="23"/>
        <v>64</v>
      </c>
    </row>
    <row r="38">
      <c r="A38" s="304" t="s">
        <v>1759</v>
      </c>
      <c r="B38" s="304" t="s">
        <v>3008</v>
      </c>
      <c r="C38" s="307"/>
      <c r="D38" s="304"/>
      <c r="E38" s="304"/>
      <c r="F38" s="248"/>
      <c r="G38" s="6"/>
      <c r="I38" s="248"/>
      <c r="J38" s="249"/>
      <c r="K38" s="6"/>
      <c r="M38" s="248"/>
      <c r="O38" s="6"/>
      <c r="Q38" s="248"/>
      <c r="S38" s="6"/>
      <c r="U38" s="248"/>
      <c r="Y38" s="248"/>
      <c r="Z38" s="6"/>
      <c r="AC38" s="248"/>
      <c r="AE38" s="6"/>
      <c r="AG38" s="248"/>
      <c r="AI38" s="6"/>
      <c r="AK38" s="248"/>
      <c r="AM38" s="6">
        <v>4.0</v>
      </c>
      <c r="AN38">
        <f t="shared" si="84"/>
        <v>4</v>
      </c>
      <c r="AQ38" s="6">
        <v>4.0</v>
      </c>
      <c r="AR38" s="248">
        <v>4.0</v>
      </c>
      <c r="AT38">
        <f t="shared" si="18"/>
        <v>4</v>
      </c>
      <c r="AU38" s="248">
        <v>3.0</v>
      </c>
      <c r="AV38">
        <f t="shared" si="19"/>
        <v>1</v>
      </c>
      <c r="AW38" s="6">
        <v>4.0</v>
      </c>
      <c r="AX38">
        <f t="shared" si="20"/>
        <v>7</v>
      </c>
      <c r="AY38" s="6">
        <v>8.0</v>
      </c>
      <c r="AZ38" s="6">
        <v>6.0</v>
      </c>
      <c r="BA38">
        <f t="shared" si="21"/>
        <v>1</v>
      </c>
      <c r="BC38">
        <f t="shared" si="22"/>
        <v>6</v>
      </c>
      <c r="BE38">
        <f t="shared" si="23"/>
        <v>12</v>
      </c>
    </row>
    <row r="39">
      <c r="A39" s="304" t="s">
        <v>1759</v>
      </c>
      <c r="B39" s="304" t="s">
        <v>3019</v>
      </c>
      <c r="C39" s="307" t="s">
        <v>3020</v>
      </c>
      <c r="D39" s="304">
        <v>148.0</v>
      </c>
      <c r="E39" s="304">
        <v>61.568</v>
      </c>
      <c r="F39" s="248">
        <v>3.0</v>
      </c>
      <c r="G39" s="6">
        <v>4.0</v>
      </c>
      <c r="H39">
        <f>F39+G39</f>
        <v>7</v>
      </c>
      <c r="I39" s="248">
        <v>5.0</v>
      </c>
      <c r="J39" s="249">
        <f>H39-I39</f>
        <v>2</v>
      </c>
      <c r="K39" s="6">
        <v>0.0</v>
      </c>
      <c r="L39">
        <f>I39+K39</f>
        <v>5</v>
      </c>
      <c r="M39" s="248">
        <v>2.0</v>
      </c>
      <c r="N39">
        <f>L39-M39</f>
        <v>3</v>
      </c>
      <c r="O39" s="6">
        <v>4.0</v>
      </c>
      <c r="P39">
        <f>M39+O39</f>
        <v>6</v>
      </c>
      <c r="Q39" s="248">
        <v>0.0</v>
      </c>
      <c r="R39">
        <f t="shared" ref="R39:R52" si="85">P39-Q39</f>
        <v>6</v>
      </c>
      <c r="S39" s="6">
        <v>8.0</v>
      </c>
      <c r="T39">
        <f t="shared" ref="T39:T52" si="86">Q39+S39</f>
        <v>8</v>
      </c>
      <c r="U39" s="248">
        <v>0.0</v>
      </c>
      <c r="V39">
        <f t="shared" ref="V39:V41" si="87">U39+S39</f>
        <v>8</v>
      </c>
      <c r="X39">
        <f t="shared" ref="X39:X41" si="88">V39+W39</f>
        <v>8</v>
      </c>
      <c r="Y39" s="248">
        <v>9.0</v>
      </c>
      <c r="Z39" s="6">
        <f t="shared" ref="Z39:Z41" si="89">X39-Y39</f>
        <v>-1</v>
      </c>
      <c r="AB39">
        <f t="shared" ref="AB39:AB52" si="90">Y39+AA39</f>
        <v>9</v>
      </c>
      <c r="AC39" s="248">
        <v>1.0</v>
      </c>
      <c r="AD39">
        <f t="shared" ref="AD39:AD52" si="91">AB39-AC39</f>
        <v>8</v>
      </c>
      <c r="AE39" s="6">
        <v>4.0</v>
      </c>
      <c r="AF39">
        <f t="shared" ref="AF39:AF41" si="92">AC39+AE39</f>
        <v>5</v>
      </c>
      <c r="AG39" s="248">
        <v>0.0</v>
      </c>
      <c r="AH39">
        <f t="shared" ref="AH39:AH41" si="93">AF39-AG39</f>
        <v>5</v>
      </c>
      <c r="AI39" s="6">
        <v>4.0</v>
      </c>
      <c r="AJ39">
        <f t="shared" ref="AJ39:AJ41" si="94">AG39+AI39</f>
        <v>4</v>
      </c>
      <c r="AK39" s="248">
        <v>1.0</v>
      </c>
      <c r="AL39">
        <f t="shared" ref="AL39:AL41" si="95">AJ39-AK39</f>
        <v>3</v>
      </c>
      <c r="AM39" s="6">
        <v>8.0</v>
      </c>
      <c r="AN39">
        <f t="shared" si="84"/>
        <v>9</v>
      </c>
      <c r="AP39" s="6">
        <v>2.0</v>
      </c>
      <c r="AQ39" s="6">
        <v>4.0</v>
      </c>
      <c r="AR39" s="248">
        <v>0.0</v>
      </c>
      <c r="AS39" s="6">
        <v>8.0</v>
      </c>
      <c r="AT39">
        <f t="shared" si="18"/>
        <v>8</v>
      </c>
      <c r="AU39" s="248">
        <v>3.0</v>
      </c>
      <c r="AV39">
        <f t="shared" si="19"/>
        <v>5</v>
      </c>
      <c r="AW39" s="6">
        <v>4.0</v>
      </c>
      <c r="AX39">
        <f t="shared" si="20"/>
        <v>7</v>
      </c>
      <c r="AY39" s="6">
        <v>5.0</v>
      </c>
      <c r="AZ39" s="6">
        <v>4.0</v>
      </c>
      <c r="BA39">
        <f t="shared" si="21"/>
        <v>3</v>
      </c>
      <c r="BB39" s="6">
        <v>4.0</v>
      </c>
      <c r="BC39">
        <f t="shared" si="22"/>
        <v>8</v>
      </c>
      <c r="BE39">
        <f t="shared" si="23"/>
        <v>32</v>
      </c>
    </row>
    <row r="40">
      <c r="A40" s="304" t="s">
        <v>1759</v>
      </c>
      <c r="B40" s="304" t="s">
        <v>3056</v>
      </c>
      <c r="C40" s="307"/>
      <c r="D40" s="304">
        <v>82.0</v>
      </c>
      <c r="E40" s="304">
        <v>34.112</v>
      </c>
      <c r="F40" s="248"/>
      <c r="G40" s="6"/>
      <c r="I40" s="248"/>
      <c r="J40" s="249"/>
      <c r="K40" s="6"/>
      <c r="M40" s="248"/>
      <c r="O40" s="6"/>
      <c r="Q40" s="248">
        <v>0.0</v>
      </c>
      <c r="R40">
        <f t="shared" si="85"/>
        <v>0</v>
      </c>
      <c r="S40" s="6">
        <v>4.0</v>
      </c>
      <c r="T40">
        <f t="shared" si="86"/>
        <v>4</v>
      </c>
      <c r="U40" s="248">
        <v>0.0</v>
      </c>
      <c r="V40">
        <f t="shared" si="87"/>
        <v>4</v>
      </c>
      <c r="W40" s="6">
        <v>8.0</v>
      </c>
      <c r="X40">
        <f t="shared" si="88"/>
        <v>12</v>
      </c>
      <c r="Y40" s="248">
        <v>12.0</v>
      </c>
      <c r="Z40" s="6">
        <f t="shared" si="89"/>
        <v>0</v>
      </c>
      <c r="AB40">
        <f t="shared" si="90"/>
        <v>12</v>
      </c>
      <c r="AC40" s="248">
        <v>9.0</v>
      </c>
      <c r="AD40">
        <f t="shared" si="91"/>
        <v>3</v>
      </c>
      <c r="AF40">
        <f t="shared" si="92"/>
        <v>9</v>
      </c>
      <c r="AG40" s="248">
        <v>6.0</v>
      </c>
      <c r="AH40">
        <f t="shared" si="93"/>
        <v>3</v>
      </c>
      <c r="AI40" s="6">
        <v>4.0</v>
      </c>
      <c r="AJ40">
        <f t="shared" si="94"/>
        <v>10</v>
      </c>
      <c r="AK40" s="248">
        <v>4.0</v>
      </c>
      <c r="AL40">
        <f t="shared" si="95"/>
        <v>6</v>
      </c>
      <c r="AM40" s="6">
        <v>8.0</v>
      </c>
      <c r="AN40">
        <f t="shared" si="84"/>
        <v>12</v>
      </c>
      <c r="AO40" s="6">
        <v>4.0</v>
      </c>
      <c r="AP40" s="6">
        <v>3.0</v>
      </c>
      <c r="AQ40" s="6">
        <v>4.0</v>
      </c>
      <c r="AR40" s="248">
        <v>0.0</v>
      </c>
      <c r="AS40" s="6">
        <v>12.0</v>
      </c>
      <c r="AT40">
        <f t="shared" si="18"/>
        <v>12</v>
      </c>
      <c r="AU40" s="248">
        <v>9.0</v>
      </c>
      <c r="AV40">
        <f t="shared" si="19"/>
        <v>3</v>
      </c>
      <c r="AW40" s="6">
        <v>4.0</v>
      </c>
      <c r="AX40">
        <f t="shared" si="20"/>
        <v>13</v>
      </c>
      <c r="AY40" s="6">
        <v>9.0</v>
      </c>
      <c r="AZ40" s="6">
        <v>9.0</v>
      </c>
      <c r="BA40">
        <f t="shared" si="21"/>
        <v>4</v>
      </c>
      <c r="BB40" s="6">
        <v>4.0</v>
      </c>
      <c r="BC40">
        <f t="shared" si="22"/>
        <v>13</v>
      </c>
      <c r="BE40">
        <f t="shared" si="23"/>
        <v>46</v>
      </c>
    </row>
    <row r="41">
      <c r="A41" s="316" t="s">
        <v>1759</v>
      </c>
      <c r="B41" s="316" t="s">
        <v>3074</v>
      </c>
      <c r="C41" s="319"/>
      <c r="D41" s="316">
        <v>91.0</v>
      </c>
      <c r="E41" s="316">
        <v>37.856</v>
      </c>
      <c r="F41" s="254"/>
      <c r="G41" s="255"/>
      <c r="H41" s="256"/>
      <c r="I41" s="254"/>
      <c r="J41" s="257"/>
      <c r="K41" s="255"/>
      <c r="L41" s="256"/>
      <c r="M41" s="254"/>
      <c r="N41" s="256"/>
      <c r="O41" s="255"/>
      <c r="P41" s="256"/>
      <c r="Q41" s="254">
        <v>0.0</v>
      </c>
      <c r="R41" s="256">
        <f t="shared" si="85"/>
        <v>0</v>
      </c>
      <c r="S41" s="255">
        <v>4.0</v>
      </c>
      <c r="T41" s="256">
        <f t="shared" si="86"/>
        <v>4</v>
      </c>
      <c r="U41" s="254">
        <v>0.0</v>
      </c>
      <c r="V41" s="256">
        <f t="shared" si="87"/>
        <v>4</v>
      </c>
      <c r="W41" s="255">
        <v>8.0</v>
      </c>
      <c r="X41" s="256">
        <f t="shared" si="88"/>
        <v>12</v>
      </c>
      <c r="Y41" s="254">
        <v>10.0</v>
      </c>
      <c r="Z41" s="255">
        <f t="shared" si="89"/>
        <v>2</v>
      </c>
      <c r="AA41" s="256"/>
      <c r="AB41" s="256">
        <f t="shared" si="90"/>
        <v>10</v>
      </c>
      <c r="AC41" s="254">
        <v>5.0</v>
      </c>
      <c r="AD41" s="256">
        <f t="shared" si="91"/>
        <v>5</v>
      </c>
      <c r="AE41" s="255">
        <v>4.0</v>
      </c>
      <c r="AF41" s="256">
        <f t="shared" si="92"/>
        <v>9</v>
      </c>
      <c r="AG41" s="254">
        <v>0.0</v>
      </c>
      <c r="AH41" s="256">
        <f t="shared" si="93"/>
        <v>9</v>
      </c>
      <c r="AI41" s="255">
        <v>12.0</v>
      </c>
      <c r="AJ41" s="256">
        <f t="shared" si="94"/>
        <v>12</v>
      </c>
      <c r="AK41" s="254">
        <v>3.0</v>
      </c>
      <c r="AL41" s="256">
        <f t="shared" si="95"/>
        <v>9</v>
      </c>
      <c r="AM41" s="255">
        <v>8.0</v>
      </c>
      <c r="AN41" s="256">
        <f t="shared" si="84"/>
        <v>11</v>
      </c>
      <c r="AO41" s="255">
        <v>4.0</v>
      </c>
      <c r="AP41" s="256"/>
      <c r="AQ41" s="255">
        <v>4.0</v>
      </c>
      <c r="AR41" s="254">
        <v>1.0</v>
      </c>
      <c r="AS41" s="255">
        <v>12.0</v>
      </c>
      <c r="AT41" s="256">
        <f t="shared" si="18"/>
        <v>13</v>
      </c>
      <c r="AU41" s="254">
        <v>11.0</v>
      </c>
      <c r="AV41" s="256">
        <f t="shared" si="19"/>
        <v>2</v>
      </c>
      <c r="AW41" s="255">
        <v>4.0</v>
      </c>
      <c r="AX41" s="256">
        <f t="shared" si="20"/>
        <v>15</v>
      </c>
      <c r="AY41" s="255">
        <v>10.0</v>
      </c>
      <c r="AZ41" s="255">
        <v>7.0</v>
      </c>
      <c r="BA41" s="256">
        <f t="shared" si="21"/>
        <v>8</v>
      </c>
      <c r="BB41" s="255">
        <v>8.0</v>
      </c>
      <c r="BC41" s="256">
        <f t="shared" si="22"/>
        <v>15</v>
      </c>
      <c r="BD41" s="256"/>
      <c r="BE41">
        <f t="shared" si="23"/>
        <v>52</v>
      </c>
    </row>
    <row r="42">
      <c r="A42" s="328" t="s">
        <v>3111</v>
      </c>
      <c r="B42" s="329"/>
      <c r="C42" s="330"/>
      <c r="D42" s="329"/>
      <c r="E42" s="4"/>
      <c r="F42" s="331"/>
      <c r="G42" s="4">
        <f>SUM(G2:G39)</f>
        <v>100</v>
      </c>
      <c r="H42" s="4"/>
      <c r="I42" s="4"/>
      <c r="J42" s="333"/>
      <c r="K42" s="4">
        <f>SUM(K2:K39)</f>
        <v>110</v>
      </c>
      <c r="L42" s="4"/>
      <c r="M42" s="331"/>
      <c r="N42" s="4"/>
      <c r="O42" s="4">
        <f>SUM(O2:O39)</f>
        <v>98</v>
      </c>
      <c r="Q42" s="331"/>
      <c r="R42">
        <f t="shared" si="85"/>
        <v>0</v>
      </c>
      <c r="S42" s="4">
        <f>SUM(S2:S41)</f>
        <v>102</v>
      </c>
      <c r="T42" s="4">
        <f t="shared" si="86"/>
        <v>102</v>
      </c>
      <c r="U42" s="4"/>
      <c r="V42" s="4"/>
      <c r="W42" s="4"/>
      <c r="X42" s="4"/>
      <c r="Y42" s="331"/>
      <c r="AB42">
        <f t="shared" si="90"/>
        <v>0</v>
      </c>
      <c r="AC42" s="331"/>
      <c r="AD42">
        <f t="shared" si="91"/>
        <v>0</v>
      </c>
      <c r="AE42" s="4"/>
      <c r="AF42" s="4"/>
      <c r="AG42" s="331"/>
      <c r="AH42" s="4"/>
      <c r="AI42" s="4"/>
      <c r="AJ42" s="4"/>
      <c r="AK42" s="331"/>
      <c r="AL42" s="4"/>
      <c r="AM42" s="4"/>
      <c r="AN42" s="4"/>
      <c r="AO42" s="4"/>
      <c r="AP42" s="4"/>
      <c r="AQ42" s="4"/>
      <c r="AR42" s="4"/>
      <c r="AS42" s="4"/>
      <c r="AT42" s="4"/>
      <c r="AU42" s="4"/>
      <c r="AV42" s="4"/>
      <c r="AW42" s="4"/>
      <c r="AX42" s="4"/>
      <c r="AY42" s="4"/>
      <c r="AZ42" s="4"/>
      <c r="BA42" s="4"/>
      <c r="BB42" s="4"/>
      <c r="BC42" s="4"/>
      <c r="BD42" s="4"/>
      <c r="BE42" s="4"/>
    </row>
    <row r="43">
      <c r="C43" s="226"/>
      <c r="F43" s="331"/>
      <c r="J43" s="249"/>
      <c r="M43" s="331"/>
      <c r="Q43" s="331"/>
      <c r="R43">
        <f t="shared" si="85"/>
        <v>0</v>
      </c>
      <c r="T43">
        <f t="shared" si="86"/>
        <v>0</v>
      </c>
      <c r="Y43" s="331"/>
      <c r="AB43">
        <f t="shared" si="90"/>
        <v>0</v>
      </c>
      <c r="AC43" s="331"/>
      <c r="AD43">
        <f t="shared" si="91"/>
        <v>0</v>
      </c>
      <c r="AG43" s="331"/>
      <c r="AK43" s="331"/>
    </row>
    <row r="44">
      <c r="A44" s="3" t="s">
        <v>3167</v>
      </c>
      <c r="C44" s="226"/>
      <c r="F44" s="331"/>
      <c r="J44" s="249"/>
      <c r="M44" s="331"/>
      <c r="Q44" s="331"/>
      <c r="R44">
        <f t="shared" si="85"/>
        <v>0</v>
      </c>
      <c r="T44">
        <f t="shared" si="86"/>
        <v>0</v>
      </c>
      <c r="Y44" s="331"/>
      <c r="AB44">
        <f t="shared" si="90"/>
        <v>0</v>
      </c>
      <c r="AC44" s="331"/>
      <c r="AD44">
        <f t="shared" si="91"/>
        <v>0</v>
      </c>
      <c r="AG44" s="331"/>
      <c r="AK44" s="331"/>
    </row>
    <row r="45">
      <c r="A45" s="6" t="s">
        <v>1759</v>
      </c>
      <c r="B45" s="6" t="s">
        <v>3175</v>
      </c>
      <c r="C45" s="127" t="s">
        <v>3176</v>
      </c>
      <c r="F45" s="331"/>
      <c r="J45" s="249"/>
      <c r="M45" s="248">
        <v>30.0</v>
      </c>
      <c r="N45" t="str">
        <f t="shared" ref="N45:N49" si="96">#REF!-M45</f>
        <v>#REF!</v>
      </c>
      <c r="O45" s="6">
        <v>0.0</v>
      </c>
      <c r="P45">
        <f t="shared" ref="P45:P52" si="97">M45+O45</f>
        <v>30</v>
      </c>
      <c r="Q45" s="248">
        <v>28.0</v>
      </c>
      <c r="R45">
        <f t="shared" si="85"/>
        <v>2</v>
      </c>
      <c r="T45">
        <f t="shared" si="86"/>
        <v>28</v>
      </c>
      <c r="Y45" s="248">
        <v>28.0</v>
      </c>
      <c r="AB45">
        <f t="shared" si="90"/>
        <v>28</v>
      </c>
      <c r="AC45" s="248">
        <v>24.0</v>
      </c>
      <c r="AD45">
        <f t="shared" si="91"/>
        <v>4</v>
      </c>
      <c r="AG45" s="331"/>
      <c r="AK45" s="331"/>
    </row>
    <row r="46">
      <c r="A46" s="6" t="s">
        <v>1759</v>
      </c>
      <c r="B46" s="6" t="s">
        <v>3191</v>
      </c>
      <c r="C46" s="127" t="s">
        <v>3192</v>
      </c>
      <c r="F46" s="331"/>
      <c r="J46" s="249"/>
      <c r="M46" s="248">
        <v>13.0</v>
      </c>
      <c r="N46" t="str">
        <f t="shared" si="96"/>
        <v>#REF!</v>
      </c>
      <c r="O46" s="6">
        <v>0.0</v>
      </c>
      <c r="P46">
        <f t="shared" si="97"/>
        <v>13</v>
      </c>
      <c r="Q46" s="248">
        <v>15.0</v>
      </c>
      <c r="R46">
        <f t="shared" si="85"/>
        <v>-2</v>
      </c>
      <c r="T46">
        <f t="shared" si="86"/>
        <v>15</v>
      </c>
      <c r="Y46" s="248">
        <v>12.0</v>
      </c>
      <c r="AB46">
        <f t="shared" si="90"/>
        <v>12</v>
      </c>
      <c r="AC46" s="248">
        <v>2.0</v>
      </c>
      <c r="AD46">
        <f t="shared" si="91"/>
        <v>10</v>
      </c>
      <c r="AG46" s="331"/>
      <c r="AK46" s="331"/>
    </row>
    <row r="47">
      <c r="A47" s="6" t="s">
        <v>1759</v>
      </c>
      <c r="B47" s="6" t="s">
        <v>3200</v>
      </c>
      <c r="C47" s="127" t="s">
        <v>3202</v>
      </c>
      <c r="F47" s="331"/>
      <c r="J47" s="249"/>
      <c r="M47" s="248">
        <v>2.0</v>
      </c>
      <c r="N47" t="str">
        <f t="shared" si="96"/>
        <v>#REF!</v>
      </c>
      <c r="O47" s="6">
        <v>0.0</v>
      </c>
      <c r="P47">
        <f t="shared" si="97"/>
        <v>2</v>
      </c>
      <c r="Q47" s="248">
        <v>2.0</v>
      </c>
      <c r="R47">
        <f t="shared" si="85"/>
        <v>0</v>
      </c>
      <c r="T47">
        <f t="shared" si="86"/>
        <v>2</v>
      </c>
      <c r="Y47" s="248">
        <v>2.0</v>
      </c>
      <c r="AB47">
        <f t="shared" si="90"/>
        <v>2</v>
      </c>
      <c r="AC47" s="248">
        <v>1.0</v>
      </c>
      <c r="AD47">
        <f t="shared" si="91"/>
        <v>1</v>
      </c>
      <c r="AG47" s="331"/>
      <c r="AK47" s="331"/>
    </row>
    <row r="48">
      <c r="A48" s="6" t="s">
        <v>1759</v>
      </c>
      <c r="B48" s="6" t="s">
        <v>3211</v>
      </c>
      <c r="C48" s="127" t="s">
        <v>3212</v>
      </c>
      <c r="F48" s="331"/>
      <c r="J48" s="249"/>
      <c r="M48" s="248">
        <v>0.0</v>
      </c>
      <c r="N48" t="str">
        <f t="shared" si="96"/>
        <v>#REF!</v>
      </c>
      <c r="O48" s="6">
        <v>0.0</v>
      </c>
      <c r="P48">
        <f t="shared" si="97"/>
        <v>0</v>
      </c>
      <c r="Q48" s="331"/>
      <c r="R48">
        <f t="shared" si="85"/>
        <v>0</v>
      </c>
      <c r="T48">
        <f t="shared" si="86"/>
        <v>0</v>
      </c>
      <c r="Y48" s="331"/>
      <c r="AB48">
        <f t="shared" si="90"/>
        <v>0</v>
      </c>
      <c r="AC48" s="331"/>
      <c r="AD48">
        <f t="shared" si="91"/>
        <v>0</v>
      </c>
      <c r="AG48" s="331"/>
      <c r="AK48" s="331"/>
    </row>
    <row r="49">
      <c r="A49" s="6" t="s">
        <v>1759</v>
      </c>
      <c r="B49" s="6" t="s">
        <v>3217</v>
      </c>
      <c r="C49" s="127" t="s">
        <v>3218</v>
      </c>
      <c r="F49" s="331"/>
      <c r="J49" s="249"/>
      <c r="M49" s="248">
        <v>0.0</v>
      </c>
      <c r="N49" t="str">
        <f t="shared" si="96"/>
        <v>#REF!</v>
      </c>
      <c r="O49" s="6">
        <v>0.0</v>
      </c>
      <c r="P49">
        <f t="shared" si="97"/>
        <v>0</v>
      </c>
      <c r="Q49" s="331"/>
      <c r="R49">
        <f t="shared" si="85"/>
        <v>0</v>
      </c>
      <c r="T49">
        <f t="shared" si="86"/>
        <v>0</v>
      </c>
      <c r="Y49" s="331"/>
      <c r="AB49">
        <f t="shared" si="90"/>
        <v>0</v>
      </c>
      <c r="AC49" s="331"/>
      <c r="AD49">
        <f t="shared" si="91"/>
        <v>0</v>
      </c>
      <c r="AG49" s="331"/>
      <c r="AK49" s="331"/>
    </row>
    <row r="50">
      <c r="B50" s="6" t="s">
        <v>3230</v>
      </c>
      <c r="C50" s="226"/>
      <c r="F50" s="331"/>
      <c r="J50" s="249"/>
      <c r="M50" s="331"/>
      <c r="O50" s="6">
        <v>0.0</v>
      </c>
      <c r="P50">
        <f t="shared" si="97"/>
        <v>0</v>
      </c>
      <c r="Q50" s="331"/>
      <c r="R50">
        <f t="shared" si="85"/>
        <v>0</v>
      </c>
      <c r="T50">
        <f t="shared" si="86"/>
        <v>0</v>
      </c>
      <c r="Y50" s="331"/>
      <c r="AB50">
        <f t="shared" si="90"/>
        <v>0</v>
      </c>
      <c r="AC50" s="331"/>
      <c r="AD50">
        <f t="shared" si="91"/>
        <v>0</v>
      </c>
      <c r="AG50" s="331"/>
      <c r="AK50" s="331"/>
    </row>
    <row r="51">
      <c r="A51" s="6" t="s">
        <v>1759</v>
      </c>
      <c r="B51" s="6" t="s">
        <v>3236</v>
      </c>
      <c r="C51" s="127" t="s">
        <v>3237</v>
      </c>
      <c r="F51" s="331"/>
      <c r="J51" s="249"/>
      <c r="M51" s="331"/>
      <c r="O51" s="6">
        <v>4.0</v>
      </c>
      <c r="P51">
        <f t="shared" si="97"/>
        <v>4</v>
      </c>
      <c r="Q51" s="248">
        <v>3.0</v>
      </c>
      <c r="R51">
        <f t="shared" si="85"/>
        <v>1</v>
      </c>
      <c r="T51">
        <f t="shared" si="86"/>
        <v>3</v>
      </c>
      <c r="Y51" s="248">
        <v>1.0</v>
      </c>
      <c r="AB51">
        <f t="shared" si="90"/>
        <v>1</v>
      </c>
      <c r="AC51" s="248">
        <v>1.0</v>
      </c>
      <c r="AD51">
        <f t="shared" si="91"/>
        <v>0</v>
      </c>
      <c r="AG51" s="331"/>
      <c r="AK51" s="248">
        <v>1.0</v>
      </c>
      <c r="AM51" s="6">
        <v>4.0</v>
      </c>
      <c r="AN51">
        <f>AK51+AM51</f>
        <v>5</v>
      </c>
    </row>
    <row r="52">
      <c r="A52" s="6" t="s">
        <v>1759</v>
      </c>
      <c r="B52" s="6" t="s">
        <v>3244</v>
      </c>
      <c r="C52" s="226"/>
      <c r="F52" s="331"/>
      <c r="J52" s="249"/>
      <c r="M52" s="331"/>
      <c r="O52" s="6">
        <v>4.0</v>
      </c>
      <c r="P52">
        <f t="shared" si="97"/>
        <v>4</v>
      </c>
      <c r="Q52" s="248">
        <v>4.0</v>
      </c>
      <c r="R52">
        <f t="shared" si="85"/>
        <v>0</v>
      </c>
      <c r="T52">
        <f t="shared" si="86"/>
        <v>4</v>
      </c>
      <c r="Y52" s="248">
        <v>4.0</v>
      </c>
      <c r="AB52">
        <f t="shared" si="90"/>
        <v>4</v>
      </c>
      <c r="AC52" s="248">
        <v>4.0</v>
      </c>
      <c r="AD52">
        <f t="shared" si="91"/>
        <v>0</v>
      </c>
      <c r="AG52" s="331"/>
      <c r="AK52" s="331"/>
    </row>
    <row r="53">
      <c r="C53" s="226"/>
      <c r="F53" s="331"/>
      <c r="J53" s="249"/>
      <c r="M53" s="331"/>
      <c r="Y53" s="331"/>
      <c r="AC53" s="331"/>
      <c r="AG53" s="331"/>
      <c r="AK53" s="331"/>
    </row>
    <row r="54">
      <c r="C54" s="226"/>
      <c r="F54" s="331"/>
      <c r="J54" s="249"/>
      <c r="M54" s="331"/>
      <c r="Y54" s="331"/>
      <c r="AC54" s="331"/>
      <c r="AG54" s="331"/>
      <c r="AK54" s="331"/>
    </row>
    <row r="55">
      <c r="A55" s="3" t="s">
        <v>3260</v>
      </c>
      <c r="C55" s="226"/>
      <c r="F55" s="331"/>
      <c r="J55" s="249"/>
      <c r="M55" s="331"/>
      <c r="Y55" s="331"/>
      <c r="AC55" s="331"/>
      <c r="AG55" s="331"/>
      <c r="AK55" s="331"/>
    </row>
    <row r="56">
      <c r="A56" s="6" t="s">
        <v>1759</v>
      </c>
      <c r="B56" s="6" t="s">
        <v>3265</v>
      </c>
      <c r="C56" s="127" t="s">
        <v>3266</v>
      </c>
      <c r="D56" s="6">
        <v>10.0</v>
      </c>
      <c r="E56" s="6">
        <v>4.16</v>
      </c>
      <c r="F56" s="331"/>
      <c r="J56" s="249"/>
      <c r="M56" s="331"/>
      <c r="S56" s="6">
        <v>10.0</v>
      </c>
      <c r="Y56" s="331"/>
      <c r="AC56" s="331"/>
      <c r="AG56" s="331"/>
      <c r="AK56" s="248">
        <v>0.0</v>
      </c>
      <c r="AM56" s="6">
        <v>10.0</v>
      </c>
      <c r="AN56">
        <f t="shared" ref="AN56:AN57" si="98">AK56+AM56</f>
        <v>10</v>
      </c>
    </row>
    <row r="57">
      <c r="A57" s="6" t="s">
        <v>1759</v>
      </c>
      <c r="B57" s="6" t="s">
        <v>3270</v>
      </c>
      <c r="C57" s="127" t="s">
        <v>3271</v>
      </c>
      <c r="F57" s="331"/>
      <c r="J57" s="249"/>
      <c r="M57" s="331"/>
      <c r="S57" s="6">
        <v>10.0</v>
      </c>
      <c r="Y57" s="331"/>
      <c r="AA57" s="6">
        <v>10.0</v>
      </c>
      <c r="AC57" s="331"/>
      <c r="AG57" s="331"/>
      <c r="AK57" s="248">
        <v>5.0</v>
      </c>
      <c r="AM57" s="6">
        <v>10.0</v>
      </c>
      <c r="AN57">
        <f t="shared" si="98"/>
        <v>15</v>
      </c>
    </row>
    <row r="58">
      <c r="C58" s="127"/>
      <c r="F58" s="331"/>
      <c r="J58" s="249"/>
      <c r="M58" s="331"/>
    </row>
    <row r="59">
      <c r="C59" s="127"/>
      <c r="F59" s="331"/>
      <c r="J59" s="249"/>
      <c r="M59" s="331"/>
    </row>
    <row r="60">
      <c r="C60" s="127"/>
      <c r="F60" s="331"/>
      <c r="J60" s="249"/>
      <c r="M60" s="331"/>
    </row>
    <row r="61">
      <c r="C61" s="127"/>
      <c r="F61" s="331"/>
      <c r="J61" s="249"/>
      <c r="M61" s="331"/>
    </row>
    <row r="62">
      <c r="C62" s="226"/>
      <c r="F62" s="331"/>
      <c r="J62" s="249"/>
      <c r="M62" s="331"/>
    </row>
    <row r="63">
      <c r="C63" s="226"/>
      <c r="F63" s="331"/>
      <c r="J63" s="249"/>
      <c r="M63" s="331"/>
    </row>
    <row r="64">
      <c r="C64" s="226"/>
      <c r="F64" s="331"/>
      <c r="J64" s="249"/>
      <c r="M64" s="331"/>
    </row>
    <row r="65">
      <c r="C65" s="226"/>
      <c r="F65" s="331"/>
      <c r="J65" s="249"/>
      <c r="M65" s="331"/>
    </row>
    <row r="66">
      <c r="C66" s="226"/>
      <c r="F66" s="331"/>
      <c r="J66" s="249"/>
      <c r="M66" s="331"/>
    </row>
    <row r="67">
      <c r="C67" s="226"/>
      <c r="F67" s="331"/>
      <c r="J67" s="249"/>
      <c r="M67" s="331"/>
    </row>
    <row r="68">
      <c r="C68" s="226"/>
      <c r="F68" s="331"/>
      <c r="J68" s="249"/>
      <c r="M68" s="331"/>
    </row>
    <row r="69">
      <c r="C69" s="226"/>
      <c r="F69" s="331"/>
      <c r="J69" s="249"/>
      <c r="M69" s="331"/>
    </row>
    <row r="70">
      <c r="C70" s="226"/>
      <c r="F70" s="331"/>
      <c r="J70" s="249"/>
      <c r="M70" s="331"/>
    </row>
    <row r="71">
      <c r="C71" s="226"/>
      <c r="F71" s="331"/>
      <c r="J71" s="249"/>
      <c r="M71" s="331"/>
    </row>
    <row r="72">
      <c r="C72" s="226"/>
      <c r="F72" s="331"/>
      <c r="J72" s="249"/>
      <c r="M72" s="331"/>
    </row>
    <row r="73">
      <c r="C73" s="226"/>
      <c r="F73" s="331"/>
      <c r="J73" s="249"/>
      <c r="M73" s="331"/>
    </row>
    <row r="74">
      <c r="C74" s="226"/>
      <c r="F74" s="331"/>
      <c r="J74" s="249"/>
      <c r="M74" s="331"/>
    </row>
    <row r="75">
      <c r="C75" s="226"/>
      <c r="F75" s="331"/>
      <c r="J75" s="249"/>
      <c r="M75" s="331"/>
    </row>
    <row r="76">
      <c r="C76" s="226"/>
      <c r="F76" s="331"/>
      <c r="J76" s="249"/>
      <c r="M76" s="331"/>
    </row>
    <row r="77">
      <c r="C77" s="226"/>
      <c r="F77" s="331"/>
      <c r="J77" s="249"/>
      <c r="M77" s="331"/>
    </row>
    <row r="78">
      <c r="C78" s="226"/>
      <c r="F78" s="331"/>
      <c r="J78" s="249"/>
      <c r="M78" s="331"/>
    </row>
    <row r="79">
      <c r="C79" s="226"/>
      <c r="F79" s="331"/>
      <c r="J79" s="249"/>
      <c r="M79" s="331"/>
    </row>
    <row r="80">
      <c r="C80" s="226"/>
      <c r="F80" s="331"/>
      <c r="J80" s="249"/>
      <c r="M80" s="331"/>
    </row>
    <row r="81">
      <c r="C81" s="226"/>
      <c r="F81" s="331"/>
      <c r="J81" s="249"/>
      <c r="M81" s="331"/>
    </row>
    <row r="82">
      <c r="C82" s="226"/>
      <c r="F82" s="331"/>
      <c r="J82" s="249"/>
      <c r="M82" s="331"/>
    </row>
    <row r="83">
      <c r="C83" s="226"/>
      <c r="F83" s="331"/>
      <c r="J83" s="249"/>
      <c r="M83" s="331"/>
    </row>
    <row r="84">
      <c r="C84" s="226"/>
      <c r="F84" s="331"/>
      <c r="J84" s="249"/>
      <c r="M84" s="331"/>
    </row>
    <row r="85">
      <c r="C85" s="226"/>
      <c r="F85" s="331"/>
      <c r="J85" s="249"/>
      <c r="M85" s="331"/>
    </row>
    <row r="86">
      <c r="C86" s="226"/>
      <c r="F86" s="331"/>
      <c r="J86" s="249"/>
      <c r="M86" s="331"/>
    </row>
    <row r="87">
      <c r="C87" s="226"/>
      <c r="F87" s="331"/>
      <c r="J87" s="249"/>
      <c r="M87" s="331"/>
    </row>
    <row r="88">
      <c r="C88" s="226"/>
      <c r="F88" s="331"/>
      <c r="J88" s="249"/>
      <c r="M88" s="331"/>
    </row>
    <row r="89">
      <c r="C89" s="226"/>
      <c r="F89" s="331"/>
      <c r="J89" s="249"/>
      <c r="M89" s="331"/>
    </row>
    <row r="90">
      <c r="C90" s="226"/>
      <c r="F90" s="331"/>
      <c r="J90" s="249"/>
      <c r="M90" s="331"/>
    </row>
    <row r="91">
      <c r="C91" s="226"/>
      <c r="F91" s="331"/>
      <c r="J91" s="249"/>
      <c r="M91" s="331"/>
    </row>
    <row r="92">
      <c r="C92" s="226"/>
      <c r="F92" s="331"/>
      <c r="J92" s="249"/>
      <c r="M92" s="331"/>
    </row>
    <row r="93">
      <c r="C93" s="226"/>
      <c r="F93" s="331"/>
      <c r="J93" s="249"/>
      <c r="M93" s="331"/>
    </row>
    <row r="94">
      <c r="C94" s="226"/>
      <c r="F94" s="331"/>
      <c r="J94" s="249"/>
      <c r="M94" s="331"/>
    </row>
    <row r="95">
      <c r="C95" s="226"/>
      <c r="F95" s="331"/>
      <c r="J95" s="249"/>
      <c r="M95" s="331"/>
    </row>
    <row r="96">
      <c r="C96" s="226"/>
      <c r="F96" s="331"/>
      <c r="J96" s="249"/>
      <c r="M96" s="331"/>
    </row>
    <row r="97">
      <c r="C97" s="226"/>
      <c r="F97" s="331"/>
      <c r="J97" s="249"/>
      <c r="M97" s="331"/>
    </row>
    <row r="98">
      <c r="C98" s="226"/>
      <c r="F98" s="331"/>
      <c r="J98" s="249"/>
      <c r="M98" s="331"/>
    </row>
    <row r="99">
      <c r="C99" s="226"/>
      <c r="F99" s="331"/>
      <c r="J99" s="249"/>
      <c r="M99" s="331"/>
    </row>
    <row r="100">
      <c r="C100" s="226"/>
      <c r="F100" s="331"/>
      <c r="J100" s="249"/>
      <c r="M100" s="331"/>
    </row>
    <row r="101">
      <c r="C101" s="226"/>
      <c r="F101" s="331"/>
      <c r="J101" s="249"/>
      <c r="M101" s="331"/>
    </row>
    <row r="102">
      <c r="C102" s="226"/>
      <c r="F102" s="331"/>
      <c r="J102" s="249"/>
      <c r="M102" s="331"/>
    </row>
    <row r="103">
      <c r="C103" s="226"/>
      <c r="F103" s="331"/>
      <c r="J103" s="249"/>
      <c r="M103" s="331"/>
    </row>
    <row r="104">
      <c r="C104" s="226"/>
      <c r="F104" s="331"/>
      <c r="J104" s="249"/>
      <c r="M104" s="331"/>
    </row>
    <row r="105">
      <c r="C105" s="226"/>
      <c r="F105" s="331"/>
      <c r="J105" s="249"/>
      <c r="M105" s="331"/>
    </row>
    <row r="106">
      <c r="C106" s="226"/>
      <c r="F106" s="331"/>
      <c r="J106" s="249"/>
      <c r="M106" s="331"/>
    </row>
    <row r="107">
      <c r="C107" s="226"/>
      <c r="F107" s="331"/>
      <c r="J107" s="249"/>
      <c r="M107" s="331"/>
    </row>
    <row r="108">
      <c r="C108" s="226"/>
      <c r="F108" s="331"/>
      <c r="J108" s="249"/>
      <c r="M108" s="331"/>
    </row>
    <row r="109">
      <c r="C109" s="226"/>
      <c r="F109" s="331"/>
      <c r="J109" s="249"/>
      <c r="M109" s="331"/>
    </row>
    <row r="110">
      <c r="C110" s="226"/>
      <c r="F110" s="331"/>
      <c r="J110" s="249"/>
      <c r="M110" s="331"/>
    </row>
    <row r="111">
      <c r="C111" s="226"/>
      <c r="F111" s="331"/>
      <c r="J111" s="249"/>
      <c r="M111" s="331"/>
    </row>
    <row r="112">
      <c r="C112" s="226"/>
      <c r="F112" s="331"/>
      <c r="J112" s="249"/>
      <c r="M112" s="331"/>
    </row>
    <row r="113">
      <c r="C113" s="226"/>
      <c r="F113" s="331"/>
      <c r="J113" s="249"/>
      <c r="M113" s="331"/>
    </row>
    <row r="114">
      <c r="C114" s="226"/>
      <c r="F114" s="331"/>
      <c r="J114" s="249"/>
      <c r="M114" s="331"/>
    </row>
    <row r="115">
      <c r="C115" s="226"/>
      <c r="F115" s="331"/>
      <c r="J115" s="249"/>
      <c r="M115" s="331"/>
    </row>
    <row r="116">
      <c r="C116" s="226"/>
      <c r="F116" s="331"/>
      <c r="J116" s="249"/>
      <c r="M116" s="331"/>
    </row>
    <row r="117">
      <c r="C117" s="226"/>
      <c r="F117" s="331"/>
      <c r="J117" s="249"/>
      <c r="M117" s="331"/>
    </row>
    <row r="118">
      <c r="C118" s="226"/>
      <c r="F118" s="331"/>
      <c r="J118" s="249"/>
      <c r="M118" s="331"/>
    </row>
    <row r="119">
      <c r="C119" s="226"/>
      <c r="F119" s="331"/>
      <c r="J119" s="249"/>
      <c r="M119" s="331"/>
    </row>
    <row r="120">
      <c r="C120" s="226"/>
      <c r="F120" s="331"/>
      <c r="J120" s="249"/>
      <c r="M120" s="331"/>
    </row>
    <row r="121">
      <c r="C121" s="226"/>
      <c r="F121" s="331"/>
      <c r="J121" s="249"/>
      <c r="M121" s="331"/>
    </row>
    <row r="122">
      <c r="C122" s="226"/>
      <c r="F122" s="331"/>
      <c r="J122" s="249"/>
      <c r="M122" s="331"/>
    </row>
    <row r="123">
      <c r="C123" s="226"/>
      <c r="F123" s="331"/>
      <c r="J123" s="249"/>
      <c r="M123" s="331"/>
    </row>
    <row r="124">
      <c r="C124" s="226"/>
      <c r="F124" s="331"/>
      <c r="J124" s="249"/>
      <c r="M124" s="331"/>
    </row>
    <row r="125">
      <c r="C125" s="226"/>
      <c r="F125" s="331"/>
      <c r="J125" s="249"/>
      <c r="M125" s="331"/>
    </row>
    <row r="126">
      <c r="C126" s="226"/>
      <c r="F126" s="331"/>
      <c r="J126" s="249"/>
      <c r="M126" s="331"/>
    </row>
    <row r="127">
      <c r="C127" s="226"/>
      <c r="F127" s="331"/>
      <c r="J127" s="249"/>
      <c r="M127" s="331"/>
    </row>
    <row r="128">
      <c r="C128" s="226"/>
      <c r="F128" s="331"/>
      <c r="J128" s="249"/>
      <c r="M128" s="331"/>
    </row>
    <row r="129">
      <c r="C129" s="226"/>
      <c r="F129" s="331"/>
      <c r="J129" s="249"/>
      <c r="M129" s="331"/>
    </row>
    <row r="130">
      <c r="C130" s="226"/>
      <c r="F130" s="331"/>
      <c r="J130" s="249"/>
      <c r="M130" s="331"/>
    </row>
    <row r="131">
      <c r="C131" s="226"/>
      <c r="F131" s="331"/>
      <c r="J131" s="249"/>
      <c r="M131" s="331"/>
    </row>
    <row r="132">
      <c r="C132" s="226"/>
      <c r="F132" s="331"/>
      <c r="J132" s="249"/>
      <c r="M132" s="331"/>
    </row>
    <row r="133">
      <c r="C133" s="226"/>
      <c r="F133" s="331"/>
      <c r="J133" s="249"/>
      <c r="M133" s="331"/>
    </row>
    <row r="134">
      <c r="C134" s="226"/>
      <c r="F134" s="331"/>
      <c r="J134" s="249"/>
      <c r="M134" s="331"/>
    </row>
    <row r="135">
      <c r="C135" s="226"/>
      <c r="F135" s="331"/>
      <c r="J135" s="249"/>
      <c r="M135" s="331"/>
    </row>
    <row r="136">
      <c r="C136" s="226"/>
      <c r="F136" s="331"/>
      <c r="J136" s="249"/>
      <c r="M136" s="331"/>
    </row>
    <row r="137">
      <c r="C137" s="226"/>
      <c r="F137" s="331"/>
      <c r="J137" s="249"/>
      <c r="M137" s="331"/>
    </row>
    <row r="138">
      <c r="C138" s="226"/>
      <c r="F138" s="331"/>
      <c r="J138" s="249"/>
      <c r="M138" s="331"/>
    </row>
    <row r="139">
      <c r="C139" s="226"/>
      <c r="F139" s="331"/>
      <c r="J139" s="249"/>
      <c r="M139" s="331"/>
    </row>
    <row r="140">
      <c r="C140" s="226"/>
      <c r="F140" s="331"/>
      <c r="J140" s="249"/>
      <c r="M140" s="331"/>
    </row>
    <row r="141">
      <c r="C141" s="226"/>
      <c r="F141" s="331"/>
      <c r="J141" s="249"/>
      <c r="M141" s="331"/>
    </row>
    <row r="142">
      <c r="C142" s="226"/>
      <c r="F142" s="331"/>
      <c r="J142" s="249"/>
      <c r="M142" s="331"/>
    </row>
    <row r="143">
      <c r="C143" s="226"/>
      <c r="F143" s="331"/>
      <c r="J143" s="249"/>
      <c r="M143" s="331"/>
    </row>
    <row r="144">
      <c r="C144" s="226"/>
      <c r="F144" s="331"/>
      <c r="J144" s="249"/>
      <c r="M144" s="331"/>
    </row>
    <row r="145">
      <c r="C145" s="226"/>
      <c r="F145" s="331"/>
      <c r="J145" s="249"/>
      <c r="M145" s="331"/>
    </row>
    <row r="146">
      <c r="C146" s="226"/>
      <c r="F146" s="331"/>
      <c r="J146" s="249"/>
      <c r="M146" s="331"/>
    </row>
    <row r="147">
      <c r="C147" s="226"/>
      <c r="F147" s="331"/>
      <c r="J147" s="249"/>
      <c r="M147" s="331"/>
    </row>
    <row r="148">
      <c r="C148" s="226"/>
      <c r="F148" s="331"/>
      <c r="J148" s="249"/>
      <c r="M148" s="331"/>
    </row>
    <row r="149">
      <c r="C149" s="226"/>
      <c r="F149" s="331"/>
      <c r="J149" s="249"/>
      <c r="M149" s="331"/>
    </row>
    <row r="150">
      <c r="C150" s="226"/>
      <c r="F150" s="331"/>
      <c r="J150" s="249"/>
      <c r="M150" s="331"/>
    </row>
    <row r="151">
      <c r="C151" s="226"/>
      <c r="F151" s="331"/>
      <c r="J151" s="249"/>
      <c r="M151" s="331"/>
    </row>
    <row r="152">
      <c r="C152" s="226"/>
      <c r="F152" s="331"/>
      <c r="J152" s="249"/>
      <c r="M152" s="331"/>
    </row>
    <row r="153">
      <c r="C153" s="226"/>
      <c r="F153" s="331"/>
      <c r="J153" s="249"/>
      <c r="M153" s="331"/>
    </row>
    <row r="154">
      <c r="C154" s="226"/>
      <c r="F154" s="331"/>
      <c r="J154" s="249"/>
      <c r="M154" s="331"/>
    </row>
    <row r="155">
      <c r="C155" s="226"/>
      <c r="F155" s="331"/>
      <c r="J155" s="249"/>
      <c r="M155" s="331"/>
    </row>
    <row r="156">
      <c r="C156" s="226"/>
      <c r="F156" s="331"/>
      <c r="J156" s="249"/>
      <c r="M156" s="331"/>
    </row>
    <row r="157">
      <c r="C157" s="226"/>
      <c r="F157" s="331"/>
      <c r="J157" s="249"/>
      <c r="M157" s="331"/>
    </row>
    <row r="158">
      <c r="C158" s="226"/>
      <c r="F158" s="331"/>
      <c r="J158" s="249"/>
      <c r="M158" s="331"/>
    </row>
    <row r="159">
      <c r="C159" s="226"/>
      <c r="F159" s="331"/>
      <c r="J159" s="249"/>
      <c r="M159" s="331"/>
    </row>
    <row r="160">
      <c r="C160" s="226"/>
      <c r="F160" s="331"/>
      <c r="J160" s="249"/>
      <c r="M160" s="331"/>
    </row>
    <row r="161">
      <c r="C161" s="226"/>
      <c r="F161" s="331"/>
      <c r="J161" s="249"/>
      <c r="M161" s="331"/>
    </row>
    <row r="162">
      <c r="C162" s="226"/>
      <c r="F162" s="331"/>
      <c r="J162" s="249"/>
      <c r="M162" s="331"/>
    </row>
    <row r="163">
      <c r="C163" s="226"/>
      <c r="F163" s="331"/>
      <c r="J163" s="249"/>
      <c r="M163" s="331"/>
    </row>
    <row r="164">
      <c r="C164" s="226"/>
      <c r="F164" s="331"/>
      <c r="J164" s="249"/>
      <c r="M164" s="331"/>
    </row>
    <row r="165">
      <c r="C165" s="226"/>
      <c r="F165" s="331"/>
      <c r="J165" s="249"/>
      <c r="M165" s="331"/>
    </row>
    <row r="166">
      <c r="C166" s="226"/>
      <c r="F166" s="331"/>
      <c r="J166" s="249"/>
      <c r="M166" s="331"/>
    </row>
    <row r="167">
      <c r="C167" s="226"/>
      <c r="F167" s="331"/>
      <c r="J167" s="249"/>
      <c r="M167" s="331"/>
    </row>
    <row r="168">
      <c r="C168" s="226"/>
      <c r="F168" s="331"/>
      <c r="J168" s="249"/>
      <c r="M168" s="331"/>
    </row>
    <row r="169">
      <c r="C169" s="226"/>
      <c r="F169" s="331"/>
      <c r="J169" s="249"/>
      <c r="M169" s="331"/>
    </row>
    <row r="170">
      <c r="C170" s="226"/>
      <c r="F170" s="331"/>
      <c r="J170" s="249"/>
      <c r="M170" s="331"/>
    </row>
    <row r="171">
      <c r="C171" s="226"/>
      <c r="F171" s="331"/>
      <c r="J171" s="249"/>
      <c r="M171" s="331"/>
    </row>
    <row r="172">
      <c r="C172" s="226"/>
      <c r="F172" s="331"/>
      <c r="J172" s="249"/>
      <c r="M172" s="331"/>
    </row>
    <row r="173">
      <c r="C173" s="226"/>
      <c r="F173" s="331"/>
      <c r="J173" s="249"/>
      <c r="M173" s="331"/>
    </row>
    <row r="174">
      <c r="C174" s="226"/>
      <c r="F174" s="331"/>
      <c r="J174" s="249"/>
      <c r="M174" s="331"/>
    </row>
    <row r="175">
      <c r="C175" s="226"/>
      <c r="F175" s="331"/>
      <c r="J175" s="249"/>
      <c r="M175" s="331"/>
    </row>
    <row r="176">
      <c r="C176" s="226"/>
      <c r="F176" s="331"/>
      <c r="J176" s="249"/>
      <c r="M176" s="331"/>
    </row>
    <row r="177">
      <c r="C177" s="226"/>
      <c r="F177" s="331"/>
      <c r="J177" s="249"/>
      <c r="M177" s="331"/>
    </row>
    <row r="178">
      <c r="C178" s="226"/>
      <c r="F178" s="331"/>
      <c r="J178" s="249"/>
      <c r="M178" s="331"/>
    </row>
    <row r="179">
      <c r="C179" s="226"/>
      <c r="F179" s="331"/>
      <c r="J179" s="249"/>
      <c r="M179" s="331"/>
    </row>
    <row r="180">
      <c r="C180" s="226"/>
      <c r="F180" s="331"/>
      <c r="J180" s="249"/>
      <c r="M180" s="331"/>
    </row>
    <row r="181">
      <c r="C181" s="226"/>
      <c r="F181" s="331"/>
      <c r="J181" s="249"/>
      <c r="M181" s="331"/>
    </row>
    <row r="182">
      <c r="C182" s="226"/>
      <c r="F182" s="331"/>
      <c r="J182" s="249"/>
      <c r="M182" s="331"/>
    </row>
    <row r="183">
      <c r="C183" s="226"/>
      <c r="F183" s="331"/>
      <c r="J183" s="249"/>
      <c r="M183" s="331"/>
    </row>
    <row r="184">
      <c r="C184" s="226"/>
      <c r="F184" s="331"/>
      <c r="J184" s="249"/>
      <c r="M184" s="331"/>
    </row>
    <row r="185">
      <c r="C185" s="226"/>
      <c r="F185" s="331"/>
      <c r="J185" s="249"/>
      <c r="M185" s="331"/>
    </row>
    <row r="186">
      <c r="C186" s="226"/>
      <c r="F186" s="331"/>
      <c r="J186" s="249"/>
      <c r="M186" s="331"/>
    </row>
    <row r="187">
      <c r="C187" s="226"/>
      <c r="F187" s="331"/>
      <c r="J187" s="249"/>
      <c r="M187" s="331"/>
    </row>
    <row r="188">
      <c r="C188" s="226"/>
      <c r="F188" s="331"/>
      <c r="J188" s="249"/>
      <c r="M188" s="331"/>
    </row>
    <row r="189">
      <c r="C189" s="226"/>
      <c r="F189" s="331"/>
      <c r="J189" s="249"/>
      <c r="M189" s="331"/>
    </row>
    <row r="190">
      <c r="C190" s="226"/>
      <c r="F190" s="331"/>
      <c r="J190" s="249"/>
      <c r="M190" s="331"/>
    </row>
    <row r="191">
      <c r="C191" s="226"/>
      <c r="F191" s="331"/>
      <c r="J191" s="249"/>
      <c r="M191" s="331"/>
    </row>
    <row r="192">
      <c r="C192" s="226"/>
      <c r="F192" s="331"/>
      <c r="J192" s="249"/>
      <c r="M192" s="331"/>
    </row>
    <row r="193">
      <c r="C193" s="226"/>
      <c r="F193" s="331"/>
      <c r="J193" s="249"/>
      <c r="M193" s="331"/>
    </row>
    <row r="194">
      <c r="C194" s="226"/>
      <c r="F194" s="331"/>
      <c r="J194" s="249"/>
      <c r="M194" s="331"/>
    </row>
    <row r="195">
      <c r="C195" s="226"/>
      <c r="F195" s="331"/>
      <c r="J195" s="249"/>
      <c r="M195" s="331"/>
    </row>
    <row r="196">
      <c r="C196" s="226"/>
      <c r="F196" s="331"/>
      <c r="J196" s="249"/>
      <c r="M196" s="331"/>
    </row>
    <row r="197">
      <c r="C197" s="226"/>
      <c r="F197" s="331"/>
      <c r="J197" s="249"/>
      <c r="M197" s="331"/>
    </row>
    <row r="198">
      <c r="C198" s="226"/>
      <c r="F198" s="331"/>
      <c r="J198" s="249"/>
      <c r="M198" s="331"/>
    </row>
    <row r="199">
      <c r="C199" s="226"/>
      <c r="F199" s="331"/>
      <c r="J199" s="249"/>
      <c r="M199" s="331"/>
    </row>
    <row r="200">
      <c r="C200" s="226"/>
      <c r="F200" s="331"/>
      <c r="J200" s="249"/>
      <c r="M200" s="331"/>
    </row>
    <row r="201">
      <c r="C201" s="226"/>
      <c r="F201" s="331"/>
      <c r="J201" s="249"/>
      <c r="M201" s="331"/>
    </row>
    <row r="202">
      <c r="C202" s="226"/>
      <c r="F202" s="331"/>
      <c r="J202" s="249"/>
      <c r="M202" s="331"/>
    </row>
    <row r="203">
      <c r="C203" s="226"/>
      <c r="F203" s="331"/>
      <c r="J203" s="249"/>
      <c r="M203" s="331"/>
    </row>
    <row r="204">
      <c r="C204" s="226"/>
      <c r="F204" s="331"/>
      <c r="J204" s="249"/>
      <c r="M204" s="331"/>
    </row>
    <row r="205">
      <c r="C205" s="226"/>
      <c r="F205" s="331"/>
      <c r="J205" s="249"/>
      <c r="M205" s="331"/>
    </row>
    <row r="206">
      <c r="C206" s="226"/>
      <c r="F206" s="331"/>
      <c r="J206" s="249"/>
      <c r="M206" s="331"/>
    </row>
    <row r="207">
      <c r="C207" s="226"/>
      <c r="F207" s="331"/>
      <c r="J207" s="249"/>
      <c r="M207" s="331"/>
    </row>
    <row r="208">
      <c r="C208" s="226"/>
      <c r="F208" s="331"/>
      <c r="J208" s="249"/>
      <c r="M208" s="331"/>
    </row>
    <row r="209">
      <c r="C209" s="226"/>
      <c r="F209" s="331"/>
      <c r="J209" s="249"/>
      <c r="M209" s="331"/>
    </row>
    <row r="210">
      <c r="C210" s="226"/>
      <c r="F210" s="331"/>
      <c r="J210" s="249"/>
      <c r="M210" s="331"/>
    </row>
    <row r="211">
      <c r="C211" s="226"/>
      <c r="F211" s="331"/>
      <c r="J211" s="249"/>
      <c r="M211" s="331"/>
    </row>
    <row r="212">
      <c r="C212" s="226"/>
      <c r="F212" s="331"/>
      <c r="J212" s="249"/>
      <c r="M212" s="331"/>
    </row>
    <row r="213">
      <c r="C213" s="226"/>
      <c r="F213" s="331"/>
      <c r="J213" s="249"/>
      <c r="M213" s="331"/>
    </row>
    <row r="214">
      <c r="C214" s="226"/>
      <c r="F214" s="331"/>
      <c r="J214" s="249"/>
      <c r="M214" s="331"/>
    </row>
    <row r="215">
      <c r="C215" s="226"/>
      <c r="F215" s="331"/>
      <c r="J215" s="249"/>
      <c r="M215" s="331"/>
    </row>
    <row r="216">
      <c r="C216" s="226"/>
      <c r="F216" s="331"/>
      <c r="J216" s="249"/>
      <c r="M216" s="331"/>
    </row>
    <row r="217">
      <c r="C217" s="226"/>
      <c r="F217" s="331"/>
      <c r="J217" s="249"/>
      <c r="M217" s="331"/>
    </row>
    <row r="218">
      <c r="C218" s="226"/>
      <c r="F218" s="331"/>
      <c r="J218" s="249"/>
      <c r="M218" s="331"/>
    </row>
    <row r="219">
      <c r="C219" s="226"/>
      <c r="F219" s="331"/>
      <c r="J219" s="249"/>
      <c r="M219" s="331"/>
    </row>
    <row r="220">
      <c r="C220" s="226"/>
      <c r="F220" s="331"/>
      <c r="J220" s="249"/>
      <c r="M220" s="331"/>
    </row>
    <row r="221">
      <c r="C221" s="226"/>
      <c r="F221" s="331"/>
      <c r="J221" s="249"/>
      <c r="M221" s="331"/>
    </row>
    <row r="222">
      <c r="C222" s="226"/>
      <c r="F222" s="331"/>
      <c r="J222" s="249"/>
      <c r="M222" s="331"/>
    </row>
    <row r="223">
      <c r="C223" s="226"/>
      <c r="F223" s="331"/>
      <c r="J223" s="249"/>
      <c r="M223" s="331"/>
    </row>
    <row r="224">
      <c r="C224" s="226"/>
      <c r="F224" s="331"/>
      <c r="J224" s="249"/>
      <c r="M224" s="331"/>
    </row>
    <row r="225">
      <c r="C225" s="226"/>
      <c r="F225" s="331"/>
      <c r="J225" s="249"/>
      <c r="M225" s="331"/>
    </row>
    <row r="226">
      <c r="C226" s="226"/>
      <c r="F226" s="331"/>
      <c r="J226" s="249"/>
      <c r="M226" s="331"/>
    </row>
    <row r="227">
      <c r="C227" s="226"/>
      <c r="F227" s="331"/>
      <c r="J227" s="249"/>
      <c r="M227" s="331"/>
    </row>
    <row r="228">
      <c r="C228" s="226"/>
      <c r="F228" s="331"/>
      <c r="J228" s="249"/>
      <c r="M228" s="331"/>
    </row>
    <row r="229">
      <c r="C229" s="226"/>
      <c r="F229" s="331"/>
      <c r="J229" s="249"/>
      <c r="M229" s="331"/>
    </row>
    <row r="230">
      <c r="C230" s="226"/>
      <c r="F230" s="331"/>
      <c r="J230" s="249"/>
      <c r="M230" s="331"/>
    </row>
    <row r="231">
      <c r="C231" s="226"/>
      <c r="F231" s="331"/>
      <c r="J231" s="249"/>
      <c r="M231" s="331"/>
    </row>
    <row r="232">
      <c r="C232" s="226"/>
      <c r="F232" s="331"/>
      <c r="J232" s="249"/>
      <c r="M232" s="331"/>
    </row>
    <row r="233">
      <c r="C233" s="226"/>
      <c r="F233" s="331"/>
      <c r="J233" s="249"/>
      <c r="M233" s="331"/>
    </row>
    <row r="234">
      <c r="C234" s="226"/>
      <c r="F234" s="331"/>
      <c r="J234" s="249"/>
      <c r="M234" s="331"/>
    </row>
    <row r="235">
      <c r="C235" s="226"/>
      <c r="F235" s="331"/>
      <c r="J235" s="249"/>
      <c r="M235" s="331"/>
    </row>
    <row r="236">
      <c r="C236" s="226"/>
      <c r="F236" s="331"/>
      <c r="J236" s="249"/>
      <c r="M236" s="331"/>
    </row>
    <row r="237">
      <c r="C237" s="226"/>
      <c r="F237" s="331"/>
      <c r="J237" s="249"/>
      <c r="M237" s="331"/>
    </row>
    <row r="238">
      <c r="C238" s="226"/>
      <c r="F238" s="331"/>
      <c r="J238" s="249"/>
      <c r="M238" s="331"/>
    </row>
    <row r="239">
      <c r="C239" s="226"/>
      <c r="F239" s="331"/>
      <c r="J239" s="249"/>
      <c r="M239" s="331"/>
    </row>
    <row r="240">
      <c r="C240" s="226"/>
      <c r="F240" s="331"/>
      <c r="J240" s="249"/>
      <c r="M240" s="331"/>
    </row>
    <row r="241">
      <c r="C241" s="226"/>
      <c r="F241" s="331"/>
      <c r="J241" s="249"/>
      <c r="M241" s="331"/>
    </row>
    <row r="242">
      <c r="C242" s="226"/>
      <c r="F242" s="331"/>
      <c r="J242" s="249"/>
      <c r="M242" s="331"/>
    </row>
    <row r="243">
      <c r="C243" s="226"/>
      <c r="F243" s="331"/>
      <c r="J243" s="249"/>
      <c r="M243" s="331"/>
    </row>
    <row r="244">
      <c r="C244" s="226"/>
      <c r="F244" s="331"/>
      <c r="J244" s="249"/>
      <c r="M244" s="331"/>
    </row>
    <row r="245">
      <c r="C245" s="226"/>
      <c r="F245" s="331"/>
      <c r="J245" s="249"/>
      <c r="M245" s="331"/>
    </row>
    <row r="246">
      <c r="C246" s="226"/>
      <c r="F246" s="331"/>
      <c r="J246" s="249"/>
      <c r="M246" s="331"/>
    </row>
    <row r="247">
      <c r="C247" s="226"/>
      <c r="F247" s="331"/>
      <c r="J247" s="249"/>
      <c r="M247" s="331"/>
    </row>
    <row r="248">
      <c r="C248" s="226"/>
      <c r="F248" s="331"/>
      <c r="J248" s="249"/>
      <c r="M248" s="331"/>
    </row>
    <row r="249">
      <c r="C249" s="226"/>
      <c r="F249" s="331"/>
      <c r="J249" s="249"/>
      <c r="M249" s="331"/>
    </row>
    <row r="250">
      <c r="C250" s="226"/>
      <c r="F250" s="331"/>
      <c r="J250" s="249"/>
      <c r="M250" s="331"/>
    </row>
    <row r="251">
      <c r="C251" s="226"/>
      <c r="F251" s="331"/>
      <c r="J251" s="249"/>
      <c r="M251" s="331"/>
    </row>
    <row r="252">
      <c r="C252" s="226"/>
      <c r="F252" s="331"/>
      <c r="J252" s="249"/>
      <c r="M252" s="331"/>
    </row>
    <row r="253">
      <c r="C253" s="226"/>
      <c r="F253" s="331"/>
      <c r="J253" s="249"/>
      <c r="M253" s="331"/>
    </row>
    <row r="254">
      <c r="C254" s="226"/>
      <c r="F254" s="331"/>
      <c r="J254" s="249"/>
      <c r="M254" s="331"/>
    </row>
    <row r="255">
      <c r="C255" s="226"/>
      <c r="F255" s="331"/>
      <c r="J255" s="249"/>
      <c r="M255" s="331"/>
    </row>
    <row r="256">
      <c r="C256" s="226"/>
      <c r="F256" s="331"/>
      <c r="J256" s="249"/>
      <c r="M256" s="331"/>
    </row>
    <row r="257">
      <c r="C257" s="226"/>
      <c r="F257" s="331"/>
      <c r="J257" s="249"/>
      <c r="M257" s="331"/>
    </row>
    <row r="258">
      <c r="C258" s="226"/>
      <c r="F258" s="331"/>
      <c r="J258" s="249"/>
      <c r="M258" s="331"/>
    </row>
    <row r="259">
      <c r="C259" s="226"/>
      <c r="F259" s="331"/>
      <c r="J259" s="249"/>
      <c r="M259" s="331"/>
    </row>
    <row r="260">
      <c r="C260" s="226"/>
      <c r="F260" s="331"/>
      <c r="J260" s="249"/>
      <c r="M260" s="331"/>
    </row>
    <row r="261">
      <c r="C261" s="226"/>
      <c r="F261" s="331"/>
      <c r="J261" s="249"/>
      <c r="M261" s="331"/>
    </row>
    <row r="262">
      <c r="C262" s="226"/>
      <c r="F262" s="331"/>
      <c r="J262" s="249"/>
      <c r="M262" s="331"/>
    </row>
    <row r="263">
      <c r="C263" s="226"/>
      <c r="F263" s="331"/>
      <c r="J263" s="249"/>
      <c r="M263" s="331"/>
    </row>
    <row r="264">
      <c r="C264" s="226"/>
      <c r="F264" s="331"/>
      <c r="J264" s="249"/>
      <c r="M264" s="331"/>
    </row>
    <row r="265">
      <c r="C265" s="226"/>
      <c r="F265" s="331"/>
      <c r="J265" s="249"/>
      <c r="M265" s="331"/>
    </row>
    <row r="266">
      <c r="C266" s="226"/>
      <c r="F266" s="331"/>
      <c r="J266" s="249"/>
      <c r="M266" s="331"/>
    </row>
    <row r="267">
      <c r="C267" s="226"/>
      <c r="F267" s="331"/>
      <c r="J267" s="249"/>
      <c r="M267" s="331"/>
    </row>
    <row r="268">
      <c r="C268" s="226"/>
      <c r="F268" s="331"/>
      <c r="J268" s="249"/>
      <c r="M268" s="331"/>
    </row>
    <row r="269">
      <c r="C269" s="226"/>
      <c r="F269" s="331"/>
      <c r="J269" s="249"/>
      <c r="M269" s="331"/>
    </row>
    <row r="270">
      <c r="C270" s="226"/>
      <c r="F270" s="331"/>
      <c r="J270" s="249"/>
      <c r="M270" s="331"/>
    </row>
    <row r="271">
      <c r="C271" s="226"/>
      <c r="F271" s="331"/>
      <c r="J271" s="249"/>
      <c r="M271" s="331"/>
    </row>
    <row r="272">
      <c r="C272" s="226"/>
      <c r="F272" s="331"/>
      <c r="J272" s="249"/>
      <c r="M272" s="331"/>
    </row>
    <row r="273">
      <c r="C273" s="226"/>
      <c r="F273" s="331"/>
      <c r="J273" s="249"/>
      <c r="M273" s="331"/>
    </row>
    <row r="274">
      <c r="C274" s="226"/>
      <c r="F274" s="331"/>
      <c r="J274" s="249"/>
      <c r="M274" s="331"/>
    </row>
    <row r="275">
      <c r="C275" s="226"/>
      <c r="F275" s="331"/>
      <c r="J275" s="249"/>
      <c r="M275" s="331"/>
    </row>
    <row r="276">
      <c r="C276" s="226"/>
      <c r="F276" s="331"/>
      <c r="J276" s="249"/>
      <c r="M276" s="331"/>
    </row>
    <row r="277">
      <c r="C277" s="226"/>
      <c r="F277" s="331"/>
      <c r="J277" s="249"/>
      <c r="M277" s="331"/>
    </row>
    <row r="278">
      <c r="C278" s="226"/>
      <c r="F278" s="331"/>
      <c r="J278" s="249"/>
      <c r="M278" s="331"/>
    </row>
    <row r="279">
      <c r="C279" s="226"/>
      <c r="F279" s="331"/>
      <c r="J279" s="249"/>
      <c r="M279" s="331"/>
    </row>
    <row r="280">
      <c r="C280" s="226"/>
      <c r="F280" s="331"/>
      <c r="J280" s="249"/>
      <c r="M280" s="331"/>
    </row>
    <row r="281">
      <c r="C281" s="226"/>
      <c r="F281" s="331"/>
      <c r="J281" s="249"/>
      <c r="M281" s="331"/>
    </row>
    <row r="282">
      <c r="C282" s="226"/>
      <c r="F282" s="331"/>
      <c r="J282" s="249"/>
      <c r="M282" s="331"/>
    </row>
    <row r="283">
      <c r="C283" s="226"/>
      <c r="F283" s="331"/>
      <c r="J283" s="249"/>
      <c r="M283" s="331"/>
    </row>
    <row r="284">
      <c r="C284" s="226"/>
      <c r="F284" s="331"/>
      <c r="J284" s="249"/>
      <c r="M284" s="331"/>
    </row>
    <row r="285">
      <c r="C285" s="226"/>
      <c r="F285" s="331"/>
      <c r="J285" s="249"/>
      <c r="M285" s="331"/>
    </row>
    <row r="286">
      <c r="C286" s="226"/>
      <c r="F286" s="331"/>
      <c r="J286" s="249"/>
      <c r="M286" s="331"/>
    </row>
    <row r="287">
      <c r="C287" s="226"/>
      <c r="F287" s="331"/>
      <c r="J287" s="249"/>
      <c r="M287" s="331"/>
    </row>
    <row r="288">
      <c r="C288" s="226"/>
      <c r="F288" s="331"/>
      <c r="J288" s="249"/>
      <c r="M288" s="331"/>
    </row>
    <row r="289">
      <c r="C289" s="226"/>
      <c r="F289" s="331"/>
      <c r="J289" s="249"/>
      <c r="M289" s="331"/>
    </row>
    <row r="290">
      <c r="C290" s="226"/>
      <c r="F290" s="331"/>
      <c r="J290" s="249"/>
      <c r="M290" s="331"/>
    </row>
    <row r="291">
      <c r="C291" s="226"/>
      <c r="F291" s="331"/>
      <c r="J291" s="249"/>
      <c r="M291" s="331"/>
    </row>
    <row r="292">
      <c r="C292" s="226"/>
      <c r="F292" s="331"/>
      <c r="J292" s="249"/>
      <c r="M292" s="331"/>
    </row>
    <row r="293">
      <c r="C293" s="226"/>
      <c r="F293" s="331"/>
      <c r="J293" s="249"/>
      <c r="M293" s="331"/>
    </row>
    <row r="294">
      <c r="C294" s="226"/>
      <c r="F294" s="331"/>
      <c r="J294" s="249"/>
      <c r="M294" s="331"/>
    </row>
    <row r="295">
      <c r="C295" s="226"/>
      <c r="F295" s="331"/>
      <c r="J295" s="249"/>
      <c r="M295" s="331"/>
    </row>
    <row r="296">
      <c r="C296" s="226"/>
      <c r="F296" s="331"/>
      <c r="J296" s="249"/>
      <c r="M296" s="331"/>
    </row>
    <row r="297">
      <c r="C297" s="226"/>
      <c r="F297" s="331"/>
      <c r="J297" s="249"/>
      <c r="M297" s="331"/>
    </row>
    <row r="298">
      <c r="C298" s="226"/>
      <c r="F298" s="331"/>
      <c r="J298" s="249"/>
      <c r="M298" s="331"/>
    </row>
    <row r="299">
      <c r="C299" s="226"/>
      <c r="F299" s="331"/>
      <c r="J299" s="249"/>
      <c r="M299" s="331"/>
    </row>
    <row r="300">
      <c r="C300" s="226"/>
      <c r="F300" s="331"/>
      <c r="J300" s="249"/>
      <c r="M300" s="331"/>
    </row>
    <row r="301">
      <c r="C301" s="226"/>
      <c r="F301" s="331"/>
      <c r="J301" s="249"/>
      <c r="M301" s="331"/>
    </row>
    <row r="302">
      <c r="C302" s="226"/>
      <c r="F302" s="331"/>
      <c r="J302" s="249"/>
      <c r="M302" s="331"/>
    </row>
    <row r="303">
      <c r="C303" s="226"/>
      <c r="F303" s="331"/>
      <c r="J303" s="249"/>
      <c r="M303" s="331"/>
    </row>
    <row r="304">
      <c r="C304" s="226"/>
      <c r="F304" s="331"/>
      <c r="J304" s="249"/>
      <c r="M304" s="331"/>
    </row>
    <row r="305">
      <c r="C305" s="226"/>
      <c r="F305" s="331"/>
      <c r="J305" s="249"/>
      <c r="M305" s="331"/>
    </row>
    <row r="306">
      <c r="C306" s="226"/>
      <c r="F306" s="331"/>
      <c r="J306" s="249"/>
      <c r="M306" s="331"/>
    </row>
    <row r="307">
      <c r="C307" s="226"/>
      <c r="F307" s="331"/>
      <c r="J307" s="249"/>
      <c r="M307" s="331"/>
    </row>
    <row r="308">
      <c r="C308" s="226"/>
      <c r="F308" s="331"/>
      <c r="J308" s="249"/>
      <c r="M308" s="331"/>
    </row>
    <row r="309">
      <c r="C309" s="226"/>
      <c r="F309" s="331"/>
      <c r="J309" s="249"/>
      <c r="M309" s="331"/>
    </row>
    <row r="310">
      <c r="C310" s="226"/>
      <c r="F310" s="331"/>
      <c r="J310" s="249"/>
      <c r="M310" s="331"/>
    </row>
    <row r="311">
      <c r="C311" s="226"/>
      <c r="F311" s="331"/>
      <c r="J311" s="249"/>
      <c r="M311" s="331"/>
    </row>
    <row r="312">
      <c r="C312" s="226"/>
      <c r="F312" s="331"/>
      <c r="J312" s="249"/>
      <c r="M312" s="331"/>
    </row>
    <row r="313">
      <c r="C313" s="226"/>
      <c r="F313" s="331"/>
      <c r="J313" s="249"/>
      <c r="M313" s="331"/>
    </row>
    <row r="314">
      <c r="C314" s="226"/>
      <c r="F314" s="331"/>
      <c r="J314" s="249"/>
      <c r="M314" s="331"/>
    </row>
    <row r="315">
      <c r="C315" s="226"/>
      <c r="F315" s="331"/>
      <c r="J315" s="249"/>
      <c r="M315" s="331"/>
    </row>
    <row r="316">
      <c r="C316" s="226"/>
      <c r="F316" s="331"/>
      <c r="J316" s="249"/>
      <c r="M316" s="331"/>
    </row>
    <row r="317">
      <c r="C317" s="226"/>
      <c r="F317" s="331"/>
      <c r="J317" s="249"/>
      <c r="M317" s="331"/>
    </row>
    <row r="318">
      <c r="C318" s="226"/>
      <c r="F318" s="331"/>
      <c r="J318" s="249"/>
      <c r="M318" s="331"/>
    </row>
    <row r="319">
      <c r="C319" s="226"/>
      <c r="F319" s="331"/>
      <c r="J319" s="249"/>
      <c r="M319" s="331"/>
    </row>
    <row r="320">
      <c r="C320" s="226"/>
      <c r="F320" s="331"/>
      <c r="J320" s="249"/>
      <c r="M320" s="331"/>
    </row>
    <row r="321">
      <c r="C321" s="226"/>
      <c r="F321" s="331"/>
      <c r="J321" s="249"/>
      <c r="M321" s="331"/>
    </row>
    <row r="322">
      <c r="C322" s="226"/>
      <c r="F322" s="331"/>
      <c r="J322" s="249"/>
      <c r="M322" s="331"/>
    </row>
    <row r="323">
      <c r="C323" s="226"/>
      <c r="F323" s="331"/>
      <c r="J323" s="249"/>
      <c r="M323" s="331"/>
    </row>
    <row r="324">
      <c r="C324" s="226"/>
      <c r="F324" s="331"/>
      <c r="J324" s="249"/>
      <c r="M324" s="331"/>
    </row>
    <row r="325">
      <c r="C325" s="226"/>
      <c r="F325" s="331"/>
      <c r="J325" s="249"/>
      <c r="M325" s="331"/>
    </row>
    <row r="326">
      <c r="C326" s="226"/>
      <c r="F326" s="331"/>
      <c r="J326" s="249"/>
      <c r="M326" s="331"/>
    </row>
    <row r="327">
      <c r="C327" s="226"/>
      <c r="F327" s="331"/>
      <c r="J327" s="249"/>
      <c r="M327" s="331"/>
    </row>
    <row r="328">
      <c r="C328" s="226"/>
      <c r="F328" s="331"/>
      <c r="J328" s="249"/>
      <c r="M328" s="331"/>
    </row>
    <row r="329">
      <c r="C329" s="226"/>
      <c r="F329" s="331"/>
      <c r="J329" s="249"/>
      <c r="M329" s="331"/>
    </row>
    <row r="330">
      <c r="C330" s="226"/>
      <c r="F330" s="331"/>
      <c r="J330" s="249"/>
      <c r="M330" s="331"/>
    </row>
    <row r="331">
      <c r="C331" s="226"/>
      <c r="F331" s="331"/>
      <c r="J331" s="249"/>
      <c r="M331" s="331"/>
    </row>
    <row r="332">
      <c r="C332" s="226"/>
      <c r="F332" s="331"/>
      <c r="J332" s="249"/>
      <c r="M332" s="331"/>
    </row>
    <row r="333">
      <c r="C333" s="226"/>
      <c r="F333" s="331"/>
      <c r="J333" s="249"/>
      <c r="M333" s="331"/>
    </row>
    <row r="334">
      <c r="C334" s="226"/>
      <c r="F334" s="331"/>
      <c r="J334" s="249"/>
      <c r="M334" s="331"/>
    </row>
    <row r="335">
      <c r="C335" s="226"/>
      <c r="F335" s="331"/>
      <c r="J335" s="249"/>
      <c r="M335" s="331"/>
    </row>
    <row r="336">
      <c r="C336" s="226"/>
      <c r="F336" s="331"/>
      <c r="J336" s="249"/>
      <c r="M336" s="331"/>
    </row>
    <row r="337">
      <c r="C337" s="226"/>
      <c r="F337" s="331"/>
      <c r="J337" s="249"/>
      <c r="M337" s="331"/>
    </row>
    <row r="338">
      <c r="C338" s="226"/>
      <c r="F338" s="331"/>
      <c r="J338" s="249"/>
      <c r="M338" s="331"/>
    </row>
    <row r="339">
      <c r="C339" s="226"/>
      <c r="F339" s="331"/>
      <c r="J339" s="249"/>
      <c r="M339" s="331"/>
    </row>
    <row r="340">
      <c r="C340" s="226"/>
      <c r="F340" s="331"/>
      <c r="J340" s="249"/>
      <c r="M340" s="331"/>
    </row>
    <row r="341">
      <c r="C341" s="226"/>
      <c r="F341" s="331"/>
      <c r="J341" s="249"/>
      <c r="M341" s="331"/>
    </row>
    <row r="342">
      <c r="C342" s="226"/>
      <c r="F342" s="331"/>
      <c r="J342" s="249"/>
      <c r="M342" s="331"/>
    </row>
    <row r="343">
      <c r="C343" s="226"/>
      <c r="F343" s="331"/>
      <c r="J343" s="249"/>
      <c r="M343" s="331"/>
    </row>
    <row r="344">
      <c r="C344" s="226"/>
      <c r="F344" s="331"/>
      <c r="J344" s="249"/>
      <c r="M344" s="331"/>
    </row>
    <row r="345">
      <c r="C345" s="226"/>
      <c r="F345" s="331"/>
      <c r="J345" s="249"/>
      <c r="M345" s="331"/>
    </row>
    <row r="346">
      <c r="C346" s="226"/>
      <c r="F346" s="331"/>
      <c r="J346" s="249"/>
      <c r="M346" s="331"/>
    </row>
    <row r="347">
      <c r="C347" s="226"/>
      <c r="F347" s="331"/>
      <c r="J347" s="249"/>
      <c r="M347" s="331"/>
    </row>
    <row r="348">
      <c r="C348" s="226"/>
      <c r="F348" s="331"/>
      <c r="J348" s="249"/>
      <c r="M348" s="331"/>
    </row>
    <row r="349">
      <c r="C349" s="226"/>
      <c r="F349" s="331"/>
      <c r="J349" s="249"/>
      <c r="M349" s="331"/>
    </row>
    <row r="350">
      <c r="C350" s="226"/>
      <c r="F350" s="331"/>
      <c r="J350" s="249"/>
      <c r="M350" s="331"/>
    </row>
    <row r="351">
      <c r="C351" s="226"/>
      <c r="F351" s="331"/>
      <c r="J351" s="249"/>
      <c r="M351" s="331"/>
    </row>
    <row r="352">
      <c r="C352" s="226"/>
      <c r="F352" s="331"/>
      <c r="J352" s="249"/>
      <c r="M352" s="331"/>
    </row>
    <row r="353">
      <c r="C353" s="226"/>
      <c r="F353" s="331"/>
      <c r="J353" s="249"/>
      <c r="M353" s="331"/>
    </row>
    <row r="354">
      <c r="C354" s="226"/>
      <c r="F354" s="331"/>
      <c r="J354" s="249"/>
      <c r="M354" s="331"/>
    </row>
    <row r="355">
      <c r="C355" s="226"/>
      <c r="F355" s="331"/>
      <c r="J355" s="249"/>
      <c r="M355" s="331"/>
    </row>
    <row r="356">
      <c r="C356" s="226"/>
      <c r="F356" s="331"/>
      <c r="J356" s="249"/>
      <c r="M356" s="331"/>
    </row>
    <row r="357">
      <c r="C357" s="226"/>
      <c r="F357" s="331"/>
      <c r="J357" s="249"/>
      <c r="M357" s="331"/>
    </row>
    <row r="358">
      <c r="C358" s="226"/>
      <c r="F358" s="331"/>
      <c r="J358" s="249"/>
      <c r="M358" s="331"/>
    </row>
    <row r="359">
      <c r="C359" s="226"/>
      <c r="F359" s="331"/>
      <c r="J359" s="249"/>
      <c r="M359" s="331"/>
    </row>
    <row r="360">
      <c r="C360" s="226"/>
      <c r="F360" s="331"/>
      <c r="J360" s="249"/>
      <c r="M360" s="331"/>
    </row>
    <row r="361">
      <c r="C361" s="226"/>
      <c r="F361" s="331"/>
      <c r="J361" s="249"/>
      <c r="M361" s="331"/>
    </row>
    <row r="362">
      <c r="C362" s="226"/>
      <c r="F362" s="331"/>
      <c r="J362" s="249"/>
      <c r="M362" s="331"/>
    </row>
    <row r="363">
      <c r="C363" s="226"/>
      <c r="F363" s="331"/>
      <c r="J363" s="249"/>
      <c r="M363" s="331"/>
    </row>
    <row r="364">
      <c r="C364" s="226"/>
      <c r="F364" s="331"/>
      <c r="J364" s="249"/>
      <c r="M364" s="331"/>
    </row>
    <row r="365">
      <c r="C365" s="226"/>
      <c r="F365" s="331"/>
      <c r="J365" s="249"/>
      <c r="M365" s="331"/>
    </row>
    <row r="366">
      <c r="C366" s="226"/>
      <c r="F366" s="331"/>
      <c r="J366" s="249"/>
      <c r="M366" s="331"/>
    </row>
    <row r="367">
      <c r="C367" s="226"/>
      <c r="F367" s="331"/>
      <c r="J367" s="249"/>
      <c r="M367" s="331"/>
    </row>
    <row r="368">
      <c r="C368" s="226"/>
      <c r="F368" s="331"/>
      <c r="J368" s="249"/>
      <c r="M368" s="331"/>
    </row>
    <row r="369">
      <c r="C369" s="226"/>
      <c r="F369" s="331"/>
      <c r="J369" s="249"/>
      <c r="M369" s="331"/>
    </row>
    <row r="370">
      <c r="C370" s="226"/>
      <c r="F370" s="331"/>
      <c r="J370" s="249"/>
      <c r="M370" s="331"/>
    </row>
    <row r="371">
      <c r="C371" s="226"/>
      <c r="F371" s="331"/>
      <c r="J371" s="249"/>
      <c r="M371" s="331"/>
    </row>
    <row r="372">
      <c r="C372" s="226"/>
      <c r="F372" s="331"/>
      <c r="J372" s="249"/>
      <c r="M372" s="331"/>
    </row>
    <row r="373">
      <c r="C373" s="226"/>
      <c r="F373" s="331"/>
      <c r="J373" s="249"/>
      <c r="M373" s="331"/>
    </row>
    <row r="374">
      <c r="C374" s="226"/>
      <c r="F374" s="331"/>
      <c r="J374" s="249"/>
      <c r="M374" s="331"/>
    </row>
    <row r="375">
      <c r="C375" s="226"/>
      <c r="F375" s="331"/>
      <c r="J375" s="249"/>
      <c r="M375" s="331"/>
    </row>
    <row r="376">
      <c r="C376" s="226"/>
      <c r="F376" s="331"/>
      <c r="J376" s="249"/>
      <c r="M376" s="331"/>
    </row>
    <row r="377">
      <c r="C377" s="226"/>
      <c r="F377" s="331"/>
      <c r="J377" s="249"/>
      <c r="M377" s="331"/>
    </row>
    <row r="378">
      <c r="C378" s="226"/>
      <c r="F378" s="331"/>
      <c r="J378" s="249"/>
      <c r="M378" s="331"/>
    </row>
    <row r="379">
      <c r="C379" s="226"/>
      <c r="F379" s="331"/>
      <c r="J379" s="249"/>
      <c r="M379" s="331"/>
    </row>
    <row r="380">
      <c r="C380" s="226"/>
      <c r="F380" s="331"/>
      <c r="J380" s="249"/>
      <c r="M380" s="331"/>
    </row>
    <row r="381">
      <c r="C381" s="226"/>
      <c r="F381" s="331"/>
      <c r="J381" s="249"/>
      <c r="M381" s="331"/>
    </row>
    <row r="382">
      <c r="C382" s="226"/>
      <c r="F382" s="331"/>
      <c r="J382" s="249"/>
      <c r="M382" s="331"/>
    </row>
    <row r="383">
      <c r="C383" s="226"/>
      <c r="F383" s="331"/>
      <c r="J383" s="249"/>
      <c r="M383" s="331"/>
    </row>
    <row r="384">
      <c r="C384" s="226"/>
      <c r="F384" s="331"/>
      <c r="J384" s="249"/>
      <c r="M384" s="331"/>
    </row>
    <row r="385">
      <c r="C385" s="226"/>
      <c r="F385" s="331"/>
      <c r="J385" s="249"/>
      <c r="M385" s="331"/>
    </row>
    <row r="386">
      <c r="C386" s="226"/>
      <c r="F386" s="331"/>
      <c r="J386" s="249"/>
      <c r="M386" s="331"/>
    </row>
    <row r="387">
      <c r="C387" s="226"/>
      <c r="F387" s="331"/>
      <c r="J387" s="249"/>
      <c r="M387" s="331"/>
    </row>
    <row r="388">
      <c r="C388" s="226"/>
      <c r="F388" s="331"/>
      <c r="J388" s="249"/>
      <c r="M388" s="331"/>
    </row>
    <row r="389">
      <c r="C389" s="226"/>
      <c r="F389" s="331"/>
      <c r="J389" s="249"/>
      <c r="M389" s="331"/>
    </row>
    <row r="390">
      <c r="C390" s="226"/>
      <c r="F390" s="331"/>
      <c r="J390" s="249"/>
      <c r="M390" s="331"/>
    </row>
    <row r="391">
      <c r="C391" s="226"/>
      <c r="F391" s="331"/>
      <c r="J391" s="249"/>
      <c r="M391" s="331"/>
    </row>
    <row r="392">
      <c r="C392" s="226"/>
      <c r="F392" s="331"/>
      <c r="J392" s="249"/>
      <c r="M392" s="331"/>
    </row>
    <row r="393">
      <c r="C393" s="226"/>
      <c r="F393" s="331"/>
      <c r="J393" s="249"/>
      <c r="M393" s="331"/>
    </row>
    <row r="394">
      <c r="C394" s="226"/>
      <c r="F394" s="331"/>
      <c r="J394" s="249"/>
      <c r="M394" s="331"/>
    </row>
    <row r="395">
      <c r="C395" s="226"/>
      <c r="F395" s="331"/>
      <c r="J395" s="249"/>
      <c r="M395" s="331"/>
    </row>
    <row r="396">
      <c r="C396" s="226"/>
      <c r="F396" s="331"/>
      <c r="J396" s="249"/>
      <c r="M396" s="331"/>
    </row>
    <row r="397">
      <c r="C397" s="226"/>
      <c r="F397" s="331"/>
      <c r="J397" s="249"/>
      <c r="M397" s="331"/>
    </row>
    <row r="398">
      <c r="C398" s="226"/>
      <c r="F398" s="331"/>
      <c r="J398" s="249"/>
      <c r="M398" s="331"/>
    </row>
    <row r="399">
      <c r="C399" s="226"/>
      <c r="F399" s="331"/>
      <c r="J399" s="249"/>
      <c r="M399" s="331"/>
    </row>
    <row r="400">
      <c r="C400" s="226"/>
      <c r="F400" s="331"/>
      <c r="J400" s="249"/>
      <c r="M400" s="331"/>
    </row>
    <row r="401">
      <c r="C401" s="226"/>
      <c r="F401" s="331"/>
      <c r="J401" s="249"/>
      <c r="M401" s="331"/>
    </row>
    <row r="402">
      <c r="C402" s="226"/>
      <c r="F402" s="331"/>
      <c r="J402" s="249"/>
      <c r="M402" s="331"/>
    </row>
    <row r="403">
      <c r="C403" s="226"/>
      <c r="F403" s="331"/>
      <c r="J403" s="249"/>
      <c r="M403" s="331"/>
    </row>
    <row r="404">
      <c r="C404" s="226"/>
      <c r="F404" s="331"/>
      <c r="J404" s="249"/>
      <c r="M404" s="331"/>
    </row>
    <row r="405">
      <c r="C405" s="226"/>
      <c r="F405" s="331"/>
      <c r="J405" s="249"/>
      <c r="M405" s="331"/>
    </row>
    <row r="406">
      <c r="C406" s="226"/>
      <c r="F406" s="331"/>
      <c r="J406" s="249"/>
      <c r="M406" s="331"/>
    </row>
    <row r="407">
      <c r="C407" s="226"/>
      <c r="F407" s="331"/>
      <c r="J407" s="249"/>
      <c r="M407" s="331"/>
    </row>
    <row r="408">
      <c r="C408" s="226"/>
      <c r="F408" s="331"/>
      <c r="J408" s="249"/>
      <c r="M408" s="331"/>
    </row>
    <row r="409">
      <c r="C409" s="226"/>
      <c r="F409" s="331"/>
      <c r="J409" s="249"/>
      <c r="M409" s="331"/>
    </row>
    <row r="410">
      <c r="C410" s="226"/>
      <c r="F410" s="331"/>
      <c r="J410" s="249"/>
      <c r="M410" s="331"/>
    </row>
    <row r="411">
      <c r="C411" s="226"/>
      <c r="F411" s="331"/>
      <c r="J411" s="249"/>
      <c r="M411" s="331"/>
    </row>
    <row r="412">
      <c r="C412" s="226"/>
      <c r="F412" s="331"/>
      <c r="J412" s="249"/>
      <c r="M412" s="331"/>
    </row>
    <row r="413">
      <c r="C413" s="226"/>
      <c r="F413" s="331"/>
      <c r="J413" s="249"/>
      <c r="M413" s="331"/>
    </row>
    <row r="414">
      <c r="C414" s="226"/>
      <c r="F414" s="331"/>
      <c r="J414" s="249"/>
      <c r="M414" s="331"/>
    </row>
    <row r="415">
      <c r="C415" s="226"/>
      <c r="F415" s="331"/>
      <c r="J415" s="249"/>
      <c r="M415" s="331"/>
    </row>
    <row r="416">
      <c r="C416" s="226"/>
      <c r="F416" s="331"/>
      <c r="J416" s="249"/>
      <c r="M416" s="331"/>
    </row>
    <row r="417">
      <c r="C417" s="226"/>
      <c r="F417" s="331"/>
      <c r="J417" s="249"/>
      <c r="M417" s="331"/>
    </row>
    <row r="418">
      <c r="C418" s="226"/>
      <c r="F418" s="331"/>
      <c r="J418" s="249"/>
      <c r="M418" s="331"/>
    </row>
    <row r="419">
      <c r="C419" s="226"/>
      <c r="F419" s="331"/>
      <c r="J419" s="249"/>
      <c r="M419" s="331"/>
    </row>
    <row r="420">
      <c r="C420" s="226"/>
      <c r="F420" s="331"/>
      <c r="J420" s="249"/>
      <c r="M420" s="331"/>
    </row>
    <row r="421">
      <c r="C421" s="226"/>
      <c r="F421" s="331"/>
      <c r="J421" s="249"/>
      <c r="M421" s="331"/>
    </row>
    <row r="422">
      <c r="C422" s="226"/>
      <c r="F422" s="331"/>
      <c r="J422" s="249"/>
      <c r="M422" s="331"/>
    </row>
    <row r="423">
      <c r="C423" s="226"/>
      <c r="F423" s="331"/>
      <c r="J423" s="249"/>
      <c r="M423" s="331"/>
    </row>
    <row r="424">
      <c r="C424" s="226"/>
      <c r="F424" s="331"/>
      <c r="J424" s="249"/>
      <c r="M424" s="331"/>
    </row>
    <row r="425">
      <c r="C425" s="226"/>
      <c r="F425" s="331"/>
      <c r="J425" s="249"/>
      <c r="M425" s="331"/>
    </row>
    <row r="426">
      <c r="C426" s="226"/>
      <c r="F426" s="331"/>
      <c r="J426" s="249"/>
      <c r="M426" s="331"/>
    </row>
    <row r="427">
      <c r="C427" s="226"/>
      <c r="F427" s="331"/>
      <c r="J427" s="249"/>
      <c r="M427" s="331"/>
    </row>
    <row r="428">
      <c r="C428" s="226"/>
      <c r="F428" s="331"/>
      <c r="J428" s="249"/>
      <c r="M428" s="331"/>
    </row>
    <row r="429">
      <c r="C429" s="226"/>
      <c r="F429" s="331"/>
      <c r="J429" s="249"/>
      <c r="M429" s="331"/>
    </row>
    <row r="430">
      <c r="C430" s="226"/>
      <c r="F430" s="331"/>
      <c r="J430" s="249"/>
      <c r="M430" s="331"/>
    </row>
    <row r="431">
      <c r="C431" s="226"/>
      <c r="F431" s="331"/>
      <c r="J431" s="249"/>
      <c r="M431" s="331"/>
    </row>
    <row r="432">
      <c r="C432" s="226"/>
      <c r="F432" s="331"/>
      <c r="J432" s="249"/>
      <c r="M432" s="331"/>
    </row>
    <row r="433">
      <c r="C433" s="226"/>
      <c r="F433" s="331"/>
      <c r="J433" s="249"/>
      <c r="M433" s="331"/>
    </row>
    <row r="434">
      <c r="C434" s="226"/>
      <c r="F434" s="331"/>
      <c r="J434" s="249"/>
      <c r="M434" s="331"/>
    </row>
    <row r="435">
      <c r="C435" s="226"/>
      <c r="F435" s="331"/>
      <c r="J435" s="249"/>
      <c r="M435" s="331"/>
    </row>
    <row r="436">
      <c r="C436" s="226"/>
      <c r="F436" s="331"/>
      <c r="J436" s="249"/>
      <c r="M436" s="331"/>
    </row>
    <row r="437">
      <c r="C437" s="226"/>
      <c r="F437" s="331"/>
      <c r="J437" s="249"/>
      <c r="M437" s="331"/>
    </row>
    <row r="438">
      <c r="C438" s="226"/>
      <c r="F438" s="331"/>
      <c r="J438" s="249"/>
      <c r="M438" s="331"/>
    </row>
    <row r="439">
      <c r="C439" s="226"/>
      <c r="F439" s="331"/>
      <c r="J439" s="249"/>
      <c r="M439" s="331"/>
    </row>
    <row r="440">
      <c r="C440" s="226"/>
      <c r="F440" s="331"/>
      <c r="J440" s="249"/>
      <c r="M440" s="331"/>
    </row>
    <row r="441">
      <c r="C441" s="226"/>
      <c r="F441" s="331"/>
      <c r="J441" s="249"/>
      <c r="M441" s="331"/>
    </row>
    <row r="442">
      <c r="C442" s="226"/>
      <c r="F442" s="331"/>
      <c r="J442" s="249"/>
      <c r="M442" s="331"/>
    </row>
    <row r="443">
      <c r="C443" s="226"/>
      <c r="F443" s="331"/>
      <c r="J443" s="249"/>
      <c r="M443" s="331"/>
    </row>
    <row r="444">
      <c r="C444" s="226"/>
      <c r="F444" s="331"/>
      <c r="J444" s="249"/>
      <c r="M444" s="331"/>
    </row>
    <row r="445">
      <c r="C445" s="226"/>
      <c r="F445" s="331"/>
      <c r="J445" s="249"/>
      <c r="M445" s="331"/>
    </row>
    <row r="446">
      <c r="C446" s="226"/>
      <c r="F446" s="331"/>
      <c r="J446" s="249"/>
      <c r="M446" s="331"/>
    </row>
    <row r="447">
      <c r="C447" s="226"/>
      <c r="F447" s="331"/>
      <c r="J447" s="249"/>
      <c r="M447" s="331"/>
    </row>
    <row r="448">
      <c r="C448" s="226"/>
      <c r="F448" s="331"/>
      <c r="J448" s="249"/>
      <c r="M448" s="331"/>
    </row>
    <row r="449">
      <c r="C449" s="226"/>
      <c r="F449" s="331"/>
      <c r="J449" s="249"/>
      <c r="M449" s="331"/>
    </row>
    <row r="450">
      <c r="C450" s="226"/>
      <c r="F450" s="331"/>
      <c r="J450" s="249"/>
      <c r="M450" s="331"/>
    </row>
    <row r="451">
      <c r="C451" s="226"/>
      <c r="F451" s="331"/>
      <c r="J451" s="249"/>
      <c r="M451" s="331"/>
    </row>
    <row r="452">
      <c r="C452" s="226"/>
      <c r="F452" s="331"/>
      <c r="J452" s="249"/>
      <c r="M452" s="331"/>
    </row>
    <row r="453">
      <c r="C453" s="226"/>
      <c r="F453" s="331"/>
      <c r="J453" s="249"/>
      <c r="M453" s="331"/>
    </row>
    <row r="454">
      <c r="C454" s="226"/>
      <c r="F454" s="331"/>
      <c r="J454" s="249"/>
      <c r="M454" s="331"/>
    </row>
    <row r="455">
      <c r="C455" s="226"/>
      <c r="F455" s="331"/>
      <c r="J455" s="249"/>
      <c r="M455" s="331"/>
    </row>
    <row r="456">
      <c r="C456" s="226"/>
      <c r="F456" s="331"/>
      <c r="J456" s="249"/>
      <c r="M456" s="331"/>
    </row>
    <row r="457">
      <c r="C457" s="226"/>
      <c r="F457" s="331"/>
      <c r="J457" s="249"/>
      <c r="M457" s="331"/>
    </row>
    <row r="458">
      <c r="C458" s="226"/>
      <c r="F458" s="331"/>
      <c r="J458" s="249"/>
      <c r="M458" s="331"/>
    </row>
    <row r="459">
      <c r="C459" s="226"/>
      <c r="F459" s="331"/>
      <c r="J459" s="249"/>
      <c r="M459" s="331"/>
    </row>
    <row r="460">
      <c r="C460" s="226"/>
      <c r="F460" s="331"/>
      <c r="J460" s="249"/>
      <c r="M460" s="331"/>
    </row>
    <row r="461">
      <c r="C461" s="226"/>
      <c r="F461" s="331"/>
      <c r="J461" s="249"/>
      <c r="M461" s="331"/>
    </row>
    <row r="462">
      <c r="C462" s="226"/>
      <c r="F462" s="331"/>
      <c r="J462" s="249"/>
      <c r="M462" s="331"/>
    </row>
    <row r="463">
      <c r="C463" s="226"/>
      <c r="F463" s="331"/>
      <c r="J463" s="249"/>
      <c r="M463" s="331"/>
    </row>
    <row r="464">
      <c r="C464" s="226"/>
      <c r="F464" s="331"/>
      <c r="J464" s="249"/>
      <c r="M464" s="331"/>
    </row>
    <row r="465">
      <c r="C465" s="226"/>
      <c r="F465" s="331"/>
      <c r="J465" s="249"/>
      <c r="M465" s="331"/>
    </row>
    <row r="466">
      <c r="C466" s="226"/>
      <c r="F466" s="331"/>
      <c r="J466" s="249"/>
      <c r="M466" s="331"/>
    </row>
    <row r="467">
      <c r="C467" s="226"/>
      <c r="F467" s="331"/>
      <c r="J467" s="249"/>
      <c r="M467" s="331"/>
    </row>
    <row r="468">
      <c r="C468" s="226"/>
      <c r="F468" s="331"/>
      <c r="J468" s="249"/>
      <c r="M468" s="331"/>
    </row>
    <row r="469">
      <c r="C469" s="226"/>
      <c r="F469" s="331"/>
      <c r="J469" s="249"/>
      <c r="M469" s="331"/>
    </row>
    <row r="470">
      <c r="C470" s="226"/>
      <c r="F470" s="331"/>
      <c r="J470" s="249"/>
      <c r="M470" s="331"/>
    </row>
    <row r="471">
      <c r="C471" s="226"/>
      <c r="F471" s="331"/>
      <c r="J471" s="249"/>
      <c r="M471" s="331"/>
    </row>
    <row r="472">
      <c r="C472" s="226"/>
      <c r="F472" s="331"/>
      <c r="J472" s="249"/>
      <c r="M472" s="331"/>
    </row>
    <row r="473">
      <c r="C473" s="226"/>
      <c r="F473" s="331"/>
      <c r="J473" s="249"/>
      <c r="M473" s="331"/>
    </row>
    <row r="474">
      <c r="C474" s="226"/>
      <c r="F474" s="331"/>
      <c r="J474" s="249"/>
      <c r="M474" s="331"/>
    </row>
    <row r="475">
      <c r="C475" s="226"/>
      <c r="F475" s="331"/>
      <c r="J475" s="249"/>
      <c r="M475" s="331"/>
    </row>
    <row r="476">
      <c r="C476" s="226"/>
      <c r="F476" s="331"/>
      <c r="J476" s="249"/>
      <c r="M476" s="331"/>
    </row>
    <row r="477">
      <c r="C477" s="226"/>
      <c r="F477" s="331"/>
      <c r="J477" s="249"/>
      <c r="M477" s="331"/>
    </row>
    <row r="478">
      <c r="C478" s="226"/>
      <c r="F478" s="331"/>
      <c r="J478" s="249"/>
      <c r="M478" s="331"/>
    </row>
    <row r="479">
      <c r="C479" s="226"/>
      <c r="F479" s="331"/>
      <c r="J479" s="249"/>
      <c r="M479" s="331"/>
    </row>
    <row r="480">
      <c r="C480" s="226"/>
      <c r="F480" s="331"/>
      <c r="J480" s="249"/>
      <c r="M480" s="331"/>
    </row>
    <row r="481">
      <c r="C481" s="226"/>
      <c r="F481" s="331"/>
      <c r="J481" s="249"/>
      <c r="M481" s="331"/>
    </row>
    <row r="482">
      <c r="C482" s="226"/>
      <c r="F482" s="331"/>
      <c r="J482" s="249"/>
      <c r="M482" s="331"/>
    </row>
    <row r="483">
      <c r="C483" s="226"/>
      <c r="F483" s="331"/>
      <c r="J483" s="249"/>
      <c r="M483" s="331"/>
    </row>
    <row r="484">
      <c r="C484" s="226"/>
      <c r="F484" s="331"/>
      <c r="J484" s="249"/>
      <c r="M484" s="331"/>
    </row>
    <row r="485">
      <c r="C485" s="226"/>
      <c r="F485" s="331"/>
      <c r="J485" s="249"/>
      <c r="M485" s="331"/>
    </row>
    <row r="486">
      <c r="C486" s="226"/>
      <c r="F486" s="331"/>
      <c r="J486" s="249"/>
      <c r="M486" s="331"/>
    </row>
    <row r="487">
      <c r="C487" s="226"/>
      <c r="F487" s="331"/>
      <c r="J487" s="249"/>
      <c r="M487" s="331"/>
    </row>
    <row r="488">
      <c r="C488" s="226"/>
      <c r="F488" s="331"/>
      <c r="J488" s="249"/>
      <c r="M488" s="331"/>
    </row>
    <row r="489">
      <c r="C489" s="226"/>
      <c r="F489" s="331"/>
      <c r="J489" s="249"/>
      <c r="M489" s="331"/>
    </row>
    <row r="490">
      <c r="C490" s="226"/>
      <c r="F490" s="331"/>
      <c r="J490" s="249"/>
      <c r="M490" s="331"/>
    </row>
    <row r="491">
      <c r="C491" s="226"/>
      <c r="F491" s="331"/>
      <c r="J491" s="249"/>
      <c r="M491" s="331"/>
    </row>
    <row r="492">
      <c r="C492" s="226"/>
      <c r="F492" s="331"/>
      <c r="J492" s="249"/>
      <c r="M492" s="331"/>
    </row>
    <row r="493">
      <c r="C493" s="226"/>
      <c r="F493" s="331"/>
      <c r="J493" s="249"/>
      <c r="M493" s="331"/>
    </row>
    <row r="494">
      <c r="C494" s="226"/>
      <c r="F494" s="331"/>
      <c r="J494" s="249"/>
      <c r="M494" s="331"/>
    </row>
    <row r="495">
      <c r="C495" s="226"/>
      <c r="F495" s="331"/>
      <c r="J495" s="249"/>
      <c r="M495" s="331"/>
    </row>
    <row r="496">
      <c r="C496" s="226"/>
      <c r="F496" s="331"/>
      <c r="J496" s="249"/>
      <c r="M496" s="331"/>
    </row>
    <row r="497">
      <c r="C497" s="226"/>
      <c r="F497" s="331"/>
      <c r="J497" s="249"/>
      <c r="M497" s="331"/>
    </row>
    <row r="498">
      <c r="C498" s="226"/>
      <c r="F498" s="331"/>
      <c r="J498" s="249"/>
      <c r="M498" s="331"/>
    </row>
    <row r="499">
      <c r="C499" s="226"/>
      <c r="F499" s="331"/>
      <c r="J499" s="249"/>
      <c r="M499" s="331"/>
    </row>
    <row r="500">
      <c r="C500" s="226"/>
      <c r="F500" s="331"/>
      <c r="J500" s="249"/>
      <c r="M500" s="331"/>
    </row>
    <row r="501">
      <c r="C501" s="226"/>
      <c r="F501" s="331"/>
      <c r="J501" s="249"/>
      <c r="M501" s="331"/>
    </row>
    <row r="502">
      <c r="C502" s="226"/>
      <c r="F502" s="331"/>
      <c r="J502" s="249"/>
      <c r="M502" s="331"/>
    </row>
    <row r="503">
      <c r="C503" s="226"/>
      <c r="F503" s="331"/>
      <c r="J503" s="249"/>
      <c r="M503" s="331"/>
    </row>
    <row r="504">
      <c r="C504" s="226"/>
      <c r="F504" s="331"/>
      <c r="J504" s="249"/>
      <c r="M504" s="331"/>
    </row>
    <row r="505">
      <c r="C505" s="226"/>
      <c r="F505" s="331"/>
      <c r="J505" s="249"/>
      <c r="M505" s="331"/>
    </row>
    <row r="506">
      <c r="C506" s="226"/>
      <c r="F506" s="331"/>
      <c r="J506" s="249"/>
      <c r="M506" s="331"/>
    </row>
    <row r="507">
      <c r="C507" s="226"/>
      <c r="F507" s="331"/>
      <c r="J507" s="249"/>
      <c r="M507" s="331"/>
    </row>
    <row r="508">
      <c r="C508" s="226"/>
      <c r="F508" s="331"/>
      <c r="J508" s="249"/>
      <c r="M508" s="331"/>
    </row>
    <row r="509">
      <c r="C509" s="226"/>
      <c r="F509" s="331"/>
      <c r="J509" s="249"/>
      <c r="M509" s="331"/>
    </row>
    <row r="510">
      <c r="C510" s="226"/>
      <c r="F510" s="331"/>
      <c r="J510" s="249"/>
      <c r="M510" s="331"/>
    </row>
    <row r="511">
      <c r="C511" s="226"/>
      <c r="F511" s="331"/>
      <c r="J511" s="249"/>
      <c r="M511" s="331"/>
    </row>
    <row r="512">
      <c r="C512" s="226"/>
      <c r="F512" s="331"/>
      <c r="J512" s="249"/>
      <c r="M512" s="331"/>
    </row>
    <row r="513">
      <c r="C513" s="226"/>
      <c r="F513" s="331"/>
      <c r="J513" s="249"/>
      <c r="M513" s="331"/>
    </row>
    <row r="514">
      <c r="C514" s="226"/>
      <c r="F514" s="331"/>
      <c r="J514" s="249"/>
      <c r="M514" s="331"/>
    </row>
    <row r="515">
      <c r="C515" s="226"/>
      <c r="F515" s="331"/>
      <c r="J515" s="249"/>
      <c r="M515" s="331"/>
    </row>
    <row r="516">
      <c r="C516" s="226"/>
      <c r="F516" s="331"/>
      <c r="J516" s="249"/>
      <c r="M516" s="331"/>
    </row>
    <row r="517">
      <c r="C517" s="226"/>
      <c r="F517" s="331"/>
      <c r="J517" s="249"/>
      <c r="M517" s="331"/>
    </row>
    <row r="518">
      <c r="C518" s="226"/>
      <c r="F518" s="331"/>
      <c r="J518" s="249"/>
      <c r="M518" s="331"/>
    </row>
    <row r="519">
      <c r="C519" s="226"/>
      <c r="F519" s="331"/>
      <c r="J519" s="249"/>
      <c r="M519" s="331"/>
    </row>
    <row r="520">
      <c r="C520" s="226"/>
      <c r="F520" s="331"/>
      <c r="J520" s="249"/>
      <c r="M520" s="331"/>
    </row>
    <row r="521">
      <c r="C521" s="226"/>
      <c r="F521" s="331"/>
      <c r="J521" s="249"/>
      <c r="M521" s="331"/>
    </row>
    <row r="522">
      <c r="C522" s="226"/>
      <c r="F522" s="331"/>
      <c r="J522" s="249"/>
      <c r="M522" s="331"/>
    </row>
    <row r="523">
      <c r="C523" s="226"/>
      <c r="F523" s="331"/>
      <c r="J523" s="249"/>
      <c r="M523" s="331"/>
    </row>
    <row r="524">
      <c r="C524" s="226"/>
      <c r="F524" s="331"/>
      <c r="J524" s="249"/>
      <c r="M524" s="331"/>
    </row>
    <row r="525">
      <c r="C525" s="226"/>
      <c r="F525" s="331"/>
      <c r="J525" s="249"/>
      <c r="M525" s="331"/>
    </row>
    <row r="526">
      <c r="C526" s="226"/>
      <c r="F526" s="331"/>
      <c r="J526" s="249"/>
      <c r="M526" s="331"/>
    </row>
    <row r="527">
      <c r="C527" s="226"/>
      <c r="F527" s="331"/>
      <c r="J527" s="249"/>
      <c r="M527" s="331"/>
    </row>
    <row r="528">
      <c r="C528" s="226"/>
      <c r="F528" s="331"/>
      <c r="J528" s="249"/>
      <c r="M528" s="331"/>
    </row>
    <row r="529">
      <c r="C529" s="226"/>
      <c r="F529" s="331"/>
      <c r="J529" s="249"/>
      <c r="M529" s="331"/>
    </row>
    <row r="530">
      <c r="C530" s="226"/>
      <c r="F530" s="331"/>
      <c r="J530" s="249"/>
      <c r="M530" s="331"/>
    </row>
    <row r="531">
      <c r="C531" s="226"/>
      <c r="F531" s="331"/>
      <c r="J531" s="249"/>
      <c r="M531" s="331"/>
    </row>
    <row r="532">
      <c r="C532" s="226"/>
      <c r="F532" s="331"/>
      <c r="J532" s="249"/>
      <c r="M532" s="331"/>
    </row>
    <row r="533">
      <c r="C533" s="226"/>
      <c r="F533" s="331"/>
      <c r="J533" s="249"/>
      <c r="M533" s="331"/>
    </row>
    <row r="534">
      <c r="C534" s="226"/>
      <c r="F534" s="331"/>
      <c r="J534" s="249"/>
      <c r="M534" s="331"/>
    </row>
    <row r="535">
      <c r="C535" s="226"/>
      <c r="F535" s="331"/>
      <c r="J535" s="249"/>
      <c r="M535" s="331"/>
    </row>
    <row r="536">
      <c r="C536" s="226"/>
      <c r="F536" s="331"/>
      <c r="J536" s="249"/>
      <c r="M536" s="331"/>
    </row>
    <row r="537">
      <c r="C537" s="226"/>
      <c r="F537" s="331"/>
      <c r="J537" s="249"/>
      <c r="M537" s="331"/>
    </row>
    <row r="538">
      <c r="C538" s="226"/>
      <c r="F538" s="331"/>
      <c r="J538" s="249"/>
      <c r="M538" s="331"/>
    </row>
    <row r="539">
      <c r="C539" s="226"/>
      <c r="F539" s="331"/>
      <c r="J539" s="249"/>
      <c r="M539" s="331"/>
    </row>
    <row r="540">
      <c r="C540" s="226"/>
      <c r="F540" s="331"/>
      <c r="J540" s="249"/>
      <c r="M540" s="331"/>
    </row>
    <row r="541">
      <c r="C541" s="226"/>
      <c r="F541" s="331"/>
      <c r="J541" s="249"/>
      <c r="M541" s="331"/>
    </row>
    <row r="542">
      <c r="C542" s="226"/>
      <c r="F542" s="331"/>
      <c r="J542" s="249"/>
      <c r="M542" s="331"/>
    </row>
    <row r="543">
      <c r="C543" s="226"/>
      <c r="F543" s="331"/>
      <c r="J543" s="249"/>
      <c r="M543" s="331"/>
    </row>
    <row r="544">
      <c r="C544" s="226"/>
      <c r="F544" s="331"/>
      <c r="J544" s="249"/>
      <c r="M544" s="331"/>
    </row>
    <row r="545">
      <c r="C545" s="226"/>
      <c r="F545" s="331"/>
      <c r="J545" s="249"/>
      <c r="M545" s="331"/>
    </row>
    <row r="546">
      <c r="C546" s="226"/>
      <c r="F546" s="331"/>
      <c r="J546" s="249"/>
      <c r="M546" s="331"/>
    </row>
    <row r="547">
      <c r="C547" s="226"/>
      <c r="F547" s="331"/>
      <c r="J547" s="249"/>
      <c r="M547" s="331"/>
    </row>
    <row r="548">
      <c r="C548" s="226"/>
      <c r="F548" s="331"/>
      <c r="J548" s="249"/>
      <c r="M548" s="331"/>
    </row>
    <row r="549">
      <c r="C549" s="226"/>
      <c r="F549" s="331"/>
      <c r="J549" s="249"/>
      <c r="M549" s="331"/>
    </row>
    <row r="550">
      <c r="C550" s="226"/>
      <c r="F550" s="331"/>
      <c r="J550" s="249"/>
      <c r="M550" s="331"/>
    </row>
    <row r="551">
      <c r="C551" s="226"/>
      <c r="F551" s="331"/>
      <c r="J551" s="249"/>
      <c r="M551" s="331"/>
    </row>
    <row r="552">
      <c r="C552" s="226"/>
      <c r="F552" s="331"/>
      <c r="J552" s="249"/>
      <c r="M552" s="331"/>
    </row>
    <row r="553">
      <c r="C553" s="226"/>
      <c r="F553" s="331"/>
      <c r="J553" s="249"/>
      <c r="M553" s="331"/>
    </row>
    <row r="554">
      <c r="C554" s="226"/>
      <c r="F554" s="331"/>
      <c r="J554" s="249"/>
      <c r="M554" s="331"/>
    </row>
    <row r="555">
      <c r="C555" s="226"/>
      <c r="F555" s="331"/>
      <c r="J555" s="249"/>
      <c r="M555" s="331"/>
    </row>
    <row r="556">
      <c r="C556" s="226"/>
      <c r="F556" s="331"/>
      <c r="J556" s="249"/>
      <c r="M556" s="331"/>
    </row>
    <row r="557">
      <c r="C557" s="226"/>
      <c r="F557" s="331"/>
      <c r="J557" s="249"/>
      <c r="M557" s="331"/>
    </row>
    <row r="558">
      <c r="C558" s="226"/>
      <c r="F558" s="331"/>
      <c r="J558" s="249"/>
      <c r="M558" s="331"/>
    </row>
    <row r="559">
      <c r="C559" s="226"/>
      <c r="F559" s="331"/>
      <c r="J559" s="249"/>
      <c r="M559" s="331"/>
    </row>
    <row r="560">
      <c r="C560" s="226"/>
      <c r="F560" s="331"/>
      <c r="J560" s="249"/>
      <c r="M560" s="331"/>
    </row>
    <row r="561">
      <c r="C561" s="226"/>
      <c r="F561" s="331"/>
      <c r="J561" s="249"/>
      <c r="M561" s="331"/>
    </row>
    <row r="562">
      <c r="C562" s="226"/>
      <c r="F562" s="331"/>
      <c r="J562" s="249"/>
      <c r="M562" s="331"/>
    </row>
    <row r="563">
      <c r="C563" s="226"/>
      <c r="F563" s="331"/>
      <c r="J563" s="249"/>
      <c r="M563" s="331"/>
    </row>
    <row r="564">
      <c r="C564" s="226"/>
      <c r="F564" s="331"/>
      <c r="J564" s="249"/>
      <c r="M564" s="331"/>
    </row>
    <row r="565">
      <c r="C565" s="226"/>
      <c r="F565" s="331"/>
      <c r="J565" s="249"/>
      <c r="M565" s="331"/>
    </row>
    <row r="566">
      <c r="C566" s="226"/>
      <c r="F566" s="331"/>
      <c r="J566" s="249"/>
      <c r="M566" s="331"/>
    </row>
    <row r="567">
      <c r="C567" s="226"/>
      <c r="F567" s="331"/>
      <c r="J567" s="249"/>
      <c r="M567" s="331"/>
    </row>
    <row r="568">
      <c r="C568" s="226"/>
      <c r="F568" s="331"/>
      <c r="J568" s="249"/>
      <c r="M568" s="331"/>
    </row>
    <row r="569">
      <c r="C569" s="226"/>
      <c r="F569" s="331"/>
      <c r="J569" s="249"/>
      <c r="M569" s="331"/>
    </row>
    <row r="570">
      <c r="C570" s="226"/>
      <c r="F570" s="331"/>
      <c r="J570" s="249"/>
      <c r="M570" s="331"/>
    </row>
    <row r="571">
      <c r="C571" s="226"/>
      <c r="F571" s="331"/>
      <c r="J571" s="249"/>
      <c r="M571" s="331"/>
    </row>
    <row r="572">
      <c r="C572" s="226"/>
      <c r="F572" s="331"/>
      <c r="J572" s="249"/>
      <c r="M572" s="331"/>
    </row>
    <row r="573">
      <c r="C573" s="226"/>
      <c r="F573" s="331"/>
      <c r="J573" s="249"/>
      <c r="M573" s="331"/>
    </row>
    <row r="574">
      <c r="C574" s="226"/>
      <c r="F574" s="331"/>
      <c r="J574" s="249"/>
      <c r="M574" s="331"/>
    </row>
    <row r="575">
      <c r="C575" s="226"/>
      <c r="F575" s="331"/>
      <c r="J575" s="249"/>
      <c r="M575" s="331"/>
    </row>
    <row r="576">
      <c r="C576" s="226"/>
      <c r="F576" s="331"/>
      <c r="J576" s="249"/>
      <c r="M576" s="331"/>
    </row>
    <row r="577">
      <c r="C577" s="226"/>
      <c r="F577" s="331"/>
      <c r="J577" s="249"/>
      <c r="M577" s="331"/>
    </row>
    <row r="578">
      <c r="C578" s="226"/>
      <c r="F578" s="331"/>
      <c r="J578" s="249"/>
      <c r="M578" s="331"/>
    </row>
    <row r="579">
      <c r="C579" s="226"/>
      <c r="F579" s="331"/>
      <c r="J579" s="249"/>
      <c r="M579" s="331"/>
    </row>
    <row r="580">
      <c r="C580" s="226"/>
      <c r="F580" s="331"/>
      <c r="J580" s="249"/>
      <c r="M580" s="331"/>
    </row>
    <row r="581">
      <c r="C581" s="226"/>
      <c r="F581" s="331"/>
      <c r="J581" s="249"/>
      <c r="M581" s="331"/>
    </row>
    <row r="582">
      <c r="C582" s="226"/>
      <c r="F582" s="331"/>
      <c r="J582" s="249"/>
      <c r="M582" s="331"/>
    </row>
    <row r="583">
      <c r="C583" s="226"/>
      <c r="F583" s="331"/>
      <c r="J583" s="249"/>
      <c r="M583" s="331"/>
    </row>
    <row r="584">
      <c r="C584" s="226"/>
      <c r="F584" s="331"/>
      <c r="J584" s="249"/>
      <c r="M584" s="331"/>
    </row>
    <row r="585">
      <c r="C585" s="226"/>
      <c r="F585" s="331"/>
      <c r="J585" s="249"/>
      <c r="M585" s="331"/>
    </row>
    <row r="586">
      <c r="C586" s="226"/>
      <c r="F586" s="331"/>
      <c r="J586" s="249"/>
      <c r="M586" s="331"/>
    </row>
    <row r="587">
      <c r="C587" s="226"/>
      <c r="F587" s="331"/>
      <c r="J587" s="249"/>
      <c r="M587" s="331"/>
    </row>
    <row r="588">
      <c r="C588" s="226"/>
      <c r="F588" s="331"/>
      <c r="J588" s="249"/>
      <c r="M588" s="331"/>
    </row>
    <row r="589">
      <c r="C589" s="226"/>
      <c r="F589" s="331"/>
      <c r="J589" s="249"/>
      <c r="M589" s="331"/>
    </row>
    <row r="590">
      <c r="C590" s="226"/>
      <c r="F590" s="331"/>
      <c r="J590" s="249"/>
      <c r="M590" s="331"/>
    </row>
    <row r="591">
      <c r="C591" s="226"/>
      <c r="F591" s="331"/>
      <c r="J591" s="249"/>
      <c r="M591" s="331"/>
    </row>
    <row r="592">
      <c r="C592" s="226"/>
      <c r="F592" s="331"/>
      <c r="J592" s="249"/>
      <c r="M592" s="331"/>
    </row>
    <row r="593">
      <c r="C593" s="226"/>
      <c r="F593" s="331"/>
      <c r="J593" s="249"/>
      <c r="M593" s="331"/>
    </row>
    <row r="594">
      <c r="C594" s="226"/>
      <c r="F594" s="331"/>
      <c r="J594" s="249"/>
      <c r="M594" s="331"/>
    </row>
    <row r="595">
      <c r="C595" s="226"/>
      <c r="F595" s="331"/>
      <c r="J595" s="249"/>
      <c r="M595" s="331"/>
    </row>
    <row r="596">
      <c r="C596" s="226"/>
      <c r="F596" s="331"/>
      <c r="J596" s="249"/>
      <c r="M596" s="331"/>
    </row>
    <row r="597">
      <c r="C597" s="226"/>
      <c r="F597" s="331"/>
      <c r="J597" s="249"/>
      <c r="M597" s="331"/>
    </row>
    <row r="598">
      <c r="C598" s="226"/>
      <c r="F598" s="331"/>
      <c r="J598" s="249"/>
      <c r="M598" s="331"/>
    </row>
    <row r="599">
      <c r="C599" s="226"/>
      <c r="F599" s="331"/>
      <c r="J599" s="249"/>
      <c r="M599" s="331"/>
    </row>
    <row r="600">
      <c r="C600" s="226"/>
      <c r="F600" s="331"/>
      <c r="J600" s="249"/>
      <c r="M600" s="331"/>
    </row>
    <row r="601">
      <c r="C601" s="226"/>
      <c r="F601" s="331"/>
      <c r="J601" s="249"/>
      <c r="M601" s="331"/>
    </row>
    <row r="602">
      <c r="C602" s="226"/>
      <c r="F602" s="331"/>
      <c r="J602" s="249"/>
      <c r="M602" s="331"/>
    </row>
    <row r="603">
      <c r="C603" s="226"/>
      <c r="F603" s="331"/>
      <c r="J603" s="249"/>
      <c r="M603" s="331"/>
    </row>
    <row r="604">
      <c r="C604" s="226"/>
      <c r="F604" s="331"/>
      <c r="J604" s="249"/>
      <c r="M604" s="331"/>
    </row>
    <row r="605">
      <c r="C605" s="226"/>
      <c r="F605" s="331"/>
      <c r="J605" s="249"/>
      <c r="M605" s="331"/>
    </row>
    <row r="606">
      <c r="C606" s="226"/>
      <c r="F606" s="331"/>
      <c r="J606" s="249"/>
      <c r="M606" s="331"/>
    </row>
    <row r="607">
      <c r="C607" s="226"/>
      <c r="F607" s="331"/>
      <c r="J607" s="249"/>
      <c r="M607" s="331"/>
    </row>
    <row r="608">
      <c r="C608" s="226"/>
      <c r="F608" s="331"/>
      <c r="J608" s="249"/>
      <c r="M608" s="331"/>
    </row>
    <row r="609">
      <c r="C609" s="226"/>
      <c r="F609" s="331"/>
      <c r="J609" s="249"/>
      <c r="M609" s="331"/>
    </row>
    <row r="610">
      <c r="C610" s="226"/>
      <c r="F610" s="331"/>
      <c r="J610" s="249"/>
      <c r="M610" s="331"/>
    </row>
    <row r="611">
      <c r="C611" s="226"/>
      <c r="F611" s="331"/>
      <c r="J611" s="249"/>
      <c r="M611" s="331"/>
    </row>
    <row r="612">
      <c r="C612" s="226"/>
      <c r="F612" s="331"/>
      <c r="J612" s="249"/>
      <c r="M612" s="331"/>
    </row>
    <row r="613">
      <c r="C613" s="226"/>
      <c r="F613" s="331"/>
      <c r="J613" s="249"/>
      <c r="M613" s="331"/>
    </row>
    <row r="614">
      <c r="C614" s="226"/>
      <c r="F614" s="331"/>
      <c r="J614" s="249"/>
      <c r="M614" s="331"/>
    </row>
    <row r="615">
      <c r="C615" s="226"/>
      <c r="F615" s="331"/>
      <c r="J615" s="249"/>
      <c r="M615" s="331"/>
    </row>
    <row r="616">
      <c r="C616" s="226"/>
      <c r="F616" s="331"/>
      <c r="J616" s="249"/>
      <c r="M616" s="331"/>
    </row>
    <row r="617">
      <c r="C617" s="226"/>
      <c r="F617" s="331"/>
      <c r="J617" s="249"/>
      <c r="M617" s="331"/>
    </row>
    <row r="618">
      <c r="C618" s="226"/>
      <c r="F618" s="331"/>
      <c r="J618" s="249"/>
      <c r="M618" s="331"/>
    </row>
    <row r="619">
      <c r="C619" s="226"/>
      <c r="F619" s="331"/>
      <c r="J619" s="249"/>
      <c r="M619" s="331"/>
    </row>
    <row r="620">
      <c r="C620" s="226"/>
      <c r="F620" s="331"/>
      <c r="J620" s="249"/>
      <c r="M620" s="331"/>
    </row>
    <row r="621">
      <c r="C621" s="226"/>
      <c r="F621" s="331"/>
      <c r="J621" s="249"/>
      <c r="M621" s="331"/>
    </row>
    <row r="622">
      <c r="C622" s="226"/>
      <c r="F622" s="331"/>
      <c r="J622" s="249"/>
      <c r="M622" s="331"/>
    </row>
    <row r="623">
      <c r="C623" s="226"/>
      <c r="F623" s="331"/>
      <c r="J623" s="249"/>
      <c r="M623" s="331"/>
    </row>
    <row r="624">
      <c r="C624" s="226"/>
      <c r="F624" s="331"/>
      <c r="J624" s="249"/>
      <c r="M624" s="331"/>
    </row>
    <row r="625">
      <c r="C625" s="226"/>
      <c r="F625" s="331"/>
      <c r="J625" s="249"/>
      <c r="M625" s="331"/>
    </row>
    <row r="626">
      <c r="C626" s="226"/>
      <c r="F626" s="331"/>
      <c r="J626" s="249"/>
      <c r="M626" s="331"/>
    </row>
    <row r="627">
      <c r="C627" s="226"/>
      <c r="F627" s="331"/>
      <c r="J627" s="249"/>
      <c r="M627" s="331"/>
    </row>
    <row r="628">
      <c r="C628" s="226"/>
      <c r="F628" s="331"/>
      <c r="J628" s="249"/>
      <c r="M628" s="331"/>
    </row>
    <row r="629">
      <c r="C629" s="226"/>
      <c r="F629" s="331"/>
      <c r="J629" s="249"/>
      <c r="M629" s="331"/>
    </row>
    <row r="630">
      <c r="C630" s="226"/>
      <c r="F630" s="331"/>
      <c r="J630" s="249"/>
      <c r="M630" s="331"/>
    </row>
    <row r="631">
      <c r="C631" s="226"/>
      <c r="F631" s="331"/>
      <c r="J631" s="249"/>
      <c r="M631" s="331"/>
    </row>
    <row r="632">
      <c r="C632" s="226"/>
      <c r="F632" s="331"/>
      <c r="J632" s="249"/>
      <c r="M632" s="331"/>
    </row>
    <row r="633">
      <c r="C633" s="226"/>
      <c r="F633" s="331"/>
      <c r="J633" s="249"/>
      <c r="M633" s="331"/>
    </row>
    <row r="634">
      <c r="C634" s="226"/>
      <c r="F634" s="331"/>
      <c r="J634" s="249"/>
      <c r="M634" s="331"/>
    </row>
    <row r="635">
      <c r="C635" s="226"/>
      <c r="F635" s="331"/>
      <c r="J635" s="249"/>
      <c r="M635" s="331"/>
    </row>
    <row r="636">
      <c r="C636" s="226"/>
      <c r="F636" s="331"/>
      <c r="J636" s="249"/>
      <c r="M636" s="331"/>
    </row>
    <row r="637">
      <c r="C637" s="226"/>
      <c r="F637" s="331"/>
      <c r="J637" s="249"/>
      <c r="M637" s="331"/>
    </row>
    <row r="638">
      <c r="C638" s="226"/>
      <c r="F638" s="331"/>
      <c r="J638" s="249"/>
      <c r="M638" s="331"/>
    </row>
    <row r="639">
      <c r="C639" s="226"/>
      <c r="F639" s="331"/>
      <c r="J639" s="249"/>
      <c r="M639" s="331"/>
    </row>
    <row r="640">
      <c r="C640" s="226"/>
      <c r="F640" s="331"/>
      <c r="J640" s="249"/>
      <c r="M640" s="331"/>
    </row>
    <row r="641">
      <c r="C641" s="226"/>
      <c r="F641" s="331"/>
      <c r="J641" s="249"/>
      <c r="M641" s="331"/>
    </row>
    <row r="642">
      <c r="C642" s="226"/>
      <c r="F642" s="331"/>
      <c r="J642" s="249"/>
      <c r="M642" s="331"/>
    </row>
    <row r="643">
      <c r="C643" s="226"/>
      <c r="F643" s="331"/>
      <c r="J643" s="249"/>
      <c r="M643" s="331"/>
    </row>
    <row r="644">
      <c r="C644" s="226"/>
      <c r="F644" s="331"/>
      <c r="J644" s="249"/>
      <c r="M644" s="331"/>
    </row>
    <row r="645">
      <c r="C645" s="226"/>
      <c r="F645" s="331"/>
      <c r="J645" s="249"/>
      <c r="M645" s="331"/>
    </row>
    <row r="646">
      <c r="C646" s="226"/>
      <c r="F646" s="331"/>
      <c r="J646" s="249"/>
      <c r="M646" s="331"/>
    </row>
    <row r="647">
      <c r="C647" s="226"/>
      <c r="F647" s="331"/>
      <c r="J647" s="249"/>
      <c r="M647" s="331"/>
    </row>
    <row r="648">
      <c r="C648" s="226"/>
      <c r="F648" s="331"/>
      <c r="J648" s="249"/>
      <c r="M648" s="331"/>
    </row>
    <row r="649">
      <c r="C649" s="226"/>
      <c r="F649" s="331"/>
      <c r="J649" s="249"/>
      <c r="M649" s="331"/>
    </row>
    <row r="650">
      <c r="C650" s="226"/>
      <c r="F650" s="331"/>
      <c r="J650" s="249"/>
      <c r="M650" s="331"/>
    </row>
    <row r="651">
      <c r="C651" s="226"/>
      <c r="F651" s="331"/>
      <c r="J651" s="249"/>
      <c r="M651" s="331"/>
    </row>
    <row r="652">
      <c r="C652" s="226"/>
      <c r="F652" s="331"/>
      <c r="J652" s="249"/>
      <c r="M652" s="331"/>
    </row>
    <row r="653">
      <c r="C653" s="226"/>
      <c r="F653" s="331"/>
      <c r="J653" s="249"/>
      <c r="M653" s="331"/>
    </row>
    <row r="654">
      <c r="C654" s="226"/>
      <c r="F654" s="331"/>
      <c r="J654" s="249"/>
      <c r="M654" s="331"/>
    </row>
    <row r="655">
      <c r="C655" s="226"/>
      <c r="F655" s="331"/>
      <c r="J655" s="249"/>
      <c r="M655" s="331"/>
    </row>
    <row r="656">
      <c r="C656" s="226"/>
      <c r="F656" s="331"/>
      <c r="J656" s="249"/>
      <c r="M656" s="331"/>
    </row>
    <row r="657">
      <c r="C657" s="226"/>
      <c r="F657" s="331"/>
      <c r="J657" s="249"/>
      <c r="M657" s="331"/>
    </row>
    <row r="658">
      <c r="C658" s="226"/>
      <c r="F658" s="331"/>
      <c r="J658" s="249"/>
      <c r="M658" s="331"/>
    </row>
    <row r="659">
      <c r="C659" s="226"/>
      <c r="F659" s="331"/>
      <c r="J659" s="249"/>
      <c r="M659" s="331"/>
    </row>
    <row r="660">
      <c r="C660" s="226"/>
      <c r="F660" s="331"/>
      <c r="J660" s="249"/>
      <c r="M660" s="331"/>
    </row>
    <row r="661">
      <c r="C661" s="226"/>
      <c r="F661" s="331"/>
      <c r="J661" s="249"/>
      <c r="M661" s="331"/>
    </row>
    <row r="662">
      <c r="C662" s="226"/>
      <c r="F662" s="331"/>
      <c r="J662" s="249"/>
      <c r="M662" s="331"/>
    </row>
    <row r="663">
      <c r="C663" s="226"/>
      <c r="F663" s="331"/>
      <c r="J663" s="249"/>
      <c r="M663" s="331"/>
    </row>
    <row r="664">
      <c r="C664" s="226"/>
      <c r="F664" s="331"/>
      <c r="J664" s="249"/>
      <c r="M664" s="331"/>
    </row>
    <row r="665">
      <c r="C665" s="226"/>
      <c r="F665" s="331"/>
      <c r="J665" s="249"/>
      <c r="M665" s="331"/>
    </row>
    <row r="666">
      <c r="C666" s="226"/>
      <c r="F666" s="331"/>
      <c r="J666" s="249"/>
      <c r="M666" s="331"/>
    </row>
    <row r="667">
      <c r="C667" s="226"/>
      <c r="F667" s="331"/>
      <c r="J667" s="249"/>
      <c r="M667" s="331"/>
    </row>
    <row r="668">
      <c r="C668" s="226"/>
      <c r="F668" s="331"/>
      <c r="J668" s="249"/>
      <c r="M668" s="331"/>
    </row>
    <row r="669">
      <c r="C669" s="226"/>
      <c r="F669" s="331"/>
      <c r="J669" s="249"/>
      <c r="M669" s="331"/>
    </row>
    <row r="670">
      <c r="C670" s="226"/>
      <c r="F670" s="331"/>
      <c r="J670" s="249"/>
      <c r="M670" s="331"/>
    </row>
    <row r="671">
      <c r="C671" s="226"/>
      <c r="F671" s="331"/>
      <c r="J671" s="249"/>
      <c r="M671" s="331"/>
    </row>
    <row r="672">
      <c r="C672" s="226"/>
      <c r="F672" s="331"/>
      <c r="J672" s="249"/>
      <c r="M672" s="331"/>
    </row>
    <row r="673">
      <c r="C673" s="226"/>
      <c r="F673" s="331"/>
      <c r="J673" s="249"/>
      <c r="M673" s="331"/>
    </row>
    <row r="674">
      <c r="C674" s="226"/>
      <c r="F674" s="331"/>
      <c r="J674" s="249"/>
      <c r="M674" s="331"/>
    </row>
    <row r="675">
      <c r="C675" s="226"/>
      <c r="F675" s="331"/>
      <c r="J675" s="249"/>
      <c r="M675" s="331"/>
    </row>
    <row r="676">
      <c r="C676" s="226"/>
      <c r="F676" s="331"/>
      <c r="J676" s="249"/>
      <c r="M676" s="331"/>
    </row>
    <row r="677">
      <c r="C677" s="226"/>
      <c r="F677" s="331"/>
      <c r="J677" s="249"/>
      <c r="M677" s="331"/>
    </row>
    <row r="678">
      <c r="C678" s="226"/>
      <c r="F678" s="331"/>
      <c r="J678" s="249"/>
      <c r="M678" s="331"/>
    </row>
    <row r="679">
      <c r="C679" s="226"/>
      <c r="F679" s="331"/>
      <c r="J679" s="249"/>
      <c r="M679" s="331"/>
    </row>
    <row r="680">
      <c r="C680" s="226"/>
      <c r="F680" s="331"/>
      <c r="J680" s="249"/>
      <c r="M680" s="331"/>
    </row>
    <row r="681">
      <c r="C681" s="226"/>
      <c r="F681" s="331"/>
      <c r="J681" s="249"/>
      <c r="M681" s="331"/>
    </row>
    <row r="682">
      <c r="C682" s="226"/>
      <c r="F682" s="331"/>
      <c r="J682" s="249"/>
      <c r="M682" s="331"/>
    </row>
    <row r="683">
      <c r="C683" s="226"/>
      <c r="F683" s="331"/>
      <c r="J683" s="249"/>
      <c r="M683" s="331"/>
    </row>
    <row r="684">
      <c r="C684" s="226"/>
      <c r="F684" s="331"/>
      <c r="J684" s="249"/>
      <c r="M684" s="331"/>
    </row>
    <row r="685">
      <c r="C685" s="226"/>
      <c r="F685" s="331"/>
      <c r="J685" s="249"/>
      <c r="M685" s="331"/>
    </row>
    <row r="686">
      <c r="C686" s="226"/>
      <c r="F686" s="331"/>
      <c r="J686" s="249"/>
      <c r="M686" s="331"/>
    </row>
    <row r="687">
      <c r="C687" s="226"/>
      <c r="F687" s="331"/>
      <c r="J687" s="249"/>
      <c r="M687" s="331"/>
    </row>
    <row r="688">
      <c r="C688" s="226"/>
      <c r="F688" s="331"/>
      <c r="J688" s="249"/>
      <c r="M688" s="331"/>
    </row>
    <row r="689">
      <c r="C689" s="226"/>
      <c r="F689" s="331"/>
      <c r="J689" s="249"/>
      <c r="M689" s="331"/>
    </row>
    <row r="690">
      <c r="C690" s="226"/>
      <c r="F690" s="331"/>
      <c r="J690" s="249"/>
      <c r="M690" s="331"/>
    </row>
    <row r="691">
      <c r="C691" s="226"/>
      <c r="F691" s="331"/>
      <c r="J691" s="249"/>
      <c r="M691" s="331"/>
    </row>
    <row r="692">
      <c r="C692" s="226"/>
      <c r="F692" s="331"/>
      <c r="J692" s="249"/>
      <c r="M692" s="331"/>
    </row>
    <row r="693">
      <c r="C693" s="226"/>
      <c r="F693" s="331"/>
      <c r="J693" s="249"/>
      <c r="M693" s="331"/>
    </row>
    <row r="694">
      <c r="C694" s="226"/>
      <c r="F694" s="331"/>
      <c r="J694" s="249"/>
      <c r="M694" s="331"/>
    </row>
    <row r="695">
      <c r="C695" s="226"/>
      <c r="F695" s="331"/>
      <c r="J695" s="249"/>
      <c r="M695" s="331"/>
    </row>
    <row r="696">
      <c r="C696" s="226"/>
      <c r="F696" s="331"/>
      <c r="J696" s="249"/>
      <c r="M696" s="331"/>
    </row>
    <row r="697">
      <c r="C697" s="226"/>
      <c r="F697" s="331"/>
      <c r="J697" s="249"/>
      <c r="M697" s="331"/>
    </row>
    <row r="698">
      <c r="C698" s="226"/>
      <c r="F698" s="331"/>
      <c r="J698" s="249"/>
      <c r="M698" s="331"/>
    </row>
    <row r="699">
      <c r="C699" s="226"/>
      <c r="F699" s="331"/>
      <c r="J699" s="249"/>
      <c r="M699" s="331"/>
    </row>
    <row r="700">
      <c r="C700" s="226"/>
      <c r="F700" s="331"/>
      <c r="J700" s="249"/>
      <c r="M700" s="331"/>
    </row>
    <row r="701">
      <c r="C701" s="226"/>
      <c r="F701" s="331"/>
      <c r="J701" s="249"/>
      <c r="M701" s="331"/>
    </row>
    <row r="702">
      <c r="C702" s="226"/>
      <c r="F702" s="331"/>
      <c r="J702" s="249"/>
      <c r="M702" s="331"/>
    </row>
    <row r="703">
      <c r="C703" s="226"/>
      <c r="F703" s="331"/>
      <c r="J703" s="249"/>
      <c r="M703" s="331"/>
    </row>
    <row r="704">
      <c r="C704" s="226"/>
      <c r="F704" s="331"/>
      <c r="J704" s="249"/>
      <c r="M704" s="331"/>
    </row>
    <row r="705">
      <c r="C705" s="226"/>
      <c r="F705" s="331"/>
      <c r="J705" s="249"/>
      <c r="M705" s="331"/>
    </row>
    <row r="706">
      <c r="C706" s="226"/>
      <c r="F706" s="331"/>
      <c r="J706" s="249"/>
      <c r="M706" s="331"/>
    </row>
    <row r="707">
      <c r="C707" s="226"/>
      <c r="F707" s="331"/>
      <c r="J707" s="249"/>
      <c r="M707" s="331"/>
    </row>
    <row r="708">
      <c r="C708" s="226"/>
      <c r="F708" s="331"/>
      <c r="J708" s="249"/>
      <c r="M708" s="331"/>
    </row>
    <row r="709">
      <c r="C709" s="226"/>
      <c r="F709" s="331"/>
      <c r="J709" s="249"/>
      <c r="M709" s="331"/>
    </row>
    <row r="710">
      <c r="C710" s="226"/>
      <c r="F710" s="331"/>
      <c r="J710" s="249"/>
      <c r="M710" s="331"/>
    </row>
    <row r="711">
      <c r="C711" s="226"/>
      <c r="F711" s="331"/>
      <c r="J711" s="249"/>
      <c r="M711" s="331"/>
    </row>
    <row r="712">
      <c r="C712" s="226"/>
      <c r="F712" s="331"/>
      <c r="J712" s="249"/>
      <c r="M712" s="331"/>
    </row>
    <row r="713">
      <c r="C713" s="226"/>
      <c r="F713" s="331"/>
      <c r="J713" s="249"/>
      <c r="M713" s="331"/>
    </row>
    <row r="714">
      <c r="C714" s="226"/>
      <c r="F714" s="331"/>
      <c r="J714" s="249"/>
      <c r="M714" s="331"/>
    </row>
    <row r="715">
      <c r="C715" s="226"/>
      <c r="F715" s="331"/>
      <c r="J715" s="249"/>
      <c r="M715" s="331"/>
    </row>
    <row r="716">
      <c r="C716" s="226"/>
      <c r="F716" s="331"/>
      <c r="J716" s="249"/>
      <c r="M716" s="331"/>
    </row>
    <row r="717">
      <c r="C717" s="226"/>
      <c r="F717" s="331"/>
      <c r="J717" s="249"/>
      <c r="M717" s="331"/>
    </row>
    <row r="718">
      <c r="C718" s="226"/>
      <c r="F718" s="331"/>
      <c r="J718" s="249"/>
      <c r="M718" s="331"/>
    </row>
    <row r="719">
      <c r="C719" s="226"/>
      <c r="F719" s="331"/>
      <c r="J719" s="249"/>
      <c r="M719" s="331"/>
    </row>
    <row r="720">
      <c r="C720" s="226"/>
      <c r="F720" s="331"/>
      <c r="J720" s="249"/>
      <c r="M720" s="331"/>
    </row>
    <row r="721">
      <c r="C721" s="226"/>
      <c r="F721" s="331"/>
      <c r="J721" s="249"/>
      <c r="M721" s="331"/>
    </row>
    <row r="722">
      <c r="C722" s="226"/>
      <c r="F722" s="331"/>
      <c r="J722" s="249"/>
      <c r="M722" s="331"/>
    </row>
    <row r="723">
      <c r="C723" s="226"/>
      <c r="F723" s="331"/>
      <c r="J723" s="249"/>
      <c r="M723" s="331"/>
    </row>
    <row r="724">
      <c r="C724" s="226"/>
      <c r="F724" s="331"/>
      <c r="J724" s="249"/>
      <c r="M724" s="331"/>
    </row>
    <row r="725">
      <c r="C725" s="226"/>
      <c r="F725" s="331"/>
      <c r="J725" s="249"/>
      <c r="M725" s="331"/>
    </row>
    <row r="726">
      <c r="C726" s="226"/>
      <c r="F726" s="331"/>
      <c r="J726" s="249"/>
      <c r="M726" s="331"/>
    </row>
    <row r="727">
      <c r="C727" s="226"/>
      <c r="F727" s="331"/>
      <c r="J727" s="249"/>
      <c r="M727" s="331"/>
    </row>
    <row r="728">
      <c r="C728" s="226"/>
      <c r="F728" s="331"/>
      <c r="J728" s="249"/>
      <c r="M728" s="331"/>
    </row>
    <row r="729">
      <c r="C729" s="226"/>
      <c r="F729" s="331"/>
      <c r="J729" s="249"/>
      <c r="M729" s="331"/>
    </row>
    <row r="730">
      <c r="C730" s="226"/>
      <c r="F730" s="331"/>
      <c r="J730" s="249"/>
      <c r="M730" s="331"/>
    </row>
    <row r="731">
      <c r="C731" s="226"/>
      <c r="F731" s="331"/>
      <c r="J731" s="249"/>
      <c r="M731" s="331"/>
    </row>
    <row r="732">
      <c r="C732" s="226"/>
      <c r="F732" s="331"/>
      <c r="J732" s="249"/>
      <c r="M732" s="331"/>
    </row>
    <row r="733">
      <c r="C733" s="226"/>
      <c r="F733" s="331"/>
      <c r="J733" s="249"/>
      <c r="M733" s="331"/>
    </row>
    <row r="734">
      <c r="C734" s="226"/>
      <c r="F734" s="331"/>
      <c r="J734" s="249"/>
      <c r="M734" s="331"/>
    </row>
    <row r="735">
      <c r="C735" s="226"/>
      <c r="F735" s="331"/>
      <c r="J735" s="249"/>
      <c r="M735" s="331"/>
    </row>
    <row r="736">
      <c r="C736" s="226"/>
      <c r="F736" s="331"/>
      <c r="J736" s="249"/>
      <c r="M736" s="331"/>
    </row>
    <row r="737">
      <c r="C737" s="226"/>
      <c r="F737" s="331"/>
      <c r="J737" s="249"/>
      <c r="M737" s="331"/>
    </row>
    <row r="738">
      <c r="C738" s="226"/>
      <c r="F738" s="331"/>
      <c r="J738" s="249"/>
      <c r="M738" s="331"/>
    </row>
    <row r="739">
      <c r="C739" s="226"/>
      <c r="F739" s="331"/>
      <c r="J739" s="249"/>
      <c r="M739" s="331"/>
    </row>
    <row r="740">
      <c r="C740" s="226"/>
      <c r="F740" s="331"/>
      <c r="J740" s="249"/>
      <c r="M740" s="331"/>
    </row>
    <row r="741">
      <c r="C741" s="226"/>
      <c r="F741" s="331"/>
      <c r="J741" s="249"/>
      <c r="M741" s="331"/>
    </row>
    <row r="742">
      <c r="C742" s="226"/>
      <c r="F742" s="331"/>
      <c r="J742" s="249"/>
      <c r="M742" s="331"/>
    </row>
    <row r="743">
      <c r="C743" s="226"/>
      <c r="F743" s="331"/>
      <c r="J743" s="249"/>
      <c r="M743" s="331"/>
    </row>
    <row r="744">
      <c r="C744" s="226"/>
      <c r="F744" s="331"/>
      <c r="J744" s="249"/>
      <c r="M744" s="331"/>
    </row>
    <row r="745">
      <c r="C745" s="226"/>
      <c r="F745" s="331"/>
      <c r="J745" s="249"/>
      <c r="M745" s="331"/>
    </row>
    <row r="746">
      <c r="C746" s="226"/>
      <c r="F746" s="331"/>
      <c r="J746" s="249"/>
      <c r="M746" s="331"/>
    </row>
    <row r="747">
      <c r="C747" s="226"/>
      <c r="F747" s="331"/>
      <c r="J747" s="249"/>
      <c r="M747" s="331"/>
    </row>
    <row r="748">
      <c r="C748" s="226"/>
      <c r="F748" s="331"/>
      <c r="J748" s="249"/>
      <c r="M748" s="331"/>
    </row>
    <row r="749">
      <c r="C749" s="226"/>
      <c r="F749" s="331"/>
      <c r="J749" s="249"/>
      <c r="M749" s="331"/>
    </row>
    <row r="750">
      <c r="C750" s="226"/>
      <c r="F750" s="331"/>
      <c r="J750" s="249"/>
      <c r="M750" s="331"/>
    </row>
    <row r="751">
      <c r="C751" s="226"/>
      <c r="F751" s="331"/>
      <c r="J751" s="249"/>
      <c r="M751" s="331"/>
    </row>
    <row r="752">
      <c r="C752" s="226"/>
      <c r="F752" s="331"/>
      <c r="J752" s="249"/>
      <c r="M752" s="331"/>
    </row>
    <row r="753">
      <c r="C753" s="226"/>
      <c r="F753" s="331"/>
      <c r="J753" s="249"/>
      <c r="M753" s="331"/>
    </row>
    <row r="754">
      <c r="C754" s="226"/>
      <c r="F754" s="331"/>
      <c r="J754" s="249"/>
      <c r="M754" s="331"/>
    </row>
    <row r="755">
      <c r="C755" s="226"/>
      <c r="F755" s="331"/>
      <c r="J755" s="249"/>
      <c r="M755" s="331"/>
    </row>
    <row r="756">
      <c r="C756" s="226"/>
      <c r="F756" s="331"/>
      <c r="J756" s="249"/>
      <c r="M756" s="331"/>
    </row>
    <row r="757">
      <c r="C757" s="226"/>
      <c r="F757" s="331"/>
      <c r="J757" s="249"/>
      <c r="M757" s="331"/>
    </row>
    <row r="758">
      <c r="C758" s="226"/>
      <c r="F758" s="331"/>
      <c r="J758" s="249"/>
      <c r="M758" s="331"/>
    </row>
    <row r="759">
      <c r="C759" s="226"/>
      <c r="F759" s="331"/>
      <c r="J759" s="249"/>
      <c r="M759" s="331"/>
    </row>
    <row r="760">
      <c r="C760" s="226"/>
      <c r="F760" s="331"/>
      <c r="J760" s="249"/>
      <c r="M760" s="331"/>
    </row>
    <row r="761">
      <c r="C761" s="226"/>
      <c r="F761" s="331"/>
      <c r="J761" s="249"/>
      <c r="M761" s="331"/>
    </row>
    <row r="762">
      <c r="C762" s="226"/>
      <c r="F762" s="331"/>
      <c r="J762" s="249"/>
      <c r="M762" s="331"/>
    </row>
    <row r="763">
      <c r="C763" s="226"/>
      <c r="F763" s="331"/>
      <c r="J763" s="249"/>
      <c r="M763" s="331"/>
    </row>
    <row r="764">
      <c r="C764" s="226"/>
      <c r="F764" s="331"/>
      <c r="J764" s="249"/>
      <c r="M764" s="331"/>
    </row>
    <row r="765">
      <c r="C765" s="226"/>
      <c r="F765" s="331"/>
      <c r="J765" s="249"/>
      <c r="M765" s="331"/>
    </row>
    <row r="766">
      <c r="C766" s="226"/>
      <c r="F766" s="331"/>
      <c r="J766" s="249"/>
      <c r="M766" s="331"/>
    </row>
    <row r="767">
      <c r="C767" s="226"/>
      <c r="F767" s="331"/>
      <c r="J767" s="249"/>
      <c r="M767" s="331"/>
    </row>
    <row r="768">
      <c r="C768" s="226"/>
      <c r="F768" s="331"/>
      <c r="J768" s="249"/>
      <c r="M768" s="331"/>
    </row>
    <row r="769">
      <c r="C769" s="226"/>
      <c r="F769" s="331"/>
      <c r="J769" s="249"/>
      <c r="M769" s="331"/>
    </row>
    <row r="770">
      <c r="C770" s="226"/>
      <c r="F770" s="331"/>
      <c r="J770" s="249"/>
      <c r="M770" s="331"/>
    </row>
    <row r="771">
      <c r="C771" s="226"/>
      <c r="F771" s="331"/>
      <c r="J771" s="249"/>
      <c r="M771" s="331"/>
    </row>
    <row r="772">
      <c r="C772" s="226"/>
      <c r="F772" s="331"/>
      <c r="J772" s="249"/>
      <c r="M772" s="331"/>
    </row>
    <row r="773">
      <c r="C773" s="226"/>
      <c r="F773" s="331"/>
      <c r="J773" s="249"/>
      <c r="M773" s="331"/>
    </row>
    <row r="774">
      <c r="C774" s="226"/>
      <c r="F774" s="331"/>
      <c r="J774" s="249"/>
      <c r="M774" s="331"/>
    </row>
    <row r="775">
      <c r="C775" s="226"/>
      <c r="F775" s="331"/>
      <c r="J775" s="249"/>
      <c r="M775" s="331"/>
    </row>
    <row r="776">
      <c r="C776" s="226"/>
      <c r="F776" s="331"/>
      <c r="J776" s="249"/>
      <c r="M776" s="331"/>
    </row>
    <row r="777">
      <c r="C777" s="226"/>
      <c r="F777" s="331"/>
      <c r="J777" s="249"/>
      <c r="M777" s="331"/>
    </row>
    <row r="778">
      <c r="C778" s="226"/>
      <c r="F778" s="331"/>
      <c r="J778" s="249"/>
      <c r="M778" s="331"/>
    </row>
    <row r="779">
      <c r="C779" s="226"/>
      <c r="F779" s="331"/>
      <c r="J779" s="249"/>
      <c r="M779" s="331"/>
    </row>
    <row r="780">
      <c r="C780" s="226"/>
      <c r="F780" s="331"/>
      <c r="J780" s="249"/>
      <c r="M780" s="331"/>
    </row>
    <row r="781">
      <c r="C781" s="226"/>
      <c r="F781" s="331"/>
      <c r="J781" s="249"/>
      <c r="M781" s="331"/>
    </row>
    <row r="782">
      <c r="C782" s="226"/>
      <c r="F782" s="331"/>
      <c r="J782" s="249"/>
      <c r="M782" s="331"/>
    </row>
    <row r="783">
      <c r="C783" s="226"/>
      <c r="F783" s="331"/>
      <c r="J783" s="249"/>
      <c r="M783" s="331"/>
    </row>
    <row r="784">
      <c r="C784" s="226"/>
      <c r="F784" s="331"/>
      <c r="J784" s="249"/>
      <c r="M784" s="331"/>
    </row>
    <row r="785">
      <c r="C785" s="226"/>
      <c r="F785" s="331"/>
      <c r="J785" s="249"/>
      <c r="M785" s="331"/>
    </row>
    <row r="786">
      <c r="C786" s="226"/>
      <c r="F786" s="331"/>
      <c r="J786" s="249"/>
      <c r="M786" s="331"/>
    </row>
    <row r="787">
      <c r="C787" s="226"/>
      <c r="F787" s="331"/>
      <c r="J787" s="249"/>
      <c r="M787" s="331"/>
    </row>
    <row r="788">
      <c r="C788" s="226"/>
      <c r="F788" s="331"/>
      <c r="J788" s="249"/>
      <c r="M788" s="331"/>
    </row>
    <row r="789">
      <c r="C789" s="226"/>
      <c r="F789" s="331"/>
      <c r="J789" s="249"/>
      <c r="M789" s="331"/>
    </row>
    <row r="790">
      <c r="C790" s="226"/>
      <c r="F790" s="331"/>
      <c r="J790" s="249"/>
      <c r="M790" s="331"/>
    </row>
    <row r="791">
      <c r="C791" s="226"/>
      <c r="F791" s="331"/>
      <c r="J791" s="249"/>
      <c r="M791" s="331"/>
    </row>
    <row r="792">
      <c r="C792" s="226"/>
      <c r="F792" s="331"/>
      <c r="J792" s="249"/>
      <c r="M792" s="331"/>
    </row>
    <row r="793">
      <c r="C793" s="226"/>
      <c r="F793" s="331"/>
      <c r="J793" s="249"/>
      <c r="M793" s="331"/>
    </row>
    <row r="794">
      <c r="C794" s="226"/>
      <c r="F794" s="331"/>
      <c r="J794" s="249"/>
      <c r="M794" s="331"/>
    </row>
    <row r="795">
      <c r="C795" s="226"/>
      <c r="F795" s="331"/>
      <c r="J795" s="249"/>
      <c r="M795" s="331"/>
    </row>
    <row r="796">
      <c r="C796" s="226"/>
      <c r="F796" s="331"/>
      <c r="J796" s="249"/>
      <c r="M796" s="331"/>
    </row>
    <row r="797">
      <c r="C797" s="226"/>
      <c r="F797" s="331"/>
      <c r="J797" s="249"/>
      <c r="M797" s="331"/>
    </row>
    <row r="798">
      <c r="C798" s="226"/>
      <c r="F798" s="331"/>
      <c r="J798" s="249"/>
      <c r="M798" s="331"/>
    </row>
    <row r="799">
      <c r="C799" s="226"/>
      <c r="F799" s="331"/>
      <c r="J799" s="249"/>
      <c r="M799" s="331"/>
    </row>
    <row r="800">
      <c r="C800" s="226"/>
      <c r="F800" s="331"/>
      <c r="J800" s="249"/>
      <c r="M800" s="331"/>
    </row>
    <row r="801">
      <c r="C801" s="226"/>
      <c r="F801" s="331"/>
      <c r="J801" s="249"/>
      <c r="M801" s="331"/>
    </row>
    <row r="802">
      <c r="C802" s="226"/>
      <c r="F802" s="331"/>
      <c r="J802" s="249"/>
      <c r="M802" s="331"/>
    </row>
    <row r="803">
      <c r="C803" s="226"/>
      <c r="F803" s="331"/>
      <c r="J803" s="249"/>
      <c r="M803" s="331"/>
    </row>
    <row r="804">
      <c r="C804" s="226"/>
      <c r="F804" s="331"/>
      <c r="J804" s="249"/>
      <c r="M804" s="331"/>
    </row>
    <row r="805">
      <c r="C805" s="226"/>
      <c r="F805" s="331"/>
      <c r="J805" s="249"/>
      <c r="M805" s="331"/>
    </row>
    <row r="806">
      <c r="C806" s="226"/>
      <c r="F806" s="331"/>
      <c r="J806" s="249"/>
      <c r="M806" s="331"/>
    </row>
    <row r="807">
      <c r="C807" s="226"/>
      <c r="F807" s="331"/>
      <c r="J807" s="249"/>
      <c r="M807" s="331"/>
    </row>
    <row r="808">
      <c r="C808" s="226"/>
      <c r="F808" s="331"/>
      <c r="J808" s="249"/>
      <c r="M808" s="331"/>
    </row>
    <row r="809">
      <c r="C809" s="226"/>
      <c r="F809" s="331"/>
      <c r="J809" s="249"/>
      <c r="M809" s="331"/>
    </row>
    <row r="810">
      <c r="C810" s="226"/>
      <c r="F810" s="331"/>
      <c r="J810" s="249"/>
      <c r="M810" s="331"/>
    </row>
    <row r="811">
      <c r="C811" s="226"/>
      <c r="F811" s="331"/>
      <c r="J811" s="249"/>
      <c r="M811" s="331"/>
    </row>
    <row r="812">
      <c r="C812" s="226"/>
      <c r="F812" s="331"/>
      <c r="J812" s="249"/>
      <c r="M812" s="331"/>
    </row>
    <row r="813">
      <c r="C813" s="226"/>
      <c r="F813" s="331"/>
      <c r="J813" s="249"/>
      <c r="M813" s="331"/>
    </row>
    <row r="814">
      <c r="C814" s="226"/>
      <c r="F814" s="331"/>
      <c r="J814" s="249"/>
      <c r="M814" s="331"/>
    </row>
    <row r="815">
      <c r="C815" s="226"/>
      <c r="F815" s="331"/>
      <c r="J815" s="249"/>
      <c r="M815" s="331"/>
    </row>
    <row r="816">
      <c r="C816" s="226"/>
      <c r="F816" s="331"/>
      <c r="J816" s="249"/>
      <c r="M816" s="331"/>
    </row>
    <row r="817">
      <c r="C817" s="226"/>
      <c r="F817" s="331"/>
      <c r="J817" s="249"/>
      <c r="M817" s="331"/>
    </row>
    <row r="818">
      <c r="C818" s="226"/>
      <c r="F818" s="331"/>
      <c r="J818" s="249"/>
      <c r="M818" s="331"/>
    </row>
    <row r="819">
      <c r="C819" s="226"/>
      <c r="F819" s="331"/>
      <c r="J819" s="249"/>
      <c r="M819" s="331"/>
    </row>
    <row r="820">
      <c r="C820" s="226"/>
      <c r="F820" s="331"/>
      <c r="J820" s="249"/>
      <c r="M820" s="331"/>
    </row>
    <row r="821">
      <c r="C821" s="226"/>
      <c r="F821" s="331"/>
      <c r="J821" s="249"/>
      <c r="M821" s="331"/>
    </row>
    <row r="822">
      <c r="C822" s="226"/>
      <c r="F822" s="331"/>
      <c r="J822" s="249"/>
      <c r="M822" s="331"/>
    </row>
    <row r="823">
      <c r="C823" s="226"/>
      <c r="F823" s="331"/>
      <c r="J823" s="249"/>
      <c r="M823" s="331"/>
    </row>
    <row r="824">
      <c r="C824" s="226"/>
      <c r="F824" s="331"/>
      <c r="J824" s="249"/>
      <c r="M824" s="331"/>
    </row>
    <row r="825">
      <c r="C825" s="226"/>
      <c r="F825" s="331"/>
      <c r="J825" s="249"/>
      <c r="M825" s="331"/>
    </row>
    <row r="826">
      <c r="C826" s="226"/>
      <c r="F826" s="331"/>
      <c r="J826" s="249"/>
      <c r="M826" s="331"/>
    </row>
    <row r="827">
      <c r="C827" s="226"/>
      <c r="F827" s="331"/>
      <c r="J827" s="249"/>
      <c r="M827" s="331"/>
    </row>
    <row r="828">
      <c r="C828" s="226"/>
      <c r="F828" s="331"/>
      <c r="J828" s="249"/>
      <c r="M828" s="331"/>
    </row>
    <row r="829">
      <c r="C829" s="226"/>
      <c r="F829" s="331"/>
      <c r="J829" s="249"/>
      <c r="M829" s="331"/>
    </row>
    <row r="830">
      <c r="C830" s="226"/>
      <c r="F830" s="331"/>
      <c r="J830" s="249"/>
      <c r="M830" s="331"/>
    </row>
    <row r="831">
      <c r="C831" s="226"/>
      <c r="F831" s="331"/>
      <c r="J831" s="249"/>
      <c r="M831" s="331"/>
    </row>
    <row r="832">
      <c r="C832" s="226"/>
      <c r="F832" s="331"/>
      <c r="J832" s="249"/>
      <c r="M832" s="331"/>
    </row>
    <row r="833">
      <c r="C833" s="226"/>
      <c r="F833" s="331"/>
      <c r="J833" s="249"/>
      <c r="M833" s="331"/>
    </row>
    <row r="834">
      <c r="C834" s="226"/>
      <c r="F834" s="331"/>
      <c r="J834" s="249"/>
      <c r="M834" s="331"/>
    </row>
    <row r="835">
      <c r="C835" s="226"/>
      <c r="F835" s="331"/>
      <c r="J835" s="249"/>
      <c r="M835" s="331"/>
    </row>
    <row r="836">
      <c r="C836" s="226"/>
      <c r="F836" s="331"/>
      <c r="J836" s="249"/>
      <c r="M836" s="331"/>
    </row>
    <row r="837">
      <c r="C837" s="226"/>
      <c r="F837" s="331"/>
      <c r="J837" s="249"/>
      <c r="M837" s="331"/>
    </row>
    <row r="838">
      <c r="C838" s="226"/>
      <c r="F838" s="331"/>
      <c r="J838" s="249"/>
      <c r="M838" s="331"/>
    </row>
    <row r="839">
      <c r="C839" s="226"/>
      <c r="F839" s="331"/>
      <c r="J839" s="249"/>
      <c r="M839" s="331"/>
    </row>
    <row r="840">
      <c r="C840" s="226"/>
      <c r="F840" s="331"/>
      <c r="J840" s="249"/>
      <c r="M840" s="331"/>
    </row>
    <row r="841">
      <c r="C841" s="226"/>
      <c r="F841" s="331"/>
      <c r="J841" s="249"/>
      <c r="M841" s="331"/>
    </row>
    <row r="842">
      <c r="C842" s="226"/>
      <c r="F842" s="331"/>
      <c r="J842" s="249"/>
      <c r="M842" s="331"/>
    </row>
    <row r="843">
      <c r="C843" s="226"/>
      <c r="F843" s="331"/>
      <c r="J843" s="249"/>
      <c r="M843" s="331"/>
    </row>
    <row r="844">
      <c r="C844" s="226"/>
      <c r="F844" s="331"/>
      <c r="J844" s="249"/>
      <c r="M844" s="331"/>
    </row>
    <row r="845">
      <c r="C845" s="226"/>
      <c r="F845" s="331"/>
      <c r="J845" s="249"/>
      <c r="M845" s="331"/>
    </row>
    <row r="846">
      <c r="C846" s="226"/>
      <c r="F846" s="331"/>
      <c r="J846" s="249"/>
      <c r="M846" s="331"/>
    </row>
    <row r="847">
      <c r="C847" s="226"/>
      <c r="F847" s="331"/>
      <c r="J847" s="249"/>
      <c r="M847" s="331"/>
    </row>
    <row r="848">
      <c r="C848" s="226"/>
      <c r="F848" s="331"/>
      <c r="J848" s="249"/>
      <c r="M848" s="331"/>
    </row>
    <row r="849">
      <c r="C849" s="226"/>
      <c r="F849" s="331"/>
      <c r="J849" s="249"/>
      <c r="M849" s="331"/>
    </row>
    <row r="850">
      <c r="C850" s="226"/>
      <c r="F850" s="331"/>
      <c r="J850" s="249"/>
      <c r="M850" s="331"/>
    </row>
    <row r="851">
      <c r="C851" s="226"/>
      <c r="F851" s="331"/>
      <c r="J851" s="249"/>
      <c r="M851" s="331"/>
    </row>
    <row r="852">
      <c r="C852" s="226"/>
      <c r="F852" s="331"/>
      <c r="J852" s="249"/>
      <c r="M852" s="331"/>
    </row>
    <row r="853">
      <c r="C853" s="226"/>
      <c r="F853" s="331"/>
      <c r="J853" s="249"/>
      <c r="M853" s="331"/>
    </row>
    <row r="854">
      <c r="C854" s="226"/>
      <c r="F854" s="331"/>
      <c r="J854" s="249"/>
      <c r="M854" s="331"/>
    </row>
    <row r="855">
      <c r="C855" s="226"/>
      <c r="F855" s="331"/>
      <c r="J855" s="249"/>
      <c r="M855" s="331"/>
    </row>
    <row r="856">
      <c r="C856" s="226"/>
      <c r="F856" s="331"/>
      <c r="J856" s="249"/>
      <c r="M856" s="331"/>
    </row>
    <row r="857">
      <c r="C857" s="226"/>
      <c r="F857" s="331"/>
      <c r="J857" s="249"/>
      <c r="M857" s="331"/>
    </row>
    <row r="858">
      <c r="C858" s="226"/>
      <c r="F858" s="331"/>
      <c r="J858" s="249"/>
      <c r="M858" s="331"/>
    </row>
    <row r="859">
      <c r="C859" s="226"/>
      <c r="F859" s="331"/>
      <c r="J859" s="249"/>
      <c r="M859" s="331"/>
    </row>
    <row r="860">
      <c r="C860" s="226"/>
      <c r="F860" s="331"/>
      <c r="J860" s="249"/>
      <c r="M860" s="331"/>
    </row>
    <row r="861">
      <c r="C861" s="226"/>
      <c r="F861" s="331"/>
      <c r="J861" s="249"/>
      <c r="M861" s="331"/>
    </row>
    <row r="862">
      <c r="C862" s="226"/>
      <c r="F862" s="331"/>
      <c r="J862" s="249"/>
      <c r="M862" s="331"/>
    </row>
    <row r="863">
      <c r="C863" s="226"/>
      <c r="F863" s="331"/>
      <c r="J863" s="249"/>
      <c r="M863" s="331"/>
    </row>
    <row r="864">
      <c r="C864" s="226"/>
      <c r="F864" s="331"/>
      <c r="J864" s="249"/>
      <c r="M864" s="331"/>
    </row>
    <row r="865">
      <c r="C865" s="226"/>
      <c r="F865" s="331"/>
      <c r="J865" s="249"/>
      <c r="M865" s="331"/>
    </row>
    <row r="866">
      <c r="C866" s="226"/>
      <c r="F866" s="331"/>
      <c r="J866" s="249"/>
      <c r="M866" s="331"/>
    </row>
    <row r="867">
      <c r="C867" s="226"/>
      <c r="F867" s="331"/>
      <c r="J867" s="249"/>
      <c r="M867" s="331"/>
    </row>
    <row r="868">
      <c r="C868" s="226"/>
      <c r="F868" s="331"/>
      <c r="J868" s="249"/>
      <c r="M868" s="331"/>
    </row>
    <row r="869">
      <c r="C869" s="226"/>
      <c r="F869" s="331"/>
      <c r="J869" s="249"/>
      <c r="M869" s="331"/>
    </row>
    <row r="870">
      <c r="C870" s="226"/>
      <c r="F870" s="331"/>
      <c r="J870" s="249"/>
      <c r="M870" s="331"/>
    </row>
    <row r="871">
      <c r="C871" s="226"/>
      <c r="F871" s="331"/>
      <c r="J871" s="249"/>
      <c r="M871" s="331"/>
    </row>
    <row r="872">
      <c r="C872" s="226"/>
      <c r="F872" s="331"/>
      <c r="J872" s="249"/>
      <c r="M872" s="331"/>
    </row>
    <row r="873">
      <c r="C873" s="226"/>
      <c r="F873" s="331"/>
      <c r="J873" s="249"/>
      <c r="M873" s="331"/>
    </row>
    <row r="874">
      <c r="C874" s="226"/>
      <c r="F874" s="331"/>
      <c r="J874" s="249"/>
      <c r="M874" s="331"/>
    </row>
    <row r="875">
      <c r="C875" s="226"/>
      <c r="F875" s="331"/>
      <c r="J875" s="249"/>
      <c r="M875" s="331"/>
    </row>
    <row r="876">
      <c r="C876" s="226"/>
      <c r="F876" s="331"/>
      <c r="J876" s="249"/>
      <c r="M876" s="331"/>
    </row>
    <row r="877">
      <c r="C877" s="226"/>
      <c r="F877" s="331"/>
      <c r="J877" s="249"/>
      <c r="M877" s="331"/>
    </row>
    <row r="878">
      <c r="C878" s="226"/>
      <c r="F878" s="331"/>
      <c r="J878" s="249"/>
      <c r="M878" s="331"/>
    </row>
    <row r="879">
      <c r="C879" s="226"/>
      <c r="F879" s="331"/>
      <c r="J879" s="249"/>
      <c r="M879" s="331"/>
    </row>
    <row r="880">
      <c r="C880" s="226"/>
      <c r="F880" s="331"/>
      <c r="J880" s="249"/>
      <c r="M880" s="331"/>
    </row>
    <row r="881">
      <c r="C881" s="226"/>
      <c r="F881" s="331"/>
      <c r="J881" s="249"/>
      <c r="M881" s="331"/>
    </row>
    <row r="882">
      <c r="C882" s="226"/>
      <c r="F882" s="331"/>
      <c r="J882" s="249"/>
      <c r="M882" s="331"/>
    </row>
    <row r="883">
      <c r="C883" s="226"/>
      <c r="F883" s="331"/>
      <c r="J883" s="249"/>
      <c r="M883" s="331"/>
    </row>
    <row r="884">
      <c r="C884" s="226"/>
      <c r="F884" s="331"/>
      <c r="J884" s="249"/>
      <c r="M884" s="331"/>
    </row>
    <row r="885">
      <c r="C885" s="226"/>
      <c r="F885" s="331"/>
      <c r="J885" s="249"/>
      <c r="M885" s="331"/>
    </row>
    <row r="886">
      <c r="C886" s="226"/>
      <c r="F886" s="331"/>
      <c r="J886" s="249"/>
      <c r="M886" s="331"/>
    </row>
    <row r="887">
      <c r="C887" s="226"/>
      <c r="F887" s="331"/>
      <c r="J887" s="249"/>
      <c r="M887" s="331"/>
    </row>
    <row r="888">
      <c r="C888" s="226"/>
      <c r="F888" s="331"/>
      <c r="J888" s="249"/>
      <c r="M888" s="331"/>
    </row>
    <row r="889">
      <c r="C889" s="226"/>
      <c r="F889" s="331"/>
      <c r="J889" s="249"/>
      <c r="M889" s="331"/>
    </row>
    <row r="890">
      <c r="C890" s="226"/>
      <c r="F890" s="331"/>
      <c r="J890" s="249"/>
      <c r="M890" s="331"/>
    </row>
    <row r="891">
      <c r="C891" s="226"/>
      <c r="F891" s="331"/>
      <c r="J891" s="249"/>
      <c r="M891" s="331"/>
    </row>
    <row r="892">
      <c r="C892" s="226"/>
      <c r="F892" s="331"/>
      <c r="J892" s="249"/>
      <c r="M892" s="331"/>
    </row>
    <row r="893">
      <c r="C893" s="226"/>
      <c r="F893" s="331"/>
      <c r="J893" s="249"/>
      <c r="M893" s="331"/>
    </row>
    <row r="894">
      <c r="C894" s="226"/>
      <c r="F894" s="331"/>
      <c r="J894" s="249"/>
      <c r="M894" s="331"/>
    </row>
    <row r="895">
      <c r="C895" s="226"/>
      <c r="F895" s="331"/>
      <c r="J895" s="249"/>
      <c r="M895" s="331"/>
    </row>
    <row r="896">
      <c r="C896" s="226"/>
      <c r="F896" s="331"/>
      <c r="J896" s="249"/>
      <c r="M896" s="331"/>
    </row>
    <row r="897">
      <c r="C897" s="226"/>
      <c r="F897" s="331"/>
      <c r="J897" s="249"/>
      <c r="M897" s="331"/>
    </row>
    <row r="898">
      <c r="C898" s="226"/>
      <c r="F898" s="331"/>
      <c r="J898" s="249"/>
      <c r="M898" s="331"/>
    </row>
    <row r="899">
      <c r="C899" s="226"/>
      <c r="F899" s="331"/>
      <c r="J899" s="249"/>
      <c r="M899" s="331"/>
    </row>
    <row r="900">
      <c r="C900" s="226"/>
      <c r="F900" s="331"/>
      <c r="J900" s="249"/>
      <c r="M900" s="331"/>
    </row>
    <row r="901">
      <c r="C901" s="226"/>
      <c r="F901" s="331"/>
      <c r="J901" s="249"/>
      <c r="M901" s="331"/>
    </row>
    <row r="902">
      <c r="C902" s="226"/>
      <c r="F902" s="331"/>
      <c r="J902" s="249"/>
      <c r="M902" s="331"/>
    </row>
    <row r="903">
      <c r="C903" s="226"/>
      <c r="F903" s="331"/>
      <c r="J903" s="249"/>
      <c r="M903" s="331"/>
    </row>
    <row r="904">
      <c r="C904" s="226"/>
      <c r="F904" s="331"/>
      <c r="J904" s="249"/>
      <c r="M904" s="331"/>
    </row>
    <row r="905">
      <c r="C905" s="226"/>
      <c r="F905" s="331"/>
      <c r="J905" s="249"/>
      <c r="M905" s="331"/>
    </row>
    <row r="906">
      <c r="C906" s="226"/>
      <c r="F906" s="331"/>
      <c r="J906" s="249"/>
      <c r="M906" s="331"/>
    </row>
    <row r="907">
      <c r="C907" s="226"/>
      <c r="F907" s="331"/>
      <c r="J907" s="249"/>
      <c r="M907" s="331"/>
    </row>
    <row r="908">
      <c r="C908" s="226"/>
      <c r="F908" s="331"/>
      <c r="J908" s="249"/>
      <c r="M908" s="331"/>
    </row>
    <row r="909">
      <c r="C909" s="226"/>
      <c r="F909" s="331"/>
      <c r="J909" s="249"/>
      <c r="M909" s="331"/>
    </row>
    <row r="910">
      <c r="C910" s="226"/>
      <c r="F910" s="331"/>
      <c r="J910" s="249"/>
      <c r="M910" s="331"/>
    </row>
    <row r="911">
      <c r="C911" s="226"/>
      <c r="F911" s="331"/>
      <c r="J911" s="249"/>
      <c r="M911" s="331"/>
    </row>
    <row r="912">
      <c r="C912" s="226"/>
      <c r="F912" s="331"/>
      <c r="J912" s="249"/>
      <c r="M912" s="331"/>
    </row>
    <row r="913">
      <c r="C913" s="226"/>
      <c r="F913" s="331"/>
      <c r="J913" s="249"/>
      <c r="M913" s="331"/>
    </row>
    <row r="914">
      <c r="C914" s="226"/>
      <c r="F914" s="331"/>
      <c r="J914" s="249"/>
      <c r="M914" s="331"/>
    </row>
    <row r="915">
      <c r="C915" s="226"/>
      <c r="F915" s="331"/>
      <c r="J915" s="249"/>
      <c r="M915" s="331"/>
    </row>
    <row r="916">
      <c r="C916" s="226"/>
      <c r="F916" s="331"/>
      <c r="J916" s="249"/>
      <c r="M916" s="331"/>
    </row>
    <row r="917">
      <c r="C917" s="226"/>
      <c r="F917" s="331"/>
      <c r="J917" s="249"/>
      <c r="M917" s="331"/>
    </row>
    <row r="918">
      <c r="C918" s="226"/>
      <c r="F918" s="331"/>
      <c r="J918" s="249"/>
      <c r="M918" s="331"/>
    </row>
    <row r="919">
      <c r="C919" s="226"/>
      <c r="F919" s="331"/>
      <c r="J919" s="249"/>
      <c r="M919" s="331"/>
    </row>
    <row r="920">
      <c r="C920" s="226"/>
      <c r="F920" s="331"/>
      <c r="J920" s="249"/>
      <c r="M920" s="331"/>
    </row>
    <row r="921">
      <c r="C921" s="226"/>
      <c r="F921" s="331"/>
      <c r="J921" s="249"/>
      <c r="M921" s="331"/>
    </row>
    <row r="922">
      <c r="C922" s="226"/>
      <c r="F922" s="331"/>
      <c r="J922" s="249"/>
      <c r="M922" s="331"/>
    </row>
    <row r="923">
      <c r="C923" s="226"/>
      <c r="F923" s="331"/>
      <c r="J923" s="249"/>
      <c r="M923" s="331"/>
    </row>
    <row r="924">
      <c r="C924" s="226"/>
      <c r="F924" s="331"/>
      <c r="J924" s="249"/>
      <c r="M924" s="331"/>
    </row>
    <row r="925">
      <c r="C925" s="226"/>
      <c r="F925" s="331"/>
      <c r="J925" s="249"/>
      <c r="M925" s="331"/>
    </row>
    <row r="926">
      <c r="C926" s="226"/>
      <c r="F926" s="331"/>
      <c r="J926" s="249"/>
      <c r="M926" s="331"/>
    </row>
    <row r="927">
      <c r="C927" s="226"/>
      <c r="F927" s="331"/>
      <c r="J927" s="249"/>
      <c r="M927" s="331"/>
    </row>
    <row r="928">
      <c r="C928" s="226"/>
      <c r="F928" s="331"/>
      <c r="J928" s="249"/>
      <c r="M928" s="331"/>
    </row>
    <row r="929">
      <c r="C929" s="226"/>
      <c r="F929" s="331"/>
      <c r="J929" s="249"/>
      <c r="M929" s="331"/>
    </row>
    <row r="930">
      <c r="C930" s="226"/>
      <c r="F930" s="331"/>
      <c r="J930" s="249"/>
      <c r="M930" s="331"/>
    </row>
    <row r="931">
      <c r="C931" s="226"/>
      <c r="F931" s="331"/>
      <c r="J931" s="249"/>
      <c r="M931" s="331"/>
    </row>
    <row r="932">
      <c r="C932" s="226"/>
      <c r="F932" s="331"/>
      <c r="J932" s="249"/>
      <c r="M932" s="331"/>
    </row>
    <row r="933">
      <c r="C933" s="226"/>
      <c r="F933" s="331"/>
      <c r="J933" s="249"/>
      <c r="M933" s="331"/>
    </row>
    <row r="934">
      <c r="C934" s="226"/>
      <c r="F934" s="331"/>
      <c r="J934" s="249"/>
      <c r="M934" s="331"/>
    </row>
    <row r="935">
      <c r="C935" s="226"/>
      <c r="F935" s="331"/>
      <c r="J935" s="249"/>
      <c r="M935" s="331"/>
    </row>
    <row r="936">
      <c r="C936" s="226"/>
      <c r="F936" s="331"/>
      <c r="J936" s="249"/>
      <c r="M936" s="331"/>
    </row>
    <row r="937">
      <c r="C937" s="226"/>
      <c r="F937" s="331"/>
      <c r="J937" s="249"/>
      <c r="M937" s="331"/>
    </row>
    <row r="938">
      <c r="C938" s="226"/>
      <c r="F938" s="331"/>
      <c r="J938" s="249"/>
      <c r="M938" s="331"/>
    </row>
    <row r="939">
      <c r="C939" s="226"/>
      <c r="F939" s="331"/>
      <c r="J939" s="249"/>
      <c r="M939" s="331"/>
    </row>
    <row r="940">
      <c r="C940" s="226"/>
      <c r="F940" s="331"/>
      <c r="J940" s="249"/>
      <c r="M940" s="331"/>
    </row>
    <row r="941">
      <c r="C941" s="226"/>
      <c r="F941" s="331"/>
      <c r="J941" s="249"/>
      <c r="M941" s="331"/>
    </row>
    <row r="942">
      <c r="C942" s="226"/>
      <c r="F942" s="331"/>
      <c r="J942" s="249"/>
      <c r="M942" s="331"/>
    </row>
    <row r="943">
      <c r="C943" s="226"/>
      <c r="F943" s="331"/>
      <c r="J943" s="249"/>
      <c r="M943" s="331"/>
    </row>
    <row r="944">
      <c r="C944" s="226"/>
      <c r="F944" s="331"/>
      <c r="J944" s="249"/>
      <c r="M944" s="331"/>
    </row>
    <row r="945">
      <c r="C945" s="226"/>
      <c r="F945" s="331"/>
      <c r="J945" s="249"/>
      <c r="M945" s="331"/>
    </row>
    <row r="946">
      <c r="C946" s="226"/>
      <c r="F946" s="331"/>
      <c r="J946" s="249"/>
      <c r="M946" s="331"/>
    </row>
    <row r="947">
      <c r="C947" s="226"/>
      <c r="F947" s="331"/>
      <c r="J947" s="249"/>
      <c r="M947" s="331"/>
    </row>
    <row r="948">
      <c r="C948" s="226"/>
      <c r="F948" s="331"/>
      <c r="J948" s="249"/>
      <c r="M948" s="331"/>
    </row>
    <row r="949">
      <c r="C949" s="226"/>
      <c r="F949" s="331"/>
      <c r="J949" s="249"/>
      <c r="M949" s="331"/>
    </row>
    <row r="950">
      <c r="C950" s="226"/>
      <c r="F950" s="331"/>
      <c r="J950" s="249"/>
      <c r="M950" s="331"/>
    </row>
    <row r="951">
      <c r="C951" s="226"/>
      <c r="F951" s="331"/>
      <c r="J951" s="249"/>
      <c r="M951" s="331"/>
    </row>
    <row r="952">
      <c r="C952" s="226"/>
      <c r="F952" s="331"/>
      <c r="J952" s="249"/>
      <c r="M952" s="331"/>
    </row>
    <row r="953">
      <c r="C953" s="226"/>
      <c r="F953" s="331"/>
      <c r="J953" s="249"/>
      <c r="M953" s="331"/>
    </row>
    <row r="954">
      <c r="C954" s="226"/>
      <c r="F954" s="331"/>
      <c r="J954" s="249"/>
      <c r="M954" s="331"/>
    </row>
    <row r="955">
      <c r="C955" s="226"/>
      <c r="F955" s="331"/>
      <c r="J955" s="249"/>
      <c r="M955" s="331"/>
    </row>
    <row r="956">
      <c r="C956" s="226"/>
      <c r="F956" s="331"/>
      <c r="J956" s="249"/>
      <c r="M956" s="331"/>
    </row>
    <row r="957">
      <c r="C957" s="226"/>
      <c r="F957" s="331"/>
      <c r="J957" s="249"/>
      <c r="M957" s="331"/>
    </row>
    <row r="958">
      <c r="C958" s="226"/>
      <c r="F958" s="331"/>
      <c r="J958" s="249"/>
      <c r="M958" s="331"/>
    </row>
    <row r="959">
      <c r="C959" s="226"/>
      <c r="F959" s="331"/>
      <c r="J959" s="249"/>
      <c r="M959" s="331"/>
    </row>
    <row r="960">
      <c r="C960" s="226"/>
      <c r="F960" s="331"/>
      <c r="J960" s="249"/>
      <c r="M960" s="331"/>
    </row>
    <row r="961">
      <c r="C961" s="226"/>
      <c r="F961" s="331"/>
      <c r="J961" s="249"/>
      <c r="M961" s="331"/>
    </row>
    <row r="962">
      <c r="C962" s="226"/>
      <c r="F962" s="331"/>
      <c r="J962" s="249"/>
      <c r="M962" s="331"/>
    </row>
    <row r="963">
      <c r="C963" s="226"/>
      <c r="F963" s="331"/>
      <c r="J963" s="249"/>
      <c r="M963" s="331"/>
    </row>
    <row r="964">
      <c r="C964" s="226"/>
      <c r="F964" s="331"/>
      <c r="J964" s="249"/>
      <c r="M964" s="331"/>
    </row>
    <row r="965">
      <c r="C965" s="226"/>
      <c r="F965" s="331"/>
      <c r="J965" s="249"/>
      <c r="M965" s="331"/>
    </row>
    <row r="966">
      <c r="C966" s="226"/>
      <c r="F966" s="331"/>
      <c r="J966" s="249"/>
      <c r="M966" s="331"/>
    </row>
    <row r="967">
      <c r="C967" s="226"/>
      <c r="F967" s="331"/>
      <c r="J967" s="249"/>
      <c r="M967" s="331"/>
    </row>
    <row r="968">
      <c r="C968" s="226"/>
      <c r="F968" s="331"/>
      <c r="J968" s="249"/>
      <c r="M968" s="331"/>
    </row>
    <row r="969">
      <c r="C969" s="226"/>
      <c r="F969" s="331"/>
      <c r="J969" s="249"/>
      <c r="M969" s="331"/>
    </row>
    <row r="970">
      <c r="C970" s="226"/>
      <c r="F970" s="331"/>
      <c r="J970" s="249"/>
      <c r="M970" s="331"/>
    </row>
    <row r="971">
      <c r="C971" s="226"/>
      <c r="F971" s="331"/>
      <c r="J971" s="249"/>
      <c r="M971" s="331"/>
    </row>
    <row r="972">
      <c r="C972" s="226"/>
      <c r="F972" s="331"/>
      <c r="J972" s="249"/>
      <c r="M972" s="331"/>
    </row>
    <row r="973">
      <c r="C973" s="226"/>
      <c r="F973" s="331"/>
      <c r="J973" s="249"/>
      <c r="M973" s="331"/>
    </row>
    <row r="974">
      <c r="C974" s="226"/>
      <c r="F974" s="331"/>
      <c r="J974" s="249"/>
      <c r="M974" s="331"/>
    </row>
    <row r="975">
      <c r="C975" s="226"/>
      <c r="F975" s="331"/>
      <c r="J975" s="249"/>
      <c r="M975" s="331"/>
    </row>
    <row r="976">
      <c r="C976" s="226"/>
      <c r="F976" s="331"/>
      <c r="J976" s="249"/>
      <c r="M976" s="331"/>
    </row>
    <row r="977">
      <c r="C977" s="226"/>
      <c r="F977" s="331"/>
      <c r="J977" s="249"/>
      <c r="M977" s="331"/>
    </row>
    <row r="978">
      <c r="C978" s="226"/>
      <c r="F978" s="331"/>
      <c r="J978" s="249"/>
      <c r="M978" s="331"/>
    </row>
    <row r="979">
      <c r="C979" s="226"/>
      <c r="F979" s="331"/>
      <c r="J979" s="249"/>
      <c r="M979" s="331"/>
    </row>
    <row r="980">
      <c r="C980" s="226"/>
      <c r="F980" s="331"/>
      <c r="J980" s="249"/>
      <c r="M980" s="331"/>
    </row>
    <row r="981">
      <c r="C981" s="226"/>
      <c r="F981" s="331"/>
      <c r="J981" s="249"/>
      <c r="M981" s="331"/>
    </row>
    <row r="982">
      <c r="C982" s="226"/>
      <c r="F982" s="331"/>
      <c r="J982" s="249"/>
      <c r="M982" s="331"/>
    </row>
    <row r="983">
      <c r="C983" s="226"/>
      <c r="F983" s="331"/>
      <c r="J983" s="249"/>
      <c r="M983" s="331"/>
    </row>
    <row r="984">
      <c r="C984" s="226"/>
      <c r="F984" s="331"/>
      <c r="J984" s="249"/>
      <c r="M984" s="331"/>
    </row>
    <row r="985">
      <c r="C985" s="226"/>
      <c r="F985" s="331"/>
      <c r="J985" s="249"/>
      <c r="M985" s="331"/>
    </row>
    <row r="986">
      <c r="C986" s="226"/>
      <c r="F986" s="331"/>
      <c r="J986" s="249"/>
      <c r="M986" s="331"/>
    </row>
    <row r="987">
      <c r="C987" s="226"/>
      <c r="F987" s="331"/>
      <c r="J987" s="249"/>
      <c r="M987" s="331"/>
    </row>
    <row r="988">
      <c r="C988" s="226"/>
      <c r="F988" s="331"/>
      <c r="J988" s="249"/>
      <c r="M988" s="331"/>
    </row>
    <row r="989">
      <c r="C989" s="226"/>
      <c r="F989" s="331"/>
      <c r="J989" s="249"/>
      <c r="M989" s="331"/>
    </row>
    <row r="990">
      <c r="C990" s="226"/>
      <c r="F990" s="331"/>
      <c r="J990" s="249"/>
      <c r="M990" s="331"/>
    </row>
    <row r="991">
      <c r="C991" s="226"/>
      <c r="F991" s="331"/>
      <c r="J991" s="249"/>
      <c r="M991" s="331"/>
    </row>
    <row r="992">
      <c r="C992" s="226"/>
      <c r="F992" s="331"/>
      <c r="J992" s="249"/>
      <c r="M992" s="331"/>
    </row>
    <row r="993">
      <c r="C993" s="226"/>
      <c r="F993" s="331"/>
      <c r="J993" s="249"/>
      <c r="M993" s="331"/>
    </row>
    <row r="994">
      <c r="C994" s="226"/>
      <c r="F994" s="331"/>
      <c r="J994" s="249"/>
      <c r="M994" s="331"/>
    </row>
    <row r="995">
      <c r="C995" s="226"/>
      <c r="F995" s="331"/>
      <c r="J995" s="249"/>
      <c r="M995" s="331"/>
    </row>
    <row r="996">
      <c r="C996" s="226"/>
      <c r="F996" s="331"/>
      <c r="J996" s="249"/>
      <c r="M996" s="331"/>
    </row>
    <row r="997">
      <c r="C997" s="226"/>
      <c r="F997" s="331"/>
      <c r="J997" s="249"/>
      <c r="M997" s="331"/>
    </row>
    <row r="998">
      <c r="C998" s="226"/>
      <c r="F998" s="331"/>
      <c r="J998" s="249"/>
      <c r="M998" s="331"/>
    </row>
    <row r="999">
      <c r="C999" s="226"/>
      <c r="F999" s="331"/>
      <c r="J999" s="249"/>
      <c r="M999" s="331"/>
    </row>
    <row r="1000">
      <c r="C1000" s="226"/>
      <c r="F1000" s="331"/>
      <c r="J1000" s="249"/>
      <c r="M1000" s="331"/>
    </row>
    <row r="1001">
      <c r="C1001" s="226"/>
      <c r="F1001" s="331"/>
      <c r="J1001" s="249"/>
      <c r="M1001" s="331"/>
    </row>
    <row r="1002">
      <c r="C1002" s="226"/>
      <c r="F1002" s="331"/>
      <c r="J1002" s="249"/>
      <c r="M1002" s="331"/>
    </row>
    <row r="1003">
      <c r="C1003" s="226"/>
      <c r="F1003" s="331"/>
      <c r="J1003" s="249"/>
      <c r="M1003" s="331"/>
    </row>
    <row r="1004">
      <c r="C1004" s="226"/>
      <c r="F1004" s="331"/>
      <c r="J1004" s="249"/>
      <c r="M1004" s="331"/>
    </row>
    <row r="1005">
      <c r="C1005" s="226"/>
      <c r="F1005" s="331"/>
      <c r="J1005" s="249"/>
      <c r="M1005" s="331"/>
    </row>
    <row r="1006">
      <c r="C1006" s="226"/>
      <c r="F1006" s="331"/>
      <c r="J1006" s="249"/>
      <c r="M1006" s="331"/>
    </row>
    <row r="1007">
      <c r="C1007" s="226"/>
      <c r="F1007" s="331"/>
      <c r="J1007" s="249"/>
      <c r="M1007" s="331"/>
    </row>
    <row r="1008">
      <c r="C1008" s="226"/>
      <c r="F1008" s="331"/>
      <c r="J1008" s="249"/>
      <c r="M1008" s="331"/>
    </row>
    <row r="1009">
      <c r="C1009" s="226"/>
      <c r="F1009" s="331"/>
      <c r="J1009" s="249"/>
      <c r="M1009" s="331"/>
    </row>
    <row r="1010">
      <c r="C1010" s="226"/>
      <c r="F1010" s="331"/>
      <c r="J1010" s="249"/>
      <c r="M1010" s="331"/>
    </row>
  </sheetData>
  <autoFilter ref="$A$1:$BE$1010"/>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7" max="7" width="16.38"/>
    <col customWidth="1" min="8" max="8" width="14.13"/>
    <col customWidth="1" min="12" max="12" width="10.5"/>
    <col customWidth="1" min="19" max="19" width="13.5"/>
  </cols>
  <sheetData>
    <row r="1">
      <c r="A1" s="250" t="s">
        <v>82</v>
      </c>
      <c r="B1" s="7" t="s">
        <v>2325</v>
      </c>
      <c r="C1" s="250" t="s">
        <v>2326</v>
      </c>
      <c r="D1" s="250" t="s">
        <v>78</v>
      </c>
      <c r="E1" s="250" t="s">
        <v>2327</v>
      </c>
      <c r="F1" s="250" t="s">
        <v>2328</v>
      </c>
      <c r="G1" s="7" t="s">
        <v>2329</v>
      </c>
      <c r="H1" s="7" t="s">
        <v>24</v>
      </c>
      <c r="I1" s="7" t="s">
        <v>2330</v>
      </c>
      <c r="J1" s="7" t="s">
        <v>2331</v>
      </c>
      <c r="K1" s="7" t="s">
        <v>2333</v>
      </c>
      <c r="L1" s="7" t="s">
        <v>2334</v>
      </c>
      <c r="M1" s="7" t="s">
        <v>2335</v>
      </c>
      <c r="N1" s="7" t="s">
        <v>2336</v>
      </c>
      <c r="O1" s="7" t="s">
        <v>2337</v>
      </c>
      <c r="P1" s="7" t="s">
        <v>2338</v>
      </c>
      <c r="Q1" s="7" t="s">
        <v>2340</v>
      </c>
      <c r="R1" s="7" t="s">
        <v>2341</v>
      </c>
      <c r="S1" s="7" t="s">
        <v>2342</v>
      </c>
      <c r="T1" s="7" t="s">
        <v>2343</v>
      </c>
      <c r="U1" s="64"/>
      <c r="V1" s="64"/>
      <c r="W1" s="64"/>
      <c r="X1" s="64"/>
      <c r="Y1" s="64"/>
      <c r="Z1" s="64"/>
      <c r="AA1" s="64"/>
      <c r="AB1" s="64"/>
      <c r="AC1" s="64"/>
      <c r="AD1" s="64"/>
      <c r="AE1" s="64"/>
    </row>
    <row r="2">
      <c r="A2" s="158" t="s">
        <v>2347</v>
      </c>
      <c r="B2" s="6" t="s">
        <v>2348</v>
      </c>
      <c r="C2" s="158" t="s">
        <v>2349</v>
      </c>
      <c r="D2" s="158">
        <v>10.0</v>
      </c>
      <c r="E2" s="158" t="s">
        <v>2350</v>
      </c>
      <c r="F2" s="6" t="s">
        <v>2351</v>
      </c>
      <c r="G2" s="6">
        <v>9.02001279046E11</v>
      </c>
      <c r="I2" s="6" t="s">
        <v>2352</v>
      </c>
      <c r="J2" s="6" t="s">
        <v>2353</v>
      </c>
      <c r="K2" s="6" t="s">
        <v>2354</v>
      </c>
      <c r="L2" s="6">
        <v>40.0</v>
      </c>
      <c r="M2" s="6" t="s">
        <v>2355</v>
      </c>
      <c r="N2" s="6" t="s">
        <v>2356</v>
      </c>
      <c r="O2" s="6" t="s">
        <v>2357</v>
      </c>
      <c r="P2" s="6" t="s">
        <v>2358</v>
      </c>
      <c r="Q2" s="6" t="s">
        <v>2359</v>
      </c>
      <c r="R2" s="6" t="s">
        <v>2360</v>
      </c>
      <c r="S2" s="6" t="s">
        <v>2361</v>
      </c>
      <c r="T2" s="6" t="s">
        <v>2362</v>
      </c>
    </row>
    <row r="3">
      <c r="A3" s="158" t="s">
        <v>2363</v>
      </c>
      <c r="B3" s="6" t="s">
        <v>2364</v>
      </c>
      <c r="C3" s="158" t="s">
        <v>2349</v>
      </c>
      <c r="D3" s="6">
        <v>10.0</v>
      </c>
      <c r="E3" s="158" t="s">
        <v>2350</v>
      </c>
      <c r="F3" s="6" t="s">
        <v>2365</v>
      </c>
      <c r="G3" s="6">
        <v>6.02168335132E11</v>
      </c>
      <c r="H3" s="6" t="s">
        <v>2366</v>
      </c>
      <c r="I3" s="6" t="s">
        <v>2352</v>
      </c>
      <c r="J3" s="6" t="s">
        <v>2367</v>
      </c>
      <c r="K3" s="6" t="s">
        <v>2368</v>
      </c>
      <c r="L3" s="6">
        <v>42.0</v>
      </c>
      <c r="M3" s="6" t="s">
        <v>2369</v>
      </c>
      <c r="N3" s="6" t="s">
        <v>2356</v>
      </c>
      <c r="O3" s="6" t="s">
        <v>2357</v>
      </c>
      <c r="P3" s="6" t="s">
        <v>2358</v>
      </c>
      <c r="Q3" s="6" t="s">
        <v>2359</v>
      </c>
      <c r="R3" s="6" t="s">
        <v>2360</v>
      </c>
      <c r="S3" s="6" t="s">
        <v>2361</v>
      </c>
      <c r="T3" s="6" t="s">
        <v>2362</v>
      </c>
    </row>
    <row r="4">
      <c r="A4" s="158" t="s">
        <v>2372</v>
      </c>
      <c r="D4" s="158">
        <v>10.0</v>
      </c>
      <c r="E4" s="6" t="s">
        <v>2373</v>
      </c>
    </row>
    <row r="5">
      <c r="A5" s="158" t="s">
        <v>2374</v>
      </c>
      <c r="C5" s="6" t="s">
        <v>2375</v>
      </c>
      <c r="D5" s="158">
        <v>1.0</v>
      </c>
    </row>
    <row r="6">
      <c r="A6" s="158" t="s">
        <v>2376</v>
      </c>
      <c r="C6" s="6" t="s">
        <v>2375</v>
      </c>
      <c r="D6" s="158">
        <v>1.0</v>
      </c>
    </row>
    <row r="7">
      <c r="A7" s="158" t="s">
        <v>2377</v>
      </c>
      <c r="C7" s="6" t="s">
        <v>2375</v>
      </c>
      <c r="D7" s="158">
        <v>5.0</v>
      </c>
    </row>
    <row r="8">
      <c r="A8" s="158" t="s">
        <v>2378</v>
      </c>
      <c r="C8" s="6" t="s">
        <v>2375</v>
      </c>
      <c r="D8" s="158">
        <v>15.0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10.38"/>
    <col customWidth="1" min="3" max="3" width="25.25"/>
    <col customWidth="1" min="4" max="4" width="16.13"/>
    <col customWidth="1" min="5" max="5" width="7.88"/>
    <col customWidth="1" min="8" max="8" width="16.25"/>
    <col customWidth="1" min="10" max="10" width="25.13"/>
    <col customWidth="1" min="11" max="11" width="13.63"/>
    <col customWidth="1" min="12" max="12" width="15.13"/>
    <col customWidth="1" min="13" max="13" width="11.63"/>
    <col customWidth="1" min="15" max="16" width="18.75"/>
    <col customWidth="1" min="17" max="17" width="20.0"/>
    <col customWidth="1" min="18" max="18" width="17.13"/>
  </cols>
  <sheetData>
    <row r="1">
      <c r="A1" s="158"/>
      <c r="B1" s="277" t="s">
        <v>7</v>
      </c>
      <c r="C1" t="s">
        <v>15</v>
      </c>
      <c r="D1" t="s">
        <v>14</v>
      </c>
      <c r="E1" t="s">
        <v>16</v>
      </c>
      <c r="F1" t="s">
        <v>18</v>
      </c>
      <c r="G1" t="s">
        <v>310</v>
      </c>
      <c r="H1" t="s">
        <v>20</v>
      </c>
      <c r="I1" t="s">
        <v>2465</v>
      </c>
      <c r="J1" s="6" t="s">
        <v>24</v>
      </c>
      <c r="K1" s="158" t="s">
        <v>2466</v>
      </c>
      <c r="L1" s="278" t="s">
        <v>2467</v>
      </c>
      <c r="M1" s="158" t="s">
        <v>2470</v>
      </c>
      <c r="N1" s="158" t="s">
        <v>2471</v>
      </c>
      <c r="O1" s="158" t="s">
        <v>21</v>
      </c>
      <c r="P1" s="158" t="s">
        <v>2472</v>
      </c>
      <c r="Q1" s="158" t="s">
        <v>161</v>
      </c>
      <c r="R1" s="158" t="s">
        <v>2474</v>
      </c>
      <c r="S1" s="158" t="s">
        <v>2475</v>
      </c>
      <c r="T1" s="158" t="s">
        <v>2476</v>
      </c>
    </row>
    <row r="2">
      <c r="A2" s="279"/>
      <c r="B2" s="277">
        <v>42705.0</v>
      </c>
      <c r="C2" t="s">
        <v>2479</v>
      </c>
      <c r="E2">
        <v>39243.0</v>
      </c>
      <c r="F2" t="s">
        <v>2480</v>
      </c>
      <c r="H2" t="s">
        <v>2481</v>
      </c>
      <c r="L2" s="67"/>
      <c r="M2" s="280" t="s">
        <v>2482</v>
      </c>
      <c r="N2" s="234"/>
      <c r="O2" s="281"/>
      <c r="P2" s="233"/>
      <c r="Q2" s="233"/>
      <c r="R2" s="234"/>
      <c r="S2" s="233" t="s">
        <v>452</v>
      </c>
      <c r="T2" s="233"/>
      <c r="U2" s="233"/>
      <c r="V2" s="233"/>
      <c r="W2" s="233"/>
      <c r="X2" s="233"/>
      <c r="Y2" s="233"/>
      <c r="Z2" s="233"/>
      <c r="AA2" s="233"/>
      <c r="AB2" s="233"/>
      <c r="AC2" s="233"/>
      <c r="AD2" s="233"/>
      <c r="AE2" s="233"/>
      <c r="AF2" s="233"/>
      <c r="AG2" s="233"/>
      <c r="AH2" s="233"/>
      <c r="AI2" s="233"/>
      <c r="AJ2" s="233"/>
      <c r="AK2" s="233"/>
      <c r="AL2" s="13" t="s">
        <v>2482</v>
      </c>
    </row>
    <row r="3">
      <c r="A3" s="279"/>
      <c r="B3" s="277">
        <v>42705.0</v>
      </c>
      <c r="C3" t="s">
        <v>2486</v>
      </c>
      <c r="D3" t="s">
        <v>2487</v>
      </c>
      <c r="F3" t="s">
        <v>1706</v>
      </c>
      <c r="G3" t="s">
        <v>2488</v>
      </c>
      <c r="L3" s="67"/>
      <c r="M3" s="280" t="s">
        <v>2482</v>
      </c>
      <c r="N3" s="234"/>
      <c r="O3" s="281"/>
      <c r="P3" s="233"/>
      <c r="Q3" s="233"/>
      <c r="R3" s="234"/>
      <c r="S3" s="233" t="s">
        <v>452</v>
      </c>
      <c r="T3" s="233"/>
      <c r="U3" s="233"/>
      <c r="V3" s="233"/>
      <c r="W3" s="233"/>
      <c r="X3" s="233"/>
      <c r="Y3" s="233"/>
      <c r="Z3" s="233"/>
      <c r="AA3" s="233"/>
      <c r="AB3" s="233"/>
      <c r="AC3" s="233"/>
      <c r="AD3" s="233"/>
      <c r="AE3" s="233"/>
      <c r="AF3" s="233"/>
      <c r="AG3" s="233"/>
      <c r="AH3" s="233"/>
      <c r="AI3" s="233"/>
      <c r="AJ3" s="233"/>
      <c r="AK3" s="233"/>
      <c r="AL3" s="13" t="s">
        <v>2490</v>
      </c>
    </row>
    <row r="4">
      <c r="A4" s="279"/>
      <c r="B4" s="277">
        <v>42705.0</v>
      </c>
      <c r="C4" t="s">
        <v>2491</v>
      </c>
      <c r="E4">
        <v>23237.0</v>
      </c>
      <c r="F4" t="s">
        <v>2492</v>
      </c>
      <c r="H4" t="s">
        <v>2493</v>
      </c>
      <c r="L4" s="67"/>
      <c r="M4" s="280" t="s">
        <v>2482</v>
      </c>
      <c r="N4" s="234"/>
      <c r="O4" s="281"/>
      <c r="P4" s="233"/>
      <c r="Q4" s="233"/>
      <c r="R4" s="234"/>
      <c r="S4" s="233" t="s">
        <v>452</v>
      </c>
      <c r="T4" s="233"/>
      <c r="U4" s="233"/>
      <c r="V4" s="233"/>
      <c r="W4" s="233"/>
      <c r="X4" s="233"/>
      <c r="Y4" s="233"/>
      <c r="Z4" s="233"/>
      <c r="AA4" s="233"/>
      <c r="AB4" s="233"/>
      <c r="AC4" s="233"/>
      <c r="AD4" s="233"/>
      <c r="AE4" s="233"/>
      <c r="AF4" s="233"/>
      <c r="AG4" s="233"/>
      <c r="AH4" s="233"/>
      <c r="AI4" s="233"/>
      <c r="AJ4" s="233"/>
      <c r="AK4" s="233"/>
      <c r="AL4" s="233"/>
    </row>
    <row r="5">
      <c r="A5" s="279"/>
      <c r="B5" s="277">
        <v>42705.0</v>
      </c>
      <c r="C5" t="s">
        <v>2496</v>
      </c>
      <c r="E5" s="6">
        <v>12459.0</v>
      </c>
      <c r="F5" t="s">
        <v>2498</v>
      </c>
      <c r="H5" t="s">
        <v>2499</v>
      </c>
      <c r="L5" s="67"/>
      <c r="M5" s="280" t="s">
        <v>2482</v>
      </c>
      <c r="N5" s="234"/>
      <c r="O5" s="281"/>
      <c r="P5" s="233"/>
      <c r="Q5" s="233"/>
      <c r="R5" s="234"/>
      <c r="S5" s="233" t="s">
        <v>452</v>
      </c>
      <c r="T5" s="233"/>
      <c r="U5" s="233"/>
      <c r="V5" s="233"/>
      <c r="W5" s="233"/>
      <c r="X5" s="233"/>
      <c r="Y5" s="233"/>
      <c r="Z5" s="233"/>
      <c r="AA5" s="233"/>
      <c r="AB5" s="233"/>
      <c r="AC5" s="233"/>
      <c r="AD5" s="233"/>
      <c r="AE5" s="233"/>
      <c r="AF5" s="233"/>
      <c r="AG5" s="233"/>
      <c r="AH5" s="233"/>
      <c r="AI5" s="233"/>
      <c r="AJ5" s="233"/>
      <c r="AK5" s="233"/>
      <c r="AL5" s="233"/>
    </row>
    <row r="6">
      <c r="A6" s="279"/>
      <c r="B6" s="277">
        <v>42705.0</v>
      </c>
      <c r="C6" t="s">
        <v>2486</v>
      </c>
      <c r="D6" t="s">
        <v>2501</v>
      </c>
      <c r="E6" s="6">
        <v>12450.0</v>
      </c>
      <c r="F6" t="s">
        <v>2502</v>
      </c>
      <c r="G6" t="s">
        <v>2503</v>
      </c>
      <c r="L6" s="67"/>
      <c r="M6" s="280" t="s">
        <v>2482</v>
      </c>
      <c r="N6" s="234"/>
      <c r="O6" s="281"/>
      <c r="P6" s="233"/>
      <c r="Q6" s="233"/>
      <c r="R6" s="234"/>
      <c r="S6" s="233" t="s">
        <v>452</v>
      </c>
      <c r="T6" s="233"/>
      <c r="U6" s="233"/>
      <c r="V6" s="233"/>
      <c r="W6" s="233"/>
      <c r="X6" s="233"/>
      <c r="Y6" s="233"/>
      <c r="Z6" s="233"/>
      <c r="AA6" s="233"/>
      <c r="AB6" s="233"/>
      <c r="AC6" s="233"/>
      <c r="AD6" s="233"/>
      <c r="AE6" s="233"/>
      <c r="AF6" s="233"/>
      <c r="AG6" s="233"/>
      <c r="AH6" s="233"/>
      <c r="AI6" s="233"/>
      <c r="AJ6" s="233"/>
      <c r="AK6" s="233"/>
      <c r="AL6" s="233"/>
    </row>
    <row r="7">
      <c r="A7" s="279"/>
      <c r="B7" s="277">
        <v>42705.0</v>
      </c>
      <c r="C7" t="s">
        <v>2504</v>
      </c>
      <c r="E7">
        <v>27035.0</v>
      </c>
      <c r="F7" t="s">
        <v>2505</v>
      </c>
      <c r="H7" t="s">
        <v>2506</v>
      </c>
      <c r="L7" s="67"/>
      <c r="M7" s="280" t="s">
        <v>2482</v>
      </c>
      <c r="N7" s="234"/>
      <c r="O7" s="281"/>
      <c r="P7" s="233"/>
      <c r="Q7" s="233"/>
      <c r="R7" s="234"/>
      <c r="S7" s="233" t="s">
        <v>452</v>
      </c>
      <c r="T7" s="233"/>
      <c r="U7" s="233"/>
      <c r="V7" s="233"/>
      <c r="W7" s="233"/>
      <c r="X7" s="233"/>
      <c r="Y7" s="233"/>
      <c r="Z7" s="233"/>
      <c r="AA7" s="233"/>
      <c r="AB7" s="233"/>
      <c r="AC7" s="233"/>
      <c r="AD7" s="233"/>
      <c r="AE7" s="233"/>
      <c r="AF7" s="233"/>
      <c r="AG7" s="233"/>
      <c r="AH7" s="233"/>
      <c r="AI7" s="233"/>
      <c r="AJ7" s="233"/>
      <c r="AK7" s="233"/>
      <c r="AL7" s="233"/>
    </row>
    <row r="8">
      <c r="A8" s="279"/>
      <c r="B8" s="277">
        <v>42705.0</v>
      </c>
      <c r="C8" t="s">
        <v>2507</v>
      </c>
      <c r="E8">
        <v>33015.0</v>
      </c>
      <c r="F8" t="s">
        <v>2509</v>
      </c>
      <c r="H8" t="s">
        <v>2510</v>
      </c>
      <c r="L8" s="67"/>
      <c r="M8" s="280" t="s">
        <v>2482</v>
      </c>
      <c r="N8" s="234"/>
      <c r="O8" s="281"/>
      <c r="P8" s="233"/>
      <c r="Q8" s="233"/>
      <c r="R8" s="234"/>
      <c r="S8" s="233" t="s">
        <v>452</v>
      </c>
      <c r="T8" s="233"/>
      <c r="U8" s="233"/>
      <c r="V8" s="233"/>
      <c r="W8" s="233"/>
      <c r="X8" s="233"/>
      <c r="Y8" s="233"/>
      <c r="Z8" s="233"/>
      <c r="AA8" s="233"/>
      <c r="AB8" s="233"/>
      <c r="AC8" s="233"/>
      <c r="AD8" s="233"/>
      <c r="AE8" s="233"/>
      <c r="AF8" s="233"/>
      <c r="AG8" s="233"/>
      <c r="AH8" s="233"/>
      <c r="AI8" s="233"/>
      <c r="AJ8" s="233"/>
      <c r="AK8" s="233"/>
      <c r="AL8" s="233"/>
    </row>
    <row r="9">
      <c r="A9" s="279"/>
      <c r="B9" s="277">
        <v>42705.0</v>
      </c>
      <c r="C9" s="158" t="s">
        <v>2511</v>
      </c>
      <c r="E9" s="6">
        <v>50711.0</v>
      </c>
      <c r="F9" s="158" t="s">
        <v>132</v>
      </c>
      <c r="H9" s="158" t="s">
        <v>2512</v>
      </c>
      <c r="L9" s="67"/>
      <c r="M9" s="280" t="s">
        <v>2482</v>
      </c>
      <c r="N9" s="234"/>
      <c r="O9" s="281"/>
      <c r="P9" s="233"/>
      <c r="Q9" s="233"/>
      <c r="R9" s="234"/>
      <c r="S9" s="233"/>
      <c r="T9" s="13" t="s">
        <v>452</v>
      </c>
      <c r="U9" s="233"/>
      <c r="V9" s="233"/>
      <c r="W9" s="233"/>
      <c r="X9" s="233"/>
      <c r="Y9" s="233"/>
      <c r="Z9" s="233"/>
      <c r="AA9" s="233"/>
      <c r="AB9" s="233"/>
      <c r="AC9" s="233"/>
      <c r="AD9" s="233"/>
      <c r="AE9" s="233"/>
      <c r="AF9" s="233"/>
      <c r="AG9" s="233"/>
      <c r="AH9" s="233"/>
      <c r="AI9" s="233"/>
      <c r="AJ9" s="233"/>
      <c r="AK9" s="233"/>
      <c r="AL9" s="233"/>
    </row>
    <row r="10">
      <c r="A10" s="279"/>
      <c r="B10" s="277">
        <v>42705.0</v>
      </c>
      <c r="C10" s="158" t="s">
        <v>2515</v>
      </c>
      <c r="E10" s="6">
        <v>50752.0</v>
      </c>
      <c r="F10" s="158" t="s">
        <v>132</v>
      </c>
      <c r="H10" s="158" t="s">
        <v>2517</v>
      </c>
      <c r="L10" s="67"/>
      <c r="M10" s="280" t="s">
        <v>2518</v>
      </c>
      <c r="N10" s="234"/>
      <c r="O10" s="281"/>
      <c r="P10" s="233"/>
      <c r="Q10" s="233"/>
      <c r="R10" s="234"/>
      <c r="S10" s="233"/>
      <c r="T10" s="13" t="s">
        <v>452</v>
      </c>
      <c r="U10" s="13"/>
      <c r="V10" s="233"/>
      <c r="W10" s="233"/>
      <c r="X10" s="233"/>
      <c r="Y10" s="233"/>
      <c r="Z10" s="233"/>
      <c r="AA10" s="233"/>
      <c r="AB10" s="233"/>
      <c r="AC10" s="233"/>
      <c r="AD10" s="233"/>
      <c r="AE10" s="233"/>
      <c r="AF10" s="233"/>
      <c r="AG10" s="233"/>
      <c r="AH10" s="233"/>
      <c r="AI10" s="233"/>
      <c r="AJ10" s="233"/>
      <c r="AK10" s="233"/>
      <c r="AL10" s="233"/>
    </row>
    <row r="11">
      <c r="A11" s="279"/>
      <c r="B11" s="277">
        <v>42705.0</v>
      </c>
      <c r="C11" s="158" t="s">
        <v>2521</v>
      </c>
      <c r="E11" s="6">
        <v>50462.0</v>
      </c>
      <c r="F11" s="158" t="s">
        <v>132</v>
      </c>
      <c r="H11" s="158" t="s">
        <v>2522</v>
      </c>
      <c r="L11" s="67"/>
      <c r="M11" s="280" t="s">
        <v>2482</v>
      </c>
      <c r="N11" s="234"/>
      <c r="O11" s="281"/>
      <c r="P11" s="233"/>
      <c r="Q11" s="233"/>
      <c r="R11" s="234"/>
      <c r="S11" s="233"/>
      <c r="T11" s="13" t="s">
        <v>452</v>
      </c>
      <c r="U11" s="233"/>
      <c r="V11" s="233"/>
      <c r="W11" s="233"/>
      <c r="X11" s="233"/>
      <c r="Y11" s="233"/>
      <c r="Z11" s="233"/>
      <c r="AA11" s="233"/>
      <c r="AB11" s="233"/>
      <c r="AC11" s="233"/>
      <c r="AD11" s="233"/>
      <c r="AE11" s="233"/>
      <c r="AF11" s="233"/>
      <c r="AG11" s="233"/>
      <c r="AH11" s="233"/>
      <c r="AI11" s="233"/>
      <c r="AJ11" s="233"/>
      <c r="AK11" s="233"/>
      <c r="AL11" s="233"/>
    </row>
    <row r="12">
      <c r="A12" s="279"/>
      <c r="B12" s="277">
        <v>42705.0</v>
      </c>
      <c r="C12" s="158" t="s">
        <v>2523</v>
      </c>
      <c r="E12" s="6">
        <v>50435.0</v>
      </c>
      <c r="F12" s="158" t="s">
        <v>132</v>
      </c>
      <c r="H12" s="158" t="s">
        <v>576</v>
      </c>
      <c r="L12" s="67"/>
      <c r="M12" s="280" t="s">
        <v>2482</v>
      </c>
      <c r="N12" s="234"/>
      <c r="O12" s="281"/>
      <c r="P12" s="233"/>
      <c r="Q12" s="233"/>
      <c r="R12" s="234"/>
      <c r="S12" s="233"/>
      <c r="T12" s="13" t="s">
        <v>452</v>
      </c>
      <c r="U12" s="233"/>
      <c r="V12" s="233"/>
      <c r="W12" s="233"/>
      <c r="X12" s="233"/>
      <c r="Y12" s="233"/>
      <c r="Z12" s="233"/>
      <c r="AA12" s="233"/>
      <c r="AB12" s="233"/>
      <c r="AC12" s="233"/>
      <c r="AD12" s="233"/>
      <c r="AE12" s="233"/>
      <c r="AF12" s="233"/>
      <c r="AG12" s="233"/>
      <c r="AH12" s="233"/>
      <c r="AI12" s="233"/>
      <c r="AJ12" s="233"/>
      <c r="AK12" s="233"/>
      <c r="AL12" s="233"/>
    </row>
    <row r="13">
      <c r="A13" s="279"/>
      <c r="B13" s="277">
        <v>42705.0</v>
      </c>
      <c r="C13" t="s">
        <v>2527</v>
      </c>
      <c r="E13">
        <v>28060.0</v>
      </c>
      <c r="F13" t="s">
        <v>2529</v>
      </c>
      <c r="H13" t="s">
        <v>2531</v>
      </c>
      <c r="L13" s="67"/>
      <c r="M13" s="280" t="s">
        <v>2482</v>
      </c>
      <c r="N13" s="234"/>
      <c r="O13" s="281"/>
      <c r="P13" s="233"/>
      <c r="Q13" s="233"/>
      <c r="R13" s="234"/>
      <c r="S13" s="233" t="s">
        <v>452</v>
      </c>
      <c r="T13" s="233"/>
      <c r="U13" s="233"/>
      <c r="V13" s="233"/>
      <c r="W13" s="233"/>
      <c r="X13" s="233"/>
      <c r="Y13" s="233"/>
      <c r="Z13" s="233"/>
      <c r="AA13" s="233"/>
      <c r="AB13" s="233"/>
      <c r="AC13" s="233"/>
      <c r="AD13" s="233"/>
      <c r="AE13" s="233"/>
      <c r="AF13" s="233"/>
      <c r="AG13" s="233"/>
      <c r="AH13" s="233"/>
      <c r="AI13" s="233"/>
      <c r="AJ13" s="233"/>
      <c r="AK13" s="233"/>
      <c r="AL13" s="233"/>
    </row>
    <row r="14">
      <c r="A14" s="279"/>
      <c r="B14" s="277">
        <v>42705.0</v>
      </c>
      <c r="C14" t="s">
        <v>2533</v>
      </c>
      <c r="E14">
        <v>16867.0</v>
      </c>
      <c r="F14" t="s">
        <v>2534</v>
      </c>
      <c r="H14" t="s">
        <v>2535</v>
      </c>
      <c r="L14" s="67"/>
      <c r="M14" s="280" t="s">
        <v>2482</v>
      </c>
      <c r="N14" s="234"/>
      <c r="O14" s="281"/>
      <c r="P14" s="233"/>
      <c r="Q14" s="233"/>
      <c r="R14" s="234"/>
      <c r="S14" s="233" t="s">
        <v>452</v>
      </c>
      <c r="T14" s="233"/>
      <c r="U14" s="233"/>
      <c r="V14" s="233"/>
      <c r="W14" s="233"/>
      <c r="X14" s="233"/>
      <c r="Y14" s="233"/>
      <c r="Z14" s="233"/>
      <c r="AA14" s="233"/>
      <c r="AB14" s="233"/>
      <c r="AC14" s="233"/>
      <c r="AD14" s="233"/>
      <c r="AE14" s="233"/>
      <c r="AF14" s="233"/>
      <c r="AG14" s="233"/>
      <c r="AH14" s="233"/>
      <c r="AI14" s="233"/>
      <c r="AJ14" s="233"/>
      <c r="AK14" s="233"/>
      <c r="AL14" s="233"/>
    </row>
    <row r="15">
      <c r="A15" s="279"/>
      <c r="B15" s="277">
        <v>42705.0</v>
      </c>
      <c r="C15" t="s">
        <v>2537</v>
      </c>
      <c r="E15">
        <v>16865.0</v>
      </c>
      <c r="F15" t="s">
        <v>2534</v>
      </c>
      <c r="H15" t="s">
        <v>2538</v>
      </c>
      <c r="L15" s="67"/>
      <c r="M15" s="280" t="s">
        <v>2482</v>
      </c>
      <c r="N15" s="234"/>
      <c r="O15" s="281"/>
      <c r="P15" s="233"/>
      <c r="Q15" s="233"/>
      <c r="R15" s="234"/>
      <c r="S15" s="233" t="s">
        <v>452</v>
      </c>
      <c r="T15" s="233"/>
      <c r="U15" s="233"/>
      <c r="V15" s="233"/>
      <c r="W15" s="233"/>
      <c r="X15" s="233"/>
      <c r="Y15" s="233"/>
      <c r="Z15" s="233"/>
      <c r="AA15" s="233"/>
      <c r="AB15" s="233"/>
      <c r="AC15" s="233"/>
      <c r="AD15" s="233"/>
      <c r="AE15" s="233"/>
      <c r="AF15" s="233"/>
      <c r="AG15" s="233"/>
      <c r="AH15" s="233"/>
      <c r="AI15" s="233"/>
      <c r="AJ15" s="233"/>
      <c r="AK15" s="233"/>
      <c r="AL15" s="233"/>
    </row>
    <row r="16">
      <c r="A16" s="279"/>
      <c r="B16" s="277">
        <v>42705.0</v>
      </c>
      <c r="C16" s="158" t="s">
        <v>2543</v>
      </c>
      <c r="E16" s="6">
        <v>26936.0</v>
      </c>
      <c r="F16" s="158" t="s">
        <v>2544</v>
      </c>
      <c r="H16" s="158" t="s">
        <v>2545</v>
      </c>
      <c r="L16" s="67"/>
      <c r="M16" s="280" t="s">
        <v>2482</v>
      </c>
      <c r="N16" s="234"/>
      <c r="O16" s="281"/>
      <c r="P16" s="233"/>
      <c r="Q16" s="233"/>
      <c r="R16" s="234"/>
      <c r="S16" s="233"/>
      <c r="T16" s="13" t="s">
        <v>452</v>
      </c>
      <c r="U16" s="233"/>
      <c r="V16" s="233"/>
      <c r="W16" s="233"/>
      <c r="X16" s="233"/>
      <c r="Y16" s="233"/>
      <c r="Z16" s="233"/>
      <c r="AA16" s="233"/>
      <c r="AB16" s="233"/>
      <c r="AC16" s="233"/>
      <c r="AD16" s="233"/>
      <c r="AE16" s="233"/>
      <c r="AF16" s="233"/>
      <c r="AG16" s="233"/>
      <c r="AH16" s="233"/>
      <c r="AI16" s="233"/>
      <c r="AJ16" s="233"/>
      <c r="AK16" s="233"/>
      <c r="AL16" s="233"/>
    </row>
    <row r="17">
      <c r="A17" s="279"/>
      <c r="B17" s="277">
        <v>42705.0</v>
      </c>
      <c r="C17" s="158" t="s">
        <v>2547</v>
      </c>
      <c r="E17" s="6">
        <v>51633.0</v>
      </c>
      <c r="F17" s="158" t="s">
        <v>2550</v>
      </c>
      <c r="H17" s="158" t="s">
        <v>2551</v>
      </c>
      <c r="L17" s="67"/>
      <c r="M17" s="280" t="s">
        <v>2482</v>
      </c>
      <c r="N17" s="234"/>
      <c r="O17" s="281"/>
      <c r="P17" s="233"/>
      <c r="Q17" s="233"/>
      <c r="R17" s="234"/>
      <c r="S17" s="233"/>
      <c r="T17" s="13" t="s">
        <v>452</v>
      </c>
      <c r="U17" s="233"/>
      <c r="V17" s="233"/>
      <c r="W17" s="233"/>
      <c r="X17" s="233"/>
      <c r="Y17" s="233"/>
      <c r="Z17" s="233"/>
      <c r="AA17" s="233"/>
      <c r="AB17" s="233"/>
      <c r="AC17" s="233"/>
      <c r="AD17" s="233"/>
      <c r="AE17" s="233"/>
      <c r="AF17" s="233"/>
      <c r="AG17" s="233"/>
      <c r="AH17" s="233"/>
      <c r="AI17" s="233"/>
      <c r="AJ17" s="233"/>
      <c r="AK17" s="233"/>
      <c r="AL17" s="233"/>
    </row>
    <row r="18">
      <c r="A18" s="279"/>
      <c r="B18" s="277">
        <v>42705.0</v>
      </c>
      <c r="C18" t="s">
        <v>2552</v>
      </c>
      <c r="E18" s="6">
        <v>18236.0</v>
      </c>
      <c r="F18" t="s">
        <v>2553</v>
      </c>
      <c r="H18" t="s">
        <v>2554</v>
      </c>
      <c r="L18" s="67"/>
      <c r="M18" s="280" t="s">
        <v>2482</v>
      </c>
      <c r="N18" s="234"/>
      <c r="O18" s="281"/>
      <c r="P18" s="233"/>
      <c r="Q18" s="233"/>
      <c r="R18" s="234"/>
      <c r="S18" s="233" t="s">
        <v>452</v>
      </c>
      <c r="T18" s="233"/>
      <c r="U18" s="233"/>
      <c r="V18" s="233"/>
      <c r="W18" s="233"/>
      <c r="X18" s="233"/>
      <c r="Y18" s="233"/>
      <c r="Z18" s="233"/>
      <c r="AA18" s="233"/>
      <c r="AB18" s="233"/>
      <c r="AC18" s="233"/>
      <c r="AD18" s="233"/>
      <c r="AE18" s="233"/>
      <c r="AF18" s="233"/>
      <c r="AG18" s="233"/>
      <c r="AH18" s="233"/>
      <c r="AI18" s="233"/>
      <c r="AJ18" s="233"/>
      <c r="AK18" s="233"/>
      <c r="AL18" s="233"/>
    </row>
    <row r="19">
      <c r="A19" s="279"/>
      <c r="B19" s="277">
        <v>42705.0</v>
      </c>
      <c r="C19" t="s">
        <v>2555</v>
      </c>
      <c r="E19">
        <v>29731.0</v>
      </c>
      <c r="F19" t="s">
        <v>2556</v>
      </c>
      <c r="H19" t="s">
        <v>2557</v>
      </c>
      <c r="L19" s="67"/>
      <c r="M19" s="280" t="s">
        <v>2482</v>
      </c>
      <c r="N19" s="234"/>
      <c r="O19" s="281"/>
      <c r="P19" s="233"/>
      <c r="Q19" s="233"/>
      <c r="R19" s="234"/>
      <c r="S19" s="233" t="s">
        <v>452</v>
      </c>
      <c r="T19" s="233"/>
      <c r="U19" s="233"/>
      <c r="V19" s="233"/>
      <c r="W19" s="233"/>
      <c r="X19" s="233"/>
      <c r="Y19" s="233"/>
      <c r="Z19" s="233"/>
      <c r="AA19" s="233"/>
      <c r="AB19" s="233"/>
      <c r="AC19" s="233"/>
      <c r="AD19" s="233"/>
      <c r="AE19" s="233"/>
      <c r="AF19" s="233"/>
      <c r="AG19" s="233"/>
      <c r="AH19" s="233"/>
      <c r="AI19" s="233"/>
      <c r="AJ19" s="233"/>
      <c r="AK19" s="233"/>
      <c r="AL19" s="233"/>
    </row>
    <row r="20">
      <c r="A20" s="279"/>
      <c r="B20" s="277">
        <v>42705.0</v>
      </c>
      <c r="C20" t="s">
        <v>2560</v>
      </c>
      <c r="E20">
        <v>41458.0</v>
      </c>
      <c r="F20" t="s">
        <v>281</v>
      </c>
      <c r="H20" t="s">
        <v>2561</v>
      </c>
      <c r="L20" s="67"/>
      <c r="M20" s="280" t="s">
        <v>2482</v>
      </c>
      <c r="N20" s="234"/>
      <c r="O20" s="281"/>
      <c r="P20" s="233"/>
      <c r="Q20" s="233"/>
      <c r="R20" s="234"/>
      <c r="S20" s="233" t="s">
        <v>452</v>
      </c>
      <c r="T20" s="233"/>
      <c r="U20" s="233"/>
      <c r="V20" s="233"/>
      <c r="W20" s="233"/>
      <c r="X20" s="233"/>
      <c r="Y20" s="233"/>
      <c r="Z20" s="233"/>
      <c r="AA20" s="233"/>
      <c r="AB20" s="233"/>
      <c r="AC20" s="233"/>
      <c r="AD20" s="233"/>
      <c r="AE20" s="233"/>
      <c r="AF20" s="233"/>
      <c r="AG20" s="233"/>
      <c r="AH20" s="233"/>
      <c r="AI20" s="233"/>
      <c r="AJ20" s="233"/>
      <c r="AK20" s="233"/>
      <c r="AL20" s="233"/>
    </row>
    <row r="21">
      <c r="A21" s="279"/>
      <c r="B21" s="277">
        <v>42705.0</v>
      </c>
      <c r="C21" t="s">
        <v>2564</v>
      </c>
      <c r="E21">
        <v>41705.0</v>
      </c>
      <c r="F21" t="s">
        <v>281</v>
      </c>
      <c r="G21" t="s">
        <v>2565</v>
      </c>
      <c r="L21" s="67"/>
      <c r="M21" s="280" t="s">
        <v>2482</v>
      </c>
      <c r="N21" s="234"/>
      <c r="O21" s="281"/>
      <c r="P21" s="233"/>
      <c r="Q21" s="233"/>
      <c r="R21" s="234"/>
      <c r="S21" s="233" t="s">
        <v>452</v>
      </c>
      <c r="T21" s="233"/>
      <c r="U21" s="233"/>
      <c r="V21" s="233"/>
      <c r="W21" s="233"/>
      <c r="X21" s="233"/>
      <c r="Y21" s="233"/>
      <c r="Z21" s="233"/>
      <c r="AA21" s="233"/>
      <c r="AB21" s="233"/>
      <c r="AC21" s="233"/>
      <c r="AD21" s="233"/>
      <c r="AE21" s="233"/>
      <c r="AF21" s="233"/>
      <c r="AG21" s="233"/>
      <c r="AH21" s="233"/>
      <c r="AI21" s="233"/>
      <c r="AJ21" s="233"/>
      <c r="AK21" s="233"/>
      <c r="AL21" s="233"/>
    </row>
    <row r="22">
      <c r="A22" s="279"/>
      <c r="B22" s="277">
        <v>42705.0</v>
      </c>
      <c r="C22" t="s">
        <v>2566</v>
      </c>
      <c r="E22">
        <v>41707.0</v>
      </c>
      <c r="F22" t="s">
        <v>281</v>
      </c>
      <c r="L22" s="67"/>
      <c r="M22" s="280" t="s">
        <v>2482</v>
      </c>
      <c r="N22" s="234"/>
      <c r="O22" s="281"/>
      <c r="P22" s="233"/>
      <c r="Q22" s="233"/>
      <c r="R22" s="234"/>
      <c r="S22" s="233" t="s">
        <v>452</v>
      </c>
      <c r="T22" s="233"/>
      <c r="U22" s="233"/>
      <c r="V22" s="233"/>
      <c r="W22" s="233"/>
      <c r="X22" s="233"/>
      <c r="Y22" s="233"/>
      <c r="Z22" s="233"/>
      <c r="AA22" s="233"/>
      <c r="AB22" s="233"/>
      <c r="AC22" s="233"/>
      <c r="AD22" s="233"/>
      <c r="AE22" s="233"/>
      <c r="AF22" s="233"/>
      <c r="AG22" s="233"/>
      <c r="AH22" s="233"/>
      <c r="AI22" s="233"/>
      <c r="AJ22" s="233"/>
      <c r="AK22" s="233"/>
      <c r="AL22" s="233"/>
    </row>
    <row r="23">
      <c r="A23" s="279"/>
      <c r="B23" s="277">
        <v>42705.0</v>
      </c>
      <c r="C23" t="s">
        <v>2570</v>
      </c>
      <c r="E23" s="6">
        <v>42537.0</v>
      </c>
      <c r="F23" t="s">
        <v>281</v>
      </c>
      <c r="H23" t="s">
        <v>2571</v>
      </c>
      <c r="L23" s="67"/>
      <c r="M23" s="280" t="s">
        <v>2482</v>
      </c>
      <c r="N23" s="234"/>
      <c r="O23" s="281"/>
      <c r="P23" s="233"/>
      <c r="Q23" s="233"/>
      <c r="R23" s="234"/>
      <c r="S23" s="233" t="s">
        <v>452</v>
      </c>
      <c r="T23" s="233"/>
      <c r="U23" s="233"/>
      <c r="V23" s="233"/>
      <c r="W23" s="233"/>
      <c r="X23" s="233"/>
      <c r="Y23" s="233"/>
      <c r="Z23" s="233"/>
      <c r="AA23" s="233"/>
      <c r="AB23" s="233"/>
      <c r="AC23" s="233"/>
      <c r="AD23" s="233"/>
      <c r="AE23" s="233"/>
      <c r="AF23" s="233"/>
      <c r="AG23" s="233"/>
      <c r="AH23" s="233"/>
      <c r="AI23" s="233"/>
      <c r="AJ23" s="233"/>
      <c r="AK23" s="233"/>
      <c r="AL23" s="233"/>
    </row>
    <row r="24">
      <c r="A24" s="279"/>
      <c r="B24" s="277">
        <v>42705.0</v>
      </c>
      <c r="C24" t="s">
        <v>2573</v>
      </c>
      <c r="E24">
        <v>30241.0</v>
      </c>
      <c r="F24" t="s">
        <v>472</v>
      </c>
      <c r="H24" t="s">
        <v>2574</v>
      </c>
      <c r="L24" s="67"/>
      <c r="M24" s="280" t="s">
        <v>2482</v>
      </c>
      <c r="N24" s="234"/>
      <c r="O24" s="281"/>
      <c r="P24" s="233"/>
      <c r="Q24" s="233"/>
      <c r="R24" s="234"/>
      <c r="S24" s="233" t="s">
        <v>452</v>
      </c>
      <c r="T24" s="233"/>
      <c r="U24" s="233"/>
      <c r="V24" s="233"/>
      <c r="W24" s="233"/>
      <c r="X24" s="233"/>
      <c r="Y24" s="233"/>
      <c r="Z24" s="233"/>
      <c r="AA24" s="233"/>
      <c r="AB24" s="233"/>
      <c r="AC24" s="233"/>
      <c r="AD24" s="233"/>
      <c r="AE24" s="233"/>
      <c r="AF24" s="233"/>
      <c r="AG24" s="233"/>
      <c r="AH24" s="233"/>
      <c r="AI24" s="233"/>
      <c r="AJ24" s="233"/>
      <c r="AK24" s="233"/>
      <c r="AL24" s="233"/>
    </row>
    <row r="25">
      <c r="A25" s="279"/>
      <c r="B25" s="277">
        <v>42705.0</v>
      </c>
      <c r="C25" t="s">
        <v>2575</v>
      </c>
      <c r="E25">
        <v>27650.0</v>
      </c>
      <c r="F25" t="s">
        <v>2576</v>
      </c>
      <c r="G25" t="s">
        <v>2577</v>
      </c>
      <c r="L25" s="67"/>
      <c r="M25" s="280" t="s">
        <v>2482</v>
      </c>
      <c r="N25" s="234"/>
      <c r="O25" s="281"/>
      <c r="P25" s="233"/>
      <c r="Q25" s="233"/>
      <c r="R25" s="234"/>
      <c r="S25" s="233" t="s">
        <v>452</v>
      </c>
      <c r="T25" s="233"/>
      <c r="U25" s="233"/>
      <c r="V25" s="233"/>
      <c r="W25" s="233"/>
      <c r="X25" s="233"/>
      <c r="Y25" s="233"/>
      <c r="Z25" s="233"/>
      <c r="AA25" s="233"/>
      <c r="AB25" s="233"/>
      <c r="AC25" s="233"/>
      <c r="AD25" s="233"/>
      <c r="AE25" s="233"/>
      <c r="AF25" s="233"/>
      <c r="AG25" s="233"/>
      <c r="AH25" s="233"/>
      <c r="AI25" s="233"/>
      <c r="AJ25" s="233"/>
      <c r="AK25" s="233"/>
      <c r="AL25" s="233"/>
    </row>
    <row r="26">
      <c r="A26" s="279"/>
      <c r="B26" s="277">
        <v>42705.0</v>
      </c>
      <c r="C26" t="s">
        <v>2580</v>
      </c>
      <c r="E26" s="6">
        <v>13674.0</v>
      </c>
      <c r="F26" t="s">
        <v>2581</v>
      </c>
      <c r="H26" t="s">
        <v>2582</v>
      </c>
      <c r="L26" s="67"/>
      <c r="M26" s="280" t="s">
        <v>2482</v>
      </c>
      <c r="N26" s="234"/>
      <c r="O26" s="281"/>
      <c r="P26" s="233"/>
      <c r="Q26" s="233"/>
      <c r="R26" s="234"/>
      <c r="S26" s="233" t="s">
        <v>452</v>
      </c>
      <c r="T26" s="233"/>
      <c r="U26" s="233"/>
      <c r="V26" s="233"/>
      <c r="W26" s="233"/>
      <c r="X26" s="233"/>
      <c r="Y26" s="233"/>
      <c r="Z26" s="233"/>
      <c r="AA26" s="233"/>
      <c r="AB26" s="233"/>
      <c r="AC26" s="233"/>
      <c r="AD26" s="233"/>
      <c r="AE26" s="233"/>
      <c r="AF26" s="233"/>
      <c r="AG26" s="233"/>
      <c r="AH26" s="233"/>
      <c r="AI26" s="233"/>
      <c r="AJ26" s="233"/>
      <c r="AK26" s="233"/>
      <c r="AL26" s="233"/>
    </row>
    <row r="27">
      <c r="A27" s="279"/>
      <c r="B27" s="277">
        <v>42705.0</v>
      </c>
      <c r="C27" t="s">
        <v>2584</v>
      </c>
      <c r="E27">
        <v>25466.0</v>
      </c>
      <c r="F27" t="s">
        <v>380</v>
      </c>
      <c r="H27" t="s">
        <v>2585</v>
      </c>
      <c r="L27" s="67"/>
      <c r="M27" s="280" t="s">
        <v>2482</v>
      </c>
      <c r="N27" s="234"/>
      <c r="O27" s="281"/>
      <c r="P27" s="233"/>
      <c r="Q27" s="233"/>
      <c r="R27" s="234"/>
      <c r="S27" s="233" t="s">
        <v>452</v>
      </c>
      <c r="T27" s="233"/>
      <c r="U27" s="233"/>
      <c r="V27" s="233"/>
      <c r="W27" s="233"/>
      <c r="X27" s="233"/>
      <c r="Y27" s="233"/>
      <c r="Z27" s="233"/>
      <c r="AA27" s="233"/>
      <c r="AB27" s="233"/>
      <c r="AC27" s="233"/>
      <c r="AD27" s="233"/>
      <c r="AE27" s="233"/>
      <c r="AF27" s="233"/>
      <c r="AG27" s="233"/>
      <c r="AH27" s="233"/>
      <c r="AI27" s="233"/>
      <c r="AJ27" s="233"/>
      <c r="AK27" s="233"/>
      <c r="AL27" s="233"/>
    </row>
    <row r="28">
      <c r="A28" s="279"/>
      <c r="B28" s="277">
        <v>42705.0</v>
      </c>
      <c r="C28" t="s">
        <v>2587</v>
      </c>
      <c r="E28">
        <v>25450.0</v>
      </c>
      <c r="F28" t="s">
        <v>380</v>
      </c>
      <c r="H28" t="s">
        <v>2588</v>
      </c>
      <c r="L28" s="67"/>
      <c r="M28" s="280" t="s">
        <v>2482</v>
      </c>
      <c r="N28" s="234"/>
      <c r="O28" s="281"/>
      <c r="P28" s="233"/>
      <c r="Q28" s="233"/>
      <c r="R28" s="234"/>
      <c r="S28" s="233" t="s">
        <v>452</v>
      </c>
      <c r="T28" s="233"/>
      <c r="U28" s="233"/>
      <c r="V28" s="233"/>
      <c r="W28" s="233"/>
      <c r="X28" s="233"/>
      <c r="Y28" s="233"/>
      <c r="Z28" s="233"/>
      <c r="AA28" s="233"/>
      <c r="AB28" s="233"/>
      <c r="AC28" s="233"/>
      <c r="AD28" s="233"/>
      <c r="AE28" s="233"/>
      <c r="AF28" s="233"/>
      <c r="AG28" s="233"/>
      <c r="AH28" s="233"/>
      <c r="AI28" s="233"/>
      <c r="AJ28" s="233"/>
      <c r="AK28" s="233"/>
      <c r="AL28" s="233"/>
    </row>
    <row r="29">
      <c r="A29" s="279"/>
      <c r="B29" s="277">
        <v>42705.0</v>
      </c>
      <c r="C29" t="s">
        <v>2589</v>
      </c>
      <c r="E29">
        <v>25466.0</v>
      </c>
      <c r="F29" t="s">
        <v>380</v>
      </c>
      <c r="H29" t="s">
        <v>2590</v>
      </c>
      <c r="L29" s="67"/>
      <c r="M29" s="280" t="s">
        <v>2482</v>
      </c>
      <c r="N29" s="234"/>
      <c r="O29" s="281"/>
      <c r="P29" s="233"/>
      <c r="Q29" s="233"/>
      <c r="R29" s="234"/>
      <c r="S29" s="233" t="s">
        <v>452</v>
      </c>
      <c r="T29" s="233"/>
      <c r="U29" s="233"/>
      <c r="V29" s="233"/>
      <c r="W29" s="233"/>
      <c r="X29" s="233"/>
      <c r="Y29" s="233"/>
      <c r="Z29" s="233"/>
      <c r="AA29" s="233"/>
      <c r="AB29" s="233"/>
      <c r="AC29" s="233"/>
      <c r="AD29" s="233"/>
      <c r="AE29" s="233"/>
      <c r="AF29" s="233"/>
      <c r="AG29" s="233"/>
      <c r="AH29" s="233"/>
      <c r="AI29" s="233"/>
      <c r="AJ29" s="233"/>
      <c r="AK29" s="233"/>
      <c r="AL29" s="233"/>
    </row>
    <row r="30">
      <c r="A30" s="279"/>
      <c r="B30" s="277">
        <v>42705.0</v>
      </c>
      <c r="C30" t="s">
        <v>2486</v>
      </c>
      <c r="D30" t="s">
        <v>2595</v>
      </c>
      <c r="E30" s="6">
        <v>25227.0</v>
      </c>
      <c r="F30" t="s">
        <v>1705</v>
      </c>
      <c r="G30" t="s">
        <v>2596</v>
      </c>
      <c r="L30" s="67"/>
      <c r="M30" s="280" t="s">
        <v>2482</v>
      </c>
      <c r="N30" s="234"/>
      <c r="O30" s="281"/>
      <c r="P30" s="233"/>
      <c r="Q30" s="233"/>
      <c r="R30" s="234"/>
      <c r="S30" s="233" t="s">
        <v>452</v>
      </c>
      <c r="T30" s="233"/>
      <c r="U30" s="233"/>
      <c r="V30" s="233"/>
      <c r="W30" s="233"/>
      <c r="X30" s="233"/>
      <c r="Y30" s="233"/>
      <c r="Z30" s="233"/>
      <c r="AA30" s="233"/>
      <c r="AB30" s="233"/>
      <c r="AC30" s="233"/>
      <c r="AD30" s="233"/>
      <c r="AE30" s="233"/>
      <c r="AF30" s="233"/>
      <c r="AG30" s="233"/>
      <c r="AH30" s="233"/>
      <c r="AI30" s="233"/>
      <c r="AJ30" s="233"/>
      <c r="AK30" s="233"/>
      <c r="AL30" s="233"/>
    </row>
    <row r="31">
      <c r="A31" s="279"/>
      <c r="B31" s="277">
        <v>42705.0</v>
      </c>
      <c r="C31" t="s">
        <v>2597</v>
      </c>
      <c r="E31">
        <v>25468.0</v>
      </c>
      <c r="F31" t="s">
        <v>380</v>
      </c>
      <c r="H31" t="s">
        <v>2598</v>
      </c>
      <c r="L31" s="67"/>
      <c r="M31" s="280" t="s">
        <v>2482</v>
      </c>
      <c r="N31" s="234"/>
      <c r="O31" s="281"/>
      <c r="P31" s="233"/>
      <c r="Q31" s="233"/>
      <c r="R31" s="234"/>
      <c r="S31" s="233" t="s">
        <v>452</v>
      </c>
      <c r="T31" s="233"/>
      <c r="U31" s="233"/>
      <c r="V31" s="233"/>
      <c r="W31" s="233"/>
      <c r="X31" s="233"/>
      <c r="Y31" s="233"/>
      <c r="Z31" s="233"/>
      <c r="AA31" s="233"/>
      <c r="AB31" s="233"/>
      <c r="AC31" s="233"/>
      <c r="AD31" s="233"/>
      <c r="AE31" s="233"/>
      <c r="AF31" s="233"/>
      <c r="AG31" s="233"/>
      <c r="AH31" s="233"/>
      <c r="AI31" s="233"/>
      <c r="AJ31" s="233"/>
      <c r="AK31" s="233"/>
      <c r="AL31" s="233"/>
    </row>
    <row r="32">
      <c r="A32" s="279"/>
      <c r="B32" s="277">
        <v>42705.0</v>
      </c>
      <c r="C32" t="s">
        <v>2601</v>
      </c>
      <c r="E32">
        <v>42246.0</v>
      </c>
      <c r="F32" t="s">
        <v>2603</v>
      </c>
      <c r="G32" t="s">
        <v>2605</v>
      </c>
      <c r="L32" s="67"/>
      <c r="M32" s="280" t="s">
        <v>2482</v>
      </c>
      <c r="N32" s="234"/>
      <c r="O32" s="281"/>
      <c r="P32" s="233"/>
      <c r="Q32" s="233"/>
      <c r="R32" s="234"/>
      <c r="S32" s="233" t="s">
        <v>452</v>
      </c>
      <c r="T32" s="233"/>
      <c r="U32" s="233"/>
      <c r="V32" s="233"/>
      <c r="W32" s="233"/>
      <c r="X32" s="233"/>
      <c r="Y32" s="233"/>
      <c r="Z32" s="233"/>
      <c r="AA32" s="233"/>
      <c r="AB32" s="233"/>
      <c r="AC32" s="233"/>
      <c r="AD32" s="233"/>
      <c r="AE32" s="233"/>
      <c r="AF32" s="233"/>
      <c r="AG32" s="233"/>
      <c r="AH32" s="233"/>
      <c r="AI32" s="233"/>
      <c r="AJ32" s="233"/>
      <c r="AK32" s="233"/>
      <c r="AL32" s="233"/>
    </row>
    <row r="33">
      <c r="A33" s="279"/>
      <c r="B33" s="277">
        <v>42705.0</v>
      </c>
      <c r="C33" t="s">
        <v>2606</v>
      </c>
      <c r="E33">
        <v>42255.0</v>
      </c>
      <c r="F33" t="s">
        <v>2603</v>
      </c>
      <c r="H33" t="s">
        <v>2607</v>
      </c>
      <c r="L33" s="67"/>
      <c r="M33" s="280" t="s">
        <v>2482</v>
      </c>
      <c r="N33" s="234"/>
      <c r="O33" s="281"/>
      <c r="P33" s="233"/>
      <c r="Q33" s="233"/>
      <c r="R33" s="234"/>
      <c r="S33" s="233" t="s">
        <v>452</v>
      </c>
      <c r="T33" s="233"/>
      <c r="U33" s="233"/>
      <c r="V33" s="233"/>
      <c r="W33" s="233"/>
      <c r="X33" s="233"/>
      <c r="Y33" s="233"/>
      <c r="Z33" s="233"/>
      <c r="AA33" s="233"/>
      <c r="AB33" s="233"/>
      <c r="AC33" s="233"/>
      <c r="AD33" s="233"/>
      <c r="AE33" s="233"/>
      <c r="AF33" s="233"/>
      <c r="AG33" s="233"/>
      <c r="AH33" s="233"/>
      <c r="AI33" s="233"/>
      <c r="AJ33" s="233"/>
      <c r="AK33" s="233"/>
      <c r="AL33" s="233"/>
    </row>
    <row r="34">
      <c r="A34" s="279"/>
      <c r="B34" s="277">
        <v>42705.0</v>
      </c>
      <c r="C34" t="s">
        <v>2610</v>
      </c>
      <c r="E34">
        <v>42243.0</v>
      </c>
      <c r="F34" t="s">
        <v>2603</v>
      </c>
      <c r="H34" s="288" t="s">
        <v>2611</v>
      </c>
      <c r="L34" s="67"/>
      <c r="M34" s="280" t="s">
        <v>2482</v>
      </c>
      <c r="N34" s="234"/>
      <c r="O34" s="281"/>
      <c r="P34" s="233"/>
      <c r="Q34" s="233"/>
      <c r="R34" s="234"/>
      <c r="S34" s="233" t="s">
        <v>452</v>
      </c>
      <c r="T34" s="233"/>
      <c r="U34" s="233"/>
      <c r="V34" s="233"/>
      <c r="W34" s="233"/>
      <c r="X34" s="233"/>
      <c r="Y34" s="233"/>
      <c r="Z34" s="233"/>
      <c r="AA34" s="233"/>
      <c r="AB34" s="233"/>
      <c r="AC34" s="233"/>
      <c r="AD34" s="233"/>
      <c r="AE34" s="233"/>
      <c r="AF34" s="233"/>
      <c r="AG34" s="233"/>
      <c r="AH34" s="233"/>
      <c r="AI34" s="233"/>
      <c r="AJ34" s="233"/>
      <c r="AK34" s="233"/>
      <c r="AL34" s="233"/>
    </row>
    <row r="35">
      <c r="A35" s="279"/>
      <c r="B35" s="277">
        <v>42705.0</v>
      </c>
      <c r="C35" t="s">
        <v>2620</v>
      </c>
      <c r="E35" s="6">
        <v>14146.0</v>
      </c>
      <c r="F35" t="s">
        <v>2621</v>
      </c>
      <c r="H35" s="158" t="s">
        <v>2622</v>
      </c>
      <c r="L35" s="67"/>
      <c r="M35" s="280" t="s">
        <v>2482</v>
      </c>
      <c r="N35" s="234"/>
      <c r="O35" s="281"/>
      <c r="P35" s="233"/>
      <c r="Q35" s="233"/>
      <c r="R35" s="234"/>
      <c r="S35" s="233" t="s">
        <v>452</v>
      </c>
      <c r="T35" s="233"/>
      <c r="U35" s="233"/>
      <c r="V35" s="233"/>
      <c r="W35" s="233"/>
      <c r="X35" s="233"/>
      <c r="Y35" s="233"/>
      <c r="Z35" s="233"/>
      <c r="AA35" s="233"/>
      <c r="AB35" s="233"/>
      <c r="AC35" s="233"/>
      <c r="AD35" s="233"/>
      <c r="AE35" s="233"/>
      <c r="AF35" s="233"/>
      <c r="AG35" s="233"/>
      <c r="AH35" s="233"/>
      <c r="AI35" s="233"/>
      <c r="AJ35" s="233"/>
      <c r="AK35" s="233"/>
      <c r="AL35" s="233"/>
    </row>
    <row r="36">
      <c r="A36" s="279"/>
      <c r="B36" s="277">
        <v>42705.0</v>
      </c>
      <c r="C36" t="s">
        <v>2486</v>
      </c>
      <c r="D36" t="s">
        <v>2623</v>
      </c>
      <c r="E36" s="6">
        <v>14146.0</v>
      </c>
      <c r="F36" t="s">
        <v>2621</v>
      </c>
      <c r="G36" t="s">
        <v>2624</v>
      </c>
      <c r="L36" s="67"/>
      <c r="M36" s="280" t="s">
        <v>2482</v>
      </c>
      <c r="N36" s="234"/>
      <c r="O36" s="281"/>
      <c r="P36" s="233"/>
      <c r="Q36" s="233"/>
      <c r="R36" s="234"/>
      <c r="S36" s="233" t="s">
        <v>452</v>
      </c>
      <c r="T36" s="233"/>
      <c r="U36" s="233"/>
      <c r="V36" s="233"/>
      <c r="W36" s="233"/>
      <c r="X36" s="233"/>
      <c r="Y36" s="233"/>
      <c r="Z36" s="233"/>
      <c r="AA36" s="233"/>
      <c r="AB36" s="233"/>
      <c r="AC36" s="233"/>
      <c r="AD36" s="233"/>
      <c r="AE36" s="233"/>
      <c r="AF36" s="233"/>
      <c r="AG36" s="233"/>
      <c r="AH36" s="233"/>
      <c r="AI36" s="233"/>
      <c r="AJ36" s="233"/>
      <c r="AK36" s="233"/>
      <c r="AL36" s="233"/>
    </row>
    <row r="37">
      <c r="A37" s="279"/>
      <c r="B37" s="277">
        <v>42705.0</v>
      </c>
      <c r="C37" t="s">
        <v>2486</v>
      </c>
      <c r="D37" t="s">
        <v>2625</v>
      </c>
      <c r="E37" s="6">
        <v>12630.0</v>
      </c>
      <c r="F37" t="s">
        <v>2099</v>
      </c>
      <c r="G37" t="s">
        <v>2627</v>
      </c>
      <c r="L37" s="67"/>
      <c r="M37" s="280" t="s">
        <v>2482</v>
      </c>
      <c r="N37" s="234"/>
      <c r="O37" s="281"/>
      <c r="P37" s="233"/>
      <c r="Q37" s="233"/>
      <c r="R37" s="234"/>
      <c r="S37" s="233" t="s">
        <v>452</v>
      </c>
      <c r="T37" s="233"/>
      <c r="U37" s="233"/>
      <c r="V37" s="233"/>
      <c r="W37" s="233"/>
      <c r="X37" s="233"/>
      <c r="Y37" s="233"/>
      <c r="Z37" s="233"/>
      <c r="AA37" s="233"/>
      <c r="AB37" s="233"/>
      <c r="AC37" s="233"/>
      <c r="AD37" s="233"/>
      <c r="AE37" s="233"/>
      <c r="AF37" s="233"/>
      <c r="AG37" s="233"/>
      <c r="AH37" s="233"/>
      <c r="AI37" s="233"/>
      <c r="AJ37" s="233"/>
      <c r="AK37" s="233"/>
      <c r="AL37" s="233"/>
    </row>
    <row r="38">
      <c r="A38" s="279"/>
      <c r="B38" s="277">
        <v>42705.0</v>
      </c>
      <c r="C38" t="s">
        <v>2486</v>
      </c>
      <c r="D38" t="s">
        <v>2630</v>
      </c>
      <c r="F38" t="s">
        <v>2631</v>
      </c>
      <c r="L38" s="67"/>
      <c r="M38" s="280" t="s">
        <v>2482</v>
      </c>
      <c r="N38" s="234"/>
      <c r="O38" s="281"/>
      <c r="P38" s="233"/>
      <c r="Q38" s="233"/>
      <c r="R38" s="234"/>
      <c r="S38" s="233" t="s">
        <v>452</v>
      </c>
      <c r="T38" s="233"/>
      <c r="U38" s="233"/>
      <c r="V38" s="233"/>
      <c r="W38" s="233"/>
      <c r="X38" s="233"/>
      <c r="Y38" s="233"/>
      <c r="Z38" s="233"/>
      <c r="AA38" s="233"/>
      <c r="AB38" s="233"/>
      <c r="AC38" s="233"/>
      <c r="AD38" s="233"/>
      <c r="AE38" s="233"/>
      <c r="AF38" s="233"/>
      <c r="AG38" s="233"/>
      <c r="AH38" s="233"/>
      <c r="AI38" s="233"/>
      <c r="AJ38" s="233"/>
      <c r="AK38" s="233"/>
      <c r="AL38" s="233"/>
    </row>
    <row r="39">
      <c r="A39" s="279"/>
      <c r="B39" s="277">
        <v>42705.0</v>
      </c>
      <c r="C39" t="s">
        <v>2635</v>
      </c>
      <c r="F39" t="s">
        <v>2636</v>
      </c>
      <c r="G39" t="s">
        <v>2637</v>
      </c>
      <c r="L39" s="67"/>
      <c r="M39" s="280" t="s">
        <v>2482</v>
      </c>
      <c r="N39" s="234"/>
      <c r="O39" s="281"/>
      <c r="P39" s="233"/>
      <c r="Q39" s="233"/>
      <c r="R39" s="234"/>
      <c r="S39" s="233" t="s">
        <v>452</v>
      </c>
      <c r="T39" s="233"/>
      <c r="U39" s="233"/>
      <c r="V39" s="233"/>
      <c r="W39" s="233"/>
      <c r="X39" s="233"/>
      <c r="Y39" s="233"/>
      <c r="Z39" s="233"/>
      <c r="AA39" s="233"/>
      <c r="AB39" s="233"/>
      <c r="AC39" s="233"/>
      <c r="AD39" s="233"/>
      <c r="AE39" s="233"/>
      <c r="AF39" s="233"/>
      <c r="AG39" s="233"/>
      <c r="AH39" s="233"/>
      <c r="AI39" s="233"/>
      <c r="AJ39" s="233"/>
      <c r="AK39" s="233"/>
      <c r="AL39" s="233"/>
    </row>
    <row r="40">
      <c r="A40" s="279"/>
      <c r="B40" s="277">
        <v>42705.0</v>
      </c>
      <c r="C40" t="s">
        <v>2642</v>
      </c>
      <c r="E40">
        <v>26337.0</v>
      </c>
      <c r="F40" t="s">
        <v>2643</v>
      </c>
      <c r="H40" t="s">
        <v>2644</v>
      </c>
      <c r="L40" s="67"/>
      <c r="M40" s="280" t="s">
        <v>2482</v>
      </c>
      <c r="N40" s="234"/>
      <c r="O40" s="281"/>
      <c r="P40" s="233"/>
      <c r="Q40" s="233"/>
      <c r="R40" s="234"/>
      <c r="S40" s="233" t="s">
        <v>452</v>
      </c>
      <c r="T40" s="233"/>
      <c r="U40" s="233"/>
      <c r="V40" s="233"/>
      <c r="W40" s="233"/>
      <c r="X40" s="233"/>
      <c r="Y40" s="233"/>
      <c r="Z40" s="233"/>
      <c r="AA40" s="233"/>
      <c r="AB40" s="233"/>
      <c r="AC40" s="233"/>
      <c r="AD40" s="233"/>
      <c r="AE40" s="233"/>
      <c r="AF40" s="233"/>
      <c r="AG40" s="233"/>
      <c r="AH40" s="233"/>
      <c r="AI40" s="233"/>
      <c r="AJ40" s="233"/>
      <c r="AK40" s="233"/>
      <c r="AL40" s="233"/>
    </row>
    <row r="41">
      <c r="A41" s="279"/>
      <c r="B41" s="277">
        <v>42705.0</v>
      </c>
      <c r="C41" t="s">
        <v>2646</v>
      </c>
      <c r="E41">
        <v>17543.0</v>
      </c>
      <c r="F41" t="s">
        <v>255</v>
      </c>
      <c r="H41" t="s">
        <v>2648</v>
      </c>
      <c r="L41" s="67"/>
      <c r="M41" s="280" t="s">
        <v>2482</v>
      </c>
      <c r="N41" s="234"/>
      <c r="O41" s="281"/>
      <c r="P41" s="233"/>
      <c r="Q41" s="233"/>
      <c r="R41" s="234"/>
      <c r="S41" s="233" t="s">
        <v>452</v>
      </c>
      <c r="T41" s="233"/>
      <c r="U41" s="233"/>
      <c r="V41" s="233"/>
      <c r="W41" s="233"/>
      <c r="X41" s="233"/>
      <c r="Y41" s="233"/>
      <c r="Z41" s="233"/>
      <c r="AA41" s="233"/>
      <c r="AB41" s="233"/>
      <c r="AC41" s="233"/>
      <c r="AD41" s="233"/>
      <c r="AE41" s="233"/>
      <c r="AF41" s="233"/>
      <c r="AG41" s="233"/>
      <c r="AH41" s="233"/>
      <c r="AI41" s="233"/>
      <c r="AJ41" s="233"/>
      <c r="AK41" s="233"/>
      <c r="AL41" s="233"/>
    </row>
    <row r="42">
      <c r="A42" s="279"/>
      <c r="B42" s="277">
        <v>42705.0</v>
      </c>
      <c r="C42" t="s">
        <v>2649</v>
      </c>
      <c r="E42">
        <v>17562.0</v>
      </c>
      <c r="F42" t="s">
        <v>255</v>
      </c>
      <c r="H42" t="s">
        <v>2650</v>
      </c>
      <c r="L42" s="67"/>
      <c r="M42" s="280" t="s">
        <v>2482</v>
      </c>
      <c r="N42" s="234"/>
      <c r="O42" s="281"/>
      <c r="P42" s="233"/>
      <c r="Q42" s="233"/>
      <c r="R42" s="234"/>
      <c r="S42" s="233" t="s">
        <v>452</v>
      </c>
      <c r="T42" s="233"/>
      <c r="U42" s="233"/>
      <c r="V42" s="233"/>
      <c r="W42" s="233"/>
      <c r="X42" s="233"/>
      <c r="Y42" s="233"/>
      <c r="Z42" s="233"/>
      <c r="AA42" s="233"/>
      <c r="AB42" s="233"/>
      <c r="AC42" s="233"/>
      <c r="AD42" s="233"/>
      <c r="AE42" s="233"/>
      <c r="AF42" s="233"/>
      <c r="AG42" s="233"/>
      <c r="AH42" s="233"/>
      <c r="AI42" s="233"/>
      <c r="AJ42" s="233"/>
      <c r="AK42" s="233"/>
      <c r="AL42" s="233"/>
    </row>
    <row r="43">
      <c r="A43" s="279"/>
      <c r="B43" s="277">
        <v>42705.0</v>
      </c>
      <c r="C43" t="s">
        <v>2486</v>
      </c>
      <c r="D43" t="s">
        <v>2653</v>
      </c>
      <c r="E43" s="6">
        <v>17543.0</v>
      </c>
      <c r="F43" t="s">
        <v>885</v>
      </c>
      <c r="G43" t="s">
        <v>2654</v>
      </c>
      <c r="L43" s="67"/>
      <c r="M43" s="280" t="s">
        <v>2482</v>
      </c>
      <c r="N43" s="234"/>
      <c r="O43" s="281"/>
      <c r="P43" s="233"/>
      <c r="Q43" s="233"/>
      <c r="R43" s="234"/>
      <c r="S43" s="233" t="s">
        <v>452</v>
      </c>
      <c r="T43" s="233"/>
      <c r="U43" s="233"/>
      <c r="V43" s="233"/>
      <c r="W43" s="233"/>
      <c r="X43" s="233"/>
      <c r="Y43" s="233"/>
      <c r="Z43" s="233"/>
      <c r="AA43" s="233"/>
      <c r="AB43" s="233"/>
      <c r="AC43" s="233"/>
      <c r="AD43" s="233"/>
      <c r="AE43" s="233"/>
      <c r="AF43" s="233"/>
      <c r="AG43" s="233"/>
      <c r="AH43" s="233"/>
      <c r="AI43" s="233"/>
      <c r="AJ43" s="233"/>
      <c r="AK43" s="233"/>
      <c r="AL43" s="233"/>
    </row>
    <row r="44">
      <c r="A44" s="279"/>
      <c r="B44" s="277">
        <v>42705.0</v>
      </c>
      <c r="C44" t="s">
        <v>2657</v>
      </c>
      <c r="D44" t="s">
        <v>2658</v>
      </c>
      <c r="E44">
        <v>37493.0</v>
      </c>
      <c r="F44" t="s">
        <v>2659</v>
      </c>
      <c r="G44" t="s">
        <v>2660</v>
      </c>
      <c r="L44" s="67"/>
      <c r="M44" s="280" t="s">
        <v>2482</v>
      </c>
      <c r="N44" s="234"/>
      <c r="O44" s="281"/>
      <c r="P44" s="233"/>
      <c r="Q44" s="233"/>
      <c r="R44" s="234"/>
      <c r="S44" s="233" t="s">
        <v>452</v>
      </c>
      <c r="T44" s="233"/>
      <c r="U44" s="233"/>
      <c r="V44" s="233"/>
      <c r="W44" s="233"/>
      <c r="X44" s="233"/>
      <c r="Y44" s="233"/>
      <c r="Z44" s="233"/>
      <c r="AA44" s="233"/>
      <c r="AB44" s="233"/>
      <c r="AC44" s="233"/>
      <c r="AD44" s="233"/>
      <c r="AE44" s="233"/>
      <c r="AF44" s="233"/>
      <c r="AG44" s="233"/>
      <c r="AH44" s="233"/>
      <c r="AI44" s="233"/>
      <c r="AJ44" s="233"/>
      <c r="AK44" s="233"/>
      <c r="AL44" s="233"/>
    </row>
    <row r="45">
      <c r="A45" s="279"/>
      <c r="B45" s="277">
        <v>42705.0</v>
      </c>
      <c r="C45" t="s">
        <v>2661</v>
      </c>
      <c r="E45">
        <v>65346.0</v>
      </c>
      <c r="F45" t="s">
        <v>427</v>
      </c>
      <c r="H45" t="s">
        <v>2662</v>
      </c>
      <c r="L45" s="67"/>
      <c r="M45" s="280" t="s">
        <v>2482</v>
      </c>
      <c r="N45" s="234"/>
      <c r="O45" s="281"/>
      <c r="P45" s="233"/>
      <c r="Q45" s="233"/>
      <c r="R45" s="234"/>
      <c r="S45" s="233" t="s">
        <v>452</v>
      </c>
      <c r="T45" s="233"/>
      <c r="U45" s="233"/>
      <c r="V45" s="233"/>
      <c r="W45" s="233"/>
      <c r="X45" s="233"/>
      <c r="Y45" s="233"/>
      <c r="Z45" s="233"/>
      <c r="AA45" s="233"/>
      <c r="AB45" s="233"/>
      <c r="AC45" s="233"/>
      <c r="AD45" s="233"/>
      <c r="AE45" s="233"/>
      <c r="AF45" s="233"/>
      <c r="AG45" s="233"/>
      <c r="AH45" s="233"/>
      <c r="AI45" s="233"/>
      <c r="AJ45" s="233"/>
      <c r="AK45" s="233"/>
      <c r="AL45" s="233"/>
    </row>
    <row r="46">
      <c r="A46" s="279"/>
      <c r="B46" s="277">
        <v>42705.0</v>
      </c>
      <c r="C46" t="s">
        <v>2665</v>
      </c>
      <c r="E46">
        <v>29162.0</v>
      </c>
      <c r="F46" t="s">
        <v>2667</v>
      </c>
      <c r="G46" t="s">
        <v>2668</v>
      </c>
      <c r="L46" s="67"/>
      <c r="M46" s="280" t="s">
        <v>2482</v>
      </c>
      <c r="N46" s="234"/>
      <c r="O46" s="281"/>
      <c r="P46" s="233"/>
      <c r="Q46" s="233"/>
      <c r="R46" s="234"/>
      <c r="S46" s="233" t="s">
        <v>452</v>
      </c>
      <c r="T46" s="233"/>
      <c r="U46" s="233"/>
      <c r="V46" s="233"/>
      <c r="W46" s="233"/>
      <c r="X46" s="233"/>
      <c r="Y46" s="233"/>
      <c r="Z46" s="233"/>
      <c r="AA46" s="233"/>
      <c r="AB46" s="233"/>
      <c r="AC46" s="233"/>
      <c r="AD46" s="233"/>
      <c r="AE46" s="233"/>
      <c r="AF46" s="233"/>
      <c r="AG46" s="233"/>
      <c r="AH46" s="233"/>
      <c r="AI46" s="233"/>
      <c r="AJ46" s="233"/>
      <c r="AK46" s="233"/>
      <c r="AL46" s="233"/>
    </row>
    <row r="47">
      <c r="A47" s="279"/>
      <c r="B47" s="277">
        <v>42705.0</v>
      </c>
      <c r="C47" t="s">
        <v>2665</v>
      </c>
      <c r="E47">
        <v>29162.0</v>
      </c>
      <c r="F47" t="s">
        <v>2667</v>
      </c>
      <c r="H47" t="s">
        <v>2668</v>
      </c>
      <c r="L47" s="67"/>
      <c r="M47" s="280" t="s">
        <v>2482</v>
      </c>
      <c r="N47" s="234"/>
      <c r="O47" s="281"/>
      <c r="P47" s="233"/>
      <c r="Q47" s="233"/>
      <c r="R47" s="234"/>
      <c r="S47" s="233" t="s">
        <v>452</v>
      </c>
      <c r="T47" s="233"/>
      <c r="U47" s="233"/>
      <c r="V47" s="233"/>
      <c r="W47" s="233"/>
      <c r="X47" s="233"/>
      <c r="Y47" s="233"/>
      <c r="Z47" s="233"/>
      <c r="AA47" s="233"/>
      <c r="AB47" s="233"/>
      <c r="AC47" s="233"/>
      <c r="AD47" s="233"/>
      <c r="AE47" s="233"/>
      <c r="AF47" s="233"/>
      <c r="AG47" s="233"/>
      <c r="AH47" s="233"/>
      <c r="AI47" s="233"/>
      <c r="AJ47" s="233"/>
      <c r="AK47" s="233"/>
      <c r="AL47" s="233"/>
    </row>
    <row r="48">
      <c r="A48" s="279"/>
      <c r="B48" s="277">
        <v>42705.0</v>
      </c>
      <c r="C48" t="s">
        <v>2672</v>
      </c>
      <c r="E48">
        <v>43437.0</v>
      </c>
      <c r="F48" t="s">
        <v>2673</v>
      </c>
      <c r="H48" t="s">
        <v>2674</v>
      </c>
      <c r="L48" s="67"/>
      <c r="M48" s="280" t="s">
        <v>2482</v>
      </c>
      <c r="N48" s="234"/>
      <c r="O48" s="281"/>
      <c r="P48" s="233"/>
      <c r="Q48" s="233"/>
      <c r="R48" s="234"/>
      <c r="S48" s="233" t="s">
        <v>452</v>
      </c>
      <c r="T48" s="233"/>
      <c r="U48" s="233"/>
      <c r="V48" s="233"/>
      <c r="W48" s="233"/>
      <c r="X48" s="233"/>
      <c r="Y48" s="233"/>
      <c r="Z48" s="233"/>
      <c r="AA48" s="233"/>
      <c r="AB48" s="233"/>
      <c r="AC48" s="233"/>
      <c r="AD48" s="233"/>
      <c r="AE48" s="233"/>
      <c r="AF48" s="233"/>
      <c r="AG48" s="233"/>
      <c r="AH48" s="233"/>
      <c r="AI48" s="233"/>
      <c r="AJ48" s="233"/>
      <c r="AK48" s="233"/>
      <c r="AL48" s="233"/>
    </row>
    <row r="49">
      <c r="A49" s="279"/>
      <c r="B49" s="277">
        <v>42705.0</v>
      </c>
      <c r="C49" t="s">
        <v>2676</v>
      </c>
      <c r="E49">
        <v>31232.0</v>
      </c>
      <c r="F49" t="s">
        <v>2678</v>
      </c>
      <c r="G49" t="s">
        <v>2679</v>
      </c>
      <c r="L49" s="67"/>
      <c r="M49" s="280" t="s">
        <v>2482</v>
      </c>
      <c r="N49" s="234"/>
      <c r="O49" s="281"/>
      <c r="P49" s="233"/>
      <c r="Q49" s="233"/>
      <c r="R49" s="234"/>
      <c r="S49" s="233" t="s">
        <v>452</v>
      </c>
      <c r="T49" s="233"/>
      <c r="U49" s="233"/>
      <c r="V49" s="233"/>
      <c r="W49" s="233"/>
      <c r="X49" s="233"/>
      <c r="Y49" s="233"/>
      <c r="Z49" s="233"/>
      <c r="AA49" s="233"/>
      <c r="AB49" s="233"/>
      <c r="AC49" s="233"/>
      <c r="AD49" s="233"/>
      <c r="AE49" s="233"/>
      <c r="AF49" s="233"/>
      <c r="AG49" s="233"/>
      <c r="AH49" s="233"/>
      <c r="AI49" s="233"/>
      <c r="AJ49" s="233"/>
      <c r="AK49" s="233"/>
      <c r="AL49" s="233"/>
    </row>
    <row r="50">
      <c r="A50" s="279"/>
      <c r="B50" s="277">
        <v>42705.0</v>
      </c>
      <c r="C50" t="s">
        <v>2680</v>
      </c>
      <c r="F50" t="s">
        <v>2681</v>
      </c>
      <c r="H50" t="s">
        <v>2682</v>
      </c>
      <c r="L50" s="67"/>
      <c r="M50" s="280" t="s">
        <v>2482</v>
      </c>
      <c r="N50" s="234"/>
      <c r="O50" s="281"/>
      <c r="P50" s="233"/>
      <c r="Q50" s="233"/>
      <c r="R50" s="234"/>
      <c r="S50" s="233" t="s">
        <v>452</v>
      </c>
      <c r="T50" s="233"/>
      <c r="U50" s="233"/>
      <c r="V50" s="233"/>
      <c r="W50" s="233"/>
      <c r="X50" s="233"/>
      <c r="Y50" s="233"/>
      <c r="Z50" s="233"/>
      <c r="AA50" s="233"/>
      <c r="AB50" s="233"/>
      <c r="AC50" s="233"/>
      <c r="AD50" s="233"/>
      <c r="AE50" s="233"/>
      <c r="AF50" s="233"/>
      <c r="AG50" s="233"/>
      <c r="AH50" s="233"/>
      <c r="AI50" s="233"/>
      <c r="AJ50" s="233"/>
      <c r="AK50" s="233"/>
      <c r="AL50" s="233"/>
    </row>
    <row r="51">
      <c r="A51" s="279"/>
      <c r="B51" s="277">
        <v>42705.0</v>
      </c>
      <c r="C51" t="s">
        <v>2684</v>
      </c>
      <c r="E51">
        <v>26151.0</v>
      </c>
      <c r="F51" t="s">
        <v>2681</v>
      </c>
      <c r="G51" t="s">
        <v>2685</v>
      </c>
      <c r="L51" s="67"/>
      <c r="M51" s="280" t="s">
        <v>2482</v>
      </c>
      <c r="N51" s="234"/>
      <c r="O51" s="281"/>
      <c r="P51" s="233"/>
      <c r="Q51" s="233"/>
      <c r="R51" s="234"/>
      <c r="S51" s="233" t="s">
        <v>452</v>
      </c>
      <c r="T51" s="233"/>
      <c r="U51" s="233"/>
      <c r="V51" s="233"/>
      <c r="W51" s="233"/>
      <c r="X51" s="233"/>
      <c r="Y51" s="233"/>
      <c r="Z51" s="233"/>
      <c r="AA51" s="233"/>
      <c r="AB51" s="233"/>
      <c r="AC51" s="233"/>
      <c r="AD51" s="233"/>
      <c r="AE51" s="233"/>
      <c r="AF51" s="233"/>
      <c r="AG51" s="233"/>
      <c r="AH51" s="233"/>
      <c r="AI51" s="233"/>
      <c r="AJ51" s="233"/>
      <c r="AK51" s="233"/>
      <c r="AL51" s="233"/>
    </row>
    <row r="52">
      <c r="A52" s="279"/>
      <c r="B52" s="277">
        <v>42705.0</v>
      </c>
      <c r="C52" t="s">
        <v>2687</v>
      </c>
      <c r="E52" s="6">
        <v>26142.0</v>
      </c>
      <c r="F52" t="s">
        <v>2681</v>
      </c>
      <c r="G52" t="s">
        <v>2688</v>
      </c>
      <c r="L52" s="67"/>
      <c r="M52" s="280" t="s">
        <v>2482</v>
      </c>
      <c r="N52" s="234"/>
      <c r="O52" s="281"/>
      <c r="P52" s="233"/>
      <c r="Q52" s="233"/>
      <c r="R52" s="234"/>
      <c r="S52" s="233" t="s">
        <v>452</v>
      </c>
      <c r="T52" s="233"/>
      <c r="U52" s="233"/>
      <c r="V52" s="233"/>
      <c r="W52" s="233"/>
      <c r="X52" s="233"/>
      <c r="Y52" s="233"/>
      <c r="Z52" s="233"/>
      <c r="AA52" s="233"/>
      <c r="AB52" s="233"/>
      <c r="AC52" s="233"/>
      <c r="AD52" s="233"/>
      <c r="AE52" s="233"/>
      <c r="AF52" s="233"/>
      <c r="AG52" s="233"/>
      <c r="AH52" s="233"/>
      <c r="AI52" s="233"/>
      <c r="AJ52" s="233"/>
      <c r="AK52" s="233"/>
      <c r="AL52" s="233"/>
    </row>
    <row r="53">
      <c r="A53" s="279"/>
      <c r="B53" s="277">
        <v>42705.0</v>
      </c>
      <c r="C53" t="s">
        <v>2689</v>
      </c>
      <c r="E53">
        <v>56196.0</v>
      </c>
      <c r="F53" t="s">
        <v>2690</v>
      </c>
      <c r="H53" t="s">
        <v>2691</v>
      </c>
      <c r="L53" s="67"/>
      <c r="M53" s="280" t="s">
        <v>2482</v>
      </c>
      <c r="N53" s="234"/>
      <c r="O53" s="281"/>
      <c r="P53" s="233"/>
      <c r="Q53" s="233"/>
      <c r="R53" s="234"/>
      <c r="S53" s="233" t="s">
        <v>452</v>
      </c>
      <c r="T53" s="233"/>
      <c r="U53" s="233"/>
      <c r="V53" s="233"/>
      <c r="W53" s="233"/>
      <c r="X53" s="233"/>
      <c r="Y53" s="233"/>
      <c r="Z53" s="233"/>
      <c r="AA53" s="233"/>
      <c r="AB53" s="233"/>
      <c r="AC53" s="233"/>
      <c r="AD53" s="233"/>
      <c r="AE53" s="233"/>
      <c r="AF53" s="233"/>
      <c r="AG53" s="233"/>
      <c r="AH53" s="233"/>
      <c r="AI53" s="233"/>
      <c r="AJ53" s="233"/>
      <c r="AK53" s="233"/>
      <c r="AL53" s="233"/>
    </row>
    <row r="54">
      <c r="A54" s="279"/>
      <c r="B54" s="277">
        <v>42705.0</v>
      </c>
      <c r="C54" t="s">
        <v>2692</v>
      </c>
      <c r="E54">
        <v>36050.0</v>
      </c>
      <c r="F54" t="s">
        <v>2693</v>
      </c>
      <c r="H54" t="s">
        <v>2694</v>
      </c>
      <c r="L54" s="67"/>
      <c r="M54" s="280" t="s">
        <v>2482</v>
      </c>
      <c r="N54" s="234"/>
      <c r="O54" s="281"/>
      <c r="P54" s="233"/>
      <c r="Q54" s="233"/>
      <c r="R54" s="234"/>
      <c r="S54" s="233" t="s">
        <v>452</v>
      </c>
      <c r="T54" s="233"/>
      <c r="U54" s="233"/>
      <c r="V54" s="233"/>
      <c r="W54" s="233"/>
      <c r="X54" s="233"/>
      <c r="Y54" s="233"/>
      <c r="Z54" s="233"/>
      <c r="AA54" s="233"/>
      <c r="AB54" s="233"/>
      <c r="AC54" s="233"/>
      <c r="AD54" s="233"/>
      <c r="AE54" s="233"/>
      <c r="AF54" s="233"/>
      <c r="AG54" s="233"/>
      <c r="AH54" s="233"/>
      <c r="AI54" s="233"/>
      <c r="AJ54" s="233"/>
      <c r="AK54" s="233"/>
      <c r="AL54" s="233"/>
    </row>
    <row r="55">
      <c r="A55" s="279"/>
      <c r="B55" s="277">
        <v>42705.0</v>
      </c>
      <c r="C55" t="s">
        <v>2697</v>
      </c>
      <c r="E55">
        <v>53130.0</v>
      </c>
      <c r="F55" t="s">
        <v>2698</v>
      </c>
      <c r="H55" t="s">
        <v>2699</v>
      </c>
      <c r="L55" s="67"/>
      <c r="M55" s="280" t="s">
        <v>2482</v>
      </c>
      <c r="N55" s="234"/>
      <c r="O55" s="281"/>
      <c r="P55" s="233"/>
      <c r="Q55" s="233"/>
      <c r="R55" s="234"/>
      <c r="S55" s="233" t="s">
        <v>452</v>
      </c>
      <c r="T55" s="233"/>
      <c r="U55" s="233"/>
      <c r="V55" s="233"/>
      <c r="W55" s="233"/>
      <c r="X55" s="233"/>
      <c r="Y55" s="233"/>
      <c r="Z55" s="233"/>
      <c r="AA55" s="233"/>
      <c r="AB55" s="233"/>
      <c r="AC55" s="233"/>
      <c r="AD55" s="233"/>
      <c r="AE55" s="233"/>
      <c r="AF55" s="233"/>
      <c r="AG55" s="233"/>
      <c r="AH55" s="233"/>
      <c r="AI55" s="233"/>
      <c r="AJ55" s="233"/>
      <c r="AK55" s="233"/>
      <c r="AL55" s="233"/>
    </row>
    <row r="56">
      <c r="A56" s="279"/>
      <c r="B56" s="277">
        <v>42705.0</v>
      </c>
      <c r="C56" s="158" t="s">
        <v>2700</v>
      </c>
      <c r="E56" s="6">
        <v>53133.0</v>
      </c>
      <c r="F56" s="158" t="s">
        <v>2698</v>
      </c>
      <c r="H56" s="158" t="s">
        <v>2701</v>
      </c>
      <c r="L56" s="67"/>
      <c r="M56" s="280" t="s">
        <v>2482</v>
      </c>
      <c r="N56" s="234"/>
      <c r="O56" s="281"/>
      <c r="P56" s="233"/>
      <c r="Q56" s="233"/>
      <c r="R56" s="234"/>
      <c r="S56" s="233"/>
      <c r="T56" s="13" t="s">
        <v>452</v>
      </c>
      <c r="U56" s="233"/>
      <c r="V56" s="233"/>
      <c r="W56" s="233"/>
      <c r="X56" s="233"/>
      <c r="Y56" s="233"/>
      <c r="Z56" s="233"/>
      <c r="AA56" s="233"/>
      <c r="AB56" s="233"/>
      <c r="AC56" s="233"/>
      <c r="AD56" s="233"/>
      <c r="AE56" s="233"/>
      <c r="AF56" s="233"/>
      <c r="AG56" s="233"/>
      <c r="AH56" s="233"/>
      <c r="AI56" s="233"/>
      <c r="AJ56" s="233"/>
      <c r="AK56" s="233"/>
      <c r="AL56" s="233"/>
    </row>
    <row r="57">
      <c r="A57" s="279"/>
      <c r="B57" s="277">
        <v>42705.0</v>
      </c>
      <c r="C57" s="158" t="s">
        <v>2705</v>
      </c>
      <c r="E57" s="6">
        <v>53196.0</v>
      </c>
      <c r="F57" s="158" t="s">
        <v>2698</v>
      </c>
      <c r="H57" s="158" t="s">
        <v>2706</v>
      </c>
      <c r="L57" s="67"/>
      <c r="M57" s="280" t="s">
        <v>2482</v>
      </c>
      <c r="N57" s="234"/>
      <c r="O57" s="281"/>
      <c r="P57" s="233"/>
      <c r="Q57" s="233"/>
      <c r="R57" s="234"/>
      <c r="S57" s="233"/>
      <c r="T57" s="13" t="s">
        <v>452</v>
      </c>
      <c r="U57" s="233"/>
      <c r="V57" s="233"/>
      <c r="W57" s="233"/>
      <c r="X57" s="233"/>
      <c r="Y57" s="233"/>
      <c r="Z57" s="233"/>
      <c r="AA57" s="233"/>
      <c r="AB57" s="233"/>
      <c r="AC57" s="233"/>
      <c r="AD57" s="233"/>
      <c r="AE57" s="233"/>
      <c r="AF57" s="233"/>
      <c r="AG57" s="233"/>
      <c r="AH57" s="233"/>
      <c r="AI57" s="233"/>
      <c r="AJ57" s="233"/>
      <c r="AK57" s="233"/>
      <c r="AL57" s="233"/>
    </row>
    <row r="58">
      <c r="A58" s="279"/>
      <c r="B58" s="277">
        <v>42705.0</v>
      </c>
      <c r="C58" s="158" t="s">
        <v>2709</v>
      </c>
      <c r="E58" s="6">
        <v>53119.0</v>
      </c>
      <c r="F58" s="158" t="s">
        <v>2698</v>
      </c>
      <c r="H58" s="158" t="s">
        <v>2710</v>
      </c>
      <c r="L58" s="67"/>
      <c r="M58" s="280" t="s">
        <v>2482</v>
      </c>
      <c r="N58" s="234"/>
      <c r="O58" s="281"/>
      <c r="P58" s="233"/>
      <c r="Q58" s="233"/>
      <c r="R58" s="234"/>
      <c r="S58" s="233"/>
      <c r="T58" s="13" t="s">
        <v>452</v>
      </c>
      <c r="U58" s="233"/>
      <c r="V58" s="233"/>
      <c r="W58" s="233"/>
      <c r="X58" s="233"/>
      <c r="Y58" s="233"/>
      <c r="Z58" s="233"/>
      <c r="AA58" s="233"/>
      <c r="AB58" s="233"/>
      <c r="AC58" s="233"/>
      <c r="AD58" s="233"/>
      <c r="AE58" s="233"/>
      <c r="AF58" s="233"/>
      <c r="AG58" s="233"/>
      <c r="AH58" s="233"/>
      <c r="AI58" s="233"/>
      <c r="AJ58" s="233"/>
      <c r="AK58" s="233"/>
      <c r="AL58" s="233"/>
    </row>
    <row r="59">
      <c r="A59" s="279"/>
      <c r="B59" s="277">
        <v>42705.0</v>
      </c>
      <c r="C59" s="158" t="s">
        <v>2712</v>
      </c>
      <c r="E59" s="6">
        <v>53140.0</v>
      </c>
      <c r="F59" s="158" t="s">
        <v>2698</v>
      </c>
      <c r="H59" s="158" t="s">
        <v>2714</v>
      </c>
      <c r="L59" s="67"/>
      <c r="M59" s="280" t="s">
        <v>2482</v>
      </c>
      <c r="N59" s="234"/>
      <c r="O59" s="281"/>
      <c r="P59" s="233"/>
      <c r="Q59" s="233"/>
      <c r="R59" s="234"/>
      <c r="S59" s="233"/>
      <c r="T59" s="13" t="s">
        <v>452</v>
      </c>
      <c r="U59" s="233"/>
      <c r="V59" s="233"/>
      <c r="W59" s="233"/>
      <c r="X59" s="233"/>
      <c r="Y59" s="233"/>
      <c r="Z59" s="233"/>
      <c r="AA59" s="233"/>
      <c r="AB59" s="233"/>
      <c r="AC59" s="233"/>
      <c r="AD59" s="233"/>
      <c r="AE59" s="233"/>
      <c r="AF59" s="233"/>
      <c r="AG59" s="233"/>
      <c r="AH59" s="233"/>
      <c r="AI59" s="233"/>
      <c r="AJ59" s="233"/>
      <c r="AK59" s="233"/>
      <c r="AL59" s="233"/>
    </row>
    <row r="60">
      <c r="A60" s="279"/>
      <c r="B60" s="277">
        <v>42705.0</v>
      </c>
      <c r="C60" s="158" t="s">
        <v>2716</v>
      </c>
      <c r="E60" s="6">
        <v>53197.0</v>
      </c>
      <c r="F60" s="158" t="s">
        <v>2698</v>
      </c>
      <c r="H60" s="158" t="s">
        <v>2717</v>
      </c>
      <c r="L60" s="67"/>
      <c r="M60" s="280" t="s">
        <v>2482</v>
      </c>
      <c r="N60" s="234"/>
      <c r="O60" s="281"/>
      <c r="P60" s="233"/>
      <c r="Q60" s="233"/>
      <c r="R60" s="234"/>
      <c r="S60" s="233"/>
      <c r="T60" s="13" t="s">
        <v>452</v>
      </c>
      <c r="U60" s="233"/>
      <c r="V60" s="233"/>
      <c r="W60" s="233"/>
      <c r="X60" s="233"/>
      <c r="Y60" s="233"/>
      <c r="Z60" s="233"/>
      <c r="AA60" s="233"/>
      <c r="AB60" s="233"/>
      <c r="AC60" s="233"/>
      <c r="AD60" s="233"/>
      <c r="AE60" s="233"/>
      <c r="AF60" s="233"/>
      <c r="AG60" s="233"/>
      <c r="AH60" s="233"/>
      <c r="AI60" s="233"/>
      <c r="AJ60" s="233"/>
      <c r="AK60" s="233"/>
      <c r="AL60" s="233"/>
    </row>
    <row r="61">
      <c r="A61" s="279"/>
      <c r="B61" s="277">
        <v>42705.0</v>
      </c>
      <c r="C61" s="158" t="s">
        <v>2718</v>
      </c>
      <c r="E61" s="6">
        <v>53196.0</v>
      </c>
      <c r="F61" s="158" t="s">
        <v>2698</v>
      </c>
      <c r="H61" s="158" t="s">
        <v>2719</v>
      </c>
      <c r="L61" s="67"/>
      <c r="M61" s="280" t="s">
        <v>2482</v>
      </c>
      <c r="N61" s="234"/>
      <c r="O61" s="281"/>
      <c r="P61" s="233"/>
      <c r="Q61" s="233"/>
      <c r="R61" s="234"/>
      <c r="S61" s="233"/>
      <c r="T61" s="13" t="s">
        <v>452</v>
      </c>
      <c r="U61" s="233"/>
      <c r="V61" s="233"/>
      <c r="W61" s="233"/>
      <c r="X61" s="233"/>
      <c r="Y61" s="233"/>
      <c r="Z61" s="233"/>
      <c r="AA61" s="233"/>
      <c r="AB61" s="233"/>
      <c r="AC61" s="233"/>
      <c r="AD61" s="233"/>
      <c r="AE61" s="233"/>
      <c r="AF61" s="233"/>
      <c r="AG61" s="233"/>
      <c r="AH61" s="233"/>
      <c r="AI61" s="233"/>
      <c r="AJ61" s="233"/>
      <c r="AK61" s="233"/>
      <c r="AL61" s="233"/>
    </row>
    <row r="62">
      <c r="A62" s="279"/>
      <c r="B62" s="277">
        <v>42705.0</v>
      </c>
      <c r="C62" s="158" t="s">
        <v>2724</v>
      </c>
      <c r="E62" s="6">
        <v>53133.0</v>
      </c>
      <c r="F62" s="158" t="s">
        <v>2698</v>
      </c>
      <c r="H62" s="158" t="s">
        <v>2725</v>
      </c>
      <c r="L62" s="67"/>
      <c r="M62" s="280" t="s">
        <v>2482</v>
      </c>
      <c r="N62" s="234"/>
      <c r="O62" s="281"/>
      <c r="P62" s="233"/>
      <c r="Q62" s="233"/>
      <c r="R62" s="234"/>
      <c r="S62" s="233"/>
      <c r="T62" s="13" t="s">
        <v>452</v>
      </c>
      <c r="U62" s="233"/>
      <c r="V62" s="233"/>
      <c r="W62" s="233"/>
      <c r="X62" s="233"/>
      <c r="Y62" s="233"/>
      <c r="Z62" s="233"/>
      <c r="AA62" s="233"/>
      <c r="AB62" s="233"/>
      <c r="AC62" s="233"/>
      <c r="AD62" s="233"/>
      <c r="AE62" s="233"/>
      <c r="AF62" s="233"/>
      <c r="AG62" s="233"/>
      <c r="AH62" s="233"/>
      <c r="AI62" s="233"/>
      <c r="AJ62" s="233"/>
      <c r="AK62" s="233"/>
      <c r="AL62" s="233"/>
    </row>
    <row r="63">
      <c r="A63" s="295"/>
      <c r="B63" s="277">
        <v>42702.0</v>
      </c>
      <c r="C63" s="158" t="s">
        <v>2726</v>
      </c>
      <c r="D63" s="158" t="s">
        <v>2727</v>
      </c>
      <c r="E63" s="6">
        <v>58422.0</v>
      </c>
      <c r="F63" s="158" t="s">
        <v>622</v>
      </c>
      <c r="H63" s="158" t="s">
        <v>2728</v>
      </c>
      <c r="L63" s="67"/>
      <c r="M63" s="280" t="s">
        <v>2482</v>
      </c>
      <c r="N63" s="234"/>
      <c r="O63" s="281"/>
      <c r="P63" s="233"/>
      <c r="Q63" s="233"/>
      <c r="R63" s="234"/>
      <c r="S63" s="233"/>
      <c r="T63" s="13" t="s">
        <v>452</v>
      </c>
      <c r="U63" s="233"/>
      <c r="V63" s="233"/>
      <c r="W63" s="233"/>
      <c r="X63" s="233"/>
      <c r="Y63" s="233"/>
      <c r="Z63" s="233"/>
      <c r="AA63" s="233"/>
      <c r="AB63" s="233"/>
      <c r="AC63" s="233"/>
      <c r="AD63" s="233"/>
      <c r="AE63" s="233"/>
      <c r="AF63" s="233"/>
      <c r="AG63" s="233"/>
      <c r="AH63" s="233"/>
      <c r="AI63" s="233"/>
      <c r="AJ63" s="233"/>
      <c r="AK63" s="233"/>
      <c r="AL63" s="233"/>
    </row>
    <row r="64">
      <c r="A64" s="295"/>
      <c r="B64" s="277">
        <v>42702.0</v>
      </c>
      <c r="C64" s="158" t="s">
        <v>2729</v>
      </c>
      <c r="D64" s="158" t="s">
        <v>2731</v>
      </c>
      <c r="F64" s="158" t="s">
        <v>622</v>
      </c>
      <c r="H64" s="158" t="s">
        <v>2733</v>
      </c>
      <c r="L64" s="67"/>
      <c r="M64" s="280" t="s">
        <v>2482</v>
      </c>
      <c r="N64" s="234"/>
      <c r="O64" s="281"/>
      <c r="P64" s="233"/>
      <c r="Q64" s="233"/>
      <c r="R64" s="234"/>
      <c r="S64" s="233"/>
      <c r="T64" s="13" t="s">
        <v>452</v>
      </c>
      <c r="U64" s="233"/>
      <c r="V64" s="233"/>
      <c r="W64" s="233"/>
      <c r="X64" s="233"/>
      <c r="Y64" s="233"/>
      <c r="Z64" s="233"/>
      <c r="AA64" s="233"/>
      <c r="AB64" s="233"/>
      <c r="AC64" s="233"/>
      <c r="AD64" s="233"/>
      <c r="AE64" s="233"/>
      <c r="AF64" s="233"/>
      <c r="AG64" s="233"/>
      <c r="AH64" s="233"/>
      <c r="AI64" s="233"/>
      <c r="AJ64" s="233"/>
      <c r="AK64" s="233"/>
      <c r="AL64" s="233"/>
    </row>
    <row r="65">
      <c r="A65" s="279"/>
      <c r="B65" s="277">
        <v>42705.0</v>
      </c>
      <c r="C65" t="s">
        <v>2735</v>
      </c>
      <c r="E65">
        <v>23421.0</v>
      </c>
      <c r="F65" t="s">
        <v>2736</v>
      </c>
      <c r="H65" t="s">
        <v>2737</v>
      </c>
      <c r="K65" s="158" t="s">
        <v>2739</v>
      </c>
      <c r="L65" s="67"/>
      <c r="M65" s="280" t="s">
        <v>2482</v>
      </c>
      <c r="N65" s="234"/>
      <c r="O65" s="281"/>
      <c r="P65" s="233"/>
      <c r="Q65" s="233"/>
      <c r="R65" s="234"/>
      <c r="S65" s="233" t="s">
        <v>452</v>
      </c>
      <c r="T65" s="233"/>
      <c r="U65" s="233"/>
      <c r="V65" s="233"/>
      <c r="W65" s="233"/>
      <c r="X65" s="233"/>
      <c r="Y65" s="233"/>
      <c r="Z65" s="233"/>
      <c r="AA65" s="233"/>
      <c r="AB65" s="233"/>
      <c r="AC65" s="233"/>
      <c r="AD65" s="233"/>
      <c r="AE65" s="233"/>
      <c r="AF65" s="233"/>
      <c r="AG65" s="233"/>
      <c r="AH65" s="233"/>
      <c r="AI65" s="233"/>
      <c r="AJ65" s="233"/>
      <c r="AK65" s="233"/>
      <c r="AL65" s="233"/>
    </row>
    <row r="66">
      <c r="A66" s="279"/>
      <c r="B66" s="277">
        <v>42705.0</v>
      </c>
      <c r="C66" t="s">
        <v>2486</v>
      </c>
      <c r="D66" t="s">
        <v>2741</v>
      </c>
      <c r="E66" s="6">
        <v>22764.0</v>
      </c>
      <c r="F66" t="s">
        <v>2132</v>
      </c>
      <c r="G66" t="s">
        <v>2742</v>
      </c>
      <c r="L66" s="67"/>
      <c r="M66" s="280" t="s">
        <v>2482</v>
      </c>
      <c r="N66" s="234"/>
      <c r="O66" s="281"/>
      <c r="P66" s="233"/>
      <c r="Q66" s="233"/>
      <c r="R66" s="234"/>
      <c r="S66" s="233" t="s">
        <v>452</v>
      </c>
      <c r="T66" s="233"/>
      <c r="U66" s="233"/>
      <c r="V66" s="233"/>
      <c r="W66" s="233"/>
      <c r="X66" s="233"/>
      <c r="Y66" s="233"/>
      <c r="Z66" s="233"/>
      <c r="AA66" s="233"/>
      <c r="AB66" s="233"/>
      <c r="AC66" s="233"/>
      <c r="AD66" s="233"/>
      <c r="AE66" s="233"/>
      <c r="AF66" s="233"/>
      <c r="AG66" s="233"/>
      <c r="AH66" s="233"/>
      <c r="AI66" s="233"/>
      <c r="AJ66" s="233"/>
      <c r="AK66" s="233"/>
      <c r="AL66" s="233"/>
    </row>
    <row r="67">
      <c r="A67" s="279"/>
      <c r="B67" s="277">
        <v>42705.0</v>
      </c>
      <c r="C67" t="s">
        <v>2744</v>
      </c>
      <c r="E67">
        <v>21455.0</v>
      </c>
      <c r="F67" t="s">
        <v>360</v>
      </c>
      <c r="H67" t="s">
        <v>2745</v>
      </c>
      <c r="L67" s="67"/>
      <c r="M67" s="280" t="s">
        <v>2482</v>
      </c>
      <c r="N67" s="234"/>
      <c r="O67" s="281"/>
      <c r="P67" s="233"/>
      <c r="Q67" s="233"/>
      <c r="R67" s="234"/>
      <c r="S67" s="233" t="s">
        <v>452</v>
      </c>
      <c r="T67" s="233"/>
      <c r="U67" s="233"/>
      <c r="V67" s="233"/>
      <c r="W67" s="233"/>
      <c r="X67" s="233"/>
      <c r="Y67" s="233"/>
      <c r="Z67" s="233"/>
      <c r="AA67" s="233"/>
      <c r="AB67" s="233"/>
      <c r="AC67" s="233"/>
      <c r="AD67" s="233"/>
      <c r="AE67" s="233"/>
      <c r="AF67" s="233"/>
      <c r="AG67" s="233"/>
      <c r="AH67" s="233"/>
      <c r="AI67" s="233"/>
      <c r="AJ67" s="233"/>
      <c r="AK67" s="233"/>
      <c r="AL67" s="233"/>
    </row>
    <row r="68">
      <c r="A68" s="279"/>
      <c r="B68" s="277">
        <v>42705.0</v>
      </c>
      <c r="C68" t="s">
        <v>2747</v>
      </c>
      <c r="E68">
        <v>21124.0</v>
      </c>
      <c r="F68" t="s">
        <v>360</v>
      </c>
      <c r="H68" t="s">
        <v>2748</v>
      </c>
      <c r="L68" s="67"/>
      <c r="M68" s="280" t="s">
        <v>2482</v>
      </c>
      <c r="N68" s="234"/>
      <c r="O68" s="281"/>
      <c r="P68" s="233"/>
      <c r="Q68" s="233"/>
      <c r="R68" s="234"/>
      <c r="S68" s="233" t="s">
        <v>452</v>
      </c>
      <c r="T68" s="233"/>
      <c r="U68" s="233"/>
      <c r="V68" s="233"/>
      <c r="W68" s="233"/>
      <c r="X68" s="233"/>
      <c r="Y68" s="233"/>
      <c r="Z68" s="233"/>
      <c r="AA68" s="233"/>
      <c r="AB68" s="233"/>
      <c r="AC68" s="233"/>
      <c r="AD68" s="233"/>
      <c r="AE68" s="233"/>
      <c r="AF68" s="233"/>
      <c r="AG68" s="233"/>
      <c r="AH68" s="233"/>
      <c r="AI68" s="233"/>
      <c r="AJ68" s="233"/>
      <c r="AK68" s="233"/>
      <c r="AL68" s="233"/>
    </row>
    <row r="69">
      <c r="A69" s="279"/>
      <c r="B69" s="277">
        <v>42705.0</v>
      </c>
      <c r="C69" t="s">
        <v>2749</v>
      </c>
      <c r="E69">
        <v>21376.0</v>
      </c>
      <c r="F69" t="s">
        <v>360</v>
      </c>
      <c r="G69" t="s">
        <v>2750</v>
      </c>
      <c r="L69" s="67"/>
      <c r="M69" s="280" t="s">
        <v>2482</v>
      </c>
      <c r="N69" s="234"/>
      <c r="O69" s="281"/>
      <c r="P69" s="233"/>
      <c r="Q69" s="233"/>
      <c r="R69" s="234"/>
      <c r="S69" s="233" t="s">
        <v>452</v>
      </c>
      <c r="T69" s="233"/>
      <c r="U69" s="233"/>
      <c r="V69" s="233"/>
      <c r="W69" s="233"/>
      <c r="X69" s="233"/>
      <c r="Y69" s="233"/>
      <c r="Z69" s="233"/>
      <c r="AA69" s="233"/>
      <c r="AB69" s="233"/>
      <c r="AC69" s="233"/>
      <c r="AD69" s="233"/>
      <c r="AE69" s="233"/>
      <c r="AF69" s="233"/>
      <c r="AG69" s="233"/>
      <c r="AH69" s="233"/>
      <c r="AI69" s="233"/>
      <c r="AJ69" s="233"/>
      <c r="AK69" s="233"/>
      <c r="AL69" s="233"/>
    </row>
    <row r="70">
      <c r="A70" s="279"/>
      <c r="B70" s="277">
        <v>42705.0</v>
      </c>
      <c r="C70" t="s">
        <v>2752</v>
      </c>
      <c r="E70">
        <v>21375.0</v>
      </c>
      <c r="F70" t="s">
        <v>360</v>
      </c>
      <c r="H70" t="s">
        <v>2755</v>
      </c>
      <c r="L70" s="67"/>
      <c r="M70" s="280" t="s">
        <v>2482</v>
      </c>
      <c r="N70" s="234"/>
      <c r="O70" s="281"/>
      <c r="P70" s="233"/>
      <c r="Q70" s="233"/>
      <c r="R70" s="234"/>
      <c r="S70" s="233" t="s">
        <v>452</v>
      </c>
      <c r="T70" s="233"/>
      <c r="U70" s="233"/>
      <c r="V70" s="233"/>
      <c r="W70" s="233"/>
      <c r="X70" s="233"/>
      <c r="Y70" s="233"/>
      <c r="Z70" s="233"/>
      <c r="AA70" s="233"/>
      <c r="AB70" s="233"/>
      <c r="AC70" s="233"/>
      <c r="AD70" s="233"/>
      <c r="AE70" s="233"/>
      <c r="AF70" s="233"/>
      <c r="AG70" s="233"/>
      <c r="AH70" s="233"/>
      <c r="AI70" s="233"/>
      <c r="AJ70" s="233"/>
      <c r="AK70" s="233"/>
      <c r="AL70" s="233"/>
    </row>
    <row r="71">
      <c r="A71" s="279"/>
      <c r="B71" s="277">
        <v>42705.0</v>
      </c>
      <c r="C71" t="s">
        <v>2486</v>
      </c>
      <c r="D71" t="s">
        <v>2758</v>
      </c>
      <c r="E71" s="6">
        <v>21363.0</v>
      </c>
      <c r="F71" t="s">
        <v>1108</v>
      </c>
      <c r="G71" t="s">
        <v>2759</v>
      </c>
      <c r="L71" s="67"/>
      <c r="M71" s="280" t="s">
        <v>2482</v>
      </c>
      <c r="N71" s="234"/>
      <c r="O71" s="281"/>
      <c r="P71" s="233"/>
      <c r="Q71" s="233"/>
      <c r="R71" s="234"/>
      <c r="S71" s="233" t="s">
        <v>452</v>
      </c>
      <c r="T71" s="233"/>
      <c r="U71" s="233"/>
      <c r="V71" s="233"/>
      <c r="W71" s="233"/>
      <c r="X71" s="233"/>
      <c r="Y71" s="233"/>
      <c r="Z71" s="233"/>
      <c r="AA71" s="233"/>
      <c r="AB71" s="233"/>
      <c r="AC71" s="233"/>
      <c r="AD71" s="233"/>
      <c r="AE71" s="233"/>
      <c r="AF71" s="233"/>
      <c r="AG71" s="233"/>
      <c r="AH71" s="233"/>
      <c r="AI71" s="233"/>
      <c r="AJ71" s="233"/>
      <c r="AK71" s="233"/>
      <c r="AL71" s="233"/>
    </row>
    <row r="72">
      <c r="A72" s="279"/>
      <c r="B72" s="277">
        <v>42705.0</v>
      </c>
      <c r="C72" t="s">
        <v>2760</v>
      </c>
      <c r="E72" s="6">
        <v>21432.0</v>
      </c>
      <c r="F72" t="s">
        <v>360</v>
      </c>
      <c r="H72" t="s">
        <v>2761</v>
      </c>
      <c r="L72" s="67"/>
      <c r="M72" s="280" t="s">
        <v>2482</v>
      </c>
      <c r="N72" s="234"/>
      <c r="O72" s="281"/>
      <c r="P72" s="233"/>
      <c r="Q72" s="233"/>
      <c r="R72" s="234"/>
      <c r="S72" s="233" t="s">
        <v>452</v>
      </c>
      <c r="T72" s="233"/>
      <c r="U72" s="233"/>
      <c r="V72" s="233"/>
      <c r="W72" s="233"/>
      <c r="X72" s="233"/>
      <c r="Y72" s="233"/>
      <c r="Z72" s="233"/>
      <c r="AA72" s="233"/>
      <c r="AB72" s="233"/>
      <c r="AC72" s="233"/>
      <c r="AD72" s="233"/>
      <c r="AE72" s="233"/>
      <c r="AF72" s="233"/>
      <c r="AG72" s="233"/>
      <c r="AH72" s="233"/>
      <c r="AI72" s="233"/>
      <c r="AJ72" s="233"/>
      <c r="AK72" s="233"/>
      <c r="AL72" s="233"/>
    </row>
    <row r="73">
      <c r="A73" s="295"/>
      <c r="B73" s="277">
        <v>42692.0</v>
      </c>
      <c r="C73" s="158" t="s">
        <v>2763</v>
      </c>
      <c r="D73" s="158" t="s">
        <v>2764</v>
      </c>
      <c r="E73" s="158" t="s">
        <v>2765</v>
      </c>
      <c r="F73" s="158" t="s">
        <v>2766</v>
      </c>
      <c r="H73" s="158" t="s">
        <v>2767</v>
      </c>
      <c r="K73" s="158" t="s">
        <v>2769</v>
      </c>
      <c r="L73" s="67"/>
      <c r="M73" s="280" t="s">
        <v>2490</v>
      </c>
      <c r="N73" s="234"/>
      <c r="O73" s="296" t="s">
        <v>2771</v>
      </c>
      <c r="P73" s="13"/>
      <c r="Q73" s="233"/>
      <c r="R73" s="234"/>
      <c r="S73" s="233"/>
      <c r="T73" s="233"/>
      <c r="U73" s="233"/>
      <c r="V73" s="233"/>
      <c r="W73" s="233"/>
      <c r="X73" s="233"/>
      <c r="Y73" s="233"/>
      <c r="Z73" s="233"/>
      <c r="AA73" s="233"/>
      <c r="AB73" s="233"/>
      <c r="AC73" s="233"/>
      <c r="AD73" s="233"/>
      <c r="AE73" s="233"/>
      <c r="AF73" s="233"/>
      <c r="AG73" s="233"/>
      <c r="AH73" s="233"/>
      <c r="AI73" s="233"/>
      <c r="AJ73" s="233"/>
      <c r="AK73" s="233"/>
      <c r="AL73" s="233"/>
    </row>
    <row r="74">
      <c r="A74" s="279"/>
      <c r="B74" s="277">
        <v>42705.0</v>
      </c>
      <c r="C74" t="s">
        <v>2776</v>
      </c>
      <c r="E74">
        <v>26632.0</v>
      </c>
      <c r="F74" t="s">
        <v>2777</v>
      </c>
      <c r="H74" t="s">
        <v>2778</v>
      </c>
      <c r="L74" s="67"/>
      <c r="M74" s="280" t="s">
        <v>2482</v>
      </c>
      <c r="N74" s="234"/>
      <c r="O74" s="281"/>
      <c r="P74" s="233"/>
      <c r="Q74" s="233"/>
      <c r="R74" s="234"/>
      <c r="S74" s="233" t="s">
        <v>452</v>
      </c>
      <c r="T74" s="233"/>
      <c r="U74" s="233"/>
      <c r="V74" s="233"/>
      <c r="W74" s="233"/>
      <c r="X74" s="233"/>
      <c r="Y74" s="233"/>
      <c r="Z74" s="233"/>
      <c r="AA74" s="233"/>
      <c r="AB74" s="233"/>
      <c r="AC74" s="233"/>
      <c r="AD74" s="233"/>
      <c r="AE74" s="233"/>
      <c r="AF74" s="233"/>
      <c r="AG74" s="233"/>
      <c r="AH74" s="233"/>
      <c r="AI74" s="233"/>
      <c r="AJ74" s="233"/>
      <c r="AK74" s="233"/>
      <c r="AL74" s="233"/>
    </row>
    <row r="75">
      <c r="A75" s="279"/>
      <c r="B75" s="277">
        <v>42705.0</v>
      </c>
      <c r="C75" s="158" t="s">
        <v>2780</v>
      </c>
      <c r="E75" s="6">
        <v>51677.0</v>
      </c>
      <c r="F75" s="158" t="s">
        <v>2782</v>
      </c>
      <c r="H75" s="158" t="s">
        <v>2783</v>
      </c>
      <c r="L75" s="278" t="s">
        <v>2784</v>
      </c>
      <c r="M75" s="280" t="s">
        <v>2482</v>
      </c>
      <c r="N75" s="234"/>
      <c r="O75" s="281"/>
      <c r="P75" s="233"/>
      <c r="Q75" s="233"/>
      <c r="R75" s="234"/>
      <c r="S75" s="233"/>
      <c r="T75" s="13" t="s">
        <v>452</v>
      </c>
      <c r="U75" s="233"/>
      <c r="V75" s="233"/>
      <c r="W75" s="233"/>
      <c r="X75" s="233"/>
      <c r="Y75" s="233"/>
      <c r="Z75" s="233"/>
      <c r="AA75" s="233"/>
      <c r="AB75" s="233"/>
      <c r="AC75" s="233"/>
      <c r="AD75" s="233"/>
      <c r="AE75" s="233"/>
      <c r="AF75" s="233"/>
      <c r="AG75" s="233"/>
      <c r="AH75" s="233"/>
      <c r="AI75" s="233"/>
      <c r="AJ75" s="233"/>
      <c r="AK75" s="233"/>
      <c r="AL75" s="233"/>
    </row>
    <row r="76">
      <c r="A76" s="279"/>
      <c r="B76" s="277">
        <v>42705.0</v>
      </c>
      <c r="C76" t="s">
        <v>2785</v>
      </c>
      <c r="E76">
        <v>43135.0</v>
      </c>
      <c r="F76" t="s">
        <v>2786</v>
      </c>
      <c r="H76" t="s">
        <v>2787</v>
      </c>
      <c r="L76" s="67"/>
      <c r="M76" s="280" t="s">
        <v>2482</v>
      </c>
      <c r="N76" s="234"/>
      <c r="O76" s="281"/>
      <c r="P76" s="233"/>
      <c r="Q76" s="233"/>
      <c r="R76" s="234"/>
      <c r="S76" s="233" t="s">
        <v>452</v>
      </c>
      <c r="T76" s="233"/>
      <c r="U76" s="233"/>
      <c r="V76" s="233"/>
      <c r="W76" s="233"/>
      <c r="X76" s="233"/>
      <c r="Y76" s="233"/>
      <c r="Z76" s="233"/>
      <c r="AA76" s="233"/>
      <c r="AB76" s="233"/>
      <c r="AC76" s="233"/>
      <c r="AD76" s="233"/>
      <c r="AE76" s="233"/>
      <c r="AF76" s="233"/>
      <c r="AG76" s="233"/>
      <c r="AH76" s="233"/>
      <c r="AI76" s="233"/>
      <c r="AJ76" s="233"/>
      <c r="AK76" s="233"/>
      <c r="AL76" s="233"/>
    </row>
    <row r="77">
      <c r="A77" s="279"/>
      <c r="B77" s="277">
        <v>42705.0</v>
      </c>
      <c r="C77" t="s">
        <v>2791</v>
      </c>
      <c r="E77">
        <v>43130.0</v>
      </c>
      <c r="F77" t="s">
        <v>2786</v>
      </c>
      <c r="H77" t="s">
        <v>2792</v>
      </c>
      <c r="L77" s="67"/>
      <c r="M77" s="280" t="s">
        <v>2482</v>
      </c>
      <c r="N77" s="234"/>
      <c r="O77" s="281"/>
      <c r="P77" s="233"/>
      <c r="Q77" s="233"/>
      <c r="R77" s="234"/>
      <c r="S77" s="233" t="s">
        <v>452</v>
      </c>
      <c r="T77" s="233"/>
      <c r="U77" s="233"/>
      <c r="V77" s="233"/>
      <c r="W77" s="233"/>
      <c r="X77" s="233"/>
      <c r="Y77" s="233"/>
      <c r="Z77" s="233"/>
      <c r="AA77" s="233"/>
      <c r="AB77" s="233"/>
      <c r="AC77" s="233"/>
      <c r="AD77" s="233"/>
      <c r="AE77" s="233"/>
      <c r="AF77" s="233"/>
      <c r="AG77" s="233"/>
      <c r="AH77" s="233"/>
      <c r="AI77" s="233"/>
      <c r="AJ77" s="233"/>
      <c r="AK77" s="233"/>
      <c r="AL77" s="233"/>
    </row>
    <row r="78">
      <c r="A78" s="279"/>
      <c r="B78" s="277">
        <v>42705.0</v>
      </c>
      <c r="C78" t="s">
        <v>2486</v>
      </c>
      <c r="D78" t="s">
        <v>2793</v>
      </c>
      <c r="E78" s="6">
        <v>43135.0</v>
      </c>
      <c r="F78" t="s">
        <v>2786</v>
      </c>
      <c r="G78" t="s">
        <v>2794</v>
      </c>
      <c r="L78" s="67"/>
      <c r="M78" s="280" t="s">
        <v>2482</v>
      </c>
      <c r="N78" s="234"/>
      <c r="O78" s="281"/>
      <c r="P78" s="233"/>
      <c r="Q78" s="233"/>
      <c r="R78" s="234"/>
      <c r="S78" s="233" t="s">
        <v>452</v>
      </c>
      <c r="T78" s="233"/>
      <c r="U78" s="233"/>
      <c r="V78" s="233"/>
      <c r="W78" s="233"/>
      <c r="X78" s="233"/>
      <c r="Y78" s="233"/>
      <c r="Z78" s="233"/>
      <c r="AA78" s="233"/>
      <c r="AB78" s="233"/>
      <c r="AC78" s="233"/>
      <c r="AD78" s="233"/>
      <c r="AE78" s="233"/>
      <c r="AF78" s="233"/>
      <c r="AG78" s="233"/>
      <c r="AH78" s="233"/>
      <c r="AI78" s="233"/>
      <c r="AJ78" s="233"/>
      <c r="AK78" s="233"/>
      <c r="AL78" s="233"/>
    </row>
    <row r="79">
      <c r="A79" s="279"/>
      <c r="B79" s="277">
        <v>42705.0</v>
      </c>
      <c r="C79" t="s">
        <v>2800</v>
      </c>
      <c r="E79">
        <v>43537.0</v>
      </c>
      <c r="F79" t="s">
        <v>2801</v>
      </c>
      <c r="H79" t="s">
        <v>2802</v>
      </c>
      <c r="L79" s="67"/>
      <c r="M79" s="280" t="s">
        <v>2482</v>
      </c>
      <c r="N79" s="234"/>
      <c r="O79" s="281"/>
      <c r="P79" s="233"/>
      <c r="Q79" s="233"/>
      <c r="R79" s="234"/>
      <c r="S79" s="233" t="s">
        <v>452</v>
      </c>
      <c r="T79" s="233"/>
      <c r="U79" s="233"/>
      <c r="V79" s="233"/>
      <c r="W79" s="233"/>
      <c r="X79" s="233"/>
      <c r="Y79" s="233"/>
      <c r="Z79" s="233"/>
      <c r="AA79" s="233"/>
      <c r="AB79" s="233"/>
      <c r="AC79" s="233"/>
      <c r="AD79" s="233"/>
      <c r="AE79" s="233"/>
      <c r="AF79" s="233"/>
      <c r="AG79" s="233"/>
      <c r="AH79" s="233"/>
      <c r="AI79" s="233"/>
      <c r="AJ79" s="233"/>
      <c r="AK79" s="233"/>
      <c r="AL79" s="233"/>
    </row>
    <row r="80">
      <c r="A80" s="279"/>
      <c r="B80" s="277">
        <v>42705.0</v>
      </c>
      <c r="C80" t="s">
        <v>2803</v>
      </c>
      <c r="E80">
        <v>43533.0</v>
      </c>
      <c r="F80" t="s">
        <v>2804</v>
      </c>
      <c r="H80" t="s">
        <v>2806</v>
      </c>
      <c r="L80" s="67"/>
      <c r="M80" s="280" t="s">
        <v>2482</v>
      </c>
      <c r="N80" s="234"/>
      <c r="O80" s="281"/>
      <c r="P80" s="233"/>
      <c r="Q80" s="233"/>
      <c r="R80" s="234"/>
      <c r="S80" s="233" t="s">
        <v>452</v>
      </c>
      <c r="T80" s="233"/>
      <c r="U80" s="233"/>
      <c r="V80" s="233"/>
      <c r="W80" s="233"/>
      <c r="X80" s="233"/>
      <c r="Y80" s="233"/>
      <c r="Z80" s="233"/>
      <c r="AA80" s="233"/>
      <c r="AB80" s="233"/>
      <c r="AC80" s="233"/>
      <c r="AD80" s="233"/>
      <c r="AE80" s="233"/>
      <c r="AF80" s="233"/>
      <c r="AG80" s="233"/>
      <c r="AH80" s="233"/>
      <c r="AI80" s="233"/>
      <c r="AJ80" s="233"/>
      <c r="AK80" s="233"/>
      <c r="AL80" s="233"/>
    </row>
    <row r="81">
      <c r="A81" s="279"/>
      <c r="B81" s="277">
        <v>42705.0</v>
      </c>
      <c r="C81" t="s">
        <v>2486</v>
      </c>
      <c r="D81" t="s">
        <v>2809</v>
      </c>
      <c r="E81" s="6">
        <v>13141.0</v>
      </c>
      <c r="F81" t="s">
        <v>981</v>
      </c>
      <c r="G81" t="s">
        <v>2810</v>
      </c>
      <c r="L81" s="67"/>
      <c r="M81" s="280" t="s">
        <v>2482</v>
      </c>
      <c r="N81" s="234"/>
      <c r="O81" s="281"/>
      <c r="P81" s="233"/>
      <c r="Q81" s="233"/>
      <c r="R81" s="234"/>
      <c r="S81" s="233" t="s">
        <v>452</v>
      </c>
      <c r="T81" s="233"/>
      <c r="U81" s="233"/>
      <c r="V81" s="233"/>
      <c r="W81" s="233"/>
      <c r="X81" s="233"/>
      <c r="Y81" s="233"/>
      <c r="Z81" s="233"/>
      <c r="AA81" s="233"/>
      <c r="AB81" s="233"/>
      <c r="AC81" s="233"/>
      <c r="AD81" s="233"/>
      <c r="AE81" s="233"/>
      <c r="AF81" s="233"/>
      <c r="AG81" s="233"/>
      <c r="AH81" s="233"/>
      <c r="AI81" s="233"/>
      <c r="AJ81" s="233"/>
      <c r="AK81" s="233"/>
      <c r="AL81" s="233"/>
    </row>
    <row r="82">
      <c r="A82" s="295"/>
      <c r="B82" s="277">
        <v>42705.0</v>
      </c>
      <c r="C82" s="158" t="s">
        <v>2813</v>
      </c>
      <c r="D82" s="158" t="s">
        <v>2814</v>
      </c>
      <c r="E82" s="158" t="s">
        <v>2815</v>
      </c>
      <c r="F82" s="158" t="s">
        <v>1575</v>
      </c>
      <c r="G82" s="158" t="s">
        <v>2817</v>
      </c>
      <c r="I82" s="158" t="s">
        <v>2818</v>
      </c>
      <c r="J82" s="158"/>
      <c r="L82" s="67"/>
      <c r="M82" s="280" t="s">
        <v>2490</v>
      </c>
      <c r="N82" s="234"/>
      <c r="O82" s="296" t="s">
        <v>2819</v>
      </c>
      <c r="P82" s="13" t="s">
        <v>2820</v>
      </c>
      <c r="Q82" s="233"/>
      <c r="R82" s="234"/>
      <c r="S82" s="233"/>
      <c r="T82" s="233"/>
      <c r="U82" s="233"/>
      <c r="V82" s="233"/>
      <c r="W82" s="233"/>
      <c r="X82" s="233"/>
      <c r="Y82" s="233"/>
      <c r="Z82" s="233"/>
      <c r="AA82" s="233"/>
      <c r="AB82" s="233"/>
      <c r="AC82" s="233"/>
      <c r="AD82" s="233"/>
      <c r="AE82" s="233"/>
      <c r="AF82" s="233"/>
      <c r="AG82" s="233"/>
      <c r="AH82" s="233"/>
      <c r="AI82" s="233"/>
      <c r="AJ82" s="233"/>
      <c r="AK82" s="233"/>
      <c r="AL82" s="233"/>
    </row>
    <row r="83">
      <c r="A83" s="279"/>
      <c r="B83" s="277">
        <v>42705.0</v>
      </c>
      <c r="C83" t="s">
        <v>2821</v>
      </c>
      <c r="E83">
        <v>57140.0</v>
      </c>
      <c r="F83" t="s">
        <v>2823</v>
      </c>
      <c r="G83" t="s">
        <v>2825</v>
      </c>
      <c r="L83" s="67"/>
      <c r="M83" s="280" t="s">
        <v>2482</v>
      </c>
      <c r="N83" s="234"/>
      <c r="O83" s="281"/>
      <c r="P83" s="233"/>
      <c r="Q83" s="233"/>
      <c r="R83" s="234"/>
      <c r="S83" s="233" t="s">
        <v>452</v>
      </c>
      <c r="T83" s="233"/>
      <c r="U83" s="233"/>
      <c r="V83" s="233"/>
      <c r="W83" s="233"/>
      <c r="X83" s="233"/>
      <c r="Y83" s="233"/>
      <c r="Z83" s="233"/>
      <c r="AA83" s="233"/>
      <c r="AB83" s="233"/>
      <c r="AC83" s="233"/>
      <c r="AD83" s="233"/>
      <c r="AE83" s="233"/>
      <c r="AF83" s="233"/>
      <c r="AG83" s="233"/>
      <c r="AH83" s="233"/>
      <c r="AI83" s="233"/>
      <c r="AJ83" s="233"/>
      <c r="AK83" s="233"/>
      <c r="AL83" s="233"/>
    </row>
    <row r="84">
      <c r="A84" s="279"/>
      <c r="B84" s="277">
        <v>42705.0</v>
      </c>
      <c r="C84" t="s">
        <v>2827</v>
      </c>
      <c r="E84">
        <v>57140.0</v>
      </c>
      <c r="F84" t="s">
        <v>2823</v>
      </c>
      <c r="G84" t="s">
        <v>2828</v>
      </c>
      <c r="L84" s="67"/>
      <c r="M84" s="280" t="s">
        <v>2482</v>
      </c>
      <c r="N84" s="234"/>
      <c r="O84" s="281"/>
      <c r="P84" s="233"/>
      <c r="Q84" s="233"/>
      <c r="R84" s="234"/>
      <c r="S84" s="233" t="s">
        <v>452</v>
      </c>
      <c r="T84" s="233"/>
      <c r="U84" s="233"/>
      <c r="V84" s="233"/>
      <c r="W84" s="233"/>
      <c r="X84" s="233"/>
      <c r="Y84" s="233"/>
      <c r="Z84" s="233"/>
      <c r="AA84" s="233"/>
      <c r="AB84" s="233"/>
      <c r="AC84" s="233"/>
      <c r="AD84" s="233"/>
      <c r="AE84" s="233"/>
      <c r="AF84" s="233"/>
      <c r="AG84" s="233"/>
      <c r="AH84" s="233"/>
      <c r="AI84" s="233"/>
      <c r="AJ84" s="233"/>
      <c r="AK84" s="233"/>
      <c r="AL84" s="233"/>
    </row>
    <row r="85">
      <c r="A85" s="279"/>
      <c r="B85" s="277">
        <v>42705.0</v>
      </c>
      <c r="C85" t="s">
        <v>2830</v>
      </c>
      <c r="E85">
        <v>43333.0</v>
      </c>
      <c r="F85" t="s">
        <v>1629</v>
      </c>
      <c r="G85" t="s">
        <v>2831</v>
      </c>
      <c r="L85" s="67"/>
      <c r="M85" s="280" t="s">
        <v>2482</v>
      </c>
      <c r="N85" s="234"/>
      <c r="O85" s="281"/>
      <c r="P85" s="233"/>
      <c r="Q85" s="233"/>
      <c r="R85" s="234"/>
      <c r="S85" s="233" t="s">
        <v>452</v>
      </c>
      <c r="T85" s="233"/>
      <c r="U85" s="233"/>
      <c r="V85" s="233"/>
      <c r="W85" s="233"/>
      <c r="X85" s="233"/>
      <c r="Y85" s="233"/>
      <c r="Z85" s="233"/>
      <c r="AA85" s="233"/>
      <c r="AB85" s="233"/>
      <c r="AC85" s="233"/>
      <c r="AD85" s="233"/>
      <c r="AE85" s="233"/>
      <c r="AF85" s="233"/>
      <c r="AG85" s="233"/>
      <c r="AH85" s="233"/>
      <c r="AI85" s="233"/>
      <c r="AJ85" s="233"/>
      <c r="AK85" s="233"/>
      <c r="AL85" s="233"/>
    </row>
    <row r="86">
      <c r="A86" s="279"/>
      <c r="B86" s="277">
        <v>42705.0</v>
      </c>
      <c r="C86" s="158" t="s">
        <v>2835</v>
      </c>
      <c r="E86" s="6">
        <v>53237.0</v>
      </c>
      <c r="F86" s="158" t="s">
        <v>2836</v>
      </c>
      <c r="H86" s="158" t="s">
        <v>2837</v>
      </c>
      <c r="L86" s="67"/>
      <c r="M86" s="280" t="s">
        <v>2482</v>
      </c>
      <c r="N86" s="234"/>
      <c r="O86" s="281"/>
      <c r="P86" s="233"/>
      <c r="Q86" s="233"/>
      <c r="R86" s="234"/>
      <c r="S86" s="233"/>
      <c r="T86" s="13" t="s">
        <v>452</v>
      </c>
      <c r="U86" s="233"/>
      <c r="V86" s="233"/>
      <c r="W86" s="233"/>
      <c r="X86" s="233"/>
      <c r="Y86" s="233"/>
      <c r="Z86" s="233"/>
      <c r="AA86" s="233"/>
      <c r="AB86" s="233"/>
      <c r="AC86" s="233"/>
      <c r="AD86" s="233"/>
      <c r="AE86" s="233"/>
      <c r="AF86" s="233"/>
      <c r="AG86" s="233"/>
      <c r="AH86" s="233"/>
      <c r="AI86" s="233"/>
      <c r="AJ86" s="233"/>
      <c r="AK86" s="233"/>
      <c r="AL86" s="233"/>
    </row>
    <row r="87">
      <c r="A87" s="279"/>
      <c r="B87" s="277">
        <v>42705.0</v>
      </c>
      <c r="C87" s="158" t="s">
        <v>2842</v>
      </c>
      <c r="E87" s="6">
        <v>53237.0</v>
      </c>
      <c r="F87" s="158" t="s">
        <v>2836</v>
      </c>
      <c r="H87" s="158" t="s">
        <v>2843</v>
      </c>
      <c r="L87" s="67"/>
      <c r="M87" s="280" t="s">
        <v>2482</v>
      </c>
      <c r="N87" s="234"/>
      <c r="O87" s="281"/>
      <c r="P87" s="233"/>
      <c r="Q87" s="233"/>
      <c r="R87" s="234"/>
      <c r="S87" s="233"/>
      <c r="T87" s="13" t="s">
        <v>452</v>
      </c>
      <c r="U87" s="233"/>
      <c r="V87" s="233"/>
      <c r="W87" s="233"/>
      <c r="X87" s="233"/>
      <c r="Y87" s="233"/>
      <c r="Z87" s="233"/>
      <c r="AA87" s="233"/>
      <c r="AB87" s="233"/>
      <c r="AC87" s="233"/>
      <c r="AD87" s="233"/>
      <c r="AE87" s="233"/>
      <c r="AF87" s="233"/>
      <c r="AG87" s="233"/>
      <c r="AH87" s="233"/>
      <c r="AI87" s="233"/>
      <c r="AJ87" s="233"/>
      <c r="AK87" s="233"/>
      <c r="AL87" s="233"/>
    </row>
    <row r="88">
      <c r="A88" s="279"/>
      <c r="B88" s="277">
        <v>42705.0</v>
      </c>
      <c r="C88" t="s">
        <v>2844</v>
      </c>
      <c r="E88">
        <v>54142.0</v>
      </c>
      <c r="F88" t="s">
        <v>835</v>
      </c>
      <c r="G88" t="s">
        <v>2845</v>
      </c>
      <c r="L88" s="67"/>
      <c r="M88" s="280" t="s">
        <v>2482</v>
      </c>
      <c r="N88" s="234"/>
      <c r="O88" s="281"/>
      <c r="P88" s="233"/>
      <c r="Q88" s="233"/>
      <c r="R88" s="234"/>
      <c r="S88" s="233" t="s">
        <v>452</v>
      </c>
      <c r="T88" s="233"/>
      <c r="U88" s="233"/>
      <c r="V88" s="233"/>
      <c r="W88" s="233"/>
      <c r="X88" s="233"/>
      <c r="Y88" s="233"/>
      <c r="Z88" s="233"/>
      <c r="AA88" s="233"/>
      <c r="AB88" s="233"/>
      <c r="AC88" s="233"/>
      <c r="AD88" s="233"/>
      <c r="AE88" s="233"/>
      <c r="AF88" s="233"/>
      <c r="AG88" s="233"/>
      <c r="AH88" s="233"/>
      <c r="AI88" s="233"/>
      <c r="AJ88" s="233"/>
      <c r="AK88" s="233"/>
      <c r="AL88" s="233"/>
    </row>
    <row r="89">
      <c r="A89" s="279"/>
      <c r="B89" s="277">
        <v>42705.0</v>
      </c>
      <c r="C89" t="s">
        <v>2847</v>
      </c>
      <c r="E89">
        <v>54125.0</v>
      </c>
      <c r="F89" t="s">
        <v>835</v>
      </c>
      <c r="H89" t="s">
        <v>2848</v>
      </c>
      <c r="L89" s="67"/>
      <c r="M89" s="280" t="s">
        <v>2482</v>
      </c>
      <c r="N89" s="234"/>
      <c r="O89" s="281"/>
      <c r="P89" s="233"/>
      <c r="Q89" s="233"/>
      <c r="R89" s="234"/>
      <c r="S89" s="233" t="s">
        <v>452</v>
      </c>
      <c r="T89" s="233"/>
      <c r="U89" s="233"/>
      <c r="V89" s="233"/>
      <c r="W89" s="233"/>
      <c r="X89" s="233"/>
      <c r="Y89" s="233"/>
      <c r="Z89" s="233"/>
      <c r="AA89" s="233"/>
      <c r="AB89" s="233"/>
      <c r="AC89" s="233"/>
      <c r="AD89" s="233"/>
      <c r="AE89" s="233"/>
      <c r="AF89" s="233"/>
      <c r="AG89" s="233"/>
      <c r="AH89" s="233"/>
      <c r="AI89" s="233"/>
      <c r="AJ89" s="233"/>
      <c r="AK89" s="233"/>
      <c r="AL89" s="233"/>
    </row>
    <row r="90">
      <c r="A90" s="279"/>
      <c r="B90" s="277">
        <v>42705.0</v>
      </c>
      <c r="C90" t="s">
        <v>2849</v>
      </c>
      <c r="E90">
        <v>54134.0</v>
      </c>
      <c r="F90" t="s">
        <v>835</v>
      </c>
      <c r="G90" t="s">
        <v>2850</v>
      </c>
      <c r="L90" s="67"/>
      <c r="M90" s="280" t="s">
        <v>2482</v>
      </c>
      <c r="N90" s="234"/>
      <c r="O90" s="281"/>
      <c r="P90" s="233"/>
      <c r="Q90" s="233"/>
      <c r="R90" s="234"/>
      <c r="S90" s="233" t="s">
        <v>452</v>
      </c>
      <c r="T90" s="233"/>
      <c r="U90" s="233"/>
      <c r="V90" s="233"/>
      <c r="W90" s="233"/>
      <c r="X90" s="233"/>
      <c r="Y90" s="233"/>
      <c r="Z90" s="233"/>
      <c r="AA90" s="233"/>
      <c r="AB90" s="233"/>
      <c r="AC90" s="233"/>
      <c r="AD90" s="233"/>
      <c r="AE90" s="233"/>
      <c r="AF90" s="233"/>
      <c r="AG90" s="233"/>
      <c r="AH90" s="233"/>
      <c r="AI90" s="233"/>
      <c r="AJ90" s="233"/>
      <c r="AK90" s="233"/>
      <c r="AL90" s="233"/>
    </row>
    <row r="91">
      <c r="A91" s="279"/>
      <c r="B91" s="277">
        <v>42705.0</v>
      </c>
      <c r="C91" t="s">
        <v>2853</v>
      </c>
      <c r="E91" s="6">
        <v>19254.0</v>
      </c>
      <c r="F91" t="s">
        <v>2854</v>
      </c>
      <c r="H91" t="s">
        <v>2855</v>
      </c>
      <c r="L91" s="67"/>
      <c r="M91" s="280" t="s">
        <v>2482</v>
      </c>
      <c r="N91" s="234"/>
      <c r="O91" s="281"/>
      <c r="P91" s="233"/>
      <c r="Q91" s="233"/>
      <c r="R91" s="234"/>
      <c r="S91" s="233" t="s">
        <v>452</v>
      </c>
      <c r="T91" s="233"/>
      <c r="U91" s="233"/>
      <c r="V91" s="233"/>
      <c r="W91" s="233"/>
      <c r="X91" s="233"/>
      <c r="Y91" s="233"/>
      <c r="Z91" s="233"/>
      <c r="AA91" s="233"/>
      <c r="AB91" s="233"/>
      <c r="AC91" s="233"/>
      <c r="AD91" s="233"/>
      <c r="AE91" s="233"/>
      <c r="AF91" s="233"/>
      <c r="AG91" s="233"/>
      <c r="AH91" s="233"/>
      <c r="AI91" s="233"/>
      <c r="AJ91" s="233"/>
      <c r="AK91" s="233"/>
      <c r="AL91" s="233"/>
    </row>
    <row r="92">
      <c r="A92" s="279"/>
      <c r="B92" s="277">
        <v>42705.0</v>
      </c>
      <c r="C92" t="s">
        <v>2486</v>
      </c>
      <c r="D92" t="s">
        <v>2857</v>
      </c>
      <c r="E92" s="6">
        <v>16961.0</v>
      </c>
      <c r="F92" t="s">
        <v>1322</v>
      </c>
      <c r="G92" t="s">
        <v>2858</v>
      </c>
      <c r="L92" s="67"/>
      <c r="M92" s="280" t="s">
        <v>2482</v>
      </c>
      <c r="N92" s="234"/>
      <c r="O92" s="281"/>
      <c r="P92" s="233"/>
      <c r="Q92" s="233"/>
      <c r="R92" s="234"/>
      <c r="S92" s="233" t="s">
        <v>452</v>
      </c>
      <c r="T92" s="233"/>
      <c r="U92" s="233"/>
      <c r="V92" s="233"/>
      <c r="W92" s="233"/>
      <c r="X92" s="233"/>
      <c r="Y92" s="233"/>
      <c r="Z92" s="233"/>
      <c r="AA92" s="233"/>
      <c r="AB92" s="233"/>
      <c r="AC92" s="233"/>
      <c r="AD92" s="233"/>
      <c r="AE92" s="233"/>
      <c r="AF92" s="233"/>
      <c r="AG92" s="233"/>
      <c r="AH92" s="233"/>
      <c r="AI92" s="233"/>
      <c r="AJ92" s="233"/>
      <c r="AK92" s="233"/>
      <c r="AL92" s="233"/>
    </row>
    <row r="93">
      <c r="A93" s="279"/>
      <c r="B93" s="277">
        <v>42705.0</v>
      </c>
      <c r="C93" s="158" t="s">
        <v>2862</v>
      </c>
      <c r="E93" s="158" t="s">
        <v>2863</v>
      </c>
      <c r="F93" s="158" t="s">
        <v>2864</v>
      </c>
      <c r="H93" s="163" t="s">
        <v>2865</v>
      </c>
      <c r="L93" s="67"/>
      <c r="M93" s="280" t="s">
        <v>2482</v>
      </c>
      <c r="N93" s="234"/>
      <c r="O93" s="281"/>
      <c r="P93" s="233"/>
      <c r="Q93" s="233"/>
      <c r="R93" s="234"/>
      <c r="S93" s="233"/>
      <c r="T93" s="13" t="s">
        <v>452</v>
      </c>
      <c r="U93" s="233"/>
      <c r="V93" s="233"/>
      <c r="W93" s="233"/>
      <c r="X93" s="233"/>
      <c r="Y93" s="233"/>
      <c r="Z93" s="233"/>
      <c r="AA93" s="233"/>
      <c r="AB93" s="233"/>
      <c r="AC93" s="233"/>
      <c r="AD93" s="233"/>
      <c r="AE93" s="233"/>
      <c r="AF93" s="233"/>
      <c r="AG93" s="233"/>
      <c r="AH93" s="233"/>
      <c r="AI93" s="233"/>
      <c r="AJ93" s="233"/>
      <c r="AK93" s="233"/>
      <c r="AL93" s="233"/>
    </row>
    <row r="94">
      <c r="A94" s="279"/>
      <c r="B94" s="277">
        <v>42705.0</v>
      </c>
      <c r="C94" t="s">
        <v>2873</v>
      </c>
      <c r="E94" s="6">
        <v>11445.0</v>
      </c>
      <c r="F94" t="s">
        <v>597</v>
      </c>
      <c r="H94" t="s">
        <v>2875</v>
      </c>
      <c r="L94" s="67"/>
      <c r="M94" s="280" t="s">
        <v>2482</v>
      </c>
      <c r="N94" s="234"/>
      <c r="O94" s="281"/>
      <c r="P94" s="233"/>
      <c r="Q94" s="233"/>
      <c r="R94" s="234"/>
      <c r="S94" s="233" t="s">
        <v>452</v>
      </c>
      <c r="T94" s="233"/>
      <c r="U94" s="233"/>
      <c r="V94" s="233"/>
      <c r="W94" s="233"/>
      <c r="X94" s="233"/>
      <c r="Y94" s="233"/>
      <c r="Z94" s="233"/>
      <c r="AA94" s="233"/>
      <c r="AB94" s="233"/>
      <c r="AC94" s="233"/>
      <c r="AD94" s="233"/>
      <c r="AE94" s="233"/>
      <c r="AF94" s="233"/>
      <c r="AG94" s="233"/>
      <c r="AH94" s="233"/>
      <c r="AI94" s="233"/>
      <c r="AJ94" s="233"/>
      <c r="AK94" s="233"/>
      <c r="AL94" s="233"/>
    </row>
    <row r="95">
      <c r="A95" s="279"/>
      <c r="B95" s="277">
        <v>42705.0</v>
      </c>
      <c r="C95" t="s">
        <v>2876</v>
      </c>
      <c r="E95" s="6">
        <v>11863.0</v>
      </c>
      <c r="F95" t="s">
        <v>597</v>
      </c>
      <c r="H95" t="s">
        <v>2877</v>
      </c>
      <c r="L95" s="67"/>
      <c r="M95" s="280" t="s">
        <v>2482</v>
      </c>
      <c r="N95" s="234"/>
      <c r="O95" s="281"/>
      <c r="P95" s="233"/>
      <c r="Q95" s="233"/>
      <c r="R95" s="234"/>
      <c r="S95" s="233" t="s">
        <v>452</v>
      </c>
      <c r="T95" s="233"/>
      <c r="U95" s="233"/>
      <c r="V95" s="233"/>
      <c r="W95" s="233"/>
      <c r="X95" s="233"/>
      <c r="Y95" s="233"/>
      <c r="Z95" s="233"/>
      <c r="AA95" s="233"/>
      <c r="AB95" s="233"/>
      <c r="AC95" s="233"/>
      <c r="AD95" s="233"/>
      <c r="AE95" s="233"/>
      <c r="AF95" s="233"/>
      <c r="AG95" s="233"/>
      <c r="AH95" s="233"/>
      <c r="AI95" s="233"/>
      <c r="AJ95" s="233"/>
      <c r="AK95" s="233"/>
      <c r="AL95" s="233"/>
    </row>
    <row r="96">
      <c r="A96" s="279"/>
      <c r="B96" s="277">
        <v>42705.0</v>
      </c>
      <c r="C96" t="s">
        <v>2881</v>
      </c>
      <c r="E96" s="6">
        <v>11743.0</v>
      </c>
      <c r="F96" t="s">
        <v>597</v>
      </c>
      <c r="H96" t="s">
        <v>2882</v>
      </c>
      <c r="L96" s="67"/>
      <c r="M96" s="280" t="s">
        <v>2482</v>
      </c>
      <c r="N96" s="234"/>
      <c r="O96" s="281"/>
      <c r="P96" s="233"/>
      <c r="Q96" s="233"/>
      <c r="R96" s="234"/>
      <c r="S96" s="233" t="s">
        <v>452</v>
      </c>
      <c r="T96" s="233"/>
      <c r="U96" s="233"/>
      <c r="V96" s="233"/>
      <c r="W96" s="233"/>
      <c r="X96" s="233"/>
      <c r="Y96" s="233"/>
      <c r="Z96" s="233"/>
      <c r="AA96" s="233"/>
      <c r="AB96" s="233"/>
      <c r="AC96" s="233"/>
      <c r="AD96" s="233"/>
      <c r="AE96" s="233"/>
      <c r="AF96" s="233"/>
      <c r="AG96" s="233"/>
      <c r="AH96" s="233"/>
      <c r="AI96" s="233"/>
      <c r="AJ96" s="233"/>
      <c r="AK96" s="233"/>
      <c r="AL96" s="233"/>
    </row>
    <row r="97">
      <c r="A97" s="279"/>
      <c r="B97" s="277">
        <v>42705.0</v>
      </c>
      <c r="C97" t="s">
        <v>2883</v>
      </c>
      <c r="F97" t="s">
        <v>597</v>
      </c>
      <c r="H97" t="s">
        <v>2884</v>
      </c>
      <c r="L97" s="67"/>
      <c r="M97" s="280" t="s">
        <v>2482</v>
      </c>
      <c r="N97" s="234"/>
      <c r="O97" s="281"/>
      <c r="P97" s="233"/>
      <c r="Q97" s="233"/>
      <c r="R97" s="234"/>
      <c r="S97" s="233" t="s">
        <v>452</v>
      </c>
      <c r="T97" s="233"/>
      <c r="U97" s="233"/>
      <c r="V97" s="233"/>
      <c r="W97" s="233"/>
      <c r="X97" s="233"/>
      <c r="Y97" s="233"/>
      <c r="Z97" s="233"/>
      <c r="AA97" s="233"/>
      <c r="AB97" s="233"/>
      <c r="AC97" s="233"/>
      <c r="AD97" s="233"/>
      <c r="AE97" s="233"/>
      <c r="AF97" s="233"/>
      <c r="AG97" s="233"/>
      <c r="AH97" s="233"/>
      <c r="AI97" s="233"/>
      <c r="AJ97" s="233"/>
      <c r="AK97" s="233"/>
      <c r="AL97" s="233"/>
    </row>
    <row r="98">
      <c r="A98" s="279"/>
      <c r="B98" s="277">
        <v>42705.0</v>
      </c>
      <c r="C98" t="s">
        <v>2889</v>
      </c>
      <c r="E98">
        <v>11355.0</v>
      </c>
      <c r="F98" t="s">
        <v>597</v>
      </c>
      <c r="H98" t="s">
        <v>2890</v>
      </c>
      <c r="L98" s="67"/>
      <c r="M98" s="280" t="s">
        <v>2482</v>
      </c>
      <c r="N98" s="234"/>
      <c r="O98" s="281"/>
      <c r="P98" s="233"/>
      <c r="Q98" s="233"/>
      <c r="R98" s="234"/>
      <c r="S98" s="233" t="s">
        <v>452</v>
      </c>
      <c r="T98" s="233"/>
      <c r="U98" s="233"/>
      <c r="V98" s="233"/>
      <c r="W98" s="233"/>
      <c r="X98" s="233"/>
      <c r="Y98" s="233"/>
      <c r="Z98" s="233"/>
      <c r="AA98" s="233"/>
      <c r="AB98" s="233"/>
      <c r="AC98" s="233"/>
      <c r="AD98" s="233"/>
      <c r="AE98" s="233"/>
      <c r="AF98" s="233"/>
      <c r="AG98" s="233"/>
      <c r="AH98" s="233"/>
      <c r="AI98" s="233"/>
      <c r="AJ98" s="233"/>
      <c r="AK98" s="233"/>
      <c r="AL98" s="233"/>
    </row>
    <row r="99">
      <c r="A99" s="279"/>
      <c r="B99" s="277">
        <v>42705.0</v>
      </c>
      <c r="C99" t="s">
        <v>2889</v>
      </c>
      <c r="E99" s="6">
        <v>11355.0</v>
      </c>
      <c r="F99" t="s">
        <v>597</v>
      </c>
      <c r="H99" t="s">
        <v>2890</v>
      </c>
      <c r="L99" s="67"/>
      <c r="M99" s="280" t="s">
        <v>2482</v>
      </c>
      <c r="N99" s="234"/>
      <c r="O99" s="281"/>
      <c r="P99" s="233"/>
      <c r="Q99" s="233"/>
      <c r="R99" s="234"/>
      <c r="S99" s="233" t="s">
        <v>452</v>
      </c>
      <c r="T99" s="233"/>
      <c r="U99" s="233"/>
      <c r="V99" s="233"/>
      <c r="W99" s="233"/>
      <c r="X99" s="233"/>
      <c r="Y99" s="233"/>
      <c r="Z99" s="233"/>
      <c r="AA99" s="233"/>
      <c r="AB99" s="233"/>
      <c r="AC99" s="233"/>
      <c r="AD99" s="233"/>
      <c r="AE99" s="233"/>
      <c r="AF99" s="233"/>
      <c r="AG99" s="233"/>
      <c r="AH99" s="233"/>
      <c r="AI99" s="233"/>
      <c r="AJ99" s="233"/>
      <c r="AK99" s="233"/>
      <c r="AL99" s="233"/>
    </row>
    <row r="100">
      <c r="A100" s="279"/>
      <c r="B100" s="277">
        <v>42705.0</v>
      </c>
      <c r="C100" t="s">
        <v>2486</v>
      </c>
      <c r="D100" t="s">
        <v>1924</v>
      </c>
      <c r="E100" s="6">
        <v>11553.0</v>
      </c>
      <c r="F100" t="s">
        <v>989</v>
      </c>
      <c r="G100" t="s">
        <v>2896</v>
      </c>
      <c r="L100" s="67"/>
      <c r="M100" s="280" t="s">
        <v>2482</v>
      </c>
      <c r="N100" s="234"/>
      <c r="O100" s="281"/>
      <c r="P100" s="233"/>
      <c r="Q100" s="233"/>
      <c r="R100" s="234"/>
      <c r="S100" s="233" t="s">
        <v>452</v>
      </c>
      <c r="T100" s="233"/>
      <c r="U100" s="233"/>
      <c r="V100" s="233"/>
      <c r="W100" s="233"/>
      <c r="X100" s="233"/>
      <c r="Y100" s="233"/>
      <c r="Z100" s="233"/>
      <c r="AA100" s="233"/>
      <c r="AB100" s="233"/>
      <c r="AC100" s="233"/>
      <c r="AD100" s="233"/>
      <c r="AE100" s="233"/>
      <c r="AF100" s="233"/>
      <c r="AG100" s="233"/>
      <c r="AH100" s="233"/>
      <c r="AI100" s="233"/>
      <c r="AJ100" s="233"/>
      <c r="AK100" s="233"/>
      <c r="AL100" s="233"/>
    </row>
    <row r="101">
      <c r="A101" s="279"/>
      <c r="B101" s="277">
        <v>42705.0</v>
      </c>
      <c r="C101" t="s">
        <v>2486</v>
      </c>
      <c r="D101" t="s">
        <v>2897</v>
      </c>
      <c r="E101" s="6">
        <v>11664.0</v>
      </c>
      <c r="F101" t="s">
        <v>597</v>
      </c>
      <c r="G101" t="s">
        <v>2898</v>
      </c>
      <c r="L101" s="67"/>
      <c r="M101" s="280" t="s">
        <v>2482</v>
      </c>
      <c r="N101" s="234"/>
      <c r="O101" s="281"/>
      <c r="P101" s="233"/>
      <c r="Q101" s="233"/>
      <c r="R101" s="234"/>
      <c r="S101" s="233" t="s">
        <v>452</v>
      </c>
      <c r="T101" s="233"/>
      <c r="U101" s="233"/>
      <c r="V101" s="233"/>
      <c r="W101" s="233"/>
      <c r="X101" s="233"/>
      <c r="Y101" s="233"/>
      <c r="Z101" s="233"/>
      <c r="AA101" s="233"/>
      <c r="AB101" s="233"/>
      <c r="AC101" s="233"/>
      <c r="AD101" s="233"/>
      <c r="AE101" s="233"/>
      <c r="AF101" s="233"/>
      <c r="AG101" s="233"/>
      <c r="AH101" s="233"/>
      <c r="AI101" s="233"/>
      <c r="AJ101" s="233"/>
      <c r="AK101" s="233"/>
      <c r="AL101" s="233"/>
    </row>
    <row r="102">
      <c r="A102" s="279"/>
      <c r="B102" s="277">
        <v>42705.0</v>
      </c>
      <c r="C102" t="s">
        <v>2901</v>
      </c>
      <c r="E102">
        <v>11347.0</v>
      </c>
      <c r="F102" t="s">
        <v>597</v>
      </c>
      <c r="H102" t="s">
        <v>2903</v>
      </c>
      <c r="L102" s="67"/>
      <c r="M102" s="280" t="s">
        <v>2482</v>
      </c>
      <c r="N102" s="234"/>
      <c r="O102" s="281"/>
      <c r="P102" s="233"/>
      <c r="Q102" s="233"/>
      <c r="R102" s="234"/>
      <c r="S102" s="233" t="s">
        <v>452</v>
      </c>
      <c r="T102" s="233"/>
      <c r="U102" s="233"/>
      <c r="V102" s="233"/>
      <c r="W102" s="233"/>
      <c r="X102" s="233"/>
      <c r="Y102" s="233"/>
      <c r="Z102" s="233"/>
      <c r="AA102" s="233"/>
      <c r="AB102" s="233"/>
      <c r="AC102" s="233"/>
      <c r="AD102" s="233"/>
      <c r="AE102" s="233"/>
      <c r="AF102" s="233"/>
      <c r="AG102" s="233"/>
      <c r="AH102" s="233"/>
      <c r="AI102" s="233"/>
      <c r="AJ102" s="233"/>
      <c r="AK102" s="233"/>
      <c r="AL102" s="233"/>
    </row>
    <row r="103">
      <c r="A103" s="279"/>
      <c r="B103" s="277">
        <v>42705.0</v>
      </c>
      <c r="C103" t="s">
        <v>2904</v>
      </c>
      <c r="E103">
        <v>17266.0</v>
      </c>
      <c r="F103" t="s">
        <v>2905</v>
      </c>
      <c r="G103" t="s">
        <v>2906</v>
      </c>
      <c r="H103" t="s">
        <v>2907</v>
      </c>
      <c r="L103" s="67"/>
      <c r="M103" s="280" t="s">
        <v>2482</v>
      </c>
      <c r="N103" s="234"/>
      <c r="O103" s="281"/>
      <c r="P103" s="233"/>
      <c r="Q103" s="233"/>
      <c r="R103" s="234"/>
      <c r="S103" s="233" t="s">
        <v>452</v>
      </c>
      <c r="T103" s="233"/>
      <c r="U103" s="233"/>
      <c r="V103" s="233"/>
      <c r="W103" s="233"/>
      <c r="X103" s="233"/>
      <c r="Y103" s="233"/>
      <c r="Z103" s="233"/>
      <c r="AA103" s="233"/>
      <c r="AB103" s="233"/>
      <c r="AC103" s="233"/>
      <c r="AD103" s="233"/>
      <c r="AE103" s="233"/>
      <c r="AF103" s="233"/>
      <c r="AG103" s="233"/>
      <c r="AH103" s="233"/>
      <c r="AI103" s="233"/>
      <c r="AJ103" s="233"/>
      <c r="AK103" s="233"/>
      <c r="AL103" s="233"/>
    </row>
    <row r="104">
      <c r="A104" s="279"/>
      <c r="B104" s="277">
        <v>42705.0</v>
      </c>
      <c r="C104" t="s">
        <v>2910</v>
      </c>
      <c r="E104">
        <v>23351.0</v>
      </c>
      <c r="F104" t="s">
        <v>2911</v>
      </c>
      <c r="H104" t="s">
        <v>2913</v>
      </c>
      <c r="L104" s="67"/>
      <c r="M104" s="280" t="s">
        <v>2482</v>
      </c>
      <c r="N104" s="234"/>
      <c r="O104" s="281"/>
      <c r="P104" s="233"/>
      <c r="Q104" s="233"/>
      <c r="R104" s="234"/>
      <c r="S104" s="233" t="s">
        <v>452</v>
      </c>
      <c r="T104" s="233"/>
      <c r="U104" s="233"/>
      <c r="V104" s="233"/>
      <c r="W104" s="233"/>
      <c r="X104" s="233"/>
      <c r="Y104" s="233"/>
      <c r="Z104" s="233"/>
      <c r="AA104" s="233"/>
      <c r="AB104" s="233"/>
      <c r="AC104" s="233"/>
      <c r="AD104" s="233"/>
      <c r="AE104" s="233"/>
      <c r="AF104" s="233"/>
      <c r="AG104" s="233"/>
      <c r="AH104" s="233"/>
      <c r="AI104" s="233"/>
      <c r="AJ104" s="233"/>
      <c r="AK104" s="233"/>
      <c r="AL104" s="233"/>
    </row>
    <row r="105">
      <c r="A105" s="279"/>
      <c r="B105" s="277">
        <v>42705.0</v>
      </c>
      <c r="C105" t="s">
        <v>2914</v>
      </c>
      <c r="E105">
        <v>57633.0</v>
      </c>
      <c r="F105" t="s">
        <v>2915</v>
      </c>
      <c r="H105" t="s">
        <v>2916</v>
      </c>
      <c r="L105" s="67"/>
      <c r="M105" s="280" t="s">
        <v>2482</v>
      </c>
      <c r="N105" s="234"/>
      <c r="O105" s="281"/>
      <c r="P105" s="233"/>
      <c r="Q105" s="233"/>
      <c r="R105" s="234"/>
      <c r="S105" s="233" t="s">
        <v>452</v>
      </c>
      <c r="T105" s="233"/>
      <c r="U105" s="233"/>
      <c r="V105" s="233"/>
      <c r="W105" s="233"/>
      <c r="X105" s="233"/>
      <c r="Y105" s="233"/>
      <c r="Z105" s="233"/>
      <c r="AA105" s="233"/>
      <c r="AB105" s="233"/>
      <c r="AC105" s="233"/>
      <c r="AD105" s="233"/>
      <c r="AE105" s="233"/>
      <c r="AF105" s="233"/>
      <c r="AG105" s="233"/>
      <c r="AH105" s="233"/>
      <c r="AI105" s="233"/>
      <c r="AJ105" s="233"/>
      <c r="AK105" s="233"/>
      <c r="AL105" s="233"/>
    </row>
    <row r="106">
      <c r="A106" s="279"/>
      <c r="B106" s="277">
        <v>42705.0</v>
      </c>
      <c r="C106" s="158" t="s">
        <v>2917</v>
      </c>
      <c r="E106" s="6">
        <v>26976.0</v>
      </c>
      <c r="F106" s="158" t="s">
        <v>2919</v>
      </c>
      <c r="H106" s="158" t="s">
        <v>2920</v>
      </c>
      <c r="L106" s="278" t="s">
        <v>2921</v>
      </c>
      <c r="M106" s="280" t="s">
        <v>2482</v>
      </c>
      <c r="N106" s="234"/>
      <c r="O106" s="281"/>
      <c r="P106" s="233"/>
      <c r="Q106" s="233"/>
      <c r="R106" s="234"/>
      <c r="S106" s="233"/>
      <c r="T106" s="13" t="s">
        <v>452</v>
      </c>
      <c r="U106" s="233"/>
      <c r="V106" s="233"/>
      <c r="W106" s="233"/>
      <c r="X106" s="233"/>
      <c r="Y106" s="233"/>
      <c r="Z106" s="233"/>
      <c r="AA106" s="233"/>
      <c r="AB106" s="233"/>
      <c r="AC106" s="233"/>
      <c r="AD106" s="233"/>
      <c r="AE106" s="233"/>
      <c r="AF106" s="233"/>
      <c r="AG106" s="233"/>
      <c r="AH106" s="233"/>
      <c r="AI106" s="233"/>
      <c r="AJ106" s="233"/>
      <c r="AK106" s="233"/>
      <c r="AL106" s="233"/>
    </row>
    <row r="107">
      <c r="A107" s="279"/>
      <c r="B107" s="277">
        <v>42705.0</v>
      </c>
      <c r="C107" t="s">
        <v>2922</v>
      </c>
      <c r="E107">
        <v>38840.0</v>
      </c>
      <c r="F107" t="s">
        <v>2923</v>
      </c>
      <c r="H107" t="s">
        <v>2924</v>
      </c>
      <c r="L107" s="67"/>
      <c r="M107" s="280" t="s">
        <v>2482</v>
      </c>
      <c r="N107" s="234"/>
      <c r="O107" s="281"/>
      <c r="P107" s="233"/>
      <c r="Q107" s="233"/>
      <c r="R107" s="234"/>
      <c r="S107" s="233" t="s">
        <v>452</v>
      </c>
      <c r="T107" s="233"/>
      <c r="U107" s="233"/>
      <c r="V107" s="233"/>
      <c r="W107" s="233"/>
      <c r="X107" s="233"/>
      <c r="Y107" s="233"/>
      <c r="Z107" s="233"/>
      <c r="AA107" s="233"/>
      <c r="AB107" s="233"/>
      <c r="AC107" s="233"/>
      <c r="AD107" s="233"/>
      <c r="AE107" s="233"/>
      <c r="AF107" s="233"/>
      <c r="AG107" s="233"/>
      <c r="AH107" s="233"/>
      <c r="AI107" s="233"/>
      <c r="AJ107" s="233"/>
      <c r="AK107" s="233"/>
      <c r="AL107" s="233"/>
    </row>
    <row r="108">
      <c r="A108" s="279"/>
      <c r="B108" s="277">
        <v>42705.0</v>
      </c>
      <c r="C108" s="158" t="s">
        <v>2927</v>
      </c>
      <c r="E108" s="6">
        <v>46137.0</v>
      </c>
      <c r="F108" s="158" t="s">
        <v>707</v>
      </c>
      <c r="H108" s="158" t="s">
        <v>2929</v>
      </c>
      <c r="L108" s="67"/>
      <c r="M108" s="280" t="s">
        <v>2482</v>
      </c>
      <c r="N108" s="234"/>
      <c r="O108" s="281"/>
      <c r="P108" s="233"/>
      <c r="Q108" s="233"/>
      <c r="R108" s="234"/>
      <c r="S108" s="233"/>
      <c r="T108" s="13" t="s">
        <v>452</v>
      </c>
      <c r="U108" s="233"/>
      <c r="V108" s="233"/>
      <c r="W108" s="233"/>
      <c r="X108" s="233"/>
      <c r="Y108" s="233"/>
      <c r="Z108" s="233"/>
      <c r="AA108" s="233"/>
      <c r="AB108" s="233"/>
      <c r="AC108" s="233"/>
      <c r="AD108" s="233"/>
      <c r="AE108" s="233"/>
      <c r="AF108" s="233"/>
      <c r="AG108" s="233"/>
      <c r="AH108" s="233"/>
      <c r="AI108" s="233"/>
      <c r="AJ108" s="233"/>
      <c r="AK108" s="233"/>
      <c r="AL108" s="233"/>
    </row>
    <row r="109">
      <c r="A109" s="279"/>
      <c r="B109" s="277">
        <v>42705.0</v>
      </c>
      <c r="C109" s="158" t="s">
        <v>2931</v>
      </c>
      <c r="E109" s="6">
        <v>46170.0</v>
      </c>
      <c r="F109" s="158" t="s">
        <v>707</v>
      </c>
      <c r="H109" s="158" t="s">
        <v>2933</v>
      </c>
      <c r="L109" s="67"/>
      <c r="M109" s="280" t="s">
        <v>2482</v>
      </c>
      <c r="N109" s="234"/>
      <c r="O109" s="281"/>
      <c r="P109" s="233"/>
      <c r="Q109" s="233"/>
      <c r="R109" s="234"/>
      <c r="S109" s="233"/>
      <c r="T109" s="13" t="s">
        <v>452</v>
      </c>
      <c r="U109" s="233"/>
      <c r="V109" s="233"/>
      <c r="W109" s="233"/>
      <c r="X109" s="233"/>
      <c r="Y109" s="233"/>
      <c r="Z109" s="233"/>
      <c r="AA109" s="233"/>
      <c r="AB109" s="233"/>
      <c r="AC109" s="233"/>
      <c r="AD109" s="233"/>
      <c r="AE109" s="233"/>
      <c r="AF109" s="233"/>
      <c r="AG109" s="233"/>
      <c r="AH109" s="233"/>
      <c r="AI109" s="233"/>
      <c r="AJ109" s="233"/>
      <c r="AK109" s="233"/>
      <c r="AL109" s="233"/>
    </row>
    <row r="110">
      <c r="A110" s="279"/>
      <c r="B110" s="277">
        <v>42705.0</v>
      </c>
      <c r="C110" s="158" t="s">
        <v>2937</v>
      </c>
      <c r="E110" s="158">
        <v>46137.0</v>
      </c>
      <c r="F110" s="158" t="s">
        <v>707</v>
      </c>
      <c r="H110" s="158" t="s">
        <v>2938</v>
      </c>
      <c r="L110" s="67"/>
      <c r="M110" s="280" t="s">
        <v>2482</v>
      </c>
      <c r="N110" s="234"/>
      <c r="O110" s="281"/>
      <c r="P110" s="233"/>
      <c r="Q110" s="233"/>
      <c r="R110" s="234"/>
      <c r="S110" s="233"/>
      <c r="T110" s="13" t="s">
        <v>452</v>
      </c>
      <c r="U110" s="233"/>
      <c r="V110" s="233"/>
      <c r="W110" s="233"/>
      <c r="X110" s="233"/>
      <c r="Y110" s="233"/>
      <c r="Z110" s="233"/>
      <c r="AA110" s="233"/>
      <c r="AB110" s="233"/>
      <c r="AC110" s="233"/>
      <c r="AD110" s="233"/>
      <c r="AE110" s="233"/>
      <c r="AF110" s="233"/>
      <c r="AG110" s="233"/>
      <c r="AH110" s="233"/>
      <c r="AI110" s="233"/>
      <c r="AJ110" s="233"/>
      <c r="AK110" s="233"/>
      <c r="AL110" s="233"/>
    </row>
    <row r="111">
      <c r="A111" s="279"/>
      <c r="B111" s="277">
        <v>42705.0</v>
      </c>
      <c r="C111" t="s">
        <v>2486</v>
      </c>
      <c r="D111" t="s">
        <v>2939</v>
      </c>
      <c r="E111" s="6">
        <v>13543.0</v>
      </c>
      <c r="F111" t="s">
        <v>1186</v>
      </c>
      <c r="G111" t="s">
        <v>2940</v>
      </c>
      <c r="L111" s="67"/>
      <c r="M111" s="280" t="s">
        <v>2482</v>
      </c>
      <c r="N111" s="234"/>
      <c r="O111" s="281"/>
      <c r="P111" s="233"/>
      <c r="Q111" s="233"/>
      <c r="R111" s="234"/>
      <c r="S111" s="233" t="s">
        <v>452</v>
      </c>
      <c r="T111" s="233"/>
      <c r="U111" s="233"/>
      <c r="V111" s="233"/>
      <c r="W111" s="233"/>
      <c r="X111" s="233"/>
      <c r="Y111" s="233"/>
      <c r="Z111" s="233"/>
      <c r="AA111" s="233"/>
      <c r="AB111" s="233"/>
      <c r="AC111" s="233"/>
      <c r="AD111" s="233"/>
      <c r="AE111" s="233"/>
      <c r="AF111" s="233"/>
      <c r="AG111" s="233"/>
      <c r="AH111" s="233"/>
      <c r="AI111" s="233"/>
      <c r="AJ111" s="233"/>
      <c r="AK111" s="233"/>
      <c r="AL111" s="233"/>
    </row>
    <row r="112">
      <c r="A112" s="279"/>
      <c r="B112" s="277">
        <v>42705.0</v>
      </c>
      <c r="C112" t="s">
        <v>2943</v>
      </c>
      <c r="E112">
        <v>18377.0</v>
      </c>
      <c r="F112" t="s">
        <v>911</v>
      </c>
      <c r="H112" t="s">
        <v>2944</v>
      </c>
      <c r="L112" s="67"/>
      <c r="M112" s="280" t="s">
        <v>2482</v>
      </c>
      <c r="N112" s="234"/>
      <c r="O112" s="281"/>
      <c r="P112" s="233"/>
      <c r="Q112" s="233"/>
      <c r="R112" s="234"/>
      <c r="S112" s="233" t="s">
        <v>452</v>
      </c>
      <c r="T112" s="233"/>
      <c r="U112" s="233"/>
      <c r="V112" s="233"/>
      <c r="W112" s="233"/>
      <c r="X112" s="233"/>
      <c r="Y112" s="233"/>
      <c r="Z112" s="233"/>
      <c r="AA112" s="233"/>
      <c r="AB112" s="233"/>
      <c r="AC112" s="233"/>
      <c r="AD112" s="233"/>
      <c r="AE112" s="233"/>
      <c r="AF112" s="233"/>
      <c r="AG112" s="233"/>
      <c r="AH112" s="233"/>
      <c r="AI112" s="233"/>
      <c r="AJ112" s="233"/>
      <c r="AK112" s="233"/>
      <c r="AL112" s="233"/>
    </row>
    <row r="113">
      <c r="A113" s="279"/>
      <c r="B113" s="277">
        <v>42705.0</v>
      </c>
      <c r="C113" t="s">
        <v>2486</v>
      </c>
      <c r="D113" t="s">
        <v>2945</v>
      </c>
      <c r="E113" s="6">
        <v>18379.0</v>
      </c>
      <c r="F113" t="s">
        <v>2946</v>
      </c>
      <c r="G113" t="s">
        <v>2948</v>
      </c>
      <c r="L113" s="67"/>
      <c r="M113" s="280" t="s">
        <v>2482</v>
      </c>
      <c r="N113" s="234"/>
      <c r="O113" s="281"/>
      <c r="P113" s="233"/>
      <c r="Q113" s="233"/>
      <c r="R113" s="234"/>
      <c r="S113" s="233" t="s">
        <v>452</v>
      </c>
      <c r="T113" s="233"/>
      <c r="U113" s="233"/>
      <c r="V113" s="233"/>
      <c r="W113" s="233"/>
      <c r="X113" s="233"/>
      <c r="Y113" s="233"/>
      <c r="Z113" s="233"/>
      <c r="AA113" s="233"/>
      <c r="AB113" s="233"/>
      <c r="AC113" s="233"/>
      <c r="AD113" s="233"/>
      <c r="AE113" s="233"/>
      <c r="AF113" s="233"/>
      <c r="AG113" s="233"/>
      <c r="AH113" s="233"/>
      <c r="AI113" s="233"/>
      <c r="AJ113" s="233"/>
      <c r="AK113" s="233"/>
      <c r="AL113" s="233"/>
    </row>
    <row r="114">
      <c r="A114" s="279"/>
      <c r="B114" s="277">
        <v>42705.0</v>
      </c>
      <c r="C114" t="s">
        <v>2950</v>
      </c>
      <c r="E114">
        <v>54531.0</v>
      </c>
      <c r="F114" t="s">
        <v>2951</v>
      </c>
      <c r="H114" s="288" t="s">
        <v>2952</v>
      </c>
      <c r="L114" s="67"/>
      <c r="M114" s="280" t="s">
        <v>2482</v>
      </c>
      <c r="N114" s="234"/>
      <c r="O114" s="281"/>
      <c r="P114" s="233"/>
      <c r="Q114" s="233"/>
      <c r="R114" s="234"/>
      <c r="S114" s="233" t="s">
        <v>452</v>
      </c>
      <c r="T114" s="233"/>
      <c r="U114" s="233"/>
      <c r="V114" s="233"/>
      <c r="W114" s="233"/>
      <c r="X114" s="233"/>
      <c r="Y114" s="233"/>
      <c r="Z114" s="233"/>
      <c r="AA114" s="233"/>
      <c r="AB114" s="233"/>
      <c r="AC114" s="233"/>
      <c r="AD114" s="233"/>
      <c r="AE114" s="233"/>
      <c r="AF114" s="233"/>
      <c r="AG114" s="233"/>
      <c r="AH114" s="233"/>
      <c r="AI114" s="233"/>
      <c r="AJ114" s="233"/>
      <c r="AK114" s="233"/>
      <c r="AL114" s="233"/>
    </row>
    <row r="115">
      <c r="A115" s="279"/>
      <c r="B115" s="277">
        <v>42705.0</v>
      </c>
      <c r="C115" t="s">
        <v>2958</v>
      </c>
      <c r="E115">
        <v>45175.0</v>
      </c>
      <c r="F115" t="s">
        <v>555</v>
      </c>
      <c r="G115" t="s">
        <v>2960</v>
      </c>
      <c r="L115" s="67"/>
      <c r="M115" s="280" t="s">
        <v>2482</v>
      </c>
      <c r="N115" s="234"/>
      <c r="O115" s="281"/>
      <c r="P115" s="233"/>
      <c r="Q115" s="233"/>
      <c r="R115" s="234"/>
      <c r="S115" s="233" t="s">
        <v>452</v>
      </c>
      <c r="T115" s="233"/>
      <c r="U115" s="233"/>
      <c r="V115" s="233"/>
      <c r="W115" s="233"/>
      <c r="X115" s="233"/>
      <c r="Y115" s="233"/>
      <c r="Z115" s="233"/>
      <c r="AA115" s="233"/>
      <c r="AB115" s="233"/>
      <c r="AC115" s="233"/>
      <c r="AD115" s="233"/>
      <c r="AE115" s="233"/>
      <c r="AF115" s="233"/>
      <c r="AG115" s="233"/>
      <c r="AH115" s="233"/>
      <c r="AI115" s="233"/>
      <c r="AJ115" s="233"/>
      <c r="AK115" s="233"/>
      <c r="AL115" s="233"/>
    </row>
    <row r="116">
      <c r="A116" s="279"/>
      <c r="B116" s="277">
        <v>42705.0</v>
      </c>
      <c r="C116" t="s">
        <v>2961</v>
      </c>
      <c r="F116" t="s">
        <v>376</v>
      </c>
      <c r="G116" t="s">
        <v>2962</v>
      </c>
      <c r="L116" s="67"/>
      <c r="M116" s="280" t="s">
        <v>2482</v>
      </c>
      <c r="N116" s="234"/>
      <c r="O116" s="281"/>
      <c r="P116" s="233"/>
      <c r="Q116" s="233"/>
      <c r="R116" s="234"/>
      <c r="S116" s="233" t="s">
        <v>452</v>
      </c>
      <c r="T116" s="233"/>
      <c r="U116" s="233"/>
      <c r="V116" s="233"/>
      <c r="W116" s="233"/>
      <c r="X116" s="233"/>
      <c r="Y116" s="233"/>
      <c r="Z116" s="233"/>
      <c r="AA116" s="233"/>
      <c r="AB116" s="233"/>
      <c r="AC116" s="233"/>
      <c r="AD116" s="233"/>
      <c r="AE116" s="233"/>
      <c r="AF116" s="233"/>
      <c r="AG116" s="233"/>
      <c r="AH116" s="233"/>
      <c r="AI116" s="233"/>
      <c r="AJ116" s="233"/>
      <c r="AK116" s="233"/>
      <c r="AL116" s="233"/>
    </row>
    <row r="117">
      <c r="A117" s="279"/>
      <c r="B117" s="277">
        <v>42705.0</v>
      </c>
      <c r="C117" t="s">
        <v>2964</v>
      </c>
      <c r="E117">
        <v>90130.0</v>
      </c>
      <c r="F117" t="s">
        <v>376</v>
      </c>
      <c r="H117" t="s">
        <v>2965</v>
      </c>
      <c r="L117" s="67"/>
      <c r="M117" s="280" t="s">
        <v>2482</v>
      </c>
      <c r="N117" s="234"/>
      <c r="O117" s="281"/>
      <c r="P117" s="233"/>
      <c r="Q117" s="233"/>
      <c r="R117" s="234"/>
      <c r="S117" s="233" t="s">
        <v>452</v>
      </c>
      <c r="T117" s="233"/>
      <c r="U117" s="233"/>
      <c r="V117" s="233"/>
      <c r="W117" s="233"/>
      <c r="X117" s="233"/>
      <c r="Y117" s="233"/>
      <c r="Z117" s="233"/>
      <c r="AA117" s="233"/>
      <c r="AB117" s="233"/>
      <c r="AC117" s="233"/>
      <c r="AD117" s="233"/>
      <c r="AE117" s="233"/>
      <c r="AF117" s="233"/>
      <c r="AG117" s="233"/>
      <c r="AH117" s="233"/>
      <c r="AI117" s="233"/>
      <c r="AJ117" s="233"/>
      <c r="AK117" s="233"/>
      <c r="AL117" s="233"/>
    </row>
    <row r="118">
      <c r="A118" s="279"/>
      <c r="B118" s="277">
        <v>42705.0</v>
      </c>
      <c r="C118" t="s">
        <v>2967</v>
      </c>
      <c r="E118">
        <v>59231.0</v>
      </c>
      <c r="F118" t="s">
        <v>2968</v>
      </c>
      <c r="H118" t="s">
        <v>2969</v>
      </c>
      <c r="K118" s="158"/>
      <c r="L118" s="278"/>
      <c r="M118" s="280" t="s">
        <v>2490</v>
      </c>
      <c r="N118" s="234"/>
      <c r="O118" s="281"/>
      <c r="P118" s="233"/>
      <c r="Q118" s="233"/>
      <c r="R118" s="234"/>
      <c r="S118" s="233" t="s">
        <v>452</v>
      </c>
      <c r="T118" s="233"/>
      <c r="U118" s="233"/>
      <c r="V118" s="233"/>
      <c r="W118" s="233"/>
      <c r="X118" s="233"/>
      <c r="Y118" s="233"/>
      <c r="Z118" s="233"/>
      <c r="AA118" s="233"/>
      <c r="AB118" s="233"/>
      <c r="AC118" s="233"/>
      <c r="AD118" s="233"/>
      <c r="AE118" s="233"/>
      <c r="AF118" s="233"/>
      <c r="AG118" s="233"/>
      <c r="AH118" s="233"/>
      <c r="AI118" s="233"/>
      <c r="AJ118" s="233"/>
      <c r="AK118" s="233"/>
      <c r="AL118" s="233"/>
    </row>
    <row r="119">
      <c r="A119" s="279"/>
      <c r="B119" s="277">
        <v>42705.0</v>
      </c>
      <c r="C119" t="s">
        <v>2972</v>
      </c>
      <c r="E119" s="6">
        <v>18640.0</v>
      </c>
      <c r="F119" t="s">
        <v>101</v>
      </c>
      <c r="H119" t="s">
        <v>2973</v>
      </c>
      <c r="L119" s="67"/>
      <c r="M119" s="280" t="s">
        <v>2482</v>
      </c>
      <c r="N119" s="234"/>
      <c r="O119" s="281"/>
      <c r="P119" s="233"/>
      <c r="Q119" s="233"/>
      <c r="R119" s="234"/>
      <c r="S119" s="233" t="s">
        <v>452</v>
      </c>
      <c r="T119" s="233"/>
      <c r="U119" s="233"/>
      <c r="V119" s="233"/>
      <c r="W119" s="233"/>
      <c r="X119" s="233"/>
      <c r="Y119" s="233"/>
      <c r="Z119" s="233"/>
      <c r="AA119" s="233"/>
      <c r="AB119" s="233"/>
      <c r="AC119" s="233"/>
      <c r="AD119" s="233"/>
      <c r="AE119" s="233"/>
      <c r="AF119" s="233"/>
      <c r="AG119" s="233"/>
      <c r="AH119" s="233"/>
      <c r="AI119" s="233"/>
      <c r="AJ119" s="233"/>
      <c r="AK119" s="233"/>
      <c r="AL119" s="233"/>
    </row>
    <row r="120">
      <c r="A120" s="279"/>
      <c r="B120" s="277">
        <v>42705.0</v>
      </c>
      <c r="C120" t="s">
        <v>2976</v>
      </c>
      <c r="E120">
        <v>25342.0</v>
      </c>
      <c r="F120" t="s">
        <v>215</v>
      </c>
      <c r="H120" t="s">
        <v>2977</v>
      </c>
      <c r="K120" s="158"/>
      <c r="L120" s="278"/>
      <c r="M120" s="280" t="s">
        <v>2490</v>
      </c>
      <c r="N120" s="234"/>
      <c r="O120" s="281"/>
      <c r="P120" s="233"/>
      <c r="Q120" s="233"/>
      <c r="R120" s="234"/>
      <c r="S120" s="233" t="s">
        <v>452</v>
      </c>
      <c r="T120" s="233"/>
      <c r="U120" s="233"/>
      <c r="V120" s="233"/>
      <c r="W120" s="233"/>
      <c r="X120" s="233"/>
      <c r="Y120" s="233"/>
      <c r="Z120" s="233"/>
      <c r="AA120" s="233"/>
      <c r="AB120" s="233"/>
      <c r="AC120" s="233"/>
      <c r="AD120" s="233"/>
      <c r="AE120" s="233"/>
      <c r="AF120" s="233"/>
      <c r="AG120" s="233"/>
      <c r="AH120" s="233"/>
      <c r="AI120" s="233"/>
      <c r="AJ120" s="233"/>
      <c r="AK120" s="233"/>
      <c r="AL120" s="233"/>
    </row>
    <row r="121">
      <c r="A121" s="279"/>
      <c r="B121" s="277">
        <v>42705.0</v>
      </c>
      <c r="C121" s="158" t="s">
        <v>2979</v>
      </c>
      <c r="E121" s="6">
        <v>53495.0</v>
      </c>
      <c r="F121" s="158" t="s">
        <v>614</v>
      </c>
      <c r="H121" s="158" t="s">
        <v>2980</v>
      </c>
      <c r="L121" s="67"/>
      <c r="M121" s="280" t="s">
        <v>2482</v>
      </c>
      <c r="N121" s="234"/>
      <c r="O121" s="281"/>
      <c r="P121" s="233"/>
      <c r="Q121" s="233"/>
      <c r="R121" s="234"/>
      <c r="S121" s="233"/>
      <c r="T121" s="13" t="s">
        <v>452</v>
      </c>
      <c r="U121" s="233"/>
      <c r="V121" s="233"/>
      <c r="W121" s="233"/>
      <c r="X121" s="233"/>
      <c r="Y121" s="233"/>
      <c r="Z121" s="233"/>
      <c r="AA121" s="233"/>
      <c r="AB121" s="233"/>
      <c r="AC121" s="233"/>
      <c r="AD121" s="233"/>
      <c r="AE121" s="233"/>
      <c r="AF121" s="233"/>
      <c r="AG121" s="233"/>
      <c r="AH121" s="233"/>
      <c r="AI121" s="233"/>
      <c r="AJ121" s="233"/>
      <c r="AK121" s="233"/>
      <c r="AL121" s="233"/>
    </row>
    <row r="122">
      <c r="A122" s="279"/>
      <c r="B122" s="277">
        <v>42705.0</v>
      </c>
      <c r="C122" t="s">
        <v>2982</v>
      </c>
      <c r="F122" t="s">
        <v>2983</v>
      </c>
      <c r="H122" t="s">
        <v>2984</v>
      </c>
      <c r="L122" s="67"/>
      <c r="M122" s="280" t="s">
        <v>2482</v>
      </c>
      <c r="N122" s="234"/>
      <c r="O122" s="281"/>
      <c r="P122" s="233"/>
      <c r="Q122" s="233"/>
      <c r="R122" s="234"/>
      <c r="S122" s="233" t="s">
        <v>452</v>
      </c>
      <c r="T122" s="233"/>
      <c r="U122" s="233"/>
      <c r="V122" s="233"/>
      <c r="W122" s="233"/>
      <c r="X122" s="233"/>
      <c r="Y122" s="233"/>
      <c r="Z122" s="233"/>
      <c r="AA122" s="233"/>
      <c r="AB122" s="233"/>
      <c r="AC122" s="233"/>
      <c r="AD122" s="233"/>
      <c r="AE122" s="233"/>
      <c r="AF122" s="233"/>
      <c r="AG122" s="233"/>
      <c r="AH122" s="233"/>
      <c r="AI122" s="233"/>
      <c r="AJ122" s="233"/>
      <c r="AK122" s="233"/>
      <c r="AL122" s="233"/>
    </row>
    <row r="123">
      <c r="A123" s="279"/>
      <c r="B123" s="277">
        <v>42705.0</v>
      </c>
      <c r="C123" t="s">
        <v>2486</v>
      </c>
      <c r="D123" t="s">
        <v>2985</v>
      </c>
      <c r="E123" s="6">
        <v>16260.0</v>
      </c>
      <c r="F123" t="s">
        <v>2986</v>
      </c>
      <c r="G123" t="s">
        <v>2987</v>
      </c>
      <c r="L123" s="67"/>
      <c r="M123" s="280" t="s">
        <v>2482</v>
      </c>
      <c r="N123" s="234"/>
      <c r="O123" s="281"/>
      <c r="P123" s="233"/>
      <c r="Q123" s="233"/>
      <c r="R123" s="234"/>
      <c r="S123" s="233" t="s">
        <v>452</v>
      </c>
      <c r="T123" s="233"/>
      <c r="U123" s="233"/>
      <c r="V123" s="233"/>
      <c r="W123" s="233"/>
      <c r="X123" s="233"/>
      <c r="Y123" s="233"/>
      <c r="Z123" s="233"/>
      <c r="AA123" s="233"/>
      <c r="AB123" s="233"/>
      <c r="AC123" s="233"/>
      <c r="AD123" s="233"/>
      <c r="AE123" s="233"/>
      <c r="AF123" s="233"/>
      <c r="AG123" s="233"/>
      <c r="AH123" s="233"/>
      <c r="AI123" s="233"/>
      <c r="AJ123" s="233"/>
      <c r="AK123" s="233"/>
      <c r="AL123" s="233"/>
    </row>
    <row r="124">
      <c r="A124" s="279"/>
      <c r="B124" s="277">
        <v>42705.0</v>
      </c>
      <c r="C124" s="158" t="s">
        <v>2991</v>
      </c>
      <c r="E124" s="6">
        <v>46223.0</v>
      </c>
      <c r="F124" s="158" t="s">
        <v>2993</v>
      </c>
      <c r="H124" s="158" t="s">
        <v>2994</v>
      </c>
      <c r="L124" s="67"/>
      <c r="M124" s="280" t="s">
        <v>2482</v>
      </c>
      <c r="N124" s="234"/>
      <c r="O124" s="281"/>
      <c r="P124" s="233"/>
      <c r="Q124" s="233"/>
      <c r="R124" s="234"/>
      <c r="S124" s="233"/>
      <c r="T124" s="13" t="s">
        <v>452</v>
      </c>
      <c r="U124" s="233"/>
      <c r="V124" s="233"/>
      <c r="W124" s="233"/>
      <c r="X124" s="233"/>
      <c r="Y124" s="233"/>
      <c r="Z124" s="233"/>
      <c r="AA124" s="233"/>
      <c r="AB124" s="233"/>
      <c r="AC124" s="233"/>
      <c r="AD124" s="233"/>
      <c r="AE124" s="233"/>
      <c r="AF124" s="233"/>
      <c r="AG124" s="233"/>
      <c r="AH124" s="233"/>
      <c r="AI124" s="233"/>
      <c r="AJ124" s="233"/>
      <c r="AK124" s="233"/>
      <c r="AL124" s="233"/>
    </row>
    <row r="125">
      <c r="A125" s="279"/>
      <c r="B125" s="277">
        <v>42705.0</v>
      </c>
      <c r="C125" s="158" t="s">
        <v>2995</v>
      </c>
      <c r="E125" s="6">
        <v>46256.0</v>
      </c>
      <c r="F125" s="158" t="s">
        <v>2993</v>
      </c>
      <c r="H125" s="158" t="s">
        <v>2996</v>
      </c>
      <c r="L125" s="67"/>
      <c r="M125" s="280" t="s">
        <v>2482</v>
      </c>
      <c r="N125" s="234"/>
      <c r="O125" s="281"/>
      <c r="P125" s="233"/>
      <c r="Q125" s="233"/>
      <c r="R125" s="234"/>
      <c r="S125" s="233"/>
      <c r="T125" s="13" t="s">
        <v>452</v>
      </c>
      <c r="U125" s="233"/>
      <c r="V125" s="233"/>
      <c r="W125" s="233"/>
      <c r="X125" s="233"/>
      <c r="Y125" s="233"/>
      <c r="Z125" s="233"/>
      <c r="AA125" s="233"/>
      <c r="AB125" s="233"/>
      <c r="AC125" s="233"/>
      <c r="AD125" s="233"/>
      <c r="AE125" s="233"/>
      <c r="AF125" s="233"/>
      <c r="AG125" s="233"/>
      <c r="AH125" s="233"/>
      <c r="AI125" s="233"/>
      <c r="AJ125" s="233"/>
      <c r="AK125" s="233"/>
    </row>
    <row r="126">
      <c r="A126" s="279"/>
      <c r="B126" s="277">
        <v>42705.0</v>
      </c>
      <c r="C126" s="158" t="s">
        <v>2998</v>
      </c>
      <c r="E126" s="6">
        <v>46256.0</v>
      </c>
      <c r="F126" s="158" t="s">
        <v>2993</v>
      </c>
      <c r="H126" s="158" t="s">
        <v>2999</v>
      </c>
      <c r="L126" s="67"/>
      <c r="M126" s="280" t="s">
        <v>2482</v>
      </c>
      <c r="N126" s="234"/>
      <c r="O126" s="281"/>
      <c r="P126" s="233"/>
      <c r="Q126" s="233"/>
      <c r="R126" s="234"/>
      <c r="S126" s="233"/>
      <c r="T126" s="13" t="s">
        <v>452</v>
      </c>
      <c r="U126" s="233"/>
      <c r="V126" s="233"/>
      <c r="W126" s="233"/>
      <c r="X126" s="233"/>
      <c r="Y126" s="233"/>
      <c r="Z126" s="233"/>
      <c r="AA126" s="233"/>
      <c r="AB126" s="233"/>
      <c r="AC126" s="233"/>
      <c r="AD126" s="233"/>
      <c r="AE126" s="233"/>
      <c r="AF126" s="233"/>
      <c r="AG126" s="233"/>
      <c r="AH126" s="233"/>
      <c r="AI126" s="233"/>
      <c r="AJ126" s="233"/>
      <c r="AK126" s="233"/>
    </row>
    <row r="127">
      <c r="A127" s="279"/>
      <c r="B127" s="277">
        <v>42705.0</v>
      </c>
      <c r="C127" s="158" t="s">
        <v>3001</v>
      </c>
      <c r="E127" s="6">
        <v>46273.0</v>
      </c>
      <c r="F127" s="158" t="s">
        <v>2993</v>
      </c>
      <c r="H127" s="158" t="s">
        <v>3002</v>
      </c>
      <c r="L127" s="67"/>
      <c r="M127" s="280" t="s">
        <v>2482</v>
      </c>
      <c r="N127" s="234"/>
      <c r="O127" s="281"/>
      <c r="P127" s="233"/>
      <c r="Q127" s="233"/>
      <c r="R127" s="234"/>
      <c r="S127" s="233"/>
      <c r="T127" s="13" t="s">
        <v>452</v>
      </c>
      <c r="U127" s="233"/>
      <c r="V127" s="233"/>
      <c r="W127" s="233"/>
      <c r="X127" s="233"/>
      <c r="Y127" s="233"/>
      <c r="Z127" s="233"/>
      <c r="AA127" s="233"/>
      <c r="AB127" s="233"/>
      <c r="AC127" s="233"/>
      <c r="AD127" s="233"/>
      <c r="AE127" s="233"/>
      <c r="AF127" s="233"/>
      <c r="AG127" s="233"/>
      <c r="AH127" s="233"/>
      <c r="AI127" s="233"/>
      <c r="AJ127" s="233"/>
      <c r="AK127" s="233"/>
      <c r="AL127" s="233"/>
    </row>
    <row r="128">
      <c r="A128" s="279"/>
      <c r="B128" s="277">
        <v>42705.0</v>
      </c>
      <c r="C128" t="s">
        <v>2486</v>
      </c>
      <c r="D128" t="s">
        <v>715</v>
      </c>
      <c r="E128" s="6">
        <v>72137.0</v>
      </c>
      <c r="F128" t="s">
        <v>1231</v>
      </c>
      <c r="G128" t="s">
        <v>3004</v>
      </c>
      <c r="L128" s="67"/>
      <c r="M128" s="280" t="s">
        <v>2482</v>
      </c>
      <c r="N128" s="234"/>
      <c r="O128" s="281"/>
      <c r="P128" s="233"/>
      <c r="Q128" s="233"/>
      <c r="R128" s="234"/>
      <c r="S128" s="233" t="s">
        <v>452</v>
      </c>
      <c r="T128" s="233"/>
      <c r="U128" s="233"/>
      <c r="V128" s="233"/>
      <c r="W128" s="233"/>
      <c r="X128" s="233"/>
      <c r="Y128" s="233"/>
      <c r="Z128" s="233"/>
      <c r="AA128" s="233"/>
      <c r="AB128" s="233"/>
      <c r="AC128" s="233"/>
      <c r="AD128" s="233"/>
      <c r="AE128" s="233"/>
      <c r="AF128" s="233"/>
      <c r="AG128" s="233"/>
      <c r="AH128" s="233"/>
      <c r="AI128" s="233"/>
      <c r="AJ128" s="233"/>
      <c r="AK128" s="233"/>
      <c r="AL128" s="233"/>
    </row>
    <row r="129">
      <c r="A129" s="279"/>
      <c r="B129" s="277">
        <v>42705.0</v>
      </c>
      <c r="C129" t="s">
        <v>3006</v>
      </c>
      <c r="E129">
        <v>42131.0</v>
      </c>
      <c r="F129" t="s">
        <v>524</v>
      </c>
      <c r="G129" t="s">
        <v>3007</v>
      </c>
      <c r="L129" s="67"/>
      <c r="M129" s="280" t="s">
        <v>2482</v>
      </c>
      <c r="N129" s="234"/>
      <c r="O129" s="281"/>
      <c r="P129" s="233"/>
      <c r="Q129" s="233"/>
      <c r="R129" s="234"/>
      <c r="S129" s="233" t="s">
        <v>452</v>
      </c>
      <c r="T129" s="233"/>
      <c r="U129" s="233"/>
      <c r="V129" s="233"/>
      <c r="W129" s="233"/>
      <c r="X129" s="233"/>
      <c r="Y129" s="233"/>
      <c r="Z129" s="233"/>
      <c r="AA129" s="233"/>
      <c r="AB129" s="233"/>
      <c r="AC129" s="233"/>
      <c r="AD129" s="233"/>
      <c r="AE129" s="233"/>
      <c r="AF129" s="233"/>
      <c r="AG129" s="233"/>
      <c r="AH129" s="233"/>
      <c r="AI129" s="233"/>
      <c r="AJ129" s="233"/>
      <c r="AK129" s="233"/>
      <c r="AL129" s="233"/>
    </row>
    <row r="130">
      <c r="A130" s="279"/>
      <c r="B130" s="277">
        <v>42705.0</v>
      </c>
      <c r="C130" t="s">
        <v>3010</v>
      </c>
      <c r="E130">
        <v>27102.0</v>
      </c>
      <c r="F130" t="s">
        <v>415</v>
      </c>
      <c r="H130" t="s">
        <v>3011</v>
      </c>
      <c r="L130" s="67"/>
      <c r="M130" s="280" t="s">
        <v>2482</v>
      </c>
      <c r="N130" s="234"/>
      <c r="O130" s="281"/>
      <c r="P130" s="233"/>
      <c r="Q130" s="233"/>
      <c r="R130" s="234"/>
      <c r="S130" s="233" t="s">
        <v>452</v>
      </c>
      <c r="T130" s="233"/>
      <c r="U130" s="233"/>
      <c r="V130" s="233"/>
      <c r="W130" s="233"/>
      <c r="X130" s="233"/>
      <c r="Y130" s="233"/>
      <c r="Z130" s="233"/>
      <c r="AA130" s="233"/>
      <c r="AB130" s="233"/>
      <c r="AC130" s="233"/>
      <c r="AD130" s="233"/>
      <c r="AE130" s="233"/>
      <c r="AF130" s="233"/>
      <c r="AG130" s="233"/>
      <c r="AH130" s="233"/>
      <c r="AI130" s="233"/>
      <c r="AJ130" s="233"/>
      <c r="AK130" s="233"/>
      <c r="AL130" s="233"/>
    </row>
    <row r="131">
      <c r="A131" s="279"/>
      <c r="B131" s="277">
        <v>42705.0</v>
      </c>
      <c r="C131" t="s">
        <v>3014</v>
      </c>
      <c r="E131">
        <v>29635.0</v>
      </c>
      <c r="F131" t="s">
        <v>448</v>
      </c>
      <c r="H131" t="s">
        <v>3015</v>
      </c>
      <c r="L131" s="67"/>
      <c r="M131" s="280" t="s">
        <v>2482</v>
      </c>
      <c r="N131" s="234"/>
      <c r="O131" s="281"/>
      <c r="P131" s="233"/>
      <c r="Q131" s="233"/>
      <c r="R131" s="234"/>
      <c r="S131" s="233" t="s">
        <v>452</v>
      </c>
      <c r="T131" s="233"/>
      <c r="U131" s="233"/>
      <c r="V131" s="233"/>
      <c r="W131" s="233"/>
      <c r="X131" s="233"/>
      <c r="Y131" s="233"/>
      <c r="Z131" s="233"/>
      <c r="AA131" s="233"/>
      <c r="AB131" s="233"/>
      <c r="AC131" s="233"/>
      <c r="AD131" s="233"/>
      <c r="AE131" s="233"/>
      <c r="AF131" s="233"/>
      <c r="AG131" s="233"/>
      <c r="AH131" s="233"/>
      <c r="AI131" s="233"/>
      <c r="AJ131" s="233"/>
      <c r="AK131" s="233"/>
      <c r="AL131" s="233"/>
    </row>
    <row r="132">
      <c r="A132" s="279"/>
      <c r="B132" s="277">
        <v>42705.0</v>
      </c>
      <c r="C132" t="s">
        <v>3016</v>
      </c>
      <c r="E132">
        <v>67231.0</v>
      </c>
      <c r="F132" t="s">
        <v>3017</v>
      </c>
      <c r="H132" t="s">
        <v>3018</v>
      </c>
      <c r="L132" s="67"/>
      <c r="M132" s="280" t="s">
        <v>2482</v>
      </c>
      <c r="N132" s="234"/>
      <c r="O132" s="281"/>
      <c r="P132" s="233"/>
      <c r="Q132" s="233"/>
      <c r="R132" s="234"/>
      <c r="S132" s="233" t="s">
        <v>452</v>
      </c>
      <c r="T132" s="233"/>
      <c r="U132" s="233"/>
      <c r="V132" s="233"/>
      <c r="W132" s="233"/>
      <c r="X132" s="233"/>
      <c r="Y132" s="233"/>
      <c r="Z132" s="233"/>
      <c r="AA132" s="233"/>
      <c r="AB132" s="233"/>
      <c r="AC132" s="233"/>
      <c r="AD132" s="233"/>
      <c r="AE132" s="233"/>
      <c r="AF132" s="233"/>
      <c r="AG132" s="233"/>
      <c r="AH132" s="233"/>
      <c r="AI132" s="233"/>
      <c r="AJ132" s="233"/>
      <c r="AK132" s="233"/>
      <c r="AL132" s="233"/>
    </row>
    <row r="133">
      <c r="A133" s="279"/>
      <c r="B133" s="277">
        <v>42705.0</v>
      </c>
      <c r="C133" t="s">
        <v>3023</v>
      </c>
      <c r="E133">
        <v>34334.0</v>
      </c>
      <c r="F133" t="s">
        <v>3024</v>
      </c>
      <c r="H133" t="s">
        <v>3025</v>
      </c>
      <c r="L133" s="67"/>
      <c r="M133" s="280" t="s">
        <v>2482</v>
      </c>
      <c r="N133" s="234"/>
      <c r="O133" s="281"/>
      <c r="P133" s="233"/>
      <c r="Q133" s="233"/>
      <c r="R133" s="234"/>
      <c r="S133" s="233" t="s">
        <v>452</v>
      </c>
      <c r="T133" s="233"/>
      <c r="U133" s="233"/>
      <c r="V133" s="233"/>
      <c r="W133" s="233"/>
      <c r="X133" s="233"/>
      <c r="Y133" s="233"/>
      <c r="Z133" s="233"/>
      <c r="AA133" s="233"/>
      <c r="AB133" s="233"/>
      <c r="AC133" s="233"/>
      <c r="AD133" s="233"/>
      <c r="AE133" s="233"/>
      <c r="AF133" s="233"/>
      <c r="AG133" s="233"/>
      <c r="AH133" s="233"/>
      <c r="AI133" s="233"/>
      <c r="AJ133" s="233"/>
      <c r="AK133" s="233"/>
      <c r="AL133" s="233"/>
    </row>
    <row r="134">
      <c r="A134" s="279"/>
      <c r="B134" s="277">
        <v>42705.0</v>
      </c>
      <c r="C134" t="s">
        <v>3026</v>
      </c>
      <c r="E134" t="s">
        <v>62</v>
      </c>
      <c r="F134" t="s">
        <v>64</v>
      </c>
      <c r="H134" t="s">
        <v>3027</v>
      </c>
      <c r="L134" s="67"/>
      <c r="M134" s="280" t="s">
        <v>2482</v>
      </c>
      <c r="N134" s="234"/>
      <c r="O134" s="281"/>
      <c r="P134" s="233"/>
      <c r="Q134" s="233"/>
      <c r="R134" s="234"/>
      <c r="S134" s="233" t="s">
        <v>452</v>
      </c>
      <c r="T134" s="233"/>
      <c r="U134" s="233"/>
      <c r="V134" s="233"/>
      <c r="W134" s="233"/>
      <c r="X134" s="233"/>
      <c r="Y134" s="233"/>
      <c r="Z134" s="233"/>
      <c r="AA134" s="233"/>
      <c r="AB134" s="233"/>
      <c r="AC134" s="233"/>
      <c r="AD134" s="233"/>
      <c r="AE134" s="233"/>
      <c r="AF134" s="233"/>
      <c r="AG134" s="233"/>
      <c r="AH134" s="233"/>
      <c r="AI134" s="233"/>
      <c r="AJ134" s="233"/>
      <c r="AK134" s="233"/>
      <c r="AL134" s="233"/>
    </row>
    <row r="135">
      <c r="A135" s="279"/>
      <c r="B135" s="277">
        <v>42705.0</v>
      </c>
      <c r="C135" t="s">
        <v>3029</v>
      </c>
      <c r="E135">
        <v>26272.0</v>
      </c>
      <c r="F135" t="s">
        <v>3031</v>
      </c>
      <c r="G135" t="s">
        <v>3032</v>
      </c>
      <c r="K135" s="158" t="s">
        <v>2769</v>
      </c>
      <c r="L135" s="67"/>
      <c r="M135" s="280" t="s">
        <v>2482</v>
      </c>
      <c r="N135" s="234"/>
      <c r="O135" s="281"/>
      <c r="P135" s="233"/>
      <c r="Q135" s="233"/>
      <c r="R135" s="234"/>
      <c r="S135" s="233" t="s">
        <v>452</v>
      </c>
      <c r="T135" s="13" t="s">
        <v>452</v>
      </c>
      <c r="U135" s="233"/>
      <c r="V135" s="233"/>
      <c r="W135" s="233"/>
      <c r="X135" s="233"/>
      <c r="Y135" s="233"/>
      <c r="Z135" s="233"/>
      <c r="AA135" s="233"/>
      <c r="AB135" s="233"/>
      <c r="AC135" s="233"/>
      <c r="AD135" s="233"/>
      <c r="AE135" s="233"/>
      <c r="AF135" s="233"/>
      <c r="AG135" s="233"/>
      <c r="AH135" s="233"/>
      <c r="AI135" s="233"/>
      <c r="AJ135" s="233"/>
      <c r="AK135" s="233"/>
      <c r="AL135" s="233"/>
    </row>
    <row r="136">
      <c r="A136" s="279"/>
      <c r="B136" s="277">
        <v>42705.0</v>
      </c>
      <c r="C136" t="s">
        <v>3033</v>
      </c>
      <c r="E136">
        <v>26231.0</v>
      </c>
      <c r="F136" t="s">
        <v>3031</v>
      </c>
      <c r="H136" t="s">
        <v>3034</v>
      </c>
      <c r="L136" s="67"/>
      <c r="M136" s="280" t="s">
        <v>2482</v>
      </c>
      <c r="N136" s="234"/>
      <c r="O136" s="281"/>
      <c r="P136" s="233"/>
      <c r="Q136" s="233"/>
      <c r="R136" s="234"/>
      <c r="S136" s="233" t="s">
        <v>452</v>
      </c>
      <c r="T136" s="233"/>
      <c r="U136" s="233"/>
      <c r="V136" s="233"/>
      <c r="W136" s="233"/>
      <c r="X136" s="233"/>
      <c r="Y136" s="233"/>
      <c r="Z136" s="233"/>
      <c r="AA136" s="233"/>
      <c r="AB136" s="233"/>
      <c r="AC136" s="233"/>
      <c r="AD136" s="233"/>
      <c r="AE136" s="233"/>
      <c r="AF136" s="233"/>
      <c r="AG136" s="233"/>
      <c r="AH136" s="233"/>
      <c r="AI136" s="233"/>
      <c r="AJ136" s="233"/>
      <c r="AK136" s="233"/>
      <c r="AL136" s="233"/>
    </row>
    <row r="137">
      <c r="A137" s="279"/>
      <c r="B137" s="277">
        <v>42705.0</v>
      </c>
      <c r="C137" t="s">
        <v>3035</v>
      </c>
      <c r="E137">
        <v>70227.0</v>
      </c>
      <c r="F137" t="s">
        <v>698</v>
      </c>
      <c r="H137" t="s">
        <v>3036</v>
      </c>
      <c r="L137" s="67"/>
      <c r="M137" s="280" t="s">
        <v>2482</v>
      </c>
      <c r="N137" s="234"/>
      <c r="O137" s="281"/>
      <c r="P137" s="233"/>
      <c r="Q137" s="233"/>
      <c r="R137" s="234"/>
      <c r="S137" s="233" t="s">
        <v>452</v>
      </c>
      <c r="T137" s="233"/>
      <c r="U137" s="233"/>
      <c r="V137" s="233"/>
      <c r="W137" s="233"/>
      <c r="X137" s="233"/>
      <c r="Y137" s="233"/>
      <c r="Z137" s="233"/>
      <c r="AA137" s="233"/>
      <c r="AB137" s="233"/>
      <c r="AC137" s="233"/>
      <c r="AD137" s="233"/>
      <c r="AE137" s="233"/>
      <c r="AF137" s="233"/>
      <c r="AG137" s="233"/>
      <c r="AH137" s="233"/>
      <c r="AI137" s="233"/>
      <c r="AJ137" s="233"/>
      <c r="AK137" s="233"/>
      <c r="AL137" s="233"/>
    </row>
    <row r="138">
      <c r="A138" s="279"/>
      <c r="B138" s="277">
        <v>42705.0</v>
      </c>
      <c r="C138" t="s">
        <v>3037</v>
      </c>
      <c r="E138">
        <v>70227.0</v>
      </c>
      <c r="F138" t="s">
        <v>698</v>
      </c>
      <c r="H138" t="s">
        <v>3038</v>
      </c>
      <c r="L138" s="67"/>
      <c r="M138" s="280" t="s">
        <v>2482</v>
      </c>
      <c r="N138" s="234"/>
      <c r="O138" s="281"/>
      <c r="P138" s="233"/>
      <c r="Q138" s="233"/>
      <c r="R138" s="234"/>
      <c r="S138" s="233" t="s">
        <v>452</v>
      </c>
      <c r="T138" s="233"/>
      <c r="U138" s="233"/>
      <c r="V138" s="233"/>
      <c r="W138" s="233"/>
      <c r="X138" s="233"/>
      <c r="Y138" s="233"/>
      <c r="Z138" s="233"/>
      <c r="AA138" s="233"/>
      <c r="AB138" s="233"/>
      <c r="AC138" s="233"/>
      <c r="AD138" s="233"/>
      <c r="AE138" s="233"/>
      <c r="AF138" s="233"/>
      <c r="AG138" s="233"/>
      <c r="AH138" s="233"/>
      <c r="AI138" s="233"/>
      <c r="AJ138" s="233"/>
      <c r="AK138" s="233"/>
      <c r="AL138" s="233"/>
    </row>
    <row r="139">
      <c r="A139" s="279"/>
      <c r="B139" s="277">
        <v>42705.0</v>
      </c>
      <c r="C139" t="s">
        <v>3040</v>
      </c>
      <c r="E139">
        <v>70232.0</v>
      </c>
      <c r="F139" t="s">
        <v>698</v>
      </c>
      <c r="H139" t="s">
        <v>3041</v>
      </c>
      <c r="L139" s="67"/>
      <c r="M139" s="280" t="s">
        <v>2482</v>
      </c>
      <c r="N139" s="234"/>
      <c r="O139" s="281"/>
      <c r="P139" s="233"/>
      <c r="Q139" s="233"/>
      <c r="R139" s="234"/>
      <c r="S139" s="233" t="s">
        <v>452</v>
      </c>
      <c r="T139" s="233"/>
      <c r="U139" s="233"/>
      <c r="V139" s="233"/>
      <c r="W139" s="233"/>
      <c r="X139" s="233"/>
      <c r="Y139" s="233"/>
      <c r="Z139" s="233"/>
      <c r="AA139" s="233"/>
      <c r="AB139" s="233"/>
      <c r="AC139" s="233"/>
      <c r="AD139" s="233"/>
      <c r="AE139" s="233"/>
      <c r="AF139" s="233"/>
      <c r="AG139" s="233"/>
      <c r="AH139" s="233"/>
      <c r="AI139" s="233"/>
      <c r="AJ139" s="233"/>
      <c r="AK139" s="233"/>
      <c r="AL139" s="233"/>
    </row>
    <row r="140">
      <c r="A140" s="308"/>
      <c r="B140" s="277">
        <v>42705.0</v>
      </c>
      <c r="C140" t="s">
        <v>2486</v>
      </c>
      <c r="D140" t="s">
        <v>696</v>
      </c>
      <c r="E140" s="6">
        <v>70227.0</v>
      </c>
      <c r="F140" t="s">
        <v>1147</v>
      </c>
      <c r="G140" t="s">
        <v>3043</v>
      </c>
      <c r="L140" s="67"/>
      <c r="M140" s="280" t="s">
        <v>2490</v>
      </c>
      <c r="N140" s="234"/>
      <c r="O140" s="296" t="s">
        <v>3044</v>
      </c>
      <c r="P140" s="13"/>
      <c r="Q140" s="233"/>
      <c r="R140" s="234"/>
      <c r="S140" s="233" t="s">
        <v>452</v>
      </c>
      <c r="T140" s="233"/>
      <c r="U140" s="233"/>
      <c r="V140" s="233"/>
      <c r="W140" s="233"/>
      <c r="X140" s="233"/>
      <c r="Y140" s="233"/>
      <c r="Z140" s="233"/>
      <c r="AA140" s="233"/>
      <c r="AB140" s="233"/>
      <c r="AC140" s="233"/>
      <c r="AD140" s="233"/>
      <c r="AE140" s="233"/>
      <c r="AF140" s="233"/>
      <c r="AG140" s="233"/>
      <c r="AH140" s="233"/>
      <c r="AI140" s="233"/>
      <c r="AJ140" s="233"/>
      <c r="AK140" s="233"/>
      <c r="AL140" s="233"/>
    </row>
    <row r="141">
      <c r="A141" s="279"/>
      <c r="B141" s="277">
        <v>42705.0</v>
      </c>
      <c r="C141" t="s">
        <v>3047</v>
      </c>
      <c r="E141">
        <v>70216.0</v>
      </c>
      <c r="F141" t="s">
        <v>698</v>
      </c>
      <c r="H141" t="s">
        <v>3048</v>
      </c>
      <c r="L141" s="67"/>
      <c r="M141" s="280" t="s">
        <v>2482</v>
      </c>
      <c r="N141" s="234"/>
      <c r="O141" s="281"/>
      <c r="P141" s="233"/>
      <c r="Q141" s="233"/>
      <c r="R141" s="234"/>
      <c r="S141" s="233" t="s">
        <v>452</v>
      </c>
      <c r="T141" s="233"/>
      <c r="U141" s="233"/>
      <c r="V141" s="233"/>
      <c r="W141" s="233"/>
      <c r="X141" s="233"/>
      <c r="Y141" s="233"/>
      <c r="Z141" s="233"/>
      <c r="AA141" s="233"/>
      <c r="AB141" s="233"/>
      <c r="AC141" s="233"/>
      <c r="AD141" s="233"/>
      <c r="AE141" s="233"/>
      <c r="AF141" s="233"/>
      <c r="AG141" s="233"/>
      <c r="AH141" s="233"/>
      <c r="AI141" s="233"/>
      <c r="AJ141" s="233"/>
      <c r="AK141" s="233"/>
      <c r="AL141" s="233"/>
    </row>
    <row r="142">
      <c r="A142" s="279"/>
      <c r="B142" s="277">
        <v>42705.0</v>
      </c>
      <c r="C142" t="s">
        <v>3049</v>
      </c>
      <c r="E142">
        <v>38297.0</v>
      </c>
      <c r="F142" t="s">
        <v>3050</v>
      </c>
      <c r="H142" t="s">
        <v>3051</v>
      </c>
      <c r="L142" s="67"/>
      <c r="M142" s="280" t="s">
        <v>2482</v>
      </c>
      <c r="N142" s="234"/>
      <c r="O142" s="281"/>
      <c r="P142" s="233"/>
      <c r="Q142" s="233"/>
      <c r="R142" s="234"/>
      <c r="S142" s="233" t="s">
        <v>452</v>
      </c>
      <c r="T142" s="233"/>
      <c r="U142" s="233"/>
      <c r="V142" s="233"/>
      <c r="W142" s="233"/>
      <c r="X142" s="233"/>
      <c r="Y142" s="233"/>
      <c r="Z142" s="233"/>
      <c r="AA142" s="233"/>
      <c r="AB142" s="233"/>
      <c r="AC142" s="233"/>
      <c r="AD142" s="233"/>
      <c r="AE142" s="233"/>
      <c r="AF142" s="233"/>
      <c r="AG142" s="233"/>
      <c r="AH142" s="233"/>
      <c r="AI142" s="233"/>
      <c r="AJ142" s="233"/>
      <c r="AK142" s="233"/>
      <c r="AL142" s="233"/>
    </row>
    <row r="143">
      <c r="A143" s="279"/>
      <c r="B143" s="277">
        <v>42705.0</v>
      </c>
      <c r="C143" t="s">
        <v>3054</v>
      </c>
      <c r="H143" t="s">
        <v>3055</v>
      </c>
      <c r="L143" s="67"/>
      <c r="M143" s="280" t="s">
        <v>2482</v>
      </c>
      <c r="N143" s="234"/>
      <c r="O143" s="281"/>
      <c r="P143" s="233"/>
      <c r="Q143" s="233"/>
      <c r="R143" s="234"/>
      <c r="S143" s="233" t="s">
        <v>452</v>
      </c>
      <c r="T143" s="233"/>
      <c r="U143" s="233"/>
      <c r="V143" s="233"/>
      <c r="W143" s="233"/>
      <c r="X143" s="233"/>
      <c r="Y143" s="233"/>
      <c r="Z143" s="233"/>
      <c r="AA143" s="233"/>
      <c r="AB143" s="233"/>
      <c r="AC143" s="233"/>
      <c r="AD143" s="233"/>
      <c r="AE143" s="233"/>
      <c r="AF143" s="233"/>
      <c r="AG143" s="233"/>
      <c r="AH143" s="233"/>
      <c r="AI143" s="233"/>
      <c r="AJ143" s="233"/>
      <c r="AK143" s="233"/>
      <c r="AL143" s="233"/>
    </row>
    <row r="144">
      <c r="A144" s="20"/>
      <c r="B144" s="310">
        <v>43745.0</v>
      </c>
      <c r="C144" s="6" t="s">
        <v>3059</v>
      </c>
      <c r="D144" s="6" t="s">
        <v>3060</v>
      </c>
      <c r="E144" s="6" t="s">
        <v>3061</v>
      </c>
      <c r="F144" s="6" t="s">
        <v>555</v>
      </c>
      <c r="H144" s="6" t="s">
        <v>3062</v>
      </c>
      <c r="J144" s="6" t="s">
        <v>3063</v>
      </c>
      <c r="K144" s="6" t="s">
        <v>9</v>
      </c>
      <c r="L144" s="67"/>
      <c r="M144" s="280" t="s">
        <v>2482</v>
      </c>
      <c r="N144" s="311">
        <v>43671.0</v>
      </c>
      <c r="O144" s="312"/>
      <c r="P144" s="313"/>
      <c r="Q144" s="313"/>
      <c r="R144" s="314"/>
      <c r="S144" s="313"/>
      <c r="T144" s="315"/>
      <c r="U144" s="313"/>
      <c r="V144" s="313"/>
      <c r="W144" s="313"/>
      <c r="X144" s="313"/>
      <c r="Y144" s="313"/>
      <c r="Z144" s="313"/>
      <c r="AA144" s="313"/>
      <c r="AB144" s="313"/>
      <c r="AC144" s="313"/>
      <c r="AD144" s="313"/>
      <c r="AE144" s="313"/>
      <c r="AF144" s="313"/>
      <c r="AG144" s="313"/>
      <c r="AH144" s="313"/>
      <c r="AI144" s="313"/>
      <c r="AJ144" s="313"/>
      <c r="AK144" s="313"/>
      <c r="AL144" s="313"/>
    </row>
    <row r="145">
      <c r="A145" s="20"/>
      <c r="B145" s="310">
        <v>43745.0</v>
      </c>
      <c r="C145" s="6" t="s">
        <v>3066</v>
      </c>
      <c r="D145" s="6" t="s">
        <v>3067</v>
      </c>
      <c r="E145" s="6" t="s">
        <v>3068</v>
      </c>
      <c r="F145" s="6" t="s">
        <v>555</v>
      </c>
      <c r="J145" s="6" t="s">
        <v>3069</v>
      </c>
      <c r="K145" s="6" t="s">
        <v>9</v>
      </c>
      <c r="L145" s="67"/>
      <c r="M145" s="280" t="s">
        <v>2482</v>
      </c>
      <c r="N145" s="311">
        <v>43671.0</v>
      </c>
      <c r="O145" s="281"/>
      <c r="P145" s="233"/>
      <c r="Q145" s="233"/>
      <c r="R145" s="234"/>
      <c r="S145" s="233"/>
      <c r="T145" s="233"/>
      <c r="U145" s="233"/>
      <c r="V145" s="233"/>
      <c r="W145" s="233"/>
      <c r="X145" s="233"/>
      <c r="Y145" s="233"/>
      <c r="Z145" s="233"/>
      <c r="AA145" s="233"/>
      <c r="AB145" s="233"/>
      <c r="AC145" s="233"/>
      <c r="AD145" s="233"/>
      <c r="AE145" s="233"/>
      <c r="AF145" s="233"/>
      <c r="AG145" s="233"/>
      <c r="AH145" s="233"/>
      <c r="AI145" s="233"/>
      <c r="AJ145" s="233"/>
      <c r="AK145" s="233"/>
      <c r="AL145" s="233"/>
    </row>
    <row r="146">
      <c r="A146" s="20"/>
      <c r="B146" s="310">
        <v>43745.0</v>
      </c>
      <c r="C146" s="6" t="s">
        <v>3073</v>
      </c>
      <c r="D146" s="6" t="s">
        <v>3075</v>
      </c>
      <c r="E146" s="6" t="s">
        <v>3077</v>
      </c>
      <c r="F146" s="6" t="s">
        <v>555</v>
      </c>
      <c r="K146" s="6" t="s">
        <v>9</v>
      </c>
      <c r="L146" s="67"/>
      <c r="M146" s="280" t="s">
        <v>2482</v>
      </c>
      <c r="N146" s="311">
        <v>43671.0</v>
      </c>
      <c r="O146" s="281"/>
      <c r="P146" s="233"/>
      <c r="Q146" s="233"/>
      <c r="R146" s="234"/>
      <c r="S146" s="233"/>
      <c r="T146" s="233"/>
      <c r="U146" s="233"/>
      <c r="V146" s="233"/>
      <c r="W146" s="233"/>
      <c r="X146" s="233"/>
      <c r="Y146" s="233"/>
      <c r="Z146" s="233"/>
      <c r="AA146" s="233"/>
      <c r="AB146" s="233"/>
      <c r="AC146" s="233"/>
      <c r="AD146" s="233"/>
      <c r="AE146" s="233"/>
      <c r="AF146" s="233"/>
      <c r="AG146" s="233"/>
      <c r="AH146" s="233"/>
      <c r="AI146" s="233"/>
      <c r="AJ146" s="233"/>
      <c r="AK146" s="233"/>
      <c r="AL146" s="233"/>
    </row>
    <row r="147">
      <c r="A147" s="323"/>
      <c r="B147" s="325">
        <v>43745.0</v>
      </c>
      <c r="C147" s="106" t="s">
        <v>3089</v>
      </c>
      <c r="D147" s="106" t="s">
        <v>3090</v>
      </c>
      <c r="E147" s="106" t="s">
        <v>3061</v>
      </c>
      <c r="F147" s="106" t="s">
        <v>555</v>
      </c>
      <c r="J147" s="6" t="s">
        <v>3092</v>
      </c>
      <c r="K147" s="6" t="s">
        <v>9</v>
      </c>
      <c r="L147" s="67"/>
      <c r="M147" s="280" t="s">
        <v>2490</v>
      </c>
      <c r="N147" s="311">
        <v>43671.0</v>
      </c>
      <c r="O147" s="281"/>
      <c r="P147" s="13" t="s">
        <v>3095</v>
      </c>
      <c r="Q147" s="233"/>
      <c r="R147" s="234"/>
      <c r="S147" s="233"/>
      <c r="T147" s="233"/>
      <c r="U147" s="233"/>
      <c r="V147" s="233"/>
      <c r="W147" s="233"/>
      <c r="X147" s="233"/>
      <c r="Y147" s="233"/>
      <c r="Z147" s="233"/>
      <c r="AA147" s="233"/>
      <c r="AB147" s="233"/>
      <c r="AC147" s="233"/>
      <c r="AD147" s="233"/>
      <c r="AE147" s="233"/>
      <c r="AF147" s="233"/>
      <c r="AG147" s="233"/>
      <c r="AH147" s="233"/>
      <c r="AI147" s="233"/>
      <c r="AJ147" s="233"/>
      <c r="AK147" s="233"/>
      <c r="AL147" s="233"/>
    </row>
    <row r="148">
      <c r="A148" s="20"/>
      <c r="B148" s="310">
        <v>43745.0</v>
      </c>
      <c r="C148" s="6" t="s">
        <v>3097</v>
      </c>
      <c r="D148" s="6" t="s">
        <v>3098</v>
      </c>
      <c r="E148" s="6" t="s">
        <v>3100</v>
      </c>
      <c r="F148" s="6" t="s">
        <v>555</v>
      </c>
      <c r="K148" s="6" t="s">
        <v>9</v>
      </c>
      <c r="L148" s="67"/>
      <c r="M148" s="280" t="s">
        <v>2482</v>
      </c>
      <c r="N148" s="311">
        <v>43671.0</v>
      </c>
      <c r="O148" s="281"/>
      <c r="P148" s="233"/>
      <c r="Q148" s="233"/>
      <c r="R148" s="234"/>
      <c r="S148" s="233"/>
      <c r="T148" s="233"/>
      <c r="U148" s="233"/>
      <c r="V148" s="233"/>
      <c r="W148" s="233"/>
      <c r="X148" s="233"/>
      <c r="Y148" s="233"/>
      <c r="Z148" s="233"/>
      <c r="AA148" s="233"/>
      <c r="AB148" s="233"/>
      <c r="AC148" s="233"/>
      <c r="AD148" s="233"/>
      <c r="AE148" s="233"/>
      <c r="AF148" s="233"/>
      <c r="AG148" s="233"/>
      <c r="AH148" s="233"/>
      <c r="AI148" s="233"/>
      <c r="AJ148" s="233"/>
      <c r="AK148" s="233"/>
      <c r="AL148" s="233"/>
    </row>
    <row r="149">
      <c r="A149" s="20"/>
      <c r="B149" s="310">
        <v>43745.0</v>
      </c>
      <c r="C149" s="6" t="s">
        <v>3103</v>
      </c>
      <c r="D149" s="6" t="s">
        <v>3105</v>
      </c>
      <c r="E149" s="6" t="s">
        <v>3107</v>
      </c>
      <c r="F149" s="6" t="s">
        <v>555</v>
      </c>
      <c r="J149" s="6" t="s">
        <v>3109</v>
      </c>
      <c r="K149" s="6" t="s">
        <v>9</v>
      </c>
      <c r="L149" s="67"/>
      <c r="M149" s="280" t="s">
        <v>2482</v>
      </c>
      <c r="N149" s="311">
        <v>43671.0</v>
      </c>
      <c r="O149" s="281"/>
      <c r="P149" s="233"/>
      <c r="Q149" s="233"/>
      <c r="R149" s="234"/>
      <c r="S149" s="233"/>
      <c r="T149" s="233"/>
      <c r="U149" s="233"/>
      <c r="V149" s="233"/>
      <c r="W149" s="233"/>
      <c r="X149" s="233"/>
      <c r="Y149" s="233"/>
      <c r="Z149" s="233"/>
      <c r="AA149" s="233"/>
      <c r="AB149" s="233"/>
      <c r="AC149" s="233"/>
      <c r="AD149" s="233"/>
      <c r="AE149" s="233"/>
      <c r="AF149" s="233"/>
      <c r="AG149" s="233"/>
      <c r="AH149" s="233"/>
      <c r="AI149" s="233"/>
      <c r="AJ149" s="233"/>
      <c r="AK149" s="233"/>
      <c r="AL149" s="233"/>
    </row>
    <row r="150">
      <c r="A150" s="20"/>
      <c r="B150" s="310">
        <v>43745.0</v>
      </c>
      <c r="C150" s="6" t="s">
        <v>3115</v>
      </c>
      <c r="D150" s="6" t="s">
        <v>3116</v>
      </c>
      <c r="E150" s="6" t="s">
        <v>3117</v>
      </c>
      <c r="F150" s="6" t="s">
        <v>555</v>
      </c>
      <c r="K150" s="6" t="s">
        <v>9</v>
      </c>
      <c r="L150" s="67"/>
      <c r="M150" s="280" t="s">
        <v>2482</v>
      </c>
      <c r="N150" s="311">
        <v>43671.0</v>
      </c>
      <c r="O150" s="281"/>
      <c r="P150" s="233"/>
      <c r="Q150" s="233"/>
      <c r="R150" s="234"/>
      <c r="S150" s="233"/>
      <c r="T150" s="233"/>
      <c r="U150" s="233"/>
      <c r="V150" s="233"/>
      <c r="W150" s="233"/>
      <c r="X150" s="233"/>
      <c r="Y150" s="233"/>
      <c r="Z150" s="233"/>
      <c r="AA150" s="233"/>
      <c r="AB150" s="233"/>
      <c r="AC150" s="233"/>
      <c r="AD150" s="233"/>
      <c r="AE150" s="233"/>
      <c r="AF150" s="233"/>
      <c r="AG150" s="233"/>
      <c r="AH150" s="233"/>
      <c r="AI150" s="233"/>
      <c r="AJ150" s="233"/>
      <c r="AK150" s="233"/>
      <c r="AL150" s="233"/>
    </row>
    <row r="151">
      <c r="A151" s="20"/>
      <c r="B151" s="310">
        <v>43745.0</v>
      </c>
      <c r="C151" s="6" t="s">
        <v>3128</v>
      </c>
      <c r="D151" s="6" t="s">
        <v>3129</v>
      </c>
      <c r="E151" s="6" t="s">
        <v>554</v>
      </c>
      <c r="F151" s="6" t="s">
        <v>555</v>
      </c>
      <c r="K151" s="6" t="s">
        <v>9</v>
      </c>
      <c r="L151" s="67"/>
      <c r="M151" s="280" t="s">
        <v>2482</v>
      </c>
      <c r="N151" s="311">
        <v>43671.0</v>
      </c>
      <c r="O151" s="281"/>
      <c r="P151" s="233"/>
      <c r="Q151" s="233"/>
      <c r="R151" s="234"/>
      <c r="S151" s="233"/>
      <c r="T151" s="233"/>
      <c r="U151" s="233"/>
      <c r="V151" s="233"/>
      <c r="W151" s="233"/>
      <c r="X151" s="233"/>
      <c r="Y151" s="233"/>
      <c r="Z151" s="233"/>
      <c r="AA151" s="233"/>
      <c r="AB151" s="233"/>
      <c r="AC151" s="233"/>
      <c r="AD151" s="233"/>
      <c r="AE151" s="233"/>
      <c r="AF151" s="233"/>
      <c r="AG151" s="233"/>
      <c r="AH151" s="233"/>
      <c r="AI151" s="233"/>
      <c r="AJ151" s="233"/>
      <c r="AK151" s="233"/>
      <c r="AL151" s="233"/>
    </row>
    <row r="152">
      <c r="A152" s="20"/>
      <c r="B152" s="310">
        <v>43745.0</v>
      </c>
      <c r="C152" s="6" t="s">
        <v>3136</v>
      </c>
      <c r="D152" s="6" t="s">
        <v>3137</v>
      </c>
      <c r="E152" s="6" t="s">
        <v>3138</v>
      </c>
      <c r="F152" s="6" t="s">
        <v>3139</v>
      </c>
      <c r="J152" s="6" t="s">
        <v>3140</v>
      </c>
      <c r="K152" s="6" t="s">
        <v>9</v>
      </c>
      <c r="L152" s="67"/>
      <c r="M152" s="280" t="s">
        <v>2482</v>
      </c>
      <c r="N152" s="311">
        <v>43671.0</v>
      </c>
      <c r="O152" s="281"/>
      <c r="P152" s="233"/>
      <c r="Q152" s="233"/>
      <c r="R152" s="234"/>
      <c r="S152" s="233"/>
      <c r="T152" s="233"/>
      <c r="U152" s="233"/>
      <c r="V152" s="233"/>
      <c r="W152" s="233"/>
      <c r="X152" s="233"/>
      <c r="Y152" s="233"/>
      <c r="Z152" s="233"/>
      <c r="AA152" s="233"/>
      <c r="AB152" s="233"/>
      <c r="AC152" s="233"/>
      <c r="AD152" s="233"/>
      <c r="AE152" s="233"/>
      <c r="AF152" s="233"/>
      <c r="AG152" s="233"/>
      <c r="AH152" s="233"/>
      <c r="AI152" s="233"/>
      <c r="AJ152" s="233"/>
      <c r="AK152" s="233"/>
      <c r="AL152" s="233"/>
    </row>
    <row r="153">
      <c r="A153" s="20"/>
      <c r="B153" s="310">
        <v>43745.0</v>
      </c>
      <c r="C153" s="6" t="s">
        <v>3143</v>
      </c>
      <c r="D153" s="6" t="s">
        <v>3144</v>
      </c>
      <c r="E153" s="6" t="s">
        <v>3146</v>
      </c>
      <c r="F153" s="6" t="s">
        <v>3139</v>
      </c>
      <c r="J153" s="6" t="s">
        <v>3148</v>
      </c>
      <c r="K153" s="6" t="s">
        <v>9</v>
      </c>
      <c r="L153" s="67"/>
      <c r="M153" s="280" t="s">
        <v>2482</v>
      </c>
      <c r="N153" s="311">
        <v>43671.0</v>
      </c>
      <c r="O153" s="281"/>
      <c r="P153" s="233"/>
      <c r="Q153" s="233"/>
      <c r="R153" s="234"/>
      <c r="S153" s="233"/>
      <c r="T153" s="233"/>
      <c r="U153" s="233"/>
      <c r="V153" s="233"/>
      <c r="W153" s="233"/>
      <c r="X153" s="233"/>
      <c r="Y153" s="233"/>
      <c r="Z153" s="233"/>
      <c r="AA153" s="233"/>
      <c r="AB153" s="233"/>
      <c r="AC153" s="233"/>
      <c r="AD153" s="233"/>
      <c r="AE153" s="233"/>
      <c r="AF153" s="233"/>
      <c r="AG153" s="233"/>
      <c r="AH153" s="233"/>
      <c r="AI153" s="233"/>
      <c r="AJ153" s="233"/>
      <c r="AK153" s="233"/>
      <c r="AL153" s="233"/>
    </row>
    <row r="154">
      <c r="A154" s="20"/>
      <c r="B154" s="310">
        <v>43745.0</v>
      </c>
      <c r="C154" s="6" t="s">
        <v>3152</v>
      </c>
      <c r="D154" s="6" t="s">
        <v>3153</v>
      </c>
      <c r="E154" s="6" t="s">
        <v>3154</v>
      </c>
      <c r="F154" s="6" t="s">
        <v>3139</v>
      </c>
      <c r="K154" s="6" t="s">
        <v>9</v>
      </c>
      <c r="L154" s="67"/>
      <c r="M154" s="280" t="s">
        <v>2482</v>
      </c>
      <c r="N154" s="311">
        <v>43671.0</v>
      </c>
      <c r="O154" s="281"/>
      <c r="P154" s="233"/>
      <c r="Q154" s="233"/>
      <c r="R154" s="234"/>
      <c r="S154" s="233"/>
      <c r="T154" s="233"/>
      <c r="U154" s="233"/>
      <c r="V154" s="233"/>
      <c r="W154" s="233"/>
      <c r="X154" s="233"/>
      <c r="Y154" s="233"/>
      <c r="Z154" s="233"/>
      <c r="AA154" s="233"/>
      <c r="AB154" s="233"/>
      <c r="AC154" s="233"/>
      <c r="AD154" s="233"/>
      <c r="AE154" s="233"/>
      <c r="AF154" s="233"/>
      <c r="AG154" s="233"/>
      <c r="AH154" s="233"/>
      <c r="AI154" s="233"/>
      <c r="AJ154" s="233"/>
      <c r="AK154" s="233"/>
      <c r="AL154" s="233"/>
    </row>
    <row r="155">
      <c r="A155" s="20"/>
      <c r="B155" s="310">
        <v>43745.0</v>
      </c>
      <c r="C155" s="6" t="s">
        <v>3155</v>
      </c>
      <c r="D155" s="6" t="s">
        <v>3156</v>
      </c>
      <c r="E155" s="6" t="s">
        <v>2863</v>
      </c>
      <c r="F155" s="6" t="s">
        <v>2864</v>
      </c>
      <c r="J155" s="6" t="s">
        <v>3157</v>
      </c>
      <c r="K155" s="6" t="s">
        <v>9</v>
      </c>
      <c r="L155" s="67"/>
      <c r="M155" s="280" t="s">
        <v>2482</v>
      </c>
      <c r="N155" s="311">
        <v>43699.0</v>
      </c>
      <c r="O155" s="281"/>
      <c r="P155" s="233"/>
      <c r="Q155" s="233"/>
      <c r="R155" s="234"/>
      <c r="S155" s="233"/>
      <c r="T155" s="233"/>
      <c r="U155" s="233"/>
      <c r="V155" s="233"/>
      <c r="W155" s="233"/>
      <c r="X155" s="233"/>
      <c r="Y155" s="233"/>
      <c r="Z155" s="233"/>
      <c r="AA155" s="233"/>
      <c r="AB155" s="233"/>
      <c r="AC155" s="233"/>
      <c r="AD155" s="233"/>
      <c r="AE155" s="233"/>
      <c r="AF155" s="233"/>
      <c r="AG155" s="233"/>
      <c r="AH155" s="233"/>
      <c r="AI155" s="233"/>
      <c r="AJ155" s="233"/>
      <c r="AK155" s="233"/>
      <c r="AL155" s="233"/>
    </row>
    <row r="156">
      <c r="A156" s="20"/>
      <c r="B156" s="310">
        <v>43745.0</v>
      </c>
      <c r="C156" s="6" t="s">
        <v>3161</v>
      </c>
      <c r="D156" s="6" t="s">
        <v>2793</v>
      </c>
      <c r="E156" s="6" t="s">
        <v>3162</v>
      </c>
      <c r="F156" s="6" t="s">
        <v>2786</v>
      </c>
      <c r="J156" s="6" t="s">
        <v>3163</v>
      </c>
      <c r="K156" s="6" t="s">
        <v>9</v>
      </c>
      <c r="L156" s="67"/>
      <c r="M156" s="280" t="s">
        <v>2482</v>
      </c>
      <c r="N156" s="311">
        <v>43699.0</v>
      </c>
      <c r="O156" s="281"/>
      <c r="P156" s="233"/>
      <c r="Q156" s="233"/>
      <c r="R156" s="234"/>
      <c r="S156" s="233"/>
      <c r="T156" s="233"/>
      <c r="U156" s="233"/>
      <c r="V156" s="233"/>
      <c r="W156" s="233"/>
      <c r="X156" s="233"/>
      <c r="Y156" s="233"/>
      <c r="Z156" s="233"/>
      <c r="AA156" s="233"/>
      <c r="AB156" s="233"/>
      <c r="AC156" s="233"/>
      <c r="AD156" s="233"/>
      <c r="AE156" s="233"/>
      <c r="AF156" s="233"/>
      <c r="AG156" s="233"/>
      <c r="AH156" s="233"/>
      <c r="AI156" s="233"/>
      <c r="AJ156" s="233"/>
      <c r="AK156" s="233"/>
      <c r="AL156" s="233"/>
    </row>
    <row r="157">
      <c r="A157" s="20"/>
      <c r="B157" s="310">
        <v>43745.0</v>
      </c>
      <c r="C157" s="6" t="s">
        <v>3165</v>
      </c>
      <c r="D157" s="6" t="s">
        <v>3166</v>
      </c>
      <c r="E157" s="6" t="s">
        <v>3168</v>
      </c>
      <c r="F157" s="6" t="s">
        <v>2786</v>
      </c>
      <c r="H157" s="6" t="s">
        <v>3169</v>
      </c>
      <c r="J157" s="6" t="s">
        <v>3170</v>
      </c>
      <c r="K157" s="6" t="s">
        <v>9</v>
      </c>
      <c r="L157" s="67"/>
      <c r="M157" s="280" t="s">
        <v>2482</v>
      </c>
      <c r="N157" s="311">
        <v>43699.0</v>
      </c>
      <c r="O157" s="281"/>
      <c r="P157" s="233"/>
      <c r="Q157" s="233"/>
      <c r="R157" s="234"/>
      <c r="S157" s="233"/>
      <c r="T157" s="233"/>
      <c r="U157" s="233"/>
      <c r="V157" s="233"/>
      <c r="W157" s="233"/>
      <c r="X157" s="233"/>
      <c r="Y157" s="233"/>
      <c r="Z157" s="233"/>
      <c r="AA157" s="233"/>
      <c r="AB157" s="233"/>
      <c r="AC157" s="233"/>
      <c r="AD157" s="233"/>
      <c r="AE157" s="233"/>
      <c r="AF157" s="233"/>
      <c r="AG157" s="233"/>
      <c r="AH157" s="233"/>
      <c r="AI157" s="233"/>
      <c r="AJ157" s="233"/>
      <c r="AK157" s="233"/>
      <c r="AL157" s="233"/>
    </row>
    <row r="158">
      <c r="A158" s="20"/>
      <c r="B158" s="310">
        <v>43745.0</v>
      </c>
      <c r="C158" s="6" t="s">
        <v>3172</v>
      </c>
      <c r="D158" s="6" t="s">
        <v>3173</v>
      </c>
      <c r="E158" s="6" t="s">
        <v>3168</v>
      </c>
      <c r="F158" s="6" t="s">
        <v>2786</v>
      </c>
      <c r="J158" s="6" t="s">
        <v>3174</v>
      </c>
      <c r="K158" s="6" t="s">
        <v>9</v>
      </c>
      <c r="L158" s="67"/>
      <c r="M158" s="280" t="s">
        <v>2482</v>
      </c>
      <c r="N158" s="311">
        <v>43699.0</v>
      </c>
      <c r="O158" s="281"/>
      <c r="P158" s="233"/>
      <c r="Q158" s="233"/>
      <c r="R158" s="234"/>
      <c r="S158" s="233"/>
      <c r="T158" s="233"/>
      <c r="U158" s="233"/>
      <c r="V158" s="233"/>
      <c r="W158" s="233"/>
      <c r="X158" s="233"/>
      <c r="Y158" s="233"/>
      <c r="Z158" s="233"/>
      <c r="AA158" s="233"/>
      <c r="AB158" s="233"/>
      <c r="AC158" s="233"/>
      <c r="AD158" s="233"/>
      <c r="AE158" s="233"/>
      <c r="AF158" s="233"/>
      <c r="AG158" s="233"/>
      <c r="AH158" s="233"/>
      <c r="AI158" s="233"/>
      <c r="AJ158" s="233"/>
      <c r="AK158" s="233"/>
      <c r="AL158" s="233"/>
    </row>
    <row r="159">
      <c r="A159" s="20"/>
      <c r="B159" s="310">
        <v>43745.0</v>
      </c>
      <c r="C159" s="6" t="s">
        <v>3177</v>
      </c>
      <c r="D159" s="6" t="s">
        <v>3178</v>
      </c>
      <c r="E159" s="6" t="s">
        <v>3168</v>
      </c>
      <c r="F159" s="6" t="s">
        <v>2786</v>
      </c>
      <c r="J159" s="6" t="s">
        <v>3179</v>
      </c>
      <c r="K159" s="6" t="s">
        <v>9</v>
      </c>
      <c r="L159" s="67"/>
      <c r="M159" s="280" t="s">
        <v>2482</v>
      </c>
      <c r="N159" s="311">
        <v>43699.0</v>
      </c>
      <c r="O159" s="281"/>
      <c r="P159" s="233"/>
      <c r="Q159" s="233"/>
      <c r="R159" s="234"/>
      <c r="S159" s="233"/>
      <c r="T159" s="233"/>
      <c r="U159" s="233"/>
      <c r="V159" s="233"/>
      <c r="W159" s="233"/>
      <c r="X159" s="233"/>
      <c r="Y159" s="233"/>
      <c r="Z159" s="233"/>
      <c r="AA159" s="233"/>
      <c r="AB159" s="233"/>
      <c r="AC159" s="233"/>
      <c r="AD159" s="233"/>
      <c r="AE159" s="233"/>
      <c r="AF159" s="233"/>
      <c r="AG159" s="233"/>
      <c r="AH159" s="233"/>
      <c r="AI159" s="233"/>
      <c r="AJ159" s="233"/>
      <c r="AK159" s="233"/>
      <c r="AL159" s="233"/>
    </row>
    <row r="160">
      <c r="A160" s="20"/>
      <c r="B160" s="310">
        <v>43745.0</v>
      </c>
      <c r="C160" s="6" t="s">
        <v>3182</v>
      </c>
      <c r="D160" s="6" t="s">
        <v>3183</v>
      </c>
      <c r="E160" s="6" t="s">
        <v>3185</v>
      </c>
      <c r="F160" s="6" t="s">
        <v>524</v>
      </c>
      <c r="J160" s="6" t="s">
        <v>3186</v>
      </c>
      <c r="K160" s="6" t="s">
        <v>9</v>
      </c>
      <c r="L160" s="67"/>
      <c r="M160" s="280" t="s">
        <v>2482</v>
      </c>
      <c r="N160" s="311">
        <v>43699.0</v>
      </c>
      <c r="O160" s="281"/>
      <c r="P160" s="233"/>
      <c r="Q160" s="233"/>
      <c r="R160" s="234"/>
      <c r="S160" s="233"/>
      <c r="T160" s="233"/>
      <c r="U160" s="233"/>
      <c r="V160" s="233"/>
      <c r="W160" s="233"/>
      <c r="X160" s="233"/>
      <c r="Y160" s="233"/>
      <c r="Z160" s="233"/>
      <c r="AA160" s="233"/>
      <c r="AB160" s="233"/>
      <c r="AC160" s="233"/>
      <c r="AD160" s="233"/>
      <c r="AE160" s="233"/>
      <c r="AF160" s="233"/>
      <c r="AG160" s="233"/>
      <c r="AH160" s="233"/>
      <c r="AI160" s="233"/>
      <c r="AJ160" s="233"/>
      <c r="AK160" s="233"/>
      <c r="AL160" s="233"/>
    </row>
    <row r="161">
      <c r="A161" s="20"/>
      <c r="B161" s="310">
        <v>43745.0</v>
      </c>
      <c r="C161" s="6" t="s">
        <v>3187</v>
      </c>
      <c r="D161" s="6" t="s">
        <v>3188</v>
      </c>
      <c r="E161" s="6" t="s">
        <v>3189</v>
      </c>
      <c r="F161" s="6" t="s">
        <v>2786</v>
      </c>
      <c r="J161" s="6" t="s">
        <v>3190</v>
      </c>
      <c r="K161" s="6" t="s">
        <v>2769</v>
      </c>
      <c r="L161" s="67"/>
      <c r="M161" s="280" t="s">
        <v>2482</v>
      </c>
      <c r="N161" s="311">
        <v>43699.0</v>
      </c>
      <c r="O161" s="281"/>
      <c r="P161" s="233"/>
      <c r="Q161" s="233"/>
      <c r="R161" s="234"/>
      <c r="S161" s="233"/>
      <c r="T161" s="233"/>
      <c r="U161" s="233"/>
      <c r="V161" s="233"/>
      <c r="W161" s="233"/>
      <c r="X161" s="233"/>
      <c r="Y161" s="233"/>
      <c r="Z161" s="233"/>
      <c r="AA161" s="233"/>
      <c r="AB161" s="233"/>
      <c r="AC161" s="233"/>
      <c r="AD161" s="233"/>
      <c r="AE161" s="233"/>
      <c r="AF161" s="233"/>
      <c r="AG161" s="233"/>
      <c r="AH161" s="233"/>
      <c r="AI161" s="233"/>
      <c r="AJ161" s="233"/>
      <c r="AK161" s="233"/>
      <c r="AL161" s="233"/>
    </row>
    <row r="162">
      <c r="A162" s="20"/>
      <c r="B162" s="310">
        <v>43745.0</v>
      </c>
      <c r="C162" s="6" t="s">
        <v>3194</v>
      </c>
      <c r="D162" s="6" t="s">
        <v>3195</v>
      </c>
      <c r="E162" s="6" t="s">
        <v>3189</v>
      </c>
      <c r="F162" s="6" t="s">
        <v>2786</v>
      </c>
      <c r="J162" s="6" t="s">
        <v>3196</v>
      </c>
      <c r="K162" s="6" t="s">
        <v>2769</v>
      </c>
      <c r="L162" s="67"/>
      <c r="M162" s="280" t="s">
        <v>2482</v>
      </c>
      <c r="N162" s="311">
        <v>43699.0</v>
      </c>
      <c r="O162" s="281"/>
      <c r="P162" s="233"/>
      <c r="Q162" s="233"/>
      <c r="R162" s="234"/>
      <c r="S162" s="233"/>
      <c r="T162" s="233"/>
      <c r="U162" s="233"/>
      <c r="V162" s="233"/>
      <c r="W162" s="233"/>
      <c r="X162" s="233"/>
      <c r="Y162" s="233"/>
      <c r="Z162" s="233"/>
      <c r="AA162" s="233"/>
      <c r="AB162" s="233"/>
      <c r="AC162" s="233"/>
      <c r="AD162" s="233"/>
      <c r="AE162" s="233"/>
      <c r="AF162" s="233"/>
      <c r="AG162" s="233"/>
      <c r="AH162" s="233"/>
      <c r="AI162" s="233"/>
      <c r="AJ162" s="233"/>
      <c r="AK162" s="233"/>
      <c r="AL162" s="233"/>
    </row>
    <row r="163">
      <c r="A163" s="20"/>
      <c r="B163" s="310">
        <v>43745.0</v>
      </c>
      <c r="C163" s="6" t="s">
        <v>3199</v>
      </c>
      <c r="D163" s="6" t="s">
        <v>3201</v>
      </c>
      <c r="E163" s="6" t="s">
        <v>3189</v>
      </c>
      <c r="F163" s="6" t="s">
        <v>2786</v>
      </c>
      <c r="J163" s="6" t="s">
        <v>3203</v>
      </c>
      <c r="K163" s="6" t="s">
        <v>2769</v>
      </c>
      <c r="L163" s="67"/>
      <c r="M163" s="280" t="s">
        <v>2482</v>
      </c>
      <c r="N163" s="311">
        <v>43699.0</v>
      </c>
      <c r="O163" s="281"/>
      <c r="P163" s="233"/>
      <c r="Q163" s="233"/>
      <c r="R163" s="234"/>
      <c r="S163" s="233"/>
      <c r="T163" s="233"/>
      <c r="U163" s="233"/>
      <c r="V163" s="233"/>
      <c r="W163" s="233"/>
      <c r="X163" s="233"/>
      <c r="Y163" s="233"/>
      <c r="Z163" s="233"/>
      <c r="AA163" s="233"/>
      <c r="AB163" s="233"/>
      <c r="AC163" s="233"/>
      <c r="AD163" s="233"/>
      <c r="AE163" s="233"/>
      <c r="AF163" s="233"/>
      <c r="AG163" s="233"/>
      <c r="AH163" s="233"/>
      <c r="AI163" s="233"/>
      <c r="AJ163" s="233"/>
      <c r="AK163" s="233"/>
      <c r="AL163" s="233"/>
    </row>
    <row r="164">
      <c r="A164" s="20"/>
      <c r="B164" s="310">
        <v>43745.0</v>
      </c>
      <c r="C164" s="6" t="s">
        <v>3205</v>
      </c>
      <c r="D164" s="6" t="s">
        <v>3206</v>
      </c>
      <c r="E164" s="6" t="s">
        <v>3207</v>
      </c>
      <c r="F164" s="6" t="s">
        <v>2786</v>
      </c>
      <c r="J164" s="6" t="s">
        <v>3209</v>
      </c>
      <c r="K164" s="6" t="s">
        <v>2769</v>
      </c>
      <c r="L164" s="67"/>
      <c r="M164" s="280" t="s">
        <v>2482</v>
      </c>
      <c r="N164" s="311">
        <v>43699.0</v>
      </c>
      <c r="O164" s="281"/>
      <c r="P164" s="233"/>
      <c r="Q164" s="233"/>
      <c r="R164" s="234"/>
      <c r="S164" s="233"/>
      <c r="T164" s="233"/>
      <c r="U164" s="233"/>
      <c r="V164" s="233"/>
      <c r="W164" s="233"/>
      <c r="X164" s="233"/>
      <c r="Y164" s="233"/>
      <c r="Z164" s="233"/>
      <c r="AA164" s="233"/>
      <c r="AB164" s="233"/>
      <c r="AC164" s="233"/>
      <c r="AD164" s="233"/>
      <c r="AE164" s="233"/>
      <c r="AF164" s="233"/>
      <c r="AG164" s="233"/>
      <c r="AH164" s="233"/>
      <c r="AI164" s="233"/>
      <c r="AJ164" s="233"/>
      <c r="AK164" s="233"/>
      <c r="AL164" s="233"/>
    </row>
    <row r="165">
      <c r="A165" s="20"/>
      <c r="B165" s="310">
        <v>43745.0</v>
      </c>
      <c r="C165" s="6" t="s">
        <v>3214</v>
      </c>
      <c r="D165" s="6" t="s">
        <v>3215</v>
      </c>
      <c r="E165" s="6" t="s">
        <v>3216</v>
      </c>
      <c r="F165" s="6" t="s">
        <v>2786</v>
      </c>
      <c r="J165" s="6" t="s">
        <v>3203</v>
      </c>
      <c r="K165" s="6" t="s">
        <v>2769</v>
      </c>
      <c r="L165" s="67"/>
      <c r="M165" s="280" t="s">
        <v>2482</v>
      </c>
      <c r="N165" s="311">
        <v>43699.0</v>
      </c>
      <c r="O165" s="281"/>
      <c r="P165" s="233"/>
      <c r="Q165" s="233"/>
      <c r="R165" s="234"/>
      <c r="S165" s="233"/>
      <c r="T165" s="233"/>
      <c r="U165" s="233"/>
      <c r="V165" s="233"/>
      <c r="W165" s="233"/>
      <c r="X165" s="233"/>
      <c r="Y165" s="233"/>
      <c r="Z165" s="233"/>
      <c r="AA165" s="233"/>
      <c r="AB165" s="233"/>
      <c r="AC165" s="233"/>
      <c r="AD165" s="233"/>
      <c r="AE165" s="233"/>
      <c r="AF165" s="233"/>
      <c r="AG165" s="233"/>
      <c r="AH165" s="233"/>
      <c r="AI165" s="233"/>
      <c r="AJ165" s="233"/>
      <c r="AK165" s="233"/>
      <c r="AL165" s="233"/>
    </row>
    <row r="166">
      <c r="A166" s="20"/>
      <c r="B166" s="310">
        <v>43745.0</v>
      </c>
      <c r="C166" s="6" t="s">
        <v>3219</v>
      </c>
      <c r="D166" s="6" t="s">
        <v>3220</v>
      </c>
      <c r="E166" s="6" t="s">
        <v>3221</v>
      </c>
      <c r="F166" s="6" t="s">
        <v>524</v>
      </c>
      <c r="J166" s="6" t="s">
        <v>3222</v>
      </c>
      <c r="K166" s="6" t="s">
        <v>2769</v>
      </c>
      <c r="L166" s="67"/>
      <c r="M166" s="280" t="s">
        <v>2482</v>
      </c>
      <c r="N166" s="311">
        <v>43699.0</v>
      </c>
      <c r="O166" s="281"/>
      <c r="P166" s="233"/>
      <c r="Q166" s="233"/>
      <c r="R166" s="234"/>
      <c r="S166" s="233"/>
      <c r="T166" s="233"/>
      <c r="U166" s="233"/>
      <c r="V166" s="233"/>
      <c r="W166" s="233"/>
      <c r="X166" s="233"/>
      <c r="Y166" s="233"/>
      <c r="Z166" s="233"/>
      <c r="AA166" s="233"/>
      <c r="AB166" s="233"/>
      <c r="AC166" s="233"/>
      <c r="AD166" s="233"/>
      <c r="AE166" s="233"/>
      <c r="AF166" s="233"/>
      <c r="AG166" s="233"/>
      <c r="AH166" s="233"/>
      <c r="AI166" s="233"/>
      <c r="AJ166" s="233"/>
      <c r="AK166" s="233"/>
      <c r="AL166" s="233"/>
    </row>
    <row r="167">
      <c r="A167" s="20"/>
      <c r="B167" s="310">
        <v>43745.0</v>
      </c>
      <c r="C167" s="6" t="s">
        <v>3226</v>
      </c>
      <c r="D167" s="6" t="s">
        <v>3227</v>
      </c>
      <c r="E167" s="6" t="s">
        <v>3228</v>
      </c>
      <c r="F167" s="6" t="s">
        <v>524</v>
      </c>
      <c r="J167" s="6" t="s">
        <v>3229</v>
      </c>
      <c r="K167" s="6" t="s">
        <v>2769</v>
      </c>
      <c r="L167" s="67"/>
      <c r="M167" s="280" t="s">
        <v>2482</v>
      </c>
      <c r="N167" s="311">
        <v>43699.0</v>
      </c>
      <c r="O167" s="281"/>
      <c r="P167" s="233"/>
      <c r="Q167" s="233"/>
      <c r="R167" s="234"/>
      <c r="S167" s="233"/>
      <c r="T167" s="233"/>
      <c r="U167" s="233"/>
      <c r="V167" s="233"/>
      <c r="W167" s="233"/>
      <c r="X167" s="233"/>
      <c r="Y167" s="233"/>
      <c r="Z167" s="233"/>
      <c r="AA167" s="233"/>
      <c r="AB167" s="233"/>
      <c r="AC167" s="233"/>
      <c r="AD167" s="233"/>
      <c r="AE167" s="233"/>
      <c r="AF167" s="233"/>
      <c r="AG167" s="233"/>
      <c r="AH167" s="233"/>
      <c r="AI167" s="233"/>
      <c r="AJ167" s="233"/>
      <c r="AK167" s="233"/>
      <c r="AL167" s="233"/>
    </row>
    <row r="168">
      <c r="A168" s="20"/>
      <c r="B168" s="310">
        <v>43745.0</v>
      </c>
      <c r="C168" s="6" t="s">
        <v>3231</v>
      </c>
      <c r="D168" s="6" t="s">
        <v>3232</v>
      </c>
      <c r="E168" s="6" t="s">
        <v>3233</v>
      </c>
      <c r="F168" s="6" t="s">
        <v>524</v>
      </c>
      <c r="J168" s="6" t="s">
        <v>3234</v>
      </c>
      <c r="K168" s="6" t="s">
        <v>2769</v>
      </c>
      <c r="L168" s="67"/>
      <c r="M168" s="280" t="s">
        <v>2482</v>
      </c>
      <c r="N168" s="311">
        <v>43699.0</v>
      </c>
      <c r="O168" s="281"/>
      <c r="P168" s="233"/>
      <c r="Q168" s="233"/>
      <c r="R168" s="234"/>
      <c r="S168" s="233"/>
      <c r="T168" s="233"/>
      <c r="U168" s="233"/>
      <c r="V168" s="233"/>
      <c r="W168" s="233"/>
      <c r="X168" s="233"/>
      <c r="Y168" s="233"/>
      <c r="Z168" s="233"/>
      <c r="AA168" s="233"/>
      <c r="AB168" s="233"/>
      <c r="AC168" s="233"/>
      <c r="AD168" s="233"/>
      <c r="AE168" s="233"/>
      <c r="AF168" s="233"/>
      <c r="AG168" s="233"/>
      <c r="AH168" s="233"/>
      <c r="AI168" s="233"/>
      <c r="AJ168" s="233"/>
      <c r="AK168" s="233"/>
      <c r="AL168" s="233"/>
    </row>
    <row r="169">
      <c r="A169" s="20"/>
      <c r="B169" s="310">
        <v>43745.0</v>
      </c>
      <c r="C169" s="6" t="s">
        <v>3238</v>
      </c>
      <c r="D169" s="6" t="s">
        <v>3239</v>
      </c>
      <c r="E169" s="6" t="s">
        <v>3240</v>
      </c>
      <c r="F169" s="6" t="s">
        <v>1360</v>
      </c>
      <c r="J169" s="6" t="s">
        <v>3242</v>
      </c>
      <c r="K169" s="6" t="s">
        <v>2769</v>
      </c>
      <c r="L169" s="67"/>
      <c r="M169" s="280" t="s">
        <v>2482</v>
      </c>
      <c r="N169" s="311">
        <v>43699.0</v>
      </c>
      <c r="O169" s="281"/>
      <c r="P169" s="233"/>
      <c r="Q169" s="233"/>
      <c r="R169" s="234"/>
      <c r="S169" s="233"/>
      <c r="T169" s="233"/>
      <c r="U169" s="233"/>
      <c r="V169" s="233"/>
      <c r="W169" s="233"/>
      <c r="X169" s="233"/>
      <c r="Y169" s="233"/>
      <c r="Z169" s="233"/>
      <c r="AA169" s="233"/>
      <c r="AB169" s="233"/>
      <c r="AC169" s="233"/>
      <c r="AD169" s="233"/>
      <c r="AE169" s="233"/>
      <c r="AF169" s="233"/>
      <c r="AG169" s="233"/>
      <c r="AH169" s="233"/>
      <c r="AI169" s="233"/>
      <c r="AJ169" s="233"/>
      <c r="AK169" s="233"/>
      <c r="AL169" s="233"/>
    </row>
    <row r="170">
      <c r="A170" s="20"/>
      <c r="B170" s="310">
        <v>43745.0</v>
      </c>
      <c r="C170" s="6" t="s">
        <v>3246</v>
      </c>
      <c r="D170" s="6" t="s">
        <v>3247</v>
      </c>
      <c r="E170" s="6" t="s">
        <v>3249</v>
      </c>
      <c r="F170" s="6" t="s">
        <v>281</v>
      </c>
      <c r="K170" s="6" t="s">
        <v>2769</v>
      </c>
      <c r="L170" s="67"/>
      <c r="M170" s="280" t="s">
        <v>2482</v>
      </c>
      <c r="N170" s="311">
        <v>43699.0</v>
      </c>
      <c r="O170" s="281"/>
      <c r="P170" s="233"/>
      <c r="Q170" s="233"/>
      <c r="R170" s="234"/>
      <c r="S170" s="233"/>
      <c r="T170" s="233"/>
      <c r="U170" s="233"/>
      <c r="V170" s="233"/>
      <c r="W170" s="233"/>
      <c r="X170" s="233"/>
      <c r="Y170" s="233"/>
      <c r="Z170" s="233"/>
      <c r="AA170" s="233"/>
      <c r="AB170" s="233"/>
      <c r="AC170" s="233"/>
      <c r="AD170" s="233"/>
      <c r="AE170" s="233"/>
      <c r="AF170" s="233"/>
      <c r="AG170" s="233"/>
      <c r="AH170" s="233"/>
      <c r="AI170" s="233"/>
      <c r="AJ170" s="233"/>
      <c r="AK170" s="233"/>
      <c r="AL170" s="233"/>
    </row>
    <row r="171">
      <c r="A171" s="20"/>
      <c r="B171" s="310">
        <v>43745.0</v>
      </c>
      <c r="C171" s="6" t="s">
        <v>3256</v>
      </c>
      <c r="D171" s="6" t="s">
        <v>3257</v>
      </c>
      <c r="E171" s="6" t="s">
        <v>3189</v>
      </c>
      <c r="F171" s="6" t="s">
        <v>2786</v>
      </c>
      <c r="J171" s="6" t="s">
        <v>3258</v>
      </c>
      <c r="K171" s="6" t="s">
        <v>2769</v>
      </c>
      <c r="L171" s="67"/>
      <c r="M171" s="280" t="s">
        <v>2482</v>
      </c>
      <c r="N171" s="311">
        <v>43699.0</v>
      </c>
      <c r="O171" s="281"/>
      <c r="P171" s="233"/>
      <c r="Q171" s="233"/>
      <c r="R171" s="234"/>
      <c r="S171" s="233"/>
      <c r="T171" s="233"/>
      <c r="U171" s="233"/>
      <c r="V171" s="233"/>
      <c r="W171" s="233"/>
      <c r="X171" s="233"/>
      <c r="Y171" s="233"/>
      <c r="Z171" s="233"/>
      <c r="AA171" s="233"/>
      <c r="AB171" s="233"/>
      <c r="AC171" s="233"/>
      <c r="AD171" s="233"/>
      <c r="AE171" s="233"/>
      <c r="AF171" s="233"/>
      <c r="AG171" s="233"/>
      <c r="AH171" s="233"/>
      <c r="AI171" s="233"/>
      <c r="AJ171" s="233"/>
      <c r="AK171" s="233"/>
      <c r="AL171" s="233"/>
    </row>
    <row r="172">
      <c r="A172" s="20"/>
      <c r="B172" s="310">
        <v>43745.0</v>
      </c>
      <c r="C172" s="6" t="s">
        <v>3262</v>
      </c>
      <c r="D172" s="6" t="s">
        <v>3263</v>
      </c>
      <c r="E172" s="6" t="s">
        <v>3189</v>
      </c>
      <c r="F172" s="6" t="s">
        <v>2786</v>
      </c>
      <c r="J172" s="6" t="s">
        <v>3264</v>
      </c>
      <c r="K172" s="6" t="s">
        <v>2769</v>
      </c>
      <c r="L172" s="67"/>
      <c r="M172" s="280" t="s">
        <v>2482</v>
      </c>
      <c r="N172" s="311">
        <v>43699.0</v>
      </c>
      <c r="O172" s="281"/>
      <c r="P172" s="233"/>
      <c r="Q172" s="233"/>
      <c r="R172" s="234"/>
      <c r="S172" s="233"/>
      <c r="T172" s="233"/>
      <c r="U172" s="233"/>
      <c r="V172" s="233"/>
      <c r="W172" s="233"/>
      <c r="X172" s="233"/>
      <c r="Y172" s="233"/>
      <c r="Z172" s="233"/>
      <c r="AA172" s="233"/>
      <c r="AB172" s="233"/>
      <c r="AC172" s="233"/>
      <c r="AD172" s="233"/>
      <c r="AE172" s="233"/>
      <c r="AF172" s="233"/>
      <c r="AG172" s="233"/>
      <c r="AH172" s="233"/>
      <c r="AI172" s="233"/>
      <c r="AJ172" s="233"/>
      <c r="AK172" s="233"/>
      <c r="AL172" s="233"/>
    </row>
    <row r="173">
      <c r="A173" s="20"/>
      <c r="B173" s="310">
        <v>43745.0</v>
      </c>
      <c r="C173" s="6" t="s">
        <v>3267</v>
      </c>
      <c r="D173" s="6" t="s">
        <v>3268</v>
      </c>
      <c r="E173" s="6" t="s">
        <v>3189</v>
      </c>
      <c r="F173" s="6" t="s">
        <v>2786</v>
      </c>
      <c r="K173" s="6" t="s">
        <v>2769</v>
      </c>
      <c r="L173" s="67"/>
      <c r="M173" s="280" t="s">
        <v>2482</v>
      </c>
      <c r="N173" s="311">
        <v>43699.0</v>
      </c>
      <c r="O173" s="281"/>
      <c r="P173" s="233"/>
      <c r="Q173" s="233"/>
      <c r="R173" s="234"/>
      <c r="S173" s="233"/>
      <c r="T173" s="233"/>
      <c r="U173" s="233"/>
      <c r="V173" s="233"/>
      <c r="W173" s="233"/>
      <c r="X173" s="233"/>
      <c r="Y173" s="233"/>
      <c r="Z173" s="233"/>
      <c r="AA173" s="233"/>
      <c r="AB173" s="233"/>
      <c r="AC173" s="233"/>
      <c r="AD173" s="233"/>
      <c r="AE173" s="233"/>
      <c r="AF173" s="233"/>
      <c r="AG173" s="233"/>
      <c r="AH173" s="233"/>
      <c r="AI173" s="233"/>
      <c r="AJ173" s="233"/>
      <c r="AK173" s="233"/>
      <c r="AL173" s="233"/>
    </row>
    <row r="174">
      <c r="A174" s="20"/>
      <c r="B174" s="310">
        <v>43790.0</v>
      </c>
      <c r="C174" s="6" t="s">
        <v>3275</v>
      </c>
      <c r="D174" s="6" t="s">
        <v>3276</v>
      </c>
      <c r="E174" s="6" t="s">
        <v>3277</v>
      </c>
      <c r="F174" s="6" t="s">
        <v>3278</v>
      </c>
      <c r="K174" s="6" t="s">
        <v>9</v>
      </c>
      <c r="L174" s="67"/>
      <c r="M174" s="280" t="s">
        <v>2482</v>
      </c>
      <c r="N174" s="20">
        <v>43790.0</v>
      </c>
      <c r="O174" s="281"/>
      <c r="P174" s="233"/>
      <c r="Q174" s="233"/>
      <c r="R174" s="234"/>
      <c r="S174" s="233"/>
      <c r="T174" s="233"/>
      <c r="U174" s="233"/>
      <c r="V174" s="233"/>
      <c r="W174" s="233"/>
      <c r="X174" s="233"/>
      <c r="Y174" s="233"/>
      <c r="Z174" s="233"/>
      <c r="AA174" s="233"/>
      <c r="AB174" s="233"/>
      <c r="AC174" s="233"/>
      <c r="AD174" s="233"/>
      <c r="AE174" s="233"/>
      <c r="AF174" s="233"/>
      <c r="AG174" s="233"/>
      <c r="AH174" s="233"/>
      <c r="AI174" s="233"/>
      <c r="AJ174" s="233"/>
      <c r="AK174" s="233"/>
      <c r="AL174" s="233"/>
    </row>
    <row r="175">
      <c r="A175" s="20"/>
      <c r="B175" s="310">
        <v>43790.0</v>
      </c>
      <c r="C175" s="6" t="s">
        <v>3285</v>
      </c>
      <c r="D175" s="6" t="s">
        <v>3286</v>
      </c>
      <c r="E175" s="6" t="s">
        <v>3287</v>
      </c>
      <c r="F175" s="6" t="s">
        <v>3278</v>
      </c>
      <c r="K175" s="6" t="s">
        <v>9</v>
      </c>
      <c r="L175" s="67"/>
      <c r="M175" s="280" t="s">
        <v>2482</v>
      </c>
      <c r="N175" s="20">
        <v>43790.0</v>
      </c>
      <c r="O175" s="281"/>
      <c r="P175" s="233"/>
      <c r="Q175" s="233"/>
      <c r="R175" s="234"/>
      <c r="S175" s="233"/>
      <c r="T175" s="233"/>
      <c r="U175" s="233"/>
      <c r="V175" s="233"/>
      <c r="W175" s="233"/>
      <c r="X175" s="233"/>
      <c r="Y175" s="233"/>
      <c r="Z175" s="233"/>
      <c r="AA175" s="233"/>
      <c r="AB175" s="233"/>
      <c r="AC175" s="233"/>
      <c r="AD175" s="233"/>
      <c r="AE175" s="233"/>
      <c r="AF175" s="233"/>
      <c r="AG175" s="233"/>
      <c r="AH175" s="233"/>
      <c r="AI175" s="233"/>
      <c r="AJ175" s="233"/>
      <c r="AK175" s="233"/>
      <c r="AL175" s="233"/>
    </row>
    <row r="176">
      <c r="A176" s="20"/>
      <c r="B176" s="310">
        <v>43790.0</v>
      </c>
      <c r="C176" s="6" t="s">
        <v>3289</v>
      </c>
      <c r="D176" s="6" t="s">
        <v>3291</v>
      </c>
      <c r="E176" s="6" t="s">
        <v>3277</v>
      </c>
      <c r="F176" s="6" t="s">
        <v>3278</v>
      </c>
      <c r="K176" s="6" t="s">
        <v>9</v>
      </c>
      <c r="L176" s="67"/>
      <c r="M176" s="280" t="s">
        <v>2482</v>
      </c>
      <c r="N176" s="20">
        <v>43790.0</v>
      </c>
      <c r="O176" s="281"/>
      <c r="P176" s="233"/>
      <c r="Q176" s="233"/>
      <c r="R176" s="234"/>
      <c r="S176" s="233"/>
      <c r="T176" s="233"/>
      <c r="U176" s="233"/>
      <c r="V176" s="233"/>
      <c r="W176" s="233"/>
      <c r="X176" s="233"/>
      <c r="Y176" s="233"/>
      <c r="Z176" s="233"/>
      <c r="AA176" s="233"/>
      <c r="AB176" s="233"/>
      <c r="AC176" s="233"/>
      <c r="AD176" s="233"/>
      <c r="AE176" s="233"/>
      <c r="AF176" s="233"/>
      <c r="AG176" s="233"/>
      <c r="AH176" s="233"/>
      <c r="AI176" s="233"/>
      <c r="AJ176" s="233"/>
      <c r="AK176" s="233"/>
      <c r="AL176" s="233"/>
    </row>
    <row r="177">
      <c r="A177" s="20"/>
      <c r="B177" s="310">
        <v>43790.0</v>
      </c>
      <c r="C177" s="6" t="s">
        <v>3293</v>
      </c>
      <c r="D177" s="6" t="s">
        <v>3294</v>
      </c>
      <c r="E177" s="6" t="s">
        <v>3277</v>
      </c>
      <c r="F177" s="6" t="s">
        <v>3278</v>
      </c>
      <c r="K177" s="6" t="s">
        <v>9</v>
      </c>
      <c r="L177" s="67"/>
      <c r="M177" s="280" t="s">
        <v>2482</v>
      </c>
      <c r="N177" s="20">
        <v>43790.0</v>
      </c>
      <c r="O177" s="281"/>
      <c r="P177" s="233"/>
      <c r="Q177" s="233"/>
      <c r="R177" s="234"/>
      <c r="S177" s="233"/>
      <c r="T177" s="233"/>
      <c r="U177" s="233"/>
      <c r="V177" s="233"/>
      <c r="W177" s="233"/>
      <c r="X177" s="233"/>
      <c r="Y177" s="233"/>
      <c r="Z177" s="233"/>
      <c r="AA177" s="233"/>
      <c r="AB177" s="233"/>
      <c r="AC177" s="233"/>
      <c r="AD177" s="233"/>
      <c r="AE177" s="233"/>
      <c r="AF177" s="233"/>
      <c r="AG177" s="233"/>
      <c r="AH177" s="233"/>
      <c r="AI177" s="233"/>
      <c r="AJ177" s="233"/>
      <c r="AK177" s="233"/>
      <c r="AL177" s="233"/>
    </row>
    <row r="178">
      <c r="A178" s="20"/>
      <c r="B178" s="310">
        <v>43790.0</v>
      </c>
      <c r="C178" s="6" t="s">
        <v>3296</v>
      </c>
      <c r="D178" s="6" t="s">
        <v>3298</v>
      </c>
      <c r="E178" s="6" t="s">
        <v>3299</v>
      </c>
      <c r="F178" s="6" t="s">
        <v>281</v>
      </c>
      <c r="L178" s="67"/>
      <c r="M178" s="280" t="s">
        <v>2482</v>
      </c>
      <c r="N178" s="234"/>
      <c r="O178" s="281"/>
      <c r="P178" s="233"/>
      <c r="Q178" s="233"/>
      <c r="R178" s="234"/>
      <c r="S178" s="233"/>
      <c r="T178" s="233"/>
      <c r="U178" s="233"/>
      <c r="V178" s="233"/>
      <c r="W178" s="233"/>
      <c r="X178" s="233"/>
      <c r="Y178" s="233"/>
      <c r="Z178" s="233"/>
      <c r="AA178" s="233"/>
      <c r="AB178" s="233"/>
      <c r="AC178" s="233"/>
      <c r="AD178" s="233"/>
      <c r="AE178" s="233"/>
      <c r="AF178" s="233"/>
      <c r="AG178" s="233"/>
      <c r="AH178" s="233"/>
      <c r="AI178" s="233"/>
      <c r="AJ178" s="233"/>
      <c r="AK178" s="233"/>
      <c r="AL178" s="233"/>
    </row>
    <row r="179">
      <c r="A179" s="20"/>
      <c r="B179" s="310">
        <v>43889.0</v>
      </c>
      <c r="C179" s="6" t="s">
        <v>3301</v>
      </c>
      <c r="D179" s="6" t="s">
        <v>3302</v>
      </c>
      <c r="E179" s="6" t="s">
        <v>668</v>
      </c>
      <c r="F179" s="6" t="s">
        <v>622</v>
      </c>
      <c r="G179" s="6" t="s">
        <v>3303</v>
      </c>
      <c r="H179" s="158" t="s">
        <v>3304</v>
      </c>
      <c r="I179" s="6" t="s">
        <v>3305</v>
      </c>
      <c r="K179" s="6" t="s">
        <v>2769</v>
      </c>
      <c r="L179" s="67"/>
      <c r="M179" s="280" t="s">
        <v>2482</v>
      </c>
      <c r="N179" s="234"/>
      <c r="O179" s="296" t="s">
        <v>3306</v>
      </c>
      <c r="P179" s="233"/>
      <c r="Q179" s="233"/>
      <c r="R179" s="234"/>
      <c r="S179" s="233"/>
      <c r="T179" s="233"/>
      <c r="U179" s="233"/>
      <c r="V179" s="233"/>
      <c r="W179" s="233"/>
      <c r="X179" s="233"/>
      <c r="Y179" s="233"/>
      <c r="Z179" s="233"/>
      <c r="AA179" s="233"/>
      <c r="AB179" s="233"/>
      <c r="AC179" s="233"/>
      <c r="AD179" s="233"/>
      <c r="AE179" s="233"/>
      <c r="AF179" s="233"/>
      <c r="AG179" s="233"/>
      <c r="AH179" s="233"/>
      <c r="AI179" s="233"/>
      <c r="AJ179" s="233"/>
      <c r="AK179" s="233"/>
      <c r="AL179" s="233"/>
    </row>
    <row r="180">
      <c r="A180" s="20"/>
      <c r="B180" s="310">
        <v>43889.0</v>
      </c>
      <c r="C180" s="6" t="s">
        <v>3308</v>
      </c>
      <c r="D180" s="6" t="s">
        <v>3309</v>
      </c>
      <c r="E180" s="6" t="s">
        <v>3310</v>
      </c>
      <c r="F180" s="6" t="s">
        <v>360</v>
      </c>
      <c r="G180" s="6" t="s">
        <v>3311</v>
      </c>
      <c r="H180" s="6" t="s">
        <v>3312</v>
      </c>
      <c r="K180" s="6" t="s">
        <v>2769</v>
      </c>
      <c r="L180" s="67"/>
      <c r="M180" s="280" t="s">
        <v>2482</v>
      </c>
      <c r="N180" s="234"/>
      <c r="O180" s="296" t="s">
        <v>3306</v>
      </c>
      <c r="P180" s="233"/>
      <c r="Q180" s="233"/>
      <c r="R180" s="234"/>
      <c r="S180" s="233"/>
      <c r="T180" s="233"/>
      <c r="U180" s="233"/>
      <c r="V180" s="233"/>
      <c r="W180" s="233"/>
      <c r="X180" s="233"/>
      <c r="Y180" s="233"/>
      <c r="Z180" s="233"/>
      <c r="AA180" s="233"/>
      <c r="AB180" s="233"/>
      <c r="AC180" s="233"/>
      <c r="AD180" s="233"/>
      <c r="AE180" s="233"/>
      <c r="AF180" s="233"/>
      <c r="AG180" s="233"/>
      <c r="AH180" s="233"/>
      <c r="AI180" s="233"/>
      <c r="AJ180" s="233"/>
      <c r="AK180" s="233"/>
      <c r="AL180" s="233"/>
    </row>
    <row r="181">
      <c r="A181" s="20"/>
      <c r="B181" s="310">
        <v>43889.0</v>
      </c>
      <c r="C181" s="6" t="s">
        <v>3315</v>
      </c>
      <c r="D181" s="6" t="s">
        <v>3316</v>
      </c>
      <c r="E181" s="6" t="s">
        <v>3317</v>
      </c>
      <c r="F181" s="6" t="s">
        <v>3318</v>
      </c>
      <c r="G181" s="6" t="s">
        <v>3319</v>
      </c>
      <c r="H181" s="6" t="s">
        <v>3320</v>
      </c>
      <c r="I181" s="6" t="s">
        <v>3321</v>
      </c>
      <c r="K181" s="6" t="s">
        <v>2769</v>
      </c>
      <c r="L181" s="67"/>
      <c r="M181" s="280" t="s">
        <v>2482</v>
      </c>
      <c r="N181" s="234"/>
      <c r="O181" s="296" t="s">
        <v>3306</v>
      </c>
      <c r="P181" s="233"/>
      <c r="Q181" s="233"/>
      <c r="R181" s="234"/>
      <c r="S181" s="233"/>
      <c r="T181" s="233"/>
      <c r="U181" s="233"/>
      <c r="V181" s="233"/>
      <c r="W181" s="233"/>
      <c r="X181" s="233"/>
      <c r="Y181" s="233"/>
      <c r="Z181" s="233"/>
      <c r="AA181" s="233"/>
      <c r="AB181" s="233"/>
      <c r="AC181" s="233"/>
      <c r="AD181" s="233"/>
      <c r="AE181" s="233"/>
      <c r="AF181" s="233"/>
      <c r="AG181" s="233"/>
      <c r="AH181" s="233"/>
      <c r="AI181" s="233"/>
      <c r="AJ181" s="233"/>
      <c r="AK181" s="233"/>
      <c r="AL181" s="233"/>
    </row>
    <row r="182">
      <c r="A182" s="20"/>
      <c r="B182" s="310">
        <v>43889.0</v>
      </c>
      <c r="C182" s="6" t="s">
        <v>3323</v>
      </c>
      <c r="H182" s="6" t="s">
        <v>3325</v>
      </c>
      <c r="I182" s="6" t="s">
        <v>3326</v>
      </c>
      <c r="J182" s="6" t="s">
        <v>3327</v>
      </c>
      <c r="K182" s="6" t="s">
        <v>2769</v>
      </c>
      <c r="L182" s="67"/>
      <c r="M182" s="280" t="s">
        <v>2482</v>
      </c>
      <c r="N182" s="234"/>
      <c r="O182" s="296" t="s">
        <v>3306</v>
      </c>
      <c r="P182" s="233"/>
      <c r="Q182" s="233"/>
      <c r="R182" s="234"/>
      <c r="S182" s="233"/>
      <c r="T182" s="233"/>
      <c r="U182" s="233"/>
      <c r="V182" s="233"/>
      <c r="W182" s="233"/>
      <c r="X182" s="233"/>
      <c r="Y182" s="233"/>
      <c r="Z182" s="233"/>
      <c r="AA182" s="233"/>
      <c r="AB182" s="233"/>
      <c r="AC182" s="233"/>
      <c r="AD182" s="233"/>
      <c r="AE182" s="233"/>
      <c r="AF182" s="233"/>
      <c r="AG182" s="233"/>
      <c r="AH182" s="233"/>
      <c r="AI182" s="233"/>
      <c r="AJ182" s="233"/>
      <c r="AK182" s="233"/>
      <c r="AL182" s="233"/>
    </row>
    <row r="183">
      <c r="A183" s="20"/>
      <c r="B183" s="310">
        <v>43889.0</v>
      </c>
      <c r="C183" s="6" t="s">
        <v>3323</v>
      </c>
      <c r="H183" s="6" t="s">
        <v>3329</v>
      </c>
      <c r="I183" s="6" t="s">
        <v>3330</v>
      </c>
      <c r="J183" s="6" t="s">
        <v>3331</v>
      </c>
      <c r="K183" s="6" t="s">
        <v>2769</v>
      </c>
      <c r="L183" s="67"/>
      <c r="M183" s="280" t="s">
        <v>2482</v>
      </c>
      <c r="N183" s="234"/>
      <c r="O183" s="296" t="s">
        <v>3306</v>
      </c>
      <c r="P183" s="233"/>
      <c r="Q183" s="233"/>
      <c r="R183" s="234"/>
      <c r="S183" s="233"/>
      <c r="T183" s="233"/>
      <c r="U183" s="233"/>
      <c r="V183" s="233"/>
      <c r="W183" s="233"/>
      <c r="X183" s="233"/>
      <c r="Y183" s="233"/>
      <c r="Z183" s="233"/>
      <c r="AA183" s="233"/>
      <c r="AB183" s="233"/>
      <c r="AC183" s="233"/>
      <c r="AD183" s="233"/>
      <c r="AE183" s="233"/>
      <c r="AF183" s="233"/>
      <c r="AG183" s="233"/>
      <c r="AH183" s="233"/>
      <c r="AI183" s="233"/>
      <c r="AJ183" s="233"/>
      <c r="AK183" s="233"/>
      <c r="AL183" s="233"/>
    </row>
    <row r="184">
      <c r="A184" s="20"/>
      <c r="B184" s="310">
        <v>43889.0</v>
      </c>
      <c r="C184" s="6" t="s">
        <v>3323</v>
      </c>
      <c r="H184" s="6" t="s">
        <v>3332</v>
      </c>
      <c r="I184" s="6" t="s">
        <v>3333</v>
      </c>
      <c r="J184" s="6" t="s">
        <v>3331</v>
      </c>
      <c r="K184" s="6" t="s">
        <v>2769</v>
      </c>
      <c r="L184" s="67"/>
      <c r="M184" s="280" t="s">
        <v>2482</v>
      </c>
      <c r="N184" s="234"/>
      <c r="O184" s="296" t="s">
        <v>3306</v>
      </c>
      <c r="P184" s="233"/>
      <c r="Q184" s="233"/>
      <c r="R184" s="234"/>
      <c r="S184" s="233"/>
      <c r="T184" s="233"/>
      <c r="U184" s="233"/>
      <c r="V184" s="233"/>
      <c r="W184" s="233"/>
      <c r="X184" s="233"/>
      <c r="Y184" s="233"/>
      <c r="Z184" s="233"/>
      <c r="AA184" s="233"/>
      <c r="AB184" s="233"/>
      <c r="AC184" s="233"/>
      <c r="AD184" s="233"/>
      <c r="AE184" s="233"/>
      <c r="AF184" s="233"/>
      <c r="AG184" s="233"/>
      <c r="AH184" s="233"/>
      <c r="AI184" s="233"/>
      <c r="AJ184" s="233"/>
      <c r="AK184" s="233"/>
      <c r="AL184" s="233"/>
    </row>
    <row r="185">
      <c r="A185" s="20"/>
      <c r="B185" s="310">
        <v>43889.0</v>
      </c>
      <c r="C185" s="6" t="s">
        <v>3323</v>
      </c>
      <c r="H185" s="6" t="s">
        <v>3334</v>
      </c>
      <c r="I185" s="6" t="s">
        <v>3335</v>
      </c>
      <c r="J185" s="6" t="s">
        <v>3331</v>
      </c>
      <c r="K185" s="6" t="s">
        <v>2769</v>
      </c>
      <c r="L185" s="67"/>
      <c r="M185" s="280" t="s">
        <v>2482</v>
      </c>
      <c r="N185" s="234"/>
      <c r="O185" s="296" t="s">
        <v>3306</v>
      </c>
      <c r="P185" s="233"/>
      <c r="Q185" s="233"/>
      <c r="R185" s="234"/>
      <c r="S185" s="233"/>
      <c r="T185" s="233"/>
      <c r="U185" s="233"/>
      <c r="V185" s="233"/>
      <c r="W185" s="233"/>
      <c r="X185" s="233"/>
      <c r="Y185" s="233"/>
      <c r="Z185" s="233"/>
      <c r="AA185" s="233"/>
      <c r="AB185" s="233"/>
      <c r="AC185" s="233"/>
      <c r="AD185" s="233"/>
      <c r="AE185" s="233"/>
      <c r="AF185" s="233"/>
      <c r="AG185" s="233"/>
      <c r="AH185" s="233"/>
      <c r="AI185" s="233"/>
      <c r="AJ185" s="233"/>
      <c r="AK185" s="233"/>
      <c r="AL185" s="233"/>
    </row>
    <row r="186">
      <c r="A186" s="20"/>
      <c r="B186" s="310">
        <v>43889.0</v>
      </c>
      <c r="C186" s="6" t="s">
        <v>3323</v>
      </c>
      <c r="H186" s="6" t="s">
        <v>3338</v>
      </c>
      <c r="I186" s="6" t="s">
        <v>3339</v>
      </c>
      <c r="J186" s="6" t="s">
        <v>3340</v>
      </c>
      <c r="K186" s="6" t="s">
        <v>2769</v>
      </c>
      <c r="L186" s="67"/>
      <c r="M186" s="280" t="s">
        <v>2482</v>
      </c>
      <c r="N186" s="234"/>
      <c r="O186" s="296" t="s">
        <v>3306</v>
      </c>
      <c r="P186" s="233"/>
      <c r="Q186" s="233"/>
      <c r="R186" s="234"/>
      <c r="S186" s="233"/>
      <c r="T186" s="233"/>
      <c r="U186" s="233"/>
      <c r="V186" s="233"/>
      <c r="W186" s="233"/>
      <c r="X186" s="233"/>
      <c r="Y186" s="233"/>
      <c r="Z186" s="233"/>
      <c r="AA186" s="233"/>
      <c r="AB186" s="233"/>
      <c r="AC186" s="233"/>
      <c r="AD186" s="233"/>
      <c r="AE186" s="233"/>
      <c r="AF186" s="233"/>
      <c r="AG186" s="233"/>
      <c r="AH186" s="233"/>
      <c r="AI186" s="233"/>
      <c r="AJ186" s="233"/>
      <c r="AK186" s="233"/>
      <c r="AL186" s="233"/>
    </row>
    <row r="187">
      <c r="A187" s="20"/>
      <c r="B187" s="310">
        <v>43889.0</v>
      </c>
      <c r="C187" s="6" t="s">
        <v>3323</v>
      </c>
      <c r="H187" s="6" t="s">
        <v>3341</v>
      </c>
      <c r="I187" s="6" t="s">
        <v>3342</v>
      </c>
      <c r="J187" s="6" t="s">
        <v>3340</v>
      </c>
      <c r="K187" s="6" t="s">
        <v>2769</v>
      </c>
      <c r="L187" s="67"/>
      <c r="M187" s="280" t="s">
        <v>2482</v>
      </c>
      <c r="N187" s="234"/>
      <c r="O187" s="296" t="s">
        <v>3306</v>
      </c>
      <c r="P187" s="233"/>
      <c r="Q187" s="233"/>
      <c r="R187" s="234"/>
      <c r="S187" s="233"/>
      <c r="T187" s="233"/>
      <c r="U187" s="233"/>
      <c r="V187" s="233"/>
      <c r="W187" s="233"/>
      <c r="X187" s="233"/>
      <c r="Y187" s="233"/>
      <c r="Z187" s="233"/>
      <c r="AA187" s="233"/>
      <c r="AB187" s="233"/>
      <c r="AC187" s="233"/>
      <c r="AD187" s="233"/>
      <c r="AE187" s="233"/>
      <c r="AF187" s="233"/>
      <c r="AG187" s="233"/>
      <c r="AH187" s="233"/>
      <c r="AI187" s="233"/>
      <c r="AJ187" s="233"/>
      <c r="AK187" s="233"/>
      <c r="AL187" s="233"/>
    </row>
    <row r="188">
      <c r="A188" s="20"/>
      <c r="B188" s="310">
        <v>43889.0</v>
      </c>
      <c r="C188" s="6" t="s">
        <v>3323</v>
      </c>
      <c r="H188" s="6" t="s">
        <v>3346</v>
      </c>
      <c r="I188" s="6" t="s">
        <v>3347</v>
      </c>
      <c r="J188" s="6" t="s">
        <v>3348</v>
      </c>
      <c r="K188" s="6" t="s">
        <v>2769</v>
      </c>
      <c r="L188" s="67"/>
      <c r="M188" s="280" t="s">
        <v>2482</v>
      </c>
      <c r="N188" s="234"/>
      <c r="O188" s="296" t="s">
        <v>3306</v>
      </c>
      <c r="P188" s="233"/>
      <c r="Q188" s="233"/>
      <c r="R188" s="234"/>
      <c r="S188" s="233"/>
      <c r="T188" s="233"/>
      <c r="U188" s="233"/>
      <c r="V188" s="233"/>
      <c r="W188" s="233"/>
      <c r="X188" s="233"/>
      <c r="Y188" s="233"/>
      <c r="Z188" s="233"/>
      <c r="AA188" s="233"/>
      <c r="AB188" s="233"/>
      <c r="AC188" s="233"/>
      <c r="AD188" s="233"/>
      <c r="AE188" s="233"/>
      <c r="AF188" s="233"/>
      <c r="AG188" s="233"/>
      <c r="AH188" s="233"/>
      <c r="AI188" s="233"/>
      <c r="AJ188" s="233"/>
      <c r="AK188" s="233"/>
      <c r="AL188" s="233"/>
    </row>
    <row r="189">
      <c r="A189" s="20"/>
      <c r="B189" s="310">
        <v>43889.0</v>
      </c>
      <c r="C189" s="6" t="s">
        <v>3323</v>
      </c>
      <c r="H189" s="6" t="s">
        <v>3349</v>
      </c>
      <c r="I189" s="6" t="s">
        <v>3350</v>
      </c>
      <c r="J189" s="6" t="s">
        <v>3331</v>
      </c>
      <c r="K189" s="6" t="s">
        <v>2769</v>
      </c>
      <c r="L189" s="67"/>
      <c r="M189" s="280" t="s">
        <v>2482</v>
      </c>
      <c r="N189" s="234"/>
      <c r="O189" s="296" t="s">
        <v>3306</v>
      </c>
      <c r="P189" s="233"/>
      <c r="Q189" s="233"/>
      <c r="R189" s="234"/>
      <c r="S189" s="233"/>
      <c r="T189" s="233"/>
      <c r="U189" s="233"/>
      <c r="V189" s="233"/>
      <c r="W189" s="233"/>
      <c r="X189" s="233"/>
      <c r="Y189" s="233"/>
      <c r="Z189" s="233"/>
      <c r="AA189" s="233"/>
      <c r="AB189" s="233"/>
      <c r="AC189" s="233"/>
      <c r="AD189" s="233"/>
      <c r="AE189" s="233"/>
      <c r="AF189" s="233"/>
      <c r="AG189" s="233"/>
      <c r="AH189" s="233"/>
      <c r="AI189" s="233"/>
      <c r="AJ189" s="233"/>
      <c r="AK189" s="233"/>
      <c r="AL189" s="233"/>
    </row>
    <row r="190">
      <c r="A190" s="20"/>
      <c r="B190" s="310">
        <v>43889.0</v>
      </c>
      <c r="C190" s="6" t="s">
        <v>3323</v>
      </c>
      <c r="H190" s="6" t="s">
        <v>3354</v>
      </c>
      <c r="I190" s="6" t="s">
        <v>3355</v>
      </c>
      <c r="J190" s="6" t="s">
        <v>3331</v>
      </c>
      <c r="K190" s="6" t="s">
        <v>2769</v>
      </c>
      <c r="L190" s="67"/>
      <c r="M190" s="280" t="s">
        <v>2482</v>
      </c>
      <c r="N190" s="234"/>
      <c r="O190" s="296" t="s">
        <v>3306</v>
      </c>
      <c r="P190" s="233"/>
      <c r="Q190" s="233"/>
      <c r="R190" s="234"/>
      <c r="S190" s="233"/>
      <c r="T190" s="233"/>
      <c r="U190" s="233"/>
      <c r="V190" s="233"/>
      <c r="W190" s="233"/>
      <c r="X190" s="233"/>
      <c r="Y190" s="233"/>
      <c r="Z190" s="233"/>
      <c r="AA190" s="233"/>
      <c r="AB190" s="233"/>
      <c r="AC190" s="233"/>
      <c r="AD190" s="233"/>
      <c r="AE190" s="233"/>
      <c r="AF190" s="233"/>
      <c r="AG190" s="233"/>
      <c r="AH190" s="233"/>
      <c r="AI190" s="233"/>
      <c r="AJ190" s="233"/>
      <c r="AK190" s="233"/>
      <c r="AL190" s="233"/>
    </row>
    <row r="191">
      <c r="A191" s="20"/>
      <c r="B191" s="310">
        <v>43889.0</v>
      </c>
      <c r="C191" s="6" t="s">
        <v>3359</v>
      </c>
      <c r="D191" s="6" t="s">
        <v>3360</v>
      </c>
      <c r="E191" s="6">
        <v>78170.0</v>
      </c>
      <c r="F191" s="6" t="s">
        <v>314</v>
      </c>
      <c r="H191" s="6" t="s">
        <v>3361</v>
      </c>
      <c r="I191" s="6" t="s">
        <v>3362</v>
      </c>
      <c r="J191" s="6" t="s">
        <v>3363</v>
      </c>
      <c r="K191" s="6" t="s">
        <v>2769</v>
      </c>
      <c r="L191" s="67"/>
      <c r="M191" s="280" t="s">
        <v>2482</v>
      </c>
      <c r="N191" s="234"/>
      <c r="O191" s="296" t="s">
        <v>3306</v>
      </c>
      <c r="P191" s="233"/>
      <c r="Q191" s="233"/>
      <c r="R191" s="234"/>
      <c r="S191" s="233"/>
      <c r="T191" s="233"/>
      <c r="U191" s="233"/>
      <c r="V191" s="233"/>
      <c r="W191" s="233"/>
      <c r="X191" s="233"/>
      <c r="Y191" s="233"/>
      <c r="Z191" s="233"/>
      <c r="AA191" s="233"/>
      <c r="AB191" s="233"/>
      <c r="AC191" s="233"/>
      <c r="AD191" s="233"/>
      <c r="AE191" s="233"/>
      <c r="AF191" s="233"/>
      <c r="AG191" s="233"/>
      <c r="AH191" s="233"/>
      <c r="AI191" s="233"/>
      <c r="AJ191" s="233"/>
      <c r="AK191" s="233"/>
      <c r="AL191" s="233"/>
    </row>
    <row r="192">
      <c r="A192" s="20"/>
      <c r="B192" s="310">
        <v>43889.0</v>
      </c>
      <c r="C192" s="6" t="s">
        <v>3367</v>
      </c>
      <c r="D192" s="6" t="s">
        <v>3368</v>
      </c>
      <c r="E192" s="6" t="s">
        <v>3369</v>
      </c>
      <c r="F192" s="6" t="s">
        <v>3318</v>
      </c>
      <c r="G192" s="6" t="s">
        <v>3370</v>
      </c>
      <c r="H192" s="6" t="s">
        <v>3371</v>
      </c>
      <c r="I192" s="6" t="s">
        <v>3372</v>
      </c>
      <c r="K192" s="6" t="s">
        <v>3373</v>
      </c>
      <c r="L192" s="67"/>
      <c r="M192" s="280" t="s">
        <v>2482</v>
      </c>
      <c r="N192" s="234"/>
      <c r="O192" s="296" t="s">
        <v>3306</v>
      </c>
      <c r="P192" s="233"/>
      <c r="Q192" s="233"/>
      <c r="R192" s="234"/>
      <c r="S192" s="233"/>
      <c r="T192" s="233"/>
      <c r="U192" s="233"/>
      <c r="V192" s="233"/>
      <c r="W192" s="233"/>
      <c r="X192" s="233"/>
      <c r="Y192" s="233"/>
      <c r="Z192" s="233"/>
      <c r="AA192" s="233"/>
      <c r="AB192" s="233"/>
      <c r="AC192" s="233"/>
      <c r="AD192" s="233"/>
      <c r="AE192" s="233"/>
      <c r="AF192" s="233"/>
      <c r="AG192" s="233"/>
      <c r="AH192" s="233"/>
      <c r="AI192" s="233"/>
      <c r="AJ192" s="233"/>
      <c r="AK192" s="233"/>
      <c r="AL192" s="233"/>
    </row>
    <row r="193">
      <c r="A193" s="20"/>
      <c r="B193" s="310">
        <v>43889.0</v>
      </c>
      <c r="C193" s="6" t="s">
        <v>3375</v>
      </c>
      <c r="D193" s="6" t="s">
        <v>3376</v>
      </c>
      <c r="E193" s="6">
        <v>50765.0</v>
      </c>
      <c r="F193" s="6" t="s">
        <v>132</v>
      </c>
      <c r="H193" s="6" t="s">
        <v>3377</v>
      </c>
      <c r="I193" s="6" t="s">
        <v>3378</v>
      </c>
      <c r="J193" s="6" t="s">
        <v>3363</v>
      </c>
      <c r="K193" s="6" t="s">
        <v>2769</v>
      </c>
      <c r="L193" s="67"/>
      <c r="M193" s="280" t="s">
        <v>2482</v>
      </c>
      <c r="N193" s="234"/>
      <c r="O193" s="296" t="s">
        <v>3306</v>
      </c>
      <c r="P193" s="233"/>
      <c r="Q193" s="233"/>
      <c r="R193" s="234"/>
      <c r="S193" s="233"/>
      <c r="T193" s="233"/>
      <c r="U193" s="233"/>
      <c r="V193" s="233"/>
      <c r="W193" s="233"/>
      <c r="X193" s="233"/>
      <c r="Y193" s="233"/>
      <c r="Z193" s="233"/>
      <c r="AA193" s="233"/>
      <c r="AB193" s="233"/>
      <c r="AC193" s="233"/>
      <c r="AD193" s="233"/>
      <c r="AE193" s="233"/>
      <c r="AF193" s="233"/>
      <c r="AG193" s="233"/>
      <c r="AH193" s="233"/>
      <c r="AI193" s="233"/>
      <c r="AJ193" s="233"/>
      <c r="AK193" s="233"/>
      <c r="AL193" s="233"/>
    </row>
    <row r="194">
      <c r="A194" s="20"/>
      <c r="B194" s="310">
        <v>43889.0</v>
      </c>
      <c r="C194" s="6" t="s">
        <v>3384</v>
      </c>
      <c r="D194" s="6" t="s">
        <v>3385</v>
      </c>
      <c r="E194" s="6">
        <v>80257.0</v>
      </c>
      <c r="F194" s="6" t="s">
        <v>463</v>
      </c>
      <c r="H194" s="6" t="s">
        <v>3387</v>
      </c>
      <c r="I194" s="6" t="s">
        <v>3389</v>
      </c>
      <c r="J194" s="6" t="s">
        <v>3363</v>
      </c>
      <c r="K194" s="6" t="s">
        <v>2769</v>
      </c>
      <c r="L194" s="67"/>
      <c r="M194" s="280" t="s">
        <v>2482</v>
      </c>
      <c r="N194" s="234"/>
      <c r="O194" s="296" t="s">
        <v>3306</v>
      </c>
      <c r="P194" s="233"/>
      <c r="Q194" s="233"/>
      <c r="R194" s="234"/>
      <c r="S194" s="233"/>
      <c r="T194" s="233"/>
      <c r="U194" s="233"/>
      <c r="V194" s="233"/>
      <c r="W194" s="233"/>
      <c r="X194" s="233"/>
      <c r="Y194" s="233"/>
      <c r="Z194" s="233"/>
      <c r="AA194" s="233"/>
      <c r="AB194" s="233"/>
      <c r="AC194" s="233"/>
      <c r="AD194" s="233"/>
      <c r="AE194" s="233"/>
      <c r="AF194" s="233"/>
      <c r="AG194" s="233"/>
      <c r="AH194" s="233"/>
      <c r="AI194" s="233"/>
      <c r="AJ194" s="233"/>
      <c r="AK194" s="233"/>
      <c r="AL194" s="233"/>
    </row>
    <row r="195">
      <c r="A195" s="20"/>
      <c r="B195" s="310">
        <v>43889.0</v>
      </c>
      <c r="C195" s="6" t="s">
        <v>3390</v>
      </c>
      <c r="D195" s="6" t="s">
        <v>3392</v>
      </c>
      <c r="E195" s="6" t="s">
        <v>3393</v>
      </c>
      <c r="F195" s="6" t="s">
        <v>3394</v>
      </c>
      <c r="G195" s="6" t="s">
        <v>3395</v>
      </c>
      <c r="H195" s="6" t="s">
        <v>3396</v>
      </c>
      <c r="I195" s="6" t="s">
        <v>3397</v>
      </c>
      <c r="K195" s="6" t="s">
        <v>3373</v>
      </c>
      <c r="L195" s="67"/>
      <c r="M195" s="280" t="s">
        <v>2482</v>
      </c>
      <c r="N195" s="234"/>
      <c r="O195" s="296" t="s">
        <v>3306</v>
      </c>
      <c r="P195" s="233"/>
      <c r="Q195" s="233"/>
      <c r="R195" s="234"/>
      <c r="S195" s="233"/>
      <c r="T195" s="233"/>
      <c r="U195" s="233"/>
      <c r="V195" s="233"/>
      <c r="W195" s="233"/>
      <c r="X195" s="233"/>
      <c r="Y195" s="233"/>
      <c r="Z195" s="233"/>
      <c r="AA195" s="233"/>
      <c r="AB195" s="233"/>
      <c r="AC195" s="233"/>
      <c r="AD195" s="233"/>
      <c r="AE195" s="233"/>
      <c r="AF195" s="233"/>
      <c r="AG195" s="233"/>
      <c r="AH195" s="233"/>
      <c r="AI195" s="233"/>
      <c r="AJ195" s="233"/>
      <c r="AK195" s="233"/>
      <c r="AL195" s="233"/>
    </row>
    <row r="196">
      <c r="A196" s="20"/>
      <c r="B196" s="310">
        <v>43889.0</v>
      </c>
      <c r="C196" s="6" t="s">
        <v>3399</v>
      </c>
      <c r="D196" s="6" t="s">
        <v>3400</v>
      </c>
      <c r="E196" s="6" t="s">
        <v>471</v>
      </c>
      <c r="F196" s="6" t="s">
        <v>472</v>
      </c>
      <c r="H196" s="6" t="s">
        <v>3401</v>
      </c>
      <c r="I196" s="6" t="s">
        <v>3402</v>
      </c>
      <c r="J196" s="6" t="s">
        <v>3363</v>
      </c>
      <c r="K196" s="6" t="s">
        <v>2769</v>
      </c>
      <c r="L196" s="67"/>
      <c r="M196" s="280" t="s">
        <v>2482</v>
      </c>
      <c r="N196" s="234"/>
      <c r="O196" s="296" t="s">
        <v>3306</v>
      </c>
      <c r="P196" s="233"/>
      <c r="Q196" s="233"/>
      <c r="R196" s="234"/>
      <c r="S196" s="233"/>
      <c r="T196" s="233"/>
      <c r="U196" s="233"/>
      <c r="V196" s="233"/>
      <c r="W196" s="233"/>
      <c r="X196" s="233"/>
      <c r="Y196" s="233"/>
      <c r="Z196" s="233"/>
      <c r="AA196" s="233"/>
      <c r="AB196" s="233"/>
      <c r="AC196" s="233"/>
      <c r="AD196" s="233"/>
      <c r="AE196" s="233"/>
      <c r="AF196" s="233"/>
      <c r="AG196" s="233"/>
      <c r="AH196" s="233"/>
      <c r="AI196" s="233"/>
      <c r="AJ196" s="233"/>
      <c r="AK196" s="233"/>
      <c r="AL196" s="233"/>
    </row>
    <row r="197">
      <c r="A197" s="20"/>
      <c r="B197" s="310">
        <v>43889.0</v>
      </c>
      <c r="C197" s="6" t="s">
        <v>3405</v>
      </c>
      <c r="D197" s="6" t="s">
        <v>3406</v>
      </c>
      <c r="E197" s="6" t="s">
        <v>3407</v>
      </c>
      <c r="F197" s="6" t="s">
        <v>380</v>
      </c>
      <c r="H197" s="6" t="s">
        <v>3408</v>
      </c>
      <c r="I197" s="6" t="s">
        <v>3409</v>
      </c>
      <c r="J197" s="6" t="s">
        <v>3363</v>
      </c>
      <c r="K197" s="6" t="s">
        <v>2769</v>
      </c>
      <c r="L197" s="67"/>
      <c r="M197" s="280" t="s">
        <v>2482</v>
      </c>
      <c r="N197" s="234"/>
      <c r="O197" s="296" t="s">
        <v>3306</v>
      </c>
      <c r="P197" s="233"/>
      <c r="Q197" s="233"/>
      <c r="R197" s="234"/>
      <c r="S197" s="233"/>
      <c r="T197" s="233"/>
      <c r="U197" s="233"/>
      <c r="V197" s="233"/>
      <c r="W197" s="233"/>
      <c r="X197" s="233"/>
      <c r="Y197" s="233"/>
      <c r="Z197" s="233"/>
      <c r="AA197" s="233"/>
      <c r="AB197" s="233"/>
      <c r="AC197" s="233"/>
      <c r="AD197" s="233"/>
      <c r="AE197" s="233"/>
      <c r="AF197" s="233"/>
      <c r="AG197" s="233"/>
      <c r="AH197" s="233"/>
      <c r="AI197" s="233"/>
      <c r="AJ197" s="233"/>
      <c r="AK197" s="233"/>
      <c r="AL197" s="233"/>
    </row>
    <row r="198">
      <c r="A198" s="20"/>
      <c r="B198" s="310">
        <v>43889.0</v>
      </c>
      <c r="C198" s="6" t="s">
        <v>3413</v>
      </c>
      <c r="D198" s="6" t="s">
        <v>3415</v>
      </c>
      <c r="E198" s="6" t="s">
        <v>589</v>
      </c>
      <c r="F198" s="6" t="s">
        <v>149</v>
      </c>
      <c r="H198" s="6" t="s">
        <v>3416</v>
      </c>
      <c r="I198" s="6" t="s">
        <v>3417</v>
      </c>
      <c r="J198" s="6" t="s">
        <v>3363</v>
      </c>
      <c r="K198" s="6" t="s">
        <v>2769</v>
      </c>
      <c r="L198" s="67"/>
      <c r="M198" s="280" t="s">
        <v>2482</v>
      </c>
      <c r="N198" s="234"/>
      <c r="O198" s="296" t="s">
        <v>3306</v>
      </c>
      <c r="P198" s="233"/>
      <c r="Q198" s="233"/>
      <c r="R198" s="234"/>
      <c r="S198" s="233"/>
      <c r="T198" s="233"/>
      <c r="U198" s="233"/>
      <c r="V198" s="233"/>
      <c r="W198" s="233"/>
      <c r="X198" s="233"/>
      <c r="Y198" s="233"/>
      <c r="Z198" s="233"/>
      <c r="AA198" s="233"/>
      <c r="AB198" s="233"/>
      <c r="AC198" s="233"/>
      <c r="AD198" s="233"/>
      <c r="AE198" s="233"/>
      <c r="AF198" s="233"/>
      <c r="AG198" s="233"/>
      <c r="AH198" s="233"/>
      <c r="AI198" s="233"/>
      <c r="AJ198" s="233"/>
      <c r="AK198" s="233"/>
      <c r="AL198" s="233"/>
    </row>
    <row r="199">
      <c r="A199" s="20"/>
      <c r="B199" s="310">
        <v>43889.0</v>
      </c>
      <c r="C199" s="6" t="s">
        <v>3418</v>
      </c>
      <c r="D199" s="6" t="s">
        <v>3419</v>
      </c>
      <c r="E199" s="6" t="s">
        <v>3420</v>
      </c>
      <c r="F199" s="6" t="s">
        <v>3421</v>
      </c>
      <c r="G199" s="6" t="s">
        <v>3422</v>
      </c>
      <c r="H199" s="6" t="s">
        <v>3424</v>
      </c>
      <c r="I199" s="6" t="s">
        <v>3425</v>
      </c>
      <c r="J199" s="6" t="s">
        <v>3426</v>
      </c>
      <c r="K199" s="6" t="s">
        <v>3373</v>
      </c>
      <c r="L199" s="67"/>
      <c r="M199" s="280" t="s">
        <v>2482</v>
      </c>
      <c r="N199" s="234"/>
      <c r="O199" s="296" t="s">
        <v>3306</v>
      </c>
      <c r="P199" s="233"/>
      <c r="Q199" s="233"/>
      <c r="R199" s="234"/>
      <c r="S199" s="233"/>
      <c r="T199" s="233"/>
      <c r="U199" s="233"/>
      <c r="V199" s="233"/>
      <c r="W199" s="233"/>
      <c r="X199" s="233"/>
      <c r="Y199" s="233"/>
      <c r="Z199" s="233"/>
      <c r="AA199" s="233"/>
      <c r="AB199" s="233"/>
      <c r="AC199" s="233"/>
      <c r="AD199" s="233"/>
      <c r="AE199" s="233"/>
      <c r="AF199" s="233"/>
      <c r="AG199" s="233"/>
      <c r="AH199" s="233"/>
      <c r="AI199" s="233"/>
      <c r="AJ199" s="233"/>
      <c r="AK199" s="233"/>
      <c r="AL199" s="233"/>
    </row>
    <row r="200">
      <c r="A200" s="20"/>
      <c r="B200" s="310">
        <v>43889.0</v>
      </c>
      <c r="C200" s="6" t="s">
        <v>3428</v>
      </c>
      <c r="D200" s="6" t="s">
        <v>3429</v>
      </c>
      <c r="E200" s="6" t="s">
        <v>3420</v>
      </c>
      <c r="F200" s="6" t="s">
        <v>3421</v>
      </c>
      <c r="G200" s="6" t="s">
        <v>3430</v>
      </c>
      <c r="H200" s="6" t="s">
        <v>3431</v>
      </c>
      <c r="I200" s="6" t="s">
        <v>3432</v>
      </c>
      <c r="J200" s="6" t="s">
        <v>3433</v>
      </c>
      <c r="K200" s="6" t="s">
        <v>2769</v>
      </c>
      <c r="L200" s="67"/>
      <c r="M200" s="280" t="s">
        <v>2482</v>
      </c>
      <c r="N200" s="234"/>
      <c r="O200" s="296" t="s">
        <v>3306</v>
      </c>
      <c r="P200" s="233"/>
      <c r="Q200" s="233"/>
      <c r="R200" s="234"/>
      <c r="S200" s="233"/>
      <c r="T200" s="233"/>
      <c r="U200" s="233"/>
      <c r="V200" s="233"/>
      <c r="W200" s="233"/>
      <c r="X200" s="233"/>
      <c r="Y200" s="233"/>
      <c r="Z200" s="233"/>
      <c r="AA200" s="233"/>
      <c r="AB200" s="233"/>
      <c r="AC200" s="233"/>
      <c r="AD200" s="233"/>
      <c r="AE200" s="233"/>
      <c r="AF200" s="233"/>
      <c r="AG200" s="233"/>
      <c r="AH200" s="233"/>
      <c r="AI200" s="233"/>
      <c r="AJ200" s="233"/>
      <c r="AK200" s="233"/>
      <c r="AL200" s="233"/>
    </row>
    <row r="201">
      <c r="A201" s="20"/>
      <c r="B201" s="310">
        <v>43889.0</v>
      </c>
      <c r="C201" s="6" t="s">
        <v>3445</v>
      </c>
      <c r="D201" s="6" t="s">
        <v>3446</v>
      </c>
      <c r="E201" s="6" t="s">
        <v>3420</v>
      </c>
      <c r="F201" s="6" t="s">
        <v>3421</v>
      </c>
      <c r="G201" s="6" t="s">
        <v>3447</v>
      </c>
      <c r="H201" s="6" t="s">
        <v>3448</v>
      </c>
      <c r="K201" s="6" t="s">
        <v>2769</v>
      </c>
      <c r="L201" s="67"/>
      <c r="M201" s="280" t="s">
        <v>2482</v>
      </c>
      <c r="N201" s="234"/>
      <c r="O201" s="343" t="s">
        <v>3453</v>
      </c>
      <c r="P201" s="233"/>
      <c r="Q201" s="233"/>
      <c r="R201" s="234"/>
      <c r="S201" s="233"/>
      <c r="T201" s="233"/>
      <c r="U201" s="233"/>
      <c r="V201" s="233"/>
      <c r="W201" s="233"/>
      <c r="X201" s="233"/>
      <c r="Y201" s="233"/>
      <c r="Z201" s="233"/>
      <c r="AA201" s="233"/>
      <c r="AB201" s="233"/>
      <c r="AC201" s="233"/>
      <c r="AD201" s="233"/>
      <c r="AE201" s="233"/>
      <c r="AF201" s="233"/>
      <c r="AG201" s="233"/>
      <c r="AH201" s="233"/>
      <c r="AI201" s="233"/>
      <c r="AJ201" s="233"/>
      <c r="AK201" s="233"/>
      <c r="AL201" s="233"/>
    </row>
    <row r="202">
      <c r="A202" s="20"/>
      <c r="B202" s="310">
        <v>43889.0</v>
      </c>
      <c r="C202" s="6" t="s">
        <v>3460</v>
      </c>
      <c r="D202" s="6" t="s">
        <v>3461</v>
      </c>
      <c r="E202" s="6" t="s">
        <v>3462</v>
      </c>
      <c r="F202" s="6" t="s">
        <v>3421</v>
      </c>
      <c r="G202" s="6" t="s">
        <v>3463</v>
      </c>
      <c r="H202" s="6" t="s">
        <v>3464</v>
      </c>
      <c r="K202" s="6" t="s">
        <v>2769</v>
      </c>
      <c r="L202" s="67"/>
      <c r="M202" s="280" t="s">
        <v>2482</v>
      </c>
      <c r="N202" s="234"/>
      <c r="O202" s="296" t="s">
        <v>3306</v>
      </c>
      <c r="P202" s="233"/>
      <c r="Q202" s="233"/>
      <c r="R202" s="234"/>
      <c r="S202" s="233"/>
      <c r="T202" s="233"/>
      <c r="U202" s="233"/>
      <c r="V202" s="233"/>
      <c r="W202" s="233"/>
      <c r="X202" s="233"/>
      <c r="Y202" s="233"/>
      <c r="Z202" s="233"/>
      <c r="AA202" s="233"/>
      <c r="AB202" s="233"/>
      <c r="AC202" s="233"/>
      <c r="AD202" s="233"/>
      <c r="AE202" s="233"/>
      <c r="AF202" s="233"/>
      <c r="AG202" s="233"/>
      <c r="AH202" s="233"/>
      <c r="AI202" s="233"/>
      <c r="AJ202" s="233"/>
      <c r="AK202" s="233"/>
      <c r="AL202" s="233"/>
    </row>
    <row r="203">
      <c r="A203" s="20"/>
      <c r="B203" s="310">
        <v>43889.0</v>
      </c>
      <c r="C203" s="6" t="s">
        <v>3474</v>
      </c>
      <c r="D203" s="6" t="s">
        <v>3476</v>
      </c>
      <c r="E203" s="6" t="s">
        <v>3478</v>
      </c>
      <c r="F203" s="6" t="s">
        <v>3479</v>
      </c>
      <c r="G203" s="6" t="s">
        <v>3480</v>
      </c>
      <c r="H203" s="6" t="s">
        <v>3481</v>
      </c>
      <c r="I203" s="6" t="s">
        <v>3482</v>
      </c>
      <c r="J203" s="6" t="s">
        <v>3433</v>
      </c>
      <c r="K203" s="6" t="s">
        <v>2769</v>
      </c>
      <c r="L203" s="67"/>
      <c r="M203" s="280" t="s">
        <v>2482</v>
      </c>
      <c r="N203" s="234"/>
      <c r="O203" s="296" t="s">
        <v>3306</v>
      </c>
      <c r="P203" s="233"/>
      <c r="Q203" s="233"/>
      <c r="R203" s="234"/>
      <c r="S203" s="233"/>
      <c r="T203" s="233"/>
      <c r="U203" s="233"/>
      <c r="V203" s="233"/>
      <c r="W203" s="233"/>
      <c r="X203" s="233"/>
      <c r="Y203" s="233"/>
      <c r="Z203" s="233"/>
      <c r="AA203" s="233"/>
      <c r="AB203" s="233"/>
      <c r="AC203" s="233"/>
      <c r="AD203" s="233"/>
      <c r="AE203" s="233"/>
      <c r="AF203" s="233"/>
      <c r="AG203" s="233"/>
      <c r="AH203" s="233"/>
      <c r="AI203" s="233"/>
      <c r="AJ203" s="233"/>
      <c r="AK203" s="233"/>
      <c r="AL203" s="233"/>
    </row>
    <row r="204">
      <c r="A204" s="20"/>
      <c r="B204" s="310">
        <v>43889.0</v>
      </c>
      <c r="C204" s="6" t="s">
        <v>3484</v>
      </c>
      <c r="D204" s="6" t="s">
        <v>3485</v>
      </c>
      <c r="E204" s="6" t="s">
        <v>3486</v>
      </c>
      <c r="F204" s="6" t="s">
        <v>3488</v>
      </c>
      <c r="G204" s="6" t="s">
        <v>3489</v>
      </c>
      <c r="H204" s="6" t="s">
        <v>3490</v>
      </c>
      <c r="K204" s="6" t="s">
        <v>2769</v>
      </c>
      <c r="L204" s="67"/>
      <c r="M204" s="280" t="s">
        <v>2482</v>
      </c>
      <c r="N204" s="234"/>
      <c r="O204" s="296" t="s">
        <v>3306</v>
      </c>
      <c r="P204" s="233"/>
      <c r="Q204" s="233"/>
      <c r="R204" s="234"/>
      <c r="S204" s="233"/>
      <c r="T204" s="233"/>
      <c r="U204" s="233"/>
      <c r="V204" s="233"/>
      <c r="W204" s="233"/>
      <c r="X204" s="233"/>
      <c r="Y204" s="233"/>
      <c r="Z204" s="233"/>
      <c r="AA204" s="233"/>
      <c r="AB204" s="233"/>
      <c r="AC204" s="233"/>
      <c r="AD204" s="233"/>
      <c r="AE204" s="233"/>
      <c r="AF204" s="233"/>
      <c r="AG204" s="233"/>
      <c r="AH204" s="233"/>
      <c r="AI204" s="233"/>
      <c r="AJ204" s="233"/>
      <c r="AK204" s="233"/>
      <c r="AL204" s="233"/>
    </row>
    <row r="205">
      <c r="A205" s="20"/>
      <c r="B205" s="310">
        <v>43889.0</v>
      </c>
      <c r="C205" s="6" t="s">
        <v>3492</v>
      </c>
      <c r="D205" s="6" t="s">
        <v>3493</v>
      </c>
      <c r="E205" s="6" t="s">
        <v>3494</v>
      </c>
      <c r="F205" s="6" t="s">
        <v>3488</v>
      </c>
      <c r="G205" s="6" t="s">
        <v>3496</v>
      </c>
      <c r="H205" s="6" t="s">
        <v>3497</v>
      </c>
      <c r="K205" s="6" t="s">
        <v>9</v>
      </c>
      <c r="L205" s="67"/>
      <c r="M205" s="280" t="s">
        <v>2482</v>
      </c>
      <c r="N205" s="234"/>
      <c r="O205" s="296" t="s">
        <v>3306</v>
      </c>
      <c r="P205" s="233"/>
      <c r="Q205" s="233"/>
      <c r="R205" s="234"/>
      <c r="S205" s="233"/>
      <c r="T205" s="233"/>
      <c r="U205" s="233"/>
      <c r="V205" s="233"/>
      <c r="W205" s="233"/>
      <c r="X205" s="233"/>
      <c r="Y205" s="233"/>
      <c r="Z205" s="233"/>
      <c r="AA205" s="233"/>
      <c r="AB205" s="233"/>
      <c r="AC205" s="233"/>
      <c r="AD205" s="233"/>
      <c r="AE205" s="233"/>
      <c r="AF205" s="233"/>
      <c r="AG205" s="233"/>
      <c r="AH205" s="233"/>
      <c r="AI205" s="233"/>
      <c r="AJ205" s="233"/>
      <c r="AK205" s="233"/>
      <c r="AL205" s="233"/>
    </row>
    <row r="206">
      <c r="A206" s="20"/>
      <c r="B206" s="310">
        <v>43889.0</v>
      </c>
      <c r="C206" s="6" t="s">
        <v>3498</v>
      </c>
      <c r="D206" s="6" t="s">
        <v>3499</v>
      </c>
      <c r="E206" s="6" t="s">
        <v>3500</v>
      </c>
      <c r="F206" s="6" t="s">
        <v>3488</v>
      </c>
      <c r="G206" s="6" t="s">
        <v>3501</v>
      </c>
      <c r="H206" s="6" t="s">
        <v>3502</v>
      </c>
      <c r="K206" s="6" t="s">
        <v>2769</v>
      </c>
      <c r="L206" s="67"/>
      <c r="M206" s="280" t="s">
        <v>2482</v>
      </c>
      <c r="N206" s="234"/>
      <c r="O206" s="296" t="s">
        <v>3306</v>
      </c>
      <c r="P206" s="233"/>
      <c r="Q206" s="233"/>
      <c r="R206" s="234"/>
      <c r="S206" s="233"/>
      <c r="T206" s="233"/>
      <c r="U206" s="233"/>
      <c r="V206" s="233"/>
      <c r="W206" s="233"/>
      <c r="X206" s="233"/>
      <c r="Y206" s="233"/>
      <c r="Z206" s="233"/>
      <c r="AA206" s="233"/>
      <c r="AB206" s="233"/>
      <c r="AC206" s="233"/>
      <c r="AD206" s="233"/>
      <c r="AE206" s="233"/>
      <c r="AF206" s="233"/>
      <c r="AG206" s="233"/>
      <c r="AH206" s="233"/>
      <c r="AI206" s="233"/>
      <c r="AJ206" s="233"/>
      <c r="AK206" s="233"/>
      <c r="AL206" s="233"/>
    </row>
    <row r="207">
      <c r="A207" s="20"/>
      <c r="B207" s="310">
        <v>43889.0</v>
      </c>
      <c r="C207" s="6" t="s">
        <v>3498</v>
      </c>
      <c r="D207" s="6" t="s">
        <v>3499</v>
      </c>
      <c r="E207" s="6" t="s">
        <v>3500</v>
      </c>
      <c r="F207" s="6" t="s">
        <v>3488</v>
      </c>
      <c r="G207" s="6" t="s">
        <v>3504</v>
      </c>
      <c r="H207" s="6" t="s">
        <v>3505</v>
      </c>
      <c r="I207" s="6" t="s">
        <v>572</v>
      </c>
      <c r="J207" s="6" t="s">
        <v>9</v>
      </c>
      <c r="K207" s="6" t="s">
        <v>9</v>
      </c>
      <c r="L207" s="67"/>
      <c r="M207" s="280" t="s">
        <v>2482</v>
      </c>
      <c r="N207" s="234"/>
      <c r="O207" s="296" t="s">
        <v>3306</v>
      </c>
      <c r="P207" s="233"/>
      <c r="Q207" s="233"/>
      <c r="R207" s="234"/>
      <c r="S207" s="233"/>
      <c r="T207" s="233"/>
      <c r="U207" s="233"/>
      <c r="V207" s="233"/>
      <c r="W207" s="233"/>
      <c r="X207" s="233"/>
      <c r="Y207" s="233"/>
      <c r="Z207" s="233"/>
      <c r="AA207" s="233"/>
      <c r="AB207" s="233"/>
      <c r="AC207" s="233"/>
      <c r="AD207" s="233"/>
      <c r="AE207" s="233"/>
      <c r="AF207" s="233"/>
      <c r="AG207" s="233"/>
      <c r="AH207" s="233"/>
      <c r="AI207" s="233"/>
      <c r="AJ207" s="233"/>
      <c r="AK207" s="233"/>
      <c r="AL207" s="233"/>
    </row>
    <row r="208">
      <c r="A208" s="20"/>
      <c r="B208" s="310">
        <v>43889.0</v>
      </c>
      <c r="C208" s="6" t="s">
        <v>3506</v>
      </c>
      <c r="D208" s="6" t="s">
        <v>3507</v>
      </c>
      <c r="E208" s="6" t="s">
        <v>3509</v>
      </c>
      <c r="F208" s="6" t="s">
        <v>3488</v>
      </c>
      <c r="H208" s="6" t="s">
        <v>3511</v>
      </c>
      <c r="I208" s="6" t="s">
        <v>3512</v>
      </c>
      <c r="J208" s="6" t="s">
        <v>3433</v>
      </c>
      <c r="K208" s="6" t="s">
        <v>2769</v>
      </c>
      <c r="L208" s="67"/>
      <c r="M208" s="280" t="s">
        <v>2482</v>
      </c>
      <c r="N208" s="234"/>
      <c r="O208" s="296" t="s">
        <v>3306</v>
      </c>
      <c r="P208" s="233"/>
      <c r="Q208" s="233"/>
      <c r="R208" s="234"/>
      <c r="S208" s="233"/>
      <c r="T208" s="233"/>
      <c r="U208" s="233"/>
      <c r="V208" s="233"/>
      <c r="W208" s="233"/>
      <c r="X208" s="233"/>
      <c r="Y208" s="233"/>
      <c r="Z208" s="233"/>
      <c r="AA208" s="233"/>
      <c r="AB208" s="233"/>
      <c r="AC208" s="233"/>
      <c r="AD208" s="233"/>
      <c r="AE208" s="233"/>
      <c r="AF208" s="233"/>
      <c r="AG208" s="233"/>
      <c r="AH208" s="233"/>
      <c r="AI208" s="233"/>
      <c r="AJ208" s="233"/>
      <c r="AK208" s="233"/>
      <c r="AL208" s="233"/>
    </row>
    <row r="209">
      <c r="A209" s="20"/>
      <c r="B209" s="310">
        <v>43889.0</v>
      </c>
      <c r="C209" s="6" t="s">
        <v>3516</v>
      </c>
      <c r="D209" s="6" t="s">
        <v>3415</v>
      </c>
      <c r="E209" s="6" t="s">
        <v>589</v>
      </c>
      <c r="F209" s="6" t="s">
        <v>149</v>
      </c>
      <c r="H209" s="6" t="s">
        <v>3517</v>
      </c>
      <c r="I209" s="6" t="s">
        <v>3417</v>
      </c>
      <c r="J209" s="6" t="s">
        <v>3363</v>
      </c>
      <c r="K209" s="6" t="s">
        <v>2769</v>
      </c>
      <c r="L209" s="67"/>
      <c r="M209" s="280" t="s">
        <v>2482</v>
      </c>
      <c r="N209" s="234"/>
      <c r="O209" s="296" t="s">
        <v>3306</v>
      </c>
      <c r="P209" s="233"/>
      <c r="Q209" s="233"/>
      <c r="R209" s="234"/>
      <c r="S209" s="233"/>
      <c r="T209" s="233"/>
      <c r="U209" s="233"/>
      <c r="V209" s="233"/>
      <c r="W209" s="233"/>
      <c r="X209" s="233"/>
      <c r="Y209" s="233"/>
      <c r="Z209" s="233"/>
      <c r="AA209" s="233"/>
      <c r="AB209" s="233"/>
      <c r="AC209" s="233"/>
      <c r="AD209" s="233"/>
      <c r="AE209" s="233"/>
      <c r="AF209" s="233"/>
      <c r="AG209" s="233"/>
      <c r="AH209" s="233"/>
      <c r="AI209" s="233"/>
      <c r="AJ209" s="233"/>
      <c r="AK209" s="233"/>
      <c r="AL209" s="233"/>
    </row>
    <row r="210">
      <c r="A210" s="20"/>
      <c r="B210" s="310">
        <v>43889.0</v>
      </c>
      <c r="C210" s="6" t="s">
        <v>3519</v>
      </c>
      <c r="D210" s="6" t="s">
        <v>3520</v>
      </c>
      <c r="E210" s="6" t="s">
        <v>1427</v>
      </c>
      <c r="F210" s="6" t="s">
        <v>534</v>
      </c>
      <c r="H210" s="6" t="s">
        <v>3521</v>
      </c>
      <c r="I210" s="6" t="s">
        <v>3522</v>
      </c>
      <c r="J210" s="6" t="s">
        <v>3363</v>
      </c>
      <c r="K210" s="6" t="s">
        <v>2769</v>
      </c>
      <c r="L210" s="67"/>
      <c r="M210" s="280" t="s">
        <v>2482</v>
      </c>
      <c r="N210" s="234"/>
      <c r="O210" s="296" t="s">
        <v>3306</v>
      </c>
      <c r="P210" s="233"/>
      <c r="Q210" s="233"/>
      <c r="R210" s="234"/>
      <c r="S210" s="233"/>
      <c r="T210" s="233"/>
      <c r="U210" s="233"/>
      <c r="V210" s="233"/>
      <c r="W210" s="233"/>
      <c r="X210" s="233"/>
      <c r="Y210" s="233"/>
      <c r="Z210" s="233"/>
      <c r="AA210" s="233"/>
      <c r="AB210" s="233"/>
      <c r="AC210" s="233"/>
      <c r="AD210" s="233"/>
      <c r="AE210" s="233"/>
      <c r="AF210" s="233"/>
      <c r="AG210" s="233"/>
      <c r="AH210" s="233"/>
      <c r="AI210" s="233"/>
      <c r="AJ210" s="233"/>
      <c r="AK210" s="233"/>
      <c r="AL210" s="233"/>
    </row>
    <row r="211">
      <c r="A211" s="20"/>
      <c r="B211" s="310">
        <v>43889.0</v>
      </c>
      <c r="C211" s="6" t="s">
        <v>3525</v>
      </c>
      <c r="D211" s="6" t="s">
        <v>3526</v>
      </c>
      <c r="E211" s="6">
        <v>65341.0</v>
      </c>
      <c r="F211" s="6" t="s">
        <v>427</v>
      </c>
      <c r="H211" s="6" t="s">
        <v>3527</v>
      </c>
      <c r="I211" s="6" t="s">
        <v>3528</v>
      </c>
      <c r="J211" s="6" t="s">
        <v>3363</v>
      </c>
      <c r="K211" s="6" t="s">
        <v>2769</v>
      </c>
      <c r="L211" s="67"/>
      <c r="M211" s="280" t="s">
        <v>2482</v>
      </c>
      <c r="N211" s="234"/>
      <c r="O211" s="296" t="s">
        <v>3306</v>
      </c>
      <c r="P211" s="233"/>
      <c r="Q211" s="233"/>
      <c r="R211" s="234"/>
      <c r="S211" s="233"/>
      <c r="T211" s="233"/>
      <c r="U211" s="233"/>
      <c r="V211" s="233"/>
      <c r="W211" s="233"/>
      <c r="X211" s="233"/>
      <c r="Y211" s="233"/>
      <c r="Z211" s="233"/>
      <c r="AA211" s="233"/>
      <c r="AB211" s="233"/>
      <c r="AC211" s="233"/>
      <c r="AD211" s="233"/>
      <c r="AE211" s="233"/>
      <c r="AF211" s="233"/>
      <c r="AG211" s="233"/>
      <c r="AH211" s="233"/>
      <c r="AI211" s="233"/>
      <c r="AJ211" s="233"/>
      <c r="AK211" s="233"/>
      <c r="AL211" s="233"/>
    </row>
    <row r="212">
      <c r="A212" s="20"/>
      <c r="B212" s="310">
        <v>43889.0</v>
      </c>
      <c r="C212" s="6" t="s">
        <v>3529</v>
      </c>
      <c r="D212" s="6" t="s">
        <v>3530</v>
      </c>
      <c r="E212" s="6">
        <v>60223.0</v>
      </c>
      <c r="F212" s="6" t="s">
        <v>1575</v>
      </c>
      <c r="H212" s="6" t="s">
        <v>3532</v>
      </c>
      <c r="I212" s="6" t="s">
        <v>3533</v>
      </c>
      <c r="J212" s="6" t="s">
        <v>3363</v>
      </c>
      <c r="K212" s="6" t="s">
        <v>2769</v>
      </c>
      <c r="L212" s="67"/>
      <c r="M212" s="280" t="s">
        <v>2482</v>
      </c>
      <c r="N212" s="234"/>
      <c r="O212" s="296" t="s">
        <v>3306</v>
      </c>
      <c r="P212" s="233"/>
      <c r="Q212" s="233"/>
      <c r="R212" s="234"/>
      <c r="S212" s="233"/>
      <c r="T212" s="233"/>
      <c r="U212" s="233"/>
      <c r="V212" s="233"/>
      <c r="W212" s="233"/>
      <c r="X212" s="233"/>
      <c r="Y212" s="233"/>
      <c r="Z212" s="233"/>
      <c r="AA212" s="233"/>
      <c r="AB212" s="233"/>
      <c r="AC212" s="233"/>
      <c r="AD212" s="233"/>
      <c r="AE212" s="233"/>
      <c r="AF212" s="233"/>
      <c r="AG212" s="233"/>
      <c r="AH212" s="233"/>
      <c r="AI212" s="233"/>
      <c r="AJ212" s="233"/>
      <c r="AK212" s="233"/>
      <c r="AL212" s="233"/>
    </row>
    <row r="213">
      <c r="A213" s="20"/>
      <c r="B213" s="310">
        <v>43889.0</v>
      </c>
      <c r="C213" s="6" t="s">
        <v>3534</v>
      </c>
      <c r="D213" s="6" t="s">
        <v>3535</v>
      </c>
      <c r="E213" s="6" t="s">
        <v>3536</v>
      </c>
      <c r="F213" s="6" t="s">
        <v>3537</v>
      </c>
      <c r="H213" s="6" t="s">
        <v>3538</v>
      </c>
      <c r="I213" s="6" t="s">
        <v>3539</v>
      </c>
      <c r="J213" s="6" t="s">
        <v>3363</v>
      </c>
      <c r="K213" s="6" t="s">
        <v>2769</v>
      </c>
      <c r="L213" s="67"/>
      <c r="M213" s="280" t="s">
        <v>2482</v>
      </c>
      <c r="N213" s="234"/>
      <c r="O213" s="296" t="s">
        <v>3306</v>
      </c>
      <c r="P213" s="233"/>
      <c r="Q213" s="233"/>
      <c r="R213" s="234"/>
      <c r="S213" s="233"/>
      <c r="T213" s="233"/>
      <c r="U213" s="233"/>
      <c r="V213" s="233"/>
      <c r="W213" s="233"/>
      <c r="X213" s="233"/>
      <c r="Y213" s="233"/>
      <c r="Z213" s="233"/>
      <c r="AA213" s="233"/>
      <c r="AB213" s="233"/>
      <c r="AC213" s="233"/>
      <c r="AD213" s="233"/>
      <c r="AE213" s="233"/>
      <c r="AF213" s="233"/>
      <c r="AG213" s="233"/>
      <c r="AH213" s="233"/>
      <c r="AI213" s="233"/>
      <c r="AJ213" s="233"/>
      <c r="AK213" s="233"/>
      <c r="AL213" s="233"/>
    </row>
    <row r="214">
      <c r="A214" s="20"/>
      <c r="B214" s="310">
        <v>43889.0</v>
      </c>
      <c r="C214" s="6" t="s">
        <v>3543</v>
      </c>
      <c r="D214" s="6" t="s">
        <v>3544</v>
      </c>
      <c r="E214" s="6">
        <v>70236.0</v>
      </c>
      <c r="F214" s="6" t="s">
        <v>698</v>
      </c>
      <c r="H214" s="6" t="s">
        <v>3545</v>
      </c>
      <c r="I214" s="6" t="s">
        <v>3546</v>
      </c>
      <c r="J214" s="6" t="s">
        <v>3363</v>
      </c>
      <c r="K214" s="6" t="s">
        <v>2769</v>
      </c>
      <c r="L214" s="67"/>
      <c r="M214" s="280" t="s">
        <v>2482</v>
      </c>
      <c r="N214" s="234"/>
      <c r="O214" s="296" t="s">
        <v>3547</v>
      </c>
      <c r="P214" s="233"/>
      <c r="Q214" s="233"/>
      <c r="R214" s="234"/>
      <c r="S214" s="233"/>
      <c r="T214" s="233"/>
      <c r="U214" s="233"/>
      <c r="V214" s="233"/>
      <c r="W214" s="233"/>
      <c r="X214" s="233"/>
      <c r="Y214" s="233"/>
      <c r="Z214" s="233"/>
      <c r="AA214" s="233"/>
      <c r="AB214" s="233"/>
      <c r="AC214" s="233"/>
      <c r="AD214" s="233"/>
      <c r="AE214" s="233"/>
      <c r="AF214" s="233"/>
      <c r="AG214" s="233"/>
      <c r="AH214" s="233"/>
      <c r="AI214" s="233"/>
      <c r="AJ214" s="233"/>
      <c r="AK214" s="233"/>
      <c r="AL214" s="233"/>
    </row>
    <row r="215">
      <c r="A215" s="20"/>
      <c r="B215" s="310">
        <v>43889.0</v>
      </c>
      <c r="C215" s="6" t="s">
        <v>3548</v>
      </c>
      <c r="D215" s="6" t="s">
        <v>3549</v>
      </c>
      <c r="E215" s="6" t="s">
        <v>3550</v>
      </c>
      <c r="F215" s="6" t="s">
        <v>230</v>
      </c>
      <c r="G215" s="6" t="s">
        <v>3551</v>
      </c>
      <c r="H215" s="6" t="s">
        <v>3552</v>
      </c>
      <c r="K215" s="6" t="s">
        <v>2769</v>
      </c>
      <c r="L215" s="67"/>
      <c r="M215" s="280" t="s">
        <v>2482</v>
      </c>
      <c r="N215" s="234"/>
      <c r="O215" s="296" t="s">
        <v>3547</v>
      </c>
      <c r="P215" s="233"/>
      <c r="Q215" s="233"/>
      <c r="R215" s="234"/>
      <c r="S215" s="233"/>
      <c r="T215" s="233"/>
      <c r="U215" s="233"/>
      <c r="V215" s="233"/>
      <c r="W215" s="233"/>
      <c r="X215" s="233"/>
      <c r="Y215" s="233"/>
      <c r="Z215" s="233"/>
      <c r="AA215" s="233"/>
      <c r="AB215" s="233"/>
      <c r="AC215" s="233"/>
      <c r="AD215" s="233"/>
      <c r="AE215" s="233"/>
      <c r="AF215" s="233"/>
      <c r="AG215" s="233"/>
      <c r="AH215" s="233"/>
      <c r="AI215" s="233"/>
      <c r="AJ215" s="233"/>
      <c r="AK215" s="233"/>
      <c r="AL215" s="233"/>
    </row>
    <row r="216">
      <c r="A216" s="20"/>
      <c r="B216" s="310">
        <v>43889.0</v>
      </c>
      <c r="C216" s="6" t="s">
        <v>3553</v>
      </c>
      <c r="D216" s="6" t="s">
        <v>3554</v>
      </c>
      <c r="E216" s="6">
        <v>17562.0</v>
      </c>
      <c r="F216" s="6" t="s">
        <v>255</v>
      </c>
      <c r="H216" s="6" t="s">
        <v>3555</v>
      </c>
      <c r="I216" s="6" t="s">
        <v>3556</v>
      </c>
      <c r="J216" s="6" t="s">
        <v>3363</v>
      </c>
      <c r="K216" s="6" t="s">
        <v>2769</v>
      </c>
      <c r="L216" s="67"/>
      <c r="M216" s="280" t="s">
        <v>2482</v>
      </c>
      <c r="N216" s="234"/>
      <c r="O216" s="296" t="s">
        <v>3547</v>
      </c>
      <c r="P216" s="233"/>
      <c r="Q216" s="233"/>
      <c r="R216" s="234"/>
      <c r="S216" s="233"/>
      <c r="T216" s="233"/>
      <c r="U216" s="233"/>
      <c r="V216" s="233"/>
      <c r="W216" s="233"/>
      <c r="X216" s="233"/>
      <c r="Y216" s="233"/>
      <c r="Z216" s="233"/>
      <c r="AA216" s="233"/>
      <c r="AB216" s="233"/>
      <c r="AC216" s="233"/>
      <c r="AD216" s="233"/>
      <c r="AE216" s="233"/>
      <c r="AF216" s="233"/>
      <c r="AG216" s="233"/>
      <c r="AH216" s="233"/>
      <c r="AI216" s="233"/>
      <c r="AJ216" s="233"/>
      <c r="AK216" s="233"/>
      <c r="AL216" s="233"/>
    </row>
    <row r="217">
      <c r="A217" s="20"/>
      <c r="B217" s="310">
        <v>43889.0</v>
      </c>
      <c r="C217" s="6" t="s">
        <v>3560</v>
      </c>
      <c r="D217" s="6" t="s">
        <v>3561</v>
      </c>
      <c r="E217" s="6" t="s">
        <v>3562</v>
      </c>
      <c r="F217" s="6" t="s">
        <v>728</v>
      </c>
      <c r="H217" s="6" t="s">
        <v>3563</v>
      </c>
      <c r="I217" s="6" t="s">
        <v>3564</v>
      </c>
      <c r="J217" s="6" t="s">
        <v>3363</v>
      </c>
      <c r="K217" s="6" t="s">
        <v>2769</v>
      </c>
      <c r="L217" s="67"/>
      <c r="M217" s="280" t="s">
        <v>2482</v>
      </c>
      <c r="N217" s="234"/>
      <c r="O217" s="296" t="s">
        <v>3547</v>
      </c>
      <c r="P217" s="233"/>
      <c r="Q217" s="233"/>
      <c r="R217" s="234"/>
      <c r="S217" s="233"/>
      <c r="T217" s="233"/>
      <c r="U217" s="233"/>
      <c r="V217" s="233"/>
      <c r="W217" s="233"/>
      <c r="X217" s="233"/>
      <c r="Y217" s="233"/>
      <c r="Z217" s="233"/>
      <c r="AA217" s="233"/>
      <c r="AB217" s="233"/>
      <c r="AC217" s="233"/>
      <c r="AD217" s="233"/>
      <c r="AE217" s="233"/>
      <c r="AF217" s="233"/>
      <c r="AG217" s="233"/>
      <c r="AH217" s="233"/>
      <c r="AI217" s="233"/>
      <c r="AJ217" s="233"/>
      <c r="AK217" s="233"/>
      <c r="AL217" s="233"/>
    </row>
    <row r="218">
      <c r="A218" s="20"/>
      <c r="B218" s="310">
        <v>43889.0</v>
      </c>
      <c r="C218" s="6" t="s">
        <v>3565</v>
      </c>
      <c r="D218" s="6" t="s">
        <v>3566</v>
      </c>
      <c r="E218" s="6" t="s">
        <v>3567</v>
      </c>
      <c r="F218" s="6" t="s">
        <v>3568</v>
      </c>
      <c r="H218" s="6" t="s">
        <v>3569</v>
      </c>
      <c r="K218" s="6" t="s">
        <v>2769</v>
      </c>
      <c r="L218" s="67"/>
      <c r="M218" s="280" t="s">
        <v>2482</v>
      </c>
      <c r="N218" s="234"/>
      <c r="O218" s="296" t="s">
        <v>3547</v>
      </c>
      <c r="P218" s="233"/>
      <c r="Q218" s="233"/>
      <c r="R218" s="234"/>
      <c r="S218" s="233"/>
      <c r="T218" s="233"/>
      <c r="U218" s="233"/>
      <c r="V218" s="233"/>
      <c r="W218" s="233"/>
      <c r="X218" s="233"/>
      <c r="Y218" s="233"/>
      <c r="Z218" s="233"/>
      <c r="AA218" s="233"/>
      <c r="AB218" s="233"/>
      <c r="AC218" s="233"/>
      <c r="AD218" s="233"/>
      <c r="AE218" s="233"/>
      <c r="AF218" s="233"/>
      <c r="AG218" s="233"/>
      <c r="AH218" s="233"/>
      <c r="AI218" s="233"/>
      <c r="AJ218" s="233"/>
      <c r="AK218" s="233"/>
      <c r="AL218" s="233"/>
    </row>
    <row r="219">
      <c r="A219" s="20"/>
      <c r="B219" s="310">
        <v>43889.0</v>
      </c>
      <c r="C219" s="6" t="s">
        <v>3572</v>
      </c>
      <c r="D219" s="6" t="s">
        <v>3573</v>
      </c>
      <c r="E219" s="6" t="s">
        <v>3574</v>
      </c>
      <c r="F219" s="6" t="s">
        <v>230</v>
      </c>
      <c r="G219" s="6" t="s">
        <v>3575</v>
      </c>
      <c r="H219" s="6" t="s">
        <v>3576</v>
      </c>
      <c r="K219" s="6" t="s">
        <v>2769</v>
      </c>
      <c r="L219" s="67"/>
      <c r="M219" s="280" t="s">
        <v>2482</v>
      </c>
      <c r="N219" s="234"/>
      <c r="O219" s="296" t="s">
        <v>3577</v>
      </c>
      <c r="P219" s="233"/>
      <c r="Q219" s="233"/>
      <c r="R219" s="234"/>
      <c r="S219" s="233"/>
      <c r="T219" s="233"/>
      <c r="U219" s="233"/>
      <c r="V219" s="233"/>
      <c r="W219" s="233"/>
      <c r="X219" s="233"/>
      <c r="Y219" s="233"/>
      <c r="Z219" s="233"/>
      <c r="AA219" s="233"/>
      <c r="AB219" s="233"/>
      <c r="AC219" s="233"/>
      <c r="AD219" s="233"/>
      <c r="AE219" s="233"/>
      <c r="AF219" s="233"/>
      <c r="AG219" s="233"/>
      <c r="AH219" s="233"/>
      <c r="AI219" s="233"/>
      <c r="AJ219" s="233"/>
      <c r="AK219" s="233"/>
      <c r="AL219" s="233"/>
    </row>
    <row r="220">
      <c r="A220" s="20"/>
      <c r="B220" s="310">
        <v>43889.0</v>
      </c>
      <c r="C220" s="6" t="s">
        <v>3578</v>
      </c>
      <c r="D220" s="6" t="s">
        <v>3579</v>
      </c>
      <c r="E220" s="6" t="s">
        <v>3580</v>
      </c>
      <c r="F220" s="6" t="s">
        <v>717</v>
      </c>
      <c r="H220" s="6" t="s">
        <v>3581</v>
      </c>
      <c r="I220" s="6" t="s">
        <v>3582</v>
      </c>
      <c r="J220" s="6" t="s">
        <v>3363</v>
      </c>
      <c r="K220" s="6" t="s">
        <v>2769</v>
      </c>
      <c r="L220" s="67"/>
      <c r="M220" s="280" t="s">
        <v>2482</v>
      </c>
      <c r="N220" s="234"/>
      <c r="O220" s="296" t="s">
        <v>3547</v>
      </c>
      <c r="P220" s="233"/>
      <c r="Q220" s="233"/>
      <c r="R220" s="234"/>
      <c r="S220" s="233"/>
      <c r="T220" s="233"/>
      <c r="U220" s="233"/>
      <c r="V220" s="233"/>
      <c r="W220" s="233"/>
      <c r="X220" s="233"/>
      <c r="Y220" s="233"/>
      <c r="Z220" s="233"/>
      <c r="AA220" s="233"/>
      <c r="AB220" s="233"/>
      <c r="AC220" s="233"/>
      <c r="AD220" s="233"/>
      <c r="AE220" s="233"/>
      <c r="AF220" s="233"/>
      <c r="AG220" s="233"/>
      <c r="AH220" s="233"/>
      <c r="AI220" s="233"/>
      <c r="AJ220" s="233"/>
      <c r="AK220" s="233"/>
      <c r="AL220" s="233"/>
    </row>
    <row r="221">
      <c r="A221" s="20"/>
      <c r="B221" s="310">
        <v>43889.0</v>
      </c>
      <c r="C221" s="6" t="s">
        <v>3585</v>
      </c>
      <c r="D221" s="6" t="s">
        <v>3586</v>
      </c>
      <c r="E221" s="6" t="s">
        <v>3587</v>
      </c>
      <c r="F221" s="6" t="s">
        <v>230</v>
      </c>
      <c r="G221" s="6" t="s">
        <v>3588</v>
      </c>
      <c r="H221" s="6" t="s">
        <v>3589</v>
      </c>
      <c r="K221" s="6" t="s">
        <v>9</v>
      </c>
      <c r="L221" s="67"/>
      <c r="M221" s="280" t="s">
        <v>2482</v>
      </c>
      <c r="N221" s="234"/>
      <c r="O221" s="296" t="s">
        <v>3577</v>
      </c>
      <c r="P221" s="233"/>
      <c r="Q221" s="233"/>
      <c r="R221" s="234"/>
      <c r="S221" s="233"/>
      <c r="T221" s="233"/>
      <c r="U221" s="233"/>
      <c r="V221" s="233"/>
      <c r="W221" s="233"/>
      <c r="X221" s="233"/>
      <c r="Y221" s="233"/>
      <c r="Z221" s="233"/>
      <c r="AA221" s="233"/>
      <c r="AB221" s="233"/>
      <c r="AC221" s="233"/>
      <c r="AD221" s="233"/>
      <c r="AE221" s="233"/>
      <c r="AF221" s="233"/>
      <c r="AG221" s="233"/>
      <c r="AH221" s="233"/>
      <c r="AI221" s="233"/>
      <c r="AJ221" s="233"/>
      <c r="AK221" s="233"/>
      <c r="AL221" s="233"/>
    </row>
    <row r="222">
      <c r="A222" s="20"/>
      <c r="B222" s="310">
        <v>43889.0</v>
      </c>
      <c r="C222" s="6" t="s">
        <v>3593</v>
      </c>
      <c r="D222" s="6" t="s">
        <v>3594</v>
      </c>
      <c r="E222" s="6">
        <v>35246.0</v>
      </c>
      <c r="F222" s="6" t="s">
        <v>2434</v>
      </c>
      <c r="G222" s="6" t="s">
        <v>3595</v>
      </c>
      <c r="H222" s="6" t="s">
        <v>3596</v>
      </c>
      <c r="I222" s="6" t="s">
        <v>3597</v>
      </c>
      <c r="J222" s="6" t="s">
        <v>3363</v>
      </c>
      <c r="K222" s="6" t="s">
        <v>2769</v>
      </c>
      <c r="L222" s="67"/>
      <c r="M222" s="280" t="s">
        <v>2482</v>
      </c>
      <c r="N222" s="234"/>
      <c r="O222" s="296" t="s">
        <v>3547</v>
      </c>
      <c r="P222" s="233"/>
      <c r="Q222" s="233"/>
      <c r="R222" s="234"/>
      <c r="S222" s="233"/>
      <c r="T222" s="233"/>
      <c r="U222" s="233"/>
      <c r="V222" s="233"/>
      <c r="W222" s="233"/>
      <c r="X222" s="233"/>
      <c r="Y222" s="233"/>
      <c r="Z222" s="233"/>
      <c r="AA222" s="233"/>
      <c r="AB222" s="233"/>
      <c r="AC222" s="233"/>
      <c r="AD222" s="233"/>
      <c r="AE222" s="233"/>
      <c r="AF222" s="233"/>
      <c r="AG222" s="233"/>
      <c r="AH222" s="233"/>
      <c r="AI222" s="233"/>
      <c r="AJ222" s="233"/>
      <c r="AK222" s="233"/>
      <c r="AL222" s="233"/>
    </row>
    <row r="223">
      <c r="A223" s="20"/>
      <c r="B223" s="310">
        <v>43889.0</v>
      </c>
      <c r="C223" s="6" t="s">
        <v>3598</v>
      </c>
      <c r="D223" s="6" t="s">
        <v>3599</v>
      </c>
      <c r="E223" s="6" t="s">
        <v>3600</v>
      </c>
      <c r="F223" s="6" t="s">
        <v>3602</v>
      </c>
      <c r="G223" s="6" t="s">
        <v>3603</v>
      </c>
      <c r="H223" s="6" t="s">
        <v>3605</v>
      </c>
      <c r="K223" s="6" t="s">
        <v>2769</v>
      </c>
      <c r="L223" s="67"/>
      <c r="M223" s="280" t="s">
        <v>2482</v>
      </c>
      <c r="N223" s="234"/>
      <c r="O223" s="296" t="s">
        <v>3547</v>
      </c>
      <c r="P223" s="233"/>
      <c r="Q223" s="233"/>
      <c r="R223" s="234"/>
      <c r="S223" s="233"/>
      <c r="T223" s="233"/>
      <c r="U223" s="233"/>
      <c r="V223" s="233"/>
      <c r="W223" s="233"/>
      <c r="X223" s="233"/>
      <c r="Y223" s="233"/>
      <c r="Z223" s="233"/>
      <c r="AA223" s="233"/>
      <c r="AB223" s="233"/>
      <c r="AC223" s="233"/>
      <c r="AD223" s="233"/>
      <c r="AE223" s="233"/>
      <c r="AF223" s="233"/>
      <c r="AG223" s="233"/>
      <c r="AH223" s="233"/>
      <c r="AI223" s="233"/>
      <c r="AJ223" s="233"/>
      <c r="AK223" s="233"/>
      <c r="AL223" s="233"/>
    </row>
    <row r="224">
      <c r="A224" s="20"/>
      <c r="B224" s="310">
        <v>43889.0</v>
      </c>
      <c r="C224" s="6" t="s">
        <v>3608</v>
      </c>
      <c r="D224" s="6" t="s">
        <v>3609</v>
      </c>
      <c r="E224" s="6" t="s">
        <v>3610</v>
      </c>
      <c r="F224" s="6" t="s">
        <v>2667</v>
      </c>
      <c r="G224" s="6" t="s">
        <v>3611</v>
      </c>
      <c r="H224" s="6" t="s">
        <v>3612</v>
      </c>
      <c r="I224" s="6" t="s">
        <v>3613</v>
      </c>
      <c r="J224" s="6" t="s">
        <v>3426</v>
      </c>
      <c r="K224" s="6" t="s">
        <v>9</v>
      </c>
      <c r="L224" s="67"/>
      <c r="M224" s="280" t="s">
        <v>2482</v>
      </c>
      <c r="N224" s="234"/>
      <c r="O224" s="296" t="s">
        <v>3577</v>
      </c>
      <c r="P224" s="233"/>
      <c r="Q224" s="233"/>
      <c r="R224" s="234"/>
      <c r="S224" s="233"/>
      <c r="T224" s="233"/>
      <c r="U224" s="233"/>
      <c r="V224" s="233"/>
      <c r="W224" s="233"/>
      <c r="X224" s="233"/>
      <c r="Y224" s="233"/>
      <c r="Z224" s="233"/>
      <c r="AA224" s="233"/>
      <c r="AB224" s="233"/>
      <c r="AC224" s="233"/>
      <c r="AD224" s="233"/>
      <c r="AE224" s="233"/>
      <c r="AF224" s="233"/>
      <c r="AG224" s="233"/>
      <c r="AH224" s="233"/>
      <c r="AI224" s="233"/>
      <c r="AJ224" s="233"/>
      <c r="AK224" s="233"/>
      <c r="AL224" s="233"/>
    </row>
    <row r="225">
      <c r="A225" s="20"/>
      <c r="B225" s="310">
        <v>43889.0</v>
      </c>
      <c r="C225" s="6" t="s">
        <v>3608</v>
      </c>
      <c r="D225" s="6" t="s">
        <v>3609</v>
      </c>
      <c r="E225" s="6" t="s">
        <v>3610</v>
      </c>
      <c r="F225" s="6" t="s">
        <v>2667</v>
      </c>
      <c r="G225" s="6" t="s">
        <v>3615</v>
      </c>
      <c r="H225" s="6" t="s">
        <v>3616</v>
      </c>
      <c r="I225" s="6" t="s">
        <v>3617</v>
      </c>
      <c r="J225" s="6" t="s">
        <v>3618</v>
      </c>
      <c r="K225" s="6" t="s">
        <v>2769</v>
      </c>
      <c r="L225" s="67"/>
      <c r="M225" s="280" t="s">
        <v>2482</v>
      </c>
      <c r="N225" s="234"/>
      <c r="O225" s="296" t="s">
        <v>3577</v>
      </c>
      <c r="P225" s="233"/>
      <c r="Q225" s="233"/>
      <c r="R225" s="234"/>
      <c r="S225" s="233"/>
      <c r="T225" s="233"/>
      <c r="U225" s="233"/>
      <c r="V225" s="233"/>
      <c r="W225" s="233"/>
      <c r="X225" s="233"/>
      <c r="Y225" s="233"/>
      <c r="Z225" s="233"/>
      <c r="AA225" s="233"/>
      <c r="AB225" s="233"/>
      <c r="AC225" s="233"/>
      <c r="AD225" s="233"/>
      <c r="AE225" s="233"/>
      <c r="AF225" s="233"/>
      <c r="AG225" s="233"/>
      <c r="AH225" s="233"/>
      <c r="AI225" s="233"/>
      <c r="AJ225" s="233"/>
      <c r="AK225" s="233"/>
      <c r="AL225" s="233"/>
    </row>
    <row r="226">
      <c r="A226" s="20"/>
      <c r="B226" s="310">
        <v>43923.0</v>
      </c>
      <c r="C226" s="6" t="s">
        <v>3621</v>
      </c>
      <c r="D226" s="6" t="s">
        <v>3622</v>
      </c>
      <c r="E226" s="152" t="s">
        <v>3623</v>
      </c>
      <c r="F226" s="6" t="s">
        <v>2434</v>
      </c>
      <c r="G226" s="6" t="s">
        <v>3624</v>
      </c>
      <c r="H226" s="6" t="s">
        <v>3625</v>
      </c>
      <c r="K226" s="6" t="s">
        <v>9</v>
      </c>
      <c r="L226" s="67"/>
      <c r="M226" s="280" t="s">
        <v>2482</v>
      </c>
      <c r="N226" s="234"/>
      <c r="O226" s="296" t="s">
        <v>3547</v>
      </c>
      <c r="P226" s="233"/>
      <c r="Q226" s="233"/>
      <c r="R226" s="234"/>
      <c r="S226" s="233"/>
      <c r="T226" s="233"/>
      <c r="U226" s="233"/>
      <c r="V226" s="233"/>
      <c r="W226" s="233"/>
      <c r="X226" s="233"/>
      <c r="Y226" s="233"/>
      <c r="Z226" s="233"/>
      <c r="AA226" s="233"/>
      <c r="AB226" s="233"/>
      <c r="AC226" s="233"/>
      <c r="AD226" s="233"/>
      <c r="AE226" s="233"/>
      <c r="AF226" s="233"/>
      <c r="AG226" s="233"/>
      <c r="AH226" s="233"/>
      <c r="AI226" s="233"/>
      <c r="AJ226" s="233"/>
      <c r="AK226" s="233"/>
      <c r="AL226" s="233"/>
    </row>
    <row r="227">
      <c r="A227" s="20"/>
      <c r="B227" s="310">
        <v>43923.0</v>
      </c>
      <c r="C227" s="6" t="s">
        <v>3626</v>
      </c>
      <c r="D227" s="6" t="s">
        <v>3627</v>
      </c>
      <c r="E227" s="6" t="s">
        <v>3628</v>
      </c>
      <c r="F227" s="6" t="s">
        <v>2434</v>
      </c>
      <c r="G227" s="6" t="s">
        <v>3629</v>
      </c>
      <c r="H227" s="6" t="s">
        <v>3630</v>
      </c>
      <c r="K227" s="6" t="s">
        <v>9</v>
      </c>
      <c r="L227" s="67"/>
      <c r="M227" s="280" t="s">
        <v>2482</v>
      </c>
      <c r="N227" s="234"/>
      <c r="O227" s="296" t="s">
        <v>3547</v>
      </c>
      <c r="P227" s="233"/>
      <c r="Q227" s="233"/>
      <c r="R227" s="234"/>
      <c r="S227" s="233"/>
      <c r="T227" s="233"/>
      <c r="U227" s="233"/>
      <c r="V227" s="233"/>
      <c r="W227" s="233"/>
      <c r="X227" s="233"/>
      <c r="Y227" s="233"/>
      <c r="Z227" s="233"/>
      <c r="AA227" s="233"/>
      <c r="AB227" s="233"/>
      <c r="AC227" s="233"/>
      <c r="AD227" s="233"/>
      <c r="AE227" s="233"/>
      <c r="AF227" s="233"/>
      <c r="AG227" s="233"/>
      <c r="AH227" s="233"/>
      <c r="AI227" s="233"/>
      <c r="AJ227" s="233"/>
      <c r="AK227" s="233"/>
      <c r="AL227" s="233"/>
    </row>
    <row r="228">
      <c r="A228" s="20"/>
      <c r="B228" s="310">
        <v>43923.0</v>
      </c>
      <c r="C228" s="6" t="s">
        <v>3631</v>
      </c>
      <c r="D228" s="6" t="s">
        <v>3632</v>
      </c>
      <c r="E228" s="6" t="s">
        <v>3628</v>
      </c>
      <c r="F228" s="6" t="s">
        <v>2434</v>
      </c>
      <c r="G228" s="6" t="s">
        <v>3633</v>
      </c>
      <c r="H228" s="6" t="s">
        <v>3634</v>
      </c>
      <c r="K228" s="6" t="s">
        <v>9</v>
      </c>
      <c r="L228" s="67"/>
      <c r="M228" s="280" t="s">
        <v>2482</v>
      </c>
      <c r="N228" s="234"/>
      <c r="O228" s="296" t="s">
        <v>3547</v>
      </c>
      <c r="P228" s="233"/>
      <c r="Q228" s="233"/>
      <c r="R228" s="234"/>
      <c r="S228" s="233"/>
      <c r="T228" s="233"/>
      <c r="U228" s="233"/>
      <c r="V228" s="233"/>
      <c r="W228" s="233"/>
      <c r="X228" s="233"/>
      <c r="Y228" s="233"/>
      <c r="Z228" s="233"/>
      <c r="AA228" s="233"/>
      <c r="AB228" s="233"/>
      <c r="AC228" s="233"/>
      <c r="AD228" s="233"/>
      <c r="AE228" s="233"/>
      <c r="AF228" s="233"/>
      <c r="AG228" s="233"/>
      <c r="AH228" s="233"/>
      <c r="AI228" s="233"/>
      <c r="AJ228" s="233"/>
      <c r="AK228" s="233"/>
      <c r="AL228" s="233"/>
    </row>
    <row r="229">
      <c r="A229" s="20"/>
      <c r="B229" s="310">
        <v>43923.0</v>
      </c>
      <c r="C229" s="6" t="s">
        <v>3635</v>
      </c>
      <c r="D229" s="6" t="s">
        <v>3636</v>
      </c>
      <c r="E229" s="6" t="s">
        <v>3628</v>
      </c>
      <c r="F229" s="6" t="s">
        <v>2434</v>
      </c>
      <c r="G229" s="6" t="s">
        <v>3637</v>
      </c>
      <c r="H229" s="6" t="s">
        <v>3638</v>
      </c>
      <c r="K229" s="6" t="s">
        <v>9</v>
      </c>
      <c r="L229" s="67"/>
      <c r="M229" s="280" t="s">
        <v>2482</v>
      </c>
      <c r="N229" s="234"/>
      <c r="O229" s="296" t="s">
        <v>3547</v>
      </c>
      <c r="P229" s="233"/>
      <c r="Q229" s="233"/>
      <c r="R229" s="234"/>
      <c r="S229" s="233"/>
      <c r="T229" s="233"/>
      <c r="U229" s="233"/>
      <c r="V229" s="233"/>
      <c r="W229" s="233"/>
      <c r="X229" s="233"/>
      <c r="Y229" s="233"/>
      <c r="Z229" s="233"/>
      <c r="AA229" s="233"/>
      <c r="AB229" s="233"/>
      <c r="AC229" s="233"/>
      <c r="AD229" s="233"/>
      <c r="AE229" s="233"/>
      <c r="AF229" s="233"/>
      <c r="AG229" s="233"/>
      <c r="AH229" s="233"/>
      <c r="AI229" s="233"/>
      <c r="AJ229" s="233"/>
      <c r="AK229" s="233"/>
      <c r="AL229" s="233"/>
    </row>
    <row r="230">
      <c r="A230" s="20"/>
      <c r="B230" s="310">
        <v>43923.0</v>
      </c>
      <c r="C230" s="6" t="s">
        <v>3640</v>
      </c>
      <c r="D230" s="6" t="s">
        <v>3641</v>
      </c>
      <c r="E230" s="6" t="s">
        <v>3642</v>
      </c>
      <c r="F230" s="6" t="s">
        <v>2434</v>
      </c>
      <c r="G230" s="6" t="s">
        <v>3643</v>
      </c>
      <c r="H230" s="6" t="s">
        <v>3644</v>
      </c>
      <c r="K230" s="6" t="s">
        <v>9</v>
      </c>
      <c r="L230" s="67"/>
      <c r="M230" s="280" t="s">
        <v>2482</v>
      </c>
      <c r="N230" s="234"/>
      <c r="O230" s="296" t="s">
        <v>3547</v>
      </c>
      <c r="P230" s="233"/>
      <c r="Q230" s="233"/>
      <c r="R230" s="234"/>
      <c r="S230" s="233"/>
      <c r="T230" s="233"/>
      <c r="U230" s="233"/>
      <c r="V230" s="233"/>
      <c r="W230" s="233"/>
      <c r="X230" s="233"/>
      <c r="Y230" s="233"/>
      <c r="Z230" s="233"/>
      <c r="AA230" s="233"/>
      <c r="AB230" s="233"/>
      <c r="AC230" s="233"/>
      <c r="AD230" s="233"/>
      <c r="AE230" s="233"/>
      <c r="AF230" s="233"/>
      <c r="AG230" s="233"/>
      <c r="AH230" s="233"/>
      <c r="AI230" s="233"/>
      <c r="AJ230" s="233"/>
      <c r="AK230" s="233"/>
      <c r="AL230" s="233"/>
    </row>
    <row r="231">
      <c r="A231" s="20"/>
      <c r="B231" s="310">
        <v>43923.0</v>
      </c>
      <c r="C231" s="6" t="s">
        <v>3646</v>
      </c>
      <c r="D231" s="6" t="s">
        <v>3627</v>
      </c>
      <c r="E231" s="6" t="s">
        <v>3628</v>
      </c>
      <c r="F231" s="6" t="s">
        <v>2434</v>
      </c>
      <c r="G231" s="6" t="s">
        <v>3648</v>
      </c>
      <c r="H231" s="6" t="s">
        <v>3649</v>
      </c>
      <c r="I231" s="6" t="s">
        <v>3651</v>
      </c>
      <c r="K231" s="6" t="s">
        <v>3652</v>
      </c>
      <c r="L231" s="67"/>
      <c r="M231" s="280" t="s">
        <v>2482</v>
      </c>
      <c r="N231" s="234"/>
      <c r="O231" s="296" t="s">
        <v>3547</v>
      </c>
      <c r="P231" s="233"/>
      <c r="Q231" s="233"/>
      <c r="R231" s="234"/>
      <c r="S231" s="233"/>
      <c r="T231" s="233"/>
      <c r="U231" s="233"/>
      <c r="V231" s="233"/>
      <c r="W231" s="233"/>
      <c r="X231" s="233"/>
      <c r="Y231" s="233"/>
      <c r="Z231" s="233"/>
      <c r="AA231" s="233"/>
      <c r="AB231" s="233"/>
      <c r="AC231" s="233"/>
      <c r="AD231" s="233"/>
      <c r="AE231" s="233"/>
      <c r="AF231" s="233"/>
      <c r="AG231" s="233"/>
      <c r="AH231" s="233"/>
      <c r="AI231" s="233"/>
      <c r="AJ231" s="233"/>
      <c r="AK231" s="233"/>
      <c r="AL231" s="233"/>
    </row>
    <row r="232">
      <c r="A232" s="20"/>
      <c r="B232" s="310">
        <v>43923.0</v>
      </c>
      <c r="C232" s="6" t="s">
        <v>3653</v>
      </c>
      <c r="D232" s="6" t="s">
        <v>3654</v>
      </c>
      <c r="E232" s="6" t="s">
        <v>3628</v>
      </c>
      <c r="F232" s="6" t="s">
        <v>2434</v>
      </c>
      <c r="G232" s="6" t="s">
        <v>3655</v>
      </c>
      <c r="H232" s="6" t="s">
        <v>3656</v>
      </c>
      <c r="K232" s="349" t="s">
        <v>2769</v>
      </c>
      <c r="L232" s="67"/>
      <c r="M232" s="280" t="s">
        <v>2482</v>
      </c>
      <c r="N232" s="234"/>
      <c r="O232" s="296" t="s">
        <v>3547</v>
      </c>
      <c r="P232" s="233"/>
      <c r="Q232" s="233"/>
      <c r="R232" s="234"/>
      <c r="S232" s="233"/>
      <c r="T232" s="233"/>
      <c r="U232" s="233"/>
      <c r="V232" s="233"/>
      <c r="W232" s="233"/>
      <c r="X232" s="233"/>
      <c r="Y232" s="233"/>
      <c r="Z232" s="233"/>
      <c r="AA232" s="233"/>
      <c r="AB232" s="233"/>
      <c r="AC232" s="233"/>
      <c r="AD232" s="233"/>
      <c r="AE232" s="233"/>
      <c r="AF232" s="233"/>
      <c r="AG232" s="233"/>
      <c r="AH232" s="233"/>
      <c r="AI232" s="233"/>
      <c r="AJ232" s="233"/>
      <c r="AK232" s="233"/>
      <c r="AL232" s="233"/>
    </row>
    <row r="233">
      <c r="A233" s="20"/>
      <c r="B233" s="310">
        <v>43923.0</v>
      </c>
      <c r="C233" s="6" t="s">
        <v>3653</v>
      </c>
      <c r="D233" s="6" t="s">
        <v>3660</v>
      </c>
      <c r="E233" s="6" t="s">
        <v>3661</v>
      </c>
      <c r="F233" s="6" t="s">
        <v>3024</v>
      </c>
      <c r="G233" s="6" t="s">
        <v>3662</v>
      </c>
      <c r="H233" s="6" t="s">
        <v>3663</v>
      </c>
      <c r="K233" s="6" t="s">
        <v>2769</v>
      </c>
      <c r="L233" s="67"/>
      <c r="M233" s="280" t="s">
        <v>2482</v>
      </c>
      <c r="N233" s="234"/>
      <c r="O233" s="296" t="s">
        <v>3547</v>
      </c>
      <c r="P233" s="233"/>
      <c r="Q233" s="233"/>
      <c r="R233" s="234"/>
      <c r="S233" s="233"/>
      <c r="T233" s="233"/>
      <c r="U233" s="233"/>
      <c r="V233" s="233"/>
      <c r="W233" s="233"/>
      <c r="X233" s="233"/>
      <c r="Y233" s="233"/>
      <c r="Z233" s="233"/>
      <c r="AA233" s="233"/>
      <c r="AB233" s="233"/>
      <c r="AC233" s="233"/>
      <c r="AD233" s="233"/>
      <c r="AE233" s="233"/>
      <c r="AF233" s="233"/>
      <c r="AG233" s="233"/>
      <c r="AH233" s="233"/>
      <c r="AI233" s="233"/>
      <c r="AJ233" s="233"/>
      <c r="AK233" s="233"/>
      <c r="AL233" s="233"/>
    </row>
    <row r="234">
      <c r="A234" s="20"/>
      <c r="B234" s="310">
        <v>43923.0</v>
      </c>
      <c r="C234" s="6" t="s">
        <v>3653</v>
      </c>
      <c r="D234" s="6" t="s">
        <v>3666</v>
      </c>
      <c r="E234" s="6" t="s">
        <v>3667</v>
      </c>
      <c r="F234" s="6" t="s">
        <v>3668</v>
      </c>
      <c r="G234" s="6" t="s">
        <v>3669</v>
      </c>
      <c r="H234" s="6" t="s">
        <v>3670</v>
      </c>
      <c r="K234" s="6" t="s">
        <v>2769</v>
      </c>
      <c r="L234" s="67"/>
      <c r="M234" s="280" t="s">
        <v>2482</v>
      </c>
      <c r="N234" s="234"/>
      <c r="O234" s="296" t="s">
        <v>3547</v>
      </c>
      <c r="P234" s="233"/>
      <c r="Q234" s="233"/>
      <c r="R234" s="234"/>
      <c r="S234" s="233"/>
      <c r="T234" s="233"/>
      <c r="U234" s="233"/>
      <c r="V234" s="233"/>
      <c r="W234" s="233"/>
      <c r="X234" s="233"/>
      <c r="Y234" s="233"/>
      <c r="Z234" s="233"/>
      <c r="AA234" s="233"/>
      <c r="AB234" s="233"/>
      <c r="AC234" s="233"/>
      <c r="AD234" s="233"/>
      <c r="AE234" s="233"/>
      <c r="AF234" s="233"/>
      <c r="AG234" s="233"/>
      <c r="AH234" s="233"/>
      <c r="AI234" s="233"/>
      <c r="AJ234" s="233"/>
      <c r="AK234" s="233"/>
      <c r="AL234" s="233"/>
    </row>
    <row r="235">
      <c r="A235" s="20"/>
      <c r="B235" s="310">
        <v>43923.0</v>
      </c>
      <c r="C235" s="6" t="s">
        <v>3673</v>
      </c>
      <c r="D235" s="6" t="s">
        <v>3674</v>
      </c>
      <c r="E235" s="6" t="s">
        <v>3675</v>
      </c>
      <c r="F235" s="6" t="s">
        <v>2434</v>
      </c>
      <c r="G235" s="6" t="s">
        <v>3676</v>
      </c>
      <c r="H235" s="6" t="s">
        <v>3677</v>
      </c>
      <c r="I235" s="6" t="s">
        <v>3678</v>
      </c>
      <c r="K235" s="6" t="s">
        <v>3679</v>
      </c>
      <c r="L235" s="67"/>
      <c r="M235" s="280" t="s">
        <v>2482</v>
      </c>
      <c r="N235" s="234"/>
      <c r="O235" s="281"/>
      <c r="P235" s="233"/>
      <c r="Q235" s="233"/>
      <c r="R235" s="234"/>
      <c r="S235" s="233"/>
      <c r="T235" s="233"/>
      <c r="U235" s="233"/>
      <c r="V235" s="233"/>
      <c r="W235" s="233"/>
      <c r="X235" s="233"/>
      <c r="Y235" s="233"/>
      <c r="Z235" s="233"/>
      <c r="AA235" s="233"/>
      <c r="AB235" s="233"/>
      <c r="AC235" s="233"/>
      <c r="AD235" s="233"/>
      <c r="AE235" s="233"/>
      <c r="AF235" s="233"/>
      <c r="AG235" s="233"/>
      <c r="AH235" s="233"/>
      <c r="AI235" s="233"/>
      <c r="AJ235" s="233"/>
      <c r="AK235" s="233"/>
      <c r="AL235" s="233"/>
    </row>
    <row r="236">
      <c r="A236" s="20"/>
      <c r="B236" s="310">
        <v>43923.0</v>
      </c>
      <c r="C236" s="6" t="s">
        <v>3683</v>
      </c>
      <c r="D236" s="6" t="s">
        <v>3684</v>
      </c>
      <c r="E236" s="6" t="s">
        <v>3685</v>
      </c>
      <c r="F236" s="6" t="s">
        <v>2434</v>
      </c>
      <c r="G236" s="6" t="s">
        <v>3686</v>
      </c>
      <c r="H236" s="6" t="s">
        <v>3687</v>
      </c>
      <c r="K236" s="6" t="s">
        <v>9</v>
      </c>
      <c r="L236" s="67"/>
      <c r="M236" s="280" t="s">
        <v>2482</v>
      </c>
      <c r="N236" s="234"/>
      <c r="O236" s="281"/>
      <c r="P236" s="233"/>
      <c r="Q236" s="233"/>
      <c r="R236" s="234"/>
      <c r="S236" s="233"/>
      <c r="T236" s="233"/>
      <c r="U236" s="233"/>
      <c r="V236" s="233"/>
      <c r="W236" s="233"/>
      <c r="X236" s="233"/>
      <c r="Y236" s="233"/>
      <c r="Z236" s="233"/>
      <c r="AA236" s="233"/>
      <c r="AB236" s="233"/>
      <c r="AC236" s="233"/>
      <c r="AD236" s="233"/>
      <c r="AE236" s="233"/>
      <c r="AF236" s="233"/>
      <c r="AG236" s="233"/>
      <c r="AH236" s="233"/>
      <c r="AI236" s="233"/>
      <c r="AJ236" s="233"/>
      <c r="AK236" s="233"/>
      <c r="AL236" s="233"/>
    </row>
    <row r="237">
      <c r="A237" s="6" t="s">
        <v>3076</v>
      </c>
      <c r="B237" s="310">
        <v>44447.0</v>
      </c>
      <c r="C237" s="6" t="s">
        <v>3688</v>
      </c>
      <c r="D237" s="6" t="s">
        <v>3689</v>
      </c>
      <c r="E237" s="6" t="s">
        <v>3691</v>
      </c>
      <c r="F237" s="6" t="s">
        <v>3692</v>
      </c>
      <c r="G237" s="6" t="s">
        <v>3693</v>
      </c>
      <c r="H237" s="6" t="s">
        <v>3694</v>
      </c>
      <c r="I237" s="6" t="s">
        <v>3695</v>
      </c>
      <c r="K237" s="6" t="s">
        <v>9</v>
      </c>
      <c r="L237" s="67"/>
      <c r="M237" s="280" t="s">
        <v>2482</v>
      </c>
      <c r="N237" s="234"/>
      <c r="O237" s="296" t="s">
        <v>3698</v>
      </c>
      <c r="P237" s="233"/>
      <c r="Q237" s="233"/>
      <c r="R237" s="234"/>
      <c r="S237" s="233"/>
      <c r="T237" s="233"/>
      <c r="U237" s="233"/>
      <c r="V237" s="233"/>
      <c r="W237" s="233"/>
      <c r="X237" s="233"/>
      <c r="Y237" s="233"/>
      <c r="Z237" s="233"/>
      <c r="AA237" s="233"/>
      <c r="AB237" s="233"/>
      <c r="AC237" s="233"/>
      <c r="AD237" s="233"/>
      <c r="AE237" s="233"/>
      <c r="AF237" s="233"/>
      <c r="AG237" s="233"/>
      <c r="AH237" s="233"/>
      <c r="AI237" s="233"/>
      <c r="AJ237" s="233"/>
      <c r="AK237" s="233"/>
      <c r="AL237" s="233"/>
    </row>
    <row r="238">
      <c r="B238" s="277"/>
      <c r="L238" s="67"/>
      <c r="M238" s="280" t="s">
        <v>2482</v>
      </c>
      <c r="N238" s="234"/>
      <c r="O238" s="281"/>
      <c r="P238" s="233"/>
      <c r="Q238" s="233"/>
      <c r="R238" s="234"/>
      <c r="S238" s="233"/>
      <c r="T238" s="233"/>
      <c r="U238" s="233"/>
      <c r="V238" s="233"/>
      <c r="W238" s="233"/>
      <c r="X238" s="233"/>
      <c r="Y238" s="233"/>
      <c r="Z238" s="233"/>
      <c r="AA238" s="233"/>
      <c r="AB238" s="233"/>
      <c r="AC238" s="233"/>
      <c r="AD238" s="233"/>
      <c r="AE238" s="233"/>
      <c r="AF238" s="233"/>
      <c r="AG238" s="233"/>
      <c r="AH238" s="233"/>
      <c r="AI238" s="233"/>
      <c r="AJ238" s="233"/>
      <c r="AK238" s="233"/>
      <c r="AL238" s="233"/>
    </row>
    <row r="239">
      <c r="B239" s="277"/>
      <c r="L239" s="67"/>
      <c r="M239" s="280" t="s">
        <v>2482</v>
      </c>
      <c r="N239" s="234"/>
      <c r="O239" s="281"/>
      <c r="P239" s="233"/>
      <c r="Q239" s="233"/>
      <c r="R239" s="234"/>
      <c r="S239" s="233"/>
      <c r="T239" s="233"/>
      <c r="U239" s="233"/>
      <c r="V239" s="233"/>
      <c r="W239" s="233"/>
      <c r="X239" s="233"/>
      <c r="Y239" s="233"/>
      <c r="Z239" s="233"/>
      <c r="AA239" s="233"/>
      <c r="AB239" s="233"/>
      <c r="AC239" s="233"/>
      <c r="AD239" s="233"/>
      <c r="AE239" s="233"/>
      <c r="AF239" s="233"/>
      <c r="AG239" s="233"/>
      <c r="AH239" s="233"/>
      <c r="AI239" s="233"/>
      <c r="AJ239" s="233"/>
      <c r="AK239" s="233"/>
      <c r="AL239" s="233"/>
    </row>
    <row r="240">
      <c r="B240" s="277"/>
      <c r="L240" s="67"/>
      <c r="M240" s="280" t="s">
        <v>2482</v>
      </c>
      <c r="N240" s="234"/>
      <c r="O240" s="281"/>
      <c r="P240" s="233"/>
      <c r="Q240" s="233"/>
      <c r="R240" s="234"/>
      <c r="S240" s="233"/>
      <c r="T240" s="233"/>
      <c r="U240" s="233"/>
      <c r="V240" s="233"/>
      <c r="W240" s="233"/>
      <c r="X240" s="233"/>
      <c r="Y240" s="233"/>
      <c r="Z240" s="233"/>
      <c r="AA240" s="233"/>
      <c r="AB240" s="233"/>
      <c r="AC240" s="233"/>
      <c r="AD240" s="233"/>
      <c r="AE240" s="233"/>
      <c r="AF240" s="233"/>
      <c r="AG240" s="233"/>
      <c r="AH240" s="233"/>
      <c r="AI240" s="233"/>
      <c r="AJ240" s="233"/>
      <c r="AK240" s="233"/>
      <c r="AL240" s="233"/>
    </row>
    <row r="241">
      <c r="B241" s="277"/>
      <c r="L241" s="67"/>
      <c r="M241" s="280" t="s">
        <v>2482</v>
      </c>
      <c r="N241" s="234"/>
      <c r="O241" s="281"/>
      <c r="P241" s="233"/>
      <c r="Q241" s="233"/>
      <c r="R241" s="234"/>
      <c r="S241" s="233"/>
      <c r="T241" s="233"/>
      <c r="U241" s="233"/>
      <c r="V241" s="233"/>
      <c r="W241" s="233"/>
      <c r="X241" s="233"/>
      <c r="Y241" s="233"/>
      <c r="Z241" s="233"/>
      <c r="AA241" s="233"/>
      <c r="AB241" s="233"/>
      <c r="AC241" s="233"/>
      <c r="AD241" s="233"/>
      <c r="AE241" s="233"/>
      <c r="AF241" s="233"/>
      <c r="AG241" s="233"/>
      <c r="AH241" s="233"/>
      <c r="AI241" s="233"/>
      <c r="AJ241" s="233"/>
      <c r="AK241" s="233"/>
      <c r="AL241" s="233"/>
    </row>
    <row r="242">
      <c r="B242" s="277"/>
      <c r="L242" s="67"/>
      <c r="M242" s="280" t="s">
        <v>2482</v>
      </c>
      <c r="N242" s="234"/>
      <c r="O242" s="281"/>
      <c r="P242" s="233"/>
      <c r="Q242" s="233"/>
      <c r="R242" s="234"/>
      <c r="S242" s="233"/>
      <c r="T242" s="233"/>
      <c r="U242" s="233"/>
      <c r="V242" s="233"/>
      <c r="W242" s="233"/>
      <c r="X242" s="233"/>
      <c r="Y242" s="233"/>
      <c r="Z242" s="233"/>
      <c r="AA242" s="233"/>
      <c r="AB242" s="233"/>
      <c r="AC242" s="233"/>
      <c r="AD242" s="233"/>
      <c r="AE242" s="233"/>
      <c r="AF242" s="233"/>
      <c r="AG242" s="233"/>
      <c r="AH242" s="233"/>
      <c r="AI242" s="233"/>
      <c r="AJ242" s="233"/>
      <c r="AK242" s="233"/>
      <c r="AL242" s="233"/>
    </row>
    <row r="243">
      <c r="B243" s="277"/>
      <c r="L243" s="67"/>
      <c r="M243" s="280" t="s">
        <v>2482</v>
      </c>
      <c r="N243" s="234"/>
      <c r="O243" s="281"/>
      <c r="P243" s="233"/>
      <c r="Q243" s="233"/>
      <c r="R243" s="234"/>
      <c r="S243" s="233"/>
      <c r="T243" s="233"/>
      <c r="U243" s="233"/>
      <c r="V243" s="233"/>
      <c r="W243" s="233"/>
      <c r="X243" s="233"/>
      <c r="Y243" s="233"/>
      <c r="Z243" s="233"/>
      <c r="AA243" s="233"/>
      <c r="AB243" s="233"/>
      <c r="AC243" s="233"/>
      <c r="AD243" s="233"/>
      <c r="AE243" s="233"/>
      <c r="AF243" s="233"/>
      <c r="AG243" s="233"/>
      <c r="AH243" s="233"/>
      <c r="AI243" s="233"/>
      <c r="AJ243" s="233"/>
      <c r="AK243" s="233"/>
      <c r="AL243" s="233"/>
    </row>
    <row r="244">
      <c r="B244" s="277"/>
      <c r="L244" s="67"/>
      <c r="M244" s="280" t="s">
        <v>2482</v>
      </c>
      <c r="N244" s="234"/>
      <c r="O244" s="281"/>
      <c r="P244" s="233"/>
      <c r="Q244" s="233"/>
      <c r="R244" s="234"/>
      <c r="S244" s="233"/>
      <c r="T244" s="233"/>
      <c r="U244" s="233"/>
      <c r="V244" s="233"/>
      <c r="W244" s="233"/>
      <c r="X244" s="233"/>
      <c r="Y244" s="233"/>
      <c r="Z244" s="233"/>
      <c r="AA244" s="233"/>
      <c r="AB244" s="233"/>
      <c r="AC244" s="233"/>
      <c r="AD244" s="233"/>
      <c r="AE244" s="233"/>
      <c r="AF244" s="233"/>
      <c r="AG244" s="233"/>
      <c r="AH244" s="233"/>
      <c r="AI244" s="233"/>
      <c r="AJ244" s="233"/>
      <c r="AK244" s="233"/>
      <c r="AL244" s="233"/>
    </row>
    <row r="245">
      <c r="B245" s="277"/>
      <c r="L245" s="67"/>
      <c r="M245" s="280" t="s">
        <v>2482</v>
      </c>
      <c r="N245" s="234"/>
      <c r="O245" s="281"/>
      <c r="P245" s="233"/>
      <c r="Q245" s="233"/>
      <c r="R245" s="234"/>
      <c r="S245" s="233"/>
      <c r="T245" s="233"/>
      <c r="U245" s="233"/>
      <c r="V245" s="233"/>
      <c r="W245" s="233"/>
      <c r="X245" s="233"/>
      <c r="Y245" s="233"/>
      <c r="Z245" s="233"/>
      <c r="AA245" s="233"/>
      <c r="AB245" s="233"/>
      <c r="AC245" s="233"/>
      <c r="AD245" s="233"/>
      <c r="AE245" s="233"/>
      <c r="AF245" s="233"/>
      <c r="AG245" s="233"/>
      <c r="AH245" s="233"/>
      <c r="AI245" s="233"/>
      <c r="AJ245" s="233"/>
      <c r="AK245" s="233"/>
      <c r="AL245" s="233"/>
    </row>
    <row r="246">
      <c r="B246" s="277"/>
      <c r="L246" s="67"/>
      <c r="M246" s="280" t="s">
        <v>2482</v>
      </c>
      <c r="N246" s="234"/>
      <c r="O246" s="281"/>
      <c r="P246" s="233"/>
      <c r="Q246" s="233"/>
      <c r="R246" s="234"/>
      <c r="S246" s="233"/>
      <c r="T246" s="233"/>
      <c r="U246" s="233"/>
      <c r="V246" s="233"/>
      <c r="W246" s="233"/>
      <c r="X246" s="233"/>
      <c r="Y246" s="233"/>
      <c r="Z246" s="233"/>
      <c r="AA246" s="233"/>
      <c r="AB246" s="233"/>
      <c r="AC246" s="233"/>
      <c r="AD246" s="233"/>
      <c r="AE246" s="233"/>
      <c r="AF246" s="233"/>
      <c r="AG246" s="233"/>
      <c r="AH246" s="233"/>
      <c r="AI246" s="233"/>
      <c r="AJ246" s="233"/>
      <c r="AK246" s="233"/>
      <c r="AL246" s="233"/>
    </row>
    <row r="247">
      <c r="B247" s="277"/>
      <c r="L247" s="67"/>
      <c r="M247" s="280" t="s">
        <v>2482</v>
      </c>
      <c r="N247" s="234"/>
      <c r="O247" s="281"/>
      <c r="P247" s="233"/>
      <c r="Q247" s="233"/>
      <c r="R247" s="234"/>
      <c r="S247" s="233"/>
      <c r="T247" s="233"/>
      <c r="U247" s="233"/>
      <c r="V247" s="233"/>
      <c r="W247" s="233"/>
      <c r="X247" s="233"/>
      <c r="Y247" s="233"/>
      <c r="Z247" s="233"/>
      <c r="AA247" s="233"/>
      <c r="AB247" s="233"/>
      <c r="AC247" s="233"/>
      <c r="AD247" s="233"/>
      <c r="AE247" s="233"/>
      <c r="AF247" s="233"/>
      <c r="AG247" s="233"/>
      <c r="AH247" s="233"/>
      <c r="AI247" s="233"/>
      <c r="AJ247" s="233"/>
      <c r="AK247" s="233"/>
      <c r="AL247" s="233"/>
    </row>
    <row r="248">
      <c r="B248" s="277"/>
      <c r="L248" s="67"/>
      <c r="M248" s="280" t="s">
        <v>2482</v>
      </c>
      <c r="N248" s="234"/>
      <c r="O248" s="281"/>
      <c r="P248" s="233"/>
      <c r="Q248" s="233"/>
      <c r="R248" s="234"/>
      <c r="S248" s="233"/>
      <c r="T248" s="233"/>
      <c r="U248" s="233"/>
      <c r="V248" s="233"/>
      <c r="W248" s="233"/>
      <c r="X248" s="233"/>
      <c r="Y248" s="233"/>
      <c r="Z248" s="233"/>
      <c r="AA248" s="233"/>
      <c r="AB248" s="233"/>
      <c r="AC248" s="233"/>
      <c r="AD248" s="233"/>
      <c r="AE248" s="233"/>
      <c r="AF248" s="233"/>
      <c r="AG248" s="233"/>
      <c r="AH248" s="233"/>
      <c r="AI248" s="233"/>
      <c r="AJ248" s="233"/>
      <c r="AK248" s="233"/>
      <c r="AL248" s="233"/>
    </row>
    <row r="249">
      <c r="B249" s="277"/>
      <c r="L249" s="67"/>
      <c r="M249" s="280" t="s">
        <v>2482</v>
      </c>
      <c r="N249" s="234"/>
      <c r="O249" s="281"/>
      <c r="P249" s="233"/>
      <c r="Q249" s="233"/>
      <c r="R249" s="234"/>
      <c r="S249" s="233"/>
      <c r="T249" s="233"/>
      <c r="U249" s="233"/>
      <c r="V249" s="233"/>
      <c r="W249" s="233"/>
      <c r="X249" s="233"/>
      <c r="Y249" s="233"/>
      <c r="Z249" s="233"/>
      <c r="AA249" s="233"/>
      <c r="AB249" s="233"/>
      <c r="AC249" s="233"/>
      <c r="AD249" s="233"/>
      <c r="AE249" s="233"/>
      <c r="AF249" s="233"/>
      <c r="AG249" s="233"/>
      <c r="AH249" s="233"/>
      <c r="AI249" s="233"/>
      <c r="AJ249" s="233"/>
      <c r="AK249" s="233"/>
      <c r="AL249" s="233"/>
    </row>
    <row r="250">
      <c r="B250" s="277"/>
      <c r="L250" s="67"/>
      <c r="M250" s="280" t="s">
        <v>2482</v>
      </c>
      <c r="N250" s="234"/>
      <c r="O250" s="281"/>
      <c r="P250" s="233"/>
      <c r="Q250" s="233"/>
      <c r="R250" s="234"/>
      <c r="S250" s="233"/>
      <c r="T250" s="233"/>
      <c r="U250" s="233"/>
      <c r="V250" s="233"/>
      <c r="W250" s="233"/>
      <c r="X250" s="233"/>
      <c r="Y250" s="233"/>
      <c r="Z250" s="233"/>
      <c r="AA250" s="233"/>
      <c r="AB250" s="233"/>
      <c r="AC250" s="233"/>
      <c r="AD250" s="233"/>
      <c r="AE250" s="233"/>
      <c r="AF250" s="233"/>
      <c r="AG250" s="233"/>
      <c r="AH250" s="233"/>
      <c r="AI250" s="233"/>
      <c r="AJ250" s="233"/>
      <c r="AK250" s="233"/>
      <c r="AL250" s="233"/>
    </row>
    <row r="251">
      <c r="B251" s="277"/>
      <c r="L251" s="67"/>
      <c r="M251" s="280" t="s">
        <v>2482</v>
      </c>
      <c r="N251" s="234"/>
      <c r="O251" s="281"/>
      <c r="P251" s="233"/>
      <c r="Q251" s="233"/>
      <c r="R251" s="234"/>
      <c r="S251" s="233"/>
      <c r="T251" s="233"/>
      <c r="U251" s="233"/>
      <c r="V251" s="233"/>
      <c r="W251" s="233"/>
      <c r="X251" s="233"/>
      <c r="Y251" s="233"/>
      <c r="Z251" s="233"/>
      <c r="AA251" s="233"/>
      <c r="AB251" s="233"/>
      <c r="AC251" s="233"/>
      <c r="AD251" s="233"/>
      <c r="AE251" s="233"/>
      <c r="AF251" s="233"/>
      <c r="AG251" s="233"/>
      <c r="AH251" s="233"/>
      <c r="AI251" s="233"/>
      <c r="AJ251" s="233"/>
      <c r="AK251" s="233"/>
      <c r="AL251" s="233"/>
    </row>
    <row r="252">
      <c r="B252" s="277"/>
      <c r="L252" s="67"/>
      <c r="M252" s="280" t="s">
        <v>2482</v>
      </c>
      <c r="N252" s="234"/>
      <c r="O252" s="281"/>
      <c r="P252" s="233"/>
      <c r="Q252" s="233"/>
      <c r="R252" s="234"/>
      <c r="S252" s="233"/>
      <c r="T252" s="233"/>
      <c r="U252" s="233"/>
      <c r="V252" s="233"/>
      <c r="W252" s="233"/>
      <c r="X252" s="233"/>
      <c r="Y252" s="233"/>
      <c r="Z252" s="233"/>
      <c r="AA252" s="233"/>
      <c r="AB252" s="233"/>
      <c r="AC252" s="233"/>
      <c r="AD252" s="233"/>
      <c r="AE252" s="233"/>
      <c r="AF252" s="233"/>
      <c r="AG252" s="233"/>
      <c r="AH252" s="233"/>
      <c r="AI252" s="233"/>
      <c r="AJ252" s="233"/>
      <c r="AK252" s="233"/>
      <c r="AL252" s="233"/>
    </row>
    <row r="253">
      <c r="B253" s="277"/>
      <c r="L253" s="67"/>
      <c r="M253" s="280" t="s">
        <v>2482</v>
      </c>
      <c r="N253" s="234"/>
      <c r="O253" s="281"/>
      <c r="P253" s="233"/>
      <c r="Q253" s="233"/>
      <c r="R253" s="234"/>
      <c r="S253" s="233"/>
      <c r="T253" s="233"/>
      <c r="U253" s="233"/>
      <c r="V253" s="233"/>
      <c r="W253" s="233"/>
      <c r="X253" s="233"/>
      <c r="Y253" s="233"/>
      <c r="Z253" s="233"/>
      <c r="AA253" s="233"/>
      <c r="AB253" s="233"/>
      <c r="AC253" s="233"/>
      <c r="AD253" s="233"/>
      <c r="AE253" s="233"/>
      <c r="AF253" s="233"/>
      <c r="AG253" s="233"/>
      <c r="AH253" s="233"/>
      <c r="AI253" s="233"/>
      <c r="AJ253" s="233"/>
      <c r="AK253" s="233"/>
      <c r="AL253" s="233"/>
    </row>
    <row r="254">
      <c r="B254" s="277"/>
      <c r="L254" s="67"/>
      <c r="M254" s="280" t="s">
        <v>2482</v>
      </c>
      <c r="N254" s="234"/>
      <c r="O254" s="281"/>
      <c r="P254" s="233"/>
      <c r="Q254" s="233"/>
      <c r="R254" s="234"/>
      <c r="S254" s="233"/>
      <c r="T254" s="233"/>
      <c r="U254" s="233"/>
      <c r="V254" s="233"/>
      <c r="W254" s="233"/>
      <c r="X254" s="233"/>
      <c r="Y254" s="233"/>
      <c r="Z254" s="233"/>
      <c r="AA254" s="233"/>
      <c r="AB254" s="233"/>
      <c r="AC254" s="233"/>
      <c r="AD254" s="233"/>
      <c r="AE254" s="233"/>
      <c r="AF254" s="233"/>
      <c r="AG254" s="233"/>
      <c r="AH254" s="233"/>
      <c r="AI254" s="233"/>
      <c r="AJ254" s="233"/>
      <c r="AK254" s="233"/>
      <c r="AL254" s="233"/>
    </row>
    <row r="255">
      <c r="B255" s="277"/>
      <c r="L255" s="67"/>
      <c r="M255" s="280" t="s">
        <v>2482</v>
      </c>
      <c r="N255" s="234"/>
      <c r="O255" s="281"/>
      <c r="P255" s="233"/>
      <c r="Q255" s="233"/>
      <c r="R255" s="234"/>
      <c r="S255" s="233"/>
      <c r="T255" s="233"/>
      <c r="U255" s="233"/>
      <c r="V255" s="233"/>
      <c r="W255" s="233"/>
      <c r="X255" s="233"/>
      <c r="Y255" s="233"/>
      <c r="Z255" s="233"/>
      <c r="AA255" s="233"/>
      <c r="AB255" s="233"/>
      <c r="AC255" s="233"/>
      <c r="AD255" s="233"/>
      <c r="AE255" s="233"/>
      <c r="AF255" s="233"/>
      <c r="AG255" s="233"/>
      <c r="AH255" s="233"/>
      <c r="AI255" s="233"/>
      <c r="AJ255" s="233"/>
      <c r="AK255" s="233"/>
      <c r="AL255" s="233"/>
    </row>
    <row r="256">
      <c r="B256" s="277"/>
      <c r="L256" s="67"/>
      <c r="M256" s="280" t="s">
        <v>2482</v>
      </c>
      <c r="N256" s="234"/>
      <c r="O256" s="281"/>
      <c r="P256" s="233"/>
      <c r="Q256" s="233"/>
      <c r="R256" s="234"/>
      <c r="S256" s="233"/>
      <c r="T256" s="233"/>
      <c r="U256" s="233"/>
      <c r="V256" s="233"/>
      <c r="W256" s="233"/>
      <c r="X256" s="233"/>
      <c r="Y256" s="233"/>
      <c r="Z256" s="233"/>
      <c r="AA256" s="233"/>
      <c r="AB256" s="233"/>
      <c r="AC256" s="233"/>
      <c r="AD256" s="233"/>
      <c r="AE256" s="233"/>
      <c r="AF256" s="233"/>
      <c r="AG256" s="233"/>
      <c r="AH256" s="233"/>
      <c r="AI256" s="233"/>
      <c r="AJ256" s="233"/>
      <c r="AK256" s="233"/>
      <c r="AL256" s="233"/>
    </row>
    <row r="257">
      <c r="B257" s="277"/>
      <c r="L257" s="67"/>
      <c r="M257" s="280" t="s">
        <v>2482</v>
      </c>
      <c r="N257" s="234"/>
      <c r="O257" s="281"/>
      <c r="P257" s="233"/>
      <c r="Q257" s="233"/>
      <c r="R257" s="234"/>
      <c r="S257" s="233"/>
      <c r="T257" s="233"/>
      <c r="U257" s="233"/>
      <c r="V257" s="233"/>
      <c r="W257" s="233"/>
      <c r="X257" s="233"/>
      <c r="Y257" s="233"/>
      <c r="Z257" s="233"/>
      <c r="AA257" s="233"/>
      <c r="AB257" s="233"/>
      <c r="AC257" s="233"/>
      <c r="AD257" s="233"/>
      <c r="AE257" s="233"/>
      <c r="AF257" s="233"/>
      <c r="AG257" s="233"/>
      <c r="AH257" s="233"/>
      <c r="AI257" s="233"/>
      <c r="AJ257" s="233"/>
      <c r="AK257" s="233"/>
      <c r="AL257" s="233"/>
    </row>
    <row r="258">
      <c r="B258" s="277"/>
      <c r="L258" s="67"/>
      <c r="M258" s="280" t="s">
        <v>2482</v>
      </c>
      <c r="N258" s="234"/>
      <c r="O258" s="281"/>
      <c r="P258" s="233"/>
      <c r="Q258" s="233"/>
      <c r="R258" s="234"/>
      <c r="S258" s="233"/>
      <c r="T258" s="233"/>
      <c r="U258" s="233"/>
      <c r="V258" s="233"/>
      <c r="W258" s="233"/>
      <c r="X258" s="233"/>
      <c r="Y258" s="233"/>
      <c r="Z258" s="233"/>
      <c r="AA258" s="233"/>
      <c r="AB258" s="233"/>
      <c r="AC258" s="233"/>
      <c r="AD258" s="233"/>
      <c r="AE258" s="233"/>
      <c r="AF258" s="233"/>
      <c r="AG258" s="233"/>
      <c r="AH258" s="233"/>
      <c r="AI258" s="233"/>
      <c r="AJ258" s="233"/>
      <c r="AK258" s="233"/>
      <c r="AL258" s="233"/>
    </row>
    <row r="259">
      <c r="B259" s="277"/>
      <c r="L259" s="67"/>
      <c r="M259" s="280" t="s">
        <v>2482</v>
      </c>
      <c r="N259" s="234"/>
      <c r="O259" s="281"/>
      <c r="P259" s="233"/>
      <c r="Q259" s="233"/>
      <c r="R259" s="234"/>
      <c r="S259" s="233"/>
      <c r="T259" s="233"/>
      <c r="U259" s="233"/>
      <c r="V259" s="233"/>
      <c r="W259" s="233"/>
      <c r="X259" s="233"/>
      <c r="Y259" s="233"/>
      <c r="Z259" s="233"/>
      <c r="AA259" s="233"/>
      <c r="AB259" s="233"/>
      <c r="AC259" s="233"/>
      <c r="AD259" s="233"/>
      <c r="AE259" s="233"/>
      <c r="AF259" s="233"/>
      <c r="AG259" s="233"/>
      <c r="AH259" s="233"/>
      <c r="AI259" s="233"/>
      <c r="AJ259" s="233"/>
      <c r="AK259" s="233"/>
      <c r="AL259" s="233"/>
    </row>
    <row r="260">
      <c r="B260" s="277"/>
      <c r="L260" s="67"/>
      <c r="M260" s="280" t="s">
        <v>2482</v>
      </c>
      <c r="N260" s="234"/>
      <c r="O260" s="281"/>
      <c r="P260" s="233"/>
      <c r="Q260" s="233"/>
      <c r="R260" s="234"/>
      <c r="S260" s="233"/>
      <c r="T260" s="233"/>
      <c r="U260" s="233"/>
      <c r="V260" s="233"/>
      <c r="W260" s="233"/>
      <c r="X260" s="233"/>
      <c r="Y260" s="233"/>
      <c r="Z260" s="233"/>
      <c r="AA260" s="233"/>
      <c r="AB260" s="233"/>
      <c r="AC260" s="233"/>
      <c r="AD260" s="233"/>
      <c r="AE260" s="233"/>
      <c r="AF260" s="233"/>
      <c r="AG260" s="233"/>
      <c r="AH260" s="233"/>
      <c r="AI260" s="233"/>
      <c r="AJ260" s="233"/>
      <c r="AK260" s="233"/>
      <c r="AL260" s="233"/>
    </row>
    <row r="261">
      <c r="B261" s="277"/>
      <c r="L261" s="67"/>
      <c r="M261" s="280" t="s">
        <v>2482</v>
      </c>
      <c r="N261" s="234"/>
      <c r="O261" s="281"/>
      <c r="P261" s="233"/>
      <c r="Q261" s="233"/>
      <c r="R261" s="234"/>
      <c r="S261" s="233"/>
      <c r="T261" s="233"/>
      <c r="U261" s="233"/>
      <c r="V261" s="233"/>
      <c r="W261" s="233"/>
      <c r="X261" s="233"/>
      <c r="Y261" s="233"/>
      <c r="Z261" s="233"/>
      <c r="AA261" s="233"/>
      <c r="AB261" s="233"/>
      <c r="AC261" s="233"/>
      <c r="AD261" s="233"/>
      <c r="AE261" s="233"/>
      <c r="AF261" s="233"/>
      <c r="AG261" s="233"/>
      <c r="AH261" s="233"/>
      <c r="AI261" s="233"/>
      <c r="AJ261" s="233"/>
      <c r="AK261" s="233"/>
      <c r="AL261" s="233"/>
    </row>
    <row r="262">
      <c r="B262" s="277"/>
      <c r="L262" s="67"/>
      <c r="M262" s="280" t="s">
        <v>2482</v>
      </c>
      <c r="N262" s="234"/>
      <c r="O262" s="281"/>
      <c r="P262" s="233"/>
      <c r="Q262" s="233"/>
      <c r="R262" s="234"/>
      <c r="S262" s="233"/>
      <c r="T262" s="233"/>
      <c r="U262" s="233"/>
      <c r="V262" s="233"/>
      <c r="W262" s="233"/>
      <c r="X262" s="233"/>
      <c r="Y262" s="233"/>
      <c r="Z262" s="233"/>
      <c r="AA262" s="233"/>
      <c r="AB262" s="233"/>
      <c r="AC262" s="233"/>
      <c r="AD262" s="233"/>
      <c r="AE262" s="233"/>
      <c r="AF262" s="233"/>
      <c r="AG262" s="233"/>
      <c r="AH262" s="233"/>
      <c r="AI262" s="233"/>
      <c r="AJ262" s="233"/>
      <c r="AK262" s="233"/>
      <c r="AL262" s="233"/>
    </row>
    <row r="263">
      <c r="B263" s="277"/>
      <c r="L263" s="67"/>
      <c r="M263" s="280" t="s">
        <v>2482</v>
      </c>
      <c r="N263" s="234"/>
      <c r="O263" s="281"/>
      <c r="P263" s="233"/>
      <c r="Q263" s="233"/>
      <c r="R263" s="234"/>
      <c r="S263" s="233"/>
      <c r="T263" s="233"/>
      <c r="U263" s="233"/>
      <c r="V263" s="233"/>
      <c r="W263" s="233"/>
      <c r="X263" s="233"/>
      <c r="Y263" s="233"/>
      <c r="Z263" s="233"/>
      <c r="AA263" s="233"/>
      <c r="AB263" s="233"/>
      <c r="AC263" s="233"/>
      <c r="AD263" s="233"/>
      <c r="AE263" s="233"/>
      <c r="AF263" s="233"/>
      <c r="AG263" s="233"/>
      <c r="AH263" s="233"/>
      <c r="AI263" s="233"/>
      <c r="AJ263" s="233"/>
      <c r="AK263" s="233"/>
      <c r="AL263" s="233"/>
    </row>
    <row r="264">
      <c r="B264" s="277"/>
      <c r="L264" s="67"/>
      <c r="M264" s="280" t="s">
        <v>2482</v>
      </c>
      <c r="N264" s="234"/>
      <c r="O264" s="281"/>
      <c r="P264" s="233"/>
      <c r="Q264" s="233"/>
      <c r="R264" s="234"/>
      <c r="S264" s="233"/>
      <c r="T264" s="233"/>
      <c r="U264" s="233"/>
      <c r="V264" s="233"/>
      <c r="W264" s="233"/>
      <c r="X264" s="233"/>
      <c r="Y264" s="233"/>
      <c r="Z264" s="233"/>
      <c r="AA264" s="233"/>
      <c r="AB264" s="233"/>
      <c r="AC264" s="233"/>
      <c r="AD264" s="233"/>
      <c r="AE264" s="233"/>
      <c r="AF264" s="233"/>
      <c r="AG264" s="233"/>
      <c r="AH264" s="233"/>
      <c r="AI264" s="233"/>
      <c r="AJ264" s="233"/>
      <c r="AK264" s="233"/>
      <c r="AL264" s="233"/>
    </row>
    <row r="265">
      <c r="B265" s="277"/>
      <c r="L265" s="67"/>
      <c r="M265" s="280" t="s">
        <v>2482</v>
      </c>
      <c r="N265" s="234"/>
      <c r="O265" s="281"/>
      <c r="P265" s="233"/>
      <c r="Q265" s="233"/>
      <c r="R265" s="234"/>
      <c r="S265" s="233"/>
      <c r="T265" s="233"/>
      <c r="U265" s="233"/>
      <c r="V265" s="233"/>
      <c r="W265" s="233"/>
      <c r="X265" s="233"/>
      <c r="Y265" s="233"/>
      <c r="Z265" s="233"/>
      <c r="AA265" s="233"/>
      <c r="AB265" s="233"/>
      <c r="AC265" s="233"/>
      <c r="AD265" s="233"/>
      <c r="AE265" s="233"/>
      <c r="AF265" s="233"/>
      <c r="AG265" s="233"/>
      <c r="AH265" s="233"/>
      <c r="AI265" s="233"/>
      <c r="AJ265" s="233"/>
      <c r="AK265" s="233"/>
      <c r="AL265" s="233"/>
    </row>
    <row r="266">
      <c r="B266" s="277"/>
      <c r="L266" s="67"/>
      <c r="M266" s="280" t="s">
        <v>2482</v>
      </c>
      <c r="N266" s="234"/>
      <c r="O266" s="281"/>
      <c r="P266" s="233"/>
      <c r="Q266" s="233"/>
      <c r="R266" s="234"/>
      <c r="S266" s="233"/>
      <c r="T266" s="233"/>
      <c r="U266" s="233"/>
      <c r="V266" s="233"/>
      <c r="W266" s="233"/>
      <c r="X266" s="233"/>
      <c r="Y266" s="233"/>
      <c r="Z266" s="233"/>
      <c r="AA266" s="233"/>
      <c r="AB266" s="233"/>
      <c r="AC266" s="233"/>
      <c r="AD266" s="233"/>
      <c r="AE266" s="233"/>
      <c r="AF266" s="233"/>
      <c r="AG266" s="233"/>
      <c r="AH266" s="233"/>
      <c r="AI266" s="233"/>
      <c r="AJ266" s="233"/>
      <c r="AK266" s="233"/>
      <c r="AL266" s="233"/>
    </row>
    <row r="267">
      <c r="B267" s="277"/>
      <c r="L267" s="67"/>
      <c r="M267" s="280" t="s">
        <v>2482</v>
      </c>
      <c r="N267" s="234"/>
      <c r="O267" s="281"/>
      <c r="P267" s="233"/>
      <c r="Q267" s="233"/>
      <c r="R267" s="234"/>
      <c r="S267" s="233"/>
      <c r="T267" s="233"/>
      <c r="U267" s="233"/>
      <c r="V267" s="233"/>
      <c r="W267" s="233"/>
      <c r="X267" s="233"/>
      <c r="Y267" s="233"/>
      <c r="Z267" s="233"/>
      <c r="AA267" s="233"/>
      <c r="AB267" s="233"/>
      <c r="AC267" s="233"/>
      <c r="AD267" s="233"/>
      <c r="AE267" s="233"/>
      <c r="AF267" s="233"/>
      <c r="AG267" s="233"/>
      <c r="AH267" s="233"/>
      <c r="AI267" s="233"/>
      <c r="AJ267" s="233"/>
      <c r="AK267" s="233"/>
      <c r="AL267" s="233"/>
    </row>
    <row r="268">
      <c r="B268" s="277"/>
      <c r="L268" s="67"/>
      <c r="M268" s="280" t="s">
        <v>2482</v>
      </c>
      <c r="N268" s="234"/>
      <c r="O268" s="281"/>
      <c r="P268" s="233"/>
      <c r="Q268" s="233"/>
      <c r="R268" s="234"/>
      <c r="S268" s="233"/>
      <c r="T268" s="233"/>
      <c r="U268" s="233"/>
      <c r="V268" s="233"/>
      <c r="W268" s="233"/>
      <c r="X268" s="233"/>
      <c r="Y268" s="233"/>
      <c r="Z268" s="233"/>
      <c r="AA268" s="233"/>
      <c r="AB268" s="233"/>
      <c r="AC268" s="233"/>
      <c r="AD268" s="233"/>
      <c r="AE268" s="233"/>
      <c r="AF268" s="233"/>
      <c r="AG268" s="233"/>
      <c r="AH268" s="233"/>
      <c r="AI268" s="233"/>
      <c r="AJ268" s="233"/>
      <c r="AK268" s="233"/>
      <c r="AL268" s="233"/>
    </row>
    <row r="269">
      <c r="B269" s="277"/>
      <c r="L269" s="67"/>
      <c r="M269" s="280" t="s">
        <v>2482</v>
      </c>
      <c r="N269" s="234"/>
      <c r="O269" s="281"/>
      <c r="P269" s="233"/>
      <c r="Q269" s="233"/>
      <c r="R269" s="234"/>
      <c r="S269" s="233"/>
      <c r="T269" s="233"/>
      <c r="U269" s="233"/>
      <c r="V269" s="233"/>
      <c r="W269" s="233"/>
      <c r="X269" s="233"/>
      <c r="Y269" s="233"/>
      <c r="Z269" s="233"/>
      <c r="AA269" s="233"/>
      <c r="AB269" s="233"/>
      <c r="AC269" s="233"/>
      <c r="AD269" s="233"/>
      <c r="AE269" s="233"/>
      <c r="AF269" s="233"/>
      <c r="AG269" s="233"/>
      <c r="AH269" s="233"/>
      <c r="AI269" s="233"/>
      <c r="AJ269" s="233"/>
      <c r="AK269" s="233"/>
      <c r="AL269" s="233"/>
    </row>
    <row r="270">
      <c r="B270" s="277"/>
      <c r="L270" s="67"/>
      <c r="M270" s="280" t="s">
        <v>2482</v>
      </c>
      <c r="N270" s="234"/>
      <c r="O270" s="281"/>
      <c r="P270" s="233"/>
      <c r="Q270" s="233"/>
      <c r="R270" s="234"/>
      <c r="S270" s="233"/>
      <c r="T270" s="233"/>
      <c r="U270" s="233"/>
      <c r="V270" s="233"/>
      <c r="W270" s="233"/>
      <c r="X270" s="233"/>
      <c r="Y270" s="233"/>
      <c r="Z270" s="233"/>
      <c r="AA270" s="233"/>
      <c r="AB270" s="233"/>
      <c r="AC270" s="233"/>
      <c r="AD270" s="233"/>
      <c r="AE270" s="233"/>
      <c r="AF270" s="233"/>
      <c r="AG270" s="233"/>
      <c r="AH270" s="233"/>
      <c r="AI270" s="233"/>
      <c r="AJ270" s="233"/>
      <c r="AK270" s="233"/>
      <c r="AL270" s="233"/>
    </row>
    <row r="271">
      <c r="B271" s="277"/>
      <c r="L271" s="67"/>
      <c r="M271" s="280" t="s">
        <v>2482</v>
      </c>
      <c r="N271" s="234"/>
      <c r="O271" s="281"/>
      <c r="P271" s="233"/>
      <c r="Q271" s="233"/>
      <c r="R271" s="234"/>
      <c r="S271" s="233"/>
      <c r="T271" s="233"/>
      <c r="U271" s="233"/>
      <c r="V271" s="233"/>
      <c r="W271" s="233"/>
      <c r="X271" s="233"/>
      <c r="Y271" s="233"/>
      <c r="Z271" s="233"/>
      <c r="AA271" s="233"/>
      <c r="AB271" s="233"/>
      <c r="AC271" s="233"/>
      <c r="AD271" s="233"/>
      <c r="AE271" s="233"/>
      <c r="AF271" s="233"/>
      <c r="AG271" s="233"/>
      <c r="AH271" s="233"/>
      <c r="AI271" s="233"/>
      <c r="AJ271" s="233"/>
      <c r="AK271" s="233"/>
      <c r="AL271" s="233"/>
    </row>
    <row r="272">
      <c r="B272" s="277"/>
      <c r="L272" s="67"/>
      <c r="M272" s="280" t="s">
        <v>2482</v>
      </c>
      <c r="N272" s="234"/>
      <c r="O272" s="281"/>
      <c r="P272" s="233"/>
      <c r="Q272" s="233"/>
      <c r="R272" s="234"/>
      <c r="S272" s="233"/>
      <c r="T272" s="233"/>
      <c r="U272" s="233"/>
      <c r="V272" s="233"/>
      <c r="W272" s="233"/>
      <c r="X272" s="233"/>
      <c r="Y272" s="233"/>
      <c r="Z272" s="233"/>
      <c r="AA272" s="233"/>
      <c r="AB272" s="233"/>
      <c r="AC272" s="233"/>
      <c r="AD272" s="233"/>
      <c r="AE272" s="233"/>
      <c r="AF272" s="233"/>
      <c r="AG272" s="233"/>
      <c r="AH272" s="233"/>
      <c r="AI272" s="233"/>
      <c r="AJ272" s="233"/>
      <c r="AK272" s="233"/>
      <c r="AL272" s="233"/>
    </row>
    <row r="273">
      <c r="B273" s="277"/>
      <c r="L273" s="67"/>
      <c r="M273" s="280" t="s">
        <v>2482</v>
      </c>
      <c r="N273" s="234"/>
      <c r="O273" s="281"/>
      <c r="P273" s="233"/>
      <c r="Q273" s="233"/>
      <c r="R273" s="234"/>
      <c r="S273" s="233"/>
      <c r="T273" s="233"/>
      <c r="U273" s="233"/>
      <c r="V273" s="233"/>
      <c r="W273" s="233"/>
      <c r="X273" s="233"/>
      <c r="Y273" s="233"/>
      <c r="Z273" s="233"/>
      <c r="AA273" s="233"/>
      <c r="AB273" s="233"/>
      <c r="AC273" s="233"/>
      <c r="AD273" s="233"/>
      <c r="AE273" s="233"/>
      <c r="AF273" s="233"/>
      <c r="AG273" s="233"/>
      <c r="AH273" s="233"/>
      <c r="AI273" s="233"/>
      <c r="AJ273" s="233"/>
      <c r="AK273" s="233"/>
      <c r="AL273" s="233"/>
    </row>
    <row r="274">
      <c r="B274" s="277"/>
      <c r="L274" s="67"/>
      <c r="M274" s="280" t="s">
        <v>2482</v>
      </c>
      <c r="N274" s="234"/>
      <c r="O274" s="281"/>
      <c r="P274" s="233"/>
      <c r="Q274" s="233"/>
      <c r="R274" s="234"/>
      <c r="S274" s="233"/>
      <c r="T274" s="233"/>
      <c r="U274" s="233"/>
      <c r="V274" s="233"/>
      <c r="W274" s="233"/>
      <c r="X274" s="233"/>
      <c r="Y274" s="233"/>
      <c r="Z274" s="233"/>
      <c r="AA274" s="233"/>
      <c r="AB274" s="233"/>
      <c r="AC274" s="233"/>
      <c r="AD274" s="233"/>
      <c r="AE274" s="233"/>
      <c r="AF274" s="233"/>
      <c r="AG274" s="233"/>
      <c r="AH274" s="233"/>
      <c r="AI274" s="233"/>
      <c r="AJ274" s="233"/>
      <c r="AK274" s="233"/>
      <c r="AL274" s="233"/>
    </row>
    <row r="275">
      <c r="B275" s="277"/>
      <c r="L275" s="67"/>
      <c r="M275" s="280" t="s">
        <v>2482</v>
      </c>
      <c r="N275" s="234"/>
      <c r="O275" s="281"/>
      <c r="P275" s="233"/>
      <c r="Q275" s="233"/>
      <c r="R275" s="234"/>
      <c r="S275" s="233"/>
      <c r="T275" s="233"/>
      <c r="U275" s="233"/>
      <c r="V275" s="233"/>
      <c r="W275" s="233"/>
      <c r="X275" s="233"/>
      <c r="Y275" s="233"/>
      <c r="Z275" s="233"/>
      <c r="AA275" s="233"/>
      <c r="AB275" s="233"/>
      <c r="AC275" s="233"/>
      <c r="AD275" s="233"/>
      <c r="AE275" s="233"/>
      <c r="AF275" s="233"/>
      <c r="AG275" s="233"/>
      <c r="AH275" s="233"/>
      <c r="AI275" s="233"/>
      <c r="AJ275" s="233"/>
      <c r="AK275" s="233"/>
      <c r="AL275" s="233"/>
    </row>
    <row r="276">
      <c r="B276" s="277"/>
      <c r="L276" s="67"/>
      <c r="M276" s="280" t="s">
        <v>2482</v>
      </c>
      <c r="N276" s="234"/>
      <c r="O276" s="281"/>
      <c r="P276" s="233"/>
      <c r="Q276" s="233"/>
      <c r="R276" s="234"/>
      <c r="S276" s="233"/>
      <c r="T276" s="233"/>
      <c r="U276" s="233"/>
      <c r="V276" s="233"/>
      <c r="W276" s="233"/>
      <c r="X276" s="233"/>
      <c r="Y276" s="233"/>
      <c r="Z276" s="233"/>
      <c r="AA276" s="233"/>
      <c r="AB276" s="233"/>
      <c r="AC276" s="233"/>
      <c r="AD276" s="233"/>
      <c r="AE276" s="233"/>
      <c r="AF276" s="233"/>
      <c r="AG276" s="233"/>
      <c r="AH276" s="233"/>
      <c r="AI276" s="233"/>
      <c r="AJ276" s="233"/>
      <c r="AK276" s="233"/>
      <c r="AL276" s="233"/>
    </row>
    <row r="277">
      <c r="B277" s="277"/>
      <c r="L277" s="67"/>
      <c r="M277" s="280" t="s">
        <v>2482</v>
      </c>
      <c r="N277" s="234"/>
      <c r="O277" s="281"/>
      <c r="P277" s="233"/>
      <c r="Q277" s="233"/>
      <c r="R277" s="234"/>
      <c r="S277" s="233"/>
      <c r="T277" s="233"/>
      <c r="U277" s="233"/>
      <c r="V277" s="233"/>
      <c r="W277" s="233"/>
      <c r="X277" s="233"/>
      <c r="Y277" s="233"/>
      <c r="Z277" s="233"/>
      <c r="AA277" s="233"/>
      <c r="AB277" s="233"/>
      <c r="AC277" s="233"/>
      <c r="AD277" s="233"/>
      <c r="AE277" s="233"/>
      <c r="AF277" s="233"/>
      <c r="AG277" s="233"/>
      <c r="AH277" s="233"/>
      <c r="AI277" s="233"/>
      <c r="AJ277" s="233"/>
      <c r="AK277" s="233"/>
      <c r="AL277" s="233"/>
    </row>
    <row r="278">
      <c r="B278" s="277"/>
      <c r="L278" s="67"/>
      <c r="M278" s="280" t="s">
        <v>2482</v>
      </c>
      <c r="N278" s="234"/>
      <c r="O278" s="281"/>
      <c r="P278" s="233"/>
      <c r="Q278" s="233"/>
      <c r="R278" s="234"/>
      <c r="S278" s="233"/>
      <c r="T278" s="233"/>
      <c r="U278" s="233"/>
      <c r="V278" s="233"/>
      <c r="W278" s="233"/>
      <c r="X278" s="233"/>
      <c r="Y278" s="233"/>
      <c r="Z278" s="233"/>
      <c r="AA278" s="233"/>
      <c r="AB278" s="233"/>
      <c r="AC278" s="233"/>
      <c r="AD278" s="233"/>
      <c r="AE278" s="233"/>
      <c r="AF278" s="233"/>
      <c r="AG278" s="233"/>
      <c r="AH278" s="233"/>
      <c r="AI278" s="233"/>
      <c r="AJ278" s="233"/>
      <c r="AK278" s="233"/>
      <c r="AL278" s="233"/>
    </row>
    <row r="279">
      <c r="B279" s="277"/>
      <c r="L279" s="67"/>
      <c r="M279" s="280" t="s">
        <v>2482</v>
      </c>
      <c r="N279" s="234"/>
      <c r="O279" s="281"/>
      <c r="P279" s="233"/>
      <c r="Q279" s="233"/>
      <c r="R279" s="234"/>
      <c r="S279" s="233"/>
      <c r="T279" s="233"/>
      <c r="U279" s="233"/>
      <c r="V279" s="233"/>
      <c r="W279" s="233"/>
      <c r="X279" s="233"/>
      <c r="Y279" s="233"/>
      <c r="Z279" s="233"/>
      <c r="AA279" s="233"/>
      <c r="AB279" s="233"/>
      <c r="AC279" s="233"/>
      <c r="AD279" s="233"/>
      <c r="AE279" s="233"/>
      <c r="AF279" s="233"/>
      <c r="AG279" s="233"/>
      <c r="AH279" s="233"/>
      <c r="AI279" s="233"/>
      <c r="AJ279" s="233"/>
      <c r="AK279" s="233"/>
      <c r="AL279" s="233"/>
    </row>
    <row r="280">
      <c r="B280" s="277"/>
      <c r="L280" s="67"/>
      <c r="M280" s="280" t="s">
        <v>2482</v>
      </c>
      <c r="N280" s="234"/>
      <c r="O280" s="281"/>
      <c r="P280" s="233"/>
      <c r="Q280" s="233"/>
      <c r="R280" s="234"/>
      <c r="S280" s="233"/>
      <c r="T280" s="233"/>
      <c r="U280" s="233"/>
      <c r="V280" s="233"/>
      <c r="W280" s="233"/>
      <c r="X280" s="233"/>
      <c r="Y280" s="233"/>
      <c r="Z280" s="233"/>
      <c r="AA280" s="233"/>
      <c r="AB280" s="233"/>
      <c r="AC280" s="233"/>
      <c r="AD280" s="233"/>
      <c r="AE280" s="233"/>
      <c r="AF280" s="233"/>
      <c r="AG280" s="233"/>
      <c r="AH280" s="233"/>
      <c r="AI280" s="233"/>
      <c r="AJ280" s="233"/>
      <c r="AK280" s="233"/>
      <c r="AL280" s="233"/>
    </row>
    <row r="281">
      <c r="B281" s="277"/>
      <c r="L281" s="67"/>
      <c r="M281" s="280" t="s">
        <v>2482</v>
      </c>
      <c r="N281" s="234"/>
      <c r="O281" s="281"/>
      <c r="P281" s="233"/>
      <c r="Q281" s="233"/>
      <c r="R281" s="234"/>
      <c r="S281" s="233"/>
      <c r="T281" s="233"/>
      <c r="U281" s="233"/>
      <c r="V281" s="233"/>
      <c r="W281" s="233"/>
      <c r="X281" s="233"/>
      <c r="Y281" s="233"/>
      <c r="Z281" s="233"/>
      <c r="AA281" s="233"/>
      <c r="AB281" s="233"/>
      <c r="AC281" s="233"/>
      <c r="AD281" s="233"/>
      <c r="AE281" s="233"/>
      <c r="AF281" s="233"/>
      <c r="AG281" s="233"/>
      <c r="AH281" s="233"/>
      <c r="AI281" s="233"/>
      <c r="AJ281" s="233"/>
      <c r="AK281" s="233"/>
      <c r="AL281" s="233"/>
    </row>
    <row r="282">
      <c r="B282" s="277"/>
      <c r="L282" s="67"/>
      <c r="M282" s="280" t="s">
        <v>2482</v>
      </c>
      <c r="N282" s="234"/>
      <c r="O282" s="281"/>
      <c r="P282" s="233"/>
      <c r="Q282" s="233"/>
      <c r="R282" s="234"/>
      <c r="S282" s="233"/>
      <c r="T282" s="233"/>
      <c r="U282" s="233"/>
      <c r="V282" s="233"/>
      <c r="W282" s="233"/>
      <c r="X282" s="233"/>
      <c r="Y282" s="233"/>
      <c r="Z282" s="233"/>
      <c r="AA282" s="233"/>
      <c r="AB282" s="233"/>
      <c r="AC282" s="233"/>
      <c r="AD282" s="233"/>
      <c r="AE282" s="233"/>
      <c r="AF282" s="233"/>
      <c r="AG282" s="233"/>
      <c r="AH282" s="233"/>
      <c r="AI282" s="233"/>
      <c r="AJ282" s="233"/>
      <c r="AK282" s="233"/>
      <c r="AL282" s="233"/>
    </row>
    <row r="283">
      <c r="B283" s="277"/>
      <c r="L283" s="67"/>
      <c r="M283" s="280" t="s">
        <v>2482</v>
      </c>
      <c r="N283" s="234"/>
      <c r="O283" s="281"/>
      <c r="P283" s="233"/>
      <c r="Q283" s="233"/>
      <c r="R283" s="234"/>
      <c r="S283" s="233"/>
      <c r="T283" s="233"/>
      <c r="U283" s="233"/>
      <c r="V283" s="233"/>
      <c r="W283" s="233"/>
      <c r="X283" s="233"/>
      <c r="Y283" s="233"/>
      <c r="Z283" s="233"/>
      <c r="AA283" s="233"/>
      <c r="AB283" s="233"/>
      <c r="AC283" s="233"/>
      <c r="AD283" s="233"/>
      <c r="AE283" s="233"/>
      <c r="AF283" s="233"/>
      <c r="AG283" s="233"/>
      <c r="AH283" s="233"/>
      <c r="AI283" s="233"/>
      <c r="AJ283" s="233"/>
      <c r="AK283" s="233"/>
      <c r="AL283" s="233"/>
    </row>
    <row r="284">
      <c r="B284" s="277"/>
      <c r="L284" s="67"/>
      <c r="M284" s="280" t="s">
        <v>2482</v>
      </c>
      <c r="N284" s="234"/>
      <c r="O284" s="281"/>
      <c r="P284" s="233"/>
      <c r="Q284" s="233"/>
      <c r="R284" s="234"/>
      <c r="S284" s="233"/>
      <c r="T284" s="233"/>
      <c r="U284" s="233"/>
      <c r="V284" s="233"/>
      <c r="W284" s="233"/>
      <c r="X284" s="233"/>
      <c r="Y284" s="233"/>
      <c r="Z284" s="233"/>
      <c r="AA284" s="233"/>
      <c r="AB284" s="233"/>
      <c r="AC284" s="233"/>
      <c r="AD284" s="233"/>
      <c r="AE284" s="233"/>
      <c r="AF284" s="233"/>
      <c r="AG284" s="233"/>
      <c r="AH284" s="233"/>
      <c r="AI284" s="233"/>
      <c r="AJ284" s="233"/>
      <c r="AK284" s="233"/>
      <c r="AL284" s="233"/>
    </row>
    <row r="285">
      <c r="B285" s="277"/>
      <c r="L285" s="67"/>
      <c r="M285" s="280" t="s">
        <v>2482</v>
      </c>
      <c r="N285" s="234"/>
      <c r="O285" s="281"/>
      <c r="P285" s="233"/>
      <c r="Q285" s="233"/>
      <c r="R285" s="234"/>
      <c r="S285" s="233"/>
      <c r="T285" s="233"/>
      <c r="U285" s="233"/>
      <c r="V285" s="233"/>
      <c r="W285" s="233"/>
      <c r="X285" s="233"/>
      <c r="Y285" s="233"/>
      <c r="Z285" s="233"/>
      <c r="AA285" s="233"/>
      <c r="AB285" s="233"/>
      <c r="AC285" s="233"/>
      <c r="AD285" s="233"/>
      <c r="AE285" s="233"/>
      <c r="AF285" s="233"/>
      <c r="AG285" s="233"/>
      <c r="AH285" s="233"/>
      <c r="AI285" s="233"/>
      <c r="AJ285" s="233"/>
      <c r="AK285" s="233"/>
      <c r="AL285" s="233"/>
    </row>
    <row r="286">
      <c r="B286" s="277"/>
      <c r="L286" s="67"/>
      <c r="M286" s="280" t="s">
        <v>2482</v>
      </c>
      <c r="N286" s="234"/>
      <c r="O286" s="281"/>
      <c r="P286" s="233"/>
      <c r="Q286" s="233"/>
      <c r="R286" s="234"/>
      <c r="S286" s="233"/>
      <c r="T286" s="233"/>
      <c r="U286" s="233"/>
      <c r="V286" s="233"/>
      <c r="W286" s="233"/>
      <c r="X286" s="233"/>
      <c r="Y286" s="233"/>
      <c r="Z286" s="233"/>
      <c r="AA286" s="233"/>
      <c r="AB286" s="233"/>
      <c r="AC286" s="233"/>
      <c r="AD286" s="233"/>
      <c r="AE286" s="233"/>
      <c r="AF286" s="233"/>
      <c r="AG286" s="233"/>
      <c r="AH286" s="233"/>
      <c r="AI286" s="233"/>
      <c r="AJ286" s="233"/>
      <c r="AK286" s="233"/>
      <c r="AL286" s="233"/>
    </row>
    <row r="287">
      <c r="B287" s="277"/>
      <c r="L287" s="67"/>
      <c r="M287" s="280" t="s">
        <v>2482</v>
      </c>
      <c r="N287" s="234"/>
      <c r="O287" s="281"/>
      <c r="P287" s="233"/>
      <c r="Q287" s="233"/>
      <c r="R287" s="234"/>
      <c r="S287" s="233"/>
      <c r="T287" s="233"/>
      <c r="U287" s="233"/>
      <c r="V287" s="233"/>
      <c r="W287" s="233"/>
      <c r="X287" s="233"/>
      <c r="Y287" s="233"/>
      <c r="Z287" s="233"/>
      <c r="AA287" s="233"/>
      <c r="AB287" s="233"/>
      <c r="AC287" s="233"/>
      <c r="AD287" s="233"/>
      <c r="AE287" s="233"/>
      <c r="AF287" s="233"/>
      <c r="AG287" s="233"/>
      <c r="AH287" s="233"/>
      <c r="AI287" s="233"/>
      <c r="AJ287" s="233"/>
      <c r="AK287" s="233"/>
      <c r="AL287" s="233"/>
    </row>
    <row r="288">
      <c r="B288" s="277"/>
      <c r="L288" s="67"/>
      <c r="M288" s="280" t="s">
        <v>2482</v>
      </c>
      <c r="N288" s="234"/>
      <c r="O288" s="281"/>
      <c r="P288" s="233"/>
      <c r="Q288" s="233"/>
      <c r="R288" s="234"/>
      <c r="S288" s="233"/>
      <c r="T288" s="233"/>
      <c r="U288" s="233"/>
      <c r="V288" s="233"/>
      <c r="W288" s="233"/>
      <c r="X288" s="233"/>
      <c r="Y288" s="233"/>
      <c r="Z288" s="233"/>
      <c r="AA288" s="233"/>
      <c r="AB288" s="233"/>
      <c r="AC288" s="233"/>
      <c r="AD288" s="233"/>
      <c r="AE288" s="233"/>
      <c r="AF288" s="233"/>
      <c r="AG288" s="233"/>
      <c r="AH288" s="233"/>
      <c r="AI288" s="233"/>
      <c r="AJ288" s="233"/>
      <c r="AK288" s="233"/>
      <c r="AL288" s="233"/>
    </row>
    <row r="289">
      <c r="B289" s="277"/>
      <c r="L289" s="67"/>
      <c r="M289" s="280" t="s">
        <v>2482</v>
      </c>
      <c r="N289" s="234"/>
      <c r="O289" s="281"/>
      <c r="P289" s="233"/>
      <c r="Q289" s="233"/>
      <c r="R289" s="234"/>
      <c r="S289" s="233"/>
      <c r="T289" s="233"/>
      <c r="U289" s="233"/>
      <c r="V289" s="233"/>
      <c r="W289" s="233"/>
      <c r="X289" s="233"/>
      <c r="Y289" s="233"/>
      <c r="Z289" s="233"/>
      <c r="AA289" s="233"/>
      <c r="AB289" s="233"/>
      <c r="AC289" s="233"/>
      <c r="AD289" s="233"/>
      <c r="AE289" s="233"/>
      <c r="AF289" s="233"/>
      <c r="AG289" s="233"/>
      <c r="AH289" s="233"/>
      <c r="AI289" s="233"/>
      <c r="AJ289" s="233"/>
      <c r="AK289" s="233"/>
      <c r="AL289" s="233"/>
    </row>
    <row r="290">
      <c r="B290" s="277"/>
      <c r="L290" s="67"/>
      <c r="M290" s="280" t="s">
        <v>2482</v>
      </c>
      <c r="N290" s="234"/>
      <c r="O290" s="281"/>
      <c r="P290" s="233"/>
      <c r="Q290" s="233"/>
      <c r="R290" s="234"/>
      <c r="S290" s="233"/>
      <c r="T290" s="233"/>
      <c r="U290" s="233"/>
      <c r="V290" s="233"/>
      <c r="W290" s="233"/>
      <c r="X290" s="233"/>
      <c r="Y290" s="233"/>
      <c r="Z290" s="233"/>
      <c r="AA290" s="233"/>
      <c r="AB290" s="233"/>
      <c r="AC290" s="233"/>
      <c r="AD290" s="233"/>
      <c r="AE290" s="233"/>
      <c r="AF290" s="233"/>
      <c r="AG290" s="233"/>
      <c r="AH290" s="233"/>
      <c r="AI290" s="233"/>
      <c r="AJ290" s="233"/>
      <c r="AK290" s="233"/>
      <c r="AL290" s="233"/>
    </row>
    <row r="291">
      <c r="B291" s="277"/>
      <c r="L291" s="67"/>
      <c r="M291" s="280" t="s">
        <v>2482</v>
      </c>
      <c r="N291" s="234"/>
      <c r="O291" s="281"/>
      <c r="P291" s="233"/>
      <c r="Q291" s="233"/>
      <c r="R291" s="234"/>
      <c r="S291" s="233"/>
      <c r="T291" s="233"/>
      <c r="U291" s="233"/>
      <c r="V291" s="233"/>
      <c r="W291" s="233"/>
      <c r="X291" s="233"/>
      <c r="Y291" s="233"/>
      <c r="Z291" s="233"/>
      <c r="AA291" s="233"/>
      <c r="AB291" s="233"/>
      <c r="AC291" s="233"/>
      <c r="AD291" s="233"/>
      <c r="AE291" s="233"/>
      <c r="AF291" s="233"/>
      <c r="AG291" s="233"/>
      <c r="AH291" s="233"/>
      <c r="AI291" s="233"/>
      <c r="AJ291" s="233"/>
      <c r="AK291" s="233"/>
      <c r="AL291" s="233"/>
    </row>
    <row r="292">
      <c r="B292" s="277"/>
      <c r="L292" s="67"/>
      <c r="M292" s="280" t="s">
        <v>2482</v>
      </c>
      <c r="N292" s="234"/>
      <c r="O292" s="281"/>
      <c r="P292" s="233"/>
      <c r="Q292" s="233"/>
      <c r="R292" s="234"/>
      <c r="S292" s="233"/>
      <c r="T292" s="233"/>
      <c r="U292" s="233"/>
      <c r="V292" s="233"/>
      <c r="W292" s="233"/>
      <c r="X292" s="233"/>
      <c r="Y292" s="233"/>
      <c r="Z292" s="233"/>
      <c r="AA292" s="233"/>
      <c r="AB292" s="233"/>
      <c r="AC292" s="233"/>
      <c r="AD292" s="233"/>
      <c r="AE292" s="233"/>
      <c r="AF292" s="233"/>
      <c r="AG292" s="233"/>
      <c r="AH292" s="233"/>
      <c r="AI292" s="233"/>
      <c r="AJ292" s="233"/>
      <c r="AK292" s="233"/>
      <c r="AL292" s="233"/>
    </row>
    <row r="293">
      <c r="B293" s="277"/>
      <c r="L293" s="67"/>
      <c r="M293" s="280" t="s">
        <v>2482</v>
      </c>
      <c r="N293" s="234"/>
      <c r="O293" s="281"/>
      <c r="P293" s="233"/>
      <c r="Q293" s="233"/>
      <c r="R293" s="234"/>
      <c r="S293" s="233"/>
      <c r="T293" s="233"/>
      <c r="U293" s="233"/>
      <c r="V293" s="233"/>
      <c r="W293" s="233"/>
      <c r="X293" s="233"/>
      <c r="Y293" s="233"/>
      <c r="Z293" s="233"/>
      <c r="AA293" s="233"/>
      <c r="AB293" s="233"/>
      <c r="AC293" s="233"/>
      <c r="AD293" s="233"/>
      <c r="AE293" s="233"/>
      <c r="AF293" s="233"/>
      <c r="AG293" s="233"/>
      <c r="AH293" s="233"/>
      <c r="AI293" s="233"/>
      <c r="AJ293" s="233"/>
      <c r="AK293" s="233"/>
      <c r="AL293" s="233"/>
    </row>
    <row r="294">
      <c r="B294" s="277"/>
      <c r="L294" s="67"/>
      <c r="M294" s="280" t="s">
        <v>2482</v>
      </c>
      <c r="N294" s="234"/>
      <c r="O294" s="281"/>
      <c r="P294" s="233"/>
      <c r="Q294" s="233"/>
      <c r="R294" s="234"/>
      <c r="S294" s="233"/>
      <c r="T294" s="233"/>
      <c r="U294" s="233"/>
      <c r="V294" s="233"/>
      <c r="W294" s="233"/>
      <c r="X294" s="233"/>
      <c r="Y294" s="233"/>
      <c r="Z294" s="233"/>
      <c r="AA294" s="233"/>
      <c r="AB294" s="233"/>
      <c r="AC294" s="233"/>
      <c r="AD294" s="233"/>
      <c r="AE294" s="233"/>
      <c r="AF294" s="233"/>
      <c r="AG294" s="233"/>
      <c r="AH294" s="233"/>
      <c r="AI294" s="233"/>
      <c r="AJ294" s="233"/>
      <c r="AK294" s="233"/>
      <c r="AL294" s="233"/>
    </row>
    <row r="295">
      <c r="B295" s="277"/>
      <c r="L295" s="67"/>
      <c r="M295" s="280" t="s">
        <v>2482</v>
      </c>
      <c r="N295" s="234"/>
      <c r="O295" s="281"/>
      <c r="P295" s="233"/>
      <c r="Q295" s="233"/>
      <c r="R295" s="234"/>
      <c r="S295" s="233"/>
      <c r="T295" s="233"/>
      <c r="U295" s="233"/>
      <c r="V295" s="233"/>
      <c r="W295" s="233"/>
      <c r="X295" s="233"/>
      <c r="Y295" s="233"/>
      <c r="Z295" s="233"/>
      <c r="AA295" s="233"/>
      <c r="AB295" s="233"/>
      <c r="AC295" s="233"/>
      <c r="AD295" s="233"/>
      <c r="AE295" s="233"/>
      <c r="AF295" s="233"/>
      <c r="AG295" s="233"/>
      <c r="AH295" s="233"/>
      <c r="AI295" s="233"/>
      <c r="AJ295" s="233"/>
      <c r="AK295" s="233"/>
      <c r="AL295" s="233"/>
    </row>
    <row r="296">
      <c r="B296" s="277"/>
      <c r="L296" s="67"/>
      <c r="M296" s="280" t="s">
        <v>2482</v>
      </c>
      <c r="N296" s="234"/>
      <c r="O296" s="281"/>
      <c r="P296" s="233"/>
      <c r="Q296" s="233"/>
      <c r="R296" s="234"/>
      <c r="S296" s="233"/>
      <c r="T296" s="233"/>
      <c r="U296" s="233"/>
      <c r="V296" s="233"/>
      <c r="W296" s="233"/>
      <c r="X296" s="233"/>
      <c r="Y296" s="233"/>
      <c r="Z296" s="233"/>
      <c r="AA296" s="233"/>
      <c r="AB296" s="233"/>
      <c r="AC296" s="233"/>
      <c r="AD296" s="233"/>
      <c r="AE296" s="233"/>
      <c r="AF296" s="233"/>
      <c r="AG296" s="233"/>
      <c r="AH296" s="233"/>
      <c r="AI296" s="233"/>
      <c r="AJ296" s="233"/>
      <c r="AK296" s="233"/>
      <c r="AL296" s="233"/>
    </row>
    <row r="297">
      <c r="B297" s="277"/>
      <c r="L297" s="67"/>
      <c r="M297" s="280" t="s">
        <v>2482</v>
      </c>
      <c r="N297" s="234"/>
      <c r="O297" s="281"/>
      <c r="P297" s="233"/>
      <c r="Q297" s="233"/>
      <c r="R297" s="234"/>
      <c r="S297" s="233"/>
      <c r="T297" s="233"/>
      <c r="U297" s="233"/>
      <c r="V297" s="233"/>
      <c r="W297" s="233"/>
      <c r="X297" s="233"/>
      <c r="Y297" s="233"/>
      <c r="Z297" s="233"/>
      <c r="AA297" s="233"/>
      <c r="AB297" s="233"/>
      <c r="AC297" s="233"/>
      <c r="AD297" s="233"/>
      <c r="AE297" s="233"/>
      <c r="AF297" s="233"/>
      <c r="AG297" s="233"/>
      <c r="AH297" s="233"/>
      <c r="AI297" s="233"/>
      <c r="AJ297" s="233"/>
      <c r="AK297" s="233"/>
      <c r="AL297" s="233"/>
    </row>
    <row r="298">
      <c r="B298" s="277"/>
      <c r="L298" s="67"/>
      <c r="M298" s="280" t="s">
        <v>2482</v>
      </c>
      <c r="N298" s="234"/>
      <c r="O298" s="281"/>
      <c r="P298" s="233"/>
      <c r="Q298" s="233"/>
      <c r="R298" s="234"/>
      <c r="S298" s="233"/>
      <c r="T298" s="233"/>
      <c r="U298" s="233"/>
      <c r="V298" s="233"/>
      <c r="W298" s="233"/>
      <c r="X298" s="233"/>
      <c r="Y298" s="233"/>
      <c r="Z298" s="233"/>
      <c r="AA298" s="233"/>
      <c r="AB298" s="233"/>
      <c r="AC298" s="233"/>
      <c r="AD298" s="233"/>
      <c r="AE298" s="233"/>
      <c r="AF298" s="233"/>
      <c r="AG298" s="233"/>
      <c r="AH298" s="233"/>
      <c r="AI298" s="233"/>
      <c r="AJ298" s="233"/>
      <c r="AK298" s="233"/>
      <c r="AL298" s="233"/>
    </row>
    <row r="299">
      <c r="B299" s="277"/>
      <c r="L299" s="67"/>
      <c r="M299" s="280" t="s">
        <v>2482</v>
      </c>
      <c r="N299" s="234"/>
      <c r="O299" s="281"/>
      <c r="P299" s="233"/>
      <c r="Q299" s="233"/>
      <c r="R299" s="234"/>
      <c r="S299" s="233"/>
      <c r="T299" s="233"/>
      <c r="U299" s="233"/>
      <c r="V299" s="233"/>
      <c r="W299" s="233"/>
      <c r="X299" s="233"/>
      <c r="Y299" s="233"/>
      <c r="Z299" s="233"/>
      <c r="AA299" s="233"/>
      <c r="AB299" s="233"/>
      <c r="AC299" s="233"/>
      <c r="AD299" s="233"/>
      <c r="AE299" s="233"/>
      <c r="AF299" s="233"/>
      <c r="AG299" s="233"/>
      <c r="AH299" s="233"/>
      <c r="AI299" s="233"/>
      <c r="AJ299" s="233"/>
      <c r="AK299" s="233"/>
      <c r="AL299" s="233"/>
    </row>
    <row r="300">
      <c r="B300" s="277"/>
      <c r="L300" s="67"/>
      <c r="M300" s="280" t="s">
        <v>2482</v>
      </c>
      <c r="N300" s="234"/>
      <c r="O300" s="281"/>
      <c r="P300" s="233"/>
      <c r="Q300" s="233"/>
      <c r="R300" s="234"/>
      <c r="S300" s="233"/>
      <c r="T300" s="233"/>
      <c r="U300" s="233"/>
      <c r="V300" s="233"/>
      <c r="W300" s="233"/>
      <c r="X300" s="233"/>
      <c r="Y300" s="233"/>
      <c r="Z300" s="233"/>
      <c r="AA300" s="233"/>
      <c r="AB300" s="233"/>
      <c r="AC300" s="233"/>
      <c r="AD300" s="233"/>
      <c r="AE300" s="233"/>
      <c r="AF300" s="233"/>
      <c r="AG300" s="233"/>
      <c r="AH300" s="233"/>
      <c r="AI300" s="233"/>
      <c r="AJ300" s="233"/>
      <c r="AK300" s="233"/>
      <c r="AL300" s="233"/>
    </row>
    <row r="301">
      <c r="B301" s="277"/>
      <c r="L301" s="67"/>
      <c r="M301" s="280" t="s">
        <v>2482</v>
      </c>
      <c r="N301" s="234"/>
      <c r="O301" s="281"/>
      <c r="P301" s="233"/>
      <c r="Q301" s="233"/>
      <c r="R301" s="234"/>
      <c r="S301" s="233"/>
      <c r="T301" s="233"/>
      <c r="U301" s="233"/>
      <c r="V301" s="233"/>
      <c r="W301" s="233"/>
      <c r="X301" s="233"/>
      <c r="Y301" s="233"/>
      <c r="Z301" s="233"/>
      <c r="AA301" s="233"/>
      <c r="AB301" s="233"/>
      <c r="AC301" s="233"/>
      <c r="AD301" s="233"/>
      <c r="AE301" s="233"/>
      <c r="AF301" s="233"/>
      <c r="AG301" s="233"/>
      <c r="AH301" s="233"/>
      <c r="AI301" s="233"/>
      <c r="AJ301" s="233"/>
      <c r="AK301" s="233"/>
      <c r="AL301" s="233"/>
    </row>
    <row r="302">
      <c r="B302" s="277"/>
      <c r="L302" s="67"/>
      <c r="M302" s="280" t="s">
        <v>2482</v>
      </c>
      <c r="N302" s="234"/>
      <c r="O302" s="281"/>
      <c r="P302" s="233"/>
      <c r="Q302" s="233"/>
      <c r="R302" s="234"/>
      <c r="S302" s="233"/>
      <c r="T302" s="233"/>
      <c r="U302" s="233"/>
      <c r="V302" s="233"/>
      <c r="W302" s="233"/>
      <c r="X302" s="233"/>
      <c r="Y302" s="233"/>
      <c r="Z302" s="233"/>
      <c r="AA302" s="233"/>
      <c r="AB302" s="233"/>
      <c r="AC302" s="233"/>
      <c r="AD302" s="233"/>
      <c r="AE302" s="233"/>
      <c r="AF302" s="233"/>
      <c r="AG302" s="233"/>
      <c r="AH302" s="233"/>
      <c r="AI302" s="233"/>
      <c r="AJ302" s="233"/>
      <c r="AK302" s="233"/>
      <c r="AL302" s="233"/>
    </row>
    <row r="303">
      <c r="B303" s="277"/>
      <c r="L303" s="67"/>
      <c r="M303" s="280" t="s">
        <v>2482</v>
      </c>
      <c r="N303" s="234"/>
      <c r="O303" s="281"/>
      <c r="P303" s="233"/>
      <c r="Q303" s="233"/>
      <c r="R303" s="234"/>
      <c r="S303" s="233"/>
      <c r="T303" s="233"/>
      <c r="U303" s="233"/>
      <c r="V303" s="233"/>
      <c r="W303" s="233"/>
      <c r="X303" s="233"/>
      <c r="Y303" s="233"/>
      <c r="Z303" s="233"/>
      <c r="AA303" s="233"/>
      <c r="AB303" s="233"/>
      <c r="AC303" s="233"/>
      <c r="AD303" s="233"/>
      <c r="AE303" s="233"/>
      <c r="AF303" s="233"/>
      <c r="AG303" s="233"/>
      <c r="AH303" s="233"/>
      <c r="AI303" s="233"/>
      <c r="AJ303" s="233"/>
      <c r="AK303" s="233"/>
      <c r="AL303" s="233"/>
    </row>
    <row r="304">
      <c r="B304" s="277"/>
      <c r="L304" s="67"/>
      <c r="M304" s="280" t="s">
        <v>2482</v>
      </c>
      <c r="N304" s="234"/>
      <c r="O304" s="281"/>
      <c r="P304" s="233"/>
      <c r="Q304" s="233"/>
      <c r="R304" s="234"/>
      <c r="S304" s="233"/>
      <c r="T304" s="233"/>
      <c r="U304" s="233"/>
      <c r="V304" s="233"/>
      <c r="W304" s="233"/>
      <c r="X304" s="233"/>
      <c r="Y304" s="233"/>
      <c r="Z304" s="233"/>
      <c r="AA304" s="233"/>
      <c r="AB304" s="233"/>
      <c r="AC304" s="233"/>
      <c r="AD304" s="233"/>
      <c r="AE304" s="233"/>
      <c r="AF304" s="233"/>
      <c r="AG304" s="233"/>
      <c r="AH304" s="233"/>
      <c r="AI304" s="233"/>
      <c r="AJ304" s="233"/>
      <c r="AK304" s="233"/>
      <c r="AL304" s="233"/>
    </row>
    <row r="305">
      <c r="B305" s="277"/>
      <c r="L305" s="67"/>
      <c r="M305" s="280" t="s">
        <v>2482</v>
      </c>
      <c r="N305" s="234"/>
      <c r="O305" s="281"/>
      <c r="P305" s="233"/>
      <c r="Q305" s="233"/>
      <c r="R305" s="234"/>
      <c r="S305" s="233"/>
      <c r="T305" s="233"/>
      <c r="U305" s="233"/>
      <c r="V305" s="233"/>
      <c r="W305" s="233"/>
      <c r="X305" s="233"/>
      <c r="Y305" s="233"/>
      <c r="Z305" s="233"/>
      <c r="AA305" s="233"/>
      <c r="AB305" s="233"/>
      <c r="AC305" s="233"/>
      <c r="AD305" s="233"/>
      <c r="AE305" s="233"/>
      <c r="AF305" s="233"/>
      <c r="AG305" s="233"/>
      <c r="AH305" s="233"/>
      <c r="AI305" s="233"/>
      <c r="AJ305" s="233"/>
      <c r="AK305" s="233"/>
      <c r="AL305" s="233"/>
    </row>
    <row r="306">
      <c r="B306" s="277"/>
      <c r="L306" s="67"/>
      <c r="M306" s="280" t="s">
        <v>2482</v>
      </c>
      <c r="N306" s="234"/>
      <c r="O306" s="281"/>
      <c r="P306" s="233"/>
      <c r="Q306" s="233"/>
      <c r="R306" s="234"/>
      <c r="S306" s="233"/>
      <c r="T306" s="233"/>
      <c r="U306" s="233"/>
      <c r="V306" s="233"/>
      <c r="W306" s="233"/>
      <c r="X306" s="233"/>
      <c r="Y306" s="233"/>
      <c r="Z306" s="233"/>
      <c r="AA306" s="233"/>
      <c r="AB306" s="233"/>
      <c r="AC306" s="233"/>
      <c r="AD306" s="233"/>
      <c r="AE306" s="233"/>
      <c r="AF306" s="233"/>
      <c r="AG306" s="233"/>
      <c r="AH306" s="233"/>
      <c r="AI306" s="233"/>
      <c r="AJ306" s="233"/>
      <c r="AK306" s="233"/>
      <c r="AL306" s="233"/>
    </row>
    <row r="307">
      <c r="B307" s="277"/>
      <c r="L307" s="67"/>
      <c r="M307" s="280" t="s">
        <v>2482</v>
      </c>
      <c r="N307" s="234"/>
      <c r="O307" s="281"/>
      <c r="P307" s="233"/>
      <c r="Q307" s="233"/>
      <c r="R307" s="234"/>
      <c r="S307" s="233"/>
      <c r="T307" s="233"/>
      <c r="U307" s="233"/>
      <c r="V307" s="233"/>
      <c r="W307" s="233"/>
      <c r="X307" s="233"/>
      <c r="Y307" s="233"/>
      <c r="Z307" s="233"/>
      <c r="AA307" s="233"/>
      <c r="AB307" s="233"/>
      <c r="AC307" s="233"/>
      <c r="AD307" s="233"/>
      <c r="AE307" s="233"/>
      <c r="AF307" s="233"/>
      <c r="AG307" s="233"/>
      <c r="AH307" s="233"/>
      <c r="AI307" s="233"/>
      <c r="AJ307" s="233"/>
      <c r="AK307" s="233"/>
      <c r="AL307" s="233"/>
    </row>
    <row r="308">
      <c r="B308" s="277"/>
      <c r="L308" s="67"/>
      <c r="M308" s="280" t="s">
        <v>2482</v>
      </c>
      <c r="N308" s="234"/>
      <c r="O308" s="281"/>
      <c r="P308" s="233"/>
      <c r="Q308" s="233"/>
      <c r="R308" s="234"/>
      <c r="S308" s="233"/>
      <c r="T308" s="233"/>
      <c r="U308" s="233"/>
      <c r="V308" s="233"/>
      <c r="W308" s="233"/>
      <c r="X308" s="233"/>
      <c r="Y308" s="233"/>
      <c r="Z308" s="233"/>
      <c r="AA308" s="233"/>
      <c r="AB308" s="233"/>
      <c r="AC308" s="233"/>
      <c r="AD308" s="233"/>
      <c r="AE308" s="233"/>
      <c r="AF308" s="233"/>
      <c r="AG308" s="233"/>
      <c r="AH308" s="233"/>
      <c r="AI308" s="233"/>
      <c r="AJ308" s="233"/>
      <c r="AK308" s="233"/>
      <c r="AL308" s="233"/>
    </row>
    <row r="309">
      <c r="B309" s="277"/>
      <c r="L309" s="67"/>
      <c r="M309" s="280" t="s">
        <v>2482</v>
      </c>
      <c r="N309" s="234"/>
      <c r="O309" s="281"/>
      <c r="P309" s="233"/>
      <c r="Q309" s="233"/>
      <c r="R309" s="234"/>
      <c r="S309" s="233"/>
      <c r="T309" s="233"/>
      <c r="U309" s="233"/>
      <c r="V309" s="233"/>
      <c r="W309" s="233"/>
      <c r="X309" s="233"/>
      <c r="Y309" s="233"/>
      <c r="Z309" s="233"/>
      <c r="AA309" s="233"/>
      <c r="AB309" s="233"/>
      <c r="AC309" s="233"/>
      <c r="AD309" s="233"/>
      <c r="AE309" s="233"/>
      <c r="AF309" s="233"/>
      <c r="AG309" s="233"/>
      <c r="AH309" s="233"/>
      <c r="AI309" s="233"/>
      <c r="AJ309" s="233"/>
      <c r="AK309" s="233"/>
      <c r="AL309" s="233"/>
    </row>
    <row r="310">
      <c r="B310" s="277"/>
      <c r="L310" s="67"/>
      <c r="M310" s="280" t="s">
        <v>2482</v>
      </c>
      <c r="N310" s="234"/>
      <c r="O310" s="281"/>
      <c r="P310" s="233"/>
      <c r="Q310" s="233"/>
      <c r="R310" s="234"/>
      <c r="S310" s="233"/>
      <c r="T310" s="233"/>
      <c r="U310" s="233"/>
      <c r="V310" s="233"/>
      <c r="W310" s="233"/>
      <c r="X310" s="233"/>
      <c r="Y310" s="233"/>
      <c r="Z310" s="233"/>
      <c r="AA310" s="233"/>
      <c r="AB310" s="233"/>
      <c r="AC310" s="233"/>
      <c r="AD310" s="233"/>
      <c r="AE310" s="233"/>
      <c r="AF310" s="233"/>
      <c r="AG310" s="233"/>
      <c r="AH310" s="233"/>
      <c r="AI310" s="233"/>
      <c r="AJ310" s="233"/>
      <c r="AK310" s="233"/>
      <c r="AL310" s="233"/>
    </row>
    <row r="311">
      <c r="B311" s="277"/>
      <c r="L311" s="67"/>
      <c r="M311" s="280" t="s">
        <v>2482</v>
      </c>
      <c r="N311" s="234"/>
      <c r="O311" s="281"/>
      <c r="P311" s="233"/>
      <c r="Q311" s="233"/>
      <c r="R311" s="234"/>
      <c r="S311" s="233"/>
      <c r="T311" s="233"/>
      <c r="U311" s="233"/>
      <c r="V311" s="233"/>
      <c r="W311" s="233"/>
      <c r="X311" s="233"/>
      <c r="Y311" s="233"/>
      <c r="Z311" s="233"/>
      <c r="AA311" s="233"/>
      <c r="AB311" s="233"/>
      <c r="AC311" s="233"/>
      <c r="AD311" s="233"/>
      <c r="AE311" s="233"/>
      <c r="AF311" s="233"/>
      <c r="AG311" s="233"/>
      <c r="AH311" s="233"/>
      <c r="AI311" s="233"/>
      <c r="AJ311" s="233"/>
      <c r="AK311" s="233"/>
      <c r="AL311" s="233"/>
    </row>
    <row r="312">
      <c r="B312" s="277"/>
      <c r="L312" s="67"/>
      <c r="M312" s="280" t="s">
        <v>2482</v>
      </c>
      <c r="N312" s="234"/>
      <c r="O312" s="281"/>
      <c r="P312" s="233"/>
      <c r="Q312" s="233"/>
      <c r="R312" s="234"/>
      <c r="S312" s="233"/>
      <c r="T312" s="233"/>
      <c r="U312" s="233"/>
      <c r="V312" s="233"/>
      <c r="W312" s="233"/>
      <c r="X312" s="233"/>
      <c r="Y312" s="233"/>
      <c r="Z312" s="233"/>
      <c r="AA312" s="233"/>
      <c r="AB312" s="233"/>
      <c r="AC312" s="233"/>
      <c r="AD312" s="233"/>
      <c r="AE312" s="233"/>
      <c r="AF312" s="233"/>
      <c r="AG312" s="233"/>
      <c r="AH312" s="233"/>
      <c r="AI312" s="233"/>
      <c r="AJ312" s="233"/>
      <c r="AK312" s="233"/>
      <c r="AL312" s="233"/>
    </row>
    <row r="313">
      <c r="B313" s="277"/>
      <c r="L313" s="67"/>
      <c r="M313" s="280" t="s">
        <v>2482</v>
      </c>
      <c r="N313" s="234"/>
      <c r="O313" s="281"/>
      <c r="P313" s="233"/>
      <c r="Q313" s="233"/>
      <c r="R313" s="234"/>
      <c r="S313" s="233"/>
      <c r="T313" s="233"/>
      <c r="U313" s="233"/>
      <c r="V313" s="233"/>
      <c r="W313" s="233"/>
      <c r="X313" s="233"/>
      <c r="Y313" s="233"/>
      <c r="Z313" s="233"/>
      <c r="AA313" s="233"/>
      <c r="AB313" s="233"/>
      <c r="AC313" s="233"/>
      <c r="AD313" s="233"/>
      <c r="AE313" s="233"/>
      <c r="AF313" s="233"/>
      <c r="AG313" s="233"/>
      <c r="AH313" s="233"/>
      <c r="AI313" s="233"/>
      <c r="AJ313" s="233"/>
      <c r="AK313" s="233"/>
      <c r="AL313" s="233"/>
    </row>
    <row r="314">
      <c r="B314" s="277"/>
      <c r="L314" s="67"/>
      <c r="M314" s="280" t="s">
        <v>2482</v>
      </c>
      <c r="N314" s="234"/>
      <c r="O314" s="281"/>
      <c r="P314" s="233"/>
      <c r="Q314" s="233"/>
      <c r="R314" s="234"/>
      <c r="S314" s="233"/>
      <c r="T314" s="233"/>
      <c r="U314" s="233"/>
      <c r="V314" s="233"/>
      <c r="W314" s="233"/>
      <c r="X314" s="233"/>
      <c r="Y314" s="233"/>
      <c r="Z314" s="233"/>
      <c r="AA314" s="233"/>
      <c r="AB314" s="233"/>
      <c r="AC314" s="233"/>
      <c r="AD314" s="233"/>
      <c r="AE314" s="233"/>
      <c r="AF314" s="233"/>
      <c r="AG314" s="233"/>
      <c r="AH314" s="233"/>
      <c r="AI314" s="233"/>
      <c r="AJ314" s="233"/>
      <c r="AK314" s="233"/>
      <c r="AL314" s="233"/>
    </row>
    <row r="315">
      <c r="B315" s="277"/>
      <c r="L315" s="67"/>
      <c r="M315" s="280" t="s">
        <v>2482</v>
      </c>
      <c r="N315" s="234"/>
      <c r="O315" s="281"/>
      <c r="P315" s="233"/>
      <c r="Q315" s="233"/>
      <c r="R315" s="234"/>
      <c r="S315" s="233"/>
      <c r="T315" s="233"/>
      <c r="U315" s="233"/>
      <c r="V315" s="233"/>
      <c r="W315" s="233"/>
      <c r="X315" s="233"/>
      <c r="Y315" s="233"/>
      <c r="Z315" s="233"/>
      <c r="AA315" s="233"/>
      <c r="AB315" s="233"/>
      <c r="AC315" s="233"/>
      <c r="AD315" s="233"/>
      <c r="AE315" s="233"/>
      <c r="AF315" s="233"/>
      <c r="AG315" s="233"/>
      <c r="AH315" s="233"/>
      <c r="AI315" s="233"/>
      <c r="AJ315" s="233"/>
      <c r="AK315" s="233"/>
      <c r="AL315" s="233"/>
    </row>
    <row r="316">
      <c r="B316" s="277"/>
      <c r="L316" s="67"/>
      <c r="M316" s="280" t="s">
        <v>2482</v>
      </c>
      <c r="N316" s="234"/>
      <c r="O316" s="281"/>
      <c r="P316" s="233"/>
      <c r="Q316" s="233"/>
      <c r="R316" s="234"/>
      <c r="S316" s="233"/>
      <c r="T316" s="233"/>
      <c r="U316" s="233"/>
      <c r="V316" s="233"/>
      <c r="W316" s="233"/>
      <c r="X316" s="233"/>
      <c r="Y316" s="233"/>
      <c r="Z316" s="233"/>
      <c r="AA316" s="233"/>
      <c r="AB316" s="233"/>
      <c r="AC316" s="233"/>
      <c r="AD316" s="233"/>
      <c r="AE316" s="233"/>
      <c r="AF316" s="233"/>
      <c r="AG316" s="233"/>
      <c r="AH316" s="233"/>
      <c r="AI316" s="233"/>
      <c r="AJ316" s="233"/>
      <c r="AK316" s="233"/>
      <c r="AL316" s="233"/>
    </row>
    <row r="317">
      <c r="B317" s="277"/>
      <c r="L317" s="67"/>
      <c r="M317" s="280" t="s">
        <v>2482</v>
      </c>
      <c r="N317" s="234"/>
      <c r="O317" s="281"/>
      <c r="P317" s="233"/>
      <c r="Q317" s="233"/>
      <c r="R317" s="234"/>
      <c r="S317" s="233"/>
      <c r="T317" s="233"/>
      <c r="U317" s="233"/>
      <c r="V317" s="233"/>
      <c r="W317" s="233"/>
      <c r="X317" s="233"/>
      <c r="Y317" s="233"/>
      <c r="Z317" s="233"/>
      <c r="AA317" s="233"/>
      <c r="AB317" s="233"/>
      <c r="AC317" s="233"/>
      <c r="AD317" s="233"/>
      <c r="AE317" s="233"/>
      <c r="AF317" s="233"/>
      <c r="AG317" s="233"/>
      <c r="AH317" s="233"/>
      <c r="AI317" s="233"/>
      <c r="AJ317" s="233"/>
      <c r="AK317" s="233"/>
      <c r="AL317" s="233"/>
    </row>
    <row r="318">
      <c r="B318" s="277"/>
      <c r="L318" s="67"/>
      <c r="M318" s="280" t="s">
        <v>2482</v>
      </c>
      <c r="N318" s="234"/>
      <c r="O318" s="281"/>
      <c r="P318" s="233"/>
      <c r="Q318" s="233"/>
      <c r="R318" s="234"/>
      <c r="S318" s="233"/>
      <c r="T318" s="233"/>
      <c r="U318" s="233"/>
      <c r="V318" s="233"/>
      <c r="W318" s="233"/>
      <c r="X318" s="233"/>
      <c r="Y318" s="233"/>
      <c r="Z318" s="233"/>
      <c r="AA318" s="233"/>
      <c r="AB318" s="233"/>
      <c r="AC318" s="233"/>
      <c r="AD318" s="233"/>
      <c r="AE318" s="233"/>
      <c r="AF318" s="233"/>
      <c r="AG318" s="233"/>
      <c r="AH318" s="233"/>
      <c r="AI318" s="233"/>
      <c r="AJ318" s="233"/>
      <c r="AK318" s="233"/>
      <c r="AL318" s="233"/>
    </row>
    <row r="319">
      <c r="B319" s="277"/>
      <c r="L319" s="67"/>
      <c r="M319" s="280" t="s">
        <v>2482</v>
      </c>
      <c r="N319" s="234"/>
      <c r="O319" s="281"/>
      <c r="P319" s="233"/>
      <c r="Q319" s="233"/>
      <c r="R319" s="234"/>
      <c r="S319" s="233"/>
      <c r="T319" s="233"/>
      <c r="U319" s="233"/>
      <c r="V319" s="233"/>
      <c r="W319" s="233"/>
      <c r="X319" s="233"/>
      <c r="Y319" s="233"/>
      <c r="Z319" s="233"/>
      <c r="AA319" s="233"/>
      <c r="AB319" s="233"/>
      <c r="AC319" s="233"/>
      <c r="AD319" s="233"/>
      <c r="AE319" s="233"/>
      <c r="AF319" s="233"/>
      <c r="AG319" s="233"/>
      <c r="AH319" s="233"/>
      <c r="AI319" s="233"/>
      <c r="AJ319" s="233"/>
      <c r="AK319" s="233"/>
      <c r="AL319" s="233"/>
    </row>
    <row r="320">
      <c r="B320" s="277"/>
      <c r="L320" s="67"/>
      <c r="M320" s="280" t="s">
        <v>2482</v>
      </c>
      <c r="N320" s="234"/>
      <c r="O320" s="281"/>
      <c r="P320" s="233"/>
      <c r="Q320" s="233"/>
      <c r="R320" s="234"/>
      <c r="S320" s="233"/>
      <c r="T320" s="233"/>
      <c r="U320" s="233"/>
      <c r="V320" s="233"/>
      <c r="W320" s="233"/>
      <c r="X320" s="233"/>
      <c r="Y320" s="233"/>
      <c r="Z320" s="233"/>
      <c r="AA320" s="233"/>
      <c r="AB320" s="233"/>
      <c r="AC320" s="233"/>
      <c r="AD320" s="233"/>
      <c r="AE320" s="233"/>
      <c r="AF320" s="233"/>
      <c r="AG320" s="233"/>
      <c r="AH320" s="233"/>
      <c r="AI320" s="233"/>
      <c r="AJ320" s="233"/>
      <c r="AK320" s="233"/>
      <c r="AL320" s="233"/>
    </row>
    <row r="321">
      <c r="B321" s="277"/>
      <c r="L321" s="67"/>
      <c r="M321" s="280" t="s">
        <v>2482</v>
      </c>
      <c r="N321" s="234"/>
      <c r="O321" s="281"/>
      <c r="P321" s="233"/>
      <c r="Q321" s="233"/>
      <c r="R321" s="234"/>
      <c r="S321" s="233"/>
      <c r="T321" s="233"/>
      <c r="U321" s="233"/>
      <c r="V321" s="233"/>
      <c r="W321" s="233"/>
      <c r="X321" s="233"/>
      <c r="Y321" s="233"/>
      <c r="Z321" s="233"/>
      <c r="AA321" s="233"/>
      <c r="AB321" s="233"/>
      <c r="AC321" s="233"/>
      <c r="AD321" s="233"/>
      <c r="AE321" s="233"/>
      <c r="AF321" s="233"/>
      <c r="AG321" s="233"/>
      <c r="AH321" s="233"/>
      <c r="AI321" s="233"/>
      <c r="AJ321" s="233"/>
      <c r="AK321" s="233"/>
      <c r="AL321" s="233"/>
    </row>
    <row r="322">
      <c r="B322" s="277"/>
      <c r="L322" s="67"/>
      <c r="M322" s="280" t="s">
        <v>2482</v>
      </c>
      <c r="N322" s="234"/>
      <c r="O322" s="281"/>
      <c r="P322" s="233"/>
      <c r="Q322" s="233"/>
      <c r="R322" s="234"/>
      <c r="S322" s="233"/>
      <c r="T322" s="233"/>
      <c r="U322" s="233"/>
      <c r="V322" s="233"/>
      <c r="W322" s="233"/>
      <c r="X322" s="233"/>
      <c r="Y322" s="233"/>
      <c r="Z322" s="233"/>
      <c r="AA322" s="233"/>
      <c r="AB322" s="233"/>
      <c r="AC322" s="233"/>
      <c r="AD322" s="233"/>
      <c r="AE322" s="233"/>
      <c r="AF322" s="233"/>
      <c r="AG322" s="233"/>
      <c r="AH322" s="233"/>
      <c r="AI322" s="233"/>
      <c r="AJ322" s="233"/>
      <c r="AK322" s="233"/>
      <c r="AL322" s="233"/>
    </row>
    <row r="323">
      <c r="B323" s="277"/>
      <c r="L323" s="67"/>
      <c r="M323" s="280" t="s">
        <v>2482</v>
      </c>
      <c r="N323" s="234"/>
      <c r="O323" s="281"/>
      <c r="P323" s="233"/>
      <c r="Q323" s="233"/>
      <c r="R323" s="234"/>
      <c r="S323" s="233"/>
      <c r="T323" s="233"/>
      <c r="U323" s="233"/>
      <c r="V323" s="233"/>
      <c r="W323" s="233"/>
      <c r="X323" s="233"/>
      <c r="Y323" s="233"/>
      <c r="Z323" s="233"/>
      <c r="AA323" s="233"/>
      <c r="AB323" s="233"/>
      <c r="AC323" s="233"/>
      <c r="AD323" s="233"/>
      <c r="AE323" s="233"/>
      <c r="AF323" s="233"/>
      <c r="AG323" s="233"/>
      <c r="AH323" s="233"/>
      <c r="AI323" s="233"/>
      <c r="AJ323" s="233"/>
      <c r="AK323" s="233"/>
      <c r="AL323" s="233"/>
    </row>
    <row r="324">
      <c r="B324" s="277"/>
      <c r="L324" s="67"/>
      <c r="M324" s="280" t="s">
        <v>2482</v>
      </c>
      <c r="N324" s="234"/>
      <c r="O324" s="281"/>
      <c r="P324" s="233"/>
      <c r="Q324" s="233"/>
      <c r="R324" s="234"/>
      <c r="S324" s="233"/>
      <c r="T324" s="233"/>
      <c r="U324" s="233"/>
      <c r="V324" s="233"/>
      <c r="W324" s="233"/>
      <c r="X324" s="233"/>
      <c r="Y324" s="233"/>
      <c r="Z324" s="233"/>
      <c r="AA324" s="233"/>
      <c r="AB324" s="233"/>
      <c r="AC324" s="233"/>
      <c r="AD324" s="233"/>
      <c r="AE324" s="233"/>
      <c r="AF324" s="233"/>
      <c r="AG324" s="233"/>
      <c r="AH324" s="233"/>
      <c r="AI324" s="233"/>
      <c r="AJ324" s="233"/>
      <c r="AK324" s="233"/>
      <c r="AL324" s="233"/>
    </row>
    <row r="325">
      <c r="B325" s="277"/>
      <c r="L325" s="67"/>
      <c r="M325" s="280" t="s">
        <v>2482</v>
      </c>
      <c r="N325" s="234"/>
      <c r="O325" s="281"/>
      <c r="P325" s="233"/>
      <c r="Q325" s="233"/>
      <c r="R325" s="234"/>
      <c r="S325" s="233"/>
      <c r="T325" s="233"/>
      <c r="U325" s="233"/>
      <c r="V325" s="233"/>
      <c r="W325" s="233"/>
      <c r="X325" s="233"/>
      <c r="Y325" s="233"/>
      <c r="Z325" s="233"/>
      <c r="AA325" s="233"/>
      <c r="AB325" s="233"/>
      <c r="AC325" s="233"/>
      <c r="AD325" s="233"/>
      <c r="AE325" s="233"/>
      <c r="AF325" s="233"/>
      <c r="AG325" s="233"/>
      <c r="AH325" s="233"/>
      <c r="AI325" s="233"/>
      <c r="AJ325" s="233"/>
      <c r="AK325" s="233"/>
      <c r="AL325" s="233"/>
    </row>
    <row r="326">
      <c r="B326" s="277"/>
      <c r="L326" s="67"/>
      <c r="M326" s="280" t="s">
        <v>2482</v>
      </c>
      <c r="N326" s="234"/>
      <c r="O326" s="281"/>
      <c r="P326" s="233"/>
      <c r="Q326" s="233"/>
      <c r="R326" s="234"/>
      <c r="S326" s="233"/>
      <c r="T326" s="233"/>
      <c r="U326" s="233"/>
      <c r="V326" s="233"/>
      <c r="W326" s="233"/>
      <c r="X326" s="233"/>
      <c r="Y326" s="233"/>
      <c r="Z326" s="233"/>
      <c r="AA326" s="233"/>
      <c r="AB326" s="233"/>
      <c r="AC326" s="233"/>
      <c r="AD326" s="233"/>
      <c r="AE326" s="233"/>
      <c r="AF326" s="233"/>
      <c r="AG326" s="233"/>
      <c r="AH326" s="233"/>
      <c r="AI326" s="233"/>
      <c r="AJ326" s="233"/>
      <c r="AK326" s="233"/>
      <c r="AL326" s="233"/>
    </row>
    <row r="327">
      <c r="B327" s="277"/>
      <c r="L327" s="67"/>
      <c r="M327" s="280" t="s">
        <v>2482</v>
      </c>
      <c r="N327" s="234"/>
      <c r="O327" s="281"/>
      <c r="P327" s="233"/>
      <c r="Q327" s="233"/>
      <c r="R327" s="234"/>
      <c r="S327" s="233"/>
      <c r="T327" s="233"/>
      <c r="U327" s="233"/>
      <c r="V327" s="233"/>
      <c r="W327" s="233"/>
      <c r="X327" s="233"/>
      <c r="Y327" s="233"/>
      <c r="Z327" s="233"/>
      <c r="AA327" s="233"/>
      <c r="AB327" s="233"/>
      <c r="AC327" s="233"/>
      <c r="AD327" s="233"/>
      <c r="AE327" s="233"/>
      <c r="AF327" s="233"/>
      <c r="AG327" s="233"/>
      <c r="AH327" s="233"/>
      <c r="AI327" s="233"/>
      <c r="AJ327" s="233"/>
      <c r="AK327" s="233"/>
      <c r="AL327" s="233"/>
    </row>
    <row r="328">
      <c r="B328" s="277"/>
      <c r="L328" s="67"/>
      <c r="M328" s="280" t="s">
        <v>2482</v>
      </c>
      <c r="N328" s="234"/>
      <c r="O328" s="281"/>
      <c r="P328" s="233"/>
      <c r="Q328" s="233"/>
      <c r="R328" s="234"/>
      <c r="S328" s="233"/>
      <c r="T328" s="233"/>
      <c r="U328" s="233"/>
      <c r="V328" s="233"/>
      <c r="W328" s="233"/>
      <c r="X328" s="233"/>
      <c r="Y328" s="233"/>
      <c r="Z328" s="233"/>
      <c r="AA328" s="233"/>
      <c r="AB328" s="233"/>
      <c r="AC328" s="233"/>
      <c r="AD328" s="233"/>
      <c r="AE328" s="233"/>
      <c r="AF328" s="233"/>
      <c r="AG328" s="233"/>
      <c r="AH328" s="233"/>
      <c r="AI328" s="233"/>
      <c r="AJ328" s="233"/>
      <c r="AK328" s="233"/>
      <c r="AL328" s="233"/>
    </row>
    <row r="329">
      <c r="B329" s="277"/>
      <c r="L329" s="67"/>
      <c r="M329" s="280" t="s">
        <v>2482</v>
      </c>
      <c r="N329" s="234"/>
      <c r="O329" s="281"/>
      <c r="P329" s="233"/>
      <c r="Q329" s="233"/>
      <c r="R329" s="234"/>
      <c r="S329" s="233"/>
      <c r="T329" s="233"/>
      <c r="U329" s="233"/>
      <c r="V329" s="233"/>
      <c r="W329" s="233"/>
      <c r="X329" s="233"/>
      <c r="Y329" s="233"/>
      <c r="Z329" s="233"/>
      <c r="AA329" s="233"/>
      <c r="AB329" s="233"/>
      <c r="AC329" s="233"/>
      <c r="AD329" s="233"/>
      <c r="AE329" s="233"/>
      <c r="AF329" s="233"/>
      <c r="AG329" s="233"/>
      <c r="AH329" s="233"/>
      <c r="AI329" s="233"/>
      <c r="AJ329" s="233"/>
      <c r="AK329" s="233"/>
      <c r="AL329" s="233"/>
    </row>
    <row r="330">
      <c r="B330" s="277"/>
      <c r="L330" s="67"/>
      <c r="M330" s="280" t="s">
        <v>2482</v>
      </c>
      <c r="N330" s="234"/>
      <c r="O330" s="281"/>
      <c r="P330" s="233"/>
      <c r="Q330" s="233"/>
      <c r="R330" s="234"/>
      <c r="S330" s="233"/>
      <c r="T330" s="233"/>
      <c r="U330" s="233"/>
      <c r="V330" s="233"/>
      <c r="W330" s="233"/>
      <c r="X330" s="233"/>
      <c r="Y330" s="233"/>
      <c r="Z330" s="233"/>
      <c r="AA330" s="233"/>
      <c r="AB330" s="233"/>
      <c r="AC330" s="233"/>
      <c r="AD330" s="233"/>
      <c r="AE330" s="233"/>
      <c r="AF330" s="233"/>
      <c r="AG330" s="233"/>
      <c r="AH330" s="233"/>
      <c r="AI330" s="233"/>
      <c r="AJ330" s="233"/>
      <c r="AK330" s="233"/>
      <c r="AL330" s="233"/>
    </row>
    <row r="331">
      <c r="B331" s="277"/>
      <c r="L331" s="67"/>
      <c r="M331" s="280" t="s">
        <v>2482</v>
      </c>
      <c r="N331" s="234"/>
      <c r="O331" s="281"/>
      <c r="P331" s="233"/>
      <c r="Q331" s="233"/>
      <c r="R331" s="234"/>
      <c r="S331" s="233"/>
      <c r="T331" s="233"/>
      <c r="U331" s="233"/>
      <c r="V331" s="233"/>
      <c r="W331" s="233"/>
      <c r="X331" s="233"/>
      <c r="Y331" s="233"/>
      <c r="Z331" s="233"/>
      <c r="AA331" s="233"/>
      <c r="AB331" s="233"/>
      <c r="AC331" s="233"/>
      <c r="AD331" s="233"/>
      <c r="AE331" s="233"/>
      <c r="AF331" s="233"/>
      <c r="AG331" s="233"/>
      <c r="AH331" s="233"/>
      <c r="AI331" s="233"/>
      <c r="AJ331" s="233"/>
      <c r="AK331" s="233"/>
      <c r="AL331" s="233"/>
    </row>
    <row r="332">
      <c r="B332" s="277"/>
      <c r="L332" s="67"/>
      <c r="M332" s="280" t="s">
        <v>2482</v>
      </c>
      <c r="N332" s="234"/>
      <c r="O332" s="281"/>
      <c r="P332" s="233"/>
      <c r="Q332" s="233"/>
      <c r="R332" s="234"/>
      <c r="S332" s="233"/>
      <c r="T332" s="233"/>
      <c r="U332" s="233"/>
      <c r="V332" s="233"/>
      <c r="W332" s="233"/>
      <c r="X332" s="233"/>
      <c r="Y332" s="233"/>
      <c r="Z332" s="233"/>
      <c r="AA332" s="233"/>
      <c r="AB332" s="233"/>
      <c r="AC332" s="233"/>
      <c r="AD332" s="233"/>
      <c r="AE332" s="233"/>
      <c r="AF332" s="233"/>
      <c r="AG332" s="233"/>
      <c r="AH332" s="233"/>
      <c r="AI332" s="233"/>
      <c r="AJ332" s="233"/>
      <c r="AK332" s="233"/>
      <c r="AL332" s="233"/>
    </row>
    <row r="333">
      <c r="B333" s="277"/>
      <c r="L333" s="67"/>
      <c r="M333" s="280" t="s">
        <v>2482</v>
      </c>
      <c r="N333" s="234"/>
      <c r="O333" s="281"/>
      <c r="P333" s="233"/>
      <c r="Q333" s="233"/>
      <c r="R333" s="234"/>
      <c r="S333" s="233"/>
      <c r="T333" s="233"/>
      <c r="U333" s="233"/>
      <c r="V333" s="233"/>
      <c r="W333" s="233"/>
      <c r="X333" s="233"/>
      <c r="Y333" s="233"/>
      <c r="Z333" s="233"/>
      <c r="AA333" s="233"/>
      <c r="AB333" s="233"/>
      <c r="AC333" s="233"/>
      <c r="AD333" s="233"/>
      <c r="AE333" s="233"/>
      <c r="AF333" s="233"/>
      <c r="AG333" s="233"/>
      <c r="AH333" s="233"/>
      <c r="AI333" s="233"/>
      <c r="AJ333" s="233"/>
      <c r="AK333" s="233"/>
      <c r="AL333" s="233"/>
    </row>
    <row r="334">
      <c r="B334" s="277"/>
      <c r="L334" s="67"/>
      <c r="M334" s="280" t="s">
        <v>2482</v>
      </c>
      <c r="N334" s="234"/>
      <c r="O334" s="281"/>
      <c r="P334" s="233"/>
      <c r="Q334" s="233"/>
      <c r="R334" s="234"/>
      <c r="S334" s="233"/>
      <c r="T334" s="233"/>
      <c r="U334" s="233"/>
      <c r="V334" s="233"/>
      <c r="W334" s="233"/>
      <c r="X334" s="233"/>
      <c r="Y334" s="233"/>
      <c r="Z334" s="233"/>
      <c r="AA334" s="233"/>
      <c r="AB334" s="233"/>
      <c r="AC334" s="233"/>
      <c r="AD334" s="233"/>
      <c r="AE334" s="233"/>
      <c r="AF334" s="233"/>
      <c r="AG334" s="233"/>
      <c r="AH334" s="233"/>
      <c r="AI334" s="233"/>
      <c r="AJ334" s="233"/>
      <c r="AK334" s="233"/>
      <c r="AL334" s="233"/>
    </row>
    <row r="335">
      <c r="B335" s="277"/>
      <c r="L335" s="67"/>
      <c r="M335" s="280" t="s">
        <v>2482</v>
      </c>
      <c r="N335" s="234"/>
      <c r="O335" s="281"/>
      <c r="P335" s="233"/>
      <c r="Q335" s="233"/>
      <c r="R335" s="234"/>
      <c r="S335" s="233"/>
      <c r="T335" s="233"/>
      <c r="U335" s="233"/>
      <c r="V335" s="233"/>
      <c r="W335" s="233"/>
      <c r="X335" s="233"/>
      <c r="Y335" s="233"/>
      <c r="Z335" s="233"/>
      <c r="AA335" s="233"/>
      <c r="AB335" s="233"/>
      <c r="AC335" s="233"/>
      <c r="AD335" s="233"/>
      <c r="AE335" s="233"/>
      <c r="AF335" s="233"/>
      <c r="AG335" s="233"/>
      <c r="AH335" s="233"/>
      <c r="AI335" s="233"/>
      <c r="AJ335" s="233"/>
      <c r="AK335" s="233"/>
      <c r="AL335" s="233"/>
    </row>
    <row r="336">
      <c r="B336" s="277"/>
      <c r="L336" s="67"/>
      <c r="M336" s="280" t="s">
        <v>2482</v>
      </c>
      <c r="N336" s="234"/>
      <c r="O336" s="281"/>
      <c r="P336" s="233"/>
      <c r="Q336" s="233"/>
      <c r="R336" s="234"/>
      <c r="S336" s="233"/>
      <c r="T336" s="233"/>
      <c r="U336" s="233"/>
      <c r="V336" s="233"/>
      <c r="W336" s="233"/>
      <c r="X336" s="233"/>
      <c r="Y336" s="233"/>
      <c r="Z336" s="233"/>
      <c r="AA336" s="233"/>
      <c r="AB336" s="233"/>
      <c r="AC336" s="233"/>
      <c r="AD336" s="233"/>
      <c r="AE336" s="233"/>
      <c r="AF336" s="233"/>
      <c r="AG336" s="233"/>
      <c r="AH336" s="233"/>
      <c r="AI336" s="233"/>
      <c r="AJ336" s="233"/>
      <c r="AK336" s="233"/>
      <c r="AL336" s="233"/>
    </row>
    <row r="337">
      <c r="B337" s="277"/>
      <c r="L337" s="67"/>
      <c r="M337" s="280" t="s">
        <v>2482</v>
      </c>
      <c r="N337" s="234"/>
      <c r="O337" s="281"/>
      <c r="P337" s="233"/>
      <c r="Q337" s="233"/>
      <c r="R337" s="234"/>
      <c r="S337" s="233"/>
      <c r="T337" s="233"/>
      <c r="U337" s="233"/>
      <c r="V337" s="233"/>
      <c r="W337" s="233"/>
      <c r="X337" s="233"/>
      <c r="Y337" s="233"/>
      <c r="Z337" s="233"/>
      <c r="AA337" s="233"/>
      <c r="AB337" s="233"/>
      <c r="AC337" s="233"/>
      <c r="AD337" s="233"/>
      <c r="AE337" s="233"/>
      <c r="AF337" s="233"/>
      <c r="AG337" s="233"/>
      <c r="AH337" s="233"/>
      <c r="AI337" s="233"/>
      <c r="AJ337" s="233"/>
      <c r="AK337" s="233"/>
      <c r="AL337" s="233"/>
    </row>
    <row r="338">
      <c r="B338" s="277"/>
      <c r="L338" s="67"/>
      <c r="M338" s="280" t="s">
        <v>2482</v>
      </c>
      <c r="N338" s="234"/>
      <c r="O338" s="281"/>
      <c r="P338" s="233"/>
      <c r="Q338" s="233"/>
      <c r="R338" s="234"/>
      <c r="S338" s="233"/>
      <c r="T338" s="233"/>
      <c r="U338" s="233"/>
      <c r="V338" s="233"/>
      <c r="W338" s="233"/>
      <c r="X338" s="233"/>
      <c r="Y338" s="233"/>
      <c r="Z338" s="233"/>
      <c r="AA338" s="233"/>
      <c r="AB338" s="233"/>
      <c r="AC338" s="233"/>
      <c r="AD338" s="233"/>
      <c r="AE338" s="233"/>
      <c r="AF338" s="233"/>
      <c r="AG338" s="233"/>
      <c r="AH338" s="233"/>
      <c r="AI338" s="233"/>
      <c r="AJ338" s="233"/>
      <c r="AK338" s="233"/>
      <c r="AL338" s="233"/>
    </row>
    <row r="339">
      <c r="B339" s="277"/>
      <c r="L339" s="67"/>
      <c r="M339" s="280" t="s">
        <v>2482</v>
      </c>
      <c r="N339" s="234"/>
      <c r="O339" s="281"/>
      <c r="P339" s="233"/>
      <c r="Q339" s="233"/>
      <c r="R339" s="234"/>
      <c r="S339" s="233"/>
      <c r="T339" s="233"/>
      <c r="U339" s="233"/>
      <c r="V339" s="233"/>
      <c r="W339" s="233"/>
      <c r="X339" s="233"/>
      <c r="Y339" s="233"/>
      <c r="Z339" s="233"/>
      <c r="AA339" s="233"/>
      <c r="AB339" s="233"/>
      <c r="AC339" s="233"/>
      <c r="AD339" s="233"/>
      <c r="AE339" s="233"/>
      <c r="AF339" s="233"/>
      <c r="AG339" s="233"/>
      <c r="AH339" s="233"/>
      <c r="AI339" s="233"/>
      <c r="AJ339" s="233"/>
      <c r="AK339" s="233"/>
      <c r="AL339" s="233"/>
    </row>
    <row r="340">
      <c r="B340" s="277"/>
      <c r="L340" s="67"/>
      <c r="M340" s="280" t="s">
        <v>2482</v>
      </c>
      <c r="N340" s="234"/>
      <c r="O340" s="281"/>
      <c r="P340" s="233"/>
      <c r="Q340" s="233"/>
      <c r="R340" s="234"/>
      <c r="S340" s="233"/>
      <c r="T340" s="233"/>
      <c r="U340" s="233"/>
      <c r="V340" s="233"/>
      <c r="W340" s="233"/>
      <c r="X340" s="233"/>
      <c r="Y340" s="233"/>
      <c r="Z340" s="233"/>
      <c r="AA340" s="233"/>
      <c r="AB340" s="233"/>
      <c r="AC340" s="233"/>
      <c r="AD340" s="233"/>
      <c r="AE340" s="233"/>
      <c r="AF340" s="233"/>
      <c r="AG340" s="233"/>
      <c r="AH340" s="233"/>
      <c r="AI340" s="233"/>
      <c r="AJ340" s="233"/>
      <c r="AK340" s="233"/>
      <c r="AL340" s="233"/>
    </row>
    <row r="341">
      <c r="B341" s="277"/>
      <c r="L341" s="67"/>
      <c r="M341" s="280" t="s">
        <v>2482</v>
      </c>
      <c r="N341" s="234"/>
      <c r="O341" s="281"/>
      <c r="P341" s="233"/>
      <c r="Q341" s="233"/>
      <c r="R341" s="234"/>
      <c r="S341" s="233"/>
      <c r="T341" s="233"/>
      <c r="U341" s="233"/>
      <c r="V341" s="233"/>
      <c r="W341" s="233"/>
      <c r="X341" s="233"/>
      <c r="Y341" s="233"/>
      <c r="Z341" s="233"/>
      <c r="AA341" s="233"/>
      <c r="AB341" s="233"/>
      <c r="AC341" s="233"/>
      <c r="AD341" s="233"/>
      <c r="AE341" s="233"/>
      <c r="AF341" s="233"/>
      <c r="AG341" s="233"/>
      <c r="AH341" s="233"/>
      <c r="AI341" s="233"/>
      <c r="AJ341" s="233"/>
      <c r="AK341" s="233"/>
      <c r="AL341" s="233"/>
    </row>
    <row r="342">
      <c r="B342" s="277"/>
      <c r="L342" s="67"/>
      <c r="M342" s="280" t="s">
        <v>2482</v>
      </c>
      <c r="N342" s="234"/>
      <c r="O342" s="281"/>
      <c r="P342" s="233"/>
      <c r="Q342" s="233"/>
      <c r="R342" s="234"/>
      <c r="S342" s="233"/>
      <c r="T342" s="233"/>
      <c r="U342" s="233"/>
      <c r="V342" s="233"/>
      <c r="W342" s="233"/>
      <c r="X342" s="233"/>
      <c r="Y342" s="233"/>
      <c r="Z342" s="233"/>
      <c r="AA342" s="233"/>
      <c r="AB342" s="233"/>
      <c r="AC342" s="233"/>
      <c r="AD342" s="233"/>
      <c r="AE342" s="233"/>
      <c r="AF342" s="233"/>
      <c r="AG342" s="233"/>
      <c r="AH342" s="233"/>
      <c r="AI342" s="233"/>
      <c r="AJ342" s="233"/>
      <c r="AK342" s="233"/>
      <c r="AL342" s="233"/>
    </row>
    <row r="343">
      <c r="B343" s="277"/>
      <c r="L343" s="67"/>
      <c r="M343" s="280" t="s">
        <v>2482</v>
      </c>
      <c r="N343" s="234"/>
      <c r="O343" s="281"/>
      <c r="P343" s="233"/>
      <c r="Q343" s="233"/>
      <c r="R343" s="234"/>
      <c r="S343" s="233"/>
      <c r="T343" s="233"/>
      <c r="U343" s="233"/>
      <c r="V343" s="233"/>
      <c r="W343" s="233"/>
      <c r="X343" s="233"/>
      <c r="Y343" s="233"/>
      <c r="Z343" s="233"/>
      <c r="AA343" s="233"/>
      <c r="AB343" s="233"/>
      <c r="AC343" s="233"/>
      <c r="AD343" s="233"/>
      <c r="AE343" s="233"/>
      <c r="AF343" s="233"/>
      <c r="AG343" s="233"/>
      <c r="AH343" s="233"/>
      <c r="AI343" s="233"/>
      <c r="AJ343" s="233"/>
      <c r="AK343" s="233"/>
      <c r="AL343" s="233"/>
    </row>
    <row r="344">
      <c r="B344" s="277"/>
      <c r="L344" s="67"/>
      <c r="M344" s="280" t="s">
        <v>2482</v>
      </c>
      <c r="N344" s="234"/>
      <c r="O344" s="281"/>
      <c r="P344" s="233"/>
      <c r="Q344" s="233"/>
      <c r="R344" s="234"/>
      <c r="S344" s="233"/>
      <c r="T344" s="233"/>
      <c r="U344" s="233"/>
      <c r="V344" s="233"/>
      <c r="W344" s="233"/>
      <c r="X344" s="233"/>
      <c r="Y344" s="233"/>
      <c r="Z344" s="233"/>
      <c r="AA344" s="233"/>
      <c r="AB344" s="233"/>
      <c r="AC344" s="233"/>
      <c r="AD344" s="233"/>
      <c r="AE344" s="233"/>
      <c r="AF344" s="233"/>
      <c r="AG344" s="233"/>
      <c r="AH344" s="233"/>
      <c r="AI344" s="233"/>
      <c r="AJ344" s="233"/>
      <c r="AK344" s="233"/>
      <c r="AL344" s="233"/>
    </row>
    <row r="345">
      <c r="B345" s="277"/>
      <c r="L345" s="67"/>
      <c r="M345" s="280" t="s">
        <v>2482</v>
      </c>
      <c r="N345" s="234"/>
      <c r="O345" s="281"/>
      <c r="P345" s="233"/>
      <c r="Q345" s="233"/>
      <c r="R345" s="234"/>
      <c r="S345" s="233"/>
      <c r="T345" s="233"/>
      <c r="U345" s="233"/>
      <c r="V345" s="233"/>
      <c r="W345" s="233"/>
      <c r="X345" s="233"/>
      <c r="Y345" s="233"/>
      <c r="Z345" s="233"/>
      <c r="AA345" s="233"/>
      <c r="AB345" s="233"/>
      <c r="AC345" s="233"/>
      <c r="AD345" s="233"/>
      <c r="AE345" s="233"/>
      <c r="AF345" s="233"/>
      <c r="AG345" s="233"/>
      <c r="AH345" s="233"/>
      <c r="AI345" s="233"/>
      <c r="AJ345" s="233"/>
      <c r="AK345" s="233"/>
      <c r="AL345" s="233"/>
    </row>
    <row r="346">
      <c r="B346" s="277"/>
      <c r="L346" s="67"/>
      <c r="M346" s="280" t="s">
        <v>2482</v>
      </c>
      <c r="N346" s="234"/>
      <c r="O346" s="281"/>
      <c r="P346" s="233"/>
      <c r="Q346" s="233"/>
      <c r="R346" s="234"/>
      <c r="S346" s="233"/>
      <c r="T346" s="233"/>
      <c r="U346" s="233"/>
      <c r="V346" s="233"/>
      <c r="W346" s="233"/>
      <c r="X346" s="233"/>
      <c r="Y346" s="233"/>
      <c r="Z346" s="233"/>
      <c r="AA346" s="233"/>
      <c r="AB346" s="233"/>
      <c r="AC346" s="233"/>
      <c r="AD346" s="233"/>
      <c r="AE346" s="233"/>
      <c r="AF346" s="233"/>
      <c r="AG346" s="233"/>
      <c r="AH346" s="233"/>
      <c r="AI346" s="233"/>
      <c r="AJ346" s="233"/>
      <c r="AK346" s="233"/>
      <c r="AL346" s="233"/>
    </row>
    <row r="347">
      <c r="B347" s="277"/>
      <c r="L347" s="67"/>
      <c r="M347" s="280" t="s">
        <v>2482</v>
      </c>
      <c r="N347" s="234"/>
      <c r="O347" s="281"/>
      <c r="P347" s="233"/>
      <c r="Q347" s="233"/>
      <c r="R347" s="234"/>
      <c r="S347" s="233"/>
      <c r="T347" s="233"/>
      <c r="U347" s="233"/>
      <c r="V347" s="233"/>
      <c r="W347" s="233"/>
      <c r="X347" s="233"/>
      <c r="Y347" s="233"/>
      <c r="Z347" s="233"/>
      <c r="AA347" s="233"/>
      <c r="AB347" s="233"/>
      <c r="AC347" s="233"/>
      <c r="AD347" s="233"/>
      <c r="AE347" s="233"/>
      <c r="AF347" s="233"/>
      <c r="AG347" s="233"/>
      <c r="AH347" s="233"/>
      <c r="AI347" s="233"/>
      <c r="AJ347" s="233"/>
      <c r="AK347" s="233"/>
      <c r="AL347" s="233"/>
    </row>
    <row r="348">
      <c r="B348" s="277"/>
      <c r="L348" s="67"/>
      <c r="M348" s="280" t="s">
        <v>2482</v>
      </c>
      <c r="N348" s="234"/>
      <c r="O348" s="281"/>
      <c r="P348" s="233"/>
      <c r="Q348" s="233"/>
      <c r="R348" s="234"/>
      <c r="S348" s="233"/>
      <c r="T348" s="233"/>
      <c r="U348" s="233"/>
      <c r="V348" s="233"/>
      <c r="W348" s="233"/>
      <c r="X348" s="233"/>
      <c r="Y348" s="233"/>
      <c r="Z348" s="233"/>
      <c r="AA348" s="233"/>
      <c r="AB348" s="233"/>
      <c r="AC348" s="233"/>
      <c r="AD348" s="233"/>
      <c r="AE348" s="233"/>
      <c r="AF348" s="233"/>
      <c r="AG348" s="233"/>
      <c r="AH348" s="233"/>
      <c r="AI348" s="233"/>
      <c r="AJ348" s="233"/>
      <c r="AK348" s="233"/>
      <c r="AL348" s="233"/>
    </row>
    <row r="349">
      <c r="B349" s="277"/>
      <c r="L349" s="67"/>
      <c r="M349" s="280" t="s">
        <v>2482</v>
      </c>
      <c r="N349" s="234"/>
      <c r="O349" s="281"/>
      <c r="P349" s="233"/>
      <c r="Q349" s="233"/>
      <c r="R349" s="234"/>
      <c r="S349" s="233"/>
      <c r="T349" s="233"/>
      <c r="U349" s="233"/>
      <c r="V349" s="233"/>
      <c r="W349" s="233"/>
      <c r="X349" s="233"/>
      <c r="Y349" s="233"/>
      <c r="Z349" s="233"/>
      <c r="AA349" s="233"/>
      <c r="AB349" s="233"/>
      <c r="AC349" s="233"/>
      <c r="AD349" s="233"/>
      <c r="AE349" s="233"/>
      <c r="AF349" s="233"/>
      <c r="AG349" s="233"/>
      <c r="AH349" s="233"/>
      <c r="AI349" s="233"/>
      <c r="AJ349" s="233"/>
      <c r="AK349" s="233"/>
      <c r="AL349" s="233"/>
    </row>
    <row r="350">
      <c r="B350" s="277"/>
      <c r="L350" s="67"/>
      <c r="M350" s="280" t="s">
        <v>2482</v>
      </c>
      <c r="N350" s="234"/>
      <c r="O350" s="281"/>
      <c r="P350" s="233"/>
      <c r="Q350" s="233"/>
      <c r="R350" s="234"/>
      <c r="S350" s="233"/>
      <c r="T350" s="233"/>
      <c r="U350" s="233"/>
      <c r="V350" s="233"/>
      <c r="W350" s="233"/>
      <c r="X350" s="233"/>
      <c r="Y350" s="233"/>
      <c r="Z350" s="233"/>
      <c r="AA350" s="233"/>
      <c r="AB350" s="233"/>
      <c r="AC350" s="233"/>
      <c r="AD350" s="233"/>
      <c r="AE350" s="233"/>
      <c r="AF350" s="233"/>
      <c r="AG350" s="233"/>
      <c r="AH350" s="233"/>
      <c r="AI350" s="233"/>
      <c r="AJ350" s="233"/>
      <c r="AK350" s="233"/>
      <c r="AL350" s="233"/>
    </row>
    <row r="351">
      <c r="B351" s="277"/>
      <c r="L351" s="67"/>
      <c r="M351" s="280" t="s">
        <v>2482</v>
      </c>
      <c r="N351" s="234"/>
      <c r="O351" s="281"/>
      <c r="P351" s="233"/>
      <c r="Q351" s="233"/>
      <c r="R351" s="234"/>
      <c r="S351" s="233"/>
      <c r="T351" s="233"/>
      <c r="U351" s="233"/>
      <c r="V351" s="233"/>
      <c r="W351" s="233"/>
      <c r="X351" s="233"/>
      <c r="Y351" s="233"/>
      <c r="Z351" s="233"/>
      <c r="AA351" s="233"/>
      <c r="AB351" s="233"/>
      <c r="AC351" s="233"/>
      <c r="AD351" s="233"/>
      <c r="AE351" s="233"/>
      <c r="AF351" s="233"/>
      <c r="AG351" s="233"/>
      <c r="AH351" s="233"/>
      <c r="AI351" s="233"/>
      <c r="AJ351" s="233"/>
      <c r="AK351" s="233"/>
      <c r="AL351" s="233"/>
    </row>
    <row r="352">
      <c r="B352" s="277"/>
      <c r="L352" s="67"/>
      <c r="M352" s="280" t="s">
        <v>2482</v>
      </c>
      <c r="N352" s="234"/>
      <c r="O352" s="281"/>
      <c r="P352" s="233"/>
      <c r="Q352" s="233"/>
      <c r="R352" s="234"/>
      <c r="S352" s="233"/>
      <c r="T352" s="233"/>
      <c r="U352" s="233"/>
      <c r="V352" s="233"/>
      <c r="W352" s="233"/>
      <c r="X352" s="233"/>
      <c r="Y352" s="233"/>
      <c r="Z352" s="233"/>
      <c r="AA352" s="233"/>
      <c r="AB352" s="233"/>
      <c r="AC352" s="233"/>
      <c r="AD352" s="233"/>
      <c r="AE352" s="233"/>
      <c r="AF352" s="233"/>
      <c r="AG352" s="233"/>
      <c r="AH352" s="233"/>
      <c r="AI352" s="233"/>
      <c r="AJ352" s="233"/>
      <c r="AK352" s="233"/>
      <c r="AL352" s="233"/>
    </row>
    <row r="353">
      <c r="B353" s="277"/>
      <c r="L353" s="67"/>
      <c r="M353" s="280" t="s">
        <v>2482</v>
      </c>
      <c r="N353" s="234"/>
      <c r="O353" s="281"/>
      <c r="P353" s="233"/>
      <c r="Q353" s="233"/>
      <c r="R353" s="234"/>
      <c r="S353" s="233"/>
      <c r="T353" s="233"/>
      <c r="U353" s="233"/>
      <c r="V353" s="233"/>
      <c r="W353" s="233"/>
      <c r="X353" s="233"/>
      <c r="Y353" s="233"/>
      <c r="Z353" s="233"/>
      <c r="AA353" s="233"/>
      <c r="AB353" s="233"/>
      <c r="AC353" s="233"/>
      <c r="AD353" s="233"/>
      <c r="AE353" s="233"/>
      <c r="AF353" s="233"/>
      <c r="AG353" s="233"/>
      <c r="AH353" s="233"/>
      <c r="AI353" s="233"/>
      <c r="AJ353" s="233"/>
      <c r="AK353" s="233"/>
      <c r="AL353" s="233"/>
    </row>
    <row r="354">
      <c r="B354" s="277"/>
      <c r="L354" s="67"/>
      <c r="M354" s="280" t="s">
        <v>2482</v>
      </c>
      <c r="N354" s="234"/>
      <c r="O354" s="281"/>
      <c r="P354" s="233"/>
      <c r="Q354" s="233"/>
      <c r="R354" s="234"/>
      <c r="S354" s="233"/>
      <c r="T354" s="233"/>
      <c r="U354" s="233"/>
      <c r="V354" s="233"/>
      <c r="W354" s="233"/>
      <c r="X354" s="233"/>
      <c r="Y354" s="233"/>
      <c r="Z354" s="233"/>
      <c r="AA354" s="233"/>
      <c r="AB354" s="233"/>
      <c r="AC354" s="233"/>
      <c r="AD354" s="233"/>
      <c r="AE354" s="233"/>
      <c r="AF354" s="233"/>
      <c r="AG354" s="233"/>
      <c r="AH354" s="233"/>
      <c r="AI354" s="233"/>
      <c r="AJ354" s="233"/>
      <c r="AK354" s="233"/>
      <c r="AL354" s="233"/>
    </row>
    <row r="355">
      <c r="B355" s="277"/>
      <c r="L355" s="67"/>
      <c r="M355" s="280" t="s">
        <v>2482</v>
      </c>
      <c r="N355" s="234"/>
      <c r="O355" s="281"/>
      <c r="P355" s="233"/>
      <c r="Q355" s="233"/>
      <c r="R355" s="234"/>
      <c r="S355" s="233"/>
      <c r="T355" s="233"/>
      <c r="U355" s="233"/>
      <c r="V355" s="233"/>
      <c r="W355" s="233"/>
      <c r="X355" s="233"/>
      <c r="Y355" s="233"/>
      <c r="Z355" s="233"/>
      <c r="AA355" s="233"/>
      <c r="AB355" s="233"/>
      <c r="AC355" s="233"/>
      <c r="AD355" s="233"/>
      <c r="AE355" s="233"/>
      <c r="AF355" s="233"/>
      <c r="AG355" s="233"/>
      <c r="AH355" s="233"/>
      <c r="AI355" s="233"/>
      <c r="AJ355" s="233"/>
      <c r="AK355" s="233"/>
      <c r="AL355" s="233"/>
    </row>
    <row r="356">
      <c r="B356" s="277"/>
      <c r="L356" s="67"/>
      <c r="M356" s="280" t="s">
        <v>2482</v>
      </c>
      <c r="N356" s="234"/>
      <c r="O356" s="281"/>
      <c r="P356" s="233"/>
      <c r="Q356" s="233"/>
      <c r="R356" s="234"/>
      <c r="S356" s="233"/>
      <c r="T356" s="233"/>
      <c r="U356" s="233"/>
      <c r="V356" s="233"/>
      <c r="W356" s="233"/>
      <c r="X356" s="233"/>
      <c r="Y356" s="233"/>
      <c r="Z356" s="233"/>
      <c r="AA356" s="233"/>
      <c r="AB356" s="233"/>
      <c r="AC356" s="233"/>
      <c r="AD356" s="233"/>
      <c r="AE356" s="233"/>
      <c r="AF356" s="233"/>
      <c r="AG356" s="233"/>
      <c r="AH356" s="233"/>
      <c r="AI356" s="233"/>
      <c r="AJ356" s="233"/>
      <c r="AK356" s="233"/>
      <c r="AL356" s="233"/>
    </row>
    <row r="357">
      <c r="B357" s="277"/>
      <c r="L357" s="67"/>
      <c r="M357" s="280" t="s">
        <v>2482</v>
      </c>
      <c r="N357" s="234"/>
      <c r="O357" s="281"/>
      <c r="P357" s="233"/>
      <c r="Q357" s="233"/>
      <c r="R357" s="234"/>
      <c r="S357" s="233"/>
      <c r="T357" s="233"/>
      <c r="U357" s="233"/>
      <c r="V357" s="233"/>
      <c r="W357" s="233"/>
      <c r="X357" s="233"/>
      <c r="Y357" s="233"/>
      <c r="Z357" s="233"/>
      <c r="AA357" s="233"/>
      <c r="AB357" s="233"/>
      <c r="AC357" s="233"/>
      <c r="AD357" s="233"/>
      <c r="AE357" s="233"/>
      <c r="AF357" s="233"/>
      <c r="AG357" s="233"/>
      <c r="AH357" s="233"/>
      <c r="AI357" s="233"/>
      <c r="AJ357" s="233"/>
      <c r="AK357" s="233"/>
      <c r="AL357" s="233"/>
    </row>
    <row r="358">
      <c r="B358" s="277"/>
      <c r="L358" s="67"/>
      <c r="M358" s="280" t="s">
        <v>2482</v>
      </c>
      <c r="N358" s="234"/>
      <c r="O358" s="281"/>
      <c r="P358" s="233"/>
      <c r="Q358" s="233"/>
      <c r="R358" s="234"/>
      <c r="S358" s="233"/>
      <c r="T358" s="233"/>
      <c r="U358" s="233"/>
      <c r="V358" s="233"/>
      <c r="W358" s="233"/>
      <c r="X358" s="233"/>
      <c r="Y358" s="233"/>
      <c r="Z358" s="233"/>
      <c r="AA358" s="233"/>
      <c r="AB358" s="233"/>
      <c r="AC358" s="233"/>
      <c r="AD358" s="233"/>
      <c r="AE358" s="233"/>
      <c r="AF358" s="233"/>
      <c r="AG358" s="233"/>
      <c r="AH358" s="233"/>
      <c r="AI358" s="233"/>
      <c r="AJ358" s="233"/>
      <c r="AK358" s="233"/>
      <c r="AL358" s="233"/>
    </row>
    <row r="359">
      <c r="B359" s="277"/>
      <c r="L359" s="67"/>
      <c r="M359" s="280" t="s">
        <v>2482</v>
      </c>
      <c r="N359" s="234"/>
      <c r="O359" s="281"/>
      <c r="P359" s="233"/>
      <c r="Q359" s="233"/>
      <c r="R359" s="234"/>
      <c r="S359" s="233"/>
      <c r="T359" s="233"/>
      <c r="U359" s="233"/>
      <c r="V359" s="233"/>
      <c r="W359" s="233"/>
      <c r="X359" s="233"/>
      <c r="Y359" s="233"/>
      <c r="Z359" s="233"/>
      <c r="AA359" s="233"/>
      <c r="AB359" s="233"/>
      <c r="AC359" s="233"/>
      <c r="AD359" s="233"/>
      <c r="AE359" s="233"/>
      <c r="AF359" s="233"/>
      <c r="AG359" s="233"/>
      <c r="AH359" s="233"/>
      <c r="AI359" s="233"/>
      <c r="AJ359" s="233"/>
      <c r="AK359" s="233"/>
      <c r="AL359" s="233"/>
    </row>
    <row r="360">
      <c r="B360" s="277"/>
      <c r="L360" s="67"/>
      <c r="M360" s="280" t="s">
        <v>2482</v>
      </c>
      <c r="N360" s="234"/>
      <c r="O360" s="281"/>
      <c r="P360" s="233"/>
      <c r="Q360" s="233"/>
      <c r="R360" s="234"/>
      <c r="S360" s="233"/>
      <c r="T360" s="233"/>
      <c r="U360" s="233"/>
      <c r="V360" s="233"/>
      <c r="W360" s="233"/>
      <c r="X360" s="233"/>
      <c r="Y360" s="233"/>
      <c r="Z360" s="233"/>
      <c r="AA360" s="233"/>
      <c r="AB360" s="233"/>
      <c r="AC360" s="233"/>
      <c r="AD360" s="233"/>
      <c r="AE360" s="233"/>
      <c r="AF360" s="233"/>
      <c r="AG360" s="233"/>
      <c r="AH360" s="233"/>
      <c r="AI360" s="233"/>
      <c r="AJ360" s="233"/>
      <c r="AK360" s="233"/>
      <c r="AL360" s="233"/>
    </row>
    <row r="361">
      <c r="B361" s="277"/>
      <c r="L361" s="67"/>
      <c r="M361" s="280" t="s">
        <v>2482</v>
      </c>
      <c r="N361" s="234"/>
      <c r="O361" s="281"/>
      <c r="P361" s="233"/>
      <c r="Q361" s="233"/>
      <c r="R361" s="234"/>
      <c r="S361" s="233"/>
      <c r="T361" s="233"/>
      <c r="U361" s="233"/>
      <c r="V361" s="233"/>
      <c r="W361" s="233"/>
      <c r="X361" s="233"/>
      <c r="Y361" s="233"/>
      <c r="Z361" s="233"/>
      <c r="AA361" s="233"/>
      <c r="AB361" s="233"/>
      <c r="AC361" s="233"/>
      <c r="AD361" s="233"/>
      <c r="AE361" s="233"/>
      <c r="AF361" s="233"/>
      <c r="AG361" s="233"/>
      <c r="AH361" s="233"/>
      <c r="AI361" s="233"/>
      <c r="AJ361" s="233"/>
      <c r="AK361" s="233"/>
      <c r="AL361" s="233"/>
    </row>
    <row r="362">
      <c r="B362" s="277"/>
      <c r="L362" s="67"/>
      <c r="M362" s="280" t="s">
        <v>2482</v>
      </c>
      <c r="N362" s="234"/>
      <c r="O362" s="281"/>
      <c r="P362" s="233"/>
      <c r="Q362" s="233"/>
      <c r="R362" s="234"/>
      <c r="S362" s="233"/>
      <c r="T362" s="233"/>
      <c r="U362" s="233"/>
      <c r="V362" s="233"/>
      <c r="W362" s="233"/>
      <c r="X362" s="233"/>
      <c r="Y362" s="233"/>
      <c r="Z362" s="233"/>
      <c r="AA362" s="233"/>
      <c r="AB362" s="233"/>
      <c r="AC362" s="233"/>
      <c r="AD362" s="233"/>
      <c r="AE362" s="233"/>
      <c r="AF362" s="233"/>
      <c r="AG362" s="233"/>
      <c r="AH362" s="233"/>
      <c r="AI362" s="233"/>
      <c r="AJ362" s="233"/>
      <c r="AK362" s="233"/>
      <c r="AL362" s="233"/>
    </row>
    <row r="363">
      <c r="B363" s="277"/>
      <c r="L363" s="67"/>
      <c r="M363" s="280" t="s">
        <v>2482</v>
      </c>
      <c r="N363" s="234"/>
      <c r="O363" s="281"/>
      <c r="P363" s="233"/>
      <c r="Q363" s="233"/>
      <c r="R363" s="234"/>
      <c r="S363" s="233"/>
      <c r="T363" s="233"/>
      <c r="U363" s="233"/>
      <c r="V363" s="233"/>
      <c r="W363" s="233"/>
      <c r="X363" s="233"/>
      <c r="Y363" s="233"/>
      <c r="Z363" s="233"/>
      <c r="AA363" s="233"/>
      <c r="AB363" s="233"/>
      <c r="AC363" s="233"/>
      <c r="AD363" s="233"/>
      <c r="AE363" s="233"/>
      <c r="AF363" s="233"/>
      <c r="AG363" s="233"/>
      <c r="AH363" s="233"/>
      <c r="AI363" s="233"/>
      <c r="AJ363" s="233"/>
      <c r="AK363" s="233"/>
      <c r="AL363" s="233"/>
    </row>
    <row r="364">
      <c r="B364" s="277"/>
      <c r="L364" s="67"/>
      <c r="M364" s="280" t="s">
        <v>2482</v>
      </c>
      <c r="N364" s="234"/>
      <c r="O364" s="281"/>
      <c r="P364" s="233"/>
      <c r="Q364" s="233"/>
      <c r="R364" s="234"/>
      <c r="S364" s="233"/>
      <c r="T364" s="233"/>
      <c r="U364" s="233"/>
      <c r="V364" s="233"/>
      <c r="W364" s="233"/>
      <c r="X364" s="233"/>
      <c r="Y364" s="233"/>
      <c r="Z364" s="233"/>
      <c r="AA364" s="233"/>
      <c r="AB364" s="233"/>
      <c r="AC364" s="233"/>
      <c r="AD364" s="233"/>
      <c r="AE364" s="233"/>
      <c r="AF364" s="233"/>
      <c r="AG364" s="233"/>
      <c r="AH364" s="233"/>
      <c r="AI364" s="233"/>
      <c r="AJ364" s="233"/>
      <c r="AK364" s="233"/>
      <c r="AL364" s="233"/>
    </row>
    <row r="365">
      <c r="B365" s="277"/>
      <c r="L365" s="67"/>
      <c r="M365" s="280" t="s">
        <v>2482</v>
      </c>
      <c r="N365" s="234"/>
      <c r="O365" s="281"/>
      <c r="P365" s="233"/>
      <c r="Q365" s="233"/>
      <c r="R365" s="234"/>
      <c r="S365" s="233"/>
      <c r="T365" s="233"/>
      <c r="U365" s="233"/>
      <c r="V365" s="233"/>
      <c r="W365" s="233"/>
      <c r="X365" s="233"/>
      <c r="Y365" s="233"/>
      <c r="Z365" s="233"/>
      <c r="AA365" s="233"/>
      <c r="AB365" s="233"/>
      <c r="AC365" s="233"/>
      <c r="AD365" s="233"/>
      <c r="AE365" s="233"/>
      <c r="AF365" s="233"/>
      <c r="AG365" s="233"/>
      <c r="AH365" s="233"/>
      <c r="AI365" s="233"/>
      <c r="AJ365" s="233"/>
      <c r="AK365" s="233"/>
      <c r="AL365" s="233"/>
    </row>
    <row r="366">
      <c r="B366" s="277"/>
      <c r="L366" s="67"/>
      <c r="M366" s="280" t="s">
        <v>2482</v>
      </c>
      <c r="N366" s="234"/>
      <c r="O366" s="281"/>
      <c r="P366" s="233"/>
      <c r="Q366" s="233"/>
      <c r="R366" s="234"/>
      <c r="S366" s="233"/>
      <c r="T366" s="233"/>
      <c r="U366" s="233"/>
      <c r="V366" s="233"/>
      <c r="W366" s="233"/>
      <c r="X366" s="233"/>
      <c r="Y366" s="233"/>
      <c r="Z366" s="233"/>
      <c r="AA366" s="233"/>
      <c r="AB366" s="233"/>
      <c r="AC366" s="233"/>
      <c r="AD366" s="233"/>
      <c r="AE366" s="233"/>
      <c r="AF366" s="233"/>
      <c r="AG366" s="233"/>
      <c r="AH366" s="233"/>
      <c r="AI366" s="233"/>
      <c r="AJ366" s="233"/>
      <c r="AK366" s="233"/>
      <c r="AL366" s="233"/>
    </row>
    <row r="367">
      <c r="B367" s="277"/>
      <c r="L367" s="67"/>
      <c r="M367" s="280" t="s">
        <v>2482</v>
      </c>
      <c r="N367" s="234"/>
      <c r="O367" s="281"/>
      <c r="P367" s="233"/>
      <c r="Q367" s="233"/>
      <c r="R367" s="234"/>
      <c r="S367" s="233"/>
      <c r="T367" s="233"/>
      <c r="U367" s="233"/>
      <c r="V367" s="233"/>
      <c r="W367" s="233"/>
      <c r="X367" s="233"/>
      <c r="Y367" s="233"/>
      <c r="Z367" s="233"/>
      <c r="AA367" s="233"/>
      <c r="AB367" s="233"/>
      <c r="AC367" s="233"/>
      <c r="AD367" s="233"/>
      <c r="AE367" s="233"/>
      <c r="AF367" s="233"/>
      <c r="AG367" s="233"/>
      <c r="AH367" s="233"/>
      <c r="AI367" s="233"/>
      <c r="AJ367" s="233"/>
      <c r="AK367" s="233"/>
      <c r="AL367" s="233"/>
    </row>
    <row r="368">
      <c r="B368" s="277"/>
      <c r="L368" s="67"/>
      <c r="M368" s="280" t="s">
        <v>2482</v>
      </c>
      <c r="N368" s="234"/>
      <c r="O368" s="281"/>
      <c r="P368" s="233"/>
      <c r="Q368" s="233"/>
      <c r="R368" s="234"/>
      <c r="S368" s="233"/>
      <c r="T368" s="233"/>
      <c r="U368" s="233"/>
      <c r="V368" s="233"/>
      <c r="W368" s="233"/>
      <c r="X368" s="233"/>
      <c r="Y368" s="233"/>
      <c r="Z368" s="233"/>
      <c r="AA368" s="233"/>
      <c r="AB368" s="233"/>
      <c r="AC368" s="233"/>
      <c r="AD368" s="233"/>
      <c r="AE368" s="233"/>
      <c r="AF368" s="233"/>
      <c r="AG368" s="233"/>
      <c r="AH368" s="233"/>
      <c r="AI368" s="233"/>
      <c r="AJ368" s="233"/>
      <c r="AK368" s="233"/>
      <c r="AL368" s="233"/>
    </row>
    <row r="369">
      <c r="B369" s="277"/>
      <c r="L369" s="67"/>
      <c r="M369" s="280" t="s">
        <v>2482</v>
      </c>
      <c r="N369" s="234"/>
      <c r="O369" s="281"/>
      <c r="P369" s="233"/>
      <c r="Q369" s="233"/>
      <c r="R369" s="234"/>
      <c r="S369" s="233"/>
      <c r="T369" s="233"/>
      <c r="U369" s="233"/>
      <c r="V369" s="233"/>
      <c r="W369" s="233"/>
      <c r="X369" s="233"/>
      <c r="Y369" s="233"/>
      <c r="Z369" s="233"/>
      <c r="AA369" s="233"/>
      <c r="AB369" s="233"/>
      <c r="AC369" s="233"/>
      <c r="AD369" s="233"/>
      <c r="AE369" s="233"/>
      <c r="AF369" s="233"/>
      <c r="AG369" s="233"/>
      <c r="AH369" s="233"/>
      <c r="AI369" s="233"/>
      <c r="AJ369" s="233"/>
      <c r="AK369" s="233"/>
      <c r="AL369" s="233"/>
    </row>
    <row r="370">
      <c r="B370" s="277"/>
      <c r="L370" s="67"/>
      <c r="M370" s="280" t="s">
        <v>2482</v>
      </c>
      <c r="N370" s="234"/>
      <c r="O370" s="281"/>
      <c r="P370" s="233"/>
      <c r="Q370" s="233"/>
      <c r="R370" s="234"/>
      <c r="S370" s="233"/>
      <c r="T370" s="233"/>
      <c r="U370" s="233"/>
      <c r="V370" s="233"/>
      <c r="W370" s="233"/>
      <c r="X370" s="233"/>
      <c r="Y370" s="233"/>
      <c r="Z370" s="233"/>
      <c r="AA370" s="233"/>
      <c r="AB370" s="233"/>
      <c r="AC370" s="233"/>
      <c r="AD370" s="233"/>
      <c r="AE370" s="233"/>
      <c r="AF370" s="233"/>
      <c r="AG370" s="233"/>
      <c r="AH370" s="233"/>
      <c r="AI370" s="233"/>
      <c r="AJ370" s="233"/>
      <c r="AK370" s="233"/>
      <c r="AL370" s="233"/>
    </row>
    <row r="371">
      <c r="B371" s="277"/>
      <c r="L371" s="67"/>
      <c r="M371" s="280" t="s">
        <v>2482</v>
      </c>
      <c r="N371" s="234"/>
      <c r="O371" s="281"/>
      <c r="P371" s="233"/>
      <c r="Q371" s="233"/>
      <c r="R371" s="234"/>
      <c r="S371" s="233"/>
      <c r="T371" s="233"/>
      <c r="U371" s="233"/>
      <c r="V371" s="233"/>
      <c r="W371" s="233"/>
      <c r="X371" s="233"/>
      <c r="Y371" s="233"/>
      <c r="Z371" s="233"/>
      <c r="AA371" s="233"/>
      <c r="AB371" s="233"/>
      <c r="AC371" s="233"/>
      <c r="AD371" s="233"/>
      <c r="AE371" s="233"/>
      <c r="AF371" s="233"/>
      <c r="AG371" s="233"/>
      <c r="AH371" s="233"/>
      <c r="AI371" s="233"/>
      <c r="AJ371" s="233"/>
      <c r="AK371" s="233"/>
      <c r="AL371" s="233"/>
    </row>
    <row r="372">
      <c r="B372" s="277"/>
      <c r="L372" s="67"/>
      <c r="M372" s="280" t="s">
        <v>2482</v>
      </c>
      <c r="N372" s="234"/>
      <c r="O372" s="281"/>
      <c r="P372" s="233"/>
      <c r="Q372" s="233"/>
      <c r="R372" s="234"/>
      <c r="S372" s="233"/>
      <c r="T372" s="233"/>
      <c r="U372" s="233"/>
      <c r="V372" s="233"/>
      <c r="W372" s="233"/>
      <c r="X372" s="233"/>
      <c r="Y372" s="233"/>
      <c r="Z372" s="233"/>
      <c r="AA372" s="233"/>
      <c r="AB372" s="233"/>
      <c r="AC372" s="233"/>
      <c r="AD372" s="233"/>
      <c r="AE372" s="233"/>
      <c r="AF372" s="233"/>
      <c r="AG372" s="233"/>
      <c r="AH372" s="233"/>
      <c r="AI372" s="233"/>
      <c r="AJ372" s="233"/>
      <c r="AK372" s="233"/>
      <c r="AL372" s="233"/>
    </row>
    <row r="373">
      <c r="B373" s="277"/>
      <c r="L373" s="67"/>
      <c r="M373" s="280" t="s">
        <v>2482</v>
      </c>
      <c r="N373" s="234"/>
      <c r="O373" s="281"/>
      <c r="P373" s="233"/>
      <c r="Q373" s="233"/>
      <c r="R373" s="234"/>
      <c r="S373" s="233"/>
      <c r="T373" s="233"/>
      <c r="U373" s="233"/>
      <c r="V373" s="233"/>
      <c r="W373" s="233"/>
      <c r="X373" s="233"/>
      <c r="Y373" s="233"/>
      <c r="Z373" s="233"/>
      <c r="AA373" s="233"/>
      <c r="AB373" s="233"/>
      <c r="AC373" s="233"/>
      <c r="AD373" s="233"/>
      <c r="AE373" s="233"/>
      <c r="AF373" s="233"/>
      <c r="AG373" s="233"/>
      <c r="AH373" s="233"/>
      <c r="AI373" s="233"/>
      <c r="AJ373" s="233"/>
      <c r="AK373" s="233"/>
      <c r="AL373" s="233"/>
    </row>
    <row r="374">
      <c r="B374" s="277"/>
      <c r="L374" s="67"/>
      <c r="M374" s="280" t="s">
        <v>2482</v>
      </c>
      <c r="N374" s="234"/>
      <c r="O374" s="281"/>
      <c r="P374" s="233"/>
      <c r="Q374" s="233"/>
      <c r="R374" s="234"/>
      <c r="S374" s="233"/>
      <c r="T374" s="233"/>
      <c r="U374" s="233"/>
      <c r="V374" s="233"/>
      <c r="W374" s="233"/>
      <c r="X374" s="233"/>
      <c r="Y374" s="233"/>
      <c r="Z374" s="233"/>
      <c r="AA374" s="233"/>
      <c r="AB374" s="233"/>
      <c r="AC374" s="233"/>
      <c r="AD374" s="233"/>
      <c r="AE374" s="233"/>
      <c r="AF374" s="233"/>
      <c r="AG374" s="233"/>
      <c r="AH374" s="233"/>
      <c r="AI374" s="233"/>
      <c r="AJ374" s="233"/>
      <c r="AK374" s="233"/>
      <c r="AL374" s="233"/>
    </row>
    <row r="375">
      <c r="B375" s="277"/>
      <c r="L375" s="67"/>
      <c r="M375" s="280" t="s">
        <v>2482</v>
      </c>
      <c r="N375" s="234"/>
      <c r="O375" s="281"/>
      <c r="P375" s="233"/>
      <c r="Q375" s="233"/>
      <c r="R375" s="234"/>
      <c r="S375" s="233"/>
      <c r="T375" s="233"/>
      <c r="U375" s="233"/>
      <c r="V375" s="233"/>
      <c r="W375" s="233"/>
      <c r="X375" s="233"/>
      <c r="Y375" s="233"/>
      <c r="Z375" s="233"/>
      <c r="AA375" s="233"/>
      <c r="AB375" s="233"/>
      <c r="AC375" s="233"/>
      <c r="AD375" s="233"/>
      <c r="AE375" s="233"/>
      <c r="AF375" s="233"/>
      <c r="AG375" s="233"/>
      <c r="AH375" s="233"/>
      <c r="AI375" s="233"/>
      <c r="AJ375" s="233"/>
      <c r="AK375" s="233"/>
      <c r="AL375" s="233"/>
    </row>
    <row r="376">
      <c r="B376" s="277"/>
      <c r="L376" s="67"/>
      <c r="M376" s="280" t="s">
        <v>2482</v>
      </c>
      <c r="N376" s="234"/>
      <c r="O376" s="281"/>
      <c r="P376" s="233"/>
      <c r="Q376" s="233"/>
      <c r="R376" s="234"/>
      <c r="S376" s="233"/>
      <c r="T376" s="233"/>
      <c r="U376" s="233"/>
      <c r="V376" s="233"/>
      <c r="W376" s="233"/>
      <c r="X376" s="233"/>
      <c r="Y376" s="233"/>
      <c r="Z376" s="233"/>
      <c r="AA376" s="233"/>
      <c r="AB376" s="233"/>
      <c r="AC376" s="233"/>
      <c r="AD376" s="233"/>
      <c r="AE376" s="233"/>
      <c r="AF376" s="233"/>
      <c r="AG376" s="233"/>
      <c r="AH376" s="233"/>
      <c r="AI376" s="233"/>
      <c r="AJ376" s="233"/>
      <c r="AK376" s="233"/>
      <c r="AL376" s="233"/>
    </row>
    <row r="377">
      <c r="B377" s="277"/>
      <c r="L377" s="67"/>
      <c r="M377" s="280" t="s">
        <v>2482</v>
      </c>
      <c r="N377" s="234"/>
      <c r="O377" s="281"/>
      <c r="P377" s="233"/>
      <c r="Q377" s="233"/>
      <c r="R377" s="234"/>
      <c r="S377" s="233"/>
      <c r="T377" s="233"/>
      <c r="U377" s="233"/>
      <c r="V377" s="233"/>
      <c r="W377" s="233"/>
      <c r="X377" s="233"/>
      <c r="Y377" s="233"/>
      <c r="Z377" s="233"/>
      <c r="AA377" s="233"/>
      <c r="AB377" s="233"/>
      <c r="AC377" s="233"/>
      <c r="AD377" s="233"/>
      <c r="AE377" s="233"/>
      <c r="AF377" s="233"/>
      <c r="AG377" s="233"/>
      <c r="AH377" s="233"/>
      <c r="AI377" s="233"/>
      <c r="AJ377" s="233"/>
      <c r="AK377" s="233"/>
      <c r="AL377" s="233"/>
    </row>
    <row r="378">
      <c r="B378" s="277"/>
      <c r="L378" s="67"/>
      <c r="M378" s="280" t="s">
        <v>2482</v>
      </c>
      <c r="N378" s="234"/>
      <c r="O378" s="281"/>
      <c r="P378" s="233"/>
      <c r="Q378" s="233"/>
      <c r="R378" s="234"/>
      <c r="S378" s="233"/>
      <c r="T378" s="233"/>
      <c r="U378" s="233"/>
      <c r="V378" s="233"/>
      <c r="W378" s="233"/>
      <c r="X378" s="233"/>
      <c r="Y378" s="233"/>
      <c r="Z378" s="233"/>
      <c r="AA378" s="233"/>
      <c r="AB378" s="233"/>
      <c r="AC378" s="233"/>
      <c r="AD378" s="233"/>
      <c r="AE378" s="233"/>
      <c r="AF378" s="233"/>
      <c r="AG378" s="233"/>
      <c r="AH378" s="233"/>
      <c r="AI378" s="233"/>
      <c r="AJ378" s="233"/>
      <c r="AK378" s="233"/>
      <c r="AL378" s="233"/>
    </row>
    <row r="379">
      <c r="B379" s="277"/>
      <c r="L379" s="67"/>
      <c r="M379" s="280" t="s">
        <v>2482</v>
      </c>
      <c r="N379" s="234"/>
      <c r="O379" s="281"/>
      <c r="P379" s="233"/>
      <c r="Q379" s="233"/>
      <c r="R379" s="234"/>
      <c r="S379" s="233"/>
      <c r="T379" s="233"/>
      <c r="U379" s="233"/>
      <c r="V379" s="233"/>
      <c r="W379" s="233"/>
      <c r="X379" s="233"/>
      <c r="Y379" s="233"/>
      <c r="Z379" s="233"/>
      <c r="AA379" s="233"/>
      <c r="AB379" s="233"/>
      <c r="AC379" s="233"/>
      <c r="AD379" s="233"/>
      <c r="AE379" s="233"/>
      <c r="AF379" s="233"/>
      <c r="AG379" s="233"/>
      <c r="AH379" s="233"/>
      <c r="AI379" s="233"/>
      <c r="AJ379" s="233"/>
      <c r="AK379" s="233"/>
      <c r="AL379" s="233"/>
    </row>
    <row r="380">
      <c r="B380" s="277"/>
      <c r="L380" s="67"/>
      <c r="M380" s="280" t="s">
        <v>2482</v>
      </c>
      <c r="N380" s="234"/>
      <c r="O380" s="281"/>
      <c r="P380" s="233"/>
      <c r="Q380" s="233"/>
      <c r="R380" s="234"/>
      <c r="S380" s="233"/>
      <c r="T380" s="233"/>
      <c r="U380" s="233"/>
      <c r="V380" s="233"/>
      <c r="W380" s="233"/>
      <c r="X380" s="233"/>
      <c r="Y380" s="233"/>
      <c r="Z380" s="233"/>
      <c r="AA380" s="233"/>
      <c r="AB380" s="233"/>
      <c r="AC380" s="233"/>
      <c r="AD380" s="233"/>
      <c r="AE380" s="233"/>
      <c r="AF380" s="233"/>
      <c r="AG380" s="233"/>
      <c r="AH380" s="233"/>
      <c r="AI380" s="233"/>
      <c r="AJ380" s="233"/>
      <c r="AK380" s="233"/>
      <c r="AL380" s="233"/>
    </row>
    <row r="381">
      <c r="B381" s="277"/>
      <c r="L381" s="67"/>
      <c r="M381" s="280" t="s">
        <v>2482</v>
      </c>
      <c r="N381" s="234"/>
      <c r="O381" s="281"/>
      <c r="P381" s="233"/>
      <c r="Q381" s="233"/>
      <c r="R381" s="234"/>
      <c r="S381" s="233"/>
      <c r="T381" s="233"/>
      <c r="U381" s="233"/>
      <c r="V381" s="233"/>
      <c r="W381" s="233"/>
      <c r="X381" s="233"/>
      <c r="Y381" s="233"/>
      <c r="Z381" s="233"/>
      <c r="AA381" s="233"/>
      <c r="AB381" s="233"/>
      <c r="AC381" s="233"/>
      <c r="AD381" s="233"/>
      <c r="AE381" s="233"/>
      <c r="AF381" s="233"/>
      <c r="AG381" s="233"/>
      <c r="AH381" s="233"/>
      <c r="AI381" s="233"/>
      <c r="AJ381" s="233"/>
      <c r="AK381" s="233"/>
      <c r="AL381" s="233"/>
    </row>
    <row r="382">
      <c r="B382" s="277"/>
      <c r="L382" s="67"/>
      <c r="M382" s="280" t="s">
        <v>2482</v>
      </c>
      <c r="N382" s="234"/>
      <c r="O382" s="281"/>
      <c r="P382" s="233"/>
      <c r="Q382" s="233"/>
      <c r="R382" s="234"/>
      <c r="S382" s="233"/>
      <c r="T382" s="233"/>
      <c r="U382" s="233"/>
      <c r="V382" s="233"/>
      <c r="W382" s="233"/>
      <c r="X382" s="233"/>
      <c r="Y382" s="233"/>
      <c r="Z382" s="233"/>
      <c r="AA382" s="233"/>
      <c r="AB382" s="233"/>
      <c r="AC382" s="233"/>
      <c r="AD382" s="233"/>
      <c r="AE382" s="233"/>
      <c r="AF382" s="233"/>
      <c r="AG382" s="233"/>
      <c r="AH382" s="233"/>
      <c r="AI382" s="233"/>
      <c r="AJ382" s="233"/>
      <c r="AK382" s="233"/>
      <c r="AL382" s="233"/>
    </row>
    <row r="383">
      <c r="B383" s="277"/>
      <c r="L383" s="67"/>
      <c r="M383" s="280" t="s">
        <v>2482</v>
      </c>
      <c r="N383" s="234"/>
      <c r="O383" s="281"/>
      <c r="P383" s="233"/>
      <c r="Q383" s="233"/>
      <c r="R383" s="234"/>
      <c r="S383" s="233"/>
      <c r="T383" s="233"/>
      <c r="U383" s="233"/>
      <c r="V383" s="233"/>
      <c r="W383" s="233"/>
      <c r="X383" s="233"/>
      <c r="Y383" s="233"/>
      <c r="Z383" s="233"/>
      <c r="AA383" s="233"/>
      <c r="AB383" s="233"/>
      <c r="AC383" s="233"/>
      <c r="AD383" s="233"/>
      <c r="AE383" s="233"/>
      <c r="AF383" s="233"/>
      <c r="AG383" s="233"/>
      <c r="AH383" s="233"/>
      <c r="AI383" s="233"/>
      <c r="AJ383" s="233"/>
      <c r="AK383" s="233"/>
      <c r="AL383" s="233"/>
    </row>
    <row r="384">
      <c r="B384" s="277"/>
      <c r="L384" s="67"/>
      <c r="M384" s="280" t="s">
        <v>2482</v>
      </c>
      <c r="N384" s="234"/>
      <c r="O384" s="281"/>
      <c r="P384" s="233"/>
      <c r="Q384" s="233"/>
      <c r="R384" s="234"/>
      <c r="S384" s="233"/>
      <c r="T384" s="233"/>
      <c r="U384" s="233"/>
      <c r="V384" s="233"/>
      <c r="W384" s="233"/>
      <c r="X384" s="233"/>
      <c r="Y384" s="233"/>
      <c r="Z384" s="233"/>
      <c r="AA384" s="233"/>
      <c r="AB384" s="233"/>
      <c r="AC384" s="233"/>
      <c r="AD384" s="233"/>
      <c r="AE384" s="233"/>
      <c r="AF384" s="233"/>
      <c r="AG384" s="233"/>
      <c r="AH384" s="233"/>
      <c r="AI384" s="233"/>
      <c r="AJ384" s="233"/>
      <c r="AK384" s="233"/>
      <c r="AL384" s="233"/>
    </row>
    <row r="385">
      <c r="B385" s="277"/>
      <c r="L385" s="67"/>
      <c r="M385" s="280" t="s">
        <v>2482</v>
      </c>
      <c r="N385" s="234"/>
      <c r="O385" s="281"/>
      <c r="P385" s="233"/>
      <c r="Q385" s="233"/>
      <c r="R385" s="234"/>
      <c r="S385" s="233"/>
      <c r="T385" s="233"/>
      <c r="U385" s="233"/>
      <c r="V385" s="233"/>
      <c r="W385" s="233"/>
      <c r="X385" s="233"/>
      <c r="Y385" s="233"/>
      <c r="Z385" s="233"/>
      <c r="AA385" s="233"/>
      <c r="AB385" s="233"/>
      <c r="AC385" s="233"/>
      <c r="AD385" s="233"/>
      <c r="AE385" s="233"/>
      <c r="AF385" s="233"/>
      <c r="AG385" s="233"/>
      <c r="AH385" s="233"/>
      <c r="AI385" s="233"/>
      <c r="AJ385" s="233"/>
      <c r="AK385" s="233"/>
      <c r="AL385" s="233"/>
    </row>
    <row r="386">
      <c r="B386" s="277"/>
      <c r="L386" s="67"/>
      <c r="M386" s="280" t="s">
        <v>2482</v>
      </c>
      <c r="N386" s="234"/>
      <c r="O386" s="281"/>
      <c r="P386" s="233"/>
      <c r="Q386" s="233"/>
      <c r="R386" s="234"/>
      <c r="S386" s="233"/>
      <c r="T386" s="233"/>
      <c r="U386" s="233"/>
      <c r="V386" s="233"/>
      <c r="W386" s="233"/>
      <c r="X386" s="233"/>
      <c r="Y386" s="233"/>
      <c r="Z386" s="233"/>
      <c r="AA386" s="233"/>
      <c r="AB386" s="233"/>
      <c r="AC386" s="233"/>
      <c r="AD386" s="233"/>
      <c r="AE386" s="233"/>
      <c r="AF386" s="233"/>
      <c r="AG386" s="233"/>
      <c r="AH386" s="233"/>
      <c r="AI386" s="233"/>
      <c r="AJ386" s="233"/>
      <c r="AK386" s="233"/>
      <c r="AL386" s="233"/>
    </row>
    <row r="387">
      <c r="B387" s="277"/>
      <c r="L387" s="67"/>
      <c r="M387" s="280" t="s">
        <v>2482</v>
      </c>
      <c r="N387" s="234"/>
      <c r="O387" s="281"/>
      <c r="P387" s="233"/>
      <c r="Q387" s="233"/>
      <c r="R387" s="234"/>
      <c r="S387" s="233"/>
      <c r="T387" s="233"/>
      <c r="U387" s="233"/>
      <c r="V387" s="233"/>
      <c r="W387" s="233"/>
      <c r="X387" s="233"/>
      <c r="Y387" s="233"/>
      <c r="Z387" s="233"/>
      <c r="AA387" s="233"/>
      <c r="AB387" s="233"/>
      <c r="AC387" s="233"/>
      <c r="AD387" s="233"/>
      <c r="AE387" s="233"/>
      <c r="AF387" s="233"/>
      <c r="AG387" s="233"/>
      <c r="AH387" s="233"/>
      <c r="AI387" s="233"/>
      <c r="AJ387" s="233"/>
      <c r="AK387" s="233"/>
      <c r="AL387" s="233"/>
    </row>
    <row r="388">
      <c r="B388" s="277"/>
      <c r="L388" s="67"/>
      <c r="M388" s="280" t="s">
        <v>2482</v>
      </c>
      <c r="N388" s="234"/>
      <c r="O388" s="281"/>
      <c r="P388" s="233"/>
      <c r="Q388" s="233"/>
      <c r="R388" s="234"/>
      <c r="S388" s="233"/>
      <c r="T388" s="233"/>
      <c r="U388" s="233"/>
      <c r="V388" s="233"/>
      <c r="W388" s="233"/>
      <c r="X388" s="233"/>
      <c r="Y388" s="233"/>
      <c r="Z388" s="233"/>
      <c r="AA388" s="233"/>
      <c r="AB388" s="233"/>
      <c r="AC388" s="233"/>
      <c r="AD388" s="233"/>
      <c r="AE388" s="233"/>
      <c r="AF388" s="233"/>
      <c r="AG388" s="233"/>
      <c r="AH388" s="233"/>
      <c r="AI388" s="233"/>
      <c r="AJ388" s="233"/>
      <c r="AK388" s="233"/>
      <c r="AL388" s="233"/>
    </row>
    <row r="389">
      <c r="B389" s="277"/>
      <c r="L389" s="67"/>
      <c r="M389" s="280" t="s">
        <v>2482</v>
      </c>
      <c r="N389" s="234"/>
      <c r="O389" s="281"/>
      <c r="P389" s="233"/>
      <c r="Q389" s="233"/>
      <c r="R389" s="234"/>
      <c r="S389" s="233"/>
      <c r="T389" s="233"/>
      <c r="U389" s="233"/>
      <c r="V389" s="233"/>
      <c r="W389" s="233"/>
      <c r="X389" s="233"/>
      <c r="Y389" s="233"/>
      <c r="Z389" s="233"/>
      <c r="AA389" s="233"/>
      <c r="AB389" s="233"/>
      <c r="AC389" s="233"/>
      <c r="AD389" s="233"/>
      <c r="AE389" s="233"/>
      <c r="AF389" s="233"/>
      <c r="AG389" s="233"/>
      <c r="AH389" s="233"/>
      <c r="AI389" s="233"/>
      <c r="AJ389" s="233"/>
      <c r="AK389" s="233"/>
      <c r="AL389" s="233"/>
    </row>
    <row r="390">
      <c r="B390" s="277"/>
      <c r="L390" s="67"/>
      <c r="M390" s="280" t="s">
        <v>2482</v>
      </c>
      <c r="N390" s="234"/>
      <c r="O390" s="281"/>
      <c r="P390" s="233"/>
      <c r="Q390" s="233"/>
      <c r="R390" s="234"/>
      <c r="S390" s="233"/>
      <c r="T390" s="233"/>
      <c r="U390" s="233"/>
      <c r="V390" s="233"/>
      <c r="W390" s="233"/>
      <c r="X390" s="233"/>
      <c r="Y390" s="233"/>
      <c r="Z390" s="233"/>
      <c r="AA390" s="233"/>
      <c r="AB390" s="233"/>
      <c r="AC390" s="233"/>
      <c r="AD390" s="233"/>
      <c r="AE390" s="233"/>
      <c r="AF390" s="233"/>
      <c r="AG390" s="233"/>
      <c r="AH390" s="233"/>
      <c r="AI390" s="233"/>
      <c r="AJ390" s="233"/>
      <c r="AK390" s="233"/>
      <c r="AL390" s="233"/>
    </row>
    <row r="391">
      <c r="B391" s="277"/>
      <c r="L391" s="67"/>
      <c r="M391" s="280" t="s">
        <v>2482</v>
      </c>
      <c r="N391" s="234"/>
      <c r="O391" s="281"/>
      <c r="P391" s="233"/>
      <c r="Q391" s="233"/>
      <c r="R391" s="234"/>
      <c r="S391" s="233"/>
      <c r="T391" s="233"/>
      <c r="U391" s="233"/>
      <c r="V391" s="233"/>
      <c r="W391" s="233"/>
      <c r="X391" s="233"/>
      <c r="Y391" s="233"/>
      <c r="Z391" s="233"/>
      <c r="AA391" s="233"/>
      <c r="AB391" s="233"/>
      <c r="AC391" s="233"/>
      <c r="AD391" s="233"/>
      <c r="AE391" s="233"/>
      <c r="AF391" s="233"/>
      <c r="AG391" s="233"/>
      <c r="AH391" s="233"/>
      <c r="AI391" s="233"/>
      <c r="AJ391" s="233"/>
      <c r="AK391" s="233"/>
      <c r="AL391" s="233"/>
    </row>
    <row r="392">
      <c r="B392" s="277"/>
      <c r="L392" s="67"/>
      <c r="M392" s="280" t="s">
        <v>2482</v>
      </c>
      <c r="N392" s="234"/>
      <c r="O392" s="281"/>
      <c r="P392" s="233"/>
      <c r="Q392" s="233"/>
      <c r="R392" s="234"/>
      <c r="S392" s="233"/>
      <c r="T392" s="233"/>
      <c r="U392" s="233"/>
      <c r="V392" s="233"/>
      <c r="W392" s="233"/>
      <c r="X392" s="233"/>
      <c r="Y392" s="233"/>
      <c r="Z392" s="233"/>
      <c r="AA392" s="233"/>
      <c r="AB392" s="233"/>
      <c r="AC392" s="233"/>
      <c r="AD392" s="233"/>
      <c r="AE392" s="233"/>
      <c r="AF392" s="233"/>
      <c r="AG392" s="233"/>
      <c r="AH392" s="233"/>
      <c r="AI392" s="233"/>
      <c r="AJ392" s="233"/>
      <c r="AK392" s="233"/>
      <c r="AL392" s="233"/>
    </row>
    <row r="393">
      <c r="B393" s="277"/>
      <c r="L393" s="67"/>
      <c r="M393" s="280" t="s">
        <v>2482</v>
      </c>
      <c r="N393" s="234"/>
      <c r="O393" s="281"/>
      <c r="P393" s="233"/>
      <c r="Q393" s="233"/>
      <c r="R393" s="234"/>
      <c r="S393" s="233"/>
      <c r="T393" s="233"/>
      <c r="U393" s="233"/>
      <c r="V393" s="233"/>
      <c r="W393" s="233"/>
      <c r="X393" s="233"/>
      <c r="Y393" s="233"/>
      <c r="Z393" s="233"/>
      <c r="AA393" s="233"/>
      <c r="AB393" s="233"/>
      <c r="AC393" s="233"/>
      <c r="AD393" s="233"/>
      <c r="AE393" s="233"/>
      <c r="AF393" s="233"/>
      <c r="AG393" s="233"/>
      <c r="AH393" s="233"/>
      <c r="AI393" s="233"/>
      <c r="AJ393" s="233"/>
      <c r="AK393" s="233"/>
      <c r="AL393" s="233"/>
    </row>
    <row r="394">
      <c r="B394" s="277"/>
      <c r="L394" s="67"/>
      <c r="M394" s="280" t="s">
        <v>2482</v>
      </c>
      <c r="N394" s="234"/>
      <c r="O394" s="281"/>
      <c r="P394" s="233"/>
      <c r="Q394" s="233"/>
      <c r="R394" s="234"/>
      <c r="S394" s="233"/>
      <c r="T394" s="233"/>
      <c r="U394" s="233"/>
      <c r="V394" s="233"/>
      <c r="W394" s="233"/>
      <c r="X394" s="233"/>
      <c r="Y394" s="233"/>
      <c r="Z394" s="233"/>
      <c r="AA394" s="233"/>
      <c r="AB394" s="233"/>
      <c r="AC394" s="233"/>
      <c r="AD394" s="233"/>
      <c r="AE394" s="233"/>
      <c r="AF394" s="233"/>
      <c r="AG394" s="233"/>
      <c r="AH394" s="233"/>
      <c r="AI394" s="233"/>
      <c r="AJ394" s="233"/>
      <c r="AK394" s="233"/>
      <c r="AL394" s="233"/>
    </row>
    <row r="395">
      <c r="B395" s="277"/>
      <c r="L395" s="67"/>
      <c r="M395" s="280" t="s">
        <v>2482</v>
      </c>
      <c r="N395" s="234"/>
      <c r="O395" s="281"/>
      <c r="P395" s="233"/>
      <c r="Q395" s="233"/>
      <c r="R395" s="234"/>
      <c r="S395" s="233"/>
      <c r="T395" s="233"/>
      <c r="U395" s="233"/>
      <c r="V395" s="233"/>
      <c r="W395" s="233"/>
      <c r="X395" s="233"/>
      <c r="Y395" s="233"/>
      <c r="Z395" s="233"/>
      <c r="AA395" s="233"/>
      <c r="AB395" s="233"/>
      <c r="AC395" s="233"/>
      <c r="AD395" s="233"/>
      <c r="AE395" s="233"/>
      <c r="AF395" s="233"/>
      <c r="AG395" s="233"/>
      <c r="AH395" s="233"/>
      <c r="AI395" s="233"/>
      <c r="AJ395" s="233"/>
      <c r="AK395" s="233"/>
      <c r="AL395" s="233"/>
    </row>
    <row r="396">
      <c r="B396" s="277"/>
      <c r="L396" s="67"/>
      <c r="M396" s="280" t="s">
        <v>2482</v>
      </c>
      <c r="N396" s="234"/>
      <c r="O396" s="281"/>
      <c r="P396" s="233"/>
      <c r="Q396" s="233"/>
      <c r="R396" s="234"/>
      <c r="S396" s="233"/>
      <c r="T396" s="233"/>
      <c r="U396" s="233"/>
      <c r="V396" s="233"/>
      <c r="W396" s="233"/>
      <c r="X396" s="233"/>
      <c r="Y396" s="233"/>
      <c r="Z396" s="233"/>
      <c r="AA396" s="233"/>
      <c r="AB396" s="233"/>
      <c r="AC396" s="233"/>
      <c r="AD396" s="233"/>
      <c r="AE396" s="233"/>
      <c r="AF396" s="233"/>
      <c r="AG396" s="233"/>
      <c r="AH396" s="233"/>
      <c r="AI396" s="233"/>
      <c r="AJ396" s="233"/>
      <c r="AK396" s="233"/>
      <c r="AL396" s="233"/>
    </row>
    <row r="397">
      <c r="B397" s="277"/>
      <c r="L397" s="67"/>
      <c r="M397" s="280" t="s">
        <v>2482</v>
      </c>
      <c r="N397" s="234"/>
      <c r="O397" s="281"/>
      <c r="P397" s="233"/>
      <c r="Q397" s="233"/>
      <c r="R397" s="234"/>
      <c r="S397" s="233"/>
      <c r="T397" s="233"/>
      <c r="U397" s="233"/>
      <c r="V397" s="233"/>
      <c r="W397" s="233"/>
      <c r="X397" s="233"/>
      <c r="Y397" s="233"/>
      <c r="Z397" s="233"/>
      <c r="AA397" s="233"/>
      <c r="AB397" s="233"/>
      <c r="AC397" s="233"/>
      <c r="AD397" s="233"/>
      <c r="AE397" s="233"/>
      <c r="AF397" s="233"/>
      <c r="AG397" s="233"/>
      <c r="AH397" s="233"/>
      <c r="AI397" s="233"/>
      <c r="AJ397" s="233"/>
      <c r="AK397" s="233"/>
      <c r="AL397" s="233"/>
    </row>
    <row r="398">
      <c r="B398" s="277"/>
      <c r="L398" s="67"/>
      <c r="M398" s="280" t="s">
        <v>2482</v>
      </c>
      <c r="N398" s="234"/>
      <c r="O398" s="281"/>
      <c r="P398" s="233"/>
      <c r="Q398" s="233"/>
      <c r="R398" s="234"/>
      <c r="S398" s="233"/>
      <c r="T398" s="233"/>
      <c r="U398" s="233"/>
      <c r="V398" s="233"/>
      <c r="W398" s="233"/>
      <c r="X398" s="233"/>
      <c r="Y398" s="233"/>
      <c r="Z398" s="233"/>
      <c r="AA398" s="233"/>
      <c r="AB398" s="233"/>
      <c r="AC398" s="233"/>
      <c r="AD398" s="233"/>
      <c r="AE398" s="233"/>
      <c r="AF398" s="233"/>
      <c r="AG398" s="233"/>
      <c r="AH398" s="233"/>
      <c r="AI398" s="233"/>
      <c r="AJ398" s="233"/>
      <c r="AK398" s="233"/>
      <c r="AL398" s="233"/>
    </row>
    <row r="399">
      <c r="B399" s="277"/>
      <c r="L399" s="67"/>
      <c r="M399" s="280" t="s">
        <v>2482</v>
      </c>
      <c r="N399" s="234"/>
      <c r="O399" s="281"/>
      <c r="P399" s="233"/>
      <c r="Q399" s="233"/>
      <c r="R399" s="234"/>
      <c r="S399" s="233"/>
      <c r="T399" s="233"/>
      <c r="U399" s="233"/>
      <c r="V399" s="233"/>
      <c r="W399" s="233"/>
      <c r="X399" s="233"/>
      <c r="Y399" s="233"/>
      <c r="Z399" s="233"/>
      <c r="AA399" s="233"/>
      <c r="AB399" s="233"/>
      <c r="AC399" s="233"/>
      <c r="AD399" s="233"/>
      <c r="AE399" s="233"/>
      <c r="AF399" s="233"/>
      <c r="AG399" s="233"/>
      <c r="AH399" s="233"/>
      <c r="AI399" s="233"/>
      <c r="AJ399" s="233"/>
      <c r="AK399" s="233"/>
      <c r="AL399" s="233"/>
    </row>
    <row r="400">
      <c r="B400" s="277"/>
      <c r="L400" s="67"/>
      <c r="M400" s="280" t="s">
        <v>2482</v>
      </c>
      <c r="N400" s="234"/>
      <c r="O400" s="281"/>
      <c r="P400" s="233"/>
      <c r="Q400" s="233"/>
      <c r="R400" s="234"/>
      <c r="S400" s="233"/>
      <c r="T400" s="233"/>
      <c r="U400" s="233"/>
      <c r="V400" s="233"/>
      <c r="W400" s="233"/>
      <c r="X400" s="233"/>
      <c r="Y400" s="233"/>
      <c r="Z400" s="233"/>
      <c r="AA400" s="233"/>
      <c r="AB400" s="233"/>
      <c r="AC400" s="233"/>
      <c r="AD400" s="233"/>
      <c r="AE400" s="233"/>
      <c r="AF400" s="233"/>
      <c r="AG400" s="233"/>
      <c r="AH400" s="233"/>
      <c r="AI400" s="233"/>
      <c r="AJ400" s="233"/>
      <c r="AK400" s="233"/>
      <c r="AL400" s="233"/>
    </row>
    <row r="401">
      <c r="B401" s="277"/>
      <c r="L401" s="67"/>
      <c r="M401" s="280" t="s">
        <v>2482</v>
      </c>
      <c r="N401" s="234"/>
      <c r="O401" s="281"/>
      <c r="P401" s="233"/>
      <c r="Q401" s="233"/>
      <c r="R401" s="234"/>
      <c r="S401" s="233"/>
      <c r="T401" s="233"/>
      <c r="U401" s="233"/>
      <c r="V401" s="233"/>
      <c r="W401" s="233"/>
      <c r="X401" s="233"/>
      <c r="Y401" s="233"/>
      <c r="Z401" s="233"/>
      <c r="AA401" s="233"/>
      <c r="AB401" s="233"/>
      <c r="AC401" s="233"/>
      <c r="AD401" s="233"/>
      <c r="AE401" s="233"/>
      <c r="AF401" s="233"/>
      <c r="AG401" s="233"/>
      <c r="AH401" s="233"/>
      <c r="AI401" s="233"/>
      <c r="AJ401" s="233"/>
      <c r="AK401" s="233"/>
      <c r="AL401" s="233"/>
    </row>
    <row r="402">
      <c r="B402" s="277"/>
      <c r="L402" s="67"/>
      <c r="M402" s="280" t="s">
        <v>2482</v>
      </c>
      <c r="N402" s="234"/>
      <c r="O402" s="281"/>
      <c r="P402" s="233"/>
      <c r="Q402" s="233"/>
      <c r="R402" s="234"/>
      <c r="S402" s="233"/>
      <c r="T402" s="233"/>
      <c r="U402" s="233"/>
      <c r="V402" s="233"/>
      <c r="W402" s="233"/>
      <c r="X402" s="233"/>
      <c r="Y402" s="233"/>
      <c r="Z402" s="233"/>
      <c r="AA402" s="233"/>
      <c r="AB402" s="233"/>
      <c r="AC402" s="233"/>
      <c r="AD402" s="233"/>
      <c r="AE402" s="233"/>
      <c r="AF402" s="233"/>
      <c r="AG402" s="233"/>
      <c r="AH402" s="233"/>
      <c r="AI402" s="233"/>
      <c r="AJ402" s="233"/>
      <c r="AK402" s="233"/>
      <c r="AL402" s="233"/>
    </row>
    <row r="403">
      <c r="B403" s="277"/>
      <c r="L403" s="67"/>
      <c r="M403" s="280" t="s">
        <v>2482</v>
      </c>
      <c r="N403" s="234"/>
      <c r="O403" s="281"/>
      <c r="P403" s="233"/>
      <c r="Q403" s="233"/>
      <c r="R403" s="234"/>
      <c r="S403" s="233"/>
      <c r="T403" s="233"/>
      <c r="U403" s="233"/>
      <c r="V403" s="233"/>
      <c r="W403" s="233"/>
      <c r="X403" s="233"/>
      <c r="Y403" s="233"/>
      <c r="Z403" s="233"/>
      <c r="AA403" s="233"/>
      <c r="AB403" s="233"/>
      <c r="AC403" s="233"/>
      <c r="AD403" s="233"/>
      <c r="AE403" s="233"/>
      <c r="AF403" s="233"/>
      <c r="AG403" s="233"/>
      <c r="AH403" s="233"/>
      <c r="AI403" s="233"/>
      <c r="AJ403" s="233"/>
      <c r="AK403" s="233"/>
      <c r="AL403" s="233"/>
    </row>
    <row r="404">
      <c r="B404" s="277"/>
      <c r="L404" s="67"/>
      <c r="M404" s="280" t="s">
        <v>2482</v>
      </c>
      <c r="N404" s="234"/>
      <c r="O404" s="281"/>
      <c r="P404" s="233"/>
      <c r="Q404" s="233"/>
      <c r="R404" s="234"/>
      <c r="S404" s="233"/>
      <c r="T404" s="233"/>
      <c r="U404" s="233"/>
      <c r="V404" s="233"/>
      <c r="W404" s="233"/>
      <c r="X404" s="233"/>
      <c r="Y404" s="233"/>
      <c r="Z404" s="233"/>
      <c r="AA404" s="233"/>
      <c r="AB404" s="233"/>
      <c r="AC404" s="233"/>
      <c r="AD404" s="233"/>
      <c r="AE404" s="233"/>
      <c r="AF404" s="233"/>
      <c r="AG404" s="233"/>
      <c r="AH404" s="233"/>
      <c r="AI404" s="233"/>
      <c r="AJ404" s="233"/>
      <c r="AK404" s="233"/>
      <c r="AL404" s="233"/>
    </row>
    <row r="405">
      <c r="B405" s="277"/>
      <c r="L405" s="67"/>
      <c r="M405" s="280" t="s">
        <v>2482</v>
      </c>
      <c r="N405" s="234"/>
      <c r="O405" s="281"/>
      <c r="P405" s="233"/>
      <c r="Q405" s="233"/>
      <c r="R405" s="234"/>
      <c r="S405" s="233"/>
      <c r="T405" s="233"/>
      <c r="U405" s="233"/>
      <c r="V405" s="233"/>
      <c r="W405" s="233"/>
      <c r="X405" s="233"/>
      <c r="Y405" s="233"/>
      <c r="Z405" s="233"/>
      <c r="AA405" s="233"/>
      <c r="AB405" s="233"/>
      <c r="AC405" s="233"/>
      <c r="AD405" s="233"/>
      <c r="AE405" s="233"/>
      <c r="AF405" s="233"/>
      <c r="AG405" s="233"/>
      <c r="AH405" s="233"/>
      <c r="AI405" s="233"/>
      <c r="AJ405" s="233"/>
      <c r="AK405" s="233"/>
      <c r="AL405" s="233"/>
    </row>
    <row r="406">
      <c r="B406" s="277"/>
      <c r="L406" s="67"/>
      <c r="M406" s="280" t="s">
        <v>2482</v>
      </c>
      <c r="N406" s="234"/>
      <c r="O406" s="281"/>
      <c r="P406" s="233"/>
      <c r="Q406" s="233"/>
      <c r="R406" s="234"/>
      <c r="S406" s="233"/>
      <c r="T406" s="233"/>
      <c r="U406" s="233"/>
      <c r="V406" s="233"/>
      <c r="W406" s="233"/>
      <c r="X406" s="233"/>
      <c r="Y406" s="233"/>
      <c r="Z406" s="233"/>
      <c r="AA406" s="233"/>
      <c r="AB406" s="233"/>
      <c r="AC406" s="233"/>
      <c r="AD406" s="233"/>
      <c r="AE406" s="233"/>
      <c r="AF406" s="233"/>
      <c r="AG406" s="233"/>
      <c r="AH406" s="233"/>
      <c r="AI406" s="233"/>
      <c r="AJ406" s="233"/>
      <c r="AK406" s="233"/>
      <c r="AL406" s="233"/>
    </row>
    <row r="407">
      <c r="B407" s="277"/>
      <c r="L407" s="67"/>
      <c r="M407" s="280" t="s">
        <v>2482</v>
      </c>
      <c r="N407" s="234"/>
      <c r="O407" s="281"/>
      <c r="P407" s="233"/>
      <c r="Q407" s="233"/>
      <c r="R407" s="234"/>
      <c r="S407" s="233"/>
      <c r="T407" s="233"/>
      <c r="U407" s="233"/>
      <c r="V407" s="233"/>
      <c r="W407" s="233"/>
      <c r="X407" s="233"/>
      <c r="Y407" s="233"/>
      <c r="Z407" s="233"/>
      <c r="AA407" s="233"/>
      <c r="AB407" s="233"/>
      <c r="AC407" s="233"/>
      <c r="AD407" s="233"/>
      <c r="AE407" s="233"/>
      <c r="AF407" s="233"/>
      <c r="AG407" s="233"/>
      <c r="AH407" s="233"/>
      <c r="AI407" s="233"/>
      <c r="AJ407" s="233"/>
      <c r="AK407" s="233"/>
      <c r="AL407" s="233"/>
    </row>
    <row r="408">
      <c r="B408" s="277"/>
      <c r="L408" s="67"/>
      <c r="M408" s="280" t="s">
        <v>2482</v>
      </c>
      <c r="N408" s="234"/>
      <c r="O408" s="281"/>
      <c r="P408" s="233"/>
      <c r="Q408" s="233"/>
      <c r="R408" s="234"/>
      <c r="S408" s="233"/>
      <c r="T408" s="233"/>
      <c r="U408" s="233"/>
      <c r="V408" s="233"/>
      <c r="W408" s="233"/>
      <c r="X408" s="233"/>
      <c r="Y408" s="233"/>
      <c r="Z408" s="233"/>
      <c r="AA408" s="233"/>
      <c r="AB408" s="233"/>
      <c r="AC408" s="233"/>
      <c r="AD408" s="233"/>
      <c r="AE408" s="233"/>
      <c r="AF408" s="233"/>
      <c r="AG408" s="233"/>
      <c r="AH408" s="233"/>
      <c r="AI408" s="233"/>
      <c r="AJ408" s="233"/>
      <c r="AK408" s="233"/>
      <c r="AL408" s="233"/>
    </row>
    <row r="409">
      <c r="B409" s="277"/>
      <c r="L409" s="67"/>
      <c r="M409" s="280" t="s">
        <v>2482</v>
      </c>
      <c r="N409" s="234"/>
      <c r="O409" s="281"/>
      <c r="P409" s="233"/>
      <c r="Q409" s="233"/>
      <c r="R409" s="234"/>
      <c r="S409" s="233"/>
      <c r="T409" s="233"/>
      <c r="U409" s="233"/>
      <c r="V409" s="233"/>
      <c r="W409" s="233"/>
      <c r="X409" s="233"/>
      <c r="Y409" s="233"/>
      <c r="Z409" s="233"/>
      <c r="AA409" s="233"/>
      <c r="AB409" s="233"/>
      <c r="AC409" s="233"/>
      <c r="AD409" s="233"/>
      <c r="AE409" s="233"/>
      <c r="AF409" s="233"/>
      <c r="AG409" s="233"/>
      <c r="AH409" s="233"/>
      <c r="AI409" s="233"/>
      <c r="AJ409" s="233"/>
      <c r="AK409" s="233"/>
      <c r="AL409" s="233"/>
    </row>
    <row r="410">
      <c r="B410" s="277"/>
      <c r="L410" s="67"/>
      <c r="M410" s="280" t="s">
        <v>2482</v>
      </c>
      <c r="N410" s="234"/>
      <c r="O410" s="281"/>
      <c r="P410" s="233"/>
      <c r="Q410" s="233"/>
      <c r="R410" s="234"/>
      <c r="S410" s="233"/>
      <c r="T410" s="233"/>
      <c r="U410" s="233"/>
      <c r="V410" s="233"/>
      <c r="W410" s="233"/>
      <c r="X410" s="233"/>
      <c r="Y410" s="233"/>
      <c r="Z410" s="233"/>
      <c r="AA410" s="233"/>
      <c r="AB410" s="233"/>
      <c r="AC410" s="233"/>
      <c r="AD410" s="233"/>
      <c r="AE410" s="233"/>
      <c r="AF410" s="233"/>
      <c r="AG410" s="233"/>
      <c r="AH410" s="233"/>
      <c r="AI410" s="233"/>
      <c r="AJ410" s="233"/>
      <c r="AK410" s="233"/>
      <c r="AL410" s="233"/>
    </row>
    <row r="411">
      <c r="B411" s="277"/>
      <c r="L411" s="67"/>
      <c r="M411" s="280" t="s">
        <v>2482</v>
      </c>
      <c r="N411" s="234"/>
      <c r="O411" s="281"/>
      <c r="P411" s="233"/>
      <c r="Q411" s="233"/>
      <c r="R411" s="234"/>
      <c r="S411" s="233"/>
      <c r="T411" s="233"/>
      <c r="U411" s="233"/>
      <c r="V411" s="233"/>
      <c r="W411" s="233"/>
      <c r="X411" s="233"/>
      <c r="Y411" s="233"/>
      <c r="Z411" s="233"/>
      <c r="AA411" s="233"/>
      <c r="AB411" s="233"/>
      <c r="AC411" s="233"/>
      <c r="AD411" s="233"/>
      <c r="AE411" s="233"/>
      <c r="AF411" s="233"/>
      <c r="AG411" s="233"/>
      <c r="AH411" s="233"/>
      <c r="AI411" s="233"/>
      <c r="AJ411" s="233"/>
      <c r="AK411" s="233"/>
      <c r="AL411" s="233"/>
    </row>
    <row r="412">
      <c r="B412" s="277"/>
      <c r="L412" s="67"/>
      <c r="M412" s="280" t="s">
        <v>2482</v>
      </c>
      <c r="N412" s="234"/>
      <c r="O412" s="281"/>
      <c r="P412" s="233"/>
      <c r="Q412" s="233"/>
      <c r="R412" s="234"/>
      <c r="S412" s="233"/>
      <c r="T412" s="233"/>
      <c r="U412" s="233"/>
      <c r="V412" s="233"/>
      <c r="W412" s="233"/>
      <c r="X412" s="233"/>
      <c r="Y412" s="233"/>
      <c r="Z412" s="233"/>
      <c r="AA412" s="233"/>
      <c r="AB412" s="233"/>
      <c r="AC412" s="233"/>
      <c r="AD412" s="233"/>
      <c r="AE412" s="233"/>
      <c r="AF412" s="233"/>
      <c r="AG412" s="233"/>
      <c r="AH412" s="233"/>
      <c r="AI412" s="233"/>
      <c r="AJ412" s="233"/>
      <c r="AK412" s="233"/>
      <c r="AL412" s="233"/>
    </row>
    <row r="413">
      <c r="B413" s="277"/>
      <c r="L413" s="67"/>
      <c r="M413" s="280" t="s">
        <v>2482</v>
      </c>
      <c r="N413" s="234"/>
      <c r="O413" s="281"/>
      <c r="P413" s="233"/>
      <c r="Q413" s="233"/>
      <c r="R413" s="234"/>
      <c r="S413" s="233"/>
      <c r="T413" s="233"/>
      <c r="U413" s="233"/>
      <c r="V413" s="233"/>
      <c r="W413" s="233"/>
      <c r="X413" s="233"/>
      <c r="Y413" s="233"/>
      <c r="Z413" s="233"/>
      <c r="AA413" s="233"/>
      <c r="AB413" s="233"/>
      <c r="AC413" s="233"/>
      <c r="AD413" s="233"/>
      <c r="AE413" s="233"/>
      <c r="AF413" s="233"/>
      <c r="AG413" s="233"/>
      <c r="AH413" s="233"/>
      <c r="AI413" s="233"/>
      <c r="AJ413" s="233"/>
      <c r="AK413" s="233"/>
      <c r="AL413" s="233"/>
    </row>
    <row r="414">
      <c r="B414" s="277"/>
      <c r="L414" s="67"/>
      <c r="M414" s="280" t="s">
        <v>2482</v>
      </c>
      <c r="N414" s="234"/>
      <c r="O414" s="281"/>
      <c r="P414" s="233"/>
      <c r="Q414" s="233"/>
      <c r="R414" s="234"/>
      <c r="S414" s="233"/>
      <c r="T414" s="233"/>
      <c r="U414" s="233"/>
      <c r="V414" s="233"/>
      <c r="W414" s="233"/>
      <c r="X414" s="233"/>
      <c r="Y414" s="233"/>
      <c r="Z414" s="233"/>
      <c r="AA414" s="233"/>
      <c r="AB414" s="233"/>
      <c r="AC414" s="233"/>
      <c r="AD414" s="233"/>
      <c r="AE414" s="233"/>
      <c r="AF414" s="233"/>
      <c r="AG414" s="233"/>
      <c r="AH414" s="233"/>
      <c r="AI414" s="233"/>
      <c r="AJ414" s="233"/>
      <c r="AK414" s="233"/>
      <c r="AL414" s="233"/>
    </row>
    <row r="415">
      <c r="B415" s="277"/>
      <c r="L415" s="67"/>
      <c r="M415" s="280" t="s">
        <v>2482</v>
      </c>
      <c r="N415" s="234"/>
      <c r="O415" s="281"/>
      <c r="P415" s="233"/>
      <c r="Q415" s="233"/>
      <c r="R415" s="234"/>
      <c r="S415" s="233"/>
      <c r="T415" s="233"/>
      <c r="U415" s="233"/>
      <c r="V415" s="233"/>
      <c r="W415" s="233"/>
      <c r="X415" s="233"/>
      <c r="Y415" s="233"/>
      <c r="Z415" s="233"/>
      <c r="AA415" s="233"/>
      <c r="AB415" s="233"/>
      <c r="AC415" s="233"/>
      <c r="AD415" s="233"/>
      <c r="AE415" s="233"/>
      <c r="AF415" s="233"/>
      <c r="AG415" s="233"/>
      <c r="AH415" s="233"/>
      <c r="AI415" s="233"/>
      <c r="AJ415" s="233"/>
      <c r="AK415" s="233"/>
      <c r="AL415" s="233"/>
    </row>
    <row r="416">
      <c r="B416" s="277"/>
      <c r="L416" s="67"/>
      <c r="M416" s="280" t="s">
        <v>2482</v>
      </c>
      <c r="N416" s="234"/>
      <c r="O416" s="281"/>
      <c r="P416" s="233"/>
      <c r="Q416" s="233"/>
      <c r="R416" s="234"/>
      <c r="S416" s="233"/>
      <c r="T416" s="233"/>
      <c r="U416" s="233"/>
      <c r="V416" s="233"/>
      <c r="W416" s="233"/>
      <c r="X416" s="233"/>
      <c r="Y416" s="233"/>
      <c r="Z416" s="233"/>
      <c r="AA416" s="233"/>
      <c r="AB416" s="233"/>
      <c r="AC416" s="233"/>
      <c r="AD416" s="233"/>
      <c r="AE416" s="233"/>
      <c r="AF416" s="233"/>
      <c r="AG416" s="233"/>
      <c r="AH416" s="233"/>
      <c r="AI416" s="233"/>
      <c r="AJ416" s="233"/>
      <c r="AK416" s="233"/>
      <c r="AL416" s="233"/>
    </row>
    <row r="417">
      <c r="B417" s="277"/>
      <c r="L417" s="67"/>
      <c r="M417" s="280" t="s">
        <v>2482</v>
      </c>
      <c r="N417" s="234"/>
      <c r="O417" s="281"/>
      <c r="P417" s="233"/>
      <c r="Q417" s="233"/>
      <c r="R417" s="234"/>
      <c r="S417" s="233"/>
      <c r="T417" s="233"/>
      <c r="U417" s="233"/>
      <c r="V417" s="233"/>
      <c r="W417" s="233"/>
      <c r="X417" s="233"/>
      <c r="Y417" s="233"/>
      <c r="Z417" s="233"/>
      <c r="AA417" s="233"/>
      <c r="AB417" s="233"/>
      <c r="AC417" s="233"/>
      <c r="AD417" s="233"/>
      <c r="AE417" s="233"/>
      <c r="AF417" s="233"/>
      <c r="AG417" s="233"/>
      <c r="AH417" s="233"/>
      <c r="AI417" s="233"/>
      <c r="AJ417" s="233"/>
      <c r="AK417" s="233"/>
      <c r="AL417" s="233"/>
    </row>
    <row r="418">
      <c r="B418" s="277"/>
      <c r="L418" s="67"/>
      <c r="M418" s="280" t="s">
        <v>2482</v>
      </c>
      <c r="N418" s="234"/>
      <c r="O418" s="281"/>
      <c r="P418" s="233"/>
      <c r="Q418" s="233"/>
      <c r="R418" s="234"/>
      <c r="S418" s="233"/>
      <c r="T418" s="233"/>
      <c r="U418" s="233"/>
      <c r="V418" s="233"/>
      <c r="W418" s="233"/>
      <c r="X418" s="233"/>
      <c r="Y418" s="233"/>
      <c r="Z418" s="233"/>
      <c r="AA418" s="233"/>
      <c r="AB418" s="233"/>
      <c r="AC418" s="233"/>
      <c r="AD418" s="233"/>
      <c r="AE418" s="233"/>
      <c r="AF418" s="233"/>
      <c r="AG418" s="233"/>
      <c r="AH418" s="233"/>
      <c r="AI418" s="233"/>
      <c r="AJ418" s="233"/>
      <c r="AK418" s="233"/>
      <c r="AL418" s="233"/>
    </row>
    <row r="419">
      <c r="B419" s="277"/>
      <c r="L419" s="67"/>
      <c r="M419" s="280" t="s">
        <v>2482</v>
      </c>
      <c r="N419" s="234"/>
      <c r="O419" s="281"/>
      <c r="P419" s="233"/>
      <c r="Q419" s="233"/>
      <c r="R419" s="234"/>
      <c r="S419" s="233"/>
      <c r="T419" s="233"/>
      <c r="U419" s="233"/>
      <c r="V419" s="233"/>
      <c r="W419" s="233"/>
      <c r="X419" s="233"/>
      <c r="Y419" s="233"/>
      <c r="Z419" s="233"/>
      <c r="AA419" s="233"/>
      <c r="AB419" s="233"/>
      <c r="AC419" s="233"/>
      <c r="AD419" s="233"/>
      <c r="AE419" s="233"/>
      <c r="AF419" s="233"/>
      <c r="AG419" s="233"/>
      <c r="AH419" s="233"/>
      <c r="AI419" s="233"/>
      <c r="AJ419" s="233"/>
      <c r="AK419" s="233"/>
      <c r="AL419" s="233"/>
    </row>
    <row r="420">
      <c r="B420" s="277"/>
      <c r="L420" s="67"/>
      <c r="M420" s="280" t="s">
        <v>2482</v>
      </c>
      <c r="N420" s="234"/>
      <c r="O420" s="281"/>
      <c r="P420" s="233"/>
      <c r="Q420" s="233"/>
      <c r="R420" s="234"/>
      <c r="S420" s="233"/>
      <c r="T420" s="233"/>
      <c r="U420" s="233"/>
      <c r="V420" s="233"/>
      <c r="W420" s="233"/>
      <c r="X420" s="233"/>
      <c r="Y420" s="233"/>
      <c r="Z420" s="233"/>
      <c r="AA420" s="233"/>
      <c r="AB420" s="233"/>
      <c r="AC420" s="233"/>
      <c r="AD420" s="233"/>
      <c r="AE420" s="233"/>
      <c r="AF420" s="233"/>
      <c r="AG420" s="233"/>
      <c r="AH420" s="233"/>
      <c r="AI420" s="233"/>
      <c r="AJ420" s="233"/>
      <c r="AK420" s="233"/>
      <c r="AL420" s="233"/>
    </row>
    <row r="421">
      <c r="B421" s="277"/>
      <c r="L421" s="67"/>
      <c r="M421" s="280" t="s">
        <v>2482</v>
      </c>
      <c r="N421" s="234"/>
      <c r="O421" s="281"/>
      <c r="P421" s="233"/>
      <c r="Q421" s="233"/>
      <c r="R421" s="234"/>
      <c r="S421" s="233"/>
      <c r="T421" s="233"/>
      <c r="U421" s="233"/>
      <c r="V421" s="233"/>
      <c r="W421" s="233"/>
      <c r="X421" s="233"/>
      <c r="Y421" s="233"/>
      <c r="Z421" s="233"/>
      <c r="AA421" s="233"/>
      <c r="AB421" s="233"/>
      <c r="AC421" s="233"/>
      <c r="AD421" s="233"/>
      <c r="AE421" s="233"/>
      <c r="AF421" s="233"/>
      <c r="AG421" s="233"/>
      <c r="AH421" s="233"/>
      <c r="AI421" s="233"/>
      <c r="AJ421" s="233"/>
      <c r="AK421" s="233"/>
      <c r="AL421" s="233"/>
    </row>
    <row r="422">
      <c r="B422" s="277"/>
      <c r="L422" s="67"/>
      <c r="M422" s="280" t="s">
        <v>2482</v>
      </c>
      <c r="N422" s="234"/>
      <c r="O422" s="281"/>
      <c r="P422" s="233"/>
      <c r="Q422" s="233"/>
      <c r="R422" s="234"/>
      <c r="S422" s="233"/>
      <c r="T422" s="233"/>
      <c r="U422" s="233"/>
      <c r="V422" s="233"/>
      <c r="W422" s="233"/>
      <c r="X422" s="233"/>
      <c r="Y422" s="233"/>
      <c r="Z422" s="233"/>
      <c r="AA422" s="233"/>
      <c r="AB422" s="233"/>
      <c r="AC422" s="233"/>
      <c r="AD422" s="233"/>
      <c r="AE422" s="233"/>
      <c r="AF422" s="233"/>
      <c r="AG422" s="233"/>
      <c r="AH422" s="233"/>
      <c r="AI422" s="233"/>
      <c r="AJ422" s="233"/>
      <c r="AK422" s="233"/>
      <c r="AL422" s="233"/>
    </row>
    <row r="423">
      <c r="B423" s="277"/>
      <c r="L423" s="67"/>
      <c r="M423" s="280" t="s">
        <v>2482</v>
      </c>
      <c r="N423" s="234"/>
      <c r="O423" s="281"/>
      <c r="P423" s="233"/>
      <c r="Q423" s="233"/>
      <c r="R423" s="234"/>
      <c r="S423" s="233"/>
      <c r="T423" s="233"/>
      <c r="U423" s="233"/>
      <c r="V423" s="233"/>
      <c r="W423" s="233"/>
      <c r="X423" s="233"/>
      <c r="Y423" s="233"/>
      <c r="Z423" s="233"/>
      <c r="AA423" s="233"/>
      <c r="AB423" s="233"/>
      <c r="AC423" s="233"/>
      <c r="AD423" s="233"/>
      <c r="AE423" s="233"/>
      <c r="AF423" s="233"/>
      <c r="AG423" s="233"/>
      <c r="AH423" s="233"/>
      <c r="AI423" s="233"/>
      <c r="AJ423" s="233"/>
      <c r="AK423" s="233"/>
      <c r="AL423" s="233"/>
    </row>
    <row r="424">
      <c r="B424" s="277"/>
      <c r="L424" s="67"/>
      <c r="M424" s="280" t="s">
        <v>2482</v>
      </c>
      <c r="N424" s="234"/>
      <c r="O424" s="281"/>
      <c r="P424" s="233"/>
      <c r="Q424" s="233"/>
      <c r="R424" s="234"/>
      <c r="S424" s="233"/>
      <c r="T424" s="233"/>
      <c r="U424" s="233"/>
      <c r="V424" s="233"/>
      <c r="W424" s="233"/>
      <c r="X424" s="233"/>
      <c r="Y424" s="233"/>
      <c r="Z424" s="233"/>
      <c r="AA424" s="233"/>
      <c r="AB424" s="233"/>
      <c r="AC424" s="233"/>
      <c r="AD424" s="233"/>
      <c r="AE424" s="233"/>
      <c r="AF424" s="233"/>
      <c r="AG424" s="233"/>
      <c r="AH424" s="233"/>
      <c r="AI424" s="233"/>
      <c r="AJ424" s="233"/>
      <c r="AK424" s="233"/>
      <c r="AL424" s="233"/>
    </row>
    <row r="425">
      <c r="B425" s="277"/>
      <c r="L425" s="67"/>
      <c r="M425" s="280" t="s">
        <v>2482</v>
      </c>
      <c r="N425" s="234"/>
      <c r="O425" s="281"/>
      <c r="P425" s="233"/>
      <c r="Q425" s="233"/>
      <c r="R425" s="234"/>
      <c r="S425" s="233"/>
      <c r="T425" s="233"/>
      <c r="U425" s="233"/>
      <c r="V425" s="233"/>
      <c r="W425" s="233"/>
      <c r="X425" s="233"/>
      <c r="Y425" s="233"/>
      <c r="Z425" s="233"/>
      <c r="AA425" s="233"/>
      <c r="AB425" s="233"/>
      <c r="AC425" s="233"/>
      <c r="AD425" s="233"/>
      <c r="AE425" s="233"/>
      <c r="AF425" s="233"/>
      <c r="AG425" s="233"/>
      <c r="AH425" s="233"/>
      <c r="AI425" s="233"/>
      <c r="AJ425" s="233"/>
      <c r="AK425" s="233"/>
      <c r="AL425" s="233"/>
    </row>
    <row r="426">
      <c r="B426" s="277"/>
      <c r="L426" s="67"/>
      <c r="M426" s="280" t="s">
        <v>2482</v>
      </c>
      <c r="N426" s="234"/>
      <c r="O426" s="281"/>
      <c r="P426" s="233"/>
      <c r="Q426" s="233"/>
      <c r="R426" s="234"/>
      <c r="S426" s="233"/>
      <c r="T426" s="233"/>
      <c r="U426" s="233"/>
      <c r="V426" s="233"/>
      <c r="W426" s="233"/>
      <c r="X426" s="233"/>
      <c r="Y426" s="233"/>
      <c r="Z426" s="233"/>
      <c r="AA426" s="233"/>
      <c r="AB426" s="233"/>
      <c r="AC426" s="233"/>
      <c r="AD426" s="233"/>
      <c r="AE426" s="233"/>
      <c r="AF426" s="233"/>
      <c r="AG426" s="233"/>
      <c r="AH426" s="233"/>
      <c r="AI426" s="233"/>
      <c r="AJ426" s="233"/>
      <c r="AK426" s="233"/>
      <c r="AL426" s="233"/>
    </row>
    <row r="427">
      <c r="B427" s="277"/>
      <c r="L427" s="67"/>
      <c r="M427" s="280" t="s">
        <v>2482</v>
      </c>
      <c r="N427" s="234"/>
      <c r="O427" s="281"/>
      <c r="P427" s="233"/>
      <c r="Q427" s="233"/>
      <c r="R427" s="234"/>
      <c r="S427" s="233"/>
      <c r="T427" s="233"/>
      <c r="U427" s="233"/>
      <c r="V427" s="233"/>
      <c r="W427" s="233"/>
      <c r="X427" s="233"/>
      <c r="Y427" s="233"/>
      <c r="Z427" s="233"/>
      <c r="AA427" s="233"/>
      <c r="AB427" s="233"/>
      <c r="AC427" s="233"/>
      <c r="AD427" s="233"/>
      <c r="AE427" s="233"/>
      <c r="AF427" s="233"/>
      <c r="AG427" s="233"/>
      <c r="AH427" s="233"/>
      <c r="AI427" s="233"/>
      <c r="AJ427" s="233"/>
      <c r="AK427" s="233"/>
      <c r="AL427" s="233"/>
    </row>
    <row r="428">
      <c r="B428" s="277"/>
      <c r="L428" s="67"/>
      <c r="M428" s="280" t="s">
        <v>2482</v>
      </c>
      <c r="N428" s="234"/>
      <c r="O428" s="281"/>
      <c r="P428" s="233"/>
      <c r="Q428" s="233"/>
      <c r="R428" s="234"/>
      <c r="S428" s="233"/>
      <c r="T428" s="233"/>
      <c r="U428" s="233"/>
      <c r="V428" s="233"/>
      <c r="W428" s="233"/>
      <c r="X428" s="233"/>
      <c r="Y428" s="233"/>
      <c r="Z428" s="233"/>
      <c r="AA428" s="233"/>
      <c r="AB428" s="233"/>
      <c r="AC428" s="233"/>
      <c r="AD428" s="233"/>
      <c r="AE428" s="233"/>
      <c r="AF428" s="233"/>
      <c r="AG428" s="233"/>
      <c r="AH428" s="233"/>
      <c r="AI428" s="233"/>
      <c r="AJ428" s="233"/>
      <c r="AK428" s="233"/>
      <c r="AL428" s="233"/>
    </row>
    <row r="429">
      <c r="B429" s="277"/>
      <c r="L429" s="67"/>
      <c r="M429" s="280" t="s">
        <v>2482</v>
      </c>
      <c r="N429" s="234"/>
      <c r="O429" s="281"/>
      <c r="P429" s="233"/>
      <c r="Q429" s="233"/>
      <c r="R429" s="234"/>
      <c r="S429" s="233"/>
      <c r="T429" s="233"/>
      <c r="U429" s="233"/>
      <c r="V429" s="233"/>
      <c r="W429" s="233"/>
      <c r="X429" s="233"/>
      <c r="Y429" s="233"/>
      <c r="Z429" s="233"/>
      <c r="AA429" s="233"/>
      <c r="AB429" s="233"/>
      <c r="AC429" s="233"/>
      <c r="AD429" s="233"/>
      <c r="AE429" s="233"/>
      <c r="AF429" s="233"/>
      <c r="AG429" s="233"/>
      <c r="AH429" s="233"/>
      <c r="AI429" s="233"/>
      <c r="AJ429" s="233"/>
      <c r="AK429" s="233"/>
      <c r="AL429" s="233"/>
    </row>
    <row r="430">
      <c r="B430" s="277"/>
      <c r="L430" s="67"/>
      <c r="M430" s="280" t="s">
        <v>2482</v>
      </c>
      <c r="N430" s="234"/>
      <c r="O430" s="281"/>
      <c r="P430" s="233"/>
      <c r="Q430" s="233"/>
      <c r="R430" s="234"/>
      <c r="S430" s="233"/>
      <c r="T430" s="233"/>
      <c r="U430" s="233"/>
      <c r="V430" s="233"/>
      <c r="W430" s="233"/>
      <c r="X430" s="233"/>
      <c r="Y430" s="233"/>
      <c r="Z430" s="233"/>
      <c r="AA430" s="233"/>
      <c r="AB430" s="233"/>
      <c r="AC430" s="233"/>
      <c r="AD430" s="233"/>
      <c r="AE430" s="233"/>
      <c r="AF430" s="233"/>
      <c r="AG430" s="233"/>
      <c r="AH430" s="233"/>
      <c r="AI430" s="233"/>
      <c r="AJ430" s="233"/>
      <c r="AK430" s="233"/>
      <c r="AL430" s="233"/>
    </row>
    <row r="431">
      <c r="B431" s="277"/>
      <c r="L431" s="67"/>
      <c r="M431" s="280" t="s">
        <v>2482</v>
      </c>
      <c r="N431" s="234"/>
      <c r="O431" s="281"/>
      <c r="P431" s="233"/>
      <c r="Q431" s="233"/>
      <c r="R431" s="234"/>
      <c r="S431" s="233"/>
      <c r="T431" s="233"/>
      <c r="U431" s="233"/>
      <c r="V431" s="233"/>
      <c r="W431" s="233"/>
      <c r="X431" s="233"/>
      <c r="Y431" s="233"/>
      <c r="Z431" s="233"/>
      <c r="AA431" s="233"/>
      <c r="AB431" s="233"/>
      <c r="AC431" s="233"/>
      <c r="AD431" s="233"/>
      <c r="AE431" s="233"/>
      <c r="AF431" s="233"/>
      <c r="AG431" s="233"/>
      <c r="AH431" s="233"/>
      <c r="AI431" s="233"/>
      <c r="AJ431" s="233"/>
      <c r="AK431" s="233"/>
      <c r="AL431" s="233"/>
    </row>
    <row r="432">
      <c r="B432" s="277"/>
      <c r="L432" s="67"/>
      <c r="M432" s="280" t="s">
        <v>2482</v>
      </c>
      <c r="N432" s="234"/>
      <c r="O432" s="281"/>
      <c r="P432" s="233"/>
      <c r="Q432" s="233"/>
      <c r="R432" s="234"/>
      <c r="S432" s="233"/>
      <c r="T432" s="233"/>
      <c r="U432" s="233"/>
      <c r="V432" s="233"/>
      <c r="W432" s="233"/>
      <c r="X432" s="233"/>
      <c r="Y432" s="233"/>
      <c r="Z432" s="233"/>
      <c r="AA432" s="233"/>
      <c r="AB432" s="233"/>
      <c r="AC432" s="233"/>
      <c r="AD432" s="233"/>
      <c r="AE432" s="233"/>
      <c r="AF432" s="233"/>
      <c r="AG432" s="233"/>
      <c r="AH432" s="233"/>
      <c r="AI432" s="233"/>
      <c r="AJ432" s="233"/>
      <c r="AK432" s="233"/>
      <c r="AL432" s="233"/>
    </row>
    <row r="433">
      <c r="B433" s="277"/>
      <c r="L433" s="67"/>
      <c r="M433" s="280" t="s">
        <v>2482</v>
      </c>
      <c r="N433" s="234"/>
      <c r="O433" s="281"/>
      <c r="P433" s="233"/>
      <c r="Q433" s="233"/>
      <c r="R433" s="234"/>
      <c r="S433" s="233"/>
      <c r="T433" s="233"/>
      <c r="U433" s="233"/>
      <c r="V433" s="233"/>
      <c r="W433" s="233"/>
      <c r="X433" s="233"/>
      <c r="Y433" s="233"/>
      <c r="Z433" s="233"/>
      <c r="AA433" s="233"/>
      <c r="AB433" s="233"/>
      <c r="AC433" s="233"/>
      <c r="AD433" s="233"/>
      <c r="AE433" s="233"/>
      <c r="AF433" s="233"/>
      <c r="AG433" s="233"/>
      <c r="AH433" s="233"/>
      <c r="AI433" s="233"/>
      <c r="AJ433" s="233"/>
      <c r="AK433" s="233"/>
      <c r="AL433" s="233"/>
    </row>
    <row r="434">
      <c r="B434" s="277"/>
      <c r="L434" s="67"/>
      <c r="M434" s="280" t="s">
        <v>2482</v>
      </c>
      <c r="N434" s="234"/>
      <c r="O434" s="281"/>
      <c r="P434" s="233"/>
      <c r="Q434" s="233"/>
      <c r="R434" s="234"/>
      <c r="S434" s="233"/>
      <c r="T434" s="233"/>
      <c r="U434" s="233"/>
      <c r="V434" s="233"/>
      <c r="W434" s="233"/>
      <c r="X434" s="233"/>
      <c r="Y434" s="233"/>
      <c r="Z434" s="233"/>
      <c r="AA434" s="233"/>
      <c r="AB434" s="233"/>
      <c r="AC434" s="233"/>
      <c r="AD434" s="233"/>
      <c r="AE434" s="233"/>
      <c r="AF434" s="233"/>
      <c r="AG434" s="233"/>
      <c r="AH434" s="233"/>
      <c r="AI434" s="233"/>
      <c r="AJ434" s="233"/>
      <c r="AK434" s="233"/>
      <c r="AL434" s="233"/>
    </row>
    <row r="435">
      <c r="B435" s="277"/>
      <c r="L435" s="67"/>
      <c r="M435" s="280" t="s">
        <v>2482</v>
      </c>
      <c r="N435" s="234"/>
      <c r="O435" s="281"/>
      <c r="P435" s="233"/>
      <c r="Q435" s="233"/>
      <c r="R435" s="234"/>
      <c r="S435" s="233"/>
      <c r="T435" s="233"/>
      <c r="U435" s="233"/>
      <c r="V435" s="233"/>
      <c r="W435" s="233"/>
      <c r="X435" s="233"/>
      <c r="Y435" s="233"/>
      <c r="Z435" s="233"/>
      <c r="AA435" s="233"/>
      <c r="AB435" s="233"/>
      <c r="AC435" s="233"/>
      <c r="AD435" s="233"/>
      <c r="AE435" s="233"/>
      <c r="AF435" s="233"/>
      <c r="AG435" s="233"/>
      <c r="AH435" s="233"/>
      <c r="AI435" s="233"/>
      <c r="AJ435" s="233"/>
      <c r="AK435" s="233"/>
      <c r="AL435" s="233"/>
    </row>
    <row r="436">
      <c r="B436" s="277"/>
      <c r="L436" s="67"/>
      <c r="M436" s="280" t="s">
        <v>2482</v>
      </c>
      <c r="N436" s="234"/>
      <c r="O436" s="281"/>
      <c r="P436" s="233"/>
      <c r="Q436" s="233"/>
      <c r="R436" s="234"/>
      <c r="S436" s="233"/>
      <c r="T436" s="233"/>
      <c r="U436" s="233"/>
      <c r="V436" s="233"/>
      <c r="W436" s="233"/>
      <c r="X436" s="233"/>
      <c r="Y436" s="233"/>
      <c r="Z436" s="233"/>
      <c r="AA436" s="233"/>
      <c r="AB436" s="233"/>
      <c r="AC436" s="233"/>
      <c r="AD436" s="233"/>
      <c r="AE436" s="233"/>
      <c r="AF436" s="233"/>
      <c r="AG436" s="233"/>
      <c r="AH436" s="233"/>
      <c r="AI436" s="233"/>
      <c r="AJ436" s="233"/>
      <c r="AK436" s="233"/>
      <c r="AL436" s="233"/>
    </row>
    <row r="437">
      <c r="B437" s="277"/>
      <c r="L437" s="67"/>
      <c r="M437" s="280" t="s">
        <v>2482</v>
      </c>
      <c r="N437" s="234"/>
      <c r="O437" s="281"/>
      <c r="P437" s="233"/>
      <c r="Q437" s="233"/>
      <c r="R437" s="234"/>
      <c r="S437" s="233"/>
      <c r="T437" s="233"/>
      <c r="U437" s="233"/>
      <c r="V437" s="233"/>
      <c r="W437" s="233"/>
      <c r="X437" s="233"/>
      <c r="Y437" s="233"/>
      <c r="Z437" s="233"/>
      <c r="AA437" s="233"/>
      <c r="AB437" s="233"/>
      <c r="AC437" s="233"/>
      <c r="AD437" s="233"/>
      <c r="AE437" s="233"/>
      <c r="AF437" s="233"/>
      <c r="AG437" s="233"/>
      <c r="AH437" s="233"/>
      <c r="AI437" s="233"/>
      <c r="AJ437" s="233"/>
      <c r="AK437" s="233"/>
      <c r="AL437" s="233"/>
    </row>
    <row r="438">
      <c r="B438" s="277"/>
      <c r="L438" s="67"/>
      <c r="M438" s="280" t="s">
        <v>2482</v>
      </c>
      <c r="N438" s="234"/>
      <c r="O438" s="281"/>
      <c r="P438" s="233"/>
      <c r="Q438" s="233"/>
      <c r="R438" s="234"/>
      <c r="S438" s="233"/>
      <c r="T438" s="233"/>
      <c r="U438" s="233"/>
      <c r="V438" s="233"/>
      <c r="W438" s="233"/>
      <c r="X438" s="233"/>
      <c r="Y438" s="233"/>
      <c r="Z438" s="233"/>
      <c r="AA438" s="233"/>
      <c r="AB438" s="233"/>
      <c r="AC438" s="233"/>
      <c r="AD438" s="233"/>
      <c r="AE438" s="233"/>
      <c r="AF438" s="233"/>
      <c r="AG438" s="233"/>
      <c r="AH438" s="233"/>
      <c r="AI438" s="233"/>
      <c r="AJ438" s="233"/>
      <c r="AK438" s="233"/>
      <c r="AL438" s="233"/>
    </row>
    <row r="439">
      <c r="B439" s="277"/>
      <c r="L439" s="67"/>
      <c r="M439" s="280" t="s">
        <v>2482</v>
      </c>
      <c r="N439" s="234"/>
      <c r="O439" s="281"/>
      <c r="P439" s="233"/>
      <c r="Q439" s="233"/>
      <c r="R439" s="234"/>
      <c r="S439" s="233"/>
      <c r="T439" s="233"/>
      <c r="U439" s="233"/>
      <c r="V439" s="233"/>
      <c r="W439" s="233"/>
      <c r="X439" s="233"/>
      <c r="Y439" s="233"/>
      <c r="Z439" s="233"/>
      <c r="AA439" s="233"/>
      <c r="AB439" s="233"/>
      <c r="AC439" s="233"/>
      <c r="AD439" s="233"/>
      <c r="AE439" s="233"/>
      <c r="AF439" s="233"/>
      <c r="AG439" s="233"/>
      <c r="AH439" s="233"/>
      <c r="AI439" s="233"/>
      <c r="AJ439" s="233"/>
      <c r="AK439" s="233"/>
      <c r="AL439" s="233"/>
    </row>
    <row r="440">
      <c r="B440" s="277"/>
      <c r="L440" s="67"/>
      <c r="M440" s="280" t="s">
        <v>2482</v>
      </c>
      <c r="N440" s="234"/>
      <c r="O440" s="281"/>
      <c r="P440" s="233"/>
      <c r="Q440" s="233"/>
      <c r="R440" s="234"/>
      <c r="S440" s="233"/>
      <c r="T440" s="233"/>
      <c r="U440" s="233"/>
      <c r="V440" s="233"/>
      <c r="W440" s="233"/>
      <c r="X440" s="233"/>
      <c r="Y440" s="233"/>
      <c r="Z440" s="233"/>
      <c r="AA440" s="233"/>
      <c r="AB440" s="233"/>
      <c r="AC440" s="233"/>
      <c r="AD440" s="233"/>
      <c r="AE440" s="233"/>
      <c r="AF440" s="233"/>
      <c r="AG440" s="233"/>
      <c r="AH440" s="233"/>
      <c r="AI440" s="233"/>
      <c r="AJ440" s="233"/>
      <c r="AK440" s="233"/>
      <c r="AL440" s="233"/>
    </row>
    <row r="441">
      <c r="B441" s="277"/>
      <c r="L441" s="67"/>
      <c r="M441" s="280" t="s">
        <v>2482</v>
      </c>
      <c r="N441" s="234"/>
      <c r="O441" s="281"/>
      <c r="P441" s="233"/>
      <c r="Q441" s="233"/>
      <c r="R441" s="234"/>
      <c r="S441" s="233"/>
      <c r="T441" s="233"/>
      <c r="U441" s="233"/>
      <c r="V441" s="233"/>
      <c r="W441" s="233"/>
      <c r="X441" s="233"/>
      <c r="Y441" s="233"/>
      <c r="Z441" s="233"/>
      <c r="AA441" s="233"/>
      <c r="AB441" s="233"/>
      <c r="AC441" s="233"/>
      <c r="AD441" s="233"/>
      <c r="AE441" s="233"/>
      <c r="AF441" s="233"/>
      <c r="AG441" s="233"/>
      <c r="AH441" s="233"/>
      <c r="AI441" s="233"/>
      <c r="AJ441" s="233"/>
      <c r="AK441" s="233"/>
      <c r="AL441" s="233"/>
    </row>
    <row r="442">
      <c r="B442" s="277"/>
      <c r="L442" s="67"/>
      <c r="M442" s="280" t="s">
        <v>2482</v>
      </c>
      <c r="N442" s="234"/>
      <c r="O442" s="281"/>
      <c r="P442" s="233"/>
      <c r="Q442" s="233"/>
      <c r="R442" s="234"/>
      <c r="S442" s="233"/>
      <c r="T442" s="233"/>
      <c r="U442" s="233"/>
      <c r="V442" s="233"/>
      <c r="W442" s="233"/>
      <c r="X442" s="233"/>
      <c r="Y442" s="233"/>
      <c r="Z442" s="233"/>
      <c r="AA442" s="233"/>
      <c r="AB442" s="233"/>
      <c r="AC442" s="233"/>
      <c r="AD442" s="233"/>
      <c r="AE442" s="233"/>
      <c r="AF442" s="233"/>
      <c r="AG442" s="233"/>
      <c r="AH442" s="233"/>
      <c r="AI442" s="233"/>
      <c r="AJ442" s="233"/>
      <c r="AK442" s="233"/>
      <c r="AL442" s="233"/>
    </row>
    <row r="443">
      <c r="B443" s="277"/>
      <c r="L443" s="67"/>
      <c r="M443" s="280" t="s">
        <v>2482</v>
      </c>
      <c r="N443" s="234"/>
      <c r="O443" s="281"/>
      <c r="P443" s="233"/>
      <c r="Q443" s="233"/>
      <c r="R443" s="234"/>
      <c r="S443" s="233"/>
      <c r="T443" s="233"/>
      <c r="U443" s="233"/>
      <c r="V443" s="233"/>
      <c r="W443" s="233"/>
      <c r="X443" s="233"/>
      <c r="Y443" s="233"/>
      <c r="Z443" s="233"/>
      <c r="AA443" s="233"/>
      <c r="AB443" s="233"/>
      <c r="AC443" s="233"/>
      <c r="AD443" s="233"/>
      <c r="AE443" s="233"/>
      <c r="AF443" s="233"/>
      <c r="AG443" s="233"/>
      <c r="AH443" s="233"/>
      <c r="AI443" s="233"/>
      <c r="AJ443" s="233"/>
      <c r="AK443" s="233"/>
      <c r="AL443" s="233"/>
    </row>
    <row r="444">
      <c r="B444" s="277"/>
      <c r="L444" s="67"/>
      <c r="M444" s="280" t="s">
        <v>2482</v>
      </c>
      <c r="N444" s="234"/>
      <c r="O444" s="281"/>
      <c r="P444" s="233"/>
      <c r="Q444" s="233"/>
      <c r="R444" s="234"/>
      <c r="S444" s="233"/>
      <c r="T444" s="233"/>
      <c r="U444" s="233"/>
      <c r="V444" s="233"/>
      <c r="W444" s="233"/>
      <c r="X444" s="233"/>
      <c r="Y444" s="233"/>
      <c r="Z444" s="233"/>
      <c r="AA444" s="233"/>
      <c r="AB444" s="233"/>
      <c r="AC444" s="233"/>
      <c r="AD444" s="233"/>
      <c r="AE444" s="233"/>
      <c r="AF444" s="233"/>
      <c r="AG444" s="233"/>
      <c r="AH444" s="233"/>
      <c r="AI444" s="233"/>
      <c r="AJ444" s="233"/>
      <c r="AK444" s="233"/>
      <c r="AL444" s="233"/>
    </row>
    <row r="445">
      <c r="B445" s="277"/>
      <c r="L445" s="67"/>
      <c r="M445" s="280" t="s">
        <v>2482</v>
      </c>
      <c r="N445" s="234"/>
      <c r="O445" s="281"/>
      <c r="P445" s="233"/>
      <c r="Q445" s="233"/>
      <c r="R445" s="234"/>
      <c r="S445" s="233"/>
      <c r="T445" s="233"/>
      <c r="U445" s="233"/>
      <c r="V445" s="233"/>
      <c r="W445" s="233"/>
      <c r="X445" s="233"/>
      <c r="Y445" s="233"/>
      <c r="Z445" s="233"/>
      <c r="AA445" s="233"/>
      <c r="AB445" s="233"/>
      <c r="AC445" s="233"/>
      <c r="AD445" s="233"/>
      <c r="AE445" s="233"/>
      <c r="AF445" s="233"/>
      <c r="AG445" s="233"/>
      <c r="AH445" s="233"/>
      <c r="AI445" s="233"/>
      <c r="AJ445" s="233"/>
      <c r="AK445" s="233"/>
      <c r="AL445" s="233"/>
    </row>
    <row r="446">
      <c r="B446" s="277"/>
      <c r="L446" s="67"/>
      <c r="M446" s="280" t="s">
        <v>2482</v>
      </c>
      <c r="N446" s="234"/>
      <c r="O446" s="281"/>
      <c r="P446" s="233"/>
      <c r="Q446" s="233"/>
      <c r="R446" s="234"/>
      <c r="S446" s="233"/>
      <c r="T446" s="233"/>
      <c r="U446" s="233"/>
      <c r="V446" s="233"/>
      <c r="W446" s="233"/>
      <c r="X446" s="233"/>
      <c r="Y446" s="233"/>
      <c r="Z446" s="233"/>
      <c r="AA446" s="233"/>
      <c r="AB446" s="233"/>
      <c r="AC446" s="233"/>
      <c r="AD446" s="233"/>
      <c r="AE446" s="233"/>
      <c r="AF446" s="233"/>
      <c r="AG446" s="233"/>
      <c r="AH446" s="233"/>
      <c r="AI446" s="233"/>
      <c r="AJ446" s="233"/>
      <c r="AK446" s="233"/>
      <c r="AL446" s="233"/>
    </row>
    <row r="447">
      <c r="B447" s="277"/>
      <c r="L447" s="67"/>
      <c r="M447" s="280" t="s">
        <v>2482</v>
      </c>
      <c r="N447" s="234"/>
      <c r="O447" s="281"/>
      <c r="P447" s="233"/>
      <c r="Q447" s="233"/>
      <c r="R447" s="234"/>
      <c r="S447" s="233"/>
      <c r="T447" s="233"/>
      <c r="U447" s="233"/>
      <c r="V447" s="233"/>
      <c r="W447" s="233"/>
      <c r="X447" s="233"/>
      <c r="Y447" s="233"/>
      <c r="Z447" s="233"/>
      <c r="AA447" s="233"/>
      <c r="AB447" s="233"/>
      <c r="AC447" s="233"/>
      <c r="AD447" s="233"/>
      <c r="AE447" s="233"/>
      <c r="AF447" s="233"/>
      <c r="AG447" s="233"/>
      <c r="AH447" s="233"/>
      <c r="AI447" s="233"/>
      <c r="AJ447" s="233"/>
      <c r="AK447" s="233"/>
      <c r="AL447" s="233"/>
    </row>
    <row r="448">
      <c r="B448" s="277"/>
      <c r="L448" s="67"/>
      <c r="M448" s="280" t="s">
        <v>2482</v>
      </c>
      <c r="N448" s="234"/>
      <c r="O448" s="281"/>
      <c r="P448" s="233"/>
      <c r="Q448" s="233"/>
      <c r="R448" s="234"/>
      <c r="S448" s="233"/>
      <c r="T448" s="233"/>
      <c r="U448" s="233"/>
      <c r="V448" s="233"/>
      <c r="W448" s="233"/>
      <c r="X448" s="233"/>
      <c r="Y448" s="233"/>
      <c r="Z448" s="233"/>
      <c r="AA448" s="233"/>
      <c r="AB448" s="233"/>
      <c r="AC448" s="233"/>
      <c r="AD448" s="233"/>
      <c r="AE448" s="233"/>
      <c r="AF448" s="233"/>
      <c r="AG448" s="233"/>
      <c r="AH448" s="233"/>
      <c r="AI448" s="233"/>
      <c r="AJ448" s="233"/>
      <c r="AK448" s="233"/>
      <c r="AL448" s="233"/>
    </row>
    <row r="449">
      <c r="B449" s="277"/>
      <c r="L449" s="67"/>
      <c r="M449" s="280" t="s">
        <v>2482</v>
      </c>
      <c r="N449" s="234"/>
      <c r="O449" s="281"/>
      <c r="P449" s="233"/>
      <c r="Q449" s="233"/>
      <c r="R449" s="234"/>
      <c r="S449" s="233"/>
      <c r="T449" s="233"/>
      <c r="U449" s="233"/>
      <c r="V449" s="233"/>
      <c r="W449" s="233"/>
      <c r="X449" s="233"/>
      <c r="Y449" s="233"/>
      <c r="Z449" s="233"/>
      <c r="AA449" s="233"/>
      <c r="AB449" s="233"/>
      <c r="AC449" s="233"/>
      <c r="AD449" s="233"/>
      <c r="AE449" s="233"/>
      <c r="AF449" s="233"/>
      <c r="AG449" s="233"/>
      <c r="AH449" s="233"/>
      <c r="AI449" s="233"/>
      <c r="AJ449" s="233"/>
      <c r="AK449" s="233"/>
      <c r="AL449" s="233"/>
    </row>
    <row r="450">
      <c r="B450" s="277"/>
      <c r="L450" s="67"/>
      <c r="M450" s="280" t="s">
        <v>2482</v>
      </c>
      <c r="N450" s="234"/>
      <c r="O450" s="281"/>
      <c r="P450" s="233"/>
      <c r="Q450" s="233"/>
      <c r="R450" s="234"/>
      <c r="S450" s="233"/>
      <c r="T450" s="233"/>
      <c r="U450" s="233"/>
      <c r="V450" s="233"/>
      <c r="W450" s="233"/>
      <c r="X450" s="233"/>
      <c r="Y450" s="233"/>
      <c r="Z450" s="233"/>
      <c r="AA450" s="233"/>
      <c r="AB450" s="233"/>
      <c r="AC450" s="233"/>
      <c r="AD450" s="233"/>
      <c r="AE450" s="233"/>
      <c r="AF450" s="233"/>
      <c r="AG450" s="233"/>
      <c r="AH450" s="233"/>
      <c r="AI450" s="233"/>
      <c r="AJ450" s="233"/>
      <c r="AK450" s="233"/>
      <c r="AL450" s="233"/>
    </row>
    <row r="451">
      <c r="B451" s="277"/>
      <c r="L451" s="67"/>
      <c r="M451" s="280" t="s">
        <v>2482</v>
      </c>
      <c r="N451" s="234"/>
      <c r="O451" s="281"/>
      <c r="P451" s="233"/>
      <c r="Q451" s="233"/>
      <c r="R451" s="234"/>
      <c r="S451" s="233"/>
      <c r="T451" s="233"/>
      <c r="U451" s="233"/>
      <c r="V451" s="233"/>
      <c r="W451" s="233"/>
      <c r="X451" s="233"/>
      <c r="Y451" s="233"/>
      <c r="Z451" s="233"/>
      <c r="AA451" s="233"/>
      <c r="AB451" s="233"/>
      <c r="AC451" s="233"/>
      <c r="AD451" s="233"/>
      <c r="AE451" s="233"/>
      <c r="AF451" s="233"/>
      <c r="AG451" s="233"/>
      <c r="AH451" s="233"/>
      <c r="AI451" s="233"/>
      <c r="AJ451" s="233"/>
      <c r="AK451" s="233"/>
      <c r="AL451" s="233"/>
    </row>
    <row r="452">
      <c r="B452" s="277"/>
      <c r="L452" s="67"/>
      <c r="M452" s="280" t="s">
        <v>2482</v>
      </c>
      <c r="N452" s="234"/>
      <c r="O452" s="281"/>
      <c r="P452" s="233"/>
      <c r="Q452" s="233"/>
      <c r="R452" s="234"/>
      <c r="S452" s="233"/>
      <c r="T452" s="233"/>
      <c r="U452" s="233"/>
      <c r="V452" s="233"/>
      <c r="W452" s="233"/>
      <c r="X452" s="233"/>
      <c r="Y452" s="233"/>
      <c r="Z452" s="233"/>
      <c r="AA452" s="233"/>
      <c r="AB452" s="233"/>
      <c r="AC452" s="233"/>
      <c r="AD452" s="233"/>
      <c r="AE452" s="233"/>
      <c r="AF452" s="233"/>
      <c r="AG452" s="233"/>
      <c r="AH452" s="233"/>
      <c r="AI452" s="233"/>
      <c r="AJ452" s="233"/>
      <c r="AK452" s="233"/>
      <c r="AL452" s="233"/>
    </row>
    <row r="453">
      <c r="B453" s="277"/>
      <c r="L453" s="67"/>
      <c r="M453" s="280" t="s">
        <v>2482</v>
      </c>
      <c r="N453" s="234"/>
      <c r="O453" s="281"/>
      <c r="P453" s="233"/>
      <c r="Q453" s="233"/>
      <c r="R453" s="234"/>
      <c r="S453" s="233"/>
      <c r="T453" s="233"/>
      <c r="U453" s="233"/>
      <c r="V453" s="233"/>
      <c r="W453" s="233"/>
      <c r="X453" s="233"/>
      <c r="Y453" s="233"/>
      <c r="Z453" s="233"/>
      <c r="AA453" s="233"/>
      <c r="AB453" s="233"/>
      <c r="AC453" s="233"/>
      <c r="AD453" s="233"/>
      <c r="AE453" s="233"/>
      <c r="AF453" s="233"/>
      <c r="AG453" s="233"/>
      <c r="AH453" s="233"/>
      <c r="AI453" s="233"/>
      <c r="AJ453" s="233"/>
      <c r="AK453" s="233"/>
      <c r="AL453" s="233"/>
    </row>
    <row r="454">
      <c r="B454" s="277"/>
      <c r="L454" s="67"/>
      <c r="M454" s="280" t="s">
        <v>2482</v>
      </c>
      <c r="N454" s="234"/>
      <c r="O454" s="281"/>
      <c r="P454" s="233"/>
      <c r="Q454" s="233"/>
      <c r="R454" s="234"/>
      <c r="S454" s="233"/>
      <c r="T454" s="233"/>
      <c r="U454" s="233"/>
      <c r="V454" s="233"/>
      <c r="W454" s="233"/>
      <c r="X454" s="233"/>
      <c r="Y454" s="233"/>
      <c r="Z454" s="233"/>
      <c r="AA454" s="233"/>
      <c r="AB454" s="233"/>
      <c r="AC454" s="233"/>
      <c r="AD454" s="233"/>
      <c r="AE454" s="233"/>
      <c r="AF454" s="233"/>
      <c r="AG454" s="233"/>
      <c r="AH454" s="233"/>
      <c r="AI454" s="233"/>
      <c r="AJ454" s="233"/>
      <c r="AK454" s="233"/>
      <c r="AL454" s="233"/>
    </row>
    <row r="455">
      <c r="B455" s="277"/>
      <c r="L455" s="67"/>
      <c r="M455" s="280" t="s">
        <v>2482</v>
      </c>
      <c r="N455" s="234"/>
      <c r="O455" s="281"/>
      <c r="P455" s="233"/>
      <c r="Q455" s="233"/>
      <c r="R455" s="234"/>
      <c r="S455" s="233"/>
      <c r="T455" s="233"/>
      <c r="U455" s="233"/>
      <c r="V455" s="233"/>
      <c r="W455" s="233"/>
      <c r="X455" s="233"/>
      <c r="Y455" s="233"/>
      <c r="Z455" s="233"/>
      <c r="AA455" s="233"/>
      <c r="AB455" s="233"/>
      <c r="AC455" s="233"/>
      <c r="AD455" s="233"/>
      <c r="AE455" s="233"/>
      <c r="AF455" s="233"/>
      <c r="AG455" s="233"/>
      <c r="AH455" s="233"/>
      <c r="AI455" s="233"/>
      <c r="AJ455" s="233"/>
      <c r="AK455" s="233"/>
      <c r="AL455" s="233"/>
    </row>
    <row r="456">
      <c r="B456" s="277"/>
      <c r="L456" s="67"/>
      <c r="M456" s="280" t="s">
        <v>2482</v>
      </c>
      <c r="N456" s="234"/>
      <c r="O456" s="281"/>
      <c r="P456" s="233"/>
      <c r="Q456" s="233"/>
      <c r="R456" s="234"/>
      <c r="S456" s="233"/>
      <c r="T456" s="233"/>
      <c r="U456" s="233"/>
      <c r="V456" s="233"/>
      <c r="W456" s="233"/>
      <c r="X456" s="233"/>
      <c r="Y456" s="233"/>
      <c r="Z456" s="233"/>
      <c r="AA456" s="233"/>
      <c r="AB456" s="233"/>
      <c r="AC456" s="233"/>
      <c r="AD456" s="233"/>
      <c r="AE456" s="233"/>
      <c r="AF456" s="233"/>
      <c r="AG456" s="233"/>
      <c r="AH456" s="233"/>
      <c r="AI456" s="233"/>
      <c r="AJ456" s="233"/>
      <c r="AK456" s="233"/>
      <c r="AL456" s="233"/>
    </row>
    <row r="457">
      <c r="B457" s="277"/>
      <c r="L457" s="67"/>
      <c r="M457" s="280" t="s">
        <v>2482</v>
      </c>
      <c r="N457" s="234"/>
      <c r="O457" s="281"/>
      <c r="P457" s="233"/>
      <c r="Q457" s="233"/>
      <c r="R457" s="234"/>
      <c r="S457" s="233"/>
      <c r="T457" s="233"/>
      <c r="U457" s="233"/>
      <c r="V457" s="233"/>
      <c r="W457" s="233"/>
      <c r="X457" s="233"/>
      <c r="Y457" s="233"/>
      <c r="Z457" s="233"/>
      <c r="AA457" s="233"/>
      <c r="AB457" s="233"/>
      <c r="AC457" s="233"/>
      <c r="AD457" s="233"/>
      <c r="AE457" s="233"/>
      <c r="AF457" s="233"/>
      <c r="AG457" s="233"/>
      <c r="AH457" s="233"/>
      <c r="AI457" s="233"/>
      <c r="AJ457" s="233"/>
      <c r="AK457" s="233"/>
      <c r="AL457" s="233"/>
    </row>
    <row r="458">
      <c r="B458" s="277"/>
      <c r="L458" s="67"/>
      <c r="M458" s="280" t="s">
        <v>2482</v>
      </c>
      <c r="N458" s="234"/>
      <c r="O458" s="281"/>
      <c r="P458" s="233"/>
      <c r="Q458" s="233"/>
      <c r="R458" s="234"/>
      <c r="S458" s="233"/>
      <c r="T458" s="233"/>
      <c r="U458" s="233"/>
      <c r="V458" s="233"/>
      <c r="W458" s="233"/>
      <c r="X458" s="233"/>
      <c r="Y458" s="233"/>
      <c r="Z458" s="233"/>
      <c r="AA458" s="233"/>
      <c r="AB458" s="233"/>
      <c r="AC458" s="233"/>
      <c r="AD458" s="233"/>
      <c r="AE458" s="233"/>
      <c r="AF458" s="233"/>
      <c r="AG458" s="233"/>
      <c r="AH458" s="233"/>
      <c r="AI458" s="233"/>
      <c r="AJ458" s="233"/>
      <c r="AK458" s="233"/>
      <c r="AL458" s="233"/>
    </row>
    <row r="459">
      <c r="B459" s="277"/>
      <c r="L459" s="67"/>
      <c r="M459" s="280" t="s">
        <v>2482</v>
      </c>
      <c r="N459" s="234"/>
      <c r="O459" s="281"/>
      <c r="P459" s="233"/>
      <c r="Q459" s="233"/>
      <c r="R459" s="234"/>
      <c r="S459" s="233"/>
      <c r="T459" s="233"/>
      <c r="U459" s="233"/>
      <c r="V459" s="233"/>
      <c r="W459" s="233"/>
      <c r="X459" s="233"/>
      <c r="Y459" s="233"/>
      <c r="Z459" s="233"/>
      <c r="AA459" s="233"/>
      <c r="AB459" s="233"/>
      <c r="AC459" s="233"/>
      <c r="AD459" s="233"/>
      <c r="AE459" s="233"/>
      <c r="AF459" s="233"/>
      <c r="AG459" s="233"/>
      <c r="AH459" s="233"/>
      <c r="AI459" s="233"/>
      <c r="AJ459" s="233"/>
      <c r="AK459" s="233"/>
      <c r="AL459" s="233"/>
    </row>
    <row r="460">
      <c r="B460" s="277"/>
      <c r="L460" s="67"/>
      <c r="M460" s="280" t="s">
        <v>2482</v>
      </c>
      <c r="N460" s="234"/>
      <c r="O460" s="281"/>
      <c r="P460" s="233"/>
      <c r="Q460" s="233"/>
      <c r="R460" s="234"/>
      <c r="S460" s="233"/>
      <c r="T460" s="233"/>
      <c r="U460" s="233"/>
      <c r="V460" s="233"/>
      <c r="W460" s="233"/>
      <c r="X460" s="233"/>
      <c r="Y460" s="233"/>
      <c r="Z460" s="233"/>
      <c r="AA460" s="233"/>
      <c r="AB460" s="233"/>
      <c r="AC460" s="233"/>
      <c r="AD460" s="233"/>
      <c r="AE460" s="233"/>
      <c r="AF460" s="233"/>
      <c r="AG460" s="233"/>
      <c r="AH460" s="233"/>
      <c r="AI460" s="233"/>
      <c r="AJ460" s="233"/>
      <c r="AK460" s="233"/>
      <c r="AL460" s="233"/>
    </row>
    <row r="461">
      <c r="B461" s="277"/>
      <c r="L461" s="67"/>
      <c r="M461" s="280" t="s">
        <v>2482</v>
      </c>
      <c r="N461" s="234"/>
      <c r="O461" s="281"/>
      <c r="P461" s="233"/>
      <c r="Q461" s="233"/>
      <c r="R461" s="234"/>
      <c r="S461" s="233"/>
      <c r="T461" s="233"/>
      <c r="U461" s="233"/>
      <c r="V461" s="233"/>
      <c r="W461" s="233"/>
      <c r="X461" s="233"/>
      <c r="Y461" s="233"/>
      <c r="Z461" s="233"/>
      <c r="AA461" s="233"/>
      <c r="AB461" s="233"/>
      <c r="AC461" s="233"/>
      <c r="AD461" s="233"/>
      <c r="AE461" s="233"/>
      <c r="AF461" s="233"/>
      <c r="AG461" s="233"/>
      <c r="AH461" s="233"/>
      <c r="AI461" s="233"/>
      <c r="AJ461" s="233"/>
      <c r="AK461" s="233"/>
      <c r="AL461" s="233"/>
    </row>
    <row r="462">
      <c r="B462" s="277"/>
      <c r="L462" s="67"/>
      <c r="M462" s="280" t="s">
        <v>2482</v>
      </c>
      <c r="N462" s="234"/>
      <c r="O462" s="281"/>
      <c r="P462" s="233"/>
      <c r="Q462" s="233"/>
      <c r="R462" s="234"/>
      <c r="S462" s="233"/>
      <c r="T462" s="233"/>
      <c r="U462" s="233"/>
      <c r="V462" s="233"/>
      <c r="W462" s="233"/>
      <c r="X462" s="233"/>
      <c r="Y462" s="233"/>
      <c r="Z462" s="233"/>
      <c r="AA462" s="233"/>
      <c r="AB462" s="233"/>
      <c r="AC462" s="233"/>
      <c r="AD462" s="233"/>
      <c r="AE462" s="233"/>
      <c r="AF462" s="233"/>
      <c r="AG462" s="233"/>
      <c r="AH462" s="233"/>
      <c r="AI462" s="233"/>
      <c r="AJ462" s="233"/>
      <c r="AK462" s="233"/>
      <c r="AL462" s="233"/>
    </row>
    <row r="463">
      <c r="B463" s="277"/>
      <c r="L463" s="67"/>
      <c r="M463" s="280" t="s">
        <v>2482</v>
      </c>
      <c r="N463" s="234"/>
      <c r="O463" s="281"/>
      <c r="P463" s="233"/>
      <c r="Q463" s="233"/>
      <c r="R463" s="234"/>
      <c r="S463" s="233"/>
      <c r="T463" s="233"/>
      <c r="U463" s="233"/>
      <c r="V463" s="233"/>
      <c r="W463" s="233"/>
      <c r="X463" s="233"/>
      <c r="Y463" s="233"/>
      <c r="Z463" s="233"/>
      <c r="AA463" s="233"/>
      <c r="AB463" s="233"/>
      <c r="AC463" s="233"/>
      <c r="AD463" s="233"/>
      <c r="AE463" s="233"/>
      <c r="AF463" s="233"/>
      <c r="AG463" s="233"/>
      <c r="AH463" s="233"/>
      <c r="AI463" s="233"/>
      <c r="AJ463" s="233"/>
      <c r="AK463" s="233"/>
      <c r="AL463" s="233"/>
    </row>
    <row r="464">
      <c r="B464" s="277"/>
      <c r="L464" s="67"/>
      <c r="M464" s="280" t="s">
        <v>2482</v>
      </c>
      <c r="N464" s="234"/>
      <c r="O464" s="281"/>
      <c r="P464" s="233"/>
      <c r="Q464" s="233"/>
      <c r="R464" s="234"/>
      <c r="S464" s="233"/>
      <c r="T464" s="233"/>
      <c r="U464" s="233"/>
      <c r="V464" s="233"/>
      <c r="W464" s="233"/>
      <c r="X464" s="233"/>
      <c r="Y464" s="233"/>
      <c r="Z464" s="233"/>
      <c r="AA464" s="233"/>
      <c r="AB464" s="233"/>
      <c r="AC464" s="233"/>
      <c r="AD464" s="233"/>
      <c r="AE464" s="233"/>
      <c r="AF464" s="233"/>
      <c r="AG464" s="233"/>
      <c r="AH464" s="233"/>
      <c r="AI464" s="233"/>
      <c r="AJ464" s="233"/>
      <c r="AK464" s="233"/>
      <c r="AL464" s="233"/>
    </row>
    <row r="465">
      <c r="B465" s="277"/>
      <c r="L465" s="67"/>
      <c r="M465" s="280" t="s">
        <v>2482</v>
      </c>
      <c r="N465" s="234"/>
      <c r="O465" s="281"/>
      <c r="P465" s="233"/>
      <c r="Q465" s="233"/>
      <c r="R465" s="234"/>
      <c r="S465" s="233"/>
      <c r="T465" s="233"/>
      <c r="U465" s="233"/>
      <c r="V465" s="233"/>
      <c r="W465" s="233"/>
      <c r="X465" s="233"/>
      <c r="Y465" s="233"/>
      <c r="Z465" s="233"/>
      <c r="AA465" s="233"/>
      <c r="AB465" s="233"/>
      <c r="AC465" s="233"/>
      <c r="AD465" s="233"/>
      <c r="AE465" s="233"/>
      <c r="AF465" s="233"/>
      <c r="AG465" s="233"/>
      <c r="AH465" s="233"/>
      <c r="AI465" s="233"/>
      <c r="AJ465" s="233"/>
      <c r="AK465" s="233"/>
      <c r="AL465" s="233"/>
    </row>
    <row r="466">
      <c r="B466" s="277"/>
      <c r="L466" s="67"/>
      <c r="M466" s="280" t="s">
        <v>2482</v>
      </c>
      <c r="N466" s="234"/>
      <c r="O466" s="281"/>
      <c r="P466" s="233"/>
      <c r="Q466" s="233"/>
      <c r="R466" s="234"/>
      <c r="S466" s="233"/>
      <c r="T466" s="233"/>
      <c r="U466" s="233"/>
      <c r="V466" s="233"/>
      <c r="W466" s="233"/>
      <c r="X466" s="233"/>
      <c r="Y466" s="233"/>
      <c r="Z466" s="233"/>
      <c r="AA466" s="233"/>
      <c r="AB466" s="233"/>
      <c r="AC466" s="233"/>
      <c r="AD466" s="233"/>
      <c r="AE466" s="233"/>
      <c r="AF466" s="233"/>
      <c r="AG466" s="233"/>
      <c r="AH466" s="233"/>
      <c r="AI466" s="233"/>
      <c r="AJ466" s="233"/>
      <c r="AK466" s="233"/>
      <c r="AL466" s="233"/>
    </row>
    <row r="467">
      <c r="B467" s="277"/>
      <c r="L467" s="67"/>
      <c r="M467" s="280" t="s">
        <v>2482</v>
      </c>
      <c r="N467" s="234"/>
      <c r="O467" s="281"/>
      <c r="P467" s="233"/>
      <c r="Q467" s="233"/>
      <c r="R467" s="234"/>
      <c r="S467" s="233"/>
      <c r="T467" s="233"/>
      <c r="U467" s="233"/>
      <c r="V467" s="233"/>
      <c r="W467" s="233"/>
      <c r="X467" s="233"/>
      <c r="Y467" s="233"/>
      <c r="Z467" s="233"/>
      <c r="AA467" s="233"/>
      <c r="AB467" s="233"/>
      <c r="AC467" s="233"/>
      <c r="AD467" s="233"/>
      <c r="AE467" s="233"/>
      <c r="AF467" s="233"/>
      <c r="AG467" s="233"/>
      <c r="AH467" s="233"/>
      <c r="AI467" s="233"/>
      <c r="AJ467" s="233"/>
      <c r="AK467" s="233"/>
      <c r="AL467" s="233"/>
    </row>
    <row r="468">
      <c r="B468" s="277"/>
      <c r="L468" s="67"/>
      <c r="M468" s="280" t="s">
        <v>2482</v>
      </c>
      <c r="N468" s="234"/>
      <c r="O468" s="281"/>
      <c r="P468" s="233"/>
      <c r="Q468" s="233"/>
      <c r="R468" s="234"/>
      <c r="S468" s="233"/>
      <c r="T468" s="233"/>
      <c r="U468" s="233"/>
      <c r="V468" s="233"/>
      <c r="W468" s="233"/>
      <c r="X468" s="233"/>
      <c r="Y468" s="233"/>
      <c r="Z468" s="233"/>
      <c r="AA468" s="233"/>
      <c r="AB468" s="233"/>
      <c r="AC468" s="233"/>
      <c r="AD468" s="233"/>
      <c r="AE468" s="233"/>
      <c r="AF468" s="233"/>
      <c r="AG468" s="233"/>
      <c r="AH468" s="233"/>
      <c r="AI468" s="233"/>
      <c r="AJ468" s="233"/>
      <c r="AK468" s="233"/>
      <c r="AL468" s="233"/>
    </row>
    <row r="469">
      <c r="B469" s="277"/>
      <c r="L469" s="67"/>
      <c r="M469" s="280" t="s">
        <v>2482</v>
      </c>
      <c r="N469" s="234"/>
      <c r="O469" s="281"/>
      <c r="P469" s="233"/>
      <c r="Q469" s="233"/>
      <c r="R469" s="234"/>
      <c r="S469" s="233"/>
      <c r="T469" s="233"/>
      <c r="U469" s="233"/>
      <c r="V469" s="233"/>
      <c r="W469" s="233"/>
      <c r="X469" s="233"/>
      <c r="Y469" s="233"/>
      <c r="Z469" s="233"/>
      <c r="AA469" s="233"/>
      <c r="AB469" s="233"/>
      <c r="AC469" s="233"/>
      <c r="AD469" s="233"/>
      <c r="AE469" s="233"/>
      <c r="AF469" s="233"/>
      <c r="AG469" s="233"/>
      <c r="AH469" s="233"/>
      <c r="AI469" s="233"/>
      <c r="AJ469" s="233"/>
      <c r="AK469" s="233"/>
      <c r="AL469" s="233"/>
    </row>
    <row r="470">
      <c r="B470" s="277"/>
      <c r="L470" s="67"/>
      <c r="M470" s="280" t="s">
        <v>2482</v>
      </c>
      <c r="N470" s="234"/>
      <c r="O470" s="281"/>
      <c r="P470" s="233"/>
      <c r="Q470" s="233"/>
      <c r="R470" s="234"/>
      <c r="S470" s="233"/>
      <c r="T470" s="233"/>
      <c r="U470" s="233"/>
      <c r="V470" s="233"/>
      <c r="W470" s="233"/>
      <c r="X470" s="233"/>
      <c r="Y470" s="233"/>
      <c r="Z470" s="233"/>
      <c r="AA470" s="233"/>
      <c r="AB470" s="233"/>
      <c r="AC470" s="233"/>
      <c r="AD470" s="233"/>
      <c r="AE470" s="233"/>
      <c r="AF470" s="233"/>
      <c r="AG470" s="233"/>
      <c r="AH470" s="233"/>
      <c r="AI470" s="233"/>
      <c r="AJ470" s="233"/>
      <c r="AK470" s="233"/>
      <c r="AL470" s="233"/>
    </row>
    <row r="471">
      <c r="B471" s="277"/>
      <c r="L471" s="67"/>
      <c r="M471" s="280" t="s">
        <v>2482</v>
      </c>
      <c r="N471" s="234"/>
      <c r="O471" s="281"/>
      <c r="P471" s="233"/>
      <c r="Q471" s="233"/>
      <c r="R471" s="234"/>
      <c r="S471" s="233"/>
      <c r="T471" s="233"/>
      <c r="U471" s="233"/>
      <c r="V471" s="233"/>
      <c r="W471" s="233"/>
      <c r="X471" s="233"/>
      <c r="Y471" s="233"/>
      <c r="Z471" s="233"/>
      <c r="AA471" s="233"/>
      <c r="AB471" s="233"/>
      <c r="AC471" s="233"/>
      <c r="AD471" s="233"/>
      <c r="AE471" s="233"/>
      <c r="AF471" s="233"/>
      <c r="AG471" s="233"/>
      <c r="AH471" s="233"/>
      <c r="AI471" s="233"/>
      <c r="AJ471" s="233"/>
      <c r="AK471" s="233"/>
      <c r="AL471" s="233"/>
    </row>
    <row r="472">
      <c r="B472" s="277"/>
      <c r="L472" s="67"/>
      <c r="M472" s="280" t="s">
        <v>2482</v>
      </c>
      <c r="N472" s="234"/>
      <c r="O472" s="281"/>
      <c r="P472" s="233"/>
      <c r="Q472" s="233"/>
      <c r="R472" s="234"/>
      <c r="S472" s="233"/>
      <c r="T472" s="233"/>
      <c r="U472" s="233"/>
      <c r="V472" s="233"/>
      <c r="W472" s="233"/>
      <c r="X472" s="233"/>
      <c r="Y472" s="233"/>
      <c r="Z472" s="233"/>
      <c r="AA472" s="233"/>
      <c r="AB472" s="233"/>
      <c r="AC472" s="233"/>
      <c r="AD472" s="233"/>
      <c r="AE472" s="233"/>
      <c r="AF472" s="233"/>
      <c r="AG472" s="233"/>
      <c r="AH472" s="233"/>
      <c r="AI472" s="233"/>
      <c r="AJ472" s="233"/>
      <c r="AK472" s="233"/>
      <c r="AL472" s="233"/>
    </row>
    <row r="473">
      <c r="B473" s="277"/>
      <c r="L473" s="67"/>
      <c r="M473" s="280" t="s">
        <v>2482</v>
      </c>
      <c r="N473" s="234"/>
      <c r="O473" s="281"/>
      <c r="P473" s="233"/>
      <c r="Q473" s="233"/>
      <c r="R473" s="234"/>
      <c r="S473" s="233"/>
      <c r="T473" s="233"/>
      <c r="U473" s="233"/>
      <c r="V473" s="233"/>
      <c r="W473" s="233"/>
      <c r="X473" s="233"/>
      <c r="Y473" s="233"/>
      <c r="Z473" s="233"/>
      <c r="AA473" s="233"/>
      <c r="AB473" s="233"/>
      <c r="AC473" s="233"/>
      <c r="AD473" s="233"/>
      <c r="AE473" s="233"/>
      <c r="AF473" s="233"/>
      <c r="AG473" s="233"/>
      <c r="AH473" s="233"/>
      <c r="AI473" s="233"/>
      <c r="AJ473" s="233"/>
      <c r="AK473" s="233"/>
      <c r="AL473" s="233"/>
    </row>
    <row r="474">
      <c r="B474" s="277"/>
      <c r="L474" s="67"/>
      <c r="M474" s="280" t="s">
        <v>2482</v>
      </c>
      <c r="N474" s="234"/>
      <c r="O474" s="281"/>
      <c r="P474" s="233"/>
      <c r="Q474" s="233"/>
      <c r="R474" s="234"/>
      <c r="S474" s="233"/>
      <c r="T474" s="233"/>
      <c r="U474" s="233"/>
      <c r="V474" s="233"/>
      <c r="W474" s="233"/>
      <c r="X474" s="233"/>
      <c r="Y474" s="233"/>
      <c r="Z474" s="233"/>
      <c r="AA474" s="233"/>
      <c r="AB474" s="233"/>
      <c r="AC474" s="233"/>
      <c r="AD474" s="233"/>
      <c r="AE474" s="233"/>
      <c r="AF474" s="233"/>
      <c r="AG474" s="233"/>
      <c r="AH474" s="233"/>
      <c r="AI474" s="233"/>
      <c r="AJ474" s="233"/>
      <c r="AK474" s="233"/>
      <c r="AL474" s="233"/>
    </row>
    <row r="475">
      <c r="B475" s="277"/>
      <c r="L475" s="67"/>
      <c r="M475" s="280" t="s">
        <v>2482</v>
      </c>
      <c r="N475" s="234"/>
      <c r="O475" s="281"/>
      <c r="P475" s="233"/>
      <c r="Q475" s="233"/>
      <c r="R475" s="234"/>
      <c r="S475" s="233"/>
      <c r="T475" s="233"/>
      <c r="U475" s="233"/>
      <c r="V475" s="233"/>
      <c r="W475" s="233"/>
      <c r="X475" s="233"/>
      <c r="Y475" s="233"/>
      <c r="Z475" s="233"/>
      <c r="AA475" s="233"/>
      <c r="AB475" s="233"/>
      <c r="AC475" s="233"/>
      <c r="AD475" s="233"/>
      <c r="AE475" s="233"/>
      <c r="AF475" s="233"/>
      <c r="AG475" s="233"/>
      <c r="AH475" s="233"/>
      <c r="AI475" s="233"/>
      <c r="AJ475" s="233"/>
      <c r="AK475" s="233"/>
      <c r="AL475" s="233"/>
    </row>
    <row r="476">
      <c r="B476" s="277"/>
      <c r="L476" s="67"/>
      <c r="M476" s="280" t="s">
        <v>2482</v>
      </c>
      <c r="N476" s="234"/>
      <c r="O476" s="281"/>
      <c r="P476" s="233"/>
      <c r="Q476" s="233"/>
      <c r="R476" s="234"/>
      <c r="S476" s="233"/>
      <c r="T476" s="233"/>
      <c r="U476" s="233"/>
      <c r="V476" s="233"/>
      <c r="W476" s="233"/>
      <c r="X476" s="233"/>
      <c r="Y476" s="233"/>
      <c r="Z476" s="233"/>
      <c r="AA476" s="233"/>
      <c r="AB476" s="233"/>
      <c r="AC476" s="233"/>
      <c r="AD476" s="233"/>
      <c r="AE476" s="233"/>
      <c r="AF476" s="233"/>
      <c r="AG476" s="233"/>
      <c r="AH476" s="233"/>
      <c r="AI476" s="233"/>
      <c r="AJ476" s="233"/>
      <c r="AK476" s="233"/>
      <c r="AL476" s="233"/>
    </row>
    <row r="477">
      <c r="B477" s="277"/>
      <c r="L477" s="67"/>
      <c r="M477" s="280" t="s">
        <v>2482</v>
      </c>
      <c r="N477" s="234"/>
      <c r="O477" s="281"/>
      <c r="P477" s="233"/>
      <c r="Q477" s="233"/>
      <c r="R477" s="234"/>
      <c r="S477" s="233"/>
      <c r="T477" s="233"/>
      <c r="U477" s="233"/>
      <c r="V477" s="233"/>
      <c r="W477" s="233"/>
      <c r="X477" s="233"/>
      <c r="Y477" s="233"/>
      <c r="Z477" s="233"/>
      <c r="AA477" s="233"/>
      <c r="AB477" s="233"/>
      <c r="AC477" s="233"/>
      <c r="AD477" s="233"/>
      <c r="AE477" s="233"/>
      <c r="AF477" s="233"/>
      <c r="AG477" s="233"/>
      <c r="AH477" s="233"/>
      <c r="AI477" s="233"/>
      <c r="AJ477" s="233"/>
      <c r="AK477" s="233"/>
      <c r="AL477" s="233"/>
    </row>
    <row r="478">
      <c r="B478" s="277"/>
      <c r="L478" s="67"/>
      <c r="M478" s="280" t="s">
        <v>2482</v>
      </c>
      <c r="N478" s="234"/>
      <c r="O478" s="281"/>
      <c r="P478" s="233"/>
      <c r="Q478" s="233"/>
      <c r="R478" s="234"/>
      <c r="S478" s="233"/>
      <c r="T478" s="233"/>
      <c r="U478" s="233"/>
      <c r="V478" s="233"/>
      <c r="W478" s="233"/>
      <c r="X478" s="233"/>
      <c r="Y478" s="233"/>
      <c r="Z478" s="233"/>
      <c r="AA478" s="233"/>
      <c r="AB478" s="233"/>
      <c r="AC478" s="233"/>
      <c r="AD478" s="233"/>
      <c r="AE478" s="233"/>
      <c r="AF478" s="233"/>
      <c r="AG478" s="233"/>
      <c r="AH478" s="233"/>
      <c r="AI478" s="233"/>
      <c r="AJ478" s="233"/>
      <c r="AK478" s="233"/>
      <c r="AL478" s="233"/>
    </row>
    <row r="479">
      <c r="B479" s="277"/>
      <c r="L479" s="67"/>
      <c r="M479" s="280" t="s">
        <v>2482</v>
      </c>
      <c r="N479" s="234"/>
      <c r="O479" s="281"/>
      <c r="P479" s="233"/>
      <c r="Q479" s="233"/>
      <c r="R479" s="234"/>
      <c r="S479" s="233"/>
      <c r="T479" s="233"/>
      <c r="U479" s="233"/>
      <c r="V479" s="233"/>
      <c r="W479" s="233"/>
      <c r="X479" s="233"/>
      <c r="Y479" s="233"/>
      <c r="Z479" s="233"/>
      <c r="AA479" s="233"/>
      <c r="AB479" s="233"/>
      <c r="AC479" s="233"/>
      <c r="AD479" s="233"/>
      <c r="AE479" s="233"/>
      <c r="AF479" s="233"/>
      <c r="AG479" s="233"/>
      <c r="AH479" s="233"/>
      <c r="AI479" s="233"/>
      <c r="AJ479" s="233"/>
      <c r="AK479" s="233"/>
      <c r="AL479" s="233"/>
    </row>
    <row r="480">
      <c r="B480" s="277"/>
      <c r="L480" s="67"/>
      <c r="M480" s="280" t="s">
        <v>2482</v>
      </c>
      <c r="N480" s="234"/>
      <c r="O480" s="281"/>
      <c r="P480" s="233"/>
      <c r="Q480" s="233"/>
      <c r="R480" s="234"/>
      <c r="S480" s="233"/>
      <c r="T480" s="233"/>
      <c r="U480" s="233"/>
      <c r="V480" s="233"/>
      <c r="W480" s="233"/>
      <c r="X480" s="233"/>
      <c r="Y480" s="233"/>
      <c r="Z480" s="233"/>
      <c r="AA480" s="233"/>
      <c r="AB480" s="233"/>
      <c r="AC480" s="233"/>
      <c r="AD480" s="233"/>
      <c r="AE480" s="233"/>
      <c r="AF480" s="233"/>
      <c r="AG480" s="233"/>
      <c r="AH480" s="233"/>
      <c r="AI480" s="233"/>
      <c r="AJ480" s="233"/>
      <c r="AK480" s="233"/>
      <c r="AL480" s="233"/>
    </row>
    <row r="481">
      <c r="B481" s="277"/>
      <c r="L481" s="67"/>
      <c r="M481" s="280" t="s">
        <v>2482</v>
      </c>
      <c r="N481" s="234"/>
      <c r="O481" s="281"/>
      <c r="P481" s="233"/>
      <c r="Q481" s="233"/>
      <c r="R481" s="234"/>
      <c r="S481" s="233"/>
      <c r="T481" s="233"/>
      <c r="U481" s="233"/>
      <c r="V481" s="233"/>
      <c r="W481" s="233"/>
      <c r="X481" s="233"/>
      <c r="Y481" s="233"/>
      <c r="Z481" s="233"/>
      <c r="AA481" s="233"/>
      <c r="AB481" s="233"/>
      <c r="AC481" s="233"/>
      <c r="AD481" s="233"/>
      <c r="AE481" s="233"/>
      <c r="AF481" s="233"/>
      <c r="AG481" s="233"/>
      <c r="AH481" s="233"/>
      <c r="AI481" s="233"/>
      <c r="AJ481" s="233"/>
      <c r="AK481" s="233"/>
      <c r="AL481" s="233"/>
    </row>
    <row r="482">
      <c r="B482" s="277"/>
      <c r="L482" s="67"/>
      <c r="M482" s="280" t="s">
        <v>2482</v>
      </c>
      <c r="N482" s="234"/>
      <c r="O482" s="281"/>
      <c r="P482" s="233"/>
      <c r="Q482" s="233"/>
      <c r="R482" s="234"/>
      <c r="S482" s="233"/>
      <c r="T482" s="233"/>
      <c r="U482" s="233"/>
      <c r="V482" s="233"/>
      <c r="W482" s="233"/>
      <c r="X482" s="233"/>
      <c r="Y482" s="233"/>
      <c r="Z482" s="233"/>
      <c r="AA482" s="233"/>
      <c r="AB482" s="233"/>
      <c r="AC482" s="233"/>
      <c r="AD482" s="233"/>
      <c r="AE482" s="233"/>
      <c r="AF482" s="233"/>
      <c r="AG482" s="233"/>
      <c r="AH482" s="233"/>
      <c r="AI482" s="233"/>
      <c r="AJ482" s="233"/>
      <c r="AK482" s="233"/>
      <c r="AL482" s="233"/>
    </row>
    <row r="483">
      <c r="B483" s="277"/>
      <c r="L483" s="67"/>
      <c r="M483" s="280" t="s">
        <v>2482</v>
      </c>
      <c r="N483" s="234"/>
      <c r="O483" s="281"/>
      <c r="P483" s="233"/>
      <c r="Q483" s="233"/>
      <c r="R483" s="234"/>
      <c r="S483" s="233"/>
      <c r="T483" s="233"/>
      <c r="U483" s="233"/>
      <c r="V483" s="233"/>
      <c r="W483" s="233"/>
      <c r="X483" s="233"/>
      <c r="Y483" s="233"/>
      <c r="Z483" s="233"/>
      <c r="AA483" s="233"/>
      <c r="AB483" s="233"/>
      <c r="AC483" s="233"/>
      <c r="AD483" s="233"/>
      <c r="AE483" s="233"/>
      <c r="AF483" s="233"/>
      <c r="AG483" s="233"/>
      <c r="AH483" s="233"/>
      <c r="AI483" s="233"/>
      <c r="AJ483" s="233"/>
      <c r="AK483" s="233"/>
      <c r="AL483" s="233"/>
    </row>
    <row r="484">
      <c r="B484" s="277"/>
      <c r="L484" s="67"/>
      <c r="M484" s="280" t="s">
        <v>2482</v>
      </c>
      <c r="N484" s="234"/>
      <c r="O484" s="281"/>
      <c r="P484" s="233"/>
      <c r="Q484" s="233"/>
      <c r="R484" s="234"/>
      <c r="S484" s="233"/>
      <c r="T484" s="233"/>
      <c r="U484" s="233"/>
      <c r="V484" s="233"/>
      <c r="W484" s="233"/>
      <c r="X484" s="233"/>
      <c r="Y484" s="233"/>
      <c r="Z484" s="233"/>
      <c r="AA484" s="233"/>
      <c r="AB484" s="233"/>
      <c r="AC484" s="233"/>
      <c r="AD484" s="233"/>
      <c r="AE484" s="233"/>
      <c r="AF484" s="233"/>
      <c r="AG484" s="233"/>
      <c r="AH484" s="233"/>
      <c r="AI484" s="233"/>
      <c r="AJ484" s="233"/>
      <c r="AK484" s="233"/>
      <c r="AL484" s="233"/>
    </row>
    <row r="485">
      <c r="B485" s="277"/>
      <c r="L485" s="67"/>
      <c r="M485" s="280" t="s">
        <v>2482</v>
      </c>
      <c r="N485" s="234"/>
      <c r="O485" s="281"/>
      <c r="P485" s="233"/>
      <c r="Q485" s="233"/>
      <c r="R485" s="234"/>
      <c r="S485" s="233"/>
      <c r="T485" s="233"/>
      <c r="U485" s="233"/>
      <c r="V485" s="233"/>
      <c r="W485" s="233"/>
      <c r="X485" s="233"/>
      <c r="Y485" s="233"/>
      <c r="Z485" s="233"/>
      <c r="AA485" s="233"/>
      <c r="AB485" s="233"/>
      <c r="AC485" s="233"/>
      <c r="AD485" s="233"/>
      <c r="AE485" s="233"/>
      <c r="AF485" s="233"/>
      <c r="AG485" s="233"/>
      <c r="AH485" s="233"/>
      <c r="AI485" s="233"/>
      <c r="AJ485" s="233"/>
      <c r="AK485" s="233"/>
      <c r="AL485" s="233"/>
    </row>
    <row r="486">
      <c r="B486" s="277"/>
      <c r="L486" s="67"/>
      <c r="M486" s="280" t="s">
        <v>2482</v>
      </c>
      <c r="N486" s="234"/>
      <c r="O486" s="281"/>
      <c r="P486" s="233"/>
      <c r="Q486" s="233"/>
      <c r="R486" s="234"/>
      <c r="S486" s="233"/>
      <c r="T486" s="233"/>
      <c r="U486" s="233"/>
      <c r="V486" s="233"/>
      <c r="W486" s="233"/>
      <c r="X486" s="233"/>
      <c r="Y486" s="233"/>
      <c r="Z486" s="233"/>
      <c r="AA486" s="233"/>
      <c r="AB486" s="233"/>
      <c r="AC486" s="233"/>
      <c r="AD486" s="233"/>
      <c r="AE486" s="233"/>
      <c r="AF486" s="233"/>
      <c r="AG486" s="233"/>
      <c r="AH486" s="233"/>
      <c r="AI486" s="233"/>
      <c r="AJ486" s="233"/>
      <c r="AK486" s="233"/>
      <c r="AL486" s="233"/>
    </row>
    <row r="487">
      <c r="B487" s="277"/>
      <c r="L487" s="67"/>
      <c r="M487" s="280" t="s">
        <v>2482</v>
      </c>
      <c r="N487" s="234"/>
      <c r="O487" s="281"/>
      <c r="P487" s="233"/>
      <c r="Q487" s="233"/>
      <c r="R487" s="234"/>
      <c r="S487" s="233"/>
      <c r="T487" s="233"/>
      <c r="U487" s="233"/>
      <c r="V487" s="233"/>
      <c r="W487" s="233"/>
      <c r="X487" s="233"/>
      <c r="Y487" s="233"/>
      <c r="Z487" s="233"/>
      <c r="AA487" s="233"/>
      <c r="AB487" s="233"/>
      <c r="AC487" s="233"/>
      <c r="AD487" s="233"/>
      <c r="AE487" s="233"/>
      <c r="AF487" s="233"/>
      <c r="AG487" s="233"/>
      <c r="AH487" s="233"/>
      <c r="AI487" s="233"/>
      <c r="AJ487" s="233"/>
      <c r="AK487" s="233"/>
      <c r="AL487" s="233"/>
    </row>
    <row r="488">
      <c r="B488" s="277"/>
      <c r="L488" s="67"/>
      <c r="M488" s="280" t="s">
        <v>2482</v>
      </c>
      <c r="N488" s="234"/>
      <c r="O488" s="281"/>
      <c r="P488" s="233"/>
      <c r="Q488" s="233"/>
      <c r="R488" s="234"/>
      <c r="S488" s="233"/>
      <c r="T488" s="233"/>
      <c r="U488" s="233"/>
      <c r="V488" s="233"/>
      <c r="W488" s="233"/>
      <c r="X488" s="233"/>
      <c r="Y488" s="233"/>
      <c r="Z488" s="233"/>
      <c r="AA488" s="233"/>
      <c r="AB488" s="233"/>
      <c r="AC488" s="233"/>
      <c r="AD488" s="233"/>
      <c r="AE488" s="233"/>
      <c r="AF488" s="233"/>
      <c r="AG488" s="233"/>
      <c r="AH488" s="233"/>
      <c r="AI488" s="233"/>
      <c r="AJ488" s="233"/>
      <c r="AK488" s="233"/>
      <c r="AL488" s="233"/>
    </row>
    <row r="489">
      <c r="B489" s="277"/>
      <c r="L489" s="67"/>
      <c r="M489" s="280" t="s">
        <v>2482</v>
      </c>
      <c r="N489" s="234"/>
      <c r="O489" s="281"/>
      <c r="P489" s="233"/>
      <c r="Q489" s="233"/>
      <c r="R489" s="234"/>
      <c r="S489" s="233"/>
      <c r="T489" s="233"/>
      <c r="U489" s="233"/>
      <c r="V489" s="233"/>
      <c r="W489" s="233"/>
      <c r="X489" s="233"/>
      <c r="Y489" s="233"/>
      <c r="Z489" s="233"/>
      <c r="AA489" s="233"/>
      <c r="AB489" s="233"/>
      <c r="AC489" s="233"/>
      <c r="AD489" s="233"/>
      <c r="AE489" s="233"/>
      <c r="AF489" s="233"/>
      <c r="AG489" s="233"/>
      <c r="AH489" s="233"/>
      <c r="AI489" s="233"/>
      <c r="AJ489" s="233"/>
      <c r="AK489" s="233"/>
      <c r="AL489" s="233"/>
    </row>
    <row r="490">
      <c r="B490" s="277"/>
      <c r="L490" s="67"/>
      <c r="M490" s="280" t="s">
        <v>2482</v>
      </c>
      <c r="N490" s="234"/>
      <c r="O490" s="281"/>
      <c r="P490" s="233"/>
      <c r="Q490" s="233"/>
      <c r="R490" s="234"/>
      <c r="S490" s="233"/>
      <c r="T490" s="233"/>
      <c r="U490" s="233"/>
      <c r="V490" s="233"/>
      <c r="W490" s="233"/>
      <c r="X490" s="233"/>
      <c r="Y490" s="233"/>
      <c r="Z490" s="233"/>
      <c r="AA490" s="233"/>
      <c r="AB490" s="233"/>
      <c r="AC490" s="233"/>
      <c r="AD490" s="233"/>
      <c r="AE490" s="233"/>
      <c r="AF490" s="233"/>
      <c r="AG490" s="233"/>
      <c r="AH490" s="233"/>
      <c r="AI490" s="233"/>
      <c r="AJ490" s="233"/>
      <c r="AK490" s="233"/>
      <c r="AL490" s="233"/>
    </row>
    <row r="491">
      <c r="B491" s="277"/>
      <c r="L491" s="67"/>
      <c r="M491" s="280" t="s">
        <v>2482</v>
      </c>
      <c r="N491" s="234"/>
      <c r="O491" s="281"/>
      <c r="P491" s="233"/>
      <c r="Q491" s="233"/>
      <c r="R491" s="234"/>
      <c r="S491" s="233"/>
      <c r="T491" s="233"/>
      <c r="U491" s="233"/>
      <c r="V491" s="233"/>
      <c r="W491" s="233"/>
      <c r="X491" s="233"/>
      <c r="Y491" s="233"/>
      <c r="Z491" s="233"/>
      <c r="AA491" s="233"/>
      <c r="AB491" s="233"/>
      <c r="AC491" s="233"/>
      <c r="AD491" s="233"/>
      <c r="AE491" s="233"/>
      <c r="AF491" s="233"/>
      <c r="AG491" s="233"/>
      <c r="AH491" s="233"/>
      <c r="AI491" s="233"/>
      <c r="AJ491" s="233"/>
      <c r="AK491" s="233"/>
      <c r="AL491" s="233"/>
    </row>
    <row r="492">
      <c r="B492" s="277"/>
      <c r="L492" s="67"/>
      <c r="M492" s="280" t="s">
        <v>2482</v>
      </c>
      <c r="N492" s="234"/>
      <c r="O492" s="281"/>
      <c r="P492" s="233"/>
      <c r="Q492" s="233"/>
      <c r="R492" s="234"/>
      <c r="S492" s="233"/>
      <c r="T492" s="233"/>
      <c r="U492" s="233"/>
      <c r="V492" s="233"/>
      <c r="W492" s="233"/>
      <c r="X492" s="233"/>
      <c r="Y492" s="233"/>
      <c r="Z492" s="233"/>
      <c r="AA492" s="233"/>
      <c r="AB492" s="233"/>
      <c r="AC492" s="233"/>
      <c r="AD492" s="233"/>
      <c r="AE492" s="233"/>
      <c r="AF492" s="233"/>
      <c r="AG492" s="233"/>
      <c r="AH492" s="233"/>
      <c r="AI492" s="233"/>
      <c r="AJ492" s="233"/>
      <c r="AK492" s="233"/>
      <c r="AL492" s="233"/>
    </row>
    <row r="493">
      <c r="B493" s="277"/>
      <c r="L493" s="67"/>
      <c r="M493" s="280" t="s">
        <v>2482</v>
      </c>
      <c r="N493" s="234"/>
      <c r="O493" s="281"/>
      <c r="P493" s="233"/>
      <c r="Q493" s="233"/>
      <c r="R493" s="234"/>
      <c r="S493" s="233"/>
      <c r="T493" s="233"/>
      <c r="U493" s="233"/>
      <c r="V493" s="233"/>
      <c r="W493" s="233"/>
      <c r="X493" s="233"/>
      <c r="Y493" s="233"/>
      <c r="Z493" s="233"/>
      <c r="AA493" s="233"/>
      <c r="AB493" s="233"/>
      <c r="AC493" s="233"/>
      <c r="AD493" s="233"/>
      <c r="AE493" s="233"/>
      <c r="AF493" s="233"/>
      <c r="AG493" s="233"/>
      <c r="AH493" s="233"/>
      <c r="AI493" s="233"/>
      <c r="AJ493" s="233"/>
      <c r="AK493" s="233"/>
      <c r="AL493" s="233"/>
    </row>
    <row r="494">
      <c r="B494" s="277"/>
      <c r="L494" s="67"/>
      <c r="M494" s="280" t="s">
        <v>2482</v>
      </c>
      <c r="N494" s="234"/>
      <c r="O494" s="281"/>
      <c r="P494" s="233"/>
      <c r="Q494" s="233"/>
      <c r="R494" s="234"/>
      <c r="S494" s="233"/>
      <c r="T494" s="233"/>
      <c r="U494" s="233"/>
      <c r="V494" s="233"/>
      <c r="W494" s="233"/>
      <c r="X494" s="233"/>
      <c r="Y494" s="233"/>
      <c r="Z494" s="233"/>
      <c r="AA494" s="233"/>
      <c r="AB494" s="233"/>
      <c r="AC494" s="233"/>
      <c r="AD494" s="233"/>
      <c r="AE494" s="233"/>
      <c r="AF494" s="233"/>
      <c r="AG494" s="233"/>
      <c r="AH494" s="233"/>
      <c r="AI494" s="233"/>
      <c r="AJ494" s="233"/>
      <c r="AK494" s="233"/>
      <c r="AL494" s="233"/>
    </row>
    <row r="495">
      <c r="B495" s="277"/>
      <c r="L495" s="67"/>
      <c r="M495" s="280" t="s">
        <v>2482</v>
      </c>
      <c r="N495" s="234"/>
      <c r="O495" s="281"/>
      <c r="P495" s="233"/>
      <c r="Q495" s="233"/>
      <c r="R495" s="234"/>
      <c r="S495" s="233"/>
      <c r="T495" s="233"/>
      <c r="U495" s="233"/>
      <c r="V495" s="233"/>
      <c r="W495" s="233"/>
      <c r="X495" s="233"/>
      <c r="Y495" s="233"/>
      <c r="Z495" s="233"/>
      <c r="AA495" s="233"/>
      <c r="AB495" s="233"/>
      <c r="AC495" s="233"/>
      <c r="AD495" s="233"/>
      <c r="AE495" s="233"/>
      <c r="AF495" s="233"/>
      <c r="AG495" s="233"/>
      <c r="AH495" s="233"/>
      <c r="AI495" s="233"/>
      <c r="AJ495" s="233"/>
      <c r="AK495" s="233"/>
      <c r="AL495" s="233"/>
    </row>
    <row r="496">
      <c r="B496" s="277"/>
      <c r="L496" s="67"/>
      <c r="M496" s="280" t="s">
        <v>2482</v>
      </c>
      <c r="N496" s="234"/>
      <c r="O496" s="281"/>
      <c r="P496" s="233"/>
      <c r="Q496" s="233"/>
      <c r="R496" s="234"/>
      <c r="S496" s="233"/>
      <c r="T496" s="233"/>
      <c r="U496" s="233"/>
      <c r="V496" s="233"/>
      <c r="W496" s="233"/>
      <c r="X496" s="233"/>
      <c r="Y496" s="233"/>
      <c r="Z496" s="233"/>
      <c r="AA496" s="233"/>
      <c r="AB496" s="233"/>
      <c r="AC496" s="233"/>
      <c r="AD496" s="233"/>
      <c r="AE496" s="233"/>
      <c r="AF496" s="233"/>
      <c r="AG496" s="233"/>
      <c r="AH496" s="233"/>
      <c r="AI496" s="233"/>
      <c r="AJ496" s="233"/>
      <c r="AK496" s="233"/>
      <c r="AL496" s="233"/>
    </row>
    <row r="497">
      <c r="B497" s="277"/>
      <c r="L497" s="67"/>
      <c r="M497" s="280" t="s">
        <v>2482</v>
      </c>
      <c r="N497" s="234"/>
      <c r="O497" s="281"/>
      <c r="P497" s="233"/>
      <c r="Q497" s="233"/>
      <c r="R497" s="234"/>
      <c r="S497" s="233"/>
      <c r="T497" s="233"/>
      <c r="U497" s="233"/>
      <c r="V497" s="233"/>
      <c r="W497" s="233"/>
      <c r="X497" s="233"/>
      <c r="Y497" s="233"/>
      <c r="Z497" s="233"/>
      <c r="AA497" s="233"/>
      <c r="AB497" s="233"/>
      <c r="AC497" s="233"/>
      <c r="AD497" s="233"/>
      <c r="AE497" s="233"/>
      <c r="AF497" s="233"/>
      <c r="AG497" s="233"/>
      <c r="AH497" s="233"/>
      <c r="AI497" s="233"/>
      <c r="AJ497" s="233"/>
      <c r="AK497" s="233"/>
      <c r="AL497" s="233"/>
    </row>
    <row r="498">
      <c r="B498" s="277"/>
      <c r="L498" s="67"/>
      <c r="M498" s="280" t="s">
        <v>2482</v>
      </c>
      <c r="N498" s="234"/>
      <c r="O498" s="281"/>
      <c r="P498" s="233"/>
      <c r="Q498" s="233"/>
      <c r="R498" s="234"/>
      <c r="S498" s="233"/>
      <c r="T498" s="233"/>
      <c r="U498" s="233"/>
      <c r="V498" s="233"/>
      <c r="W498" s="233"/>
      <c r="X498" s="233"/>
      <c r="Y498" s="233"/>
      <c r="Z498" s="233"/>
      <c r="AA498" s="233"/>
      <c r="AB498" s="233"/>
      <c r="AC498" s="233"/>
      <c r="AD498" s="233"/>
      <c r="AE498" s="233"/>
      <c r="AF498" s="233"/>
      <c r="AG498" s="233"/>
      <c r="AH498" s="233"/>
      <c r="AI498" s="233"/>
      <c r="AJ498" s="233"/>
      <c r="AK498" s="233"/>
      <c r="AL498" s="233"/>
    </row>
    <row r="499">
      <c r="B499" s="277"/>
      <c r="L499" s="67"/>
      <c r="M499" s="280" t="s">
        <v>2482</v>
      </c>
      <c r="N499" s="234"/>
      <c r="O499" s="281"/>
      <c r="P499" s="233"/>
      <c r="Q499" s="233"/>
      <c r="R499" s="234"/>
      <c r="S499" s="233"/>
      <c r="T499" s="233"/>
      <c r="U499" s="233"/>
      <c r="V499" s="233"/>
      <c r="W499" s="233"/>
      <c r="X499" s="233"/>
      <c r="Y499" s="233"/>
      <c r="Z499" s="233"/>
      <c r="AA499" s="233"/>
      <c r="AB499" s="233"/>
      <c r="AC499" s="233"/>
      <c r="AD499" s="233"/>
      <c r="AE499" s="233"/>
      <c r="AF499" s="233"/>
      <c r="AG499" s="233"/>
      <c r="AH499" s="233"/>
      <c r="AI499" s="233"/>
      <c r="AJ499" s="233"/>
      <c r="AK499" s="233"/>
      <c r="AL499" s="233"/>
    </row>
    <row r="500">
      <c r="B500" s="277"/>
      <c r="L500" s="67"/>
      <c r="M500" s="280" t="s">
        <v>2482</v>
      </c>
      <c r="N500" s="234"/>
      <c r="O500" s="281"/>
      <c r="P500" s="233"/>
      <c r="Q500" s="233"/>
      <c r="R500" s="234"/>
      <c r="S500" s="233"/>
      <c r="T500" s="233"/>
      <c r="U500" s="233"/>
      <c r="V500" s="233"/>
      <c r="W500" s="233"/>
      <c r="X500" s="233"/>
      <c r="Y500" s="233"/>
      <c r="Z500" s="233"/>
      <c r="AA500" s="233"/>
      <c r="AB500" s="233"/>
      <c r="AC500" s="233"/>
      <c r="AD500" s="233"/>
      <c r="AE500" s="233"/>
      <c r="AF500" s="233"/>
      <c r="AG500" s="233"/>
      <c r="AH500" s="233"/>
      <c r="AI500" s="233"/>
      <c r="AJ500" s="233"/>
      <c r="AK500" s="233"/>
      <c r="AL500" s="233"/>
    </row>
    <row r="501">
      <c r="B501" s="277"/>
      <c r="L501" s="67"/>
      <c r="M501" s="280" t="s">
        <v>2482</v>
      </c>
      <c r="N501" s="234"/>
      <c r="O501" s="281"/>
      <c r="P501" s="233"/>
      <c r="Q501" s="233"/>
      <c r="R501" s="234"/>
      <c r="S501" s="233"/>
      <c r="T501" s="233"/>
      <c r="U501" s="233"/>
      <c r="V501" s="233"/>
      <c r="W501" s="233"/>
      <c r="X501" s="233"/>
      <c r="Y501" s="233"/>
      <c r="Z501" s="233"/>
      <c r="AA501" s="233"/>
      <c r="AB501" s="233"/>
      <c r="AC501" s="233"/>
      <c r="AD501" s="233"/>
      <c r="AE501" s="233"/>
      <c r="AF501" s="233"/>
      <c r="AG501" s="233"/>
      <c r="AH501" s="233"/>
      <c r="AI501" s="233"/>
      <c r="AJ501" s="233"/>
      <c r="AK501" s="233"/>
      <c r="AL501" s="233"/>
    </row>
    <row r="502">
      <c r="B502" s="277"/>
      <c r="L502" s="67"/>
      <c r="M502" s="280" t="s">
        <v>2482</v>
      </c>
      <c r="N502" s="234"/>
      <c r="O502" s="281"/>
      <c r="P502" s="233"/>
      <c r="Q502" s="233"/>
      <c r="R502" s="234"/>
      <c r="S502" s="233"/>
      <c r="T502" s="233"/>
      <c r="U502" s="233"/>
      <c r="V502" s="233"/>
      <c r="W502" s="233"/>
      <c r="X502" s="233"/>
      <c r="Y502" s="233"/>
      <c r="Z502" s="233"/>
      <c r="AA502" s="233"/>
      <c r="AB502" s="233"/>
      <c r="AC502" s="233"/>
      <c r="AD502" s="233"/>
      <c r="AE502" s="233"/>
      <c r="AF502" s="233"/>
      <c r="AG502" s="233"/>
      <c r="AH502" s="233"/>
      <c r="AI502" s="233"/>
      <c r="AJ502" s="233"/>
      <c r="AK502" s="233"/>
      <c r="AL502" s="233"/>
    </row>
    <row r="503">
      <c r="B503" s="277"/>
      <c r="L503" s="67"/>
      <c r="M503" s="280" t="s">
        <v>2482</v>
      </c>
      <c r="N503" s="234"/>
      <c r="O503" s="281"/>
      <c r="P503" s="233"/>
      <c r="Q503" s="233"/>
      <c r="R503" s="234"/>
      <c r="S503" s="233"/>
      <c r="T503" s="233"/>
      <c r="U503" s="233"/>
      <c r="V503" s="233"/>
      <c r="W503" s="233"/>
      <c r="X503" s="233"/>
      <c r="Y503" s="233"/>
      <c r="Z503" s="233"/>
      <c r="AA503" s="233"/>
      <c r="AB503" s="233"/>
      <c r="AC503" s="233"/>
      <c r="AD503" s="233"/>
      <c r="AE503" s="233"/>
      <c r="AF503" s="233"/>
      <c r="AG503" s="233"/>
      <c r="AH503" s="233"/>
      <c r="AI503" s="233"/>
      <c r="AJ503" s="233"/>
      <c r="AK503" s="233"/>
      <c r="AL503" s="233"/>
    </row>
    <row r="504">
      <c r="B504" s="277"/>
      <c r="L504" s="67"/>
      <c r="M504" s="280" t="s">
        <v>2482</v>
      </c>
      <c r="N504" s="234"/>
      <c r="O504" s="281"/>
      <c r="P504" s="233"/>
      <c r="Q504" s="233"/>
      <c r="R504" s="234"/>
      <c r="S504" s="233"/>
      <c r="T504" s="233"/>
      <c r="U504" s="233"/>
      <c r="V504" s="233"/>
      <c r="W504" s="233"/>
      <c r="X504" s="233"/>
      <c r="Y504" s="233"/>
      <c r="Z504" s="233"/>
      <c r="AA504" s="233"/>
      <c r="AB504" s="233"/>
      <c r="AC504" s="233"/>
      <c r="AD504" s="233"/>
      <c r="AE504" s="233"/>
      <c r="AF504" s="233"/>
      <c r="AG504" s="233"/>
      <c r="AH504" s="233"/>
      <c r="AI504" s="233"/>
      <c r="AJ504" s="233"/>
      <c r="AK504" s="233"/>
      <c r="AL504" s="233"/>
    </row>
    <row r="505">
      <c r="B505" s="277"/>
      <c r="L505" s="67"/>
      <c r="M505" s="280" t="s">
        <v>2482</v>
      </c>
      <c r="N505" s="234"/>
      <c r="O505" s="281"/>
      <c r="P505" s="233"/>
      <c r="Q505" s="233"/>
      <c r="R505" s="234"/>
      <c r="S505" s="233"/>
      <c r="T505" s="233"/>
      <c r="U505" s="233"/>
      <c r="V505" s="233"/>
      <c r="W505" s="233"/>
      <c r="X505" s="233"/>
      <c r="Y505" s="233"/>
      <c r="Z505" s="233"/>
      <c r="AA505" s="233"/>
      <c r="AB505" s="233"/>
      <c r="AC505" s="233"/>
      <c r="AD505" s="233"/>
      <c r="AE505" s="233"/>
      <c r="AF505" s="233"/>
      <c r="AG505" s="233"/>
      <c r="AH505" s="233"/>
      <c r="AI505" s="233"/>
      <c r="AJ505" s="233"/>
      <c r="AK505" s="233"/>
      <c r="AL505" s="233"/>
    </row>
    <row r="506">
      <c r="B506" s="277"/>
      <c r="L506" s="67"/>
      <c r="M506" s="280" t="s">
        <v>2482</v>
      </c>
      <c r="N506" s="234"/>
      <c r="O506" s="281"/>
      <c r="P506" s="233"/>
      <c r="Q506" s="233"/>
      <c r="R506" s="234"/>
      <c r="S506" s="233"/>
      <c r="T506" s="233"/>
      <c r="U506" s="233"/>
      <c r="V506" s="233"/>
      <c r="W506" s="233"/>
      <c r="X506" s="233"/>
      <c r="Y506" s="233"/>
      <c r="Z506" s="233"/>
      <c r="AA506" s="233"/>
      <c r="AB506" s="233"/>
      <c r="AC506" s="233"/>
      <c r="AD506" s="233"/>
      <c r="AE506" s="233"/>
      <c r="AF506" s="233"/>
      <c r="AG506" s="233"/>
      <c r="AH506" s="233"/>
      <c r="AI506" s="233"/>
      <c r="AJ506" s="233"/>
      <c r="AK506" s="233"/>
      <c r="AL506" s="233"/>
    </row>
    <row r="507">
      <c r="B507" s="277"/>
      <c r="L507" s="67"/>
      <c r="M507" s="280" t="s">
        <v>2482</v>
      </c>
      <c r="N507" s="234"/>
      <c r="O507" s="281"/>
      <c r="P507" s="233"/>
      <c r="Q507" s="233"/>
      <c r="R507" s="234"/>
      <c r="S507" s="233"/>
      <c r="T507" s="233"/>
      <c r="U507" s="233"/>
      <c r="V507" s="233"/>
      <c r="W507" s="233"/>
      <c r="X507" s="233"/>
      <c r="Y507" s="233"/>
      <c r="Z507" s="233"/>
      <c r="AA507" s="233"/>
      <c r="AB507" s="233"/>
      <c r="AC507" s="233"/>
      <c r="AD507" s="233"/>
      <c r="AE507" s="233"/>
      <c r="AF507" s="233"/>
      <c r="AG507" s="233"/>
      <c r="AH507" s="233"/>
      <c r="AI507" s="233"/>
      <c r="AJ507" s="233"/>
      <c r="AK507" s="233"/>
      <c r="AL507" s="233"/>
    </row>
    <row r="508">
      <c r="B508" s="277"/>
      <c r="L508" s="67"/>
      <c r="M508" s="280" t="s">
        <v>2482</v>
      </c>
      <c r="N508" s="234"/>
      <c r="O508" s="281"/>
      <c r="P508" s="233"/>
      <c r="Q508" s="233"/>
      <c r="R508" s="234"/>
      <c r="S508" s="233"/>
      <c r="T508" s="233"/>
      <c r="U508" s="233"/>
      <c r="V508" s="233"/>
      <c r="W508" s="233"/>
      <c r="X508" s="233"/>
      <c r="Y508" s="233"/>
      <c r="Z508" s="233"/>
      <c r="AA508" s="233"/>
      <c r="AB508" s="233"/>
      <c r="AC508" s="233"/>
      <c r="AD508" s="233"/>
      <c r="AE508" s="233"/>
      <c r="AF508" s="233"/>
      <c r="AG508" s="233"/>
      <c r="AH508" s="233"/>
      <c r="AI508" s="233"/>
      <c r="AJ508" s="233"/>
      <c r="AK508" s="233"/>
      <c r="AL508" s="233"/>
    </row>
    <row r="509">
      <c r="B509" s="277"/>
      <c r="L509" s="67"/>
      <c r="M509" s="280" t="s">
        <v>2482</v>
      </c>
      <c r="N509" s="234"/>
      <c r="O509" s="281"/>
      <c r="P509" s="233"/>
      <c r="Q509" s="233"/>
      <c r="R509" s="234"/>
      <c r="S509" s="233"/>
      <c r="T509" s="233"/>
      <c r="U509" s="233"/>
      <c r="V509" s="233"/>
      <c r="W509" s="233"/>
      <c r="X509" s="233"/>
      <c r="Y509" s="233"/>
      <c r="Z509" s="233"/>
      <c r="AA509" s="233"/>
      <c r="AB509" s="233"/>
      <c r="AC509" s="233"/>
      <c r="AD509" s="233"/>
      <c r="AE509" s="233"/>
      <c r="AF509" s="233"/>
      <c r="AG509" s="233"/>
      <c r="AH509" s="233"/>
      <c r="AI509" s="233"/>
      <c r="AJ509" s="233"/>
      <c r="AK509" s="233"/>
      <c r="AL509" s="233"/>
    </row>
    <row r="510">
      <c r="B510" s="277"/>
      <c r="L510" s="67"/>
      <c r="M510" s="280" t="s">
        <v>2482</v>
      </c>
      <c r="N510" s="234"/>
      <c r="O510" s="281"/>
      <c r="P510" s="233"/>
      <c r="Q510" s="233"/>
      <c r="R510" s="234"/>
      <c r="S510" s="233"/>
      <c r="T510" s="233"/>
      <c r="U510" s="233"/>
      <c r="V510" s="233"/>
      <c r="W510" s="233"/>
      <c r="X510" s="233"/>
      <c r="Y510" s="233"/>
      <c r="Z510" s="233"/>
      <c r="AA510" s="233"/>
      <c r="AB510" s="233"/>
      <c r="AC510" s="233"/>
      <c r="AD510" s="233"/>
      <c r="AE510" s="233"/>
      <c r="AF510" s="233"/>
      <c r="AG510" s="233"/>
      <c r="AH510" s="233"/>
      <c r="AI510" s="233"/>
      <c r="AJ510" s="233"/>
      <c r="AK510" s="233"/>
      <c r="AL510" s="233"/>
    </row>
    <row r="511">
      <c r="B511" s="277"/>
      <c r="L511" s="67"/>
      <c r="M511" s="280" t="s">
        <v>2482</v>
      </c>
      <c r="N511" s="234"/>
      <c r="O511" s="281"/>
      <c r="P511" s="233"/>
      <c r="Q511" s="233"/>
      <c r="R511" s="234"/>
      <c r="S511" s="233"/>
      <c r="T511" s="233"/>
      <c r="U511" s="233"/>
      <c r="V511" s="233"/>
      <c r="W511" s="233"/>
      <c r="X511" s="233"/>
      <c r="Y511" s="233"/>
      <c r="Z511" s="233"/>
      <c r="AA511" s="233"/>
      <c r="AB511" s="233"/>
      <c r="AC511" s="233"/>
      <c r="AD511" s="233"/>
      <c r="AE511" s="233"/>
      <c r="AF511" s="233"/>
      <c r="AG511" s="233"/>
      <c r="AH511" s="233"/>
      <c r="AI511" s="233"/>
      <c r="AJ511" s="233"/>
      <c r="AK511" s="233"/>
      <c r="AL511" s="233"/>
    </row>
    <row r="512">
      <c r="B512" s="277"/>
      <c r="L512" s="67"/>
      <c r="M512" s="280" t="s">
        <v>2482</v>
      </c>
      <c r="N512" s="234"/>
      <c r="O512" s="281"/>
      <c r="P512" s="233"/>
      <c r="Q512" s="233"/>
      <c r="R512" s="234"/>
      <c r="S512" s="233"/>
      <c r="T512" s="233"/>
      <c r="U512" s="233"/>
      <c r="V512" s="233"/>
      <c r="W512" s="233"/>
      <c r="X512" s="233"/>
      <c r="Y512" s="233"/>
      <c r="Z512" s="233"/>
      <c r="AA512" s="233"/>
      <c r="AB512" s="233"/>
      <c r="AC512" s="233"/>
      <c r="AD512" s="233"/>
      <c r="AE512" s="233"/>
      <c r="AF512" s="233"/>
      <c r="AG512" s="233"/>
      <c r="AH512" s="233"/>
      <c r="AI512" s="233"/>
      <c r="AJ512" s="233"/>
      <c r="AK512" s="233"/>
      <c r="AL512" s="233"/>
    </row>
    <row r="513">
      <c r="B513" s="277"/>
      <c r="L513" s="67"/>
      <c r="M513" s="280" t="s">
        <v>2482</v>
      </c>
      <c r="N513" s="234"/>
      <c r="O513" s="281"/>
      <c r="P513" s="233"/>
      <c r="Q513" s="233"/>
      <c r="R513" s="234"/>
      <c r="S513" s="233"/>
      <c r="T513" s="233"/>
      <c r="U513" s="233"/>
      <c r="V513" s="233"/>
      <c r="W513" s="233"/>
      <c r="X513" s="233"/>
      <c r="Y513" s="233"/>
      <c r="Z513" s="233"/>
      <c r="AA513" s="233"/>
      <c r="AB513" s="233"/>
      <c r="AC513" s="233"/>
      <c r="AD513" s="233"/>
      <c r="AE513" s="233"/>
      <c r="AF513" s="233"/>
      <c r="AG513" s="233"/>
      <c r="AH513" s="233"/>
      <c r="AI513" s="233"/>
      <c r="AJ513" s="233"/>
      <c r="AK513" s="233"/>
      <c r="AL513" s="233"/>
    </row>
    <row r="514">
      <c r="B514" s="277"/>
      <c r="L514" s="67"/>
      <c r="M514" s="280" t="s">
        <v>2482</v>
      </c>
      <c r="N514" s="234"/>
      <c r="O514" s="281"/>
      <c r="P514" s="233"/>
      <c r="Q514" s="233"/>
      <c r="R514" s="234"/>
      <c r="S514" s="233"/>
      <c r="T514" s="233"/>
      <c r="U514" s="233"/>
      <c r="V514" s="233"/>
      <c r="W514" s="233"/>
      <c r="X514" s="233"/>
      <c r="Y514" s="233"/>
      <c r="Z514" s="233"/>
      <c r="AA514" s="233"/>
      <c r="AB514" s="233"/>
      <c r="AC514" s="233"/>
      <c r="AD514" s="233"/>
      <c r="AE514" s="233"/>
      <c r="AF514" s="233"/>
      <c r="AG514" s="233"/>
      <c r="AH514" s="233"/>
      <c r="AI514" s="233"/>
      <c r="AJ514" s="233"/>
      <c r="AK514" s="233"/>
      <c r="AL514" s="233"/>
    </row>
    <row r="515">
      <c r="B515" s="277"/>
      <c r="L515" s="67"/>
      <c r="M515" s="280" t="s">
        <v>2482</v>
      </c>
      <c r="N515" s="234"/>
      <c r="O515" s="281"/>
      <c r="P515" s="233"/>
      <c r="Q515" s="233"/>
      <c r="R515" s="234"/>
      <c r="S515" s="233"/>
      <c r="T515" s="233"/>
      <c r="U515" s="233"/>
      <c r="V515" s="233"/>
      <c r="W515" s="233"/>
      <c r="X515" s="233"/>
      <c r="Y515" s="233"/>
      <c r="Z515" s="233"/>
      <c r="AA515" s="233"/>
      <c r="AB515" s="233"/>
      <c r="AC515" s="233"/>
      <c r="AD515" s="233"/>
      <c r="AE515" s="233"/>
      <c r="AF515" s="233"/>
      <c r="AG515" s="233"/>
      <c r="AH515" s="233"/>
      <c r="AI515" s="233"/>
      <c r="AJ515" s="233"/>
      <c r="AK515" s="233"/>
      <c r="AL515" s="233"/>
    </row>
    <row r="516">
      <c r="B516" s="277"/>
      <c r="L516" s="67"/>
      <c r="M516" s="280" t="s">
        <v>2482</v>
      </c>
      <c r="N516" s="234"/>
      <c r="O516" s="281"/>
      <c r="P516" s="233"/>
      <c r="Q516" s="233"/>
      <c r="R516" s="234"/>
      <c r="S516" s="233"/>
      <c r="T516" s="233"/>
      <c r="U516" s="233"/>
      <c r="V516" s="233"/>
      <c r="W516" s="233"/>
      <c r="X516" s="233"/>
      <c r="Y516" s="233"/>
      <c r="Z516" s="233"/>
      <c r="AA516" s="233"/>
      <c r="AB516" s="233"/>
      <c r="AC516" s="233"/>
      <c r="AD516" s="233"/>
      <c r="AE516" s="233"/>
      <c r="AF516" s="233"/>
      <c r="AG516" s="233"/>
      <c r="AH516" s="233"/>
      <c r="AI516" s="233"/>
      <c r="AJ516" s="233"/>
      <c r="AK516" s="233"/>
      <c r="AL516" s="233"/>
    </row>
    <row r="517">
      <c r="B517" s="277"/>
      <c r="L517" s="67"/>
      <c r="M517" s="280" t="s">
        <v>2482</v>
      </c>
      <c r="N517" s="234"/>
      <c r="O517" s="281"/>
      <c r="P517" s="233"/>
      <c r="Q517" s="233"/>
      <c r="R517" s="234"/>
      <c r="S517" s="233"/>
      <c r="T517" s="233"/>
      <c r="U517" s="233"/>
      <c r="V517" s="233"/>
      <c r="W517" s="233"/>
      <c r="X517" s="233"/>
      <c r="Y517" s="233"/>
      <c r="Z517" s="233"/>
      <c r="AA517" s="233"/>
      <c r="AB517" s="233"/>
      <c r="AC517" s="233"/>
      <c r="AD517" s="233"/>
      <c r="AE517" s="233"/>
      <c r="AF517" s="233"/>
      <c r="AG517" s="233"/>
      <c r="AH517" s="233"/>
      <c r="AI517" s="233"/>
      <c r="AJ517" s="233"/>
      <c r="AK517" s="233"/>
      <c r="AL517" s="233"/>
    </row>
    <row r="518">
      <c r="B518" s="277"/>
      <c r="L518" s="67"/>
      <c r="M518" s="280" t="s">
        <v>2482</v>
      </c>
      <c r="N518" s="234"/>
      <c r="O518" s="281"/>
      <c r="P518" s="233"/>
      <c r="Q518" s="233"/>
      <c r="R518" s="234"/>
      <c r="S518" s="233"/>
      <c r="T518" s="233"/>
      <c r="U518" s="233"/>
      <c r="V518" s="233"/>
      <c r="W518" s="233"/>
      <c r="X518" s="233"/>
      <c r="Y518" s="233"/>
      <c r="Z518" s="233"/>
      <c r="AA518" s="233"/>
      <c r="AB518" s="233"/>
      <c r="AC518" s="233"/>
      <c r="AD518" s="233"/>
      <c r="AE518" s="233"/>
      <c r="AF518" s="233"/>
      <c r="AG518" s="233"/>
      <c r="AH518" s="233"/>
      <c r="AI518" s="233"/>
      <c r="AJ518" s="233"/>
      <c r="AK518" s="233"/>
      <c r="AL518" s="233"/>
    </row>
    <row r="519">
      <c r="B519" s="277"/>
      <c r="L519" s="67"/>
      <c r="M519" s="280" t="s">
        <v>2482</v>
      </c>
      <c r="N519" s="234"/>
      <c r="O519" s="281"/>
      <c r="P519" s="233"/>
      <c r="Q519" s="233"/>
      <c r="R519" s="234"/>
      <c r="S519" s="233"/>
      <c r="T519" s="233"/>
      <c r="U519" s="233"/>
      <c r="V519" s="233"/>
      <c r="W519" s="233"/>
      <c r="X519" s="233"/>
      <c r="Y519" s="233"/>
      <c r="Z519" s="233"/>
      <c r="AA519" s="233"/>
      <c r="AB519" s="233"/>
      <c r="AC519" s="233"/>
      <c r="AD519" s="233"/>
      <c r="AE519" s="233"/>
      <c r="AF519" s="233"/>
      <c r="AG519" s="233"/>
      <c r="AH519" s="233"/>
      <c r="AI519" s="233"/>
      <c r="AJ519" s="233"/>
      <c r="AK519" s="233"/>
      <c r="AL519" s="233"/>
    </row>
    <row r="520">
      <c r="B520" s="277"/>
      <c r="L520" s="67"/>
      <c r="M520" s="280" t="s">
        <v>2482</v>
      </c>
      <c r="N520" s="234"/>
      <c r="O520" s="281"/>
      <c r="P520" s="233"/>
      <c r="Q520" s="233"/>
      <c r="R520" s="234"/>
      <c r="S520" s="233"/>
      <c r="T520" s="233"/>
      <c r="U520" s="233"/>
      <c r="V520" s="233"/>
      <c r="W520" s="233"/>
      <c r="X520" s="233"/>
      <c r="Y520" s="233"/>
      <c r="Z520" s="233"/>
      <c r="AA520" s="233"/>
      <c r="AB520" s="233"/>
      <c r="AC520" s="233"/>
      <c r="AD520" s="233"/>
      <c r="AE520" s="233"/>
      <c r="AF520" s="233"/>
      <c r="AG520" s="233"/>
      <c r="AH520" s="233"/>
      <c r="AI520" s="233"/>
      <c r="AJ520" s="233"/>
      <c r="AK520" s="233"/>
      <c r="AL520" s="233"/>
    </row>
    <row r="521">
      <c r="B521" s="277"/>
      <c r="L521" s="67"/>
      <c r="M521" s="280" t="s">
        <v>2482</v>
      </c>
      <c r="N521" s="234"/>
      <c r="O521" s="281"/>
      <c r="P521" s="233"/>
      <c r="Q521" s="233"/>
      <c r="R521" s="234"/>
      <c r="S521" s="233"/>
      <c r="T521" s="233"/>
      <c r="U521" s="233"/>
      <c r="V521" s="233"/>
      <c r="W521" s="233"/>
      <c r="X521" s="233"/>
      <c r="Y521" s="233"/>
      <c r="Z521" s="233"/>
      <c r="AA521" s="233"/>
      <c r="AB521" s="233"/>
      <c r="AC521" s="233"/>
      <c r="AD521" s="233"/>
      <c r="AE521" s="233"/>
      <c r="AF521" s="233"/>
      <c r="AG521" s="233"/>
      <c r="AH521" s="233"/>
      <c r="AI521" s="233"/>
      <c r="AJ521" s="233"/>
      <c r="AK521" s="233"/>
      <c r="AL521" s="233"/>
    </row>
    <row r="522">
      <c r="B522" s="277"/>
      <c r="L522" s="67"/>
      <c r="M522" s="280" t="s">
        <v>2482</v>
      </c>
      <c r="N522" s="234"/>
      <c r="O522" s="281"/>
      <c r="P522" s="233"/>
      <c r="Q522" s="233"/>
      <c r="R522" s="234"/>
      <c r="S522" s="233"/>
      <c r="T522" s="233"/>
      <c r="U522" s="233"/>
      <c r="V522" s="233"/>
      <c r="W522" s="233"/>
      <c r="X522" s="233"/>
      <c r="Y522" s="233"/>
      <c r="Z522" s="233"/>
      <c r="AA522" s="233"/>
      <c r="AB522" s="233"/>
      <c r="AC522" s="233"/>
      <c r="AD522" s="233"/>
      <c r="AE522" s="233"/>
      <c r="AF522" s="233"/>
      <c r="AG522" s="233"/>
      <c r="AH522" s="233"/>
      <c r="AI522" s="233"/>
      <c r="AJ522" s="233"/>
      <c r="AK522" s="233"/>
      <c r="AL522" s="233"/>
    </row>
    <row r="523">
      <c r="B523" s="277"/>
      <c r="L523" s="67"/>
      <c r="M523" s="280" t="s">
        <v>2482</v>
      </c>
      <c r="N523" s="234"/>
      <c r="O523" s="281"/>
      <c r="P523" s="233"/>
      <c r="Q523" s="233"/>
      <c r="R523" s="234"/>
      <c r="S523" s="233"/>
      <c r="T523" s="233"/>
      <c r="U523" s="233"/>
      <c r="V523" s="233"/>
      <c r="W523" s="233"/>
      <c r="X523" s="233"/>
      <c r="Y523" s="233"/>
      <c r="Z523" s="233"/>
      <c r="AA523" s="233"/>
      <c r="AB523" s="233"/>
      <c r="AC523" s="233"/>
      <c r="AD523" s="233"/>
      <c r="AE523" s="233"/>
      <c r="AF523" s="233"/>
      <c r="AG523" s="233"/>
      <c r="AH523" s="233"/>
      <c r="AI523" s="233"/>
      <c r="AJ523" s="233"/>
      <c r="AK523" s="233"/>
      <c r="AL523" s="233"/>
    </row>
    <row r="524">
      <c r="B524" s="277"/>
      <c r="L524" s="67"/>
      <c r="M524" s="280" t="s">
        <v>2482</v>
      </c>
      <c r="N524" s="234"/>
      <c r="O524" s="281"/>
      <c r="P524" s="233"/>
      <c r="Q524" s="233"/>
      <c r="R524" s="234"/>
      <c r="S524" s="233"/>
      <c r="T524" s="233"/>
      <c r="U524" s="233"/>
      <c r="V524" s="233"/>
      <c r="W524" s="233"/>
      <c r="X524" s="233"/>
      <c r="Y524" s="233"/>
      <c r="Z524" s="233"/>
      <c r="AA524" s="233"/>
      <c r="AB524" s="233"/>
      <c r="AC524" s="233"/>
      <c r="AD524" s="233"/>
      <c r="AE524" s="233"/>
      <c r="AF524" s="233"/>
      <c r="AG524" s="233"/>
      <c r="AH524" s="233"/>
      <c r="AI524" s="233"/>
      <c r="AJ524" s="233"/>
      <c r="AK524" s="233"/>
      <c r="AL524" s="233"/>
    </row>
    <row r="525">
      <c r="B525" s="277"/>
      <c r="L525" s="67"/>
      <c r="M525" s="280" t="s">
        <v>2482</v>
      </c>
      <c r="N525" s="234"/>
      <c r="O525" s="281"/>
      <c r="P525" s="233"/>
      <c r="Q525" s="233"/>
      <c r="R525" s="234"/>
      <c r="S525" s="233"/>
      <c r="T525" s="233"/>
      <c r="U525" s="233"/>
      <c r="V525" s="233"/>
      <c r="W525" s="233"/>
      <c r="X525" s="233"/>
      <c r="Y525" s="233"/>
      <c r="Z525" s="233"/>
      <c r="AA525" s="233"/>
      <c r="AB525" s="233"/>
      <c r="AC525" s="233"/>
      <c r="AD525" s="233"/>
      <c r="AE525" s="233"/>
      <c r="AF525" s="233"/>
      <c r="AG525" s="233"/>
      <c r="AH525" s="233"/>
      <c r="AI525" s="233"/>
      <c r="AJ525" s="233"/>
      <c r="AK525" s="233"/>
      <c r="AL525" s="233"/>
    </row>
    <row r="526">
      <c r="B526" s="277"/>
      <c r="L526" s="67"/>
      <c r="M526" s="280" t="s">
        <v>2482</v>
      </c>
      <c r="N526" s="234"/>
      <c r="O526" s="281"/>
      <c r="P526" s="233"/>
      <c r="Q526" s="233"/>
      <c r="R526" s="234"/>
      <c r="S526" s="233"/>
      <c r="T526" s="233"/>
      <c r="U526" s="233"/>
      <c r="V526" s="233"/>
      <c r="W526" s="233"/>
      <c r="X526" s="233"/>
      <c r="Y526" s="233"/>
      <c r="Z526" s="233"/>
      <c r="AA526" s="233"/>
      <c r="AB526" s="233"/>
      <c r="AC526" s="233"/>
      <c r="AD526" s="233"/>
      <c r="AE526" s="233"/>
      <c r="AF526" s="233"/>
      <c r="AG526" s="233"/>
      <c r="AH526" s="233"/>
      <c r="AI526" s="233"/>
      <c r="AJ526" s="233"/>
      <c r="AK526" s="233"/>
      <c r="AL526" s="233"/>
    </row>
    <row r="527">
      <c r="B527" s="277"/>
      <c r="L527" s="67"/>
      <c r="M527" s="280" t="s">
        <v>2482</v>
      </c>
      <c r="N527" s="234"/>
      <c r="O527" s="281"/>
      <c r="P527" s="233"/>
      <c r="Q527" s="233"/>
      <c r="R527" s="234"/>
      <c r="S527" s="233"/>
      <c r="T527" s="233"/>
      <c r="U527" s="233"/>
      <c r="V527" s="233"/>
      <c r="W527" s="233"/>
      <c r="X527" s="233"/>
      <c r="Y527" s="233"/>
      <c r="Z527" s="233"/>
      <c r="AA527" s="233"/>
      <c r="AB527" s="233"/>
      <c r="AC527" s="233"/>
      <c r="AD527" s="233"/>
      <c r="AE527" s="233"/>
      <c r="AF527" s="233"/>
      <c r="AG527" s="233"/>
      <c r="AH527" s="233"/>
      <c r="AI527" s="233"/>
      <c r="AJ527" s="233"/>
      <c r="AK527" s="233"/>
      <c r="AL527" s="233"/>
    </row>
    <row r="528">
      <c r="B528" s="277"/>
      <c r="L528" s="67"/>
      <c r="M528" s="280" t="s">
        <v>2482</v>
      </c>
      <c r="N528" s="234"/>
      <c r="O528" s="281"/>
      <c r="P528" s="233"/>
      <c r="Q528" s="233"/>
      <c r="R528" s="234"/>
      <c r="S528" s="233"/>
      <c r="T528" s="233"/>
      <c r="U528" s="233"/>
      <c r="V528" s="233"/>
      <c r="W528" s="233"/>
      <c r="X528" s="233"/>
      <c r="Y528" s="233"/>
      <c r="Z528" s="233"/>
      <c r="AA528" s="233"/>
      <c r="AB528" s="233"/>
      <c r="AC528" s="233"/>
      <c r="AD528" s="233"/>
      <c r="AE528" s="233"/>
      <c r="AF528" s="233"/>
      <c r="AG528" s="233"/>
      <c r="AH528" s="233"/>
      <c r="AI528" s="233"/>
      <c r="AJ528" s="233"/>
      <c r="AK528" s="233"/>
      <c r="AL528" s="233"/>
    </row>
    <row r="529">
      <c r="B529" s="277"/>
      <c r="L529" s="67"/>
      <c r="M529" s="280" t="s">
        <v>2482</v>
      </c>
      <c r="N529" s="234"/>
      <c r="O529" s="281"/>
      <c r="P529" s="233"/>
      <c r="Q529" s="233"/>
      <c r="R529" s="234"/>
      <c r="S529" s="233"/>
      <c r="T529" s="233"/>
      <c r="U529" s="233"/>
      <c r="V529" s="233"/>
      <c r="W529" s="233"/>
      <c r="X529" s="233"/>
      <c r="Y529" s="233"/>
      <c r="Z529" s="233"/>
      <c r="AA529" s="233"/>
      <c r="AB529" s="233"/>
      <c r="AC529" s="233"/>
      <c r="AD529" s="233"/>
      <c r="AE529" s="233"/>
      <c r="AF529" s="233"/>
      <c r="AG529" s="233"/>
      <c r="AH529" s="233"/>
      <c r="AI529" s="233"/>
      <c r="AJ529" s="233"/>
      <c r="AK529" s="233"/>
      <c r="AL529" s="233"/>
    </row>
    <row r="530">
      <c r="B530" s="277"/>
      <c r="L530" s="67"/>
      <c r="M530" s="280" t="s">
        <v>2482</v>
      </c>
      <c r="N530" s="234"/>
      <c r="O530" s="281"/>
      <c r="P530" s="233"/>
      <c r="Q530" s="233"/>
      <c r="R530" s="234"/>
      <c r="S530" s="233"/>
      <c r="T530" s="233"/>
      <c r="U530" s="233"/>
      <c r="V530" s="233"/>
      <c r="W530" s="233"/>
      <c r="X530" s="233"/>
      <c r="Y530" s="233"/>
      <c r="Z530" s="233"/>
      <c r="AA530" s="233"/>
      <c r="AB530" s="233"/>
      <c r="AC530" s="233"/>
      <c r="AD530" s="233"/>
      <c r="AE530" s="233"/>
      <c r="AF530" s="233"/>
      <c r="AG530" s="233"/>
      <c r="AH530" s="233"/>
      <c r="AI530" s="233"/>
      <c r="AJ530" s="233"/>
      <c r="AK530" s="233"/>
      <c r="AL530" s="233"/>
    </row>
    <row r="531">
      <c r="B531" s="277"/>
      <c r="L531" s="67"/>
      <c r="M531" s="280" t="s">
        <v>2482</v>
      </c>
      <c r="N531" s="234"/>
      <c r="O531" s="281"/>
      <c r="P531" s="233"/>
      <c r="Q531" s="233"/>
      <c r="R531" s="234"/>
      <c r="S531" s="233"/>
      <c r="T531" s="233"/>
      <c r="U531" s="233"/>
      <c r="V531" s="233"/>
      <c r="W531" s="233"/>
      <c r="X531" s="233"/>
      <c r="Y531" s="233"/>
      <c r="Z531" s="233"/>
      <c r="AA531" s="233"/>
      <c r="AB531" s="233"/>
      <c r="AC531" s="233"/>
      <c r="AD531" s="233"/>
      <c r="AE531" s="233"/>
      <c r="AF531" s="233"/>
      <c r="AG531" s="233"/>
      <c r="AH531" s="233"/>
      <c r="AI531" s="233"/>
      <c r="AJ531" s="233"/>
      <c r="AK531" s="233"/>
      <c r="AL531" s="233"/>
    </row>
    <row r="532">
      <c r="B532" s="277"/>
      <c r="L532" s="67"/>
      <c r="M532" s="280" t="s">
        <v>2482</v>
      </c>
      <c r="N532" s="234"/>
      <c r="O532" s="281"/>
      <c r="P532" s="233"/>
      <c r="Q532" s="233"/>
      <c r="R532" s="234"/>
      <c r="S532" s="233"/>
      <c r="T532" s="233"/>
      <c r="U532" s="233"/>
      <c r="V532" s="233"/>
      <c r="W532" s="233"/>
      <c r="X532" s="233"/>
      <c r="Y532" s="233"/>
      <c r="Z532" s="233"/>
      <c r="AA532" s="233"/>
      <c r="AB532" s="233"/>
      <c r="AC532" s="233"/>
      <c r="AD532" s="233"/>
      <c r="AE532" s="233"/>
      <c r="AF532" s="233"/>
      <c r="AG532" s="233"/>
      <c r="AH532" s="233"/>
      <c r="AI532" s="233"/>
      <c r="AJ532" s="233"/>
      <c r="AK532" s="233"/>
      <c r="AL532" s="233"/>
    </row>
    <row r="533">
      <c r="B533" s="277"/>
      <c r="L533" s="67"/>
      <c r="M533" s="280" t="s">
        <v>2482</v>
      </c>
      <c r="N533" s="234"/>
      <c r="O533" s="281"/>
      <c r="P533" s="233"/>
      <c r="Q533" s="233"/>
      <c r="R533" s="234"/>
      <c r="S533" s="233"/>
      <c r="T533" s="233"/>
      <c r="U533" s="233"/>
      <c r="V533" s="233"/>
      <c r="W533" s="233"/>
      <c r="X533" s="233"/>
      <c r="Y533" s="233"/>
      <c r="Z533" s="233"/>
      <c r="AA533" s="233"/>
      <c r="AB533" s="233"/>
      <c r="AC533" s="233"/>
      <c r="AD533" s="233"/>
      <c r="AE533" s="233"/>
      <c r="AF533" s="233"/>
      <c r="AG533" s="233"/>
      <c r="AH533" s="233"/>
      <c r="AI533" s="233"/>
      <c r="AJ533" s="233"/>
      <c r="AK533" s="233"/>
      <c r="AL533" s="233"/>
    </row>
    <row r="534">
      <c r="B534" s="277"/>
      <c r="L534" s="67"/>
      <c r="M534" s="280" t="s">
        <v>2482</v>
      </c>
      <c r="N534" s="234"/>
      <c r="O534" s="281"/>
      <c r="P534" s="233"/>
      <c r="Q534" s="233"/>
      <c r="R534" s="234"/>
      <c r="S534" s="233"/>
      <c r="T534" s="233"/>
      <c r="U534" s="233"/>
      <c r="V534" s="233"/>
      <c r="W534" s="233"/>
      <c r="X534" s="233"/>
      <c r="Y534" s="233"/>
      <c r="Z534" s="233"/>
      <c r="AA534" s="233"/>
      <c r="AB534" s="233"/>
      <c r="AC534" s="233"/>
      <c r="AD534" s="233"/>
      <c r="AE534" s="233"/>
      <c r="AF534" s="233"/>
      <c r="AG534" s="233"/>
      <c r="AH534" s="233"/>
      <c r="AI534" s="233"/>
      <c r="AJ534" s="233"/>
      <c r="AK534" s="233"/>
      <c r="AL534" s="233"/>
    </row>
    <row r="535">
      <c r="B535" s="277"/>
      <c r="L535" s="67"/>
      <c r="M535" s="280" t="s">
        <v>2482</v>
      </c>
      <c r="N535" s="234"/>
      <c r="O535" s="281"/>
      <c r="P535" s="233"/>
      <c r="Q535" s="233"/>
      <c r="R535" s="234"/>
      <c r="S535" s="233"/>
      <c r="T535" s="233"/>
      <c r="U535" s="233"/>
      <c r="V535" s="233"/>
      <c r="W535" s="233"/>
      <c r="X535" s="233"/>
      <c r="Y535" s="233"/>
      <c r="Z535" s="233"/>
      <c r="AA535" s="233"/>
      <c r="AB535" s="233"/>
      <c r="AC535" s="233"/>
      <c r="AD535" s="233"/>
      <c r="AE535" s="233"/>
      <c r="AF535" s="233"/>
      <c r="AG535" s="233"/>
      <c r="AH535" s="233"/>
      <c r="AI535" s="233"/>
      <c r="AJ535" s="233"/>
      <c r="AK535" s="233"/>
      <c r="AL535" s="233"/>
    </row>
    <row r="536">
      <c r="B536" s="277"/>
      <c r="L536" s="67"/>
      <c r="M536" s="280" t="s">
        <v>2482</v>
      </c>
      <c r="N536" s="234"/>
      <c r="O536" s="281"/>
      <c r="P536" s="233"/>
      <c r="Q536" s="233"/>
      <c r="R536" s="234"/>
      <c r="S536" s="233"/>
      <c r="T536" s="233"/>
      <c r="U536" s="233"/>
      <c r="V536" s="233"/>
      <c r="W536" s="233"/>
      <c r="X536" s="233"/>
      <c r="Y536" s="233"/>
      <c r="Z536" s="233"/>
      <c r="AA536" s="233"/>
      <c r="AB536" s="233"/>
      <c r="AC536" s="233"/>
      <c r="AD536" s="233"/>
      <c r="AE536" s="233"/>
      <c r="AF536" s="233"/>
      <c r="AG536" s="233"/>
      <c r="AH536" s="233"/>
      <c r="AI536" s="233"/>
      <c r="AJ536" s="233"/>
      <c r="AK536" s="233"/>
      <c r="AL536" s="233"/>
    </row>
    <row r="537">
      <c r="B537" s="277"/>
      <c r="L537" s="67"/>
      <c r="M537" s="280" t="s">
        <v>2482</v>
      </c>
      <c r="N537" s="234"/>
      <c r="O537" s="281"/>
      <c r="P537" s="233"/>
      <c r="Q537" s="233"/>
      <c r="R537" s="234"/>
      <c r="S537" s="233"/>
      <c r="T537" s="233"/>
      <c r="U537" s="233"/>
      <c r="V537" s="233"/>
      <c r="W537" s="233"/>
      <c r="X537" s="233"/>
      <c r="Y537" s="233"/>
      <c r="Z537" s="233"/>
      <c r="AA537" s="233"/>
      <c r="AB537" s="233"/>
      <c r="AC537" s="233"/>
      <c r="AD537" s="233"/>
      <c r="AE537" s="233"/>
      <c r="AF537" s="233"/>
      <c r="AG537" s="233"/>
      <c r="AH537" s="233"/>
      <c r="AI537" s="233"/>
      <c r="AJ537" s="233"/>
      <c r="AK537" s="233"/>
      <c r="AL537" s="233"/>
    </row>
    <row r="538">
      <c r="B538" s="277"/>
      <c r="L538" s="67"/>
      <c r="M538" s="280" t="s">
        <v>2482</v>
      </c>
      <c r="N538" s="234"/>
      <c r="O538" s="281"/>
      <c r="P538" s="233"/>
      <c r="Q538" s="233"/>
      <c r="R538" s="234"/>
      <c r="S538" s="233"/>
      <c r="T538" s="233"/>
      <c r="U538" s="233"/>
      <c r="V538" s="233"/>
      <c r="W538" s="233"/>
      <c r="X538" s="233"/>
      <c r="Y538" s="233"/>
      <c r="Z538" s="233"/>
      <c r="AA538" s="233"/>
      <c r="AB538" s="233"/>
      <c r="AC538" s="233"/>
      <c r="AD538" s="233"/>
      <c r="AE538" s="233"/>
      <c r="AF538" s="233"/>
      <c r="AG538" s="233"/>
      <c r="AH538" s="233"/>
      <c r="AI538" s="233"/>
      <c r="AJ538" s="233"/>
      <c r="AK538" s="233"/>
      <c r="AL538" s="233"/>
    </row>
    <row r="539">
      <c r="B539" s="277"/>
      <c r="L539" s="67"/>
      <c r="M539" s="280" t="s">
        <v>2482</v>
      </c>
      <c r="N539" s="234"/>
      <c r="O539" s="281"/>
      <c r="P539" s="233"/>
      <c r="Q539" s="233"/>
      <c r="R539" s="234"/>
      <c r="S539" s="233"/>
      <c r="T539" s="233"/>
      <c r="U539" s="233"/>
      <c r="V539" s="233"/>
      <c r="W539" s="233"/>
      <c r="X539" s="233"/>
      <c r="Y539" s="233"/>
      <c r="Z539" s="233"/>
      <c r="AA539" s="233"/>
      <c r="AB539" s="233"/>
      <c r="AC539" s="233"/>
      <c r="AD539" s="233"/>
      <c r="AE539" s="233"/>
      <c r="AF539" s="233"/>
      <c r="AG539" s="233"/>
      <c r="AH539" s="233"/>
      <c r="AI539" s="233"/>
      <c r="AJ539" s="233"/>
      <c r="AK539" s="233"/>
      <c r="AL539" s="233"/>
    </row>
    <row r="540">
      <c r="B540" s="277"/>
      <c r="L540" s="67"/>
      <c r="M540" s="280" t="s">
        <v>2482</v>
      </c>
      <c r="N540" s="234"/>
      <c r="O540" s="281"/>
      <c r="P540" s="233"/>
      <c r="Q540" s="233"/>
      <c r="R540" s="234"/>
      <c r="S540" s="233"/>
      <c r="T540" s="233"/>
      <c r="U540" s="233"/>
      <c r="V540" s="233"/>
      <c r="W540" s="233"/>
      <c r="X540" s="233"/>
      <c r="Y540" s="233"/>
      <c r="Z540" s="233"/>
      <c r="AA540" s="233"/>
      <c r="AB540" s="233"/>
      <c r="AC540" s="233"/>
      <c r="AD540" s="233"/>
      <c r="AE540" s="233"/>
      <c r="AF540" s="233"/>
      <c r="AG540" s="233"/>
      <c r="AH540" s="233"/>
      <c r="AI540" s="233"/>
      <c r="AJ540" s="233"/>
      <c r="AK540" s="233"/>
      <c r="AL540" s="233"/>
    </row>
    <row r="541">
      <c r="B541" s="277"/>
      <c r="L541" s="67"/>
      <c r="M541" s="280" t="s">
        <v>2482</v>
      </c>
      <c r="N541" s="234"/>
      <c r="O541" s="281"/>
      <c r="P541" s="233"/>
      <c r="Q541" s="233"/>
      <c r="R541" s="234"/>
      <c r="S541" s="233"/>
      <c r="T541" s="233"/>
      <c r="U541" s="233"/>
      <c r="V541" s="233"/>
      <c r="W541" s="233"/>
      <c r="X541" s="233"/>
      <c r="Y541" s="233"/>
      <c r="Z541" s="233"/>
      <c r="AA541" s="233"/>
      <c r="AB541" s="233"/>
      <c r="AC541" s="233"/>
      <c r="AD541" s="233"/>
      <c r="AE541" s="233"/>
      <c r="AF541" s="233"/>
      <c r="AG541" s="233"/>
      <c r="AH541" s="233"/>
      <c r="AI541" s="233"/>
      <c r="AJ541" s="233"/>
      <c r="AK541" s="233"/>
      <c r="AL541" s="233"/>
    </row>
    <row r="542">
      <c r="B542" s="277"/>
      <c r="L542" s="67"/>
      <c r="M542" s="280" t="s">
        <v>2482</v>
      </c>
      <c r="N542" s="234"/>
      <c r="O542" s="281"/>
      <c r="P542" s="233"/>
      <c r="Q542" s="233"/>
      <c r="R542" s="234"/>
      <c r="S542" s="233"/>
      <c r="T542" s="233"/>
      <c r="U542" s="233"/>
      <c r="V542" s="233"/>
      <c r="W542" s="233"/>
      <c r="X542" s="233"/>
      <c r="Y542" s="233"/>
      <c r="Z542" s="233"/>
      <c r="AA542" s="233"/>
      <c r="AB542" s="233"/>
      <c r="AC542" s="233"/>
      <c r="AD542" s="233"/>
      <c r="AE542" s="233"/>
      <c r="AF542" s="233"/>
      <c r="AG542" s="233"/>
      <c r="AH542" s="233"/>
      <c r="AI542" s="233"/>
      <c r="AJ542" s="233"/>
      <c r="AK542" s="233"/>
      <c r="AL542" s="233"/>
    </row>
    <row r="543">
      <c r="B543" s="277"/>
      <c r="L543" s="67"/>
      <c r="M543" s="280" t="s">
        <v>2482</v>
      </c>
      <c r="N543" s="234"/>
      <c r="O543" s="281"/>
      <c r="P543" s="233"/>
      <c r="Q543" s="233"/>
      <c r="R543" s="234"/>
      <c r="S543" s="233"/>
      <c r="T543" s="233"/>
      <c r="U543" s="233"/>
      <c r="V543" s="233"/>
      <c r="W543" s="233"/>
      <c r="X543" s="233"/>
      <c r="Y543" s="233"/>
      <c r="Z543" s="233"/>
      <c r="AA543" s="233"/>
      <c r="AB543" s="233"/>
      <c r="AC543" s="233"/>
      <c r="AD543" s="233"/>
      <c r="AE543" s="233"/>
      <c r="AF543" s="233"/>
      <c r="AG543" s="233"/>
      <c r="AH543" s="233"/>
      <c r="AI543" s="233"/>
      <c r="AJ543" s="233"/>
      <c r="AK543" s="233"/>
      <c r="AL543" s="233"/>
    </row>
    <row r="544">
      <c r="B544" s="277"/>
      <c r="L544" s="67"/>
      <c r="M544" s="280" t="s">
        <v>2482</v>
      </c>
      <c r="N544" s="234"/>
      <c r="O544" s="281"/>
      <c r="P544" s="233"/>
      <c r="Q544" s="233"/>
      <c r="R544" s="234"/>
      <c r="S544" s="233"/>
      <c r="T544" s="233"/>
      <c r="U544" s="233"/>
      <c r="V544" s="233"/>
      <c r="W544" s="233"/>
      <c r="X544" s="233"/>
      <c r="Y544" s="233"/>
      <c r="Z544" s="233"/>
      <c r="AA544" s="233"/>
      <c r="AB544" s="233"/>
      <c r="AC544" s="233"/>
      <c r="AD544" s="233"/>
      <c r="AE544" s="233"/>
      <c r="AF544" s="233"/>
      <c r="AG544" s="233"/>
      <c r="AH544" s="233"/>
      <c r="AI544" s="233"/>
      <c r="AJ544" s="233"/>
      <c r="AK544" s="233"/>
      <c r="AL544" s="233"/>
    </row>
    <row r="545">
      <c r="B545" s="277"/>
      <c r="L545" s="67"/>
      <c r="M545" s="280" t="s">
        <v>2482</v>
      </c>
      <c r="N545" s="234"/>
      <c r="O545" s="281"/>
      <c r="P545" s="233"/>
      <c r="Q545" s="233"/>
      <c r="R545" s="234"/>
      <c r="S545" s="233"/>
      <c r="T545" s="233"/>
      <c r="U545" s="233"/>
      <c r="V545" s="233"/>
      <c r="W545" s="233"/>
      <c r="X545" s="233"/>
      <c r="Y545" s="233"/>
      <c r="Z545" s="233"/>
      <c r="AA545" s="233"/>
      <c r="AB545" s="233"/>
      <c r="AC545" s="233"/>
      <c r="AD545" s="233"/>
      <c r="AE545" s="233"/>
      <c r="AF545" s="233"/>
      <c r="AG545" s="233"/>
      <c r="AH545" s="233"/>
      <c r="AI545" s="233"/>
      <c r="AJ545" s="233"/>
      <c r="AK545" s="233"/>
      <c r="AL545" s="233"/>
    </row>
    <row r="546">
      <c r="B546" s="277"/>
      <c r="L546" s="67"/>
      <c r="M546" s="280" t="s">
        <v>2482</v>
      </c>
      <c r="N546" s="234"/>
      <c r="O546" s="281"/>
      <c r="P546" s="233"/>
      <c r="Q546" s="233"/>
      <c r="R546" s="234"/>
      <c r="S546" s="233"/>
      <c r="T546" s="233"/>
      <c r="U546" s="233"/>
      <c r="V546" s="233"/>
      <c r="W546" s="233"/>
      <c r="X546" s="233"/>
      <c r="Y546" s="233"/>
      <c r="Z546" s="233"/>
      <c r="AA546" s="233"/>
      <c r="AB546" s="233"/>
      <c r="AC546" s="233"/>
      <c r="AD546" s="233"/>
      <c r="AE546" s="233"/>
      <c r="AF546" s="233"/>
      <c r="AG546" s="233"/>
      <c r="AH546" s="233"/>
      <c r="AI546" s="233"/>
      <c r="AJ546" s="233"/>
      <c r="AK546" s="233"/>
      <c r="AL546" s="233"/>
    </row>
    <row r="547">
      <c r="B547" s="277"/>
      <c r="L547" s="67"/>
      <c r="M547" s="280" t="s">
        <v>2482</v>
      </c>
      <c r="N547" s="234"/>
      <c r="O547" s="281"/>
      <c r="P547" s="233"/>
      <c r="Q547" s="233"/>
      <c r="R547" s="234"/>
      <c r="S547" s="233"/>
      <c r="T547" s="233"/>
      <c r="U547" s="233"/>
      <c r="V547" s="233"/>
      <c r="W547" s="233"/>
      <c r="X547" s="233"/>
      <c r="Y547" s="233"/>
      <c r="Z547" s="233"/>
      <c r="AA547" s="233"/>
      <c r="AB547" s="233"/>
      <c r="AC547" s="233"/>
      <c r="AD547" s="233"/>
      <c r="AE547" s="233"/>
      <c r="AF547" s="233"/>
      <c r="AG547" s="233"/>
      <c r="AH547" s="233"/>
      <c r="AI547" s="233"/>
      <c r="AJ547" s="233"/>
      <c r="AK547" s="233"/>
      <c r="AL547" s="233"/>
    </row>
    <row r="548">
      <c r="B548" s="277"/>
      <c r="L548" s="67"/>
      <c r="M548" s="280" t="s">
        <v>2482</v>
      </c>
      <c r="N548" s="234"/>
      <c r="O548" s="281"/>
      <c r="P548" s="233"/>
      <c r="Q548" s="233"/>
      <c r="R548" s="234"/>
      <c r="S548" s="233"/>
      <c r="T548" s="233"/>
      <c r="U548" s="233"/>
      <c r="V548" s="233"/>
      <c r="W548" s="233"/>
      <c r="X548" s="233"/>
      <c r="Y548" s="233"/>
      <c r="Z548" s="233"/>
      <c r="AA548" s="233"/>
      <c r="AB548" s="233"/>
      <c r="AC548" s="233"/>
      <c r="AD548" s="233"/>
      <c r="AE548" s="233"/>
      <c r="AF548" s="233"/>
      <c r="AG548" s="233"/>
      <c r="AH548" s="233"/>
      <c r="AI548" s="233"/>
      <c r="AJ548" s="233"/>
      <c r="AK548" s="233"/>
      <c r="AL548" s="233"/>
    </row>
    <row r="549">
      <c r="B549" s="277"/>
      <c r="L549" s="67"/>
      <c r="M549" s="280" t="s">
        <v>2482</v>
      </c>
      <c r="N549" s="234"/>
      <c r="O549" s="281"/>
      <c r="P549" s="233"/>
      <c r="Q549" s="233"/>
      <c r="R549" s="234"/>
      <c r="S549" s="233"/>
      <c r="T549" s="233"/>
      <c r="U549" s="233"/>
      <c r="V549" s="233"/>
      <c r="W549" s="233"/>
      <c r="X549" s="233"/>
      <c r="Y549" s="233"/>
      <c r="Z549" s="233"/>
      <c r="AA549" s="233"/>
      <c r="AB549" s="233"/>
      <c r="AC549" s="233"/>
      <c r="AD549" s="233"/>
      <c r="AE549" s="233"/>
      <c r="AF549" s="233"/>
      <c r="AG549" s="233"/>
      <c r="AH549" s="233"/>
      <c r="AI549" s="233"/>
      <c r="AJ549" s="233"/>
      <c r="AK549" s="233"/>
      <c r="AL549" s="233"/>
    </row>
    <row r="550">
      <c r="B550" s="277"/>
      <c r="L550" s="67"/>
      <c r="M550" s="280" t="s">
        <v>2482</v>
      </c>
      <c r="N550" s="234"/>
      <c r="O550" s="281"/>
      <c r="P550" s="233"/>
      <c r="Q550" s="233"/>
      <c r="R550" s="234"/>
      <c r="S550" s="233"/>
      <c r="T550" s="233"/>
      <c r="U550" s="233"/>
      <c r="V550" s="233"/>
      <c r="W550" s="233"/>
      <c r="X550" s="233"/>
      <c r="Y550" s="233"/>
      <c r="Z550" s="233"/>
      <c r="AA550" s="233"/>
      <c r="AB550" s="233"/>
      <c r="AC550" s="233"/>
      <c r="AD550" s="233"/>
      <c r="AE550" s="233"/>
      <c r="AF550" s="233"/>
      <c r="AG550" s="233"/>
      <c r="AH550" s="233"/>
      <c r="AI550" s="233"/>
      <c r="AJ550" s="233"/>
      <c r="AK550" s="233"/>
      <c r="AL550" s="233"/>
    </row>
    <row r="551">
      <c r="B551" s="277"/>
      <c r="L551" s="67"/>
      <c r="M551" s="280" t="s">
        <v>2482</v>
      </c>
      <c r="N551" s="234"/>
      <c r="O551" s="281"/>
      <c r="P551" s="233"/>
      <c r="Q551" s="233"/>
      <c r="R551" s="234"/>
      <c r="S551" s="233"/>
      <c r="T551" s="233"/>
      <c r="U551" s="233"/>
      <c r="V551" s="233"/>
      <c r="W551" s="233"/>
      <c r="X551" s="233"/>
      <c r="Y551" s="233"/>
      <c r="Z551" s="233"/>
      <c r="AA551" s="233"/>
      <c r="AB551" s="233"/>
      <c r="AC551" s="233"/>
      <c r="AD551" s="233"/>
      <c r="AE551" s="233"/>
      <c r="AF551" s="233"/>
      <c r="AG551" s="233"/>
      <c r="AH551" s="233"/>
      <c r="AI551" s="233"/>
      <c r="AJ551" s="233"/>
      <c r="AK551" s="233"/>
      <c r="AL551" s="233"/>
    </row>
    <row r="552">
      <c r="B552" s="277"/>
      <c r="L552" s="67"/>
      <c r="M552" s="280" t="s">
        <v>2482</v>
      </c>
      <c r="N552" s="234"/>
      <c r="O552" s="281"/>
      <c r="P552" s="233"/>
      <c r="Q552" s="233"/>
      <c r="R552" s="234"/>
      <c r="S552" s="233"/>
      <c r="T552" s="233"/>
      <c r="U552" s="233"/>
      <c r="V552" s="233"/>
      <c r="W552" s="233"/>
      <c r="X552" s="233"/>
      <c r="Y552" s="233"/>
      <c r="Z552" s="233"/>
      <c r="AA552" s="233"/>
      <c r="AB552" s="233"/>
      <c r="AC552" s="233"/>
      <c r="AD552" s="233"/>
      <c r="AE552" s="233"/>
      <c r="AF552" s="233"/>
      <c r="AG552" s="233"/>
      <c r="AH552" s="233"/>
      <c r="AI552" s="233"/>
      <c r="AJ552" s="233"/>
      <c r="AK552" s="233"/>
      <c r="AL552" s="233"/>
    </row>
    <row r="553">
      <c r="B553" s="277"/>
      <c r="L553" s="67"/>
      <c r="M553" s="280" t="s">
        <v>2482</v>
      </c>
      <c r="N553" s="234"/>
      <c r="O553" s="281"/>
      <c r="P553" s="233"/>
      <c r="Q553" s="233"/>
      <c r="R553" s="234"/>
      <c r="S553" s="233"/>
      <c r="T553" s="233"/>
      <c r="U553" s="233"/>
      <c r="V553" s="233"/>
      <c r="W553" s="233"/>
      <c r="X553" s="233"/>
      <c r="Y553" s="233"/>
      <c r="Z553" s="233"/>
      <c r="AA553" s="233"/>
      <c r="AB553" s="233"/>
      <c r="AC553" s="233"/>
      <c r="AD553" s="233"/>
      <c r="AE553" s="233"/>
      <c r="AF553" s="233"/>
      <c r="AG553" s="233"/>
      <c r="AH553" s="233"/>
      <c r="AI553" s="233"/>
      <c r="AJ553" s="233"/>
      <c r="AK553" s="233"/>
      <c r="AL553" s="233"/>
    </row>
    <row r="554">
      <c r="B554" s="277"/>
      <c r="L554" s="67"/>
      <c r="M554" s="280" t="s">
        <v>2482</v>
      </c>
      <c r="N554" s="234"/>
      <c r="O554" s="281"/>
      <c r="P554" s="233"/>
      <c r="Q554" s="233"/>
      <c r="R554" s="234"/>
      <c r="S554" s="233"/>
      <c r="T554" s="233"/>
      <c r="U554" s="233"/>
      <c r="V554" s="233"/>
      <c r="W554" s="233"/>
      <c r="X554" s="233"/>
      <c r="Y554" s="233"/>
      <c r="Z554" s="233"/>
      <c r="AA554" s="233"/>
      <c r="AB554" s="233"/>
      <c r="AC554" s="233"/>
      <c r="AD554" s="233"/>
      <c r="AE554" s="233"/>
      <c r="AF554" s="233"/>
      <c r="AG554" s="233"/>
      <c r="AH554" s="233"/>
      <c r="AI554" s="233"/>
      <c r="AJ554" s="233"/>
      <c r="AK554" s="233"/>
      <c r="AL554" s="233"/>
    </row>
    <row r="555">
      <c r="B555" s="277"/>
      <c r="L555" s="67"/>
      <c r="M555" s="280" t="s">
        <v>2482</v>
      </c>
      <c r="N555" s="234"/>
      <c r="O555" s="281"/>
      <c r="P555" s="233"/>
      <c r="Q555" s="233"/>
      <c r="R555" s="234"/>
      <c r="S555" s="233"/>
      <c r="T555" s="233"/>
      <c r="U555" s="233"/>
      <c r="V555" s="233"/>
      <c r="W555" s="233"/>
      <c r="X555" s="233"/>
      <c r="Y555" s="233"/>
      <c r="Z555" s="233"/>
      <c r="AA555" s="233"/>
      <c r="AB555" s="233"/>
      <c r="AC555" s="233"/>
      <c r="AD555" s="233"/>
      <c r="AE555" s="233"/>
      <c r="AF555" s="233"/>
      <c r="AG555" s="233"/>
      <c r="AH555" s="233"/>
      <c r="AI555" s="233"/>
      <c r="AJ555" s="233"/>
      <c r="AK555" s="233"/>
      <c r="AL555" s="233"/>
    </row>
    <row r="556">
      <c r="B556" s="277"/>
      <c r="L556" s="67"/>
      <c r="M556" s="280" t="s">
        <v>2482</v>
      </c>
      <c r="N556" s="234"/>
      <c r="O556" s="281"/>
      <c r="P556" s="233"/>
      <c r="Q556" s="233"/>
      <c r="R556" s="234"/>
      <c r="S556" s="233"/>
      <c r="T556" s="233"/>
      <c r="U556" s="233"/>
      <c r="V556" s="233"/>
      <c r="W556" s="233"/>
      <c r="X556" s="233"/>
      <c r="Y556" s="233"/>
      <c r="Z556" s="233"/>
      <c r="AA556" s="233"/>
      <c r="AB556" s="233"/>
      <c r="AC556" s="233"/>
      <c r="AD556" s="233"/>
      <c r="AE556" s="233"/>
      <c r="AF556" s="233"/>
      <c r="AG556" s="233"/>
      <c r="AH556" s="233"/>
      <c r="AI556" s="233"/>
      <c r="AJ556" s="233"/>
      <c r="AK556" s="233"/>
      <c r="AL556" s="233"/>
    </row>
    <row r="557">
      <c r="B557" s="277"/>
      <c r="L557" s="67"/>
      <c r="M557" s="280" t="s">
        <v>2482</v>
      </c>
      <c r="N557" s="234"/>
      <c r="O557" s="281"/>
      <c r="P557" s="233"/>
      <c r="Q557" s="233"/>
      <c r="R557" s="234"/>
      <c r="S557" s="233"/>
      <c r="T557" s="233"/>
      <c r="U557" s="233"/>
      <c r="V557" s="233"/>
      <c r="W557" s="233"/>
      <c r="X557" s="233"/>
      <c r="Y557" s="233"/>
      <c r="Z557" s="233"/>
      <c r="AA557" s="233"/>
      <c r="AB557" s="233"/>
      <c r="AC557" s="233"/>
      <c r="AD557" s="233"/>
      <c r="AE557" s="233"/>
      <c r="AF557" s="233"/>
      <c r="AG557" s="233"/>
      <c r="AH557" s="233"/>
      <c r="AI557" s="233"/>
      <c r="AJ557" s="233"/>
      <c r="AK557" s="233"/>
      <c r="AL557" s="233"/>
    </row>
    <row r="558">
      <c r="B558" s="277"/>
      <c r="L558" s="67"/>
      <c r="M558" s="280" t="s">
        <v>2482</v>
      </c>
      <c r="N558" s="234"/>
      <c r="O558" s="281"/>
      <c r="P558" s="233"/>
      <c r="Q558" s="233"/>
      <c r="R558" s="234"/>
      <c r="S558" s="233"/>
      <c r="T558" s="233"/>
      <c r="U558" s="233"/>
      <c r="V558" s="233"/>
      <c r="W558" s="233"/>
      <c r="X558" s="233"/>
      <c r="Y558" s="233"/>
      <c r="Z558" s="233"/>
      <c r="AA558" s="233"/>
      <c r="AB558" s="233"/>
      <c r="AC558" s="233"/>
      <c r="AD558" s="233"/>
      <c r="AE558" s="233"/>
      <c r="AF558" s="233"/>
      <c r="AG558" s="233"/>
      <c r="AH558" s="233"/>
      <c r="AI558" s="233"/>
      <c r="AJ558" s="233"/>
      <c r="AK558" s="233"/>
      <c r="AL558" s="233"/>
    </row>
    <row r="559">
      <c r="B559" s="277"/>
      <c r="L559" s="67"/>
      <c r="M559" s="280" t="s">
        <v>2482</v>
      </c>
      <c r="N559" s="234"/>
      <c r="O559" s="281"/>
      <c r="P559" s="233"/>
      <c r="Q559" s="233"/>
      <c r="R559" s="234"/>
      <c r="S559" s="233"/>
      <c r="T559" s="233"/>
      <c r="U559" s="233"/>
      <c r="V559" s="233"/>
      <c r="W559" s="233"/>
      <c r="X559" s="233"/>
      <c r="Y559" s="233"/>
      <c r="Z559" s="233"/>
      <c r="AA559" s="233"/>
      <c r="AB559" s="233"/>
      <c r="AC559" s="233"/>
      <c r="AD559" s="233"/>
      <c r="AE559" s="233"/>
      <c r="AF559" s="233"/>
      <c r="AG559" s="233"/>
      <c r="AH559" s="233"/>
      <c r="AI559" s="233"/>
      <c r="AJ559" s="233"/>
      <c r="AK559" s="233"/>
      <c r="AL559" s="233"/>
    </row>
    <row r="560">
      <c r="B560" s="277"/>
      <c r="L560" s="67"/>
      <c r="M560" s="280" t="s">
        <v>2482</v>
      </c>
      <c r="N560" s="234"/>
      <c r="O560" s="281"/>
      <c r="P560" s="233"/>
      <c r="Q560" s="233"/>
      <c r="R560" s="234"/>
      <c r="S560" s="233"/>
      <c r="T560" s="233"/>
      <c r="U560" s="233"/>
      <c r="V560" s="233"/>
      <c r="W560" s="233"/>
      <c r="X560" s="233"/>
      <c r="Y560" s="233"/>
      <c r="Z560" s="233"/>
      <c r="AA560" s="233"/>
      <c r="AB560" s="233"/>
      <c r="AC560" s="233"/>
      <c r="AD560" s="233"/>
      <c r="AE560" s="233"/>
      <c r="AF560" s="233"/>
      <c r="AG560" s="233"/>
      <c r="AH560" s="233"/>
      <c r="AI560" s="233"/>
      <c r="AJ560" s="233"/>
      <c r="AK560" s="233"/>
      <c r="AL560" s="233"/>
    </row>
    <row r="561">
      <c r="B561" s="277"/>
      <c r="L561" s="67"/>
      <c r="M561" s="280" t="s">
        <v>2482</v>
      </c>
      <c r="N561" s="234"/>
      <c r="O561" s="281"/>
      <c r="P561" s="233"/>
      <c r="Q561" s="233"/>
      <c r="R561" s="234"/>
      <c r="S561" s="233"/>
      <c r="T561" s="233"/>
      <c r="U561" s="233"/>
      <c r="V561" s="233"/>
      <c r="W561" s="233"/>
      <c r="X561" s="233"/>
      <c r="Y561" s="233"/>
      <c r="Z561" s="233"/>
      <c r="AA561" s="233"/>
      <c r="AB561" s="233"/>
      <c r="AC561" s="233"/>
      <c r="AD561" s="233"/>
      <c r="AE561" s="233"/>
      <c r="AF561" s="233"/>
      <c r="AG561" s="233"/>
      <c r="AH561" s="233"/>
      <c r="AI561" s="233"/>
      <c r="AJ561" s="233"/>
      <c r="AK561" s="233"/>
      <c r="AL561" s="233"/>
    </row>
    <row r="562">
      <c r="B562" s="277"/>
      <c r="L562" s="67"/>
      <c r="M562" s="280" t="s">
        <v>2482</v>
      </c>
      <c r="N562" s="234"/>
      <c r="O562" s="281"/>
      <c r="P562" s="233"/>
      <c r="Q562" s="233"/>
      <c r="R562" s="234"/>
      <c r="S562" s="233"/>
      <c r="T562" s="233"/>
      <c r="U562" s="233"/>
      <c r="V562" s="233"/>
      <c r="W562" s="233"/>
      <c r="X562" s="233"/>
      <c r="Y562" s="233"/>
      <c r="Z562" s="233"/>
      <c r="AA562" s="233"/>
      <c r="AB562" s="233"/>
      <c r="AC562" s="233"/>
      <c r="AD562" s="233"/>
      <c r="AE562" s="233"/>
      <c r="AF562" s="233"/>
      <c r="AG562" s="233"/>
      <c r="AH562" s="233"/>
      <c r="AI562" s="233"/>
      <c r="AJ562" s="233"/>
      <c r="AK562" s="233"/>
      <c r="AL562" s="233"/>
    </row>
    <row r="563">
      <c r="B563" s="277"/>
      <c r="L563" s="67"/>
      <c r="M563" s="280" t="s">
        <v>2482</v>
      </c>
      <c r="N563" s="234"/>
      <c r="O563" s="281"/>
      <c r="P563" s="233"/>
      <c r="Q563" s="233"/>
      <c r="R563" s="234"/>
      <c r="S563" s="233"/>
      <c r="T563" s="233"/>
      <c r="U563" s="233"/>
      <c r="V563" s="233"/>
      <c r="W563" s="233"/>
      <c r="X563" s="233"/>
      <c r="Y563" s="233"/>
      <c r="Z563" s="233"/>
      <c r="AA563" s="233"/>
      <c r="AB563" s="233"/>
      <c r="AC563" s="233"/>
      <c r="AD563" s="233"/>
      <c r="AE563" s="233"/>
      <c r="AF563" s="233"/>
      <c r="AG563" s="233"/>
      <c r="AH563" s="233"/>
      <c r="AI563" s="233"/>
      <c r="AJ563" s="233"/>
      <c r="AK563" s="233"/>
      <c r="AL563" s="233"/>
    </row>
    <row r="564">
      <c r="B564" s="277"/>
      <c r="L564" s="67"/>
      <c r="M564" s="280" t="s">
        <v>2482</v>
      </c>
      <c r="N564" s="234"/>
      <c r="O564" s="281"/>
      <c r="P564" s="233"/>
      <c r="Q564" s="233"/>
      <c r="R564" s="234"/>
      <c r="S564" s="233"/>
      <c r="T564" s="233"/>
      <c r="U564" s="233"/>
      <c r="V564" s="233"/>
      <c r="W564" s="233"/>
      <c r="X564" s="233"/>
      <c r="Y564" s="233"/>
      <c r="Z564" s="233"/>
      <c r="AA564" s="233"/>
      <c r="AB564" s="233"/>
      <c r="AC564" s="233"/>
      <c r="AD564" s="233"/>
      <c r="AE564" s="233"/>
      <c r="AF564" s="233"/>
      <c r="AG564" s="233"/>
      <c r="AH564" s="233"/>
      <c r="AI564" s="233"/>
      <c r="AJ564" s="233"/>
      <c r="AK564" s="233"/>
      <c r="AL564" s="233"/>
    </row>
    <row r="565">
      <c r="B565" s="277"/>
      <c r="L565" s="67"/>
      <c r="M565" s="280" t="s">
        <v>2482</v>
      </c>
      <c r="N565" s="234"/>
      <c r="O565" s="281"/>
      <c r="P565" s="233"/>
      <c r="Q565" s="233"/>
      <c r="R565" s="234"/>
      <c r="S565" s="233"/>
      <c r="T565" s="233"/>
      <c r="U565" s="233"/>
      <c r="V565" s="233"/>
      <c r="W565" s="233"/>
      <c r="X565" s="233"/>
      <c r="Y565" s="233"/>
      <c r="Z565" s="233"/>
      <c r="AA565" s="233"/>
      <c r="AB565" s="233"/>
      <c r="AC565" s="233"/>
      <c r="AD565" s="233"/>
      <c r="AE565" s="233"/>
      <c r="AF565" s="233"/>
      <c r="AG565" s="233"/>
      <c r="AH565" s="233"/>
      <c r="AI565" s="233"/>
      <c r="AJ565" s="233"/>
      <c r="AK565" s="233"/>
      <c r="AL565" s="233"/>
    </row>
    <row r="566">
      <c r="B566" s="277"/>
      <c r="L566" s="67"/>
      <c r="M566" s="280" t="s">
        <v>2482</v>
      </c>
      <c r="N566" s="234"/>
      <c r="O566" s="281"/>
      <c r="P566" s="233"/>
      <c r="Q566" s="233"/>
      <c r="R566" s="234"/>
      <c r="S566" s="233"/>
      <c r="T566" s="233"/>
      <c r="U566" s="233"/>
      <c r="V566" s="233"/>
      <c r="W566" s="233"/>
      <c r="X566" s="233"/>
      <c r="Y566" s="233"/>
      <c r="Z566" s="233"/>
      <c r="AA566" s="233"/>
      <c r="AB566" s="233"/>
      <c r="AC566" s="233"/>
      <c r="AD566" s="233"/>
      <c r="AE566" s="233"/>
      <c r="AF566" s="233"/>
      <c r="AG566" s="233"/>
      <c r="AH566" s="233"/>
      <c r="AI566" s="233"/>
      <c r="AJ566" s="233"/>
      <c r="AK566" s="233"/>
      <c r="AL566" s="233"/>
    </row>
    <row r="567">
      <c r="B567" s="277"/>
      <c r="L567" s="67"/>
      <c r="M567" s="280" t="s">
        <v>2482</v>
      </c>
      <c r="N567" s="234"/>
      <c r="O567" s="281"/>
      <c r="P567" s="233"/>
      <c r="Q567" s="233"/>
      <c r="R567" s="234"/>
      <c r="S567" s="233"/>
      <c r="T567" s="233"/>
      <c r="U567" s="233"/>
      <c r="V567" s="233"/>
      <c r="W567" s="233"/>
      <c r="X567" s="233"/>
      <c r="Y567" s="233"/>
      <c r="Z567" s="233"/>
      <c r="AA567" s="233"/>
      <c r="AB567" s="233"/>
      <c r="AC567" s="233"/>
      <c r="AD567" s="233"/>
      <c r="AE567" s="233"/>
      <c r="AF567" s="233"/>
      <c r="AG567" s="233"/>
      <c r="AH567" s="233"/>
      <c r="AI567" s="233"/>
      <c r="AJ567" s="233"/>
      <c r="AK567" s="233"/>
      <c r="AL567" s="233"/>
    </row>
    <row r="568">
      <c r="B568" s="277"/>
      <c r="L568" s="67"/>
      <c r="M568" s="280" t="s">
        <v>2482</v>
      </c>
      <c r="N568" s="234"/>
      <c r="O568" s="281"/>
      <c r="P568" s="233"/>
      <c r="Q568" s="233"/>
      <c r="R568" s="234"/>
      <c r="S568" s="233"/>
      <c r="T568" s="233"/>
      <c r="U568" s="233"/>
      <c r="V568" s="233"/>
      <c r="W568" s="233"/>
      <c r="X568" s="233"/>
      <c r="Y568" s="233"/>
      <c r="Z568" s="233"/>
      <c r="AA568" s="233"/>
      <c r="AB568" s="233"/>
      <c r="AC568" s="233"/>
      <c r="AD568" s="233"/>
      <c r="AE568" s="233"/>
      <c r="AF568" s="233"/>
      <c r="AG568" s="233"/>
      <c r="AH568" s="233"/>
      <c r="AI568" s="233"/>
      <c r="AJ568" s="233"/>
      <c r="AK568" s="233"/>
      <c r="AL568" s="233"/>
    </row>
    <row r="569">
      <c r="B569" s="277"/>
      <c r="L569" s="67"/>
      <c r="M569" s="280" t="s">
        <v>2482</v>
      </c>
      <c r="N569" s="234"/>
      <c r="O569" s="281"/>
      <c r="P569" s="233"/>
      <c r="Q569" s="233"/>
      <c r="R569" s="234"/>
      <c r="S569" s="233"/>
      <c r="T569" s="233"/>
      <c r="U569" s="233"/>
      <c r="V569" s="233"/>
      <c r="W569" s="233"/>
      <c r="X569" s="233"/>
      <c r="Y569" s="233"/>
      <c r="Z569" s="233"/>
      <c r="AA569" s="233"/>
      <c r="AB569" s="233"/>
      <c r="AC569" s="233"/>
      <c r="AD569" s="233"/>
      <c r="AE569" s="233"/>
      <c r="AF569" s="233"/>
      <c r="AG569" s="233"/>
      <c r="AH569" s="233"/>
      <c r="AI569" s="233"/>
      <c r="AJ569" s="233"/>
      <c r="AK569" s="233"/>
      <c r="AL569" s="233"/>
    </row>
    <row r="570">
      <c r="B570" s="277"/>
      <c r="L570" s="67"/>
      <c r="M570" s="280" t="s">
        <v>2482</v>
      </c>
      <c r="N570" s="234"/>
      <c r="O570" s="281"/>
      <c r="P570" s="233"/>
      <c r="Q570" s="233"/>
      <c r="R570" s="234"/>
      <c r="S570" s="233"/>
      <c r="T570" s="233"/>
      <c r="U570" s="233"/>
      <c r="V570" s="233"/>
      <c r="W570" s="233"/>
      <c r="X570" s="233"/>
      <c r="Y570" s="233"/>
      <c r="Z570" s="233"/>
      <c r="AA570" s="233"/>
      <c r="AB570" s="233"/>
      <c r="AC570" s="233"/>
      <c r="AD570" s="233"/>
      <c r="AE570" s="233"/>
      <c r="AF570" s="233"/>
      <c r="AG570" s="233"/>
      <c r="AH570" s="233"/>
      <c r="AI570" s="233"/>
      <c r="AJ570" s="233"/>
      <c r="AK570" s="233"/>
      <c r="AL570" s="233"/>
    </row>
    <row r="571">
      <c r="B571" s="277"/>
      <c r="L571" s="67"/>
      <c r="M571" s="280" t="s">
        <v>2482</v>
      </c>
      <c r="N571" s="234"/>
      <c r="O571" s="281"/>
      <c r="P571" s="233"/>
      <c r="Q571" s="233"/>
      <c r="R571" s="234"/>
      <c r="S571" s="233"/>
      <c r="T571" s="233"/>
      <c r="U571" s="233"/>
      <c r="V571" s="233"/>
      <c r="W571" s="233"/>
      <c r="X571" s="233"/>
      <c r="Y571" s="233"/>
      <c r="Z571" s="233"/>
      <c r="AA571" s="233"/>
      <c r="AB571" s="233"/>
      <c r="AC571" s="233"/>
      <c r="AD571" s="233"/>
      <c r="AE571" s="233"/>
      <c r="AF571" s="233"/>
      <c r="AG571" s="233"/>
      <c r="AH571" s="233"/>
      <c r="AI571" s="233"/>
      <c r="AJ571" s="233"/>
      <c r="AK571" s="233"/>
      <c r="AL571" s="233"/>
    </row>
    <row r="572">
      <c r="B572" s="277"/>
      <c r="L572" s="67"/>
      <c r="M572" s="280" t="s">
        <v>2482</v>
      </c>
      <c r="N572" s="234"/>
      <c r="O572" s="281"/>
      <c r="P572" s="233"/>
      <c r="Q572" s="233"/>
      <c r="R572" s="234"/>
      <c r="S572" s="233"/>
      <c r="T572" s="233"/>
      <c r="U572" s="233"/>
      <c r="V572" s="233"/>
      <c r="W572" s="233"/>
      <c r="X572" s="233"/>
      <c r="Y572" s="233"/>
      <c r="Z572" s="233"/>
      <c r="AA572" s="233"/>
      <c r="AB572" s="233"/>
      <c r="AC572" s="233"/>
      <c r="AD572" s="233"/>
      <c r="AE572" s="233"/>
      <c r="AF572" s="233"/>
      <c r="AG572" s="233"/>
      <c r="AH572" s="233"/>
      <c r="AI572" s="233"/>
      <c r="AJ572" s="233"/>
      <c r="AK572" s="233"/>
      <c r="AL572" s="233"/>
    </row>
    <row r="573">
      <c r="B573" s="277"/>
      <c r="L573" s="67"/>
      <c r="M573" s="280" t="s">
        <v>2482</v>
      </c>
      <c r="N573" s="234"/>
      <c r="O573" s="281"/>
      <c r="P573" s="233"/>
      <c r="Q573" s="233"/>
      <c r="R573" s="234"/>
      <c r="S573" s="233"/>
      <c r="T573" s="233"/>
      <c r="U573" s="233"/>
      <c r="V573" s="233"/>
      <c r="W573" s="233"/>
      <c r="X573" s="233"/>
      <c r="Y573" s="233"/>
      <c r="Z573" s="233"/>
      <c r="AA573" s="233"/>
      <c r="AB573" s="233"/>
      <c r="AC573" s="233"/>
      <c r="AD573" s="233"/>
      <c r="AE573" s="233"/>
      <c r="AF573" s="233"/>
      <c r="AG573" s="233"/>
      <c r="AH573" s="233"/>
      <c r="AI573" s="233"/>
      <c r="AJ573" s="233"/>
      <c r="AK573" s="233"/>
      <c r="AL573" s="233"/>
    </row>
    <row r="574">
      <c r="B574" s="277"/>
      <c r="L574" s="67"/>
      <c r="M574" s="280" t="s">
        <v>2482</v>
      </c>
      <c r="N574" s="234"/>
      <c r="O574" s="281"/>
      <c r="P574" s="233"/>
      <c r="Q574" s="233"/>
      <c r="R574" s="234"/>
      <c r="S574" s="233"/>
      <c r="T574" s="233"/>
      <c r="U574" s="233"/>
      <c r="V574" s="233"/>
      <c r="W574" s="233"/>
      <c r="X574" s="233"/>
      <c r="Y574" s="233"/>
      <c r="Z574" s="233"/>
      <c r="AA574" s="233"/>
      <c r="AB574" s="233"/>
      <c r="AC574" s="233"/>
      <c r="AD574" s="233"/>
      <c r="AE574" s="233"/>
      <c r="AF574" s="233"/>
      <c r="AG574" s="233"/>
      <c r="AH574" s="233"/>
      <c r="AI574" s="233"/>
      <c r="AJ574" s="233"/>
      <c r="AK574" s="233"/>
      <c r="AL574" s="233"/>
    </row>
    <row r="575">
      <c r="B575" s="277"/>
      <c r="L575" s="67"/>
      <c r="M575" s="280" t="s">
        <v>2482</v>
      </c>
      <c r="N575" s="234"/>
      <c r="O575" s="281"/>
      <c r="P575" s="233"/>
      <c r="Q575" s="233"/>
      <c r="R575" s="234"/>
      <c r="S575" s="233"/>
      <c r="T575" s="233"/>
      <c r="U575" s="233"/>
      <c r="V575" s="233"/>
      <c r="W575" s="233"/>
      <c r="X575" s="233"/>
      <c r="Y575" s="233"/>
      <c r="Z575" s="233"/>
      <c r="AA575" s="233"/>
      <c r="AB575" s="233"/>
      <c r="AC575" s="233"/>
      <c r="AD575" s="233"/>
      <c r="AE575" s="233"/>
      <c r="AF575" s="233"/>
      <c r="AG575" s="233"/>
      <c r="AH575" s="233"/>
      <c r="AI575" s="233"/>
      <c r="AJ575" s="233"/>
      <c r="AK575" s="233"/>
      <c r="AL575" s="233"/>
    </row>
    <row r="576">
      <c r="B576" s="277"/>
      <c r="L576" s="67"/>
      <c r="M576" s="280" t="s">
        <v>2482</v>
      </c>
      <c r="N576" s="234"/>
      <c r="O576" s="281"/>
      <c r="P576" s="233"/>
      <c r="Q576" s="233"/>
      <c r="R576" s="234"/>
      <c r="S576" s="233"/>
      <c r="T576" s="233"/>
      <c r="U576" s="233"/>
      <c r="V576" s="233"/>
      <c r="W576" s="233"/>
      <c r="X576" s="233"/>
      <c r="Y576" s="233"/>
      <c r="Z576" s="233"/>
      <c r="AA576" s="233"/>
      <c r="AB576" s="233"/>
      <c r="AC576" s="233"/>
      <c r="AD576" s="233"/>
      <c r="AE576" s="233"/>
      <c r="AF576" s="233"/>
      <c r="AG576" s="233"/>
      <c r="AH576" s="233"/>
      <c r="AI576" s="233"/>
      <c r="AJ576" s="233"/>
      <c r="AK576" s="233"/>
      <c r="AL576" s="233"/>
    </row>
    <row r="577">
      <c r="B577" s="277"/>
      <c r="L577" s="67"/>
      <c r="M577" s="280" t="s">
        <v>2482</v>
      </c>
      <c r="N577" s="234"/>
      <c r="O577" s="281"/>
      <c r="P577" s="233"/>
      <c r="Q577" s="233"/>
      <c r="R577" s="234"/>
      <c r="S577" s="233"/>
      <c r="T577" s="233"/>
      <c r="U577" s="233"/>
      <c r="V577" s="233"/>
      <c r="W577" s="233"/>
      <c r="X577" s="233"/>
      <c r="Y577" s="233"/>
      <c r="Z577" s="233"/>
      <c r="AA577" s="233"/>
      <c r="AB577" s="233"/>
      <c r="AC577" s="233"/>
      <c r="AD577" s="233"/>
      <c r="AE577" s="233"/>
      <c r="AF577" s="233"/>
      <c r="AG577" s="233"/>
      <c r="AH577" s="233"/>
      <c r="AI577" s="233"/>
      <c r="AJ577" s="233"/>
      <c r="AK577" s="233"/>
      <c r="AL577" s="233"/>
    </row>
    <row r="578">
      <c r="B578" s="277"/>
      <c r="L578" s="67"/>
      <c r="M578" s="280" t="s">
        <v>2482</v>
      </c>
      <c r="N578" s="234"/>
      <c r="O578" s="281"/>
      <c r="P578" s="233"/>
      <c r="Q578" s="233"/>
      <c r="R578" s="234"/>
      <c r="S578" s="233"/>
      <c r="T578" s="233"/>
      <c r="U578" s="233"/>
      <c r="V578" s="233"/>
      <c r="W578" s="233"/>
      <c r="X578" s="233"/>
      <c r="Y578" s="233"/>
      <c r="Z578" s="233"/>
      <c r="AA578" s="233"/>
      <c r="AB578" s="233"/>
      <c r="AC578" s="233"/>
      <c r="AD578" s="233"/>
      <c r="AE578" s="233"/>
      <c r="AF578" s="233"/>
      <c r="AG578" s="233"/>
      <c r="AH578" s="233"/>
      <c r="AI578" s="233"/>
      <c r="AJ578" s="233"/>
      <c r="AK578" s="233"/>
      <c r="AL578" s="233"/>
    </row>
    <row r="579">
      <c r="B579" s="277"/>
      <c r="L579" s="67"/>
      <c r="M579" s="280" t="s">
        <v>2482</v>
      </c>
      <c r="N579" s="234"/>
      <c r="O579" s="281"/>
      <c r="P579" s="233"/>
      <c r="Q579" s="233"/>
      <c r="R579" s="234"/>
      <c r="S579" s="233"/>
      <c r="T579" s="233"/>
      <c r="U579" s="233"/>
      <c r="V579" s="233"/>
      <c r="W579" s="233"/>
      <c r="X579" s="233"/>
      <c r="Y579" s="233"/>
      <c r="Z579" s="233"/>
      <c r="AA579" s="233"/>
      <c r="AB579" s="233"/>
      <c r="AC579" s="233"/>
      <c r="AD579" s="233"/>
      <c r="AE579" s="233"/>
      <c r="AF579" s="233"/>
      <c r="AG579" s="233"/>
      <c r="AH579" s="233"/>
      <c r="AI579" s="233"/>
      <c r="AJ579" s="233"/>
      <c r="AK579" s="233"/>
      <c r="AL579" s="233"/>
    </row>
    <row r="580">
      <c r="B580" s="277"/>
      <c r="L580" s="67"/>
      <c r="M580" s="280" t="s">
        <v>2482</v>
      </c>
      <c r="N580" s="234"/>
      <c r="O580" s="281"/>
      <c r="P580" s="233"/>
      <c r="Q580" s="233"/>
      <c r="R580" s="234"/>
      <c r="S580" s="233"/>
      <c r="T580" s="233"/>
      <c r="U580" s="233"/>
      <c r="V580" s="233"/>
      <c r="W580" s="233"/>
      <c r="X580" s="233"/>
      <c r="Y580" s="233"/>
      <c r="Z580" s="233"/>
      <c r="AA580" s="233"/>
      <c r="AB580" s="233"/>
      <c r="AC580" s="233"/>
      <c r="AD580" s="233"/>
      <c r="AE580" s="233"/>
      <c r="AF580" s="233"/>
      <c r="AG580" s="233"/>
      <c r="AH580" s="233"/>
      <c r="AI580" s="233"/>
      <c r="AJ580" s="233"/>
      <c r="AK580" s="233"/>
      <c r="AL580" s="233"/>
    </row>
    <row r="581">
      <c r="B581" s="277"/>
      <c r="L581" s="67"/>
      <c r="M581" s="280" t="s">
        <v>2482</v>
      </c>
      <c r="N581" s="234"/>
      <c r="O581" s="281"/>
      <c r="P581" s="233"/>
      <c r="Q581" s="233"/>
      <c r="R581" s="234"/>
      <c r="S581" s="233"/>
      <c r="T581" s="233"/>
      <c r="U581" s="233"/>
      <c r="V581" s="233"/>
      <c r="W581" s="233"/>
      <c r="X581" s="233"/>
      <c r="Y581" s="233"/>
      <c r="Z581" s="233"/>
      <c r="AA581" s="233"/>
      <c r="AB581" s="233"/>
      <c r="AC581" s="233"/>
      <c r="AD581" s="233"/>
      <c r="AE581" s="233"/>
      <c r="AF581" s="233"/>
      <c r="AG581" s="233"/>
      <c r="AH581" s="233"/>
      <c r="AI581" s="233"/>
      <c r="AJ581" s="233"/>
      <c r="AK581" s="233"/>
      <c r="AL581" s="233"/>
    </row>
    <row r="582">
      <c r="B582" s="277"/>
      <c r="L582" s="67"/>
      <c r="M582" s="280" t="s">
        <v>2482</v>
      </c>
      <c r="N582" s="234"/>
      <c r="O582" s="281"/>
      <c r="P582" s="233"/>
      <c r="Q582" s="233"/>
      <c r="R582" s="234"/>
      <c r="S582" s="233"/>
      <c r="T582" s="233"/>
      <c r="U582" s="233"/>
      <c r="V582" s="233"/>
      <c r="W582" s="233"/>
      <c r="X582" s="233"/>
      <c r="Y582" s="233"/>
      <c r="Z582" s="233"/>
      <c r="AA582" s="233"/>
      <c r="AB582" s="233"/>
      <c r="AC582" s="233"/>
      <c r="AD582" s="233"/>
      <c r="AE582" s="233"/>
      <c r="AF582" s="233"/>
      <c r="AG582" s="233"/>
      <c r="AH582" s="233"/>
      <c r="AI582" s="233"/>
      <c r="AJ582" s="233"/>
      <c r="AK582" s="233"/>
      <c r="AL582" s="233"/>
    </row>
    <row r="583">
      <c r="B583" s="277"/>
      <c r="L583" s="67"/>
      <c r="M583" s="280" t="s">
        <v>2482</v>
      </c>
      <c r="N583" s="234"/>
      <c r="O583" s="281"/>
      <c r="P583" s="233"/>
      <c r="Q583" s="233"/>
      <c r="R583" s="234"/>
      <c r="S583" s="233"/>
      <c r="T583" s="233"/>
      <c r="U583" s="233"/>
      <c r="V583" s="233"/>
      <c r="W583" s="233"/>
      <c r="X583" s="233"/>
      <c r="Y583" s="233"/>
      <c r="Z583" s="233"/>
      <c r="AA583" s="233"/>
      <c r="AB583" s="233"/>
      <c r="AC583" s="233"/>
      <c r="AD583" s="233"/>
      <c r="AE583" s="233"/>
      <c r="AF583" s="233"/>
      <c r="AG583" s="233"/>
      <c r="AH583" s="233"/>
      <c r="AI583" s="233"/>
      <c r="AJ583" s="233"/>
      <c r="AK583" s="233"/>
      <c r="AL583" s="233"/>
    </row>
    <row r="584">
      <c r="B584" s="277"/>
      <c r="L584" s="67"/>
      <c r="M584" s="280" t="s">
        <v>2482</v>
      </c>
      <c r="N584" s="234"/>
      <c r="O584" s="281"/>
      <c r="P584" s="233"/>
      <c r="Q584" s="233"/>
      <c r="R584" s="234"/>
      <c r="S584" s="233"/>
      <c r="T584" s="233"/>
      <c r="U584" s="233"/>
      <c r="V584" s="233"/>
      <c r="W584" s="233"/>
      <c r="X584" s="233"/>
      <c r="Y584" s="233"/>
      <c r="Z584" s="233"/>
      <c r="AA584" s="233"/>
      <c r="AB584" s="233"/>
      <c r="AC584" s="233"/>
      <c r="AD584" s="233"/>
      <c r="AE584" s="233"/>
      <c r="AF584" s="233"/>
      <c r="AG584" s="233"/>
      <c r="AH584" s="233"/>
      <c r="AI584" s="233"/>
      <c r="AJ584" s="233"/>
      <c r="AK584" s="233"/>
      <c r="AL584" s="233"/>
    </row>
    <row r="585">
      <c r="B585" s="277"/>
      <c r="L585" s="67"/>
      <c r="M585" s="280" t="s">
        <v>2482</v>
      </c>
      <c r="N585" s="234"/>
      <c r="O585" s="281"/>
      <c r="P585" s="233"/>
      <c r="Q585" s="233"/>
      <c r="R585" s="234"/>
      <c r="S585" s="233"/>
      <c r="T585" s="233"/>
      <c r="U585" s="233"/>
      <c r="V585" s="233"/>
      <c r="W585" s="233"/>
      <c r="X585" s="233"/>
      <c r="Y585" s="233"/>
      <c r="Z585" s="233"/>
      <c r="AA585" s="233"/>
      <c r="AB585" s="233"/>
      <c r="AC585" s="233"/>
      <c r="AD585" s="233"/>
      <c r="AE585" s="233"/>
      <c r="AF585" s="233"/>
      <c r="AG585" s="233"/>
      <c r="AH585" s="233"/>
      <c r="AI585" s="233"/>
      <c r="AJ585" s="233"/>
      <c r="AK585" s="233"/>
      <c r="AL585" s="233"/>
    </row>
    <row r="586">
      <c r="B586" s="277"/>
      <c r="L586" s="67"/>
      <c r="M586" s="280" t="s">
        <v>2482</v>
      </c>
      <c r="N586" s="234"/>
      <c r="O586" s="281"/>
      <c r="P586" s="233"/>
      <c r="Q586" s="233"/>
      <c r="R586" s="234"/>
      <c r="S586" s="233"/>
      <c r="T586" s="233"/>
      <c r="U586" s="233"/>
      <c r="V586" s="233"/>
      <c r="W586" s="233"/>
      <c r="X586" s="233"/>
      <c r="Y586" s="233"/>
      <c r="Z586" s="233"/>
      <c r="AA586" s="233"/>
      <c r="AB586" s="233"/>
      <c r="AC586" s="233"/>
      <c r="AD586" s="233"/>
      <c r="AE586" s="233"/>
      <c r="AF586" s="233"/>
      <c r="AG586" s="233"/>
      <c r="AH586" s="233"/>
      <c r="AI586" s="233"/>
      <c r="AJ586" s="233"/>
      <c r="AK586" s="233"/>
      <c r="AL586" s="233"/>
    </row>
    <row r="587">
      <c r="B587" s="277"/>
      <c r="L587" s="67"/>
      <c r="M587" s="280" t="s">
        <v>2482</v>
      </c>
      <c r="N587" s="234"/>
      <c r="O587" s="281"/>
      <c r="P587" s="233"/>
      <c r="Q587" s="233"/>
      <c r="R587" s="234"/>
      <c r="S587" s="233"/>
      <c r="T587" s="233"/>
      <c r="U587" s="233"/>
      <c r="V587" s="233"/>
      <c r="W587" s="233"/>
      <c r="X587" s="233"/>
      <c r="Y587" s="233"/>
      <c r="Z587" s="233"/>
      <c r="AA587" s="233"/>
      <c r="AB587" s="233"/>
      <c r="AC587" s="233"/>
      <c r="AD587" s="233"/>
      <c r="AE587" s="233"/>
      <c r="AF587" s="233"/>
      <c r="AG587" s="233"/>
      <c r="AH587" s="233"/>
      <c r="AI587" s="233"/>
      <c r="AJ587" s="233"/>
      <c r="AK587" s="233"/>
      <c r="AL587" s="233"/>
    </row>
    <row r="588">
      <c r="B588" s="277"/>
      <c r="L588" s="67"/>
      <c r="M588" s="280" t="s">
        <v>2482</v>
      </c>
      <c r="N588" s="234"/>
      <c r="O588" s="281"/>
      <c r="P588" s="233"/>
      <c r="Q588" s="233"/>
      <c r="R588" s="234"/>
      <c r="S588" s="233"/>
      <c r="T588" s="233"/>
      <c r="U588" s="233"/>
      <c r="V588" s="233"/>
      <c r="W588" s="233"/>
      <c r="X588" s="233"/>
      <c r="Y588" s="233"/>
      <c r="Z588" s="233"/>
      <c r="AA588" s="233"/>
      <c r="AB588" s="233"/>
      <c r="AC588" s="233"/>
      <c r="AD588" s="233"/>
      <c r="AE588" s="233"/>
      <c r="AF588" s="233"/>
      <c r="AG588" s="233"/>
      <c r="AH588" s="233"/>
      <c r="AI588" s="233"/>
      <c r="AJ588" s="233"/>
      <c r="AK588" s="233"/>
      <c r="AL588" s="233"/>
    </row>
    <row r="589">
      <c r="B589" s="277"/>
      <c r="L589" s="67"/>
      <c r="M589" s="280" t="s">
        <v>2482</v>
      </c>
      <c r="N589" s="234"/>
      <c r="O589" s="281"/>
      <c r="P589" s="233"/>
      <c r="Q589" s="233"/>
      <c r="R589" s="234"/>
      <c r="S589" s="233"/>
      <c r="T589" s="233"/>
      <c r="U589" s="233"/>
      <c r="V589" s="233"/>
      <c r="W589" s="233"/>
      <c r="X589" s="233"/>
      <c r="Y589" s="233"/>
      <c r="Z589" s="233"/>
      <c r="AA589" s="233"/>
      <c r="AB589" s="233"/>
      <c r="AC589" s="233"/>
      <c r="AD589" s="233"/>
      <c r="AE589" s="233"/>
      <c r="AF589" s="233"/>
      <c r="AG589" s="233"/>
      <c r="AH589" s="233"/>
      <c r="AI589" s="233"/>
      <c r="AJ589" s="233"/>
      <c r="AK589" s="233"/>
      <c r="AL589" s="233"/>
    </row>
    <row r="590">
      <c r="B590" s="277"/>
      <c r="L590" s="67"/>
      <c r="M590" s="280" t="s">
        <v>2482</v>
      </c>
      <c r="N590" s="234"/>
      <c r="O590" s="281"/>
      <c r="P590" s="233"/>
      <c r="Q590" s="233"/>
      <c r="R590" s="234"/>
      <c r="S590" s="233"/>
      <c r="T590" s="233"/>
      <c r="U590" s="233"/>
      <c r="V590" s="233"/>
      <c r="W590" s="233"/>
      <c r="X590" s="233"/>
      <c r="Y590" s="233"/>
      <c r="Z590" s="233"/>
      <c r="AA590" s="233"/>
      <c r="AB590" s="233"/>
      <c r="AC590" s="233"/>
      <c r="AD590" s="233"/>
      <c r="AE590" s="233"/>
      <c r="AF590" s="233"/>
      <c r="AG590" s="233"/>
      <c r="AH590" s="233"/>
      <c r="AI590" s="233"/>
      <c r="AJ590" s="233"/>
      <c r="AK590" s="233"/>
      <c r="AL590" s="233"/>
    </row>
    <row r="591">
      <c r="B591" s="277"/>
      <c r="L591" s="67"/>
      <c r="M591" s="280" t="s">
        <v>2482</v>
      </c>
      <c r="N591" s="234"/>
      <c r="O591" s="281"/>
      <c r="P591" s="233"/>
      <c r="Q591" s="233"/>
      <c r="R591" s="234"/>
      <c r="S591" s="233"/>
      <c r="T591" s="233"/>
      <c r="U591" s="233"/>
      <c r="V591" s="233"/>
      <c r="W591" s="233"/>
      <c r="X591" s="233"/>
      <c r="Y591" s="233"/>
      <c r="Z591" s="233"/>
      <c r="AA591" s="233"/>
      <c r="AB591" s="233"/>
      <c r="AC591" s="233"/>
      <c r="AD591" s="233"/>
      <c r="AE591" s="233"/>
      <c r="AF591" s="233"/>
      <c r="AG591" s="233"/>
      <c r="AH591" s="233"/>
      <c r="AI591" s="233"/>
      <c r="AJ591" s="233"/>
      <c r="AK591" s="233"/>
      <c r="AL591" s="233"/>
    </row>
    <row r="592">
      <c r="B592" s="277"/>
      <c r="L592" s="67"/>
      <c r="M592" s="280" t="s">
        <v>2482</v>
      </c>
      <c r="N592" s="234"/>
      <c r="O592" s="281"/>
      <c r="P592" s="233"/>
      <c r="Q592" s="233"/>
      <c r="R592" s="234"/>
      <c r="S592" s="233"/>
      <c r="T592" s="233"/>
      <c r="U592" s="233"/>
      <c r="V592" s="233"/>
      <c r="W592" s="233"/>
      <c r="X592" s="233"/>
      <c r="Y592" s="233"/>
      <c r="Z592" s="233"/>
      <c r="AA592" s="233"/>
      <c r="AB592" s="233"/>
      <c r="AC592" s="233"/>
      <c r="AD592" s="233"/>
      <c r="AE592" s="233"/>
      <c r="AF592" s="233"/>
      <c r="AG592" s="233"/>
      <c r="AH592" s="233"/>
      <c r="AI592" s="233"/>
      <c r="AJ592" s="233"/>
      <c r="AK592" s="233"/>
      <c r="AL592" s="233"/>
    </row>
    <row r="593">
      <c r="B593" s="277"/>
      <c r="L593" s="67"/>
      <c r="M593" s="280" t="s">
        <v>2482</v>
      </c>
      <c r="N593" s="234"/>
      <c r="O593" s="281"/>
      <c r="P593" s="233"/>
      <c r="Q593" s="233"/>
      <c r="R593" s="234"/>
      <c r="S593" s="233"/>
      <c r="T593" s="233"/>
      <c r="U593" s="233"/>
      <c r="V593" s="233"/>
      <c r="W593" s="233"/>
      <c r="X593" s="233"/>
      <c r="Y593" s="233"/>
      <c r="Z593" s="233"/>
      <c r="AA593" s="233"/>
      <c r="AB593" s="233"/>
      <c r="AC593" s="233"/>
      <c r="AD593" s="233"/>
      <c r="AE593" s="233"/>
      <c r="AF593" s="233"/>
      <c r="AG593" s="233"/>
      <c r="AH593" s="233"/>
      <c r="AI593" s="233"/>
      <c r="AJ593" s="233"/>
      <c r="AK593" s="233"/>
      <c r="AL593" s="233"/>
    </row>
    <row r="594">
      <c r="B594" s="277"/>
      <c r="L594" s="67"/>
      <c r="M594" s="280" t="s">
        <v>2482</v>
      </c>
      <c r="N594" s="234"/>
      <c r="O594" s="281"/>
      <c r="P594" s="233"/>
      <c r="Q594" s="233"/>
      <c r="R594" s="234"/>
      <c r="S594" s="233"/>
      <c r="T594" s="233"/>
      <c r="U594" s="233"/>
      <c r="V594" s="233"/>
      <c r="W594" s="233"/>
      <c r="X594" s="233"/>
      <c r="Y594" s="233"/>
      <c r="Z594" s="233"/>
      <c r="AA594" s="233"/>
      <c r="AB594" s="233"/>
      <c r="AC594" s="233"/>
      <c r="AD594" s="233"/>
      <c r="AE594" s="233"/>
      <c r="AF594" s="233"/>
      <c r="AG594" s="233"/>
      <c r="AH594" s="233"/>
      <c r="AI594" s="233"/>
      <c r="AJ594" s="233"/>
      <c r="AK594" s="233"/>
      <c r="AL594" s="233"/>
    </row>
    <row r="595">
      <c r="B595" s="277"/>
      <c r="L595" s="67"/>
      <c r="M595" s="280" t="s">
        <v>2482</v>
      </c>
      <c r="N595" s="234"/>
      <c r="O595" s="281"/>
      <c r="P595" s="233"/>
      <c r="Q595" s="233"/>
      <c r="R595" s="234"/>
      <c r="S595" s="233"/>
      <c r="T595" s="233"/>
      <c r="U595" s="233"/>
      <c r="V595" s="233"/>
      <c r="W595" s="233"/>
      <c r="X595" s="233"/>
      <c r="Y595" s="233"/>
      <c r="Z595" s="233"/>
      <c r="AA595" s="233"/>
      <c r="AB595" s="233"/>
      <c r="AC595" s="233"/>
      <c r="AD595" s="233"/>
      <c r="AE595" s="233"/>
      <c r="AF595" s="233"/>
      <c r="AG595" s="233"/>
      <c r="AH595" s="233"/>
      <c r="AI595" s="233"/>
      <c r="AJ595" s="233"/>
      <c r="AK595" s="233"/>
      <c r="AL595" s="233"/>
    </row>
    <row r="596">
      <c r="B596" s="277"/>
      <c r="L596" s="67"/>
      <c r="M596" s="280" t="s">
        <v>2482</v>
      </c>
      <c r="N596" s="234"/>
      <c r="O596" s="281"/>
      <c r="P596" s="233"/>
      <c r="Q596" s="233"/>
      <c r="R596" s="234"/>
      <c r="S596" s="233"/>
      <c r="T596" s="233"/>
      <c r="U596" s="233"/>
      <c r="V596" s="233"/>
      <c r="W596" s="233"/>
      <c r="X596" s="233"/>
      <c r="Y596" s="233"/>
      <c r="Z596" s="233"/>
      <c r="AA596" s="233"/>
      <c r="AB596" s="233"/>
      <c r="AC596" s="233"/>
      <c r="AD596" s="233"/>
      <c r="AE596" s="233"/>
      <c r="AF596" s="233"/>
      <c r="AG596" s="233"/>
      <c r="AH596" s="233"/>
      <c r="AI596" s="233"/>
      <c r="AJ596" s="233"/>
      <c r="AK596" s="233"/>
      <c r="AL596" s="233"/>
    </row>
    <row r="597">
      <c r="B597" s="277"/>
      <c r="L597" s="67"/>
      <c r="M597" s="280" t="s">
        <v>2482</v>
      </c>
      <c r="N597" s="234"/>
      <c r="O597" s="281"/>
      <c r="P597" s="233"/>
      <c r="Q597" s="233"/>
      <c r="R597" s="234"/>
      <c r="S597" s="233"/>
      <c r="T597" s="233"/>
      <c r="U597" s="233"/>
      <c r="V597" s="233"/>
      <c r="W597" s="233"/>
      <c r="X597" s="233"/>
      <c r="Y597" s="233"/>
      <c r="Z597" s="233"/>
      <c r="AA597" s="233"/>
      <c r="AB597" s="233"/>
      <c r="AC597" s="233"/>
      <c r="AD597" s="233"/>
      <c r="AE597" s="233"/>
      <c r="AF597" s="233"/>
      <c r="AG597" s="233"/>
      <c r="AH597" s="233"/>
      <c r="AI597" s="233"/>
      <c r="AJ597" s="233"/>
      <c r="AK597" s="233"/>
      <c r="AL597" s="233"/>
    </row>
    <row r="598">
      <c r="B598" s="277"/>
      <c r="L598" s="67"/>
      <c r="M598" s="280" t="s">
        <v>2482</v>
      </c>
      <c r="N598" s="234"/>
      <c r="O598" s="281"/>
      <c r="P598" s="233"/>
      <c r="Q598" s="233"/>
      <c r="R598" s="234"/>
      <c r="S598" s="233"/>
      <c r="T598" s="233"/>
      <c r="U598" s="233"/>
      <c r="V598" s="233"/>
      <c r="W598" s="233"/>
      <c r="X598" s="233"/>
      <c r="Y598" s="233"/>
      <c r="Z598" s="233"/>
      <c r="AA598" s="233"/>
      <c r="AB598" s="233"/>
      <c r="AC598" s="233"/>
      <c r="AD598" s="233"/>
      <c r="AE598" s="233"/>
      <c r="AF598" s="233"/>
      <c r="AG598" s="233"/>
      <c r="AH598" s="233"/>
      <c r="AI598" s="233"/>
      <c r="AJ598" s="233"/>
      <c r="AK598" s="233"/>
      <c r="AL598" s="233"/>
    </row>
    <row r="599">
      <c r="B599" s="277"/>
      <c r="L599" s="67"/>
      <c r="M599" s="280" t="s">
        <v>2482</v>
      </c>
      <c r="N599" s="234"/>
      <c r="O599" s="281"/>
      <c r="P599" s="233"/>
      <c r="Q599" s="233"/>
      <c r="R599" s="234"/>
      <c r="S599" s="233"/>
      <c r="T599" s="233"/>
      <c r="U599" s="233"/>
      <c r="V599" s="233"/>
      <c r="W599" s="233"/>
      <c r="X599" s="233"/>
      <c r="Y599" s="233"/>
      <c r="Z599" s="233"/>
      <c r="AA599" s="233"/>
      <c r="AB599" s="233"/>
      <c r="AC599" s="233"/>
      <c r="AD599" s="233"/>
      <c r="AE599" s="233"/>
      <c r="AF599" s="233"/>
      <c r="AG599" s="233"/>
      <c r="AH599" s="233"/>
      <c r="AI599" s="233"/>
      <c r="AJ599" s="233"/>
      <c r="AK599" s="233"/>
      <c r="AL599" s="233"/>
    </row>
    <row r="600">
      <c r="B600" s="277"/>
      <c r="L600" s="67"/>
      <c r="M600" s="280" t="s">
        <v>2482</v>
      </c>
      <c r="N600" s="234"/>
      <c r="O600" s="281"/>
      <c r="P600" s="233"/>
      <c r="Q600" s="233"/>
      <c r="R600" s="234"/>
      <c r="S600" s="233"/>
      <c r="T600" s="233"/>
      <c r="U600" s="233"/>
      <c r="V600" s="233"/>
      <c r="W600" s="233"/>
      <c r="X600" s="233"/>
      <c r="Y600" s="233"/>
      <c r="Z600" s="233"/>
      <c r="AA600" s="233"/>
      <c r="AB600" s="233"/>
      <c r="AC600" s="233"/>
      <c r="AD600" s="233"/>
      <c r="AE600" s="233"/>
      <c r="AF600" s="233"/>
      <c r="AG600" s="233"/>
      <c r="AH600" s="233"/>
      <c r="AI600" s="233"/>
      <c r="AJ600" s="233"/>
      <c r="AK600" s="233"/>
      <c r="AL600" s="233"/>
    </row>
    <row r="601">
      <c r="B601" s="277"/>
      <c r="L601" s="67"/>
      <c r="M601" s="280" t="s">
        <v>2482</v>
      </c>
      <c r="N601" s="234"/>
      <c r="O601" s="281"/>
      <c r="P601" s="233"/>
      <c r="Q601" s="233"/>
      <c r="R601" s="234"/>
      <c r="S601" s="233"/>
      <c r="T601" s="233"/>
      <c r="U601" s="233"/>
      <c r="V601" s="233"/>
      <c r="W601" s="233"/>
      <c r="X601" s="233"/>
      <c r="Y601" s="233"/>
      <c r="Z601" s="233"/>
      <c r="AA601" s="233"/>
      <c r="AB601" s="233"/>
      <c r="AC601" s="233"/>
      <c r="AD601" s="233"/>
      <c r="AE601" s="233"/>
      <c r="AF601" s="233"/>
      <c r="AG601" s="233"/>
      <c r="AH601" s="233"/>
      <c r="AI601" s="233"/>
      <c r="AJ601" s="233"/>
      <c r="AK601" s="233"/>
      <c r="AL601" s="233"/>
    </row>
    <row r="602">
      <c r="B602" s="277"/>
      <c r="L602" s="67"/>
      <c r="M602" s="280" t="s">
        <v>2482</v>
      </c>
      <c r="N602" s="234"/>
      <c r="O602" s="281"/>
      <c r="P602" s="233"/>
      <c r="Q602" s="233"/>
      <c r="R602" s="234"/>
      <c r="S602" s="233"/>
      <c r="T602" s="233"/>
      <c r="U602" s="233"/>
      <c r="V602" s="233"/>
      <c r="W602" s="233"/>
      <c r="X602" s="233"/>
      <c r="Y602" s="233"/>
      <c r="Z602" s="233"/>
      <c r="AA602" s="233"/>
      <c r="AB602" s="233"/>
      <c r="AC602" s="233"/>
      <c r="AD602" s="233"/>
      <c r="AE602" s="233"/>
      <c r="AF602" s="233"/>
      <c r="AG602" s="233"/>
      <c r="AH602" s="233"/>
      <c r="AI602" s="233"/>
      <c r="AJ602" s="233"/>
      <c r="AK602" s="233"/>
      <c r="AL602" s="233"/>
    </row>
    <row r="603">
      <c r="B603" s="277"/>
      <c r="L603" s="67"/>
      <c r="M603" s="280" t="s">
        <v>2482</v>
      </c>
      <c r="N603" s="234"/>
      <c r="O603" s="281"/>
      <c r="P603" s="233"/>
      <c r="Q603" s="233"/>
      <c r="R603" s="234"/>
      <c r="S603" s="233"/>
      <c r="T603" s="233"/>
      <c r="U603" s="233"/>
      <c r="V603" s="233"/>
      <c r="W603" s="233"/>
      <c r="X603" s="233"/>
      <c r="Y603" s="233"/>
      <c r="Z603" s="233"/>
      <c r="AA603" s="233"/>
      <c r="AB603" s="233"/>
      <c r="AC603" s="233"/>
      <c r="AD603" s="233"/>
      <c r="AE603" s="233"/>
      <c r="AF603" s="233"/>
      <c r="AG603" s="233"/>
      <c r="AH603" s="233"/>
      <c r="AI603" s="233"/>
      <c r="AJ603" s="233"/>
      <c r="AK603" s="233"/>
      <c r="AL603" s="233"/>
    </row>
    <row r="604">
      <c r="B604" s="277"/>
      <c r="L604" s="67"/>
      <c r="M604" s="280" t="s">
        <v>2482</v>
      </c>
      <c r="N604" s="234"/>
      <c r="O604" s="281"/>
      <c r="P604" s="233"/>
      <c r="Q604" s="233"/>
      <c r="R604" s="234"/>
      <c r="S604" s="233"/>
      <c r="T604" s="233"/>
      <c r="U604" s="233"/>
      <c r="V604" s="233"/>
      <c r="W604" s="233"/>
      <c r="X604" s="233"/>
      <c r="Y604" s="233"/>
      <c r="Z604" s="233"/>
      <c r="AA604" s="233"/>
      <c r="AB604" s="233"/>
      <c r="AC604" s="233"/>
      <c r="AD604" s="233"/>
      <c r="AE604" s="233"/>
      <c r="AF604" s="233"/>
      <c r="AG604" s="233"/>
      <c r="AH604" s="233"/>
      <c r="AI604" s="233"/>
      <c r="AJ604" s="233"/>
      <c r="AK604" s="233"/>
      <c r="AL604" s="233"/>
    </row>
    <row r="605">
      <c r="B605" s="277"/>
      <c r="L605" s="67"/>
      <c r="M605" s="280" t="s">
        <v>2482</v>
      </c>
      <c r="N605" s="234"/>
      <c r="O605" s="281"/>
      <c r="P605" s="233"/>
      <c r="Q605" s="233"/>
      <c r="R605" s="234"/>
      <c r="S605" s="233"/>
      <c r="T605" s="233"/>
      <c r="U605" s="233"/>
      <c r="V605" s="233"/>
      <c r="W605" s="233"/>
      <c r="X605" s="233"/>
      <c r="Y605" s="233"/>
      <c r="Z605" s="233"/>
      <c r="AA605" s="233"/>
      <c r="AB605" s="233"/>
      <c r="AC605" s="233"/>
      <c r="AD605" s="233"/>
      <c r="AE605" s="233"/>
      <c r="AF605" s="233"/>
      <c r="AG605" s="233"/>
      <c r="AH605" s="233"/>
      <c r="AI605" s="233"/>
      <c r="AJ605" s="233"/>
      <c r="AK605" s="233"/>
      <c r="AL605" s="233"/>
    </row>
    <row r="606">
      <c r="B606" s="277"/>
      <c r="L606" s="67"/>
      <c r="M606" s="280" t="s">
        <v>2482</v>
      </c>
      <c r="N606" s="234"/>
      <c r="O606" s="281"/>
      <c r="P606" s="233"/>
      <c r="Q606" s="233"/>
      <c r="R606" s="234"/>
      <c r="S606" s="233"/>
      <c r="T606" s="233"/>
      <c r="U606" s="233"/>
      <c r="V606" s="233"/>
      <c r="W606" s="233"/>
      <c r="X606" s="233"/>
      <c r="Y606" s="233"/>
      <c r="Z606" s="233"/>
      <c r="AA606" s="233"/>
      <c r="AB606" s="233"/>
      <c r="AC606" s="233"/>
      <c r="AD606" s="233"/>
      <c r="AE606" s="233"/>
      <c r="AF606" s="233"/>
      <c r="AG606" s="233"/>
      <c r="AH606" s="233"/>
      <c r="AI606" s="233"/>
      <c r="AJ606" s="233"/>
      <c r="AK606" s="233"/>
      <c r="AL606" s="233"/>
    </row>
    <row r="607">
      <c r="B607" s="277"/>
      <c r="L607" s="67"/>
      <c r="M607" s="280" t="s">
        <v>2482</v>
      </c>
      <c r="N607" s="234"/>
      <c r="O607" s="281"/>
      <c r="P607" s="233"/>
      <c r="Q607" s="233"/>
      <c r="R607" s="234"/>
      <c r="S607" s="233"/>
      <c r="T607" s="233"/>
      <c r="U607" s="233"/>
      <c r="V607" s="233"/>
      <c r="W607" s="233"/>
      <c r="X607" s="233"/>
      <c r="Y607" s="233"/>
      <c r="Z607" s="233"/>
      <c r="AA607" s="233"/>
      <c r="AB607" s="233"/>
      <c r="AC607" s="233"/>
      <c r="AD607" s="233"/>
      <c r="AE607" s="233"/>
      <c r="AF607" s="233"/>
      <c r="AG607" s="233"/>
      <c r="AH607" s="233"/>
      <c r="AI607" s="233"/>
      <c r="AJ607" s="233"/>
      <c r="AK607" s="233"/>
      <c r="AL607" s="233"/>
    </row>
    <row r="608">
      <c r="B608" s="277"/>
      <c r="L608" s="67"/>
      <c r="M608" s="280" t="s">
        <v>2482</v>
      </c>
      <c r="N608" s="234"/>
      <c r="O608" s="281"/>
      <c r="P608" s="233"/>
      <c r="Q608" s="233"/>
      <c r="R608" s="234"/>
      <c r="S608" s="233"/>
      <c r="T608" s="233"/>
      <c r="U608" s="233"/>
      <c r="V608" s="233"/>
      <c r="W608" s="233"/>
      <c r="X608" s="233"/>
      <c r="Y608" s="233"/>
      <c r="Z608" s="233"/>
      <c r="AA608" s="233"/>
      <c r="AB608" s="233"/>
      <c r="AC608" s="233"/>
      <c r="AD608" s="233"/>
      <c r="AE608" s="233"/>
      <c r="AF608" s="233"/>
      <c r="AG608" s="233"/>
      <c r="AH608" s="233"/>
      <c r="AI608" s="233"/>
      <c r="AJ608" s="233"/>
      <c r="AK608" s="233"/>
      <c r="AL608" s="233"/>
    </row>
    <row r="609">
      <c r="B609" s="277"/>
      <c r="L609" s="67"/>
      <c r="M609" s="280" t="s">
        <v>2482</v>
      </c>
      <c r="N609" s="234"/>
      <c r="O609" s="281"/>
      <c r="P609" s="233"/>
      <c r="Q609" s="233"/>
      <c r="R609" s="234"/>
      <c r="S609" s="233"/>
      <c r="T609" s="233"/>
      <c r="U609" s="233"/>
      <c r="V609" s="233"/>
      <c r="W609" s="233"/>
      <c r="X609" s="233"/>
      <c r="Y609" s="233"/>
      <c r="Z609" s="233"/>
      <c r="AA609" s="233"/>
      <c r="AB609" s="233"/>
      <c r="AC609" s="233"/>
      <c r="AD609" s="233"/>
      <c r="AE609" s="233"/>
      <c r="AF609" s="233"/>
      <c r="AG609" s="233"/>
      <c r="AH609" s="233"/>
      <c r="AI609" s="233"/>
      <c r="AJ609" s="233"/>
      <c r="AK609" s="233"/>
      <c r="AL609" s="233"/>
    </row>
    <row r="610">
      <c r="B610" s="277"/>
      <c r="L610" s="67"/>
      <c r="M610" s="280" t="s">
        <v>2482</v>
      </c>
      <c r="N610" s="234"/>
      <c r="O610" s="281"/>
      <c r="P610" s="233"/>
      <c r="Q610" s="233"/>
      <c r="R610" s="234"/>
      <c r="S610" s="233"/>
      <c r="T610" s="233"/>
      <c r="U610" s="233"/>
      <c r="V610" s="233"/>
      <c r="W610" s="233"/>
      <c r="X610" s="233"/>
      <c r="Y610" s="233"/>
      <c r="Z610" s="233"/>
      <c r="AA610" s="233"/>
      <c r="AB610" s="233"/>
      <c r="AC610" s="233"/>
      <c r="AD610" s="233"/>
      <c r="AE610" s="233"/>
      <c r="AF610" s="233"/>
      <c r="AG610" s="233"/>
      <c r="AH610" s="233"/>
      <c r="AI610" s="233"/>
      <c r="AJ610" s="233"/>
      <c r="AK610" s="233"/>
      <c r="AL610" s="233"/>
    </row>
    <row r="611">
      <c r="B611" s="277"/>
      <c r="L611" s="67"/>
      <c r="M611" s="280" t="s">
        <v>2482</v>
      </c>
      <c r="N611" s="234"/>
      <c r="O611" s="281"/>
      <c r="P611" s="233"/>
      <c r="Q611" s="233"/>
      <c r="R611" s="234"/>
      <c r="S611" s="233"/>
      <c r="T611" s="233"/>
      <c r="U611" s="233"/>
      <c r="V611" s="233"/>
      <c r="W611" s="233"/>
      <c r="X611" s="233"/>
      <c r="Y611" s="233"/>
      <c r="Z611" s="233"/>
      <c r="AA611" s="233"/>
      <c r="AB611" s="233"/>
      <c r="AC611" s="233"/>
      <c r="AD611" s="233"/>
      <c r="AE611" s="233"/>
      <c r="AF611" s="233"/>
      <c r="AG611" s="233"/>
      <c r="AH611" s="233"/>
      <c r="AI611" s="233"/>
      <c r="AJ611" s="233"/>
      <c r="AK611" s="233"/>
      <c r="AL611" s="233"/>
    </row>
    <row r="612">
      <c r="B612" s="277"/>
      <c r="L612" s="67"/>
      <c r="M612" s="280" t="s">
        <v>2482</v>
      </c>
      <c r="N612" s="234"/>
      <c r="O612" s="281"/>
      <c r="P612" s="233"/>
      <c r="Q612" s="233"/>
      <c r="R612" s="234"/>
      <c r="S612" s="233"/>
      <c r="T612" s="233"/>
      <c r="U612" s="233"/>
      <c r="V612" s="233"/>
      <c r="W612" s="233"/>
      <c r="X612" s="233"/>
      <c r="Y612" s="233"/>
      <c r="Z612" s="233"/>
      <c r="AA612" s="233"/>
      <c r="AB612" s="233"/>
      <c r="AC612" s="233"/>
      <c r="AD612" s="233"/>
      <c r="AE612" s="233"/>
      <c r="AF612" s="233"/>
      <c r="AG612" s="233"/>
      <c r="AH612" s="233"/>
      <c r="AI612" s="233"/>
      <c r="AJ612" s="233"/>
      <c r="AK612" s="233"/>
      <c r="AL612" s="233"/>
    </row>
    <row r="613">
      <c r="B613" s="277"/>
      <c r="L613" s="67"/>
      <c r="M613" s="280" t="s">
        <v>2482</v>
      </c>
      <c r="N613" s="234"/>
      <c r="O613" s="281"/>
      <c r="P613" s="233"/>
      <c r="Q613" s="233"/>
      <c r="R613" s="234"/>
      <c r="S613" s="233"/>
      <c r="T613" s="233"/>
      <c r="U613" s="233"/>
      <c r="V613" s="233"/>
      <c r="W613" s="233"/>
      <c r="X613" s="233"/>
      <c r="Y613" s="233"/>
      <c r="Z613" s="233"/>
      <c r="AA613" s="233"/>
      <c r="AB613" s="233"/>
      <c r="AC613" s="233"/>
      <c r="AD613" s="233"/>
      <c r="AE613" s="233"/>
      <c r="AF613" s="233"/>
      <c r="AG613" s="233"/>
      <c r="AH613" s="233"/>
      <c r="AI613" s="233"/>
      <c r="AJ613" s="233"/>
      <c r="AK613" s="233"/>
      <c r="AL613" s="233"/>
    </row>
    <row r="614">
      <c r="B614" s="277"/>
      <c r="L614" s="67"/>
      <c r="M614" s="280" t="s">
        <v>2482</v>
      </c>
      <c r="N614" s="234"/>
      <c r="O614" s="281"/>
      <c r="P614" s="233"/>
      <c r="Q614" s="233"/>
      <c r="R614" s="234"/>
      <c r="S614" s="233"/>
      <c r="T614" s="233"/>
      <c r="U614" s="233"/>
      <c r="V614" s="233"/>
      <c r="W614" s="233"/>
      <c r="X614" s="233"/>
      <c r="Y614" s="233"/>
      <c r="Z614" s="233"/>
      <c r="AA614" s="233"/>
      <c r="AB614" s="233"/>
      <c r="AC614" s="233"/>
      <c r="AD614" s="233"/>
      <c r="AE614" s="233"/>
      <c r="AF614" s="233"/>
      <c r="AG614" s="233"/>
      <c r="AH614" s="233"/>
      <c r="AI614" s="233"/>
      <c r="AJ614" s="233"/>
      <c r="AK614" s="233"/>
      <c r="AL614" s="233"/>
    </row>
    <row r="615">
      <c r="B615" s="277"/>
      <c r="L615" s="67"/>
      <c r="M615" s="280" t="s">
        <v>2482</v>
      </c>
      <c r="N615" s="234"/>
      <c r="O615" s="281"/>
      <c r="P615" s="233"/>
      <c r="Q615" s="233"/>
      <c r="R615" s="234"/>
      <c r="S615" s="233"/>
      <c r="T615" s="233"/>
      <c r="U615" s="233"/>
      <c r="V615" s="233"/>
      <c r="W615" s="233"/>
      <c r="X615" s="233"/>
      <c r="Y615" s="233"/>
      <c r="Z615" s="233"/>
      <c r="AA615" s="233"/>
      <c r="AB615" s="233"/>
      <c r="AC615" s="233"/>
      <c r="AD615" s="233"/>
      <c r="AE615" s="233"/>
      <c r="AF615" s="233"/>
      <c r="AG615" s="233"/>
      <c r="AH615" s="233"/>
      <c r="AI615" s="233"/>
      <c r="AJ615" s="233"/>
      <c r="AK615" s="233"/>
      <c r="AL615" s="233"/>
    </row>
    <row r="616">
      <c r="B616" s="277"/>
      <c r="L616" s="67"/>
      <c r="M616" s="280" t="s">
        <v>2482</v>
      </c>
      <c r="N616" s="234"/>
      <c r="O616" s="281"/>
      <c r="P616" s="233"/>
      <c r="Q616" s="233"/>
      <c r="R616" s="234"/>
      <c r="S616" s="233"/>
      <c r="T616" s="233"/>
      <c r="U616" s="233"/>
      <c r="V616" s="233"/>
      <c r="W616" s="233"/>
      <c r="X616" s="233"/>
      <c r="Y616" s="233"/>
      <c r="Z616" s="233"/>
      <c r="AA616" s="233"/>
      <c r="AB616" s="233"/>
      <c r="AC616" s="233"/>
      <c r="AD616" s="233"/>
      <c r="AE616" s="233"/>
      <c r="AF616" s="233"/>
      <c r="AG616" s="233"/>
      <c r="AH616" s="233"/>
      <c r="AI616" s="233"/>
      <c r="AJ616" s="233"/>
      <c r="AK616" s="233"/>
      <c r="AL616" s="233"/>
    </row>
    <row r="617">
      <c r="B617" s="277"/>
      <c r="L617" s="67"/>
      <c r="M617" s="280" t="s">
        <v>2482</v>
      </c>
      <c r="N617" s="234"/>
      <c r="O617" s="281"/>
      <c r="P617" s="233"/>
      <c r="Q617" s="233"/>
      <c r="R617" s="234"/>
      <c r="S617" s="233"/>
      <c r="T617" s="233"/>
      <c r="U617" s="233"/>
      <c r="V617" s="233"/>
      <c r="W617" s="233"/>
      <c r="X617" s="233"/>
      <c r="Y617" s="233"/>
      <c r="Z617" s="233"/>
      <c r="AA617" s="233"/>
      <c r="AB617" s="233"/>
      <c r="AC617" s="233"/>
      <c r="AD617" s="233"/>
      <c r="AE617" s="233"/>
      <c r="AF617" s="233"/>
      <c r="AG617" s="233"/>
      <c r="AH617" s="233"/>
      <c r="AI617" s="233"/>
      <c r="AJ617" s="233"/>
      <c r="AK617" s="233"/>
      <c r="AL617" s="233"/>
    </row>
    <row r="618">
      <c r="B618" s="277"/>
      <c r="L618" s="67"/>
      <c r="M618" s="280" t="s">
        <v>2482</v>
      </c>
      <c r="N618" s="234"/>
      <c r="O618" s="281"/>
      <c r="P618" s="233"/>
      <c r="Q618" s="233"/>
      <c r="R618" s="234"/>
      <c r="S618" s="233"/>
      <c r="T618" s="233"/>
      <c r="U618" s="233"/>
      <c r="V618" s="233"/>
      <c r="W618" s="233"/>
      <c r="X618" s="233"/>
      <c r="Y618" s="233"/>
      <c r="Z618" s="233"/>
      <c r="AA618" s="233"/>
      <c r="AB618" s="233"/>
      <c r="AC618" s="233"/>
      <c r="AD618" s="233"/>
      <c r="AE618" s="233"/>
      <c r="AF618" s="233"/>
      <c r="AG618" s="233"/>
      <c r="AH618" s="233"/>
      <c r="AI618" s="233"/>
      <c r="AJ618" s="233"/>
      <c r="AK618" s="233"/>
      <c r="AL618" s="233"/>
    </row>
    <row r="619">
      <c r="B619" s="277"/>
      <c r="L619" s="67"/>
      <c r="M619" s="280" t="s">
        <v>2482</v>
      </c>
      <c r="N619" s="234"/>
      <c r="O619" s="281"/>
      <c r="P619" s="233"/>
      <c r="Q619" s="233"/>
      <c r="R619" s="234"/>
      <c r="S619" s="233"/>
      <c r="T619" s="233"/>
      <c r="U619" s="233"/>
      <c r="V619" s="233"/>
      <c r="W619" s="233"/>
      <c r="X619" s="233"/>
      <c r="Y619" s="233"/>
      <c r="Z619" s="233"/>
      <c r="AA619" s="233"/>
      <c r="AB619" s="233"/>
      <c r="AC619" s="233"/>
      <c r="AD619" s="233"/>
      <c r="AE619" s="233"/>
      <c r="AF619" s="233"/>
      <c r="AG619" s="233"/>
      <c r="AH619" s="233"/>
      <c r="AI619" s="233"/>
      <c r="AJ619" s="233"/>
      <c r="AK619" s="233"/>
      <c r="AL619" s="233"/>
    </row>
    <row r="620">
      <c r="B620" s="277"/>
      <c r="L620" s="67"/>
      <c r="M620" s="280" t="s">
        <v>2482</v>
      </c>
      <c r="N620" s="234"/>
      <c r="O620" s="281"/>
      <c r="P620" s="233"/>
      <c r="Q620" s="233"/>
      <c r="R620" s="234"/>
      <c r="S620" s="233"/>
      <c r="T620" s="233"/>
      <c r="U620" s="233"/>
      <c r="V620" s="233"/>
      <c r="W620" s="233"/>
      <c r="X620" s="233"/>
      <c r="Y620" s="233"/>
      <c r="Z620" s="233"/>
      <c r="AA620" s="233"/>
      <c r="AB620" s="233"/>
      <c r="AC620" s="233"/>
      <c r="AD620" s="233"/>
      <c r="AE620" s="233"/>
      <c r="AF620" s="233"/>
      <c r="AG620" s="233"/>
      <c r="AH620" s="233"/>
      <c r="AI620" s="233"/>
      <c r="AJ620" s="233"/>
      <c r="AK620" s="233"/>
      <c r="AL620" s="233"/>
    </row>
    <row r="621">
      <c r="B621" s="277"/>
      <c r="L621" s="67"/>
      <c r="M621" s="280" t="s">
        <v>2482</v>
      </c>
      <c r="N621" s="234"/>
      <c r="O621" s="281"/>
      <c r="P621" s="233"/>
      <c r="Q621" s="233"/>
      <c r="R621" s="234"/>
      <c r="S621" s="233"/>
      <c r="T621" s="233"/>
      <c r="U621" s="233"/>
      <c r="V621" s="233"/>
      <c r="W621" s="233"/>
      <c r="X621" s="233"/>
      <c r="Y621" s="233"/>
      <c r="Z621" s="233"/>
      <c r="AA621" s="233"/>
      <c r="AB621" s="233"/>
      <c r="AC621" s="233"/>
      <c r="AD621" s="233"/>
      <c r="AE621" s="233"/>
      <c r="AF621" s="233"/>
      <c r="AG621" s="233"/>
      <c r="AH621" s="233"/>
      <c r="AI621" s="233"/>
      <c r="AJ621" s="233"/>
      <c r="AK621" s="233"/>
      <c r="AL621" s="233"/>
    </row>
    <row r="622">
      <c r="B622" s="277"/>
      <c r="L622" s="67"/>
      <c r="M622" s="280" t="s">
        <v>2482</v>
      </c>
      <c r="N622" s="234"/>
      <c r="O622" s="281"/>
      <c r="P622" s="233"/>
      <c r="Q622" s="233"/>
      <c r="R622" s="234"/>
      <c r="S622" s="233"/>
      <c r="T622" s="233"/>
      <c r="U622" s="233"/>
      <c r="V622" s="233"/>
      <c r="W622" s="233"/>
      <c r="X622" s="233"/>
      <c r="Y622" s="233"/>
      <c r="Z622" s="233"/>
      <c r="AA622" s="233"/>
      <c r="AB622" s="233"/>
      <c r="AC622" s="233"/>
      <c r="AD622" s="233"/>
      <c r="AE622" s="233"/>
      <c r="AF622" s="233"/>
      <c r="AG622" s="233"/>
      <c r="AH622" s="233"/>
      <c r="AI622" s="233"/>
      <c r="AJ622" s="233"/>
      <c r="AK622" s="233"/>
      <c r="AL622" s="233"/>
    </row>
    <row r="623">
      <c r="B623" s="277"/>
      <c r="L623" s="67"/>
      <c r="M623" s="280" t="s">
        <v>2482</v>
      </c>
      <c r="N623" s="234"/>
      <c r="O623" s="281"/>
      <c r="P623" s="233"/>
      <c r="Q623" s="233"/>
      <c r="R623" s="234"/>
      <c r="S623" s="233"/>
      <c r="T623" s="233"/>
      <c r="U623" s="233"/>
      <c r="V623" s="233"/>
      <c r="W623" s="233"/>
      <c r="X623" s="233"/>
      <c r="Y623" s="233"/>
      <c r="Z623" s="233"/>
      <c r="AA623" s="233"/>
      <c r="AB623" s="233"/>
      <c r="AC623" s="233"/>
      <c r="AD623" s="233"/>
      <c r="AE623" s="233"/>
      <c r="AF623" s="233"/>
      <c r="AG623" s="233"/>
      <c r="AH623" s="233"/>
      <c r="AI623" s="233"/>
      <c r="AJ623" s="233"/>
      <c r="AK623" s="233"/>
      <c r="AL623" s="233"/>
    </row>
    <row r="624">
      <c r="B624" s="277"/>
      <c r="L624" s="67"/>
      <c r="M624" s="280" t="s">
        <v>2482</v>
      </c>
      <c r="N624" s="234"/>
      <c r="O624" s="281"/>
      <c r="P624" s="233"/>
      <c r="Q624" s="233"/>
      <c r="R624" s="234"/>
      <c r="S624" s="233"/>
      <c r="T624" s="233"/>
      <c r="U624" s="233"/>
      <c r="V624" s="233"/>
      <c r="W624" s="233"/>
      <c r="X624" s="233"/>
      <c r="Y624" s="233"/>
      <c r="Z624" s="233"/>
      <c r="AA624" s="233"/>
      <c r="AB624" s="233"/>
      <c r="AC624" s="233"/>
      <c r="AD624" s="233"/>
      <c r="AE624" s="233"/>
      <c r="AF624" s="233"/>
      <c r="AG624" s="233"/>
      <c r="AH624" s="233"/>
      <c r="AI624" s="233"/>
      <c r="AJ624" s="233"/>
      <c r="AK624" s="233"/>
      <c r="AL624" s="233"/>
    </row>
    <row r="625">
      <c r="B625" s="277"/>
      <c r="L625" s="67"/>
      <c r="M625" s="280" t="s">
        <v>2482</v>
      </c>
      <c r="N625" s="234"/>
      <c r="O625" s="281"/>
      <c r="P625" s="233"/>
      <c r="Q625" s="233"/>
      <c r="R625" s="234"/>
      <c r="S625" s="233"/>
      <c r="T625" s="233"/>
      <c r="U625" s="233"/>
      <c r="V625" s="233"/>
      <c r="W625" s="233"/>
      <c r="X625" s="233"/>
      <c r="Y625" s="233"/>
      <c r="Z625" s="233"/>
      <c r="AA625" s="233"/>
      <c r="AB625" s="233"/>
      <c r="AC625" s="233"/>
      <c r="AD625" s="233"/>
      <c r="AE625" s="233"/>
      <c r="AF625" s="233"/>
      <c r="AG625" s="233"/>
      <c r="AH625" s="233"/>
      <c r="AI625" s="233"/>
      <c r="AJ625" s="233"/>
      <c r="AK625" s="233"/>
      <c r="AL625" s="233"/>
    </row>
    <row r="626">
      <c r="B626" s="277"/>
      <c r="L626" s="67"/>
      <c r="M626" s="280" t="s">
        <v>2482</v>
      </c>
      <c r="N626" s="234"/>
      <c r="O626" s="281"/>
      <c r="P626" s="233"/>
      <c r="Q626" s="233"/>
      <c r="R626" s="234"/>
      <c r="S626" s="233"/>
      <c r="T626" s="233"/>
      <c r="U626" s="233"/>
      <c r="V626" s="233"/>
      <c r="W626" s="233"/>
      <c r="X626" s="233"/>
      <c r="Y626" s="233"/>
      <c r="Z626" s="233"/>
      <c r="AA626" s="233"/>
      <c r="AB626" s="233"/>
      <c r="AC626" s="233"/>
      <c r="AD626" s="233"/>
      <c r="AE626" s="233"/>
      <c r="AF626" s="233"/>
      <c r="AG626" s="233"/>
      <c r="AH626" s="233"/>
      <c r="AI626" s="233"/>
      <c r="AJ626" s="233"/>
      <c r="AK626" s="233"/>
      <c r="AL626" s="233"/>
    </row>
    <row r="627">
      <c r="B627" s="277"/>
      <c r="L627" s="67"/>
      <c r="M627" s="280" t="s">
        <v>2482</v>
      </c>
      <c r="N627" s="234"/>
      <c r="O627" s="281"/>
      <c r="P627" s="233"/>
      <c r="Q627" s="233"/>
      <c r="R627" s="234"/>
      <c r="S627" s="233"/>
      <c r="T627" s="233"/>
      <c r="U627" s="233"/>
      <c r="V627" s="233"/>
      <c r="W627" s="233"/>
      <c r="X627" s="233"/>
      <c r="Y627" s="233"/>
      <c r="Z627" s="233"/>
      <c r="AA627" s="233"/>
      <c r="AB627" s="233"/>
      <c r="AC627" s="233"/>
      <c r="AD627" s="233"/>
      <c r="AE627" s="233"/>
      <c r="AF627" s="233"/>
      <c r="AG627" s="233"/>
      <c r="AH627" s="233"/>
      <c r="AI627" s="233"/>
      <c r="AJ627" s="233"/>
      <c r="AK627" s="233"/>
      <c r="AL627" s="233"/>
    </row>
    <row r="628">
      <c r="B628" s="277"/>
      <c r="L628" s="67"/>
      <c r="M628" s="280" t="s">
        <v>2482</v>
      </c>
      <c r="N628" s="234"/>
      <c r="O628" s="281"/>
      <c r="P628" s="233"/>
      <c r="Q628" s="233"/>
      <c r="R628" s="234"/>
      <c r="S628" s="233"/>
      <c r="T628" s="233"/>
      <c r="U628" s="233"/>
      <c r="V628" s="233"/>
      <c r="W628" s="233"/>
      <c r="X628" s="233"/>
      <c r="Y628" s="233"/>
      <c r="Z628" s="233"/>
      <c r="AA628" s="233"/>
      <c r="AB628" s="233"/>
      <c r="AC628" s="233"/>
      <c r="AD628" s="233"/>
      <c r="AE628" s="233"/>
      <c r="AF628" s="233"/>
      <c r="AG628" s="233"/>
      <c r="AH628" s="233"/>
      <c r="AI628" s="233"/>
      <c r="AJ628" s="233"/>
      <c r="AK628" s="233"/>
      <c r="AL628" s="233"/>
    </row>
    <row r="629">
      <c r="B629" s="277"/>
      <c r="L629" s="67"/>
      <c r="M629" s="280" t="s">
        <v>2482</v>
      </c>
      <c r="N629" s="234"/>
      <c r="O629" s="281"/>
      <c r="P629" s="233"/>
      <c r="Q629" s="233"/>
      <c r="R629" s="234"/>
      <c r="S629" s="233"/>
      <c r="T629" s="233"/>
      <c r="U629" s="233"/>
      <c r="V629" s="233"/>
      <c r="W629" s="233"/>
      <c r="X629" s="233"/>
      <c r="Y629" s="233"/>
      <c r="Z629" s="233"/>
      <c r="AA629" s="233"/>
      <c r="AB629" s="233"/>
      <c r="AC629" s="233"/>
      <c r="AD629" s="233"/>
      <c r="AE629" s="233"/>
      <c r="AF629" s="233"/>
      <c r="AG629" s="233"/>
      <c r="AH629" s="233"/>
      <c r="AI629" s="233"/>
      <c r="AJ629" s="233"/>
      <c r="AK629" s="233"/>
      <c r="AL629" s="233"/>
    </row>
    <row r="630">
      <c r="B630" s="277"/>
      <c r="L630" s="67"/>
      <c r="M630" s="280" t="s">
        <v>2482</v>
      </c>
      <c r="N630" s="234"/>
      <c r="O630" s="281"/>
      <c r="P630" s="233"/>
      <c r="Q630" s="233"/>
      <c r="R630" s="234"/>
      <c r="S630" s="233"/>
      <c r="T630" s="233"/>
      <c r="U630" s="233"/>
      <c r="V630" s="233"/>
      <c r="W630" s="233"/>
      <c r="X630" s="233"/>
      <c r="Y630" s="233"/>
      <c r="Z630" s="233"/>
      <c r="AA630" s="233"/>
      <c r="AB630" s="233"/>
      <c r="AC630" s="233"/>
      <c r="AD630" s="233"/>
      <c r="AE630" s="233"/>
      <c r="AF630" s="233"/>
      <c r="AG630" s="233"/>
      <c r="AH630" s="233"/>
      <c r="AI630" s="233"/>
      <c r="AJ630" s="233"/>
      <c r="AK630" s="233"/>
      <c r="AL630" s="233"/>
    </row>
    <row r="631">
      <c r="B631" s="277"/>
      <c r="L631" s="67"/>
      <c r="M631" s="280" t="s">
        <v>2482</v>
      </c>
      <c r="N631" s="234"/>
      <c r="O631" s="281"/>
      <c r="P631" s="233"/>
      <c r="Q631" s="233"/>
      <c r="R631" s="234"/>
      <c r="S631" s="233"/>
      <c r="T631" s="233"/>
      <c r="U631" s="233"/>
      <c r="V631" s="233"/>
      <c r="W631" s="233"/>
      <c r="X631" s="233"/>
      <c r="Y631" s="233"/>
      <c r="Z631" s="233"/>
      <c r="AA631" s="233"/>
      <c r="AB631" s="233"/>
      <c r="AC631" s="233"/>
      <c r="AD631" s="233"/>
      <c r="AE631" s="233"/>
      <c r="AF631" s="233"/>
      <c r="AG631" s="233"/>
      <c r="AH631" s="233"/>
      <c r="AI631" s="233"/>
      <c r="AJ631" s="233"/>
      <c r="AK631" s="233"/>
      <c r="AL631" s="233"/>
    </row>
    <row r="632">
      <c r="B632" s="277"/>
      <c r="L632" s="67"/>
      <c r="M632" s="280" t="s">
        <v>2482</v>
      </c>
      <c r="N632" s="234"/>
      <c r="O632" s="281"/>
      <c r="P632" s="233"/>
      <c r="Q632" s="233"/>
      <c r="R632" s="234"/>
      <c r="S632" s="233"/>
      <c r="T632" s="233"/>
      <c r="U632" s="233"/>
      <c r="V632" s="233"/>
      <c r="W632" s="233"/>
      <c r="X632" s="233"/>
      <c r="Y632" s="233"/>
      <c r="Z632" s="233"/>
      <c r="AA632" s="233"/>
      <c r="AB632" s="233"/>
      <c r="AC632" s="233"/>
      <c r="AD632" s="233"/>
      <c r="AE632" s="233"/>
      <c r="AF632" s="233"/>
      <c r="AG632" s="233"/>
      <c r="AH632" s="233"/>
      <c r="AI632" s="233"/>
      <c r="AJ632" s="233"/>
      <c r="AK632" s="233"/>
      <c r="AL632" s="233"/>
    </row>
    <row r="633">
      <c r="B633" s="277"/>
      <c r="L633" s="67"/>
      <c r="M633" s="280" t="s">
        <v>2482</v>
      </c>
      <c r="N633" s="234"/>
      <c r="O633" s="281"/>
      <c r="P633" s="233"/>
      <c r="Q633" s="233"/>
      <c r="R633" s="234"/>
      <c r="S633" s="233"/>
      <c r="T633" s="233"/>
      <c r="U633" s="233"/>
      <c r="V633" s="233"/>
      <c r="W633" s="233"/>
      <c r="X633" s="233"/>
      <c r="Y633" s="233"/>
      <c r="Z633" s="233"/>
      <c r="AA633" s="233"/>
      <c r="AB633" s="233"/>
      <c r="AC633" s="233"/>
      <c r="AD633" s="233"/>
      <c r="AE633" s="233"/>
      <c r="AF633" s="233"/>
      <c r="AG633" s="233"/>
      <c r="AH633" s="233"/>
      <c r="AI633" s="233"/>
      <c r="AJ633" s="233"/>
      <c r="AK633" s="233"/>
      <c r="AL633" s="233"/>
    </row>
    <row r="634">
      <c r="B634" s="277"/>
      <c r="L634" s="67"/>
      <c r="M634" s="280" t="s">
        <v>2482</v>
      </c>
      <c r="N634" s="234"/>
      <c r="O634" s="281"/>
      <c r="P634" s="233"/>
      <c r="Q634" s="233"/>
      <c r="R634" s="234"/>
      <c r="S634" s="233"/>
      <c r="T634" s="233"/>
      <c r="U634" s="233"/>
      <c r="V634" s="233"/>
      <c r="W634" s="233"/>
      <c r="X634" s="233"/>
      <c r="Y634" s="233"/>
      <c r="Z634" s="233"/>
      <c r="AA634" s="233"/>
      <c r="AB634" s="233"/>
      <c r="AC634" s="233"/>
      <c r="AD634" s="233"/>
      <c r="AE634" s="233"/>
      <c r="AF634" s="233"/>
      <c r="AG634" s="233"/>
      <c r="AH634" s="233"/>
      <c r="AI634" s="233"/>
      <c r="AJ634" s="233"/>
      <c r="AK634" s="233"/>
      <c r="AL634" s="233"/>
    </row>
    <row r="635">
      <c r="B635" s="277"/>
      <c r="L635" s="67"/>
      <c r="M635" s="280" t="s">
        <v>2482</v>
      </c>
      <c r="N635" s="234"/>
      <c r="O635" s="281"/>
      <c r="P635" s="233"/>
      <c r="Q635" s="233"/>
      <c r="R635" s="234"/>
      <c r="S635" s="233"/>
      <c r="T635" s="233"/>
      <c r="U635" s="233"/>
      <c r="V635" s="233"/>
      <c r="W635" s="233"/>
      <c r="X635" s="233"/>
      <c r="Y635" s="233"/>
      <c r="Z635" s="233"/>
      <c r="AA635" s="233"/>
      <c r="AB635" s="233"/>
      <c r="AC635" s="233"/>
      <c r="AD635" s="233"/>
      <c r="AE635" s="233"/>
      <c r="AF635" s="233"/>
      <c r="AG635" s="233"/>
      <c r="AH635" s="233"/>
      <c r="AI635" s="233"/>
      <c r="AJ635" s="233"/>
      <c r="AK635" s="233"/>
      <c r="AL635" s="233"/>
    </row>
    <row r="636">
      <c r="B636" s="277"/>
      <c r="L636" s="67"/>
      <c r="M636" s="280" t="s">
        <v>2482</v>
      </c>
      <c r="N636" s="234"/>
      <c r="O636" s="281"/>
      <c r="P636" s="233"/>
      <c r="Q636" s="233"/>
      <c r="R636" s="234"/>
      <c r="S636" s="233"/>
      <c r="T636" s="233"/>
      <c r="U636" s="233"/>
      <c r="V636" s="233"/>
      <c r="W636" s="233"/>
      <c r="X636" s="233"/>
      <c r="Y636" s="233"/>
      <c r="Z636" s="233"/>
      <c r="AA636" s="233"/>
      <c r="AB636" s="233"/>
      <c r="AC636" s="233"/>
      <c r="AD636" s="233"/>
      <c r="AE636" s="233"/>
      <c r="AF636" s="233"/>
      <c r="AG636" s="233"/>
      <c r="AH636" s="233"/>
      <c r="AI636" s="233"/>
      <c r="AJ636" s="233"/>
      <c r="AK636" s="233"/>
      <c r="AL636" s="233"/>
    </row>
    <row r="637">
      <c r="B637" s="277"/>
      <c r="L637" s="67"/>
      <c r="M637" s="280" t="s">
        <v>2482</v>
      </c>
      <c r="N637" s="234"/>
      <c r="O637" s="281"/>
      <c r="P637" s="233"/>
      <c r="Q637" s="233"/>
      <c r="R637" s="234"/>
      <c r="S637" s="233"/>
      <c r="T637" s="233"/>
      <c r="U637" s="233"/>
      <c r="V637" s="233"/>
      <c r="W637" s="233"/>
      <c r="X637" s="233"/>
      <c r="Y637" s="233"/>
      <c r="Z637" s="233"/>
      <c r="AA637" s="233"/>
      <c r="AB637" s="233"/>
      <c r="AC637" s="233"/>
      <c r="AD637" s="233"/>
      <c r="AE637" s="233"/>
      <c r="AF637" s="233"/>
      <c r="AG637" s="233"/>
      <c r="AH637" s="233"/>
      <c r="AI637" s="233"/>
      <c r="AJ637" s="233"/>
      <c r="AK637" s="233"/>
      <c r="AL637" s="233"/>
    </row>
    <row r="638">
      <c r="B638" s="277"/>
      <c r="L638" s="67"/>
      <c r="M638" s="280" t="s">
        <v>2482</v>
      </c>
      <c r="N638" s="234"/>
      <c r="O638" s="281"/>
      <c r="P638" s="233"/>
      <c r="Q638" s="233"/>
      <c r="R638" s="234"/>
      <c r="S638" s="233"/>
      <c r="T638" s="233"/>
      <c r="U638" s="233"/>
      <c r="V638" s="233"/>
      <c r="W638" s="233"/>
      <c r="X638" s="233"/>
      <c r="Y638" s="233"/>
      <c r="Z638" s="233"/>
      <c r="AA638" s="233"/>
      <c r="AB638" s="233"/>
      <c r="AC638" s="233"/>
      <c r="AD638" s="233"/>
      <c r="AE638" s="233"/>
      <c r="AF638" s="233"/>
      <c r="AG638" s="233"/>
      <c r="AH638" s="233"/>
      <c r="AI638" s="233"/>
      <c r="AJ638" s="233"/>
      <c r="AK638" s="233"/>
      <c r="AL638" s="233"/>
    </row>
    <row r="639">
      <c r="B639" s="277"/>
      <c r="L639" s="67"/>
      <c r="M639" s="280" t="s">
        <v>2482</v>
      </c>
      <c r="N639" s="234"/>
      <c r="O639" s="281"/>
      <c r="P639" s="233"/>
      <c r="Q639" s="233"/>
      <c r="R639" s="234"/>
      <c r="S639" s="233"/>
      <c r="T639" s="233"/>
      <c r="U639" s="233"/>
      <c r="V639" s="233"/>
      <c r="W639" s="233"/>
      <c r="X639" s="233"/>
      <c r="Y639" s="233"/>
      <c r="Z639" s="233"/>
      <c r="AA639" s="233"/>
      <c r="AB639" s="233"/>
      <c r="AC639" s="233"/>
      <c r="AD639" s="233"/>
      <c r="AE639" s="233"/>
      <c r="AF639" s="233"/>
      <c r="AG639" s="233"/>
      <c r="AH639" s="233"/>
      <c r="AI639" s="233"/>
      <c r="AJ639" s="233"/>
      <c r="AK639" s="233"/>
      <c r="AL639" s="233"/>
    </row>
    <row r="640">
      <c r="B640" s="277"/>
      <c r="L640" s="67"/>
      <c r="M640" s="280" t="s">
        <v>2482</v>
      </c>
      <c r="N640" s="234"/>
      <c r="O640" s="281"/>
      <c r="P640" s="233"/>
      <c r="Q640" s="233"/>
      <c r="R640" s="234"/>
      <c r="S640" s="233"/>
      <c r="T640" s="233"/>
      <c r="U640" s="233"/>
      <c r="V640" s="233"/>
      <c r="W640" s="233"/>
      <c r="X640" s="233"/>
      <c r="Y640" s="233"/>
      <c r="Z640" s="233"/>
      <c r="AA640" s="233"/>
      <c r="AB640" s="233"/>
      <c r="AC640" s="233"/>
      <c r="AD640" s="233"/>
      <c r="AE640" s="233"/>
      <c r="AF640" s="233"/>
      <c r="AG640" s="233"/>
      <c r="AH640" s="233"/>
      <c r="AI640" s="233"/>
      <c r="AJ640" s="233"/>
      <c r="AK640" s="233"/>
      <c r="AL640" s="233"/>
    </row>
    <row r="641">
      <c r="B641" s="277"/>
      <c r="L641" s="67"/>
      <c r="M641" s="280" t="s">
        <v>2482</v>
      </c>
      <c r="N641" s="234"/>
      <c r="O641" s="281"/>
      <c r="P641" s="233"/>
      <c r="Q641" s="233"/>
      <c r="R641" s="234"/>
      <c r="S641" s="233"/>
      <c r="T641" s="233"/>
      <c r="U641" s="233"/>
      <c r="V641" s="233"/>
      <c r="W641" s="233"/>
      <c r="X641" s="233"/>
      <c r="Y641" s="233"/>
      <c r="Z641" s="233"/>
      <c r="AA641" s="233"/>
      <c r="AB641" s="233"/>
      <c r="AC641" s="233"/>
      <c r="AD641" s="233"/>
      <c r="AE641" s="233"/>
      <c r="AF641" s="233"/>
      <c r="AG641" s="233"/>
      <c r="AH641" s="233"/>
      <c r="AI641" s="233"/>
      <c r="AJ641" s="233"/>
      <c r="AK641" s="233"/>
      <c r="AL641" s="233"/>
    </row>
    <row r="642">
      <c r="B642" s="277"/>
      <c r="L642" s="67"/>
      <c r="M642" s="280" t="s">
        <v>2482</v>
      </c>
      <c r="N642" s="234"/>
      <c r="O642" s="281"/>
      <c r="P642" s="233"/>
      <c r="Q642" s="233"/>
      <c r="R642" s="234"/>
      <c r="S642" s="233"/>
      <c r="T642" s="233"/>
      <c r="U642" s="233"/>
      <c r="V642" s="233"/>
      <c r="W642" s="233"/>
      <c r="X642" s="233"/>
      <c r="Y642" s="233"/>
      <c r="Z642" s="233"/>
      <c r="AA642" s="233"/>
      <c r="AB642" s="233"/>
      <c r="AC642" s="233"/>
      <c r="AD642" s="233"/>
      <c r="AE642" s="233"/>
      <c r="AF642" s="233"/>
      <c r="AG642" s="233"/>
      <c r="AH642" s="233"/>
      <c r="AI642" s="233"/>
      <c r="AJ642" s="233"/>
      <c r="AK642" s="233"/>
      <c r="AL642" s="233"/>
    </row>
    <row r="643">
      <c r="B643" s="277"/>
      <c r="L643" s="67"/>
      <c r="M643" s="280" t="s">
        <v>2482</v>
      </c>
      <c r="N643" s="234"/>
      <c r="O643" s="281"/>
      <c r="P643" s="233"/>
      <c r="Q643" s="233"/>
      <c r="R643" s="234"/>
      <c r="S643" s="233"/>
      <c r="T643" s="233"/>
      <c r="U643" s="233"/>
      <c r="V643" s="233"/>
      <c r="W643" s="233"/>
      <c r="X643" s="233"/>
      <c r="Y643" s="233"/>
      <c r="Z643" s="233"/>
      <c r="AA643" s="233"/>
      <c r="AB643" s="233"/>
      <c r="AC643" s="233"/>
      <c r="AD643" s="233"/>
      <c r="AE643" s="233"/>
      <c r="AF643" s="233"/>
      <c r="AG643" s="233"/>
      <c r="AH643" s="233"/>
      <c r="AI643" s="233"/>
      <c r="AJ643" s="233"/>
      <c r="AK643" s="233"/>
      <c r="AL643" s="233"/>
    </row>
    <row r="644">
      <c r="B644" s="277"/>
      <c r="L644" s="67"/>
      <c r="M644" s="280" t="s">
        <v>2482</v>
      </c>
      <c r="N644" s="234"/>
      <c r="O644" s="281"/>
      <c r="P644" s="233"/>
      <c r="Q644" s="233"/>
      <c r="R644" s="234"/>
      <c r="S644" s="233"/>
      <c r="T644" s="233"/>
      <c r="U644" s="233"/>
      <c r="V644" s="233"/>
      <c r="W644" s="233"/>
      <c r="X644" s="233"/>
      <c r="Y644" s="233"/>
      <c r="Z644" s="233"/>
      <c r="AA644" s="233"/>
      <c r="AB644" s="233"/>
      <c r="AC644" s="233"/>
      <c r="AD644" s="233"/>
      <c r="AE644" s="233"/>
      <c r="AF644" s="233"/>
      <c r="AG644" s="233"/>
      <c r="AH644" s="233"/>
      <c r="AI644" s="233"/>
      <c r="AJ644" s="233"/>
      <c r="AK644" s="233"/>
      <c r="AL644" s="233"/>
    </row>
    <row r="645">
      <c r="B645" s="277"/>
      <c r="L645" s="67"/>
      <c r="M645" s="280" t="s">
        <v>2482</v>
      </c>
      <c r="N645" s="234"/>
      <c r="O645" s="281"/>
      <c r="P645" s="233"/>
      <c r="Q645" s="233"/>
      <c r="R645" s="234"/>
      <c r="S645" s="233"/>
      <c r="T645" s="233"/>
      <c r="U645" s="233"/>
      <c r="V645" s="233"/>
      <c r="W645" s="233"/>
      <c r="X645" s="233"/>
      <c r="Y645" s="233"/>
      <c r="Z645" s="233"/>
      <c r="AA645" s="233"/>
      <c r="AB645" s="233"/>
      <c r="AC645" s="233"/>
      <c r="AD645" s="233"/>
      <c r="AE645" s="233"/>
      <c r="AF645" s="233"/>
      <c r="AG645" s="233"/>
      <c r="AH645" s="233"/>
      <c r="AI645" s="233"/>
      <c r="AJ645" s="233"/>
      <c r="AK645" s="233"/>
      <c r="AL645" s="233"/>
    </row>
    <row r="646">
      <c r="B646" s="277"/>
      <c r="L646" s="67"/>
      <c r="M646" s="280" t="s">
        <v>2482</v>
      </c>
      <c r="N646" s="234"/>
      <c r="O646" s="281"/>
      <c r="P646" s="233"/>
      <c r="Q646" s="233"/>
      <c r="R646" s="234"/>
      <c r="S646" s="233"/>
      <c r="T646" s="233"/>
      <c r="U646" s="233"/>
      <c r="V646" s="233"/>
      <c r="W646" s="233"/>
      <c r="X646" s="233"/>
      <c r="Y646" s="233"/>
      <c r="Z646" s="233"/>
      <c r="AA646" s="233"/>
      <c r="AB646" s="233"/>
      <c r="AC646" s="233"/>
      <c r="AD646" s="233"/>
      <c r="AE646" s="233"/>
      <c r="AF646" s="233"/>
      <c r="AG646" s="233"/>
      <c r="AH646" s="233"/>
      <c r="AI646" s="233"/>
      <c r="AJ646" s="233"/>
      <c r="AK646" s="233"/>
      <c r="AL646" s="233"/>
    </row>
    <row r="647">
      <c r="B647" s="277"/>
      <c r="L647" s="67"/>
      <c r="M647" s="280" t="s">
        <v>2482</v>
      </c>
      <c r="N647" s="234"/>
      <c r="O647" s="281"/>
      <c r="P647" s="233"/>
      <c r="Q647" s="233"/>
      <c r="R647" s="234"/>
      <c r="S647" s="233"/>
      <c r="T647" s="233"/>
      <c r="U647" s="233"/>
      <c r="V647" s="233"/>
      <c r="W647" s="233"/>
      <c r="X647" s="233"/>
      <c r="Y647" s="233"/>
      <c r="Z647" s="233"/>
      <c r="AA647" s="233"/>
      <c r="AB647" s="233"/>
      <c r="AC647" s="233"/>
      <c r="AD647" s="233"/>
      <c r="AE647" s="233"/>
      <c r="AF647" s="233"/>
      <c r="AG647" s="233"/>
      <c r="AH647" s="233"/>
      <c r="AI647" s="233"/>
      <c r="AJ647" s="233"/>
      <c r="AK647" s="233"/>
      <c r="AL647" s="233"/>
    </row>
    <row r="648">
      <c r="B648" s="277"/>
      <c r="L648" s="67"/>
      <c r="M648" s="280" t="s">
        <v>2482</v>
      </c>
      <c r="N648" s="234"/>
      <c r="O648" s="281"/>
      <c r="P648" s="233"/>
      <c r="Q648" s="233"/>
      <c r="R648" s="234"/>
      <c r="S648" s="233"/>
      <c r="T648" s="233"/>
      <c r="U648" s="233"/>
      <c r="V648" s="233"/>
      <c r="W648" s="233"/>
      <c r="X648" s="233"/>
      <c r="Y648" s="233"/>
      <c r="Z648" s="233"/>
      <c r="AA648" s="233"/>
      <c r="AB648" s="233"/>
      <c r="AC648" s="233"/>
      <c r="AD648" s="233"/>
      <c r="AE648" s="233"/>
      <c r="AF648" s="233"/>
      <c r="AG648" s="233"/>
      <c r="AH648" s="233"/>
      <c r="AI648" s="233"/>
      <c r="AJ648" s="233"/>
      <c r="AK648" s="233"/>
      <c r="AL648" s="233"/>
    </row>
    <row r="649">
      <c r="B649" s="277"/>
      <c r="L649" s="67"/>
      <c r="M649" s="280" t="s">
        <v>2482</v>
      </c>
      <c r="N649" s="234"/>
      <c r="O649" s="281"/>
      <c r="P649" s="233"/>
      <c r="Q649" s="233"/>
      <c r="R649" s="234"/>
      <c r="S649" s="233"/>
      <c r="T649" s="233"/>
      <c r="U649" s="233"/>
      <c r="V649" s="233"/>
      <c r="W649" s="233"/>
      <c r="X649" s="233"/>
      <c r="Y649" s="233"/>
      <c r="Z649" s="233"/>
      <c r="AA649" s="233"/>
      <c r="AB649" s="233"/>
      <c r="AC649" s="233"/>
      <c r="AD649" s="233"/>
      <c r="AE649" s="233"/>
      <c r="AF649" s="233"/>
      <c r="AG649" s="233"/>
      <c r="AH649" s="233"/>
      <c r="AI649" s="233"/>
      <c r="AJ649" s="233"/>
      <c r="AK649" s="233"/>
      <c r="AL649" s="233"/>
    </row>
    <row r="650">
      <c r="B650" s="277"/>
      <c r="L650" s="67"/>
      <c r="M650" s="280" t="s">
        <v>2482</v>
      </c>
      <c r="N650" s="234"/>
      <c r="O650" s="281"/>
      <c r="P650" s="233"/>
      <c r="Q650" s="233"/>
      <c r="R650" s="234"/>
      <c r="S650" s="233"/>
      <c r="T650" s="233"/>
      <c r="U650" s="233"/>
      <c r="V650" s="233"/>
      <c r="W650" s="233"/>
      <c r="X650" s="233"/>
      <c r="Y650" s="233"/>
      <c r="Z650" s="233"/>
      <c r="AA650" s="233"/>
      <c r="AB650" s="233"/>
      <c r="AC650" s="233"/>
      <c r="AD650" s="233"/>
      <c r="AE650" s="233"/>
      <c r="AF650" s="233"/>
      <c r="AG650" s="233"/>
      <c r="AH650" s="233"/>
      <c r="AI650" s="233"/>
      <c r="AJ650" s="233"/>
      <c r="AK650" s="233"/>
      <c r="AL650" s="233"/>
    </row>
    <row r="651">
      <c r="B651" s="277"/>
      <c r="L651" s="67"/>
      <c r="M651" s="280" t="s">
        <v>2482</v>
      </c>
      <c r="N651" s="234"/>
      <c r="O651" s="281"/>
      <c r="P651" s="233"/>
      <c r="Q651" s="233"/>
      <c r="R651" s="234"/>
      <c r="S651" s="233"/>
      <c r="T651" s="233"/>
      <c r="U651" s="233"/>
      <c r="V651" s="233"/>
      <c r="W651" s="233"/>
      <c r="X651" s="233"/>
      <c r="Y651" s="233"/>
      <c r="Z651" s="233"/>
      <c r="AA651" s="233"/>
      <c r="AB651" s="233"/>
      <c r="AC651" s="233"/>
      <c r="AD651" s="233"/>
      <c r="AE651" s="233"/>
      <c r="AF651" s="233"/>
      <c r="AG651" s="233"/>
      <c r="AH651" s="233"/>
      <c r="AI651" s="233"/>
      <c r="AJ651" s="233"/>
      <c r="AK651" s="233"/>
      <c r="AL651" s="233"/>
    </row>
    <row r="652">
      <c r="B652" s="277"/>
      <c r="L652" s="67"/>
      <c r="M652" s="280" t="s">
        <v>2482</v>
      </c>
      <c r="N652" s="234"/>
      <c r="O652" s="281"/>
      <c r="P652" s="233"/>
      <c r="Q652" s="233"/>
      <c r="R652" s="234"/>
      <c r="S652" s="233"/>
      <c r="T652" s="233"/>
      <c r="U652" s="233"/>
      <c r="V652" s="233"/>
      <c r="W652" s="233"/>
      <c r="X652" s="233"/>
      <c r="Y652" s="233"/>
      <c r="Z652" s="233"/>
      <c r="AA652" s="233"/>
      <c r="AB652" s="233"/>
      <c r="AC652" s="233"/>
      <c r="AD652" s="233"/>
      <c r="AE652" s="233"/>
      <c r="AF652" s="233"/>
      <c r="AG652" s="233"/>
      <c r="AH652" s="233"/>
      <c r="AI652" s="233"/>
      <c r="AJ652" s="233"/>
      <c r="AK652" s="233"/>
      <c r="AL652" s="233"/>
    </row>
    <row r="653">
      <c r="B653" s="277"/>
      <c r="L653" s="67"/>
      <c r="M653" s="280" t="s">
        <v>2482</v>
      </c>
      <c r="N653" s="234"/>
      <c r="O653" s="281"/>
      <c r="P653" s="233"/>
      <c r="Q653" s="233"/>
      <c r="R653" s="234"/>
      <c r="S653" s="233"/>
      <c r="T653" s="233"/>
      <c r="U653" s="233"/>
      <c r="V653" s="233"/>
      <c r="W653" s="233"/>
      <c r="X653" s="233"/>
      <c r="Y653" s="233"/>
      <c r="Z653" s="233"/>
      <c r="AA653" s="233"/>
      <c r="AB653" s="233"/>
      <c r="AC653" s="233"/>
      <c r="AD653" s="233"/>
      <c r="AE653" s="233"/>
      <c r="AF653" s="233"/>
      <c r="AG653" s="233"/>
      <c r="AH653" s="233"/>
      <c r="AI653" s="233"/>
      <c r="AJ653" s="233"/>
      <c r="AK653" s="233"/>
      <c r="AL653" s="233"/>
    </row>
    <row r="654">
      <c r="B654" s="277"/>
      <c r="L654" s="67"/>
      <c r="M654" s="280" t="s">
        <v>2482</v>
      </c>
      <c r="N654" s="234"/>
      <c r="O654" s="281"/>
      <c r="P654" s="233"/>
      <c r="Q654" s="233"/>
      <c r="R654" s="234"/>
      <c r="S654" s="233"/>
      <c r="T654" s="233"/>
      <c r="U654" s="233"/>
      <c r="V654" s="233"/>
      <c r="W654" s="233"/>
      <c r="X654" s="233"/>
      <c r="Y654" s="233"/>
      <c r="Z654" s="233"/>
      <c r="AA654" s="233"/>
      <c r="AB654" s="233"/>
      <c r="AC654" s="233"/>
      <c r="AD654" s="233"/>
      <c r="AE654" s="233"/>
      <c r="AF654" s="233"/>
      <c r="AG654" s="233"/>
      <c r="AH654" s="233"/>
      <c r="AI654" s="233"/>
      <c r="AJ654" s="233"/>
      <c r="AK654" s="233"/>
      <c r="AL654" s="233"/>
    </row>
    <row r="655">
      <c r="B655" s="277"/>
      <c r="L655" s="67"/>
      <c r="M655" s="280" t="s">
        <v>2482</v>
      </c>
      <c r="N655" s="234"/>
      <c r="O655" s="281"/>
      <c r="P655" s="233"/>
      <c r="Q655" s="233"/>
      <c r="R655" s="234"/>
      <c r="S655" s="233"/>
      <c r="T655" s="233"/>
      <c r="U655" s="233"/>
      <c r="V655" s="233"/>
      <c r="W655" s="233"/>
      <c r="X655" s="233"/>
      <c r="Y655" s="233"/>
      <c r="Z655" s="233"/>
      <c r="AA655" s="233"/>
      <c r="AB655" s="233"/>
      <c r="AC655" s="233"/>
      <c r="AD655" s="233"/>
      <c r="AE655" s="233"/>
      <c r="AF655" s="233"/>
      <c r="AG655" s="233"/>
      <c r="AH655" s="233"/>
      <c r="AI655" s="233"/>
      <c r="AJ655" s="233"/>
      <c r="AK655" s="233"/>
      <c r="AL655" s="233"/>
    </row>
    <row r="656">
      <c r="B656" s="277"/>
      <c r="L656" s="67"/>
      <c r="M656" s="280" t="s">
        <v>2482</v>
      </c>
      <c r="N656" s="234"/>
      <c r="O656" s="281"/>
      <c r="P656" s="233"/>
      <c r="Q656" s="233"/>
      <c r="R656" s="234"/>
      <c r="S656" s="233"/>
      <c r="T656" s="233"/>
      <c r="U656" s="233"/>
      <c r="V656" s="233"/>
      <c r="W656" s="233"/>
      <c r="X656" s="233"/>
      <c r="Y656" s="233"/>
      <c r="Z656" s="233"/>
      <c r="AA656" s="233"/>
      <c r="AB656" s="233"/>
      <c r="AC656" s="233"/>
      <c r="AD656" s="233"/>
      <c r="AE656" s="233"/>
      <c r="AF656" s="233"/>
      <c r="AG656" s="233"/>
      <c r="AH656" s="233"/>
      <c r="AI656" s="233"/>
      <c r="AJ656" s="233"/>
      <c r="AK656" s="233"/>
      <c r="AL656" s="233"/>
    </row>
    <row r="657">
      <c r="B657" s="277"/>
      <c r="L657" s="67"/>
      <c r="M657" s="280" t="s">
        <v>2482</v>
      </c>
      <c r="N657" s="234"/>
      <c r="O657" s="281"/>
      <c r="P657" s="233"/>
      <c r="Q657" s="233"/>
      <c r="R657" s="234"/>
      <c r="S657" s="233"/>
      <c r="T657" s="233"/>
      <c r="U657" s="233"/>
      <c r="V657" s="233"/>
      <c r="W657" s="233"/>
      <c r="X657" s="233"/>
      <c r="Y657" s="233"/>
      <c r="Z657" s="233"/>
      <c r="AA657" s="233"/>
      <c r="AB657" s="233"/>
      <c r="AC657" s="233"/>
      <c r="AD657" s="233"/>
      <c r="AE657" s="233"/>
      <c r="AF657" s="233"/>
      <c r="AG657" s="233"/>
      <c r="AH657" s="233"/>
      <c r="AI657" s="233"/>
      <c r="AJ657" s="233"/>
      <c r="AK657" s="233"/>
      <c r="AL657" s="233"/>
    </row>
    <row r="658">
      <c r="B658" s="277"/>
      <c r="L658" s="67"/>
      <c r="M658" s="280" t="s">
        <v>2482</v>
      </c>
      <c r="N658" s="234"/>
      <c r="O658" s="281"/>
      <c r="P658" s="233"/>
      <c r="Q658" s="233"/>
      <c r="R658" s="234"/>
      <c r="S658" s="233"/>
      <c r="T658" s="233"/>
      <c r="U658" s="233"/>
      <c r="V658" s="233"/>
      <c r="W658" s="233"/>
      <c r="X658" s="233"/>
      <c r="Y658" s="233"/>
      <c r="Z658" s="233"/>
      <c r="AA658" s="233"/>
      <c r="AB658" s="233"/>
      <c r="AC658" s="233"/>
      <c r="AD658" s="233"/>
      <c r="AE658" s="233"/>
      <c r="AF658" s="233"/>
      <c r="AG658" s="233"/>
      <c r="AH658" s="233"/>
      <c r="AI658" s="233"/>
      <c r="AJ658" s="233"/>
      <c r="AK658" s="233"/>
      <c r="AL658" s="233"/>
    </row>
    <row r="659">
      <c r="B659" s="277"/>
      <c r="L659" s="67"/>
      <c r="M659" s="280" t="s">
        <v>2482</v>
      </c>
      <c r="N659" s="234"/>
      <c r="O659" s="281"/>
      <c r="P659" s="233"/>
      <c r="Q659" s="233"/>
      <c r="R659" s="234"/>
      <c r="S659" s="233"/>
      <c r="T659" s="233"/>
      <c r="U659" s="233"/>
      <c r="V659" s="233"/>
      <c r="W659" s="233"/>
      <c r="X659" s="233"/>
      <c r="Y659" s="233"/>
      <c r="Z659" s="233"/>
      <c r="AA659" s="233"/>
      <c r="AB659" s="233"/>
      <c r="AC659" s="233"/>
      <c r="AD659" s="233"/>
      <c r="AE659" s="233"/>
      <c r="AF659" s="233"/>
      <c r="AG659" s="233"/>
      <c r="AH659" s="233"/>
      <c r="AI659" s="233"/>
      <c r="AJ659" s="233"/>
      <c r="AK659" s="233"/>
      <c r="AL659" s="233"/>
    </row>
    <row r="660">
      <c r="B660" s="277"/>
      <c r="L660" s="67"/>
      <c r="M660" s="280" t="s">
        <v>2482</v>
      </c>
      <c r="N660" s="234"/>
      <c r="O660" s="281"/>
      <c r="P660" s="233"/>
      <c r="Q660" s="233"/>
      <c r="R660" s="234"/>
      <c r="S660" s="233"/>
      <c r="T660" s="233"/>
      <c r="U660" s="233"/>
      <c r="V660" s="233"/>
      <c r="W660" s="233"/>
      <c r="X660" s="233"/>
      <c r="Y660" s="233"/>
      <c r="Z660" s="233"/>
      <c r="AA660" s="233"/>
      <c r="AB660" s="233"/>
      <c r="AC660" s="233"/>
      <c r="AD660" s="233"/>
      <c r="AE660" s="233"/>
      <c r="AF660" s="233"/>
      <c r="AG660" s="233"/>
      <c r="AH660" s="233"/>
      <c r="AI660" s="233"/>
      <c r="AJ660" s="233"/>
      <c r="AK660" s="233"/>
      <c r="AL660" s="233"/>
    </row>
    <row r="661">
      <c r="B661" s="277"/>
      <c r="L661" s="67"/>
      <c r="M661" s="280" t="s">
        <v>2482</v>
      </c>
      <c r="N661" s="234"/>
      <c r="O661" s="281"/>
      <c r="P661" s="233"/>
      <c r="Q661" s="233"/>
      <c r="R661" s="234"/>
      <c r="S661" s="233"/>
      <c r="T661" s="233"/>
      <c r="U661" s="233"/>
      <c r="V661" s="233"/>
      <c r="W661" s="233"/>
      <c r="X661" s="233"/>
      <c r="Y661" s="233"/>
      <c r="Z661" s="233"/>
      <c r="AA661" s="233"/>
      <c r="AB661" s="233"/>
      <c r="AC661" s="233"/>
      <c r="AD661" s="233"/>
      <c r="AE661" s="233"/>
      <c r="AF661" s="233"/>
      <c r="AG661" s="233"/>
      <c r="AH661" s="233"/>
      <c r="AI661" s="233"/>
      <c r="AJ661" s="233"/>
      <c r="AK661" s="233"/>
      <c r="AL661" s="233"/>
    </row>
    <row r="662">
      <c r="B662" s="277"/>
      <c r="L662" s="67"/>
      <c r="M662" s="280" t="s">
        <v>2482</v>
      </c>
      <c r="N662" s="234"/>
      <c r="O662" s="281"/>
      <c r="P662" s="233"/>
      <c r="Q662" s="233"/>
      <c r="R662" s="234"/>
      <c r="S662" s="233"/>
      <c r="T662" s="233"/>
      <c r="U662" s="233"/>
      <c r="V662" s="233"/>
      <c r="W662" s="233"/>
      <c r="X662" s="233"/>
      <c r="Y662" s="233"/>
      <c r="Z662" s="233"/>
      <c r="AA662" s="233"/>
      <c r="AB662" s="233"/>
      <c r="AC662" s="233"/>
      <c r="AD662" s="233"/>
      <c r="AE662" s="233"/>
      <c r="AF662" s="233"/>
      <c r="AG662" s="233"/>
      <c r="AH662" s="233"/>
      <c r="AI662" s="233"/>
      <c r="AJ662" s="233"/>
      <c r="AK662" s="233"/>
      <c r="AL662" s="233"/>
    </row>
    <row r="663">
      <c r="B663" s="277"/>
      <c r="L663" s="67"/>
      <c r="M663" s="280" t="s">
        <v>2482</v>
      </c>
      <c r="N663" s="234"/>
      <c r="O663" s="281"/>
      <c r="P663" s="233"/>
      <c r="Q663" s="233"/>
      <c r="R663" s="234"/>
      <c r="S663" s="233"/>
      <c r="T663" s="233"/>
      <c r="U663" s="233"/>
      <c r="V663" s="233"/>
      <c r="W663" s="233"/>
      <c r="X663" s="233"/>
      <c r="Y663" s="233"/>
      <c r="Z663" s="233"/>
      <c r="AA663" s="233"/>
      <c r="AB663" s="233"/>
      <c r="AC663" s="233"/>
      <c r="AD663" s="233"/>
      <c r="AE663" s="233"/>
      <c r="AF663" s="233"/>
      <c r="AG663" s="233"/>
      <c r="AH663" s="233"/>
      <c r="AI663" s="233"/>
      <c r="AJ663" s="233"/>
      <c r="AK663" s="233"/>
      <c r="AL663" s="233"/>
    </row>
    <row r="664">
      <c r="B664" s="277"/>
      <c r="L664" s="67"/>
      <c r="M664" s="280" t="s">
        <v>2482</v>
      </c>
      <c r="N664" s="234"/>
      <c r="O664" s="281"/>
      <c r="P664" s="233"/>
      <c r="Q664" s="233"/>
      <c r="R664" s="234"/>
      <c r="S664" s="233"/>
      <c r="T664" s="233"/>
      <c r="U664" s="233"/>
      <c r="V664" s="233"/>
      <c r="W664" s="233"/>
      <c r="X664" s="233"/>
      <c r="Y664" s="233"/>
      <c r="Z664" s="233"/>
      <c r="AA664" s="233"/>
      <c r="AB664" s="233"/>
      <c r="AC664" s="233"/>
      <c r="AD664" s="233"/>
      <c r="AE664" s="233"/>
      <c r="AF664" s="233"/>
      <c r="AG664" s="233"/>
      <c r="AH664" s="233"/>
      <c r="AI664" s="233"/>
      <c r="AJ664" s="233"/>
      <c r="AK664" s="233"/>
      <c r="AL664" s="233"/>
    </row>
    <row r="665">
      <c r="B665" s="277"/>
      <c r="L665" s="67"/>
      <c r="M665" s="280" t="s">
        <v>2482</v>
      </c>
      <c r="N665" s="234"/>
      <c r="O665" s="281"/>
      <c r="P665" s="233"/>
      <c r="Q665" s="233"/>
      <c r="R665" s="234"/>
      <c r="S665" s="233"/>
      <c r="T665" s="233"/>
      <c r="U665" s="233"/>
      <c r="V665" s="233"/>
      <c r="W665" s="233"/>
      <c r="X665" s="233"/>
      <c r="Y665" s="233"/>
      <c r="Z665" s="233"/>
      <c r="AA665" s="233"/>
      <c r="AB665" s="233"/>
      <c r="AC665" s="233"/>
      <c r="AD665" s="233"/>
      <c r="AE665" s="233"/>
      <c r="AF665" s="233"/>
      <c r="AG665" s="233"/>
      <c r="AH665" s="233"/>
      <c r="AI665" s="233"/>
      <c r="AJ665" s="233"/>
      <c r="AK665" s="233"/>
      <c r="AL665" s="233"/>
    </row>
    <row r="666">
      <c r="B666" s="277"/>
      <c r="L666" s="67"/>
      <c r="M666" s="280" t="s">
        <v>2482</v>
      </c>
      <c r="N666" s="234"/>
      <c r="O666" s="281"/>
      <c r="P666" s="233"/>
      <c r="Q666" s="233"/>
      <c r="R666" s="234"/>
      <c r="S666" s="233"/>
      <c r="T666" s="233"/>
      <c r="U666" s="233"/>
      <c r="V666" s="233"/>
      <c r="W666" s="233"/>
      <c r="X666" s="233"/>
      <c r="Y666" s="233"/>
      <c r="Z666" s="233"/>
      <c r="AA666" s="233"/>
      <c r="AB666" s="233"/>
      <c r="AC666" s="233"/>
      <c r="AD666" s="233"/>
      <c r="AE666" s="233"/>
      <c r="AF666" s="233"/>
      <c r="AG666" s="233"/>
      <c r="AH666" s="233"/>
      <c r="AI666" s="233"/>
      <c r="AJ666" s="233"/>
      <c r="AK666" s="233"/>
      <c r="AL666" s="233"/>
    </row>
    <row r="667">
      <c r="B667" s="277"/>
      <c r="L667" s="67"/>
      <c r="M667" s="280" t="s">
        <v>2482</v>
      </c>
      <c r="N667" s="234"/>
      <c r="O667" s="281"/>
      <c r="P667" s="233"/>
      <c r="Q667" s="233"/>
      <c r="R667" s="234"/>
      <c r="S667" s="233"/>
      <c r="T667" s="233"/>
      <c r="U667" s="233"/>
      <c r="V667" s="233"/>
      <c r="W667" s="233"/>
      <c r="X667" s="233"/>
      <c r="Y667" s="233"/>
      <c r="Z667" s="233"/>
      <c r="AA667" s="233"/>
      <c r="AB667" s="233"/>
      <c r="AC667" s="233"/>
      <c r="AD667" s="233"/>
      <c r="AE667" s="233"/>
      <c r="AF667" s="233"/>
      <c r="AG667" s="233"/>
      <c r="AH667" s="233"/>
      <c r="AI667" s="233"/>
      <c r="AJ667" s="233"/>
      <c r="AK667" s="233"/>
      <c r="AL667" s="233"/>
    </row>
    <row r="668">
      <c r="B668" s="277"/>
      <c r="L668" s="67"/>
      <c r="M668" s="280" t="s">
        <v>2482</v>
      </c>
      <c r="N668" s="234"/>
      <c r="O668" s="281"/>
      <c r="P668" s="233"/>
      <c r="Q668" s="233"/>
      <c r="R668" s="234"/>
      <c r="S668" s="233"/>
      <c r="T668" s="233"/>
      <c r="U668" s="233"/>
      <c r="V668" s="233"/>
      <c r="W668" s="233"/>
      <c r="X668" s="233"/>
      <c r="Y668" s="233"/>
      <c r="Z668" s="233"/>
      <c r="AA668" s="233"/>
      <c r="AB668" s="233"/>
      <c r="AC668" s="233"/>
      <c r="AD668" s="233"/>
      <c r="AE668" s="233"/>
      <c r="AF668" s="233"/>
      <c r="AG668" s="233"/>
      <c r="AH668" s="233"/>
      <c r="AI668" s="233"/>
      <c r="AJ668" s="233"/>
      <c r="AK668" s="233"/>
      <c r="AL668" s="233"/>
    </row>
    <row r="669">
      <c r="B669" s="277"/>
      <c r="L669" s="67"/>
      <c r="M669" s="280" t="s">
        <v>2482</v>
      </c>
      <c r="N669" s="234"/>
      <c r="O669" s="281"/>
      <c r="P669" s="233"/>
      <c r="Q669" s="233"/>
      <c r="R669" s="234"/>
      <c r="S669" s="233"/>
      <c r="T669" s="233"/>
      <c r="U669" s="233"/>
      <c r="V669" s="233"/>
      <c r="W669" s="233"/>
      <c r="X669" s="233"/>
      <c r="Y669" s="233"/>
      <c r="Z669" s="233"/>
      <c r="AA669" s="233"/>
      <c r="AB669" s="233"/>
      <c r="AC669" s="233"/>
      <c r="AD669" s="233"/>
      <c r="AE669" s="233"/>
      <c r="AF669" s="233"/>
      <c r="AG669" s="233"/>
      <c r="AH669" s="233"/>
      <c r="AI669" s="233"/>
      <c r="AJ669" s="233"/>
      <c r="AK669" s="233"/>
      <c r="AL669" s="233"/>
    </row>
    <row r="670">
      <c r="B670" s="277"/>
      <c r="L670" s="67"/>
      <c r="M670" s="280" t="s">
        <v>2482</v>
      </c>
      <c r="N670" s="234"/>
      <c r="O670" s="281"/>
      <c r="P670" s="233"/>
      <c r="Q670" s="233"/>
      <c r="R670" s="234"/>
      <c r="S670" s="233"/>
      <c r="T670" s="233"/>
      <c r="U670" s="233"/>
      <c r="V670" s="233"/>
      <c r="W670" s="233"/>
      <c r="X670" s="233"/>
      <c r="Y670" s="233"/>
      <c r="Z670" s="233"/>
      <c r="AA670" s="233"/>
      <c r="AB670" s="233"/>
      <c r="AC670" s="233"/>
      <c r="AD670" s="233"/>
      <c r="AE670" s="233"/>
      <c r="AF670" s="233"/>
      <c r="AG670" s="233"/>
      <c r="AH670" s="233"/>
      <c r="AI670" s="233"/>
      <c r="AJ670" s="233"/>
      <c r="AK670" s="233"/>
      <c r="AL670" s="233"/>
    </row>
    <row r="671">
      <c r="B671" s="277"/>
      <c r="L671" s="67"/>
      <c r="M671" s="280" t="s">
        <v>2482</v>
      </c>
      <c r="N671" s="234"/>
      <c r="O671" s="281"/>
      <c r="P671" s="233"/>
      <c r="Q671" s="233"/>
      <c r="R671" s="234"/>
      <c r="S671" s="233"/>
      <c r="T671" s="233"/>
      <c r="U671" s="233"/>
      <c r="V671" s="233"/>
      <c r="W671" s="233"/>
      <c r="X671" s="233"/>
      <c r="Y671" s="233"/>
      <c r="Z671" s="233"/>
      <c r="AA671" s="233"/>
      <c r="AB671" s="233"/>
      <c r="AC671" s="233"/>
      <c r="AD671" s="233"/>
      <c r="AE671" s="233"/>
      <c r="AF671" s="233"/>
      <c r="AG671" s="233"/>
      <c r="AH671" s="233"/>
      <c r="AI671" s="233"/>
      <c r="AJ671" s="233"/>
      <c r="AK671" s="233"/>
      <c r="AL671" s="233"/>
    </row>
    <row r="672">
      <c r="B672" s="277"/>
      <c r="L672" s="67"/>
      <c r="M672" s="280" t="s">
        <v>2482</v>
      </c>
      <c r="N672" s="234"/>
      <c r="O672" s="281"/>
      <c r="P672" s="233"/>
      <c r="Q672" s="233"/>
      <c r="R672" s="234"/>
      <c r="S672" s="233"/>
      <c r="T672" s="233"/>
      <c r="U672" s="233"/>
      <c r="V672" s="233"/>
      <c r="W672" s="233"/>
      <c r="X672" s="233"/>
      <c r="Y672" s="233"/>
      <c r="Z672" s="233"/>
      <c r="AA672" s="233"/>
      <c r="AB672" s="233"/>
      <c r="AC672" s="233"/>
      <c r="AD672" s="233"/>
      <c r="AE672" s="233"/>
      <c r="AF672" s="233"/>
      <c r="AG672" s="233"/>
      <c r="AH672" s="233"/>
      <c r="AI672" s="233"/>
      <c r="AJ672" s="233"/>
      <c r="AK672" s="233"/>
      <c r="AL672" s="233"/>
    </row>
    <row r="673">
      <c r="B673" s="277"/>
      <c r="L673" s="67"/>
      <c r="M673" s="280" t="s">
        <v>2482</v>
      </c>
      <c r="N673" s="234"/>
      <c r="O673" s="281"/>
      <c r="P673" s="233"/>
      <c r="Q673" s="233"/>
      <c r="R673" s="234"/>
      <c r="S673" s="233"/>
      <c r="T673" s="233"/>
      <c r="U673" s="233"/>
      <c r="V673" s="233"/>
      <c r="W673" s="233"/>
      <c r="X673" s="233"/>
      <c r="Y673" s="233"/>
      <c r="Z673" s="233"/>
      <c r="AA673" s="233"/>
      <c r="AB673" s="233"/>
      <c r="AC673" s="233"/>
      <c r="AD673" s="233"/>
      <c r="AE673" s="233"/>
      <c r="AF673" s="233"/>
      <c r="AG673" s="233"/>
      <c r="AH673" s="233"/>
      <c r="AI673" s="233"/>
      <c r="AJ673" s="233"/>
      <c r="AK673" s="233"/>
      <c r="AL673" s="233"/>
    </row>
    <row r="674">
      <c r="B674" s="277"/>
      <c r="L674" s="67"/>
      <c r="M674" s="280" t="s">
        <v>2482</v>
      </c>
      <c r="N674" s="234"/>
      <c r="O674" s="281"/>
      <c r="P674" s="233"/>
      <c r="Q674" s="233"/>
      <c r="R674" s="234"/>
      <c r="S674" s="233"/>
      <c r="T674" s="233"/>
      <c r="U674" s="233"/>
      <c r="V674" s="233"/>
      <c r="W674" s="233"/>
      <c r="X674" s="233"/>
      <c r="Y674" s="233"/>
      <c r="Z674" s="233"/>
      <c r="AA674" s="233"/>
      <c r="AB674" s="233"/>
      <c r="AC674" s="233"/>
      <c r="AD674" s="233"/>
      <c r="AE674" s="233"/>
      <c r="AF674" s="233"/>
      <c r="AG674" s="233"/>
      <c r="AH674" s="233"/>
      <c r="AI674" s="233"/>
      <c r="AJ674" s="233"/>
      <c r="AK674" s="233"/>
      <c r="AL674" s="233"/>
    </row>
    <row r="675">
      <c r="B675" s="277"/>
      <c r="L675" s="67"/>
      <c r="M675" s="280" t="s">
        <v>2482</v>
      </c>
      <c r="N675" s="234"/>
      <c r="O675" s="281"/>
      <c r="P675" s="233"/>
      <c r="Q675" s="233"/>
      <c r="R675" s="234"/>
      <c r="S675" s="233"/>
      <c r="T675" s="233"/>
      <c r="U675" s="233"/>
      <c r="V675" s="233"/>
      <c r="W675" s="233"/>
      <c r="X675" s="233"/>
      <c r="Y675" s="233"/>
      <c r="Z675" s="233"/>
      <c r="AA675" s="233"/>
      <c r="AB675" s="233"/>
      <c r="AC675" s="233"/>
      <c r="AD675" s="233"/>
      <c r="AE675" s="233"/>
      <c r="AF675" s="233"/>
      <c r="AG675" s="233"/>
      <c r="AH675" s="233"/>
      <c r="AI675" s="233"/>
      <c r="AJ675" s="233"/>
      <c r="AK675" s="233"/>
      <c r="AL675" s="233"/>
    </row>
    <row r="676">
      <c r="B676" s="277"/>
      <c r="L676" s="67"/>
      <c r="M676" s="280" t="s">
        <v>2482</v>
      </c>
      <c r="N676" s="234"/>
      <c r="O676" s="281"/>
      <c r="P676" s="233"/>
      <c r="Q676" s="233"/>
      <c r="R676" s="234"/>
      <c r="S676" s="233"/>
      <c r="T676" s="233"/>
      <c r="U676" s="233"/>
      <c r="V676" s="233"/>
      <c r="W676" s="233"/>
      <c r="X676" s="233"/>
      <c r="Y676" s="233"/>
      <c r="Z676" s="233"/>
      <c r="AA676" s="233"/>
      <c r="AB676" s="233"/>
      <c r="AC676" s="233"/>
      <c r="AD676" s="233"/>
      <c r="AE676" s="233"/>
      <c r="AF676" s="233"/>
      <c r="AG676" s="233"/>
      <c r="AH676" s="233"/>
      <c r="AI676" s="233"/>
      <c r="AJ676" s="233"/>
      <c r="AK676" s="233"/>
      <c r="AL676" s="233"/>
    </row>
    <row r="677">
      <c r="B677" s="277"/>
      <c r="L677" s="67"/>
      <c r="M677" s="280" t="s">
        <v>2482</v>
      </c>
      <c r="N677" s="234"/>
      <c r="O677" s="281"/>
      <c r="P677" s="233"/>
      <c r="Q677" s="233"/>
      <c r="R677" s="234"/>
      <c r="S677" s="233"/>
      <c r="T677" s="233"/>
      <c r="U677" s="233"/>
      <c r="V677" s="233"/>
      <c r="W677" s="233"/>
      <c r="X677" s="233"/>
      <c r="Y677" s="233"/>
      <c r="Z677" s="233"/>
      <c r="AA677" s="233"/>
      <c r="AB677" s="233"/>
      <c r="AC677" s="233"/>
      <c r="AD677" s="233"/>
      <c r="AE677" s="233"/>
      <c r="AF677" s="233"/>
      <c r="AG677" s="233"/>
      <c r="AH677" s="233"/>
      <c r="AI677" s="233"/>
      <c r="AJ677" s="233"/>
      <c r="AK677" s="233"/>
      <c r="AL677" s="233"/>
    </row>
    <row r="678">
      <c r="B678" s="277"/>
      <c r="L678" s="67"/>
      <c r="M678" s="280" t="s">
        <v>2482</v>
      </c>
      <c r="N678" s="234"/>
      <c r="O678" s="281"/>
      <c r="P678" s="233"/>
      <c r="Q678" s="233"/>
      <c r="R678" s="234"/>
      <c r="S678" s="233"/>
      <c r="T678" s="233"/>
      <c r="U678" s="233"/>
      <c r="V678" s="233"/>
      <c r="W678" s="233"/>
      <c r="X678" s="233"/>
      <c r="Y678" s="233"/>
      <c r="Z678" s="233"/>
      <c r="AA678" s="233"/>
      <c r="AB678" s="233"/>
      <c r="AC678" s="233"/>
      <c r="AD678" s="233"/>
      <c r="AE678" s="233"/>
      <c r="AF678" s="233"/>
      <c r="AG678" s="233"/>
      <c r="AH678" s="233"/>
      <c r="AI678" s="233"/>
      <c r="AJ678" s="233"/>
      <c r="AK678" s="233"/>
      <c r="AL678" s="233"/>
    </row>
    <row r="679">
      <c r="B679" s="277"/>
      <c r="L679" s="67"/>
      <c r="M679" s="280" t="s">
        <v>2482</v>
      </c>
      <c r="N679" s="234"/>
      <c r="O679" s="281"/>
      <c r="P679" s="233"/>
      <c r="Q679" s="233"/>
      <c r="R679" s="234"/>
      <c r="S679" s="233"/>
      <c r="T679" s="233"/>
      <c r="U679" s="233"/>
      <c r="V679" s="233"/>
      <c r="W679" s="233"/>
      <c r="X679" s="233"/>
      <c r="Y679" s="233"/>
      <c r="Z679" s="233"/>
      <c r="AA679" s="233"/>
      <c r="AB679" s="233"/>
      <c r="AC679" s="233"/>
      <c r="AD679" s="233"/>
      <c r="AE679" s="233"/>
      <c r="AF679" s="233"/>
      <c r="AG679" s="233"/>
      <c r="AH679" s="233"/>
      <c r="AI679" s="233"/>
      <c r="AJ679" s="233"/>
      <c r="AK679" s="233"/>
      <c r="AL679" s="233"/>
    </row>
    <row r="680">
      <c r="B680" s="277"/>
      <c r="L680" s="67"/>
      <c r="M680" s="280" t="s">
        <v>2482</v>
      </c>
      <c r="N680" s="234"/>
      <c r="O680" s="281"/>
      <c r="P680" s="233"/>
      <c r="Q680" s="233"/>
      <c r="R680" s="234"/>
      <c r="S680" s="233"/>
      <c r="T680" s="233"/>
      <c r="U680" s="233"/>
      <c r="V680" s="233"/>
      <c r="W680" s="233"/>
      <c r="X680" s="233"/>
      <c r="Y680" s="233"/>
      <c r="Z680" s="233"/>
      <c r="AA680" s="233"/>
      <c r="AB680" s="233"/>
      <c r="AC680" s="233"/>
      <c r="AD680" s="233"/>
      <c r="AE680" s="233"/>
      <c r="AF680" s="233"/>
      <c r="AG680" s="233"/>
      <c r="AH680" s="233"/>
      <c r="AI680" s="233"/>
      <c r="AJ680" s="233"/>
      <c r="AK680" s="233"/>
      <c r="AL680" s="233"/>
    </row>
    <row r="681">
      <c r="B681" s="277"/>
      <c r="L681" s="67"/>
      <c r="M681" s="280" t="s">
        <v>2482</v>
      </c>
      <c r="N681" s="234"/>
      <c r="O681" s="281"/>
      <c r="P681" s="233"/>
      <c r="Q681" s="233"/>
      <c r="R681" s="234"/>
      <c r="S681" s="233"/>
      <c r="T681" s="233"/>
      <c r="U681" s="233"/>
      <c r="V681" s="233"/>
      <c r="W681" s="233"/>
      <c r="X681" s="233"/>
      <c r="Y681" s="233"/>
      <c r="Z681" s="233"/>
      <c r="AA681" s="233"/>
      <c r="AB681" s="233"/>
      <c r="AC681" s="233"/>
      <c r="AD681" s="233"/>
      <c r="AE681" s="233"/>
      <c r="AF681" s="233"/>
      <c r="AG681" s="233"/>
      <c r="AH681" s="233"/>
      <c r="AI681" s="233"/>
      <c r="AJ681" s="233"/>
      <c r="AK681" s="233"/>
      <c r="AL681" s="233"/>
    </row>
    <row r="682">
      <c r="B682" s="277"/>
      <c r="L682" s="67"/>
      <c r="M682" s="280" t="s">
        <v>2482</v>
      </c>
      <c r="N682" s="234"/>
      <c r="O682" s="281"/>
      <c r="P682" s="233"/>
      <c r="Q682" s="233"/>
      <c r="R682" s="234"/>
      <c r="S682" s="233"/>
      <c r="T682" s="233"/>
      <c r="U682" s="233"/>
      <c r="V682" s="233"/>
      <c r="W682" s="233"/>
      <c r="X682" s="233"/>
      <c r="Y682" s="233"/>
      <c r="Z682" s="233"/>
      <c r="AA682" s="233"/>
      <c r="AB682" s="233"/>
      <c r="AC682" s="233"/>
      <c r="AD682" s="233"/>
      <c r="AE682" s="233"/>
      <c r="AF682" s="233"/>
      <c r="AG682" s="233"/>
      <c r="AH682" s="233"/>
      <c r="AI682" s="233"/>
      <c r="AJ682" s="233"/>
      <c r="AK682" s="233"/>
      <c r="AL682" s="233"/>
    </row>
    <row r="683">
      <c r="B683" s="277"/>
      <c r="L683" s="67"/>
      <c r="M683" s="280" t="s">
        <v>2482</v>
      </c>
      <c r="N683" s="234"/>
      <c r="O683" s="281"/>
      <c r="P683" s="233"/>
      <c r="Q683" s="233"/>
      <c r="R683" s="234"/>
      <c r="S683" s="233"/>
      <c r="T683" s="233"/>
      <c r="U683" s="233"/>
      <c r="V683" s="233"/>
      <c r="W683" s="233"/>
      <c r="X683" s="233"/>
      <c r="Y683" s="233"/>
      <c r="Z683" s="233"/>
      <c r="AA683" s="233"/>
      <c r="AB683" s="233"/>
      <c r="AC683" s="233"/>
      <c r="AD683" s="233"/>
      <c r="AE683" s="233"/>
      <c r="AF683" s="233"/>
      <c r="AG683" s="233"/>
      <c r="AH683" s="233"/>
      <c r="AI683" s="233"/>
      <c r="AJ683" s="233"/>
      <c r="AK683" s="233"/>
      <c r="AL683" s="233"/>
    </row>
    <row r="684">
      <c r="B684" s="277"/>
      <c r="L684" s="67"/>
      <c r="M684" s="280" t="s">
        <v>2482</v>
      </c>
      <c r="N684" s="234"/>
      <c r="O684" s="281"/>
      <c r="P684" s="233"/>
      <c r="Q684" s="233"/>
      <c r="R684" s="234"/>
      <c r="S684" s="233"/>
      <c r="T684" s="233"/>
      <c r="U684" s="233"/>
      <c r="V684" s="233"/>
      <c r="W684" s="233"/>
      <c r="X684" s="233"/>
      <c r="Y684" s="233"/>
      <c r="Z684" s="233"/>
      <c r="AA684" s="233"/>
      <c r="AB684" s="233"/>
      <c r="AC684" s="233"/>
      <c r="AD684" s="233"/>
      <c r="AE684" s="233"/>
      <c r="AF684" s="233"/>
      <c r="AG684" s="233"/>
      <c r="AH684" s="233"/>
      <c r="AI684" s="233"/>
      <c r="AJ684" s="233"/>
      <c r="AK684" s="233"/>
      <c r="AL684" s="233"/>
    </row>
    <row r="685">
      <c r="B685" s="277"/>
      <c r="L685" s="67"/>
      <c r="M685" s="280" t="s">
        <v>2482</v>
      </c>
      <c r="N685" s="234"/>
      <c r="O685" s="281"/>
      <c r="P685" s="233"/>
      <c r="Q685" s="233"/>
      <c r="R685" s="234"/>
      <c r="S685" s="233"/>
      <c r="T685" s="233"/>
      <c r="U685" s="233"/>
      <c r="V685" s="233"/>
      <c r="W685" s="233"/>
      <c r="X685" s="233"/>
      <c r="Y685" s="233"/>
      <c r="Z685" s="233"/>
      <c r="AA685" s="233"/>
      <c r="AB685" s="233"/>
      <c r="AC685" s="233"/>
      <c r="AD685" s="233"/>
      <c r="AE685" s="233"/>
      <c r="AF685" s="233"/>
      <c r="AG685" s="233"/>
      <c r="AH685" s="233"/>
      <c r="AI685" s="233"/>
      <c r="AJ685" s="233"/>
      <c r="AK685" s="233"/>
      <c r="AL685" s="233"/>
    </row>
    <row r="686">
      <c r="B686" s="277"/>
      <c r="L686" s="67"/>
      <c r="M686" s="280" t="s">
        <v>2482</v>
      </c>
      <c r="N686" s="234"/>
      <c r="O686" s="281"/>
      <c r="P686" s="233"/>
      <c r="Q686" s="233"/>
      <c r="R686" s="234"/>
      <c r="S686" s="233"/>
      <c r="T686" s="233"/>
      <c r="U686" s="233"/>
      <c r="V686" s="233"/>
      <c r="W686" s="233"/>
      <c r="X686" s="233"/>
      <c r="Y686" s="233"/>
      <c r="Z686" s="233"/>
      <c r="AA686" s="233"/>
      <c r="AB686" s="233"/>
      <c r="AC686" s="233"/>
      <c r="AD686" s="233"/>
      <c r="AE686" s="233"/>
      <c r="AF686" s="233"/>
      <c r="AG686" s="233"/>
      <c r="AH686" s="233"/>
      <c r="AI686" s="233"/>
      <c r="AJ686" s="233"/>
      <c r="AK686" s="233"/>
      <c r="AL686" s="233"/>
    </row>
    <row r="687">
      <c r="B687" s="277"/>
      <c r="L687" s="67"/>
      <c r="M687" s="280" t="s">
        <v>2482</v>
      </c>
      <c r="N687" s="234"/>
      <c r="O687" s="281"/>
      <c r="P687" s="233"/>
      <c r="Q687" s="233"/>
      <c r="R687" s="234"/>
      <c r="S687" s="233"/>
      <c r="T687" s="233"/>
      <c r="U687" s="233"/>
      <c r="V687" s="233"/>
      <c r="W687" s="233"/>
      <c r="X687" s="233"/>
      <c r="Y687" s="233"/>
      <c r="Z687" s="233"/>
      <c r="AA687" s="233"/>
      <c r="AB687" s="233"/>
      <c r="AC687" s="233"/>
      <c r="AD687" s="233"/>
      <c r="AE687" s="233"/>
      <c r="AF687" s="233"/>
      <c r="AG687" s="233"/>
      <c r="AH687" s="233"/>
      <c r="AI687" s="233"/>
      <c r="AJ687" s="233"/>
      <c r="AK687" s="233"/>
      <c r="AL687" s="233"/>
    </row>
    <row r="688">
      <c r="B688" s="277"/>
      <c r="L688" s="67"/>
      <c r="M688" s="280" t="s">
        <v>2482</v>
      </c>
      <c r="N688" s="234"/>
      <c r="O688" s="281"/>
      <c r="P688" s="233"/>
      <c r="Q688" s="233"/>
      <c r="R688" s="234"/>
      <c r="S688" s="233"/>
      <c r="T688" s="233"/>
      <c r="U688" s="233"/>
      <c r="V688" s="233"/>
      <c r="W688" s="233"/>
      <c r="X688" s="233"/>
      <c r="Y688" s="233"/>
      <c r="Z688" s="233"/>
      <c r="AA688" s="233"/>
      <c r="AB688" s="233"/>
      <c r="AC688" s="233"/>
      <c r="AD688" s="233"/>
      <c r="AE688" s="233"/>
      <c r="AF688" s="233"/>
      <c r="AG688" s="233"/>
      <c r="AH688" s="233"/>
      <c r="AI688" s="233"/>
      <c r="AJ688" s="233"/>
      <c r="AK688" s="233"/>
      <c r="AL688" s="233"/>
    </row>
    <row r="689">
      <c r="B689" s="277"/>
      <c r="L689" s="67"/>
      <c r="M689" s="280" t="s">
        <v>2482</v>
      </c>
      <c r="N689" s="234"/>
      <c r="O689" s="281"/>
      <c r="P689" s="233"/>
      <c r="Q689" s="233"/>
      <c r="R689" s="234"/>
      <c r="S689" s="233"/>
      <c r="T689" s="233"/>
      <c r="U689" s="233"/>
      <c r="V689" s="233"/>
      <c r="W689" s="233"/>
      <c r="X689" s="233"/>
      <c r="Y689" s="233"/>
      <c r="Z689" s="233"/>
      <c r="AA689" s="233"/>
      <c r="AB689" s="233"/>
      <c r="AC689" s="233"/>
      <c r="AD689" s="233"/>
      <c r="AE689" s="233"/>
      <c r="AF689" s="233"/>
      <c r="AG689" s="233"/>
      <c r="AH689" s="233"/>
      <c r="AI689" s="233"/>
      <c r="AJ689" s="233"/>
      <c r="AK689" s="233"/>
      <c r="AL689" s="233"/>
    </row>
    <row r="690">
      <c r="B690" s="277"/>
      <c r="L690" s="67"/>
      <c r="M690" s="280" t="s">
        <v>2482</v>
      </c>
      <c r="N690" s="234"/>
      <c r="O690" s="281"/>
      <c r="P690" s="233"/>
      <c r="Q690" s="233"/>
      <c r="R690" s="234"/>
      <c r="S690" s="233"/>
      <c r="T690" s="233"/>
      <c r="U690" s="233"/>
      <c r="V690" s="233"/>
      <c r="W690" s="233"/>
      <c r="X690" s="233"/>
      <c r="Y690" s="233"/>
      <c r="Z690" s="233"/>
      <c r="AA690" s="233"/>
      <c r="AB690" s="233"/>
      <c r="AC690" s="233"/>
      <c r="AD690" s="233"/>
      <c r="AE690" s="233"/>
      <c r="AF690" s="233"/>
      <c r="AG690" s="233"/>
      <c r="AH690" s="233"/>
      <c r="AI690" s="233"/>
      <c r="AJ690" s="233"/>
      <c r="AK690" s="233"/>
      <c r="AL690" s="233"/>
    </row>
    <row r="691">
      <c r="B691" s="277"/>
      <c r="L691" s="67"/>
      <c r="M691" s="280" t="s">
        <v>2482</v>
      </c>
      <c r="N691" s="234"/>
      <c r="O691" s="281"/>
      <c r="P691" s="233"/>
      <c r="Q691" s="233"/>
      <c r="R691" s="234"/>
      <c r="S691" s="233"/>
      <c r="T691" s="233"/>
      <c r="U691" s="233"/>
      <c r="V691" s="233"/>
      <c r="W691" s="233"/>
      <c r="X691" s="233"/>
      <c r="Y691" s="233"/>
      <c r="Z691" s="233"/>
      <c r="AA691" s="233"/>
      <c r="AB691" s="233"/>
      <c r="AC691" s="233"/>
      <c r="AD691" s="233"/>
      <c r="AE691" s="233"/>
      <c r="AF691" s="233"/>
      <c r="AG691" s="233"/>
      <c r="AH691" s="233"/>
      <c r="AI691" s="233"/>
      <c r="AJ691" s="233"/>
      <c r="AK691" s="233"/>
      <c r="AL691" s="233"/>
    </row>
    <row r="692">
      <c r="B692" s="277"/>
      <c r="L692" s="67"/>
      <c r="M692" s="280" t="s">
        <v>2482</v>
      </c>
      <c r="N692" s="234"/>
      <c r="O692" s="281"/>
      <c r="P692" s="233"/>
      <c r="Q692" s="233"/>
      <c r="R692" s="234"/>
      <c r="S692" s="233"/>
      <c r="T692" s="233"/>
      <c r="U692" s="233"/>
      <c r="V692" s="233"/>
      <c r="W692" s="233"/>
      <c r="X692" s="233"/>
      <c r="Y692" s="233"/>
      <c r="Z692" s="233"/>
      <c r="AA692" s="233"/>
      <c r="AB692" s="233"/>
      <c r="AC692" s="233"/>
      <c r="AD692" s="233"/>
      <c r="AE692" s="233"/>
      <c r="AF692" s="233"/>
      <c r="AG692" s="233"/>
      <c r="AH692" s="233"/>
      <c r="AI692" s="233"/>
      <c r="AJ692" s="233"/>
      <c r="AK692" s="233"/>
      <c r="AL692" s="233"/>
    </row>
    <row r="693">
      <c r="B693" s="277"/>
      <c r="L693" s="67"/>
      <c r="M693" s="280" t="s">
        <v>2482</v>
      </c>
      <c r="N693" s="234"/>
      <c r="O693" s="281"/>
      <c r="P693" s="233"/>
      <c r="Q693" s="233"/>
      <c r="R693" s="234"/>
      <c r="S693" s="233"/>
      <c r="T693" s="233"/>
      <c r="U693" s="233"/>
      <c r="V693" s="233"/>
      <c r="W693" s="233"/>
      <c r="X693" s="233"/>
      <c r="Y693" s="233"/>
      <c r="Z693" s="233"/>
      <c r="AA693" s="233"/>
      <c r="AB693" s="233"/>
      <c r="AC693" s="233"/>
      <c r="AD693" s="233"/>
      <c r="AE693" s="233"/>
      <c r="AF693" s="233"/>
      <c r="AG693" s="233"/>
      <c r="AH693" s="233"/>
      <c r="AI693" s="233"/>
      <c r="AJ693" s="233"/>
      <c r="AK693" s="233"/>
      <c r="AL693" s="233"/>
    </row>
    <row r="694">
      <c r="B694" s="277"/>
      <c r="L694" s="67"/>
      <c r="M694" s="280" t="s">
        <v>2482</v>
      </c>
      <c r="N694" s="234"/>
      <c r="O694" s="281"/>
      <c r="P694" s="233"/>
      <c r="Q694" s="233"/>
      <c r="R694" s="234"/>
      <c r="S694" s="233"/>
      <c r="T694" s="233"/>
      <c r="U694" s="233"/>
      <c r="V694" s="233"/>
      <c r="W694" s="233"/>
      <c r="X694" s="233"/>
      <c r="Y694" s="233"/>
      <c r="Z694" s="233"/>
      <c r="AA694" s="233"/>
      <c r="AB694" s="233"/>
      <c r="AC694" s="233"/>
      <c r="AD694" s="233"/>
      <c r="AE694" s="233"/>
      <c r="AF694" s="233"/>
      <c r="AG694" s="233"/>
      <c r="AH694" s="233"/>
      <c r="AI694" s="233"/>
      <c r="AJ694" s="233"/>
      <c r="AK694" s="233"/>
      <c r="AL694" s="233"/>
    </row>
    <row r="695">
      <c r="B695" s="277"/>
      <c r="L695" s="67"/>
      <c r="M695" s="280" t="s">
        <v>2482</v>
      </c>
      <c r="N695" s="234"/>
      <c r="O695" s="281"/>
      <c r="P695" s="233"/>
      <c r="Q695" s="233"/>
      <c r="R695" s="234"/>
      <c r="S695" s="233"/>
      <c r="T695" s="233"/>
      <c r="U695" s="233"/>
      <c r="V695" s="233"/>
      <c r="W695" s="233"/>
      <c r="X695" s="233"/>
      <c r="Y695" s="233"/>
      <c r="Z695" s="233"/>
      <c r="AA695" s="233"/>
      <c r="AB695" s="233"/>
      <c r="AC695" s="233"/>
      <c r="AD695" s="233"/>
      <c r="AE695" s="233"/>
      <c r="AF695" s="233"/>
      <c r="AG695" s="233"/>
      <c r="AH695" s="233"/>
      <c r="AI695" s="233"/>
      <c r="AJ695" s="233"/>
      <c r="AK695" s="233"/>
      <c r="AL695" s="233"/>
    </row>
    <row r="696">
      <c r="B696" s="277"/>
      <c r="L696" s="67"/>
      <c r="M696" s="280" t="s">
        <v>2482</v>
      </c>
      <c r="N696" s="234"/>
      <c r="O696" s="281"/>
      <c r="P696" s="233"/>
      <c r="Q696" s="233"/>
      <c r="R696" s="234"/>
      <c r="S696" s="233"/>
      <c r="T696" s="233"/>
      <c r="U696" s="233"/>
      <c r="V696" s="233"/>
      <c r="W696" s="233"/>
      <c r="X696" s="233"/>
      <c r="Y696" s="233"/>
      <c r="Z696" s="233"/>
      <c r="AA696" s="233"/>
      <c r="AB696" s="233"/>
      <c r="AC696" s="233"/>
      <c r="AD696" s="233"/>
      <c r="AE696" s="233"/>
      <c r="AF696" s="233"/>
      <c r="AG696" s="233"/>
      <c r="AH696" s="233"/>
      <c r="AI696" s="233"/>
      <c r="AJ696" s="233"/>
      <c r="AK696" s="233"/>
      <c r="AL696" s="233"/>
    </row>
    <row r="697">
      <c r="B697" s="277"/>
      <c r="L697" s="67"/>
      <c r="M697" s="280" t="s">
        <v>2482</v>
      </c>
      <c r="N697" s="234"/>
      <c r="O697" s="281"/>
      <c r="P697" s="233"/>
      <c r="Q697" s="233"/>
      <c r="R697" s="234"/>
      <c r="S697" s="233"/>
      <c r="T697" s="233"/>
      <c r="U697" s="233"/>
      <c r="V697" s="233"/>
      <c r="W697" s="233"/>
      <c r="X697" s="233"/>
      <c r="Y697" s="233"/>
      <c r="Z697" s="233"/>
      <c r="AA697" s="233"/>
      <c r="AB697" s="233"/>
      <c r="AC697" s="233"/>
      <c r="AD697" s="233"/>
      <c r="AE697" s="233"/>
      <c r="AF697" s="233"/>
      <c r="AG697" s="233"/>
      <c r="AH697" s="233"/>
      <c r="AI697" s="233"/>
      <c r="AJ697" s="233"/>
      <c r="AK697" s="233"/>
      <c r="AL697" s="233"/>
    </row>
    <row r="698">
      <c r="B698" s="277"/>
      <c r="L698" s="67"/>
      <c r="M698" s="280" t="s">
        <v>2482</v>
      </c>
      <c r="N698" s="234"/>
      <c r="O698" s="281"/>
      <c r="P698" s="233"/>
      <c r="Q698" s="233"/>
      <c r="R698" s="234"/>
      <c r="S698" s="233"/>
      <c r="T698" s="233"/>
      <c r="U698" s="233"/>
      <c r="V698" s="233"/>
      <c r="W698" s="233"/>
      <c r="X698" s="233"/>
      <c r="Y698" s="233"/>
      <c r="Z698" s="233"/>
      <c r="AA698" s="233"/>
      <c r="AB698" s="233"/>
      <c r="AC698" s="233"/>
      <c r="AD698" s="233"/>
      <c r="AE698" s="233"/>
      <c r="AF698" s="233"/>
      <c r="AG698" s="233"/>
      <c r="AH698" s="233"/>
      <c r="AI698" s="233"/>
      <c r="AJ698" s="233"/>
      <c r="AK698" s="233"/>
      <c r="AL698" s="233"/>
    </row>
    <row r="699">
      <c r="B699" s="277"/>
      <c r="L699" s="67"/>
      <c r="M699" s="280" t="s">
        <v>2482</v>
      </c>
      <c r="N699" s="234"/>
      <c r="O699" s="281"/>
      <c r="P699" s="233"/>
      <c r="Q699" s="233"/>
      <c r="R699" s="234"/>
      <c r="S699" s="233"/>
      <c r="T699" s="233"/>
      <c r="U699" s="233"/>
      <c r="V699" s="233"/>
      <c r="W699" s="233"/>
      <c r="X699" s="233"/>
      <c r="Y699" s="233"/>
      <c r="Z699" s="233"/>
      <c r="AA699" s="233"/>
      <c r="AB699" s="233"/>
      <c r="AC699" s="233"/>
      <c r="AD699" s="233"/>
      <c r="AE699" s="233"/>
      <c r="AF699" s="233"/>
      <c r="AG699" s="233"/>
      <c r="AH699" s="233"/>
      <c r="AI699" s="233"/>
      <c r="AJ699" s="233"/>
      <c r="AK699" s="233"/>
      <c r="AL699" s="233"/>
    </row>
    <row r="700">
      <c r="B700" s="277"/>
      <c r="L700" s="67"/>
      <c r="M700" s="280" t="s">
        <v>2482</v>
      </c>
      <c r="N700" s="234"/>
      <c r="O700" s="281"/>
      <c r="P700" s="233"/>
      <c r="Q700" s="233"/>
      <c r="R700" s="234"/>
      <c r="S700" s="233"/>
      <c r="T700" s="233"/>
      <c r="U700" s="233"/>
      <c r="V700" s="233"/>
      <c r="W700" s="233"/>
      <c r="X700" s="233"/>
      <c r="Y700" s="233"/>
      <c r="Z700" s="233"/>
      <c r="AA700" s="233"/>
      <c r="AB700" s="233"/>
      <c r="AC700" s="233"/>
      <c r="AD700" s="233"/>
      <c r="AE700" s="233"/>
      <c r="AF700" s="233"/>
      <c r="AG700" s="233"/>
      <c r="AH700" s="233"/>
      <c r="AI700" s="233"/>
      <c r="AJ700" s="233"/>
      <c r="AK700" s="233"/>
      <c r="AL700" s="233"/>
    </row>
    <row r="701">
      <c r="B701" s="277"/>
      <c r="L701" s="67"/>
      <c r="M701" s="280" t="s">
        <v>2482</v>
      </c>
      <c r="N701" s="234"/>
      <c r="O701" s="281"/>
      <c r="P701" s="233"/>
      <c r="Q701" s="233"/>
      <c r="R701" s="234"/>
      <c r="S701" s="233"/>
      <c r="T701" s="233"/>
      <c r="U701" s="233"/>
      <c r="V701" s="233"/>
      <c r="W701" s="233"/>
      <c r="X701" s="233"/>
      <c r="Y701" s="233"/>
      <c r="Z701" s="233"/>
      <c r="AA701" s="233"/>
      <c r="AB701" s="233"/>
      <c r="AC701" s="233"/>
      <c r="AD701" s="233"/>
      <c r="AE701" s="233"/>
      <c r="AF701" s="233"/>
      <c r="AG701" s="233"/>
      <c r="AH701" s="233"/>
      <c r="AI701" s="233"/>
      <c r="AJ701" s="233"/>
      <c r="AK701" s="233"/>
      <c r="AL701" s="233"/>
    </row>
    <row r="702">
      <c r="B702" s="277"/>
      <c r="L702" s="67"/>
      <c r="M702" s="280" t="s">
        <v>2482</v>
      </c>
      <c r="N702" s="234"/>
      <c r="O702" s="281"/>
      <c r="P702" s="233"/>
      <c r="Q702" s="233"/>
      <c r="R702" s="234"/>
      <c r="S702" s="233"/>
      <c r="T702" s="233"/>
      <c r="U702" s="233"/>
      <c r="V702" s="233"/>
      <c r="W702" s="233"/>
      <c r="X702" s="233"/>
      <c r="Y702" s="233"/>
      <c r="Z702" s="233"/>
      <c r="AA702" s="233"/>
      <c r="AB702" s="233"/>
      <c r="AC702" s="233"/>
      <c r="AD702" s="233"/>
      <c r="AE702" s="233"/>
      <c r="AF702" s="233"/>
      <c r="AG702" s="233"/>
      <c r="AH702" s="233"/>
      <c r="AI702" s="233"/>
      <c r="AJ702" s="233"/>
      <c r="AK702" s="233"/>
      <c r="AL702" s="233"/>
    </row>
    <row r="703">
      <c r="B703" s="277"/>
      <c r="L703" s="67"/>
      <c r="M703" s="280" t="s">
        <v>2482</v>
      </c>
      <c r="N703" s="234"/>
      <c r="O703" s="281"/>
      <c r="P703" s="233"/>
      <c r="Q703" s="233"/>
      <c r="R703" s="234"/>
      <c r="S703" s="233"/>
      <c r="T703" s="233"/>
      <c r="U703" s="233"/>
      <c r="V703" s="233"/>
      <c r="W703" s="233"/>
      <c r="X703" s="233"/>
      <c r="Y703" s="233"/>
      <c r="Z703" s="233"/>
      <c r="AA703" s="233"/>
      <c r="AB703" s="233"/>
      <c r="AC703" s="233"/>
      <c r="AD703" s="233"/>
      <c r="AE703" s="233"/>
      <c r="AF703" s="233"/>
      <c r="AG703" s="233"/>
      <c r="AH703" s="233"/>
      <c r="AI703" s="233"/>
      <c r="AJ703" s="233"/>
      <c r="AK703" s="233"/>
      <c r="AL703" s="233"/>
    </row>
    <row r="704">
      <c r="B704" s="277"/>
      <c r="L704" s="67"/>
      <c r="M704" s="280" t="s">
        <v>2482</v>
      </c>
      <c r="N704" s="234"/>
      <c r="O704" s="281"/>
      <c r="P704" s="233"/>
      <c r="Q704" s="233"/>
      <c r="R704" s="234"/>
      <c r="S704" s="233"/>
      <c r="T704" s="233"/>
      <c r="U704" s="233"/>
      <c r="V704" s="233"/>
      <c r="W704" s="233"/>
      <c r="X704" s="233"/>
      <c r="Y704" s="233"/>
      <c r="Z704" s="233"/>
      <c r="AA704" s="233"/>
      <c r="AB704" s="233"/>
      <c r="AC704" s="233"/>
      <c r="AD704" s="233"/>
      <c r="AE704" s="233"/>
      <c r="AF704" s="233"/>
      <c r="AG704" s="233"/>
      <c r="AH704" s="233"/>
      <c r="AI704" s="233"/>
      <c r="AJ704" s="233"/>
      <c r="AK704" s="233"/>
      <c r="AL704" s="233"/>
    </row>
    <row r="705">
      <c r="B705" s="277"/>
      <c r="L705" s="67"/>
      <c r="M705" s="280" t="s">
        <v>2482</v>
      </c>
      <c r="N705" s="234"/>
      <c r="O705" s="281"/>
      <c r="P705" s="233"/>
      <c r="Q705" s="233"/>
      <c r="R705" s="234"/>
      <c r="S705" s="233"/>
      <c r="T705" s="233"/>
      <c r="U705" s="233"/>
      <c r="V705" s="233"/>
      <c r="W705" s="233"/>
      <c r="X705" s="233"/>
      <c r="Y705" s="233"/>
      <c r="Z705" s="233"/>
      <c r="AA705" s="233"/>
      <c r="AB705" s="233"/>
      <c r="AC705" s="233"/>
      <c r="AD705" s="233"/>
      <c r="AE705" s="233"/>
      <c r="AF705" s="233"/>
      <c r="AG705" s="233"/>
      <c r="AH705" s="233"/>
      <c r="AI705" s="233"/>
      <c r="AJ705" s="233"/>
      <c r="AK705" s="233"/>
      <c r="AL705" s="233"/>
    </row>
    <row r="706">
      <c r="B706" s="277"/>
      <c r="L706" s="67"/>
      <c r="M706" s="280" t="s">
        <v>2482</v>
      </c>
      <c r="N706" s="234"/>
      <c r="O706" s="281"/>
      <c r="P706" s="233"/>
      <c r="Q706" s="233"/>
      <c r="R706" s="234"/>
      <c r="S706" s="233"/>
      <c r="T706" s="233"/>
      <c r="U706" s="233"/>
      <c r="V706" s="233"/>
      <c r="W706" s="233"/>
      <c r="X706" s="233"/>
      <c r="Y706" s="233"/>
      <c r="Z706" s="233"/>
      <c r="AA706" s="233"/>
      <c r="AB706" s="233"/>
      <c r="AC706" s="233"/>
      <c r="AD706" s="233"/>
      <c r="AE706" s="233"/>
      <c r="AF706" s="233"/>
      <c r="AG706" s="233"/>
      <c r="AH706" s="233"/>
      <c r="AI706" s="233"/>
      <c r="AJ706" s="233"/>
      <c r="AK706" s="233"/>
      <c r="AL706" s="233"/>
    </row>
    <row r="707">
      <c r="B707" s="277"/>
      <c r="L707" s="67"/>
      <c r="M707" s="280" t="s">
        <v>2482</v>
      </c>
      <c r="N707" s="234"/>
      <c r="O707" s="281"/>
      <c r="P707" s="233"/>
      <c r="Q707" s="233"/>
      <c r="R707" s="234"/>
      <c r="S707" s="233"/>
      <c r="T707" s="233"/>
      <c r="U707" s="233"/>
      <c r="V707" s="233"/>
      <c r="W707" s="233"/>
      <c r="X707" s="233"/>
      <c r="Y707" s="233"/>
      <c r="Z707" s="233"/>
      <c r="AA707" s="233"/>
      <c r="AB707" s="233"/>
      <c r="AC707" s="233"/>
      <c r="AD707" s="233"/>
      <c r="AE707" s="233"/>
      <c r="AF707" s="233"/>
      <c r="AG707" s="233"/>
      <c r="AH707" s="233"/>
      <c r="AI707" s="233"/>
      <c r="AJ707" s="233"/>
      <c r="AK707" s="233"/>
      <c r="AL707" s="233"/>
    </row>
    <row r="708">
      <c r="B708" s="277"/>
      <c r="L708" s="67"/>
      <c r="M708" s="280" t="s">
        <v>2482</v>
      </c>
      <c r="N708" s="234"/>
      <c r="O708" s="281"/>
      <c r="P708" s="233"/>
      <c r="Q708" s="233"/>
      <c r="R708" s="234"/>
      <c r="S708" s="233"/>
      <c r="T708" s="233"/>
      <c r="U708" s="233"/>
      <c r="V708" s="233"/>
      <c r="W708" s="233"/>
      <c r="X708" s="233"/>
      <c r="Y708" s="233"/>
      <c r="Z708" s="233"/>
      <c r="AA708" s="233"/>
      <c r="AB708" s="233"/>
      <c r="AC708" s="233"/>
      <c r="AD708" s="233"/>
      <c r="AE708" s="233"/>
      <c r="AF708" s="233"/>
      <c r="AG708" s="233"/>
      <c r="AH708" s="233"/>
      <c r="AI708" s="233"/>
      <c r="AJ708" s="233"/>
      <c r="AK708" s="233"/>
      <c r="AL708" s="233"/>
    </row>
    <row r="709">
      <c r="B709" s="277"/>
      <c r="L709" s="67"/>
      <c r="M709" s="280" t="s">
        <v>2482</v>
      </c>
      <c r="N709" s="234"/>
      <c r="O709" s="281"/>
      <c r="P709" s="233"/>
      <c r="Q709" s="233"/>
      <c r="R709" s="234"/>
      <c r="S709" s="233"/>
      <c r="T709" s="233"/>
      <c r="U709" s="233"/>
      <c r="V709" s="233"/>
      <c r="W709" s="233"/>
      <c r="X709" s="233"/>
      <c r="Y709" s="233"/>
      <c r="Z709" s="233"/>
      <c r="AA709" s="233"/>
      <c r="AB709" s="233"/>
      <c r="AC709" s="233"/>
      <c r="AD709" s="233"/>
      <c r="AE709" s="233"/>
      <c r="AF709" s="233"/>
      <c r="AG709" s="233"/>
      <c r="AH709" s="233"/>
      <c r="AI709" s="233"/>
      <c r="AJ709" s="233"/>
      <c r="AK709" s="233"/>
      <c r="AL709" s="233"/>
    </row>
    <row r="710">
      <c r="B710" s="277"/>
      <c r="L710" s="67"/>
      <c r="M710" s="280" t="s">
        <v>2482</v>
      </c>
      <c r="N710" s="234"/>
      <c r="O710" s="281"/>
      <c r="P710" s="233"/>
      <c r="Q710" s="233"/>
      <c r="R710" s="234"/>
      <c r="S710" s="233"/>
      <c r="T710" s="233"/>
      <c r="U710" s="233"/>
      <c r="V710" s="233"/>
      <c r="W710" s="233"/>
      <c r="X710" s="233"/>
      <c r="Y710" s="233"/>
      <c r="Z710" s="233"/>
      <c r="AA710" s="233"/>
      <c r="AB710" s="233"/>
      <c r="AC710" s="233"/>
      <c r="AD710" s="233"/>
      <c r="AE710" s="233"/>
      <c r="AF710" s="233"/>
      <c r="AG710" s="233"/>
      <c r="AH710" s="233"/>
      <c r="AI710" s="233"/>
      <c r="AJ710" s="233"/>
      <c r="AK710" s="233"/>
      <c r="AL710" s="233"/>
    </row>
    <row r="711">
      <c r="B711" s="277"/>
      <c r="L711" s="67"/>
      <c r="M711" s="280" t="s">
        <v>2482</v>
      </c>
      <c r="N711" s="234"/>
      <c r="O711" s="281"/>
      <c r="P711" s="233"/>
      <c r="Q711" s="233"/>
      <c r="R711" s="234"/>
      <c r="S711" s="233"/>
      <c r="T711" s="233"/>
      <c r="U711" s="233"/>
      <c r="V711" s="233"/>
      <c r="W711" s="233"/>
      <c r="X711" s="233"/>
      <c r="Y711" s="233"/>
      <c r="Z711" s="233"/>
      <c r="AA711" s="233"/>
      <c r="AB711" s="233"/>
      <c r="AC711" s="233"/>
      <c r="AD711" s="233"/>
      <c r="AE711" s="233"/>
      <c r="AF711" s="233"/>
      <c r="AG711" s="233"/>
      <c r="AH711" s="233"/>
      <c r="AI711" s="233"/>
      <c r="AJ711" s="233"/>
      <c r="AK711" s="233"/>
      <c r="AL711" s="233"/>
    </row>
    <row r="712">
      <c r="B712" s="277"/>
      <c r="L712" s="67"/>
      <c r="M712" s="280" t="s">
        <v>2482</v>
      </c>
      <c r="N712" s="234"/>
      <c r="O712" s="281"/>
      <c r="P712" s="233"/>
      <c r="Q712" s="233"/>
      <c r="R712" s="234"/>
      <c r="S712" s="233"/>
      <c r="T712" s="233"/>
      <c r="U712" s="233"/>
      <c r="V712" s="233"/>
      <c r="W712" s="233"/>
      <c r="X712" s="233"/>
      <c r="Y712" s="233"/>
      <c r="Z712" s="233"/>
      <c r="AA712" s="233"/>
      <c r="AB712" s="233"/>
      <c r="AC712" s="233"/>
      <c r="AD712" s="233"/>
      <c r="AE712" s="233"/>
      <c r="AF712" s="233"/>
      <c r="AG712" s="233"/>
      <c r="AH712" s="233"/>
      <c r="AI712" s="233"/>
      <c r="AJ712" s="233"/>
      <c r="AK712" s="233"/>
      <c r="AL712" s="233"/>
    </row>
    <row r="713">
      <c r="B713" s="277"/>
      <c r="L713" s="67"/>
      <c r="M713" s="280" t="s">
        <v>2482</v>
      </c>
      <c r="N713" s="234"/>
      <c r="O713" s="281"/>
      <c r="P713" s="233"/>
      <c r="Q713" s="233"/>
      <c r="R713" s="234"/>
      <c r="S713" s="233"/>
      <c r="T713" s="233"/>
      <c r="U713" s="233"/>
      <c r="V713" s="233"/>
      <c r="W713" s="233"/>
      <c r="X713" s="233"/>
      <c r="Y713" s="233"/>
      <c r="Z713" s="233"/>
      <c r="AA713" s="233"/>
      <c r="AB713" s="233"/>
      <c r="AC713" s="233"/>
      <c r="AD713" s="233"/>
      <c r="AE713" s="233"/>
      <c r="AF713" s="233"/>
      <c r="AG713" s="233"/>
      <c r="AH713" s="233"/>
      <c r="AI713" s="233"/>
      <c r="AJ713" s="233"/>
      <c r="AK713" s="233"/>
      <c r="AL713" s="233"/>
    </row>
    <row r="714">
      <c r="B714" s="277"/>
      <c r="L714" s="67"/>
      <c r="M714" s="280" t="s">
        <v>2482</v>
      </c>
      <c r="N714" s="234"/>
      <c r="O714" s="281"/>
      <c r="P714" s="233"/>
      <c r="Q714" s="233"/>
      <c r="R714" s="234"/>
      <c r="S714" s="233"/>
      <c r="T714" s="233"/>
      <c r="U714" s="233"/>
      <c r="V714" s="233"/>
      <c r="W714" s="233"/>
      <c r="X714" s="233"/>
      <c r="Y714" s="233"/>
      <c r="Z714" s="233"/>
      <c r="AA714" s="233"/>
      <c r="AB714" s="233"/>
      <c r="AC714" s="233"/>
      <c r="AD714" s="233"/>
      <c r="AE714" s="233"/>
      <c r="AF714" s="233"/>
      <c r="AG714" s="233"/>
      <c r="AH714" s="233"/>
      <c r="AI714" s="233"/>
      <c r="AJ714" s="233"/>
      <c r="AK714" s="233"/>
      <c r="AL714" s="233"/>
    </row>
    <row r="715">
      <c r="B715" s="277"/>
      <c r="L715" s="67"/>
      <c r="M715" s="280" t="s">
        <v>2482</v>
      </c>
      <c r="N715" s="234"/>
      <c r="O715" s="281"/>
      <c r="P715" s="233"/>
      <c r="Q715" s="233"/>
      <c r="R715" s="234"/>
      <c r="S715" s="233"/>
      <c r="T715" s="233"/>
      <c r="U715" s="233"/>
      <c r="V715" s="233"/>
      <c r="W715" s="233"/>
      <c r="X715" s="233"/>
      <c r="Y715" s="233"/>
      <c r="Z715" s="233"/>
      <c r="AA715" s="233"/>
      <c r="AB715" s="233"/>
      <c r="AC715" s="233"/>
      <c r="AD715" s="233"/>
      <c r="AE715" s="233"/>
      <c r="AF715" s="233"/>
      <c r="AG715" s="233"/>
      <c r="AH715" s="233"/>
      <c r="AI715" s="233"/>
      <c r="AJ715" s="233"/>
      <c r="AK715" s="233"/>
      <c r="AL715" s="233"/>
    </row>
    <row r="716">
      <c r="B716" s="277"/>
      <c r="L716" s="67"/>
      <c r="M716" s="280" t="s">
        <v>2482</v>
      </c>
      <c r="N716" s="234"/>
      <c r="O716" s="281"/>
      <c r="P716" s="233"/>
      <c r="Q716" s="233"/>
      <c r="R716" s="234"/>
      <c r="S716" s="233"/>
      <c r="T716" s="233"/>
      <c r="U716" s="233"/>
      <c r="V716" s="233"/>
      <c r="W716" s="233"/>
      <c r="X716" s="233"/>
      <c r="Y716" s="233"/>
      <c r="Z716" s="233"/>
      <c r="AA716" s="233"/>
      <c r="AB716" s="233"/>
      <c r="AC716" s="233"/>
      <c r="AD716" s="233"/>
      <c r="AE716" s="233"/>
      <c r="AF716" s="233"/>
      <c r="AG716" s="233"/>
      <c r="AH716" s="233"/>
      <c r="AI716" s="233"/>
      <c r="AJ716" s="233"/>
      <c r="AK716" s="233"/>
      <c r="AL716" s="233"/>
    </row>
    <row r="717">
      <c r="B717" s="277"/>
      <c r="L717" s="67"/>
      <c r="M717" s="280" t="s">
        <v>2482</v>
      </c>
      <c r="N717" s="234"/>
      <c r="O717" s="281"/>
      <c r="P717" s="233"/>
      <c r="Q717" s="233"/>
      <c r="R717" s="234"/>
      <c r="S717" s="233"/>
      <c r="T717" s="233"/>
      <c r="U717" s="233"/>
      <c r="V717" s="233"/>
      <c r="W717" s="233"/>
      <c r="X717" s="233"/>
      <c r="Y717" s="233"/>
      <c r="Z717" s="233"/>
      <c r="AA717" s="233"/>
      <c r="AB717" s="233"/>
      <c r="AC717" s="233"/>
      <c r="AD717" s="233"/>
      <c r="AE717" s="233"/>
      <c r="AF717" s="233"/>
      <c r="AG717" s="233"/>
      <c r="AH717" s="233"/>
      <c r="AI717" s="233"/>
      <c r="AJ717" s="233"/>
      <c r="AK717" s="233"/>
      <c r="AL717" s="233"/>
    </row>
    <row r="718">
      <c r="B718" s="277"/>
      <c r="L718" s="67"/>
      <c r="M718" s="280" t="s">
        <v>2482</v>
      </c>
      <c r="N718" s="234"/>
      <c r="O718" s="281"/>
      <c r="P718" s="233"/>
      <c r="Q718" s="233"/>
      <c r="R718" s="234"/>
      <c r="S718" s="233"/>
      <c r="T718" s="233"/>
      <c r="U718" s="233"/>
      <c r="V718" s="233"/>
      <c r="W718" s="233"/>
      <c r="X718" s="233"/>
      <c r="Y718" s="233"/>
      <c r="Z718" s="233"/>
      <c r="AA718" s="233"/>
      <c r="AB718" s="233"/>
      <c r="AC718" s="233"/>
      <c r="AD718" s="233"/>
      <c r="AE718" s="233"/>
      <c r="AF718" s="233"/>
      <c r="AG718" s="233"/>
      <c r="AH718" s="233"/>
      <c r="AI718" s="233"/>
      <c r="AJ718" s="233"/>
      <c r="AK718" s="233"/>
      <c r="AL718" s="233"/>
    </row>
    <row r="719">
      <c r="B719" s="277"/>
      <c r="L719" s="67"/>
      <c r="M719" s="280" t="s">
        <v>2482</v>
      </c>
      <c r="N719" s="234"/>
      <c r="O719" s="281"/>
      <c r="P719" s="233"/>
      <c r="Q719" s="233"/>
      <c r="R719" s="234"/>
      <c r="S719" s="233"/>
      <c r="T719" s="233"/>
      <c r="U719" s="233"/>
      <c r="V719" s="233"/>
      <c r="W719" s="233"/>
      <c r="X719" s="233"/>
      <c r="Y719" s="233"/>
      <c r="Z719" s="233"/>
      <c r="AA719" s="233"/>
      <c r="AB719" s="233"/>
      <c r="AC719" s="233"/>
      <c r="AD719" s="233"/>
      <c r="AE719" s="233"/>
      <c r="AF719" s="233"/>
      <c r="AG719" s="233"/>
      <c r="AH719" s="233"/>
      <c r="AI719" s="233"/>
      <c r="AJ719" s="233"/>
      <c r="AK719" s="233"/>
      <c r="AL719" s="233"/>
    </row>
    <row r="720">
      <c r="B720" s="277"/>
      <c r="L720" s="67"/>
      <c r="M720" s="280" t="s">
        <v>2482</v>
      </c>
      <c r="N720" s="234"/>
      <c r="O720" s="281"/>
      <c r="P720" s="233"/>
      <c r="Q720" s="233"/>
      <c r="R720" s="234"/>
      <c r="S720" s="233"/>
      <c r="T720" s="233"/>
      <c r="U720" s="233"/>
      <c r="V720" s="233"/>
      <c r="W720" s="233"/>
      <c r="X720" s="233"/>
      <c r="Y720" s="233"/>
      <c r="Z720" s="233"/>
      <c r="AA720" s="233"/>
      <c r="AB720" s="233"/>
      <c r="AC720" s="233"/>
      <c r="AD720" s="233"/>
      <c r="AE720" s="233"/>
      <c r="AF720" s="233"/>
      <c r="AG720" s="233"/>
      <c r="AH720" s="233"/>
      <c r="AI720" s="233"/>
      <c r="AJ720" s="233"/>
      <c r="AK720" s="233"/>
      <c r="AL720" s="233"/>
    </row>
    <row r="721">
      <c r="B721" s="277"/>
      <c r="L721" s="67"/>
      <c r="M721" s="280" t="s">
        <v>2482</v>
      </c>
      <c r="N721" s="234"/>
      <c r="O721" s="281"/>
      <c r="P721" s="233"/>
      <c r="Q721" s="233"/>
      <c r="R721" s="234"/>
      <c r="S721" s="233"/>
      <c r="T721" s="233"/>
      <c r="U721" s="233"/>
      <c r="V721" s="233"/>
      <c r="W721" s="233"/>
      <c r="X721" s="233"/>
      <c r="Y721" s="233"/>
      <c r="Z721" s="233"/>
      <c r="AA721" s="233"/>
      <c r="AB721" s="233"/>
      <c r="AC721" s="233"/>
      <c r="AD721" s="233"/>
      <c r="AE721" s="233"/>
      <c r="AF721" s="233"/>
      <c r="AG721" s="233"/>
      <c r="AH721" s="233"/>
      <c r="AI721" s="233"/>
      <c r="AJ721" s="233"/>
      <c r="AK721" s="233"/>
      <c r="AL721" s="233"/>
    </row>
    <row r="722">
      <c r="B722" s="277"/>
      <c r="L722" s="67"/>
      <c r="M722" s="280" t="s">
        <v>2482</v>
      </c>
      <c r="N722" s="234"/>
      <c r="O722" s="281"/>
      <c r="P722" s="233"/>
      <c r="Q722" s="233"/>
      <c r="R722" s="234"/>
      <c r="S722" s="233"/>
      <c r="T722" s="233"/>
      <c r="U722" s="233"/>
      <c r="V722" s="233"/>
      <c r="W722" s="233"/>
      <c r="X722" s="233"/>
      <c r="Y722" s="233"/>
      <c r="Z722" s="233"/>
      <c r="AA722" s="233"/>
      <c r="AB722" s="233"/>
      <c r="AC722" s="233"/>
      <c r="AD722" s="233"/>
      <c r="AE722" s="233"/>
      <c r="AF722" s="233"/>
      <c r="AG722" s="233"/>
      <c r="AH722" s="233"/>
      <c r="AI722" s="233"/>
      <c r="AJ722" s="233"/>
      <c r="AK722" s="233"/>
      <c r="AL722" s="233"/>
    </row>
    <row r="723">
      <c r="B723" s="277"/>
      <c r="L723" s="67"/>
      <c r="M723" s="280" t="s">
        <v>2482</v>
      </c>
      <c r="N723" s="234"/>
      <c r="O723" s="281"/>
      <c r="P723" s="233"/>
      <c r="Q723" s="233"/>
      <c r="R723" s="234"/>
      <c r="S723" s="233"/>
      <c r="T723" s="233"/>
      <c r="U723" s="233"/>
      <c r="V723" s="233"/>
      <c r="W723" s="233"/>
      <c r="X723" s="233"/>
      <c r="Y723" s="233"/>
      <c r="Z723" s="233"/>
      <c r="AA723" s="233"/>
      <c r="AB723" s="233"/>
      <c r="AC723" s="233"/>
      <c r="AD723" s="233"/>
      <c r="AE723" s="233"/>
      <c r="AF723" s="233"/>
      <c r="AG723" s="233"/>
      <c r="AH723" s="233"/>
      <c r="AI723" s="233"/>
      <c r="AJ723" s="233"/>
      <c r="AK723" s="233"/>
      <c r="AL723" s="233"/>
    </row>
    <row r="724">
      <c r="B724" s="277"/>
      <c r="L724" s="67"/>
      <c r="M724" s="280" t="s">
        <v>2482</v>
      </c>
      <c r="N724" s="234"/>
      <c r="O724" s="281"/>
      <c r="P724" s="233"/>
      <c r="Q724" s="233"/>
      <c r="R724" s="234"/>
      <c r="S724" s="233"/>
      <c r="T724" s="233"/>
      <c r="U724" s="233"/>
      <c r="V724" s="233"/>
      <c r="W724" s="233"/>
      <c r="X724" s="233"/>
      <c r="Y724" s="233"/>
      <c r="Z724" s="233"/>
      <c r="AA724" s="233"/>
      <c r="AB724" s="233"/>
      <c r="AC724" s="233"/>
      <c r="AD724" s="233"/>
      <c r="AE724" s="233"/>
      <c r="AF724" s="233"/>
      <c r="AG724" s="233"/>
      <c r="AH724" s="233"/>
      <c r="AI724" s="233"/>
      <c r="AJ724" s="233"/>
      <c r="AK724" s="233"/>
      <c r="AL724" s="233"/>
    </row>
    <row r="725">
      <c r="B725" s="277"/>
      <c r="L725" s="67"/>
      <c r="M725" s="280" t="s">
        <v>2482</v>
      </c>
      <c r="N725" s="234"/>
      <c r="O725" s="281"/>
      <c r="P725" s="233"/>
      <c r="Q725" s="233"/>
      <c r="R725" s="234"/>
      <c r="S725" s="233"/>
      <c r="T725" s="233"/>
      <c r="U725" s="233"/>
      <c r="V725" s="233"/>
      <c r="W725" s="233"/>
      <c r="X725" s="233"/>
      <c r="Y725" s="233"/>
      <c r="Z725" s="233"/>
      <c r="AA725" s="233"/>
      <c r="AB725" s="233"/>
      <c r="AC725" s="233"/>
      <c r="AD725" s="233"/>
      <c r="AE725" s="233"/>
      <c r="AF725" s="233"/>
      <c r="AG725" s="233"/>
      <c r="AH725" s="233"/>
      <c r="AI725" s="233"/>
      <c r="AJ725" s="233"/>
      <c r="AK725" s="233"/>
      <c r="AL725" s="233"/>
    </row>
    <row r="726">
      <c r="B726" s="277"/>
      <c r="L726" s="67"/>
      <c r="M726" s="280" t="s">
        <v>2482</v>
      </c>
      <c r="N726" s="234"/>
      <c r="O726" s="281"/>
      <c r="P726" s="233"/>
      <c r="Q726" s="233"/>
      <c r="R726" s="234"/>
      <c r="S726" s="233"/>
      <c r="T726" s="233"/>
      <c r="U726" s="233"/>
      <c r="V726" s="233"/>
      <c r="W726" s="233"/>
      <c r="X726" s="233"/>
      <c r="Y726" s="233"/>
      <c r="Z726" s="233"/>
      <c r="AA726" s="233"/>
      <c r="AB726" s="233"/>
      <c r="AC726" s="233"/>
      <c r="AD726" s="233"/>
      <c r="AE726" s="233"/>
      <c r="AF726" s="233"/>
      <c r="AG726" s="233"/>
      <c r="AH726" s="233"/>
      <c r="AI726" s="233"/>
      <c r="AJ726" s="233"/>
      <c r="AK726" s="233"/>
      <c r="AL726" s="233"/>
    </row>
    <row r="727">
      <c r="B727" s="277"/>
      <c r="L727" s="67"/>
      <c r="M727" s="280" t="s">
        <v>2482</v>
      </c>
      <c r="N727" s="234"/>
      <c r="O727" s="281"/>
      <c r="P727" s="233"/>
      <c r="Q727" s="233"/>
      <c r="R727" s="234"/>
      <c r="S727" s="233"/>
      <c r="T727" s="233"/>
      <c r="U727" s="233"/>
      <c r="V727" s="233"/>
      <c r="W727" s="233"/>
      <c r="X727" s="233"/>
      <c r="Y727" s="233"/>
      <c r="Z727" s="233"/>
      <c r="AA727" s="233"/>
      <c r="AB727" s="233"/>
      <c r="AC727" s="233"/>
      <c r="AD727" s="233"/>
      <c r="AE727" s="233"/>
      <c r="AF727" s="233"/>
      <c r="AG727" s="233"/>
      <c r="AH727" s="233"/>
      <c r="AI727" s="233"/>
      <c r="AJ727" s="233"/>
      <c r="AK727" s="233"/>
      <c r="AL727" s="233"/>
    </row>
    <row r="728">
      <c r="B728" s="277"/>
      <c r="L728" s="67"/>
      <c r="M728" s="280" t="s">
        <v>2482</v>
      </c>
      <c r="N728" s="234"/>
      <c r="O728" s="281"/>
      <c r="P728" s="233"/>
      <c r="Q728" s="233"/>
      <c r="R728" s="234"/>
      <c r="S728" s="233"/>
      <c r="T728" s="233"/>
      <c r="U728" s="233"/>
      <c r="V728" s="233"/>
      <c r="W728" s="233"/>
      <c r="X728" s="233"/>
      <c r="Y728" s="233"/>
      <c r="Z728" s="233"/>
      <c r="AA728" s="233"/>
      <c r="AB728" s="233"/>
      <c r="AC728" s="233"/>
      <c r="AD728" s="233"/>
      <c r="AE728" s="233"/>
      <c r="AF728" s="233"/>
      <c r="AG728" s="233"/>
      <c r="AH728" s="233"/>
      <c r="AI728" s="233"/>
      <c r="AJ728" s="233"/>
      <c r="AK728" s="233"/>
      <c r="AL728" s="233"/>
    </row>
    <row r="729">
      <c r="B729" s="277"/>
      <c r="L729" s="67"/>
      <c r="M729" s="280" t="s">
        <v>2482</v>
      </c>
      <c r="N729" s="234"/>
      <c r="O729" s="281"/>
      <c r="P729" s="233"/>
      <c r="Q729" s="233"/>
      <c r="R729" s="234"/>
      <c r="S729" s="233"/>
      <c r="T729" s="233"/>
      <c r="U729" s="233"/>
      <c r="V729" s="233"/>
      <c r="W729" s="233"/>
      <c r="X729" s="233"/>
      <c r="Y729" s="233"/>
      <c r="Z729" s="233"/>
      <c r="AA729" s="233"/>
      <c r="AB729" s="233"/>
      <c r="AC729" s="233"/>
      <c r="AD729" s="233"/>
      <c r="AE729" s="233"/>
      <c r="AF729" s="233"/>
      <c r="AG729" s="233"/>
      <c r="AH729" s="233"/>
      <c r="AI729" s="233"/>
      <c r="AJ729" s="233"/>
      <c r="AK729" s="233"/>
      <c r="AL729" s="233"/>
    </row>
    <row r="730">
      <c r="B730" s="277"/>
      <c r="L730" s="67"/>
      <c r="M730" s="280" t="s">
        <v>2482</v>
      </c>
      <c r="N730" s="234"/>
      <c r="O730" s="281"/>
      <c r="P730" s="233"/>
      <c r="Q730" s="233"/>
      <c r="R730" s="234"/>
      <c r="S730" s="233"/>
      <c r="T730" s="233"/>
      <c r="U730" s="233"/>
      <c r="V730" s="233"/>
      <c r="W730" s="233"/>
      <c r="X730" s="233"/>
      <c r="Y730" s="233"/>
      <c r="Z730" s="233"/>
      <c r="AA730" s="233"/>
      <c r="AB730" s="233"/>
      <c r="AC730" s="233"/>
      <c r="AD730" s="233"/>
      <c r="AE730" s="233"/>
      <c r="AF730" s="233"/>
      <c r="AG730" s="233"/>
      <c r="AH730" s="233"/>
      <c r="AI730" s="233"/>
      <c r="AJ730" s="233"/>
      <c r="AK730" s="233"/>
      <c r="AL730" s="233"/>
    </row>
    <row r="731">
      <c r="B731" s="277"/>
      <c r="L731" s="67"/>
      <c r="M731" s="280" t="s">
        <v>2482</v>
      </c>
      <c r="N731" s="234"/>
      <c r="O731" s="281"/>
      <c r="P731" s="233"/>
      <c r="Q731" s="233"/>
      <c r="R731" s="234"/>
      <c r="S731" s="233"/>
      <c r="T731" s="233"/>
      <c r="U731" s="233"/>
      <c r="V731" s="233"/>
      <c r="W731" s="233"/>
      <c r="X731" s="233"/>
      <c r="Y731" s="233"/>
      <c r="Z731" s="233"/>
      <c r="AA731" s="233"/>
      <c r="AB731" s="233"/>
      <c r="AC731" s="233"/>
      <c r="AD731" s="233"/>
      <c r="AE731" s="233"/>
      <c r="AF731" s="233"/>
      <c r="AG731" s="233"/>
      <c r="AH731" s="233"/>
      <c r="AI731" s="233"/>
      <c r="AJ731" s="233"/>
      <c r="AK731" s="233"/>
      <c r="AL731" s="233"/>
    </row>
    <row r="732">
      <c r="B732" s="277"/>
      <c r="L732" s="67"/>
      <c r="M732" s="280" t="s">
        <v>2482</v>
      </c>
      <c r="N732" s="234"/>
      <c r="O732" s="281"/>
      <c r="P732" s="233"/>
      <c r="Q732" s="233"/>
      <c r="R732" s="234"/>
      <c r="S732" s="233"/>
      <c r="T732" s="233"/>
      <c r="U732" s="233"/>
      <c r="V732" s="233"/>
      <c r="W732" s="233"/>
      <c r="X732" s="233"/>
      <c r="Y732" s="233"/>
      <c r="Z732" s="233"/>
      <c r="AA732" s="233"/>
      <c r="AB732" s="233"/>
      <c r="AC732" s="233"/>
      <c r="AD732" s="233"/>
      <c r="AE732" s="233"/>
      <c r="AF732" s="233"/>
      <c r="AG732" s="233"/>
      <c r="AH732" s="233"/>
      <c r="AI732" s="233"/>
      <c r="AJ732" s="233"/>
      <c r="AK732" s="233"/>
      <c r="AL732" s="233"/>
    </row>
    <row r="733">
      <c r="B733" s="277"/>
      <c r="L733" s="67"/>
      <c r="M733" s="280" t="s">
        <v>2482</v>
      </c>
      <c r="N733" s="234"/>
      <c r="O733" s="281"/>
      <c r="P733" s="233"/>
      <c r="Q733" s="233"/>
      <c r="R733" s="234"/>
      <c r="S733" s="233"/>
      <c r="T733" s="233"/>
      <c r="U733" s="233"/>
      <c r="V733" s="233"/>
      <c r="W733" s="233"/>
      <c r="X733" s="233"/>
      <c r="Y733" s="233"/>
      <c r="Z733" s="233"/>
      <c r="AA733" s="233"/>
      <c r="AB733" s="233"/>
      <c r="AC733" s="233"/>
      <c r="AD733" s="233"/>
      <c r="AE733" s="233"/>
      <c r="AF733" s="233"/>
      <c r="AG733" s="233"/>
      <c r="AH733" s="233"/>
      <c r="AI733" s="233"/>
      <c r="AJ733" s="233"/>
      <c r="AK733" s="233"/>
      <c r="AL733" s="233"/>
    </row>
    <row r="734">
      <c r="B734" s="277"/>
      <c r="L734" s="67"/>
      <c r="M734" s="280" t="s">
        <v>2482</v>
      </c>
      <c r="N734" s="234"/>
      <c r="O734" s="281"/>
      <c r="P734" s="233"/>
      <c r="Q734" s="233"/>
      <c r="R734" s="234"/>
      <c r="S734" s="233"/>
      <c r="T734" s="233"/>
      <c r="U734" s="233"/>
      <c r="V734" s="233"/>
      <c r="W734" s="233"/>
      <c r="X734" s="233"/>
      <c r="Y734" s="233"/>
      <c r="Z734" s="233"/>
      <c r="AA734" s="233"/>
      <c r="AB734" s="233"/>
      <c r="AC734" s="233"/>
      <c r="AD734" s="233"/>
      <c r="AE734" s="233"/>
      <c r="AF734" s="233"/>
      <c r="AG734" s="233"/>
      <c r="AH734" s="233"/>
      <c r="AI734" s="233"/>
      <c r="AJ734" s="233"/>
      <c r="AK734" s="233"/>
      <c r="AL734" s="233"/>
    </row>
    <row r="735">
      <c r="B735" s="277"/>
      <c r="L735" s="67"/>
      <c r="M735" s="280" t="s">
        <v>2482</v>
      </c>
      <c r="N735" s="234"/>
      <c r="O735" s="281"/>
      <c r="P735" s="233"/>
      <c r="Q735" s="233"/>
      <c r="R735" s="234"/>
      <c r="S735" s="233"/>
      <c r="T735" s="233"/>
      <c r="U735" s="233"/>
      <c r="V735" s="233"/>
      <c r="W735" s="233"/>
      <c r="X735" s="233"/>
      <c r="Y735" s="233"/>
      <c r="Z735" s="233"/>
      <c r="AA735" s="233"/>
      <c r="AB735" s="233"/>
      <c r="AC735" s="233"/>
      <c r="AD735" s="233"/>
      <c r="AE735" s="233"/>
      <c r="AF735" s="233"/>
      <c r="AG735" s="233"/>
      <c r="AH735" s="233"/>
      <c r="AI735" s="233"/>
      <c r="AJ735" s="233"/>
      <c r="AK735" s="233"/>
      <c r="AL735" s="233"/>
    </row>
    <row r="736">
      <c r="B736" s="277"/>
      <c r="L736" s="67"/>
      <c r="M736" s="280" t="s">
        <v>2482</v>
      </c>
      <c r="N736" s="234"/>
      <c r="O736" s="281"/>
      <c r="P736" s="233"/>
      <c r="Q736" s="233"/>
      <c r="R736" s="234"/>
      <c r="S736" s="233"/>
      <c r="T736" s="233"/>
      <c r="U736" s="233"/>
      <c r="V736" s="233"/>
      <c r="W736" s="233"/>
      <c r="X736" s="233"/>
      <c r="Y736" s="233"/>
      <c r="Z736" s="233"/>
      <c r="AA736" s="233"/>
      <c r="AB736" s="233"/>
      <c r="AC736" s="233"/>
      <c r="AD736" s="233"/>
      <c r="AE736" s="233"/>
      <c r="AF736" s="233"/>
      <c r="AG736" s="233"/>
      <c r="AH736" s="233"/>
      <c r="AI736" s="233"/>
      <c r="AJ736" s="233"/>
      <c r="AK736" s="233"/>
      <c r="AL736" s="233"/>
    </row>
    <row r="737">
      <c r="B737" s="277"/>
      <c r="L737" s="67"/>
      <c r="M737" s="280" t="s">
        <v>2482</v>
      </c>
      <c r="N737" s="234"/>
      <c r="O737" s="281"/>
      <c r="P737" s="233"/>
      <c r="Q737" s="233"/>
      <c r="R737" s="234"/>
      <c r="S737" s="233"/>
      <c r="T737" s="233"/>
      <c r="U737" s="233"/>
      <c r="V737" s="233"/>
      <c r="W737" s="233"/>
      <c r="X737" s="233"/>
      <c r="Y737" s="233"/>
      <c r="Z737" s="233"/>
      <c r="AA737" s="233"/>
      <c r="AB737" s="233"/>
      <c r="AC737" s="233"/>
      <c r="AD737" s="233"/>
      <c r="AE737" s="233"/>
      <c r="AF737" s="233"/>
      <c r="AG737" s="233"/>
      <c r="AH737" s="233"/>
      <c r="AI737" s="233"/>
      <c r="AJ737" s="233"/>
      <c r="AK737" s="233"/>
      <c r="AL737" s="233"/>
    </row>
    <row r="738">
      <c r="B738" s="277"/>
      <c r="L738" s="67"/>
      <c r="M738" s="280" t="s">
        <v>2482</v>
      </c>
      <c r="N738" s="234"/>
      <c r="O738" s="281"/>
      <c r="P738" s="233"/>
      <c r="Q738" s="233"/>
      <c r="R738" s="234"/>
      <c r="S738" s="233"/>
      <c r="T738" s="233"/>
      <c r="U738" s="233"/>
      <c r="V738" s="233"/>
      <c r="W738" s="233"/>
      <c r="X738" s="233"/>
      <c r="Y738" s="233"/>
      <c r="Z738" s="233"/>
      <c r="AA738" s="233"/>
      <c r="AB738" s="233"/>
      <c r="AC738" s="233"/>
      <c r="AD738" s="233"/>
      <c r="AE738" s="233"/>
      <c r="AF738" s="233"/>
      <c r="AG738" s="233"/>
      <c r="AH738" s="233"/>
      <c r="AI738" s="233"/>
      <c r="AJ738" s="233"/>
      <c r="AK738" s="233"/>
      <c r="AL738" s="233"/>
    </row>
    <row r="739">
      <c r="B739" s="277"/>
      <c r="L739" s="67"/>
      <c r="M739" s="280" t="s">
        <v>2482</v>
      </c>
      <c r="N739" s="234"/>
      <c r="O739" s="281"/>
      <c r="P739" s="233"/>
      <c r="Q739" s="233"/>
      <c r="R739" s="234"/>
      <c r="S739" s="233"/>
      <c r="T739" s="233"/>
      <c r="U739" s="233"/>
      <c r="V739" s="233"/>
      <c r="W739" s="233"/>
      <c r="X739" s="233"/>
      <c r="Y739" s="233"/>
      <c r="Z739" s="233"/>
      <c r="AA739" s="233"/>
      <c r="AB739" s="233"/>
      <c r="AC739" s="233"/>
      <c r="AD739" s="233"/>
      <c r="AE739" s="233"/>
      <c r="AF739" s="233"/>
      <c r="AG739" s="233"/>
      <c r="AH739" s="233"/>
      <c r="AI739" s="233"/>
      <c r="AJ739" s="233"/>
      <c r="AK739" s="233"/>
      <c r="AL739" s="233"/>
    </row>
    <row r="740">
      <c r="B740" s="277"/>
      <c r="L740" s="67"/>
      <c r="M740" s="280" t="s">
        <v>2482</v>
      </c>
      <c r="N740" s="234"/>
      <c r="O740" s="281"/>
      <c r="P740" s="233"/>
      <c r="Q740" s="233"/>
      <c r="R740" s="234"/>
      <c r="S740" s="233"/>
      <c r="T740" s="233"/>
      <c r="U740" s="233"/>
      <c r="V740" s="233"/>
      <c r="W740" s="233"/>
      <c r="X740" s="233"/>
      <c r="Y740" s="233"/>
      <c r="Z740" s="233"/>
      <c r="AA740" s="233"/>
      <c r="AB740" s="233"/>
      <c r="AC740" s="233"/>
      <c r="AD740" s="233"/>
      <c r="AE740" s="233"/>
      <c r="AF740" s="233"/>
      <c r="AG740" s="233"/>
      <c r="AH740" s="233"/>
      <c r="AI740" s="233"/>
      <c r="AJ740" s="233"/>
      <c r="AK740" s="233"/>
      <c r="AL740" s="233"/>
    </row>
    <row r="741">
      <c r="B741" s="277"/>
      <c r="L741" s="67"/>
      <c r="M741" s="280" t="s">
        <v>2482</v>
      </c>
      <c r="N741" s="234"/>
      <c r="O741" s="281"/>
      <c r="P741" s="233"/>
      <c r="Q741" s="233"/>
      <c r="R741" s="234"/>
      <c r="S741" s="233"/>
      <c r="T741" s="233"/>
      <c r="U741" s="233"/>
      <c r="V741" s="233"/>
      <c r="W741" s="233"/>
      <c r="X741" s="233"/>
      <c r="Y741" s="233"/>
      <c r="Z741" s="233"/>
      <c r="AA741" s="233"/>
      <c r="AB741" s="233"/>
      <c r="AC741" s="233"/>
      <c r="AD741" s="233"/>
      <c r="AE741" s="233"/>
      <c r="AF741" s="233"/>
      <c r="AG741" s="233"/>
      <c r="AH741" s="233"/>
      <c r="AI741" s="233"/>
      <c r="AJ741" s="233"/>
      <c r="AK741" s="233"/>
      <c r="AL741" s="233"/>
    </row>
    <row r="742">
      <c r="B742" s="277"/>
      <c r="L742" s="67"/>
      <c r="M742" s="280" t="s">
        <v>2482</v>
      </c>
      <c r="N742" s="234"/>
      <c r="O742" s="281"/>
      <c r="P742" s="233"/>
      <c r="Q742" s="233"/>
      <c r="R742" s="234"/>
      <c r="S742" s="233"/>
      <c r="T742" s="233"/>
      <c r="U742" s="233"/>
      <c r="V742" s="233"/>
      <c r="W742" s="233"/>
      <c r="X742" s="233"/>
      <c r="Y742" s="233"/>
      <c r="Z742" s="233"/>
      <c r="AA742" s="233"/>
      <c r="AB742" s="233"/>
      <c r="AC742" s="233"/>
      <c r="AD742" s="233"/>
      <c r="AE742" s="233"/>
      <c r="AF742" s="233"/>
      <c r="AG742" s="233"/>
      <c r="AH742" s="233"/>
      <c r="AI742" s="233"/>
      <c r="AJ742" s="233"/>
      <c r="AK742" s="233"/>
      <c r="AL742" s="233"/>
    </row>
    <row r="743">
      <c r="B743" s="277"/>
      <c r="L743" s="67"/>
      <c r="M743" s="280" t="s">
        <v>2482</v>
      </c>
      <c r="N743" s="234"/>
      <c r="O743" s="281"/>
      <c r="P743" s="233"/>
      <c r="Q743" s="233"/>
      <c r="R743" s="234"/>
      <c r="S743" s="233"/>
      <c r="T743" s="233"/>
      <c r="U743" s="233"/>
      <c r="V743" s="233"/>
      <c r="W743" s="233"/>
      <c r="X743" s="233"/>
      <c r="Y743" s="233"/>
      <c r="Z743" s="233"/>
      <c r="AA743" s="233"/>
      <c r="AB743" s="233"/>
      <c r="AC743" s="233"/>
      <c r="AD743" s="233"/>
      <c r="AE743" s="233"/>
      <c r="AF743" s="233"/>
      <c r="AG743" s="233"/>
      <c r="AH743" s="233"/>
      <c r="AI743" s="233"/>
      <c r="AJ743" s="233"/>
      <c r="AK743" s="233"/>
      <c r="AL743" s="233"/>
    </row>
    <row r="744">
      <c r="B744" s="277"/>
      <c r="L744" s="67"/>
      <c r="M744" s="280" t="s">
        <v>2482</v>
      </c>
      <c r="N744" s="234"/>
      <c r="O744" s="281"/>
      <c r="P744" s="233"/>
      <c r="Q744" s="233"/>
      <c r="R744" s="234"/>
      <c r="S744" s="233"/>
      <c r="T744" s="233"/>
      <c r="U744" s="233"/>
      <c r="V744" s="233"/>
      <c r="W744" s="233"/>
      <c r="X744" s="233"/>
      <c r="Y744" s="233"/>
      <c r="Z744" s="233"/>
      <c r="AA744" s="233"/>
      <c r="AB744" s="233"/>
      <c r="AC744" s="233"/>
      <c r="AD744" s="233"/>
      <c r="AE744" s="233"/>
      <c r="AF744" s="233"/>
      <c r="AG744" s="233"/>
      <c r="AH744" s="233"/>
      <c r="AI744" s="233"/>
      <c r="AJ744" s="233"/>
      <c r="AK744" s="233"/>
      <c r="AL744" s="233"/>
    </row>
    <row r="745">
      <c r="B745" s="277"/>
      <c r="L745" s="67"/>
      <c r="M745" s="280" t="s">
        <v>2482</v>
      </c>
      <c r="N745" s="234"/>
      <c r="O745" s="281"/>
      <c r="P745" s="233"/>
      <c r="Q745" s="233"/>
      <c r="R745" s="234"/>
      <c r="S745" s="233"/>
      <c r="T745" s="233"/>
      <c r="U745" s="233"/>
      <c r="V745" s="233"/>
      <c r="W745" s="233"/>
      <c r="X745" s="233"/>
      <c r="Y745" s="233"/>
      <c r="Z745" s="233"/>
      <c r="AA745" s="233"/>
      <c r="AB745" s="233"/>
      <c r="AC745" s="233"/>
      <c r="AD745" s="233"/>
      <c r="AE745" s="233"/>
      <c r="AF745" s="233"/>
      <c r="AG745" s="233"/>
      <c r="AH745" s="233"/>
      <c r="AI745" s="233"/>
      <c r="AJ745" s="233"/>
      <c r="AK745" s="233"/>
      <c r="AL745" s="233"/>
    </row>
    <row r="746">
      <c r="B746" s="277"/>
      <c r="L746" s="67"/>
      <c r="M746" s="280" t="s">
        <v>2482</v>
      </c>
      <c r="N746" s="234"/>
      <c r="O746" s="281"/>
      <c r="P746" s="233"/>
      <c r="Q746" s="233"/>
      <c r="R746" s="234"/>
      <c r="S746" s="233"/>
      <c r="T746" s="233"/>
      <c r="U746" s="233"/>
      <c r="V746" s="233"/>
      <c r="W746" s="233"/>
      <c r="X746" s="233"/>
      <c r="Y746" s="233"/>
      <c r="Z746" s="233"/>
      <c r="AA746" s="233"/>
      <c r="AB746" s="233"/>
      <c r="AC746" s="233"/>
      <c r="AD746" s="233"/>
      <c r="AE746" s="233"/>
      <c r="AF746" s="233"/>
      <c r="AG746" s="233"/>
      <c r="AH746" s="233"/>
      <c r="AI746" s="233"/>
      <c r="AJ746" s="233"/>
      <c r="AK746" s="233"/>
      <c r="AL746" s="233"/>
    </row>
    <row r="747">
      <c r="B747" s="277"/>
      <c r="L747" s="67"/>
      <c r="M747" s="280" t="s">
        <v>2482</v>
      </c>
      <c r="N747" s="234"/>
      <c r="O747" s="281"/>
      <c r="P747" s="233"/>
      <c r="Q747" s="233"/>
      <c r="R747" s="234"/>
      <c r="S747" s="233"/>
      <c r="T747" s="233"/>
      <c r="U747" s="233"/>
      <c r="V747" s="233"/>
      <c r="W747" s="233"/>
      <c r="X747" s="233"/>
      <c r="Y747" s="233"/>
      <c r="Z747" s="233"/>
      <c r="AA747" s="233"/>
      <c r="AB747" s="233"/>
      <c r="AC747" s="233"/>
      <c r="AD747" s="233"/>
      <c r="AE747" s="233"/>
      <c r="AF747" s="233"/>
      <c r="AG747" s="233"/>
      <c r="AH747" s="233"/>
      <c r="AI747" s="233"/>
      <c r="AJ747" s="233"/>
      <c r="AK747" s="233"/>
      <c r="AL747" s="233"/>
    </row>
    <row r="748">
      <c r="B748" s="277"/>
      <c r="L748" s="67"/>
      <c r="M748" s="280" t="s">
        <v>2482</v>
      </c>
      <c r="N748" s="234"/>
      <c r="O748" s="281"/>
      <c r="P748" s="233"/>
      <c r="Q748" s="233"/>
      <c r="R748" s="234"/>
      <c r="S748" s="233"/>
      <c r="T748" s="233"/>
      <c r="U748" s="233"/>
      <c r="V748" s="233"/>
      <c r="W748" s="233"/>
      <c r="X748" s="233"/>
      <c r="Y748" s="233"/>
      <c r="Z748" s="233"/>
      <c r="AA748" s="233"/>
      <c r="AB748" s="233"/>
      <c r="AC748" s="233"/>
      <c r="AD748" s="233"/>
      <c r="AE748" s="233"/>
      <c r="AF748" s="233"/>
      <c r="AG748" s="233"/>
      <c r="AH748" s="233"/>
      <c r="AI748" s="233"/>
      <c r="AJ748" s="233"/>
      <c r="AK748" s="233"/>
      <c r="AL748" s="233"/>
    </row>
    <row r="749">
      <c r="B749" s="277"/>
      <c r="L749" s="67"/>
      <c r="M749" s="280" t="s">
        <v>2482</v>
      </c>
      <c r="N749" s="234"/>
      <c r="O749" s="281"/>
      <c r="P749" s="233"/>
      <c r="Q749" s="233"/>
      <c r="R749" s="234"/>
      <c r="S749" s="233"/>
      <c r="T749" s="233"/>
      <c r="U749" s="233"/>
      <c r="V749" s="233"/>
      <c r="W749" s="233"/>
      <c r="X749" s="233"/>
      <c r="Y749" s="233"/>
      <c r="Z749" s="233"/>
      <c r="AA749" s="233"/>
      <c r="AB749" s="233"/>
      <c r="AC749" s="233"/>
      <c r="AD749" s="233"/>
      <c r="AE749" s="233"/>
      <c r="AF749" s="233"/>
      <c r="AG749" s="233"/>
      <c r="AH749" s="233"/>
      <c r="AI749" s="233"/>
      <c r="AJ749" s="233"/>
      <c r="AK749" s="233"/>
      <c r="AL749" s="233"/>
    </row>
    <row r="750">
      <c r="B750" s="277"/>
      <c r="L750" s="67"/>
      <c r="M750" s="280" t="s">
        <v>2482</v>
      </c>
      <c r="N750" s="234"/>
      <c r="O750" s="281"/>
      <c r="P750" s="233"/>
      <c r="Q750" s="233"/>
      <c r="R750" s="234"/>
      <c r="S750" s="233"/>
      <c r="T750" s="233"/>
      <c r="U750" s="233"/>
      <c r="V750" s="233"/>
      <c r="W750" s="233"/>
      <c r="X750" s="233"/>
      <c r="Y750" s="233"/>
      <c r="Z750" s="233"/>
      <c r="AA750" s="233"/>
      <c r="AB750" s="233"/>
      <c r="AC750" s="233"/>
      <c r="AD750" s="233"/>
      <c r="AE750" s="233"/>
      <c r="AF750" s="233"/>
      <c r="AG750" s="233"/>
      <c r="AH750" s="233"/>
      <c r="AI750" s="233"/>
      <c r="AJ750" s="233"/>
      <c r="AK750" s="233"/>
      <c r="AL750" s="233"/>
    </row>
    <row r="751">
      <c r="B751" s="277"/>
      <c r="L751" s="67"/>
      <c r="M751" s="280" t="s">
        <v>2482</v>
      </c>
      <c r="N751" s="234"/>
      <c r="O751" s="281"/>
      <c r="P751" s="233"/>
      <c r="Q751" s="233"/>
      <c r="R751" s="234"/>
      <c r="S751" s="233"/>
      <c r="T751" s="233"/>
      <c r="U751" s="233"/>
      <c r="V751" s="233"/>
      <c r="W751" s="233"/>
      <c r="X751" s="233"/>
      <c r="Y751" s="233"/>
      <c r="Z751" s="233"/>
      <c r="AA751" s="233"/>
      <c r="AB751" s="233"/>
      <c r="AC751" s="233"/>
      <c r="AD751" s="233"/>
      <c r="AE751" s="233"/>
      <c r="AF751" s="233"/>
      <c r="AG751" s="233"/>
      <c r="AH751" s="233"/>
      <c r="AI751" s="233"/>
      <c r="AJ751" s="233"/>
      <c r="AK751" s="233"/>
      <c r="AL751" s="233"/>
    </row>
    <row r="752">
      <c r="B752" s="277"/>
      <c r="L752" s="67"/>
      <c r="M752" s="280" t="s">
        <v>2482</v>
      </c>
      <c r="N752" s="234"/>
      <c r="O752" s="281"/>
      <c r="P752" s="233"/>
      <c r="Q752" s="233"/>
      <c r="R752" s="234"/>
      <c r="S752" s="233"/>
      <c r="T752" s="233"/>
      <c r="U752" s="233"/>
      <c r="V752" s="233"/>
      <c r="W752" s="233"/>
      <c r="X752" s="233"/>
      <c r="Y752" s="233"/>
      <c r="Z752" s="233"/>
      <c r="AA752" s="233"/>
      <c r="AB752" s="233"/>
      <c r="AC752" s="233"/>
      <c r="AD752" s="233"/>
      <c r="AE752" s="233"/>
      <c r="AF752" s="233"/>
      <c r="AG752" s="233"/>
      <c r="AH752" s="233"/>
      <c r="AI752" s="233"/>
      <c r="AJ752" s="233"/>
      <c r="AK752" s="233"/>
      <c r="AL752" s="233"/>
    </row>
    <row r="753">
      <c r="B753" s="277"/>
      <c r="L753" s="67"/>
      <c r="M753" s="280" t="s">
        <v>2482</v>
      </c>
      <c r="N753" s="234"/>
      <c r="O753" s="281"/>
      <c r="P753" s="233"/>
      <c r="Q753" s="233"/>
      <c r="R753" s="234"/>
      <c r="S753" s="233"/>
      <c r="T753" s="233"/>
      <c r="U753" s="233"/>
      <c r="V753" s="233"/>
      <c r="W753" s="233"/>
      <c r="X753" s="233"/>
      <c r="Y753" s="233"/>
      <c r="Z753" s="233"/>
      <c r="AA753" s="233"/>
      <c r="AB753" s="233"/>
      <c r="AC753" s="233"/>
      <c r="AD753" s="233"/>
      <c r="AE753" s="233"/>
      <c r="AF753" s="233"/>
      <c r="AG753" s="233"/>
      <c r="AH753" s="233"/>
      <c r="AI753" s="233"/>
      <c r="AJ753" s="233"/>
      <c r="AK753" s="233"/>
      <c r="AL753" s="233"/>
    </row>
    <row r="754">
      <c r="B754" s="277"/>
      <c r="L754" s="67"/>
      <c r="M754" s="280" t="s">
        <v>2482</v>
      </c>
      <c r="N754" s="234"/>
      <c r="O754" s="281"/>
      <c r="P754" s="233"/>
      <c r="Q754" s="233"/>
      <c r="R754" s="234"/>
      <c r="S754" s="233"/>
      <c r="T754" s="233"/>
      <c r="U754" s="233"/>
      <c r="V754" s="233"/>
      <c r="W754" s="233"/>
      <c r="X754" s="233"/>
      <c r="Y754" s="233"/>
      <c r="Z754" s="233"/>
      <c r="AA754" s="233"/>
      <c r="AB754" s="233"/>
      <c r="AC754" s="233"/>
      <c r="AD754" s="233"/>
      <c r="AE754" s="233"/>
      <c r="AF754" s="233"/>
      <c r="AG754" s="233"/>
      <c r="AH754" s="233"/>
      <c r="AI754" s="233"/>
      <c r="AJ754" s="233"/>
      <c r="AK754" s="233"/>
      <c r="AL754" s="233"/>
    </row>
    <row r="755">
      <c r="B755" s="277"/>
      <c r="L755" s="67"/>
      <c r="M755" s="280" t="s">
        <v>2482</v>
      </c>
      <c r="N755" s="234"/>
      <c r="O755" s="281"/>
      <c r="P755" s="233"/>
      <c r="Q755" s="233"/>
      <c r="R755" s="234"/>
      <c r="S755" s="233"/>
      <c r="T755" s="233"/>
      <c r="U755" s="233"/>
      <c r="V755" s="233"/>
      <c r="W755" s="233"/>
      <c r="X755" s="233"/>
      <c r="Y755" s="233"/>
      <c r="Z755" s="233"/>
      <c r="AA755" s="233"/>
      <c r="AB755" s="233"/>
      <c r="AC755" s="233"/>
      <c r="AD755" s="233"/>
      <c r="AE755" s="233"/>
      <c r="AF755" s="233"/>
      <c r="AG755" s="233"/>
      <c r="AH755" s="233"/>
      <c r="AI755" s="233"/>
      <c r="AJ755" s="233"/>
      <c r="AK755" s="233"/>
      <c r="AL755" s="233"/>
    </row>
    <row r="756">
      <c r="B756" s="277"/>
      <c r="L756" s="67"/>
      <c r="M756" s="280" t="s">
        <v>2482</v>
      </c>
      <c r="N756" s="234"/>
      <c r="O756" s="281"/>
      <c r="P756" s="233"/>
      <c r="Q756" s="233"/>
      <c r="R756" s="234"/>
      <c r="S756" s="233"/>
      <c r="T756" s="233"/>
      <c r="U756" s="233"/>
      <c r="V756" s="233"/>
      <c r="W756" s="233"/>
      <c r="X756" s="233"/>
      <c r="Y756" s="233"/>
      <c r="Z756" s="233"/>
      <c r="AA756" s="233"/>
      <c r="AB756" s="233"/>
      <c r="AC756" s="233"/>
      <c r="AD756" s="233"/>
      <c r="AE756" s="233"/>
      <c r="AF756" s="233"/>
      <c r="AG756" s="233"/>
      <c r="AH756" s="233"/>
      <c r="AI756" s="233"/>
      <c r="AJ756" s="233"/>
      <c r="AK756" s="233"/>
      <c r="AL756" s="233"/>
    </row>
    <row r="757">
      <c r="B757" s="277"/>
      <c r="L757" s="67"/>
      <c r="M757" s="280" t="s">
        <v>2482</v>
      </c>
      <c r="N757" s="234"/>
      <c r="O757" s="281"/>
      <c r="P757" s="233"/>
      <c r="Q757" s="233"/>
      <c r="R757" s="234"/>
      <c r="S757" s="233"/>
      <c r="T757" s="233"/>
      <c r="U757" s="233"/>
      <c r="V757" s="233"/>
      <c r="W757" s="233"/>
      <c r="X757" s="233"/>
      <c r="Y757" s="233"/>
      <c r="Z757" s="233"/>
      <c r="AA757" s="233"/>
      <c r="AB757" s="233"/>
      <c r="AC757" s="233"/>
      <c r="AD757" s="233"/>
      <c r="AE757" s="233"/>
      <c r="AF757" s="233"/>
      <c r="AG757" s="233"/>
      <c r="AH757" s="233"/>
      <c r="AI757" s="233"/>
      <c r="AJ757" s="233"/>
      <c r="AK757" s="233"/>
      <c r="AL757" s="233"/>
    </row>
    <row r="758">
      <c r="B758" s="277"/>
      <c r="L758" s="67"/>
      <c r="M758" s="280" t="s">
        <v>2482</v>
      </c>
      <c r="N758" s="234"/>
      <c r="O758" s="281"/>
      <c r="P758" s="233"/>
      <c r="Q758" s="233"/>
      <c r="R758" s="234"/>
      <c r="S758" s="233"/>
      <c r="T758" s="233"/>
      <c r="U758" s="233"/>
      <c r="V758" s="233"/>
      <c r="W758" s="233"/>
      <c r="X758" s="233"/>
      <c r="Y758" s="233"/>
      <c r="Z758" s="233"/>
      <c r="AA758" s="233"/>
      <c r="AB758" s="233"/>
      <c r="AC758" s="233"/>
      <c r="AD758" s="233"/>
      <c r="AE758" s="233"/>
      <c r="AF758" s="233"/>
      <c r="AG758" s="233"/>
      <c r="AH758" s="233"/>
      <c r="AI758" s="233"/>
      <c r="AJ758" s="233"/>
      <c r="AK758" s="233"/>
      <c r="AL758" s="233"/>
    </row>
    <row r="759">
      <c r="B759" s="277"/>
      <c r="L759" s="67"/>
      <c r="M759" s="280" t="s">
        <v>2482</v>
      </c>
      <c r="N759" s="234"/>
      <c r="O759" s="281"/>
      <c r="P759" s="233"/>
      <c r="Q759" s="233"/>
      <c r="R759" s="234"/>
      <c r="S759" s="233"/>
      <c r="T759" s="233"/>
      <c r="U759" s="233"/>
      <c r="V759" s="233"/>
      <c r="W759" s="233"/>
      <c r="X759" s="233"/>
      <c r="Y759" s="233"/>
      <c r="Z759" s="233"/>
      <c r="AA759" s="233"/>
      <c r="AB759" s="233"/>
      <c r="AC759" s="233"/>
      <c r="AD759" s="233"/>
      <c r="AE759" s="233"/>
      <c r="AF759" s="233"/>
      <c r="AG759" s="233"/>
      <c r="AH759" s="233"/>
      <c r="AI759" s="233"/>
      <c r="AJ759" s="233"/>
      <c r="AK759" s="233"/>
      <c r="AL759" s="233"/>
    </row>
    <row r="760">
      <c r="B760" s="277"/>
      <c r="L760" s="67"/>
      <c r="M760" s="280" t="s">
        <v>2482</v>
      </c>
      <c r="N760" s="234"/>
      <c r="O760" s="281"/>
      <c r="P760" s="233"/>
      <c r="Q760" s="233"/>
      <c r="R760" s="234"/>
      <c r="S760" s="233"/>
      <c r="T760" s="233"/>
      <c r="U760" s="233"/>
      <c r="V760" s="233"/>
      <c r="W760" s="233"/>
      <c r="X760" s="233"/>
      <c r="Y760" s="233"/>
      <c r="Z760" s="233"/>
      <c r="AA760" s="233"/>
      <c r="AB760" s="233"/>
      <c r="AC760" s="233"/>
      <c r="AD760" s="233"/>
      <c r="AE760" s="233"/>
      <c r="AF760" s="233"/>
      <c r="AG760" s="233"/>
      <c r="AH760" s="233"/>
      <c r="AI760" s="233"/>
      <c r="AJ760" s="233"/>
      <c r="AK760" s="233"/>
      <c r="AL760" s="233"/>
    </row>
    <row r="761">
      <c r="B761" s="277"/>
      <c r="L761" s="67"/>
      <c r="M761" s="280" t="s">
        <v>2482</v>
      </c>
      <c r="N761" s="234"/>
      <c r="O761" s="281"/>
      <c r="P761" s="233"/>
      <c r="Q761" s="233"/>
      <c r="R761" s="234"/>
      <c r="S761" s="233"/>
      <c r="T761" s="233"/>
      <c r="U761" s="233"/>
      <c r="V761" s="233"/>
      <c r="W761" s="233"/>
      <c r="X761" s="233"/>
      <c r="Y761" s="233"/>
      <c r="Z761" s="233"/>
      <c r="AA761" s="233"/>
      <c r="AB761" s="233"/>
      <c r="AC761" s="233"/>
      <c r="AD761" s="233"/>
      <c r="AE761" s="233"/>
      <c r="AF761" s="233"/>
      <c r="AG761" s="233"/>
      <c r="AH761" s="233"/>
      <c r="AI761" s="233"/>
      <c r="AJ761" s="233"/>
      <c r="AK761" s="233"/>
      <c r="AL761" s="233"/>
    </row>
    <row r="762">
      <c r="B762" s="277"/>
      <c r="L762" s="67"/>
      <c r="M762" s="280" t="s">
        <v>2482</v>
      </c>
      <c r="N762" s="234"/>
      <c r="O762" s="281"/>
      <c r="P762" s="233"/>
      <c r="Q762" s="233"/>
      <c r="R762" s="234"/>
      <c r="S762" s="233"/>
      <c r="T762" s="233"/>
      <c r="U762" s="233"/>
      <c r="V762" s="233"/>
      <c r="W762" s="233"/>
      <c r="X762" s="233"/>
      <c r="Y762" s="233"/>
      <c r="Z762" s="233"/>
      <c r="AA762" s="233"/>
      <c r="AB762" s="233"/>
      <c r="AC762" s="233"/>
      <c r="AD762" s="233"/>
      <c r="AE762" s="233"/>
      <c r="AF762" s="233"/>
      <c r="AG762" s="233"/>
      <c r="AH762" s="233"/>
      <c r="AI762" s="233"/>
      <c r="AJ762" s="233"/>
      <c r="AK762" s="233"/>
      <c r="AL762" s="233"/>
    </row>
    <row r="763">
      <c r="B763" s="277"/>
      <c r="L763" s="67"/>
      <c r="M763" s="280" t="s">
        <v>2482</v>
      </c>
      <c r="N763" s="234"/>
      <c r="O763" s="281"/>
      <c r="P763" s="233"/>
      <c r="Q763" s="233"/>
      <c r="R763" s="234"/>
      <c r="S763" s="233"/>
      <c r="T763" s="233"/>
      <c r="U763" s="233"/>
      <c r="V763" s="233"/>
      <c r="W763" s="233"/>
      <c r="X763" s="233"/>
      <c r="Y763" s="233"/>
      <c r="Z763" s="233"/>
      <c r="AA763" s="233"/>
      <c r="AB763" s="233"/>
      <c r="AC763" s="233"/>
      <c r="AD763" s="233"/>
      <c r="AE763" s="233"/>
      <c r="AF763" s="233"/>
      <c r="AG763" s="233"/>
      <c r="AH763" s="233"/>
      <c r="AI763" s="233"/>
      <c r="AJ763" s="233"/>
      <c r="AK763" s="233"/>
      <c r="AL763" s="233"/>
    </row>
    <row r="764">
      <c r="B764" s="277"/>
      <c r="L764" s="67"/>
      <c r="M764" s="280" t="s">
        <v>2482</v>
      </c>
      <c r="N764" s="234"/>
      <c r="O764" s="281"/>
      <c r="P764" s="233"/>
      <c r="Q764" s="233"/>
      <c r="R764" s="234"/>
      <c r="S764" s="233"/>
      <c r="T764" s="233"/>
      <c r="U764" s="233"/>
      <c r="V764" s="233"/>
      <c r="W764" s="233"/>
      <c r="X764" s="233"/>
      <c r="Y764" s="233"/>
      <c r="Z764" s="233"/>
      <c r="AA764" s="233"/>
      <c r="AB764" s="233"/>
      <c r="AC764" s="233"/>
      <c r="AD764" s="233"/>
      <c r="AE764" s="233"/>
      <c r="AF764" s="233"/>
      <c r="AG764" s="233"/>
      <c r="AH764" s="233"/>
      <c r="AI764" s="233"/>
      <c r="AJ764" s="233"/>
      <c r="AK764" s="233"/>
      <c r="AL764" s="233"/>
    </row>
    <row r="765">
      <c r="B765" s="277"/>
      <c r="L765" s="67"/>
      <c r="M765" s="280" t="s">
        <v>2482</v>
      </c>
      <c r="N765" s="234"/>
      <c r="O765" s="281"/>
      <c r="P765" s="233"/>
      <c r="Q765" s="233"/>
      <c r="R765" s="234"/>
      <c r="S765" s="233"/>
      <c r="T765" s="233"/>
      <c r="U765" s="233"/>
      <c r="V765" s="233"/>
      <c r="W765" s="233"/>
      <c r="X765" s="233"/>
      <c r="Y765" s="233"/>
      <c r="Z765" s="233"/>
      <c r="AA765" s="233"/>
      <c r="AB765" s="233"/>
      <c r="AC765" s="233"/>
      <c r="AD765" s="233"/>
      <c r="AE765" s="233"/>
      <c r="AF765" s="233"/>
      <c r="AG765" s="233"/>
      <c r="AH765" s="233"/>
      <c r="AI765" s="233"/>
      <c r="AJ765" s="233"/>
      <c r="AK765" s="233"/>
      <c r="AL765" s="233"/>
    </row>
    <row r="766">
      <c r="B766" s="277"/>
      <c r="L766" s="67"/>
      <c r="M766" s="280" t="s">
        <v>2482</v>
      </c>
      <c r="N766" s="234"/>
      <c r="O766" s="281"/>
      <c r="P766" s="233"/>
      <c r="Q766" s="233"/>
      <c r="R766" s="234"/>
      <c r="S766" s="233"/>
      <c r="T766" s="233"/>
      <c r="U766" s="233"/>
      <c r="V766" s="233"/>
      <c r="W766" s="233"/>
      <c r="X766" s="233"/>
      <c r="Y766" s="233"/>
      <c r="Z766" s="233"/>
      <c r="AA766" s="233"/>
      <c r="AB766" s="233"/>
      <c r="AC766" s="233"/>
      <c r="AD766" s="233"/>
      <c r="AE766" s="233"/>
      <c r="AF766" s="233"/>
      <c r="AG766" s="233"/>
      <c r="AH766" s="233"/>
      <c r="AI766" s="233"/>
      <c r="AJ766" s="233"/>
      <c r="AK766" s="233"/>
      <c r="AL766" s="233"/>
    </row>
    <row r="767">
      <c r="B767" s="277"/>
      <c r="L767" s="67"/>
      <c r="M767" s="280" t="s">
        <v>2482</v>
      </c>
      <c r="N767" s="234"/>
      <c r="O767" s="281"/>
      <c r="P767" s="233"/>
      <c r="Q767" s="233"/>
      <c r="R767" s="234"/>
      <c r="S767" s="233"/>
      <c r="T767" s="233"/>
      <c r="U767" s="233"/>
      <c r="V767" s="233"/>
      <c r="W767" s="233"/>
      <c r="X767" s="233"/>
      <c r="Y767" s="233"/>
      <c r="Z767" s="233"/>
      <c r="AA767" s="233"/>
      <c r="AB767" s="233"/>
      <c r="AC767" s="233"/>
      <c r="AD767" s="233"/>
      <c r="AE767" s="233"/>
      <c r="AF767" s="233"/>
      <c r="AG767" s="233"/>
      <c r="AH767" s="233"/>
      <c r="AI767" s="233"/>
      <c r="AJ767" s="233"/>
      <c r="AK767" s="233"/>
      <c r="AL767" s="233"/>
    </row>
    <row r="768">
      <c r="B768" s="277"/>
      <c r="L768" s="67"/>
      <c r="M768" s="280" t="s">
        <v>2482</v>
      </c>
      <c r="N768" s="234"/>
      <c r="O768" s="281"/>
      <c r="P768" s="233"/>
      <c r="Q768" s="233"/>
      <c r="R768" s="234"/>
      <c r="S768" s="233"/>
      <c r="T768" s="233"/>
      <c r="U768" s="233"/>
      <c r="V768" s="233"/>
      <c r="W768" s="233"/>
      <c r="X768" s="233"/>
      <c r="Y768" s="233"/>
      <c r="Z768" s="233"/>
      <c r="AA768" s="233"/>
      <c r="AB768" s="233"/>
      <c r="AC768" s="233"/>
      <c r="AD768" s="233"/>
      <c r="AE768" s="233"/>
      <c r="AF768" s="233"/>
      <c r="AG768" s="233"/>
      <c r="AH768" s="233"/>
      <c r="AI768" s="233"/>
      <c r="AJ768" s="233"/>
      <c r="AK768" s="233"/>
      <c r="AL768" s="233"/>
    </row>
    <row r="769">
      <c r="B769" s="277"/>
      <c r="L769" s="67"/>
      <c r="M769" s="280" t="s">
        <v>2482</v>
      </c>
      <c r="N769" s="234"/>
      <c r="O769" s="281"/>
      <c r="P769" s="233"/>
      <c r="Q769" s="233"/>
      <c r="R769" s="234"/>
      <c r="S769" s="233"/>
      <c r="T769" s="233"/>
      <c r="U769" s="233"/>
      <c r="V769" s="233"/>
      <c r="W769" s="233"/>
      <c r="X769" s="233"/>
      <c r="Y769" s="233"/>
      <c r="Z769" s="233"/>
      <c r="AA769" s="233"/>
      <c r="AB769" s="233"/>
      <c r="AC769" s="233"/>
      <c r="AD769" s="233"/>
      <c r="AE769" s="233"/>
      <c r="AF769" s="233"/>
      <c r="AG769" s="233"/>
      <c r="AH769" s="233"/>
      <c r="AI769" s="233"/>
      <c r="AJ769" s="233"/>
      <c r="AK769" s="233"/>
      <c r="AL769" s="233"/>
    </row>
    <row r="770">
      <c r="B770" s="277"/>
      <c r="L770" s="67"/>
      <c r="M770" s="280" t="s">
        <v>2482</v>
      </c>
      <c r="N770" s="234"/>
      <c r="O770" s="281"/>
      <c r="P770" s="233"/>
      <c r="Q770" s="233"/>
      <c r="R770" s="234"/>
      <c r="S770" s="233"/>
      <c r="T770" s="233"/>
      <c r="U770" s="233"/>
      <c r="V770" s="233"/>
      <c r="W770" s="233"/>
      <c r="X770" s="233"/>
      <c r="Y770" s="233"/>
      <c r="Z770" s="233"/>
      <c r="AA770" s="233"/>
      <c r="AB770" s="233"/>
      <c r="AC770" s="233"/>
      <c r="AD770" s="233"/>
      <c r="AE770" s="233"/>
      <c r="AF770" s="233"/>
      <c r="AG770" s="233"/>
      <c r="AH770" s="233"/>
      <c r="AI770" s="233"/>
      <c r="AJ770" s="233"/>
      <c r="AK770" s="233"/>
      <c r="AL770" s="233"/>
    </row>
    <row r="771">
      <c r="B771" s="277"/>
      <c r="L771" s="67"/>
      <c r="M771" s="280" t="s">
        <v>2482</v>
      </c>
      <c r="N771" s="234"/>
      <c r="O771" s="281"/>
      <c r="P771" s="233"/>
      <c r="Q771" s="233"/>
      <c r="R771" s="234"/>
      <c r="S771" s="233"/>
      <c r="T771" s="233"/>
      <c r="U771" s="233"/>
      <c r="V771" s="233"/>
      <c r="W771" s="233"/>
      <c r="X771" s="233"/>
      <c r="Y771" s="233"/>
      <c r="Z771" s="233"/>
      <c r="AA771" s="233"/>
      <c r="AB771" s="233"/>
      <c r="AC771" s="233"/>
      <c r="AD771" s="233"/>
      <c r="AE771" s="233"/>
      <c r="AF771" s="233"/>
      <c r="AG771" s="233"/>
      <c r="AH771" s="233"/>
      <c r="AI771" s="233"/>
      <c r="AJ771" s="233"/>
      <c r="AK771" s="233"/>
      <c r="AL771" s="233"/>
    </row>
    <row r="772">
      <c r="B772" s="277"/>
      <c r="L772" s="67"/>
      <c r="M772" s="280" t="s">
        <v>2482</v>
      </c>
      <c r="N772" s="234"/>
      <c r="O772" s="281"/>
      <c r="P772" s="233"/>
      <c r="Q772" s="233"/>
      <c r="R772" s="234"/>
      <c r="S772" s="233"/>
      <c r="T772" s="233"/>
      <c r="U772" s="233"/>
      <c r="V772" s="233"/>
      <c r="W772" s="233"/>
      <c r="X772" s="233"/>
      <c r="Y772" s="233"/>
      <c r="Z772" s="233"/>
      <c r="AA772" s="233"/>
      <c r="AB772" s="233"/>
      <c r="AC772" s="233"/>
      <c r="AD772" s="233"/>
      <c r="AE772" s="233"/>
      <c r="AF772" s="233"/>
      <c r="AG772" s="233"/>
      <c r="AH772" s="233"/>
      <c r="AI772" s="233"/>
      <c r="AJ772" s="233"/>
      <c r="AK772" s="233"/>
      <c r="AL772" s="233"/>
    </row>
    <row r="773">
      <c r="B773" s="277"/>
      <c r="L773" s="67"/>
      <c r="M773" s="280" t="s">
        <v>2482</v>
      </c>
      <c r="N773" s="234"/>
      <c r="O773" s="281"/>
      <c r="P773" s="233"/>
      <c r="Q773" s="233"/>
      <c r="R773" s="234"/>
      <c r="S773" s="233"/>
      <c r="T773" s="233"/>
      <c r="U773" s="233"/>
      <c r="V773" s="233"/>
      <c r="W773" s="233"/>
      <c r="X773" s="233"/>
      <c r="Y773" s="233"/>
      <c r="Z773" s="233"/>
      <c r="AA773" s="233"/>
      <c r="AB773" s="233"/>
      <c r="AC773" s="233"/>
      <c r="AD773" s="233"/>
      <c r="AE773" s="233"/>
      <c r="AF773" s="233"/>
      <c r="AG773" s="233"/>
      <c r="AH773" s="233"/>
      <c r="AI773" s="233"/>
      <c r="AJ773" s="233"/>
      <c r="AK773" s="233"/>
      <c r="AL773" s="233"/>
    </row>
    <row r="774">
      <c r="B774" s="277"/>
      <c r="L774" s="67"/>
      <c r="M774" s="280" t="s">
        <v>2482</v>
      </c>
      <c r="N774" s="234"/>
      <c r="O774" s="281"/>
      <c r="P774" s="233"/>
      <c r="Q774" s="233"/>
      <c r="R774" s="234"/>
      <c r="S774" s="233"/>
      <c r="T774" s="233"/>
      <c r="U774" s="233"/>
      <c r="V774" s="233"/>
      <c r="W774" s="233"/>
      <c r="X774" s="233"/>
      <c r="Y774" s="233"/>
      <c r="Z774" s="233"/>
      <c r="AA774" s="233"/>
      <c r="AB774" s="233"/>
      <c r="AC774" s="233"/>
      <c r="AD774" s="233"/>
      <c r="AE774" s="233"/>
      <c r="AF774" s="233"/>
      <c r="AG774" s="233"/>
      <c r="AH774" s="233"/>
      <c r="AI774" s="233"/>
      <c r="AJ774" s="233"/>
      <c r="AK774" s="233"/>
      <c r="AL774" s="233"/>
    </row>
    <row r="775">
      <c r="B775" s="277"/>
      <c r="L775" s="67"/>
      <c r="M775" s="280" t="s">
        <v>2482</v>
      </c>
      <c r="N775" s="234"/>
      <c r="O775" s="281"/>
      <c r="P775" s="233"/>
      <c r="Q775" s="233"/>
      <c r="R775" s="234"/>
      <c r="S775" s="233"/>
      <c r="T775" s="233"/>
      <c r="U775" s="233"/>
      <c r="V775" s="233"/>
      <c r="W775" s="233"/>
      <c r="X775" s="233"/>
      <c r="Y775" s="233"/>
      <c r="Z775" s="233"/>
      <c r="AA775" s="233"/>
      <c r="AB775" s="233"/>
      <c r="AC775" s="233"/>
      <c r="AD775" s="233"/>
      <c r="AE775" s="233"/>
      <c r="AF775" s="233"/>
      <c r="AG775" s="233"/>
      <c r="AH775" s="233"/>
      <c r="AI775" s="233"/>
      <c r="AJ775" s="233"/>
      <c r="AK775" s="233"/>
      <c r="AL775" s="233"/>
    </row>
    <row r="776">
      <c r="B776" s="277"/>
      <c r="L776" s="67"/>
      <c r="M776" s="280" t="s">
        <v>2482</v>
      </c>
      <c r="N776" s="234"/>
      <c r="O776" s="281"/>
      <c r="P776" s="233"/>
      <c r="Q776" s="233"/>
      <c r="R776" s="234"/>
      <c r="S776" s="233"/>
      <c r="T776" s="233"/>
      <c r="U776" s="233"/>
      <c r="V776" s="233"/>
      <c r="W776" s="233"/>
      <c r="X776" s="233"/>
      <c r="Y776" s="233"/>
      <c r="Z776" s="233"/>
      <c r="AA776" s="233"/>
      <c r="AB776" s="233"/>
      <c r="AC776" s="233"/>
      <c r="AD776" s="233"/>
      <c r="AE776" s="233"/>
      <c r="AF776" s="233"/>
      <c r="AG776" s="233"/>
      <c r="AH776" s="233"/>
      <c r="AI776" s="233"/>
      <c r="AJ776" s="233"/>
      <c r="AK776" s="233"/>
      <c r="AL776" s="233"/>
    </row>
    <row r="777">
      <c r="B777" s="277"/>
      <c r="L777" s="67"/>
      <c r="M777" s="280" t="s">
        <v>2482</v>
      </c>
      <c r="N777" s="234"/>
      <c r="O777" s="281"/>
      <c r="P777" s="233"/>
      <c r="Q777" s="233"/>
      <c r="R777" s="234"/>
      <c r="S777" s="233"/>
      <c r="T777" s="233"/>
      <c r="U777" s="233"/>
      <c r="V777" s="233"/>
      <c r="W777" s="233"/>
      <c r="X777" s="233"/>
      <c r="Y777" s="233"/>
      <c r="Z777" s="233"/>
      <c r="AA777" s="233"/>
      <c r="AB777" s="233"/>
      <c r="AC777" s="233"/>
      <c r="AD777" s="233"/>
      <c r="AE777" s="233"/>
      <c r="AF777" s="233"/>
      <c r="AG777" s="233"/>
      <c r="AH777" s="233"/>
      <c r="AI777" s="233"/>
      <c r="AJ777" s="233"/>
      <c r="AK777" s="233"/>
      <c r="AL777" s="233"/>
    </row>
    <row r="778">
      <c r="B778" s="277"/>
      <c r="L778" s="67"/>
      <c r="M778" s="280" t="s">
        <v>2482</v>
      </c>
      <c r="N778" s="234"/>
      <c r="O778" s="281"/>
      <c r="P778" s="233"/>
      <c r="Q778" s="233"/>
      <c r="R778" s="234"/>
      <c r="S778" s="233"/>
      <c r="T778" s="233"/>
      <c r="U778" s="233"/>
      <c r="V778" s="233"/>
      <c r="W778" s="233"/>
      <c r="X778" s="233"/>
      <c r="Y778" s="233"/>
      <c r="Z778" s="233"/>
      <c r="AA778" s="233"/>
      <c r="AB778" s="233"/>
      <c r="AC778" s="233"/>
      <c r="AD778" s="233"/>
      <c r="AE778" s="233"/>
      <c r="AF778" s="233"/>
      <c r="AG778" s="233"/>
      <c r="AH778" s="233"/>
      <c r="AI778" s="233"/>
      <c r="AJ778" s="233"/>
      <c r="AK778" s="233"/>
      <c r="AL778" s="233"/>
    </row>
    <row r="779">
      <c r="B779" s="277"/>
      <c r="L779" s="67"/>
      <c r="M779" s="280" t="s">
        <v>2482</v>
      </c>
      <c r="N779" s="234"/>
      <c r="O779" s="281"/>
      <c r="P779" s="233"/>
      <c r="Q779" s="233"/>
      <c r="R779" s="234"/>
      <c r="S779" s="233"/>
      <c r="T779" s="233"/>
      <c r="U779" s="233"/>
      <c r="V779" s="233"/>
      <c r="W779" s="233"/>
      <c r="X779" s="233"/>
      <c r="Y779" s="233"/>
      <c r="Z779" s="233"/>
      <c r="AA779" s="233"/>
      <c r="AB779" s="233"/>
      <c r="AC779" s="233"/>
      <c r="AD779" s="233"/>
      <c r="AE779" s="233"/>
      <c r="AF779" s="233"/>
      <c r="AG779" s="233"/>
      <c r="AH779" s="233"/>
      <c r="AI779" s="233"/>
      <c r="AJ779" s="233"/>
      <c r="AK779" s="233"/>
      <c r="AL779" s="233"/>
    </row>
    <row r="780">
      <c r="B780" s="277"/>
      <c r="L780" s="67"/>
      <c r="M780" s="280" t="s">
        <v>2482</v>
      </c>
      <c r="N780" s="234"/>
      <c r="O780" s="281"/>
      <c r="P780" s="233"/>
      <c r="Q780" s="233"/>
      <c r="R780" s="234"/>
      <c r="S780" s="233"/>
      <c r="T780" s="233"/>
      <c r="U780" s="233"/>
      <c r="V780" s="233"/>
      <c r="W780" s="233"/>
      <c r="X780" s="233"/>
      <c r="Y780" s="233"/>
      <c r="Z780" s="233"/>
      <c r="AA780" s="233"/>
      <c r="AB780" s="233"/>
      <c r="AC780" s="233"/>
      <c r="AD780" s="233"/>
      <c r="AE780" s="233"/>
      <c r="AF780" s="233"/>
      <c r="AG780" s="233"/>
      <c r="AH780" s="233"/>
      <c r="AI780" s="233"/>
      <c r="AJ780" s="233"/>
      <c r="AK780" s="233"/>
      <c r="AL780" s="233"/>
    </row>
    <row r="781">
      <c r="B781" s="277"/>
      <c r="L781" s="67"/>
      <c r="M781" s="280" t="s">
        <v>2482</v>
      </c>
      <c r="N781" s="234"/>
      <c r="O781" s="281"/>
      <c r="P781" s="233"/>
      <c r="Q781" s="233"/>
      <c r="R781" s="234"/>
      <c r="S781" s="233"/>
      <c r="T781" s="233"/>
      <c r="U781" s="233"/>
      <c r="V781" s="233"/>
      <c r="W781" s="233"/>
      <c r="X781" s="233"/>
      <c r="Y781" s="233"/>
      <c r="Z781" s="233"/>
      <c r="AA781" s="233"/>
      <c r="AB781" s="233"/>
      <c r="AC781" s="233"/>
      <c r="AD781" s="233"/>
      <c r="AE781" s="233"/>
      <c r="AF781" s="233"/>
      <c r="AG781" s="233"/>
      <c r="AH781" s="233"/>
      <c r="AI781" s="233"/>
      <c r="AJ781" s="233"/>
      <c r="AK781" s="233"/>
      <c r="AL781" s="233"/>
    </row>
    <row r="782">
      <c r="B782" s="277"/>
      <c r="L782" s="67"/>
      <c r="M782" s="280" t="s">
        <v>2482</v>
      </c>
      <c r="N782" s="234"/>
      <c r="O782" s="281"/>
      <c r="P782" s="233"/>
      <c r="Q782" s="233"/>
      <c r="R782" s="234"/>
      <c r="S782" s="233"/>
      <c r="T782" s="233"/>
      <c r="U782" s="233"/>
      <c r="V782" s="233"/>
      <c r="W782" s="233"/>
      <c r="X782" s="233"/>
      <c r="Y782" s="233"/>
      <c r="Z782" s="233"/>
      <c r="AA782" s="233"/>
      <c r="AB782" s="233"/>
      <c r="AC782" s="233"/>
      <c r="AD782" s="233"/>
      <c r="AE782" s="233"/>
      <c r="AF782" s="233"/>
      <c r="AG782" s="233"/>
      <c r="AH782" s="233"/>
      <c r="AI782" s="233"/>
      <c r="AJ782" s="233"/>
      <c r="AK782" s="233"/>
      <c r="AL782" s="233"/>
    </row>
    <row r="783">
      <c r="B783" s="277"/>
      <c r="L783" s="67"/>
      <c r="M783" s="280" t="s">
        <v>2482</v>
      </c>
      <c r="N783" s="234"/>
      <c r="O783" s="281"/>
      <c r="P783" s="233"/>
      <c r="Q783" s="233"/>
      <c r="R783" s="234"/>
      <c r="S783" s="233"/>
      <c r="T783" s="233"/>
      <c r="U783" s="233"/>
      <c r="V783" s="233"/>
      <c r="W783" s="233"/>
      <c r="X783" s="233"/>
      <c r="Y783" s="233"/>
      <c r="Z783" s="233"/>
      <c r="AA783" s="233"/>
      <c r="AB783" s="233"/>
      <c r="AC783" s="233"/>
      <c r="AD783" s="233"/>
      <c r="AE783" s="233"/>
      <c r="AF783" s="233"/>
      <c r="AG783" s="233"/>
      <c r="AH783" s="233"/>
      <c r="AI783" s="233"/>
      <c r="AJ783" s="233"/>
      <c r="AK783" s="233"/>
      <c r="AL783" s="233"/>
    </row>
    <row r="784">
      <c r="B784" s="277"/>
      <c r="L784" s="67"/>
      <c r="M784" s="280" t="s">
        <v>2482</v>
      </c>
      <c r="N784" s="234"/>
      <c r="O784" s="281"/>
      <c r="P784" s="233"/>
      <c r="Q784" s="233"/>
      <c r="R784" s="234"/>
      <c r="S784" s="233"/>
      <c r="T784" s="233"/>
      <c r="U784" s="233"/>
      <c r="V784" s="233"/>
      <c r="W784" s="233"/>
      <c r="X784" s="233"/>
      <c r="Y784" s="233"/>
      <c r="Z784" s="233"/>
      <c r="AA784" s="233"/>
      <c r="AB784" s="233"/>
      <c r="AC784" s="233"/>
      <c r="AD784" s="233"/>
      <c r="AE784" s="233"/>
      <c r="AF784" s="233"/>
      <c r="AG784" s="233"/>
      <c r="AH784" s="233"/>
      <c r="AI784" s="233"/>
      <c r="AJ784" s="233"/>
      <c r="AK784" s="233"/>
      <c r="AL784" s="233"/>
    </row>
    <row r="785">
      <c r="B785" s="277"/>
      <c r="L785" s="67"/>
      <c r="M785" s="280" t="s">
        <v>2482</v>
      </c>
      <c r="N785" s="234"/>
      <c r="O785" s="281"/>
      <c r="P785" s="233"/>
      <c r="Q785" s="233"/>
      <c r="R785" s="234"/>
      <c r="S785" s="233"/>
      <c r="T785" s="233"/>
      <c r="U785" s="233"/>
      <c r="V785" s="233"/>
      <c r="W785" s="233"/>
      <c r="X785" s="233"/>
      <c r="Y785" s="233"/>
      <c r="Z785" s="233"/>
      <c r="AA785" s="233"/>
      <c r="AB785" s="233"/>
      <c r="AC785" s="233"/>
      <c r="AD785" s="233"/>
      <c r="AE785" s="233"/>
      <c r="AF785" s="233"/>
      <c r="AG785" s="233"/>
      <c r="AH785" s="233"/>
      <c r="AI785" s="233"/>
      <c r="AJ785" s="233"/>
      <c r="AK785" s="233"/>
      <c r="AL785" s="233"/>
    </row>
    <row r="786">
      <c r="B786" s="277"/>
      <c r="L786" s="67"/>
      <c r="M786" s="280" t="s">
        <v>2482</v>
      </c>
      <c r="N786" s="234"/>
      <c r="O786" s="281"/>
      <c r="P786" s="233"/>
      <c r="Q786" s="233"/>
      <c r="R786" s="234"/>
      <c r="S786" s="233"/>
      <c r="T786" s="233"/>
      <c r="U786" s="233"/>
      <c r="V786" s="233"/>
      <c r="W786" s="233"/>
      <c r="X786" s="233"/>
      <c r="Y786" s="233"/>
      <c r="Z786" s="233"/>
      <c r="AA786" s="233"/>
      <c r="AB786" s="233"/>
      <c r="AC786" s="233"/>
      <c r="AD786" s="233"/>
      <c r="AE786" s="233"/>
      <c r="AF786" s="233"/>
      <c r="AG786" s="233"/>
      <c r="AH786" s="233"/>
      <c r="AI786" s="233"/>
      <c r="AJ786" s="233"/>
      <c r="AK786" s="233"/>
      <c r="AL786" s="233"/>
    </row>
    <row r="787">
      <c r="B787" s="277"/>
      <c r="L787" s="67"/>
      <c r="M787" s="280" t="s">
        <v>2482</v>
      </c>
      <c r="N787" s="234"/>
      <c r="O787" s="281"/>
      <c r="P787" s="233"/>
      <c r="Q787" s="233"/>
      <c r="R787" s="234"/>
      <c r="S787" s="233"/>
      <c r="T787" s="233"/>
      <c r="U787" s="233"/>
      <c r="V787" s="233"/>
      <c r="W787" s="233"/>
      <c r="X787" s="233"/>
      <c r="Y787" s="233"/>
      <c r="Z787" s="233"/>
      <c r="AA787" s="233"/>
      <c r="AB787" s="233"/>
      <c r="AC787" s="233"/>
      <c r="AD787" s="233"/>
      <c r="AE787" s="233"/>
      <c r="AF787" s="233"/>
      <c r="AG787" s="233"/>
      <c r="AH787" s="233"/>
      <c r="AI787" s="233"/>
      <c r="AJ787" s="233"/>
      <c r="AK787" s="233"/>
      <c r="AL787" s="233"/>
    </row>
    <row r="788">
      <c r="B788" s="277"/>
      <c r="L788" s="67"/>
      <c r="M788" s="280" t="s">
        <v>2482</v>
      </c>
      <c r="N788" s="234"/>
      <c r="O788" s="281"/>
      <c r="P788" s="233"/>
      <c r="Q788" s="233"/>
      <c r="R788" s="234"/>
      <c r="S788" s="233"/>
      <c r="T788" s="233"/>
      <c r="U788" s="233"/>
      <c r="V788" s="233"/>
      <c r="W788" s="233"/>
      <c r="X788" s="233"/>
      <c r="Y788" s="233"/>
      <c r="Z788" s="233"/>
      <c r="AA788" s="233"/>
      <c r="AB788" s="233"/>
      <c r="AC788" s="233"/>
      <c r="AD788" s="233"/>
      <c r="AE788" s="233"/>
      <c r="AF788" s="233"/>
      <c r="AG788" s="233"/>
      <c r="AH788" s="233"/>
      <c r="AI788" s="233"/>
      <c r="AJ788" s="233"/>
      <c r="AK788" s="233"/>
      <c r="AL788" s="233"/>
    </row>
    <row r="789">
      <c r="B789" s="277"/>
      <c r="L789" s="67"/>
      <c r="M789" s="280" t="s">
        <v>2482</v>
      </c>
      <c r="N789" s="234"/>
      <c r="O789" s="281"/>
      <c r="P789" s="233"/>
      <c r="Q789" s="233"/>
      <c r="R789" s="234"/>
      <c r="S789" s="233"/>
      <c r="T789" s="233"/>
      <c r="U789" s="233"/>
      <c r="V789" s="233"/>
      <c r="W789" s="233"/>
      <c r="X789" s="233"/>
      <c r="Y789" s="233"/>
      <c r="Z789" s="233"/>
      <c r="AA789" s="233"/>
      <c r="AB789" s="233"/>
      <c r="AC789" s="233"/>
      <c r="AD789" s="233"/>
      <c r="AE789" s="233"/>
      <c r="AF789" s="233"/>
      <c r="AG789" s="233"/>
      <c r="AH789" s="233"/>
      <c r="AI789" s="233"/>
      <c r="AJ789" s="233"/>
      <c r="AK789" s="233"/>
      <c r="AL789" s="233"/>
    </row>
    <row r="790">
      <c r="B790" s="277"/>
      <c r="L790" s="67"/>
      <c r="M790" s="280" t="s">
        <v>2482</v>
      </c>
      <c r="N790" s="234"/>
      <c r="O790" s="281"/>
      <c r="P790" s="233"/>
      <c r="Q790" s="233"/>
      <c r="R790" s="234"/>
      <c r="S790" s="233"/>
      <c r="T790" s="233"/>
      <c r="U790" s="233"/>
      <c r="V790" s="233"/>
      <c r="W790" s="233"/>
      <c r="X790" s="233"/>
      <c r="Y790" s="233"/>
      <c r="Z790" s="233"/>
      <c r="AA790" s="233"/>
      <c r="AB790" s="233"/>
      <c r="AC790" s="233"/>
      <c r="AD790" s="233"/>
      <c r="AE790" s="233"/>
      <c r="AF790" s="233"/>
      <c r="AG790" s="233"/>
      <c r="AH790" s="233"/>
      <c r="AI790" s="233"/>
      <c r="AJ790" s="233"/>
      <c r="AK790" s="233"/>
      <c r="AL790" s="233"/>
    </row>
    <row r="791">
      <c r="B791" s="277"/>
      <c r="L791" s="67"/>
      <c r="M791" s="280" t="s">
        <v>2482</v>
      </c>
      <c r="N791" s="234"/>
      <c r="O791" s="281"/>
      <c r="P791" s="233"/>
      <c r="Q791" s="233"/>
      <c r="R791" s="234"/>
      <c r="S791" s="233"/>
      <c r="T791" s="233"/>
      <c r="U791" s="233"/>
      <c r="V791" s="233"/>
      <c r="W791" s="233"/>
      <c r="X791" s="233"/>
      <c r="Y791" s="233"/>
      <c r="Z791" s="233"/>
      <c r="AA791" s="233"/>
      <c r="AB791" s="233"/>
      <c r="AC791" s="233"/>
      <c r="AD791" s="233"/>
      <c r="AE791" s="233"/>
      <c r="AF791" s="233"/>
      <c r="AG791" s="233"/>
      <c r="AH791" s="233"/>
      <c r="AI791" s="233"/>
      <c r="AJ791" s="233"/>
      <c r="AK791" s="233"/>
      <c r="AL791" s="233"/>
    </row>
    <row r="792">
      <c r="B792" s="277"/>
      <c r="L792" s="67"/>
      <c r="M792" s="280" t="s">
        <v>2482</v>
      </c>
      <c r="N792" s="234"/>
      <c r="O792" s="281"/>
      <c r="P792" s="233"/>
      <c r="Q792" s="233"/>
      <c r="R792" s="234"/>
      <c r="S792" s="233"/>
      <c r="T792" s="233"/>
      <c r="U792" s="233"/>
      <c r="V792" s="233"/>
      <c r="W792" s="233"/>
      <c r="X792" s="233"/>
      <c r="Y792" s="233"/>
      <c r="Z792" s="233"/>
      <c r="AA792" s="233"/>
      <c r="AB792" s="233"/>
      <c r="AC792" s="233"/>
      <c r="AD792" s="233"/>
      <c r="AE792" s="233"/>
      <c r="AF792" s="233"/>
      <c r="AG792" s="233"/>
      <c r="AH792" s="233"/>
      <c r="AI792" s="233"/>
      <c r="AJ792" s="233"/>
      <c r="AK792" s="233"/>
      <c r="AL792" s="233"/>
    </row>
    <row r="793">
      <c r="B793" s="277"/>
      <c r="L793" s="67"/>
      <c r="M793" s="280" t="s">
        <v>2482</v>
      </c>
      <c r="N793" s="234"/>
      <c r="O793" s="281"/>
      <c r="P793" s="233"/>
      <c r="Q793" s="233"/>
      <c r="R793" s="234"/>
      <c r="S793" s="233"/>
      <c r="T793" s="233"/>
      <c r="U793" s="233"/>
      <c r="V793" s="233"/>
      <c r="W793" s="233"/>
      <c r="X793" s="233"/>
      <c r="Y793" s="233"/>
      <c r="Z793" s="233"/>
      <c r="AA793" s="233"/>
      <c r="AB793" s="233"/>
      <c r="AC793" s="233"/>
      <c r="AD793" s="233"/>
      <c r="AE793" s="233"/>
      <c r="AF793" s="233"/>
      <c r="AG793" s="233"/>
      <c r="AH793" s="233"/>
      <c r="AI793" s="233"/>
      <c r="AJ793" s="233"/>
      <c r="AK793" s="233"/>
      <c r="AL793" s="233"/>
    </row>
    <row r="794">
      <c r="B794" s="277"/>
      <c r="L794" s="67"/>
      <c r="M794" s="280" t="s">
        <v>2482</v>
      </c>
      <c r="N794" s="234"/>
      <c r="O794" s="281"/>
      <c r="P794" s="233"/>
      <c r="Q794" s="233"/>
      <c r="R794" s="234"/>
      <c r="S794" s="233"/>
      <c r="T794" s="233"/>
      <c r="U794" s="233"/>
      <c r="V794" s="233"/>
      <c r="W794" s="233"/>
      <c r="X794" s="233"/>
      <c r="Y794" s="233"/>
      <c r="Z794" s="233"/>
      <c r="AA794" s="233"/>
      <c r="AB794" s="233"/>
      <c r="AC794" s="233"/>
      <c r="AD794" s="233"/>
      <c r="AE794" s="233"/>
      <c r="AF794" s="233"/>
      <c r="AG794" s="233"/>
      <c r="AH794" s="233"/>
      <c r="AI794" s="233"/>
      <c r="AJ794" s="233"/>
      <c r="AK794" s="233"/>
      <c r="AL794" s="233"/>
    </row>
    <row r="795">
      <c r="B795" s="277"/>
      <c r="L795" s="67"/>
      <c r="M795" s="280" t="s">
        <v>2482</v>
      </c>
      <c r="N795" s="234"/>
      <c r="O795" s="281"/>
      <c r="P795" s="233"/>
      <c r="Q795" s="233"/>
      <c r="R795" s="234"/>
      <c r="S795" s="233"/>
      <c r="T795" s="233"/>
      <c r="U795" s="233"/>
      <c r="V795" s="233"/>
      <c r="W795" s="233"/>
      <c r="X795" s="233"/>
      <c r="Y795" s="233"/>
      <c r="Z795" s="233"/>
      <c r="AA795" s="233"/>
      <c r="AB795" s="233"/>
      <c r="AC795" s="233"/>
      <c r="AD795" s="233"/>
      <c r="AE795" s="233"/>
      <c r="AF795" s="233"/>
      <c r="AG795" s="233"/>
      <c r="AH795" s="233"/>
      <c r="AI795" s="233"/>
      <c r="AJ795" s="233"/>
      <c r="AK795" s="233"/>
      <c r="AL795" s="233"/>
    </row>
    <row r="796">
      <c r="B796" s="277"/>
      <c r="L796" s="67"/>
      <c r="M796" s="280" t="s">
        <v>2482</v>
      </c>
      <c r="N796" s="234"/>
      <c r="O796" s="281"/>
      <c r="P796" s="233"/>
      <c r="Q796" s="233"/>
      <c r="R796" s="234"/>
      <c r="S796" s="233"/>
      <c r="T796" s="233"/>
      <c r="U796" s="233"/>
      <c r="V796" s="233"/>
      <c r="W796" s="233"/>
      <c r="X796" s="233"/>
      <c r="Y796" s="233"/>
      <c r="Z796" s="233"/>
      <c r="AA796" s="233"/>
      <c r="AB796" s="233"/>
      <c r="AC796" s="233"/>
      <c r="AD796" s="233"/>
      <c r="AE796" s="233"/>
      <c r="AF796" s="233"/>
      <c r="AG796" s="233"/>
      <c r="AH796" s="233"/>
      <c r="AI796" s="233"/>
      <c r="AJ796" s="233"/>
      <c r="AK796" s="233"/>
      <c r="AL796" s="233"/>
    </row>
    <row r="797">
      <c r="B797" s="277"/>
      <c r="L797" s="67"/>
      <c r="M797" s="280" t="s">
        <v>2482</v>
      </c>
      <c r="N797" s="234"/>
      <c r="O797" s="281"/>
      <c r="P797" s="233"/>
      <c r="Q797" s="233"/>
      <c r="R797" s="234"/>
      <c r="S797" s="233"/>
      <c r="T797" s="233"/>
      <c r="U797" s="233"/>
      <c r="V797" s="233"/>
      <c r="W797" s="233"/>
      <c r="X797" s="233"/>
      <c r="Y797" s="233"/>
      <c r="Z797" s="233"/>
      <c r="AA797" s="233"/>
      <c r="AB797" s="233"/>
      <c r="AC797" s="233"/>
      <c r="AD797" s="233"/>
      <c r="AE797" s="233"/>
      <c r="AF797" s="233"/>
      <c r="AG797" s="233"/>
      <c r="AH797" s="233"/>
      <c r="AI797" s="233"/>
      <c r="AJ797" s="233"/>
      <c r="AK797" s="233"/>
      <c r="AL797" s="233"/>
    </row>
    <row r="798">
      <c r="B798" s="277"/>
      <c r="L798" s="67"/>
      <c r="M798" s="280" t="s">
        <v>2482</v>
      </c>
      <c r="N798" s="234"/>
      <c r="O798" s="281"/>
      <c r="P798" s="233"/>
      <c r="Q798" s="233"/>
      <c r="R798" s="234"/>
      <c r="S798" s="233"/>
      <c r="T798" s="233"/>
      <c r="U798" s="233"/>
      <c r="V798" s="233"/>
      <c r="W798" s="233"/>
      <c r="X798" s="233"/>
      <c r="Y798" s="233"/>
      <c r="Z798" s="233"/>
      <c r="AA798" s="233"/>
      <c r="AB798" s="233"/>
      <c r="AC798" s="233"/>
      <c r="AD798" s="233"/>
      <c r="AE798" s="233"/>
      <c r="AF798" s="233"/>
      <c r="AG798" s="233"/>
      <c r="AH798" s="233"/>
      <c r="AI798" s="233"/>
      <c r="AJ798" s="233"/>
      <c r="AK798" s="233"/>
      <c r="AL798" s="233"/>
    </row>
    <row r="799">
      <c r="B799" s="277"/>
      <c r="L799" s="67"/>
      <c r="M799" s="280" t="s">
        <v>2482</v>
      </c>
      <c r="N799" s="234"/>
      <c r="O799" s="281"/>
      <c r="P799" s="233"/>
      <c r="Q799" s="233"/>
      <c r="R799" s="234"/>
      <c r="S799" s="233"/>
      <c r="T799" s="233"/>
      <c r="U799" s="233"/>
      <c r="V799" s="233"/>
      <c r="W799" s="233"/>
      <c r="X799" s="233"/>
      <c r="Y799" s="233"/>
      <c r="Z799" s="233"/>
      <c r="AA799" s="233"/>
      <c r="AB799" s="233"/>
      <c r="AC799" s="233"/>
      <c r="AD799" s="233"/>
      <c r="AE799" s="233"/>
      <c r="AF799" s="233"/>
      <c r="AG799" s="233"/>
      <c r="AH799" s="233"/>
      <c r="AI799" s="233"/>
      <c r="AJ799" s="233"/>
      <c r="AK799" s="233"/>
      <c r="AL799" s="233"/>
    </row>
    <row r="800">
      <c r="B800" s="277"/>
      <c r="L800" s="67"/>
      <c r="M800" s="280" t="s">
        <v>2482</v>
      </c>
      <c r="N800" s="234"/>
      <c r="O800" s="281"/>
      <c r="P800" s="233"/>
      <c r="Q800" s="233"/>
      <c r="R800" s="234"/>
      <c r="S800" s="233"/>
      <c r="T800" s="233"/>
      <c r="U800" s="233"/>
      <c r="V800" s="233"/>
      <c r="W800" s="233"/>
      <c r="X800" s="233"/>
      <c r="Y800" s="233"/>
      <c r="Z800" s="233"/>
      <c r="AA800" s="233"/>
      <c r="AB800" s="233"/>
      <c r="AC800" s="233"/>
      <c r="AD800" s="233"/>
      <c r="AE800" s="233"/>
      <c r="AF800" s="233"/>
      <c r="AG800" s="233"/>
      <c r="AH800" s="233"/>
      <c r="AI800" s="233"/>
      <c r="AJ800" s="233"/>
      <c r="AK800" s="233"/>
      <c r="AL800" s="233"/>
    </row>
    <row r="801">
      <c r="B801" s="277"/>
      <c r="L801" s="67"/>
      <c r="M801" s="280" t="s">
        <v>2482</v>
      </c>
      <c r="N801" s="234"/>
      <c r="O801" s="281"/>
      <c r="P801" s="233"/>
      <c r="Q801" s="233"/>
      <c r="R801" s="234"/>
      <c r="S801" s="233"/>
      <c r="T801" s="233"/>
      <c r="U801" s="233"/>
      <c r="V801" s="233"/>
      <c r="W801" s="233"/>
      <c r="X801" s="233"/>
      <c r="Y801" s="233"/>
      <c r="Z801" s="233"/>
      <c r="AA801" s="233"/>
      <c r="AB801" s="233"/>
      <c r="AC801" s="233"/>
      <c r="AD801" s="233"/>
      <c r="AE801" s="233"/>
      <c r="AF801" s="233"/>
      <c r="AG801" s="233"/>
      <c r="AH801" s="233"/>
      <c r="AI801" s="233"/>
      <c r="AJ801" s="233"/>
      <c r="AK801" s="233"/>
      <c r="AL801" s="233"/>
    </row>
    <row r="802">
      <c r="B802" s="277"/>
      <c r="L802" s="67"/>
      <c r="M802" s="280" t="s">
        <v>2482</v>
      </c>
      <c r="N802" s="234"/>
      <c r="O802" s="281"/>
      <c r="P802" s="233"/>
      <c r="Q802" s="233"/>
      <c r="R802" s="234"/>
      <c r="S802" s="233"/>
      <c r="T802" s="233"/>
      <c r="U802" s="233"/>
      <c r="V802" s="233"/>
      <c r="W802" s="233"/>
      <c r="X802" s="233"/>
      <c r="Y802" s="233"/>
      <c r="Z802" s="233"/>
      <c r="AA802" s="233"/>
      <c r="AB802" s="233"/>
      <c r="AC802" s="233"/>
      <c r="AD802" s="233"/>
      <c r="AE802" s="233"/>
      <c r="AF802" s="233"/>
      <c r="AG802" s="233"/>
      <c r="AH802" s="233"/>
      <c r="AI802" s="233"/>
      <c r="AJ802" s="233"/>
      <c r="AK802" s="233"/>
      <c r="AL802" s="233"/>
    </row>
    <row r="803">
      <c r="B803" s="277"/>
      <c r="L803" s="67"/>
      <c r="M803" s="280" t="s">
        <v>2482</v>
      </c>
      <c r="N803" s="234"/>
      <c r="O803" s="281"/>
      <c r="P803" s="233"/>
      <c r="Q803" s="233"/>
      <c r="R803" s="234"/>
      <c r="S803" s="233"/>
      <c r="T803" s="233"/>
      <c r="U803" s="233"/>
      <c r="V803" s="233"/>
      <c r="W803" s="233"/>
      <c r="X803" s="233"/>
      <c r="Y803" s="233"/>
      <c r="Z803" s="233"/>
      <c r="AA803" s="233"/>
      <c r="AB803" s="233"/>
      <c r="AC803" s="233"/>
      <c r="AD803" s="233"/>
      <c r="AE803" s="233"/>
      <c r="AF803" s="233"/>
      <c r="AG803" s="233"/>
      <c r="AH803" s="233"/>
      <c r="AI803" s="233"/>
      <c r="AJ803" s="233"/>
      <c r="AK803" s="233"/>
      <c r="AL803" s="233"/>
    </row>
    <row r="804">
      <c r="B804" s="277"/>
      <c r="L804" s="67"/>
      <c r="M804" s="280" t="s">
        <v>2482</v>
      </c>
      <c r="N804" s="234"/>
      <c r="O804" s="281"/>
      <c r="P804" s="233"/>
      <c r="Q804" s="233"/>
      <c r="R804" s="234"/>
      <c r="S804" s="233"/>
      <c r="T804" s="233"/>
      <c r="U804" s="233"/>
      <c r="V804" s="233"/>
      <c r="W804" s="233"/>
      <c r="X804" s="233"/>
      <c r="Y804" s="233"/>
      <c r="Z804" s="233"/>
      <c r="AA804" s="233"/>
      <c r="AB804" s="233"/>
      <c r="AC804" s="233"/>
      <c r="AD804" s="233"/>
      <c r="AE804" s="233"/>
      <c r="AF804" s="233"/>
      <c r="AG804" s="233"/>
      <c r="AH804" s="233"/>
      <c r="AI804" s="233"/>
      <c r="AJ804" s="233"/>
      <c r="AK804" s="233"/>
      <c r="AL804" s="233"/>
    </row>
    <row r="805">
      <c r="B805" s="277"/>
      <c r="L805" s="67"/>
      <c r="M805" s="280" t="s">
        <v>2482</v>
      </c>
      <c r="N805" s="234"/>
      <c r="O805" s="281"/>
      <c r="P805" s="233"/>
      <c r="Q805" s="233"/>
      <c r="R805" s="234"/>
      <c r="S805" s="233"/>
      <c r="T805" s="233"/>
      <c r="U805" s="233"/>
      <c r="V805" s="233"/>
      <c r="W805" s="233"/>
      <c r="X805" s="233"/>
      <c r="Y805" s="233"/>
      <c r="Z805" s="233"/>
      <c r="AA805" s="233"/>
      <c r="AB805" s="233"/>
      <c r="AC805" s="233"/>
      <c r="AD805" s="233"/>
      <c r="AE805" s="233"/>
      <c r="AF805" s="233"/>
      <c r="AG805" s="233"/>
      <c r="AH805" s="233"/>
      <c r="AI805" s="233"/>
      <c r="AJ805" s="233"/>
      <c r="AK805" s="233"/>
      <c r="AL805" s="233"/>
    </row>
    <row r="806">
      <c r="B806" s="277"/>
      <c r="L806" s="67"/>
      <c r="M806" s="280" t="s">
        <v>2482</v>
      </c>
      <c r="N806" s="234"/>
      <c r="O806" s="281"/>
      <c r="P806" s="233"/>
      <c r="Q806" s="233"/>
      <c r="R806" s="234"/>
      <c r="S806" s="233"/>
      <c r="T806" s="233"/>
      <c r="U806" s="233"/>
      <c r="V806" s="233"/>
      <c r="W806" s="233"/>
      <c r="X806" s="233"/>
      <c r="Y806" s="233"/>
      <c r="Z806" s="233"/>
      <c r="AA806" s="233"/>
      <c r="AB806" s="233"/>
      <c r="AC806" s="233"/>
      <c r="AD806" s="233"/>
      <c r="AE806" s="233"/>
      <c r="AF806" s="233"/>
      <c r="AG806" s="233"/>
      <c r="AH806" s="233"/>
      <c r="AI806" s="233"/>
      <c r="AJ806" s="233"/>
      <c r="AK806" s="233"/>
      <c r="AL806" s="233"/>
    </row>
    <row r="807">
      <c r="B807" s="277"/>
      <c r="L807" s="67"/>
      <c r="M807" s="280" t="s">
        <v>2482</v>
      </c>
      <c r="N807" s="234"/>
      <c r="O807" s="281"/>
      <c r="P807" s="233"/>
      <c r="Q807" s="233"/>
      <c r="R807" s="234"/>
      <c r="S807" s="233"/>
      <c r="T807" s="233"/>
      <c r="U807" s="233"/>
      <c r="V807" s="233"/>
      <c r="W807" s="233"/>
      <c r="X807" s="233"/>
      <c r="Y807" s="233"/>
      <c r="Z807" s="233"/>
      <c r="AA807" s="233"/>
      <c r="AB807" s="233"/>
      <c r="AC807" s="233"/>
      <c r="AD807" s="233"/>
      <c r="AE807" s="233"/>
      <c r="AF807" s="233"/>
      <c r="AG807" s="233"/>
      <c r="AH807" s="233"/>
      <c r="AI807" s="233"/>
      <c r="AJ807" s="233"/>
      <c r="AK807" s="233"/>
      <c r="AL807" s="233"/>
    </row>
    <row r="808">
      <c r="B808" s="277"/>
      <c r="L808" s="67"/>
      <c r="M808" s="280" t="s">
        <v>2482</v>
      </c>
      <c r="N808" s="234"/>
      <c r="O808" s="281"/>
      <c r="P808" s="233"/>
      <c r="Q808" s="233"/>
      <c r="R808" s="234"/>
      <c r="S808" s="233"/>
      <c r="T808" s="233"/>
      <c r="U808" s="233"/>
      <c r="V808" s="233"/>
      <c r="W808" s="233"/>
      <c r="X808" s="233"/>
      <c r="Y808" s="233"/>
      <c r="Z808" s="233"/>
      <c r="AA808" s="233"/>
      <c r="AB808" s="233"/>
      <c r="AC808" s="233"/>
      <c r="AD808" s="233"/>
      <c r="AE808" s="233"/>
      <c r="AF808" s="233"/>
      <c r="AG808" s="233"/>
      <c r="AH808" s="233"/>
      <c r="AI808" s="233"/>
      <c r="AJ808" s="233"/>
      <c r="AK808" s="233"/>
      <c r="AL808" s="233"/>
    </row>
    <row r="809">
      <c r="B809" s="277"/>
      <c r="L809" s="67"/>
      <c r="M809" s="280" t="s">
        <v>2482</v>
      </c>
      <c r="N809" s="234"/>
      <c r="O809" s="281"/>
      <c r="P809" s="233"/>
      <c r="Q809" s="233"/>
      <c r="R809" s="234"/>
      <c r="S809" s="233"/>
      <c r="T809" s="233"/>
      <c r="U809" s="233"/>
      <c r="V809" s="233"/>
      <c r="W809" s="233"/>
      <c r="X809" s="233"/>
      <c r="Y809" s="233"/>
      <c r="Z809" s="233"/>
      <c r="AA809" s="233"/>
      <c r="AB809" s="233"/>
      <c r="AC809" s="233"/>
      <c r="AD809" s="233"/>
      <c r="AE809" s="233"/>
      <c r="AF809" s="233"/>
      <c r="AG809" s="233"/>
      <c r="AH809" s="233"/>
      <c r="AI809" s="233"/>
      <c r="AJ809" s="233"/>
      <c r="AK809" s="233"/>
      <c r="AL809" s="233"/>
    </row>
    <row r="810">
      <c r="B810" s="277"/>
      <c r="L810" s="67"/>
      <c r="M810" s="280" t="s">
        <v>2482</v>
      </c>
      <c r="N810" s="234"/>
      <c r="O810" s="281"/>
      <c r="P810" s="233"/>
      <c r="Q810" s="233"/>
      <c r="R810" s="234"/>
      <c r="S810" s="233"/>
      <c r="T810" s="233"/>
      <c r="U810" s="233"/>
      <c r="V810" s="233"/>
      <c r="W810" s="233"/>
      <c r="X810" s="233"/>
      <c r="Y810" s="233"/>
      <c r="Z810" s="233"/>
      <c r="AA810" s="233"/>
      <c r="AB810" s="233"/>
      <c r="AC810" s="233"/>
      <c r="AD810" s="233"/>
      <c r="AE810" s="233"/>
      <c r="AF810" s="233"/>
      <c r="AG810" s="233"/>
      <c r="AH810" s="233"/>
      <c r="AI810" s="233"/>
      <c r="AJ810" s="233"/>
      <c r="AK810" s="233"/>
      <c r="AL810" s="233"/>
    </row>
    <row r="811">
      <c r="B811" s="277"/>
      <c r="L811" s="67"/>
      <c r="M811" s="280" t="s">
        <v>2482</v>
      </c>
      <c r="N811" s="234"/>
      <c r="O811" s="281"/>
      <c r="P811" s="233"/>
      <c r="Q811" s="233"/>
      <c r="R811" s="234"/>
      <c r="S811" s="233"/>
      <c r="T811" s="233"/>
      <c r="U811" s="233"/>
      <c r="V811" s="233"/>
      <c r="W811" s="233"/>
      <c r="X811" s="233"/>
      <c r="Y811" s="233"/>
      <c r="Z811" s="233"/>
      <c r="AA811" s="233"/>
      <c r="AB811" s="233"/>
      <c r="AC811" s="233"/>
      <c r="AD811" s="233"/>
      <c r="AE811" s="233"/>
      <c r="AF811" s="233"/>
      <c r="AG811" s="233"/>
      <c r="AH811" s="233"/>
      <c r="AI811" s="233"/>
      <c r="AJ811" s="233"/>
      <c r="AK811" s="233"/>
      <c r="AL811" s="233"/>
    </row>
    <row r="812">
      <c r="B812" s="277"/>
      <c r="L812" s="67"/>
      <c r="M812" s="280" t="s">
        <v>2482</v>
      </c>
      <c r="N812" s="234"/>
      <c r="O812" s="281"/>
      <c r="P812" s="233"/>
      <c r="Q812" s="233"/>
      <c r="R812" s="234"/>
      <c r="S812" s="233"/>
      <c r="T812" s="233"/>
      <c r="U812" s="233"/>
      <c r="V812" s="233"/>
      <c r="W812" s="233"/>
      <c r="X812" s="233"/>
      <c r="Y812" s="233"/>
      <c r="Z812" s="233"/>
      <c r="AA812" s="233"/>
      <c r="AB812" s="233"/>
      <c r="AC812" s="233"/>
      <c r="AD812" s="233"/>
      <c r="AE812" s="233"/>
      <c r="AF812" s="233"/>
      <c r="AG812" s="233"/>
      <c r="AH812" s="233"/>
      <c r="AI812" s="233"/>
      <c r="AJ812" s="233"/>
      <c r="AK812" s="233"/>
      <c r="AL812" s="233"/>
    </row>
    <row r="813">
      <c r="B813" s="277"/>
      <c r="L813" s="67"/>
      <c r="M813" s="280" t="s">
        <v>2482</v>
      </c>
      <c r="N813" s="234"/>
      <c r="O813" s="281"/>
      <c r="P813" s="233"/>
      <c r="Q813" s="233"/>
      <c r="R813" s="234"/>
      <c r="S813" s="233"/>
      <c r="T813" s="233"/>
      <c r="U813" s="233"/>
      <c r="V813" s="233"/>
      <c r="W813" s="233"/>
      <c r="X813" s="233"/>
      <c r="Y813" s="233"/>
      <c r="Z813" s="233"/>
      <c r="AA813" s="233"/>
      <c r="AB813" s="233"/>
      <c r="AC813" s="233"/>
      <c r="AD813" s="233"/>
      <c r="AE813" s="233"/>
      <c r="AF813" s="233"/>
      <c r="AG813" s="233"/>
      <c r="AH813" s="233"/>
      <c r="AI813" s="233"/>
      <c r="AJ813" s="233"/>
      <c r="AK813" s="233"/>
      <c r="AL813" s="233"/>
    </row>
    <row r="814">
      <c r="B814" s="277"/>
      <c r="L814" s="67"/>
      <c r="M814" s="280" t="s">
        <v>2482</v>
      </c>
      <c r="N814" s="234"/>
      <c r="O814" s="281"/>
      <c r="P814" s="233"/>
      <c r="Q814" s="233"/>
      <c r="R814" s="234"/>
      <c r="S814" s="233"/>
      <c r="T814" s="233"/>
      <c r="U814" s="233"/>
      <c r="V814" s="233"/>
      <c r="W814" s="233"/>
      <c r="X814" s="233"/>
      <c r="Y814" s="233"/>
      <c r="Z814" s="233"/>
      <c r="AA814" s="233"/>
      <c r="AB814" s="233"/>
      <c r="AC814" s="233"/>
      <c r="AD814" s="233"/>
      <c r="AE814" s="233"/>
      <c r="AF814" s="233"/>
      <c r="AG814" s="233"/>
      <c r="AH814" s="233"/>
      <c r="AI814" s="233"/>
      <c r="AJ814" s="233"/>
      <c r="AK814" s="233"/>
      <c r="AL814" s="233"/>
    </row>
    <row r="815">
      <c r="B815" s="277"/>
      <c r="L815" s="67"/>
      <c r="M815" s="280" t="s">
        <v>2482</v>
      </c>
      <c r="N815" s="234"/>
      <c r="O815" s="281"/>
      <c r="P815" s="233"/>
      <c r="Q815" s="233"/>
      <c r="R815" s="234"/>
      <c r="S815" s="233"/>
      <c r="T815" s="233"/>
      <c r="U815" s="233"/>
      <c r="V815" s="233"/>
      <c r="W815" s="233"/>
      <c r="X815" s="233"/>
      <c r="Y815" s="233"/>
      <c r="Z815" s="233"/>
      <c r="AA815" s="233"/>
      <c r="AB815" s="233"/>
      <c r="AC815" s="233"/>
      <c r="AD815" s="233"/>
      <c r="AE815" s="233"/>
      <c r="AF815" s="233"/>
      <c r="AG815" s="233"/>
      <c r="AH815" s="233"/>
      <c r="AI815" s="233"/>
      <c r="AJ815" s="233"/>
      <c r="AK815" s="233"/>
      <c r="AL815" s="233"/>
    </row>
    <row r="816">
      <c r="B816" s="277"/>
      <c r="L816" s="67"/>
      <c r="M816" s="280" t="s">
        <v>2482</v>
      </c>
      <c r="N816" s="234"/>
      <c r="O816" s="281"/>
      <c r="P816" s="233"/>
      <c r="Q816" s="233"/>
      <c r="R816" s="234"/>
      <c r="S816" s="233"/>
      <c r="T816" s="233"/>
      <c r="U816" s="233"/>
      <c r="V816" s="233"/>
      <c r="W816" s="233"/>
      <c r="X816" s="233"/>
      <c r="Y816" s="233"/>
      <c r="Z816" s="233"/>
      <c r="AA816" s="233"/>
      <c r="AB816" s="233"/>
      <c r="AC816" s="233"/>
      <c r="AD816" s="233"/>
      <c r="AE816" s="233"/>
      <c r="AF816" s="233"/>
      <c r="AG816" s="233"/>
      <c r="AH816" s="233"/>
      <c r="AI816" s="233"/>
      <c r="AJ816" s="233"/>
      <c r="AK816" s="233"/>
      <c r="AL816" s="233"/>
    </row>
    <row r="817">
      <c r="B817" s="277"/>
      <c r="L817" s="67"/>
      <c r="M817" s="280" t="s">
        <v>2482</v>
      </c>
      <c r="N817" s="234"/>
      <c r="O817" s="281"/>
      <c r="P817" s="233"/>
      <c r="Q817" s="233"/>
      <c r="R817" s="234"/>
      <c r="S817" s="233"/>
      <c r="T817" s="233"/>
      <c r="U817" s="233"/>
      <c r="V817" s="233"/>
      <c r="W817" s="233"/>
      <c r="X817" s="233"/>
      <c r="Y817" s="233"/>
      <c r="Z817" s="233"/>
      <c r="AA817" s="233"/>
      <c r="AB817" s="233"/>
      <c r="AC817" s="233"/>
      <c r="AD817" s="233"/>
      <c r="AE817" s="233"/>
      <c r="AF817" s="233"/>
      <c r="AG817" s="233"/>
      <c r="AH817" s="233"/>
      <c r="AI817" s="233"/>
      <c r="AJ817" s="233"/>
      <c r="AK817" s="233"/>
      <c r="AL817" s="233"/>
    </row>
    <row r="818">
      <c r="B818" s="277"/>
      <c r="L818" s="67"/>
      <c r="M818" s="280" t="s">
        <v>2482</v>
      </c>
      <c r="N818" s="234"/>
      <c r="O818" s="281"/>
      <c r="P818" s="233"/>
      <c r="Q818" s="233"/>
      <c r="R818" s="234"/>
      <c r="S818" s="233"/>
      <c r="T818" s="233"/>
      <c r="U818" s="233"/>
      <c r="V818" s="233"/>
      <c r="W818" s="233"/>
      <c r="X818" s="233"/>
      <c r="Y818" s="233"/>
      <c r="Z818" s="233"/>
      <c r="AA818" s="233"/>
      <c r="AB818" s="233"/>
      <c r="AC818" s="233"/>
      <c r="AD818" s="233"/>
      <c r="AE818" s="233"/>
      <c r="AF818" s="233"/>
      <c r="AG818" s="233"/>
      <c r="AH818" s="233"/>
      <c r="AI818" s="233"/>
      <c r="AJ818" s="233"/>
      <c r="AK818" s="233"/>
      <c r="AL818" s="233"/>
    </row>
    <row r="819">
      <c r="B819" s="277"/>
      <c r="L819" s="67"/>
      <c r="M819" s="280" t="s">
        <v>2482</v>
      </c>
      <c r="N819" s="234"/>
      <c r="O819" s="281"/>
      <c r="P819" s="233"/>
      <c r="Q819" s="233"/>
      <c r="R819" s="234"/>
      <c r="S819" s="233"/>
      <c r="T819" s="233"/>
      <c r="U819" s="233"/>
      <c r="V819" s="233"/>
      <c r="W819" s="233"/>
      <c r="X819" s="233"/>
      <c r="Y819" s="233"/>
      <c r="Z819" s="233"/>
      <c r="AA819" s="233"/>
      <c r="AB819" s="233"/>
      <c r="AC819" s="233"/>
      <c r="AD819" s="233"/>
      <c r="AE819" s="233"/>
      <c r="AF819" s="233"/>
      <c r="AG819" s="233"/>
      <c r="AH819" s="233"/>
      <c r="AI819" s="233"/>
      <c r="AJ819" s="233"/>
      <c r="AK819" s="233"/>
      <c r="AL819" s="233"/>
    </row>
    <row r="820">
      <c r="B820" s="277"/>
      <c r="L820" s="67"/>
      <c r="M820" s="280" t="s">
        <v>2482</v>
      </c>
      <c r="N820" s="234"/>
      <c r="O820" s="281"/>
      <c r="P820" s="233"/>
      <c r="Q820" s="233"/>
      <c r="R820" s="234"/>
      <c r="S820" s="233"/>
      <c r="T820" s="233"/>
      <c r="U820" s="233"/>
      <c r="V820" s="233"/>
      <c r="W820" s="233"/>
      <c r="X820" s="233"/>
      <c r="Y820" s="233"/>
      <c r="Z820" s="233"/>
      <c r="AA820" s="233"/>
      <c r="AB820" s="233"/>
      <c r="AC820" s="233"/>
      <c r="AD820" s="233"/>
      <c r="AE820" s="233"/>
      <c r="AF820" s="233"/>
      <c r="AG820" s="233"/>
      <c r="AH820" s="233"/>
      <c r="AI820" s="233"/>
      <c r="AJ820" s="233"/>
      <c r="AK820" s="233"/>
      <c r="AL820" s="233"/>
    </row>
    <row r="821">
      <c r="B821" s="277"/>
      <c r="L821" s="67"/>
      <c r="M821" s="280" t="s">
        <v>2482</v>
      </c>
      <c r="N821" s="234"/>
      <c r="O821" s="281"/>
      <c r="P821" s="233"/>
      <c r="Q821" s="233"/>
      <c r="R821" s="234"/>
      <c r="S821" s="233"/>
      <c r="T821" s="233"/>
      <c r="U821" s="233"/>
      <c r="V821" s="233"/>
      <c r="W821" s="233"/>
      <c r="X821" s="233"/>
      <c r="Y821" s="233"/>
      <c r="Z821" s="233"/>
      <c r="AA821" s="233"/>
      <c r="AB821" s="233"/>
      <c r="AC821" s="233"/>
      <c r="AD821" s="233"/>
      <c r="AE821" s="233"/>
      <c r="AF821" s="233"/>
      <c r="AG821" s="233"/>
      <c r="AH821" s="233"/>
      <c r="AI821" s="233"/>
      <c r="AJ821" s="233"/>
      <c r="AK821" s="233"/>
      <c r="AL821" s="233"/>
    </row>
    <row r="822">
      <c r="B822" s="277"/>
      <c r="L822" s="67"/>
      <c r="M822" s="280" t="s">
        <v>2482</v>
      </c>
      <c r="N822" s="234"/>
      <c r="O822" s="281"/>
      <c r="P822" s="233"/>
      <c r="Q822" s="233"/>
      <c r="R822" s="234"/>
      <c r="S822" s="233"/>
      <c r="T822" s="233"/>
      <c r="U822" s="233"/>
      <c r="V822" s="233"/>
      <c r="W822" s="233"/>
      <c r="X822" s="233"/>
      <c r="Y822" s="233"/>
      <c r="Z822" s="233"/>
      <c r="AA822" s="233"/>
      <c r="AB822" s="233"/>
      <c r="AC822" s="233"/>
      <c r="AD822" s="233"/>
      <c r="AE822" s="233"/>
      <c r="AF822" s="233"/>
      <c r="AG822" s="233"/>
      <c r="AH822" s="233"/>
      <c r="AI822" s="233"/>
      <c r="AJ822" s="233"/>
      <c r="AK822" s="233"/>
      <c r="AL822" s="233"/>
    </row>
    <row r="823">
      <c r="B823" s="277"/>
      <c r="L823" s="67"/>
      <c r="M823" s="280" t="s">
        <v>2482</v>
      </c>
      <c r="N823" s="234"/>
      <c r="O823" s="281"/>
      <c r="P823" s="233"/>
      <c r="Q823" s="233"/>
      <c r="R823" s="234"/>
      <c r="S823" s="233"/>
      <c r="T823" s="233"/>
      <c r="U823" s="233"/>
      <c r="V823" s="233"/>
      <c r="W823" s="233"/>
      <c r="X823" s="233"/>
      <c r="Y823" s="233"/>
      <c r="Z823" s="233"/>
      <c r="AA823" s="233"/>
      <c r="AB823" s="233"/>
      <c r="AC823" s="233"/>
      <c r="AD823" s="233"/>
      <c r="AE823" s="233"/>
      <c r="AF823" s="233"/>
      <c r="AG823" s="233"/>
      <c r="AH823" s="233"/>
      <c r="AI823" s="233"/>
      <c r="AJ823" s="233"/>
      <c r="AK823" s="233"/>
      <c r="AL823" s="233"/>
    </row>
    <row r="824">
      <c r="B824" s="277"/>
      <c r="L824" s="67"/>
      <c r="M824" s="280" t="s">
        <v>2482</v>
      </c>
      <c r="N824" s="234"/>
      <c r="O824" s="281"/>
      <c r="P824" s="233"/>
      <c r="Q824" s="233"/>
      <c r="R824" s="234"/>
      <c r="S824" s="233"/>
      <c r="T824" s="233"/>
      <c r="U824" s="233"/>
      <c r="V824" s="233"/>
      <c r="W824" s="233"/>
      <c r="X824" s="233"/>
      <c r="Y824" s="233"/>
      <c r="Z824" s="233"/>
      <c r="AA824" s="233"/>
      <c r="AB824" s="233"/>
      <c r="AC824" s="233"/>
      <c r="AD824" s="233"/>
      <c r="AE824" s="233"/>
      <c r="AF824" s="233"/>
      <c r="AG824" s="233"/>
      <c r="AH824" s="233"/>
      <c r="AI824" s="233"/>
      <c r="AJ824" s="233"/>
      <c r="AK824" s="233"/>
      <c r="AL824" s="233"/>
    </row>
    <row r="825">
      <c r="B825" s="277"/>
      <c r="L825" s="67"/>
      <c r="M825" s="280" t="s">
        <v>2482</v>
      </c>
      <c r="N825" s="234"/>
      <c r="O825" s="281"/>
      <c r="P825" s="233"/>
      <c r="Q825" s="233"/>
      <c r="R825" s="234"/>
      <c r="S825" s="233"/>
      <c r="T825" s="233"/>
      <c r="U825" s="233"/>
      <c r="V825" s="233"/>
      <c r="W825" s="233"/>
      <c r="X825" s="233"/>
      <c r="Y825" s="233"/>
      <c r="Z825" s="233"/>
      <c r="AA825" s="233"/>
      <c r="AB825" s="233"/>
      <c r="AC825" s="233"/>
      <c r="AD825" s="233"/>
      <c r="AE825" s="233"/>
      <c r="AF825" s="233"/>
      <c r="AG825" s="233"/>
      <c r="AH825" s="233"/>
      <c r="AI825" s="233"/>
      <c r="AJ825" s="233"/>
      <c r="AK825" s="233"/>
      <c r="AL825" s="233"/>
    </row>
    <row r="826">
      <c r="B826" s="277"/>
      <c r="L826" s="67"/>
      <c r="M826" s="280" t="s">
        <v>2482</v>
      </c>
      <c r="N826" s="234"/>
      <c r="O826" s="281"/>
      <c r="P826" s="233"/>
      <c r="Q826" s="233"/>
      <c r="R826" s="234"/>
      <c r="S826" s="233"/>
      <c r="T826" s="233"/>
      <c r="U826" s="233"/>
      <c r="V826" s="233"/>
      <c r="W826" s="233"/>
      <c r="X826" s="233"/>
      <c r="Y826" s="233"/>
      <c r="Z826" s="233"/>
      <c r="AA826" s="233"/>
      <c r="AB826" s="233"/>
      <c r="AC826" s="233"/>
      <c r="AD826" s="233"/>
      <c r="AE826" s="233"/>
      <c r="AF826" s="233"/>
      <c r="AG826" s="233"/>
      <c r="AH826" s="233"/>
      <c r="AI826" s="233"/>
      <c r="AJ826" s="233"/>
      <c r="AK826" s="233"/>
      <c r="AL826" s="233"/>
    </row>
    <row r="827">
      <c r="B827" s="277"/>
      <c r="L827" s="67"/>
      <c r="M827" s="280" t="s">
        <v>2482</v>
      </c>
      <c r="N827" s="234"/>
      <c r="O827" s="281"/>
      <c r="P827" s="233"/>
      <c r="Q827" s="233"/>
      <c r="R827" s="234"/>
      <c r="S827" s="233"/>
      <c r="T827" s="233"/>
      <c r="U827" s="233"/>
      <c r="V827" s="233"/>
      <c r="W827" s="233"/>
      <c r="X827" s="233"/>
      <c r="Y827" s="233"/>
      <c r="Z827" s="233"/>
      <c r="AA827" s="233"/>
      <c r="AB827" s="233"/>
      <c r="AC827" s="233"/>
      <c r="AD827" s="233"/>
      <c r="AE827" s="233"/>
      <c r="AF827" s="233"/>
      <c r="AG827" s="233"/>
      <c r="AH827" s="233"/>
      <c r="AI827" s="233"/>
      <c r="AJ827" s="233"/>
      <c r="AK827" s="233"/>
      <c r="AL827" s="233"/>
    </row>
    <row r="828">
      <c r="B828" s="277"/>
      <c r="L828" s="67"/>
      <c r="M828" s="280" t="s">
        <v>2482</v>
      </c>
      <c r="N828" s="234"/>
      <c r="O828" s="281"/>
      <c r="P828" s="233"/>
      <c r="Q828" s="233"/>
      <c r="R828" s="234"/>
      <c r="S828" s="233"/>
      <c r="T828" s="233"/>
      <c r="U828" s="233"/>
      <c r="V828" s="233"/>
      <c r="W828" s="233"/>
      <c r="X828" s="233"/>
      <c r="Y828" s="233"/>
      <c r="Z828" s="233"/>
      <c r="AA828" s="233"/>
      <c r="AB828" s="233"/>
      <c r="AC828" s="233"/>
      <c r="AD828" s="233"/>
      <c r="AE828" s="233"/>
      <c r="AF828" s="233"/>
      <c r="AG828" s="233"/>
      <c r="AH828" s="233"/>
      <c r="AI828" s="233"/>
      <c r="AJ828" s="233"/>
      <c r="AK828" s="233"/>
      <c r="AL828" s="233"/>
    </row>
    <row r="829">
      <c r="B829" s="277"/>
      <c r="L829" s="67"/>
      <c r="M829" s="280" t="s">
        <v>2482</v>
      </c>
      <c r="N829" s="234"/>
      <c r="O829" s="281"/>
      <c r="P829" s="233"/>
      <c r="Q829" s="233"/>
      <c r="R829" s="234"/>
      <c r="S829" s="233"/>
      <c r="T829" s="233"/>
      <c r="U829" s="233"/>
      <c r="V829" s="233"/>
      <c r="W829" s="233"/>
      <c r="X829" s="233"/>
      <c r="Y829" s="233"/>
      <c r="Z829" s="233"/>
      <c r="AA829" s="233"/>
      <c r="AB829" s="233"/>
      <c r="AC829" s="233"/>
      <c r="AD829" s="233"/>
      <c r="AE829" s="233"/>
      <c r="AF829" s="233"/>
      <c r="AG829" s="233"/>
      <c r="AH829" s="233"/>
      <c r="AI829" s="233"/>
      <c r="AJ829" s="233"/>
      <c r="AK829" s="233"/>
      <c r="AL829" s="233"/>
    </row>
    <row r="830">
      <c r="B830" s="277"/>
      <c r="L830" s="67"/>
      <c r="M830" s="280" t="s">
        <v>2482</v>
      </c>
      <c r="N830" s="234"/>
      <c r="O830" s="281"/>
      <c r="P830" s="233"/>
      <c r="Q830" s="233"/>
      <c r="R830" s="234"/>
      <c r="S830" s="233"/>
      <c r="T830" s="233"/>
      <c r="U830" s="233"/>
      <c r="V830" s="233"/>
      <c r="W830" s="233"/>
      <c r="X830" s="233"/>
      <c r="Y830" s="233"/>
      <c r="Z830" s="233"/>
      <c r="AA830" s="233"/>
      <c r="AB830" s="233"/>
      <c r="AC830" s="233"/>
      <c r="AD830" s="233"/>
      <c r="AE830" s="233"/>
      <c r="AF830" s="233"/>
      <c r="AG830" s="233"/>
      <c r="AH830" s="233"/>
      <c r="AI830" s="233"/>
      <c r="AJ830" s="233"/>
      <c r="AK830" s="233"/>
      <c r="AL830" s="233"/>
    </row>
    <row r="831">
      <c r="B831" s="277"/>
      <c r="L831" s="67"/>
      <c r="M831" s="280" t="s">
        <v>2482</v>
      </c>
      <c r="N831" s="234"/>
      <c r="O831" s="281"/>
      <c r="P831" s="233"/>
      <c r="Q831" s="233"/>
      <c r="R831" s="234"/>
      <c r="S831" s="233"/>
      <c r="T831" s="233"/>
      <c r="U831" s="233"/>
      <c r="V831" s="233"/>
      <c r="W831" s="233"/>
      <c r="X831" s="233"/>
      <c r="Y831" s="233"/>
      <c r="Z831" s="233"/>
      <c r="AA831" s="233"/>
      <c r="AB831" s="233"/>
      <c r="AC831" s="233"/>
      <c r="AD831" s="233"/>
      <c r="AE831" s="233"/>
      <c r="AF831" s="233"/>
      <c r="AG831" s="233"/>
      <c r="AH831" s="233"/>
      <c r="AI831" s="233"/>
      <c r="AJ831" s="233"/>
      <c r="AK831" s="233"/>
      <c r="AL831" s="233"/>
    </row>
    <row r="832">
      <c r="B832" s="277"/>
      <c r="L832" s="67"/>
      <c r="M832" s="280" t="s">
        <v>2482</v>
      </c>
      <c r="N832" s="234"/>
      <c r="O832" s="281"/>
      <c r="P832" s="233"/>
      <c r="Q832" s="233"/>
      <c r="R832" s="234"/>
      <c r="S832" s="233"/>
      <c r="T832" s="233"/>
      <c r="U832" s="233"/>
      <c r="V832" s="233"/>
      <c r="W832" s="233"/>
      <c r="X832" s="233"/>
      <c r="Y832" s="233"/>
      <c r="Z832" s="233"/>
      <c r="AA832" s="233"/>
      <c r="AB832" s="233"/>
      <c r="AC832" s="233"/>
      <c r="AD832" s="233"/>
      <c r="AE832" s="233"/>
      <c r="AF832" s="233"/>
      <c r="AG832" s="233"/>
      <c r="AH832" s="233"/>
      <c r="AI832" s="233"/>
      <c r="AJ832" s="233"/>
      <c r="AK832" s="233"/>
      <c r="AL832" s="233"/>
    </row>
    <row r="833">
      <c r="B833" s="277"/>
      <c r="L833" s="67"/>
      <c r="M833" s="280" t="s">
        <v>2482</v>
      </c>
      <c r="N833" s="234"/>
      <c r="O833" s="281"/>
      <c r="P833" s="233"/>
      <c r="Q833" s="233"/>
      <c r="R833" s="234"/>
      <c r="S833" s="233"/>
      <c r="T833" s="233"/>
      <c r="U833" s="233"/>
      <c r="V833" s="233"/>
      <c r="W833" s="233"/>
      <c r="X833" s="233"/>
      <c r="Y833" s="233"/>
      <c r="Z833" s="233"/>
      <c r="AA833" s="233"/>
      <c r="AB833" s="233"/>
      <c r="AC833" s="233"/>
      <c r="AD833" s="233"/>
      <c r="AE833" s="233"/>
      <c r="AF833" s="233"/>
      <c r="AG833" s="233"/>
      <c r="AH833" s="233"/>
      <c r="AI833" s="233"/>
      <c r="AJ833" s="233"/>
      <c r="AK833" s="233"/>
      <c r="AL833" s="233"/>
    </row>
    <row r="834">
      <c r="B834" s="277"/>
      <c r="L834" s="67"/>
      <c r="M834" s="280" t="s">
        <v>2482</v>
      </c>
      <c r="N834" s="234"/>
      <c r="O834" s="281"/>
      <c r="P834" s="233"/>
      <c r="Q834" s="233"/>
      <c r="R834" s="234"/>
      <c r="S834" s="233"/>
      <c r="T834" s="233"/>
      <c r="U834" s="233"/>
      <c r="V834" s="233"/>
      <c r="W834" s="233"/>
      <c r="X834" s="233"/>
      <c r="Y834" s="233"/>
      <c r="Z834" s="233"/>
      <c r="AA834" s="233"/>
      <c r="AB834" s="233"/>
      <c r="AC834" s="233"/>
      <c r="AD834" s="233"/>
      <c r="AE834" s="233"/>
      <c r="AF834" s="233"/>
      <c r="AG834" s="233"/>
      <c r="AH834" s="233"/>
      <c r="AI834" s="233"/>
      <c r="AJ834" s="233"/>
      <c r="AK834" s="233"/>
      <c r="AL834" s="233"/>
    </row>
    <row r="835">
      <c r="B835" s="277"/>
      <c r="L835" s="67"/>
      <c r="M835" s="280" t="s">
        <v>2482</v>
      </c>
      <c r="N835" s="234"/>
      <c r="O835" s="281"/>
      <c r="P835" s="233"/>
      <c r="Q835" s="233"/>
      <c r="R835" s="234"/>
      <c r="S835" s="233"/>
      <c r="T835" s="233"/>
      <c r="U835" s="233"/>
      <c r="V835" s="233"/>
      <c r="W835" s="233"/>
      <c r="X835" s="233"/>
      <c r="Y835" s="233"/>
      <c r="Z835" s="233"/>
      <c r="AA835" s="233"/>
      <c r="AB835" s="233"/>
      <c r="AC835" s="233"/>
      <c r="AD835" s="233"/>
      <c r="AE835" s="233"/>
      <c r="AF835" s="233"/>
      <c r="AG835" s="233"/>
      <c r="AH835" s="233"/>
      <c r="AI835" s="233"/>
      <c r="AJ835" s="233"/>
      <c r="AK835" s="233"/>
      <c r="AL835" s="233"/>
    </row>
    <row r="836">
      <c r="B836" s="277"/>
      <c r="L836" s="67"/>
      <c r="M836" s="280" t="s">
        <v>2482</v>
      </c>
      <c r="N836" s="234"/>
      <c r="O836" s="281"/>
      <c r="P836" s="233"/>
      <c r="Q836" s="233"/>
      <c r="R836" s="234"/>
      <c r="S836" s="233"/>
      <c r="T836" s="233"/>
      <c r="U836" s="233"/>
      <c r="V836" s="233"/>
      <c r="W836" s="233"/>
      <c r="X836" s="233"/>
      <c r="Y836" s="233"/>
      <c r="Z836" s="233"/>
      <c r="AA836" s="233"/>
      <c r="AB836" s="233"/>
      <c r="AC836" s="233"/>
      <c r="AD836" s="233"/>
      <c r="AE836" s="233"/>
      <c r="AF836" s="233"/>
      <c r="AG836" s="233"/>
      <c r="AH836" s="233"/>
      <c r="AI836" s="233"/>
      <c r="AJ836" s="233"/>
      <c r="AK836" s="233"/>
      <c r="AL836" s="233"/>
    </row>
    <row r="837">
      <c r="B837" s="277"/>
      <c r="L837" s="67"/>
      <c r="M837" s="280" t="s">
        <v>2482</v>
      </c>
      <c r="N837" s="234"/>
      <c r="O837" s="281"/>
      <c r="P837" s="233"/>
      <c r="Q837" s="233"/>
      <c r="R837" s="234"/>
      <c r="S837" s="233"/>
      <c r="T837" s="233"/>
      <c r="U837" s="233"/>
      <c r="V837" s="233"/>
      <c r="W837" s="233"/>
      <c r="X837" s="233"/>
      <c r="Y837" s="233"/>
      <c r="Z837" s="233"/>
      <c r="AA837" s="233"/>
      <c r="AB837" s="233"/>
      <c r="AC837" s="233"/>
      <c r="AD837" s="233"/>
      <c r="AE837" s="233"/>
      <c r="AF837" s="233"/>
      <c r="AG837" s="233"/>
      <c r="AH837" s="233"/>
      <c r="AI837" s="233"/>
      <c r="AJ837" s="233"/>
      <c r="AK837" s="233"/>
      <c r="AL837" s="233"/>
    </row>
    <row r="838">
      <c r="B838" s="277"/>
      <c r="L838" s="67"/>
      <c r="M838" s="280" t="s">
        <v>2482</v>
      </c>
      <c r="N838" s="234"/>
      <c r="O838" s="281"/>
      <c r="P838" s="233"/>
      <c r="Q838" s="233"/>
      <c r="R838" s="234"/>
      <c r="S838" s="233"/>
      <c r="T838" s="233"/>
      <c r="U838" s="233"/>
      <c r="V838" s="233"/>
      <c r="W838" s="233"/>
      <c r="X838" s="233"/>
      <c r="Y838" s="233"/>
      <c r="Z838" s="233"/>
      <c r="AA838" s="233"/>
      <c r="AB838" s="233"/>
      <c r="AC838" s="233"/>
      <c r="AD838" s="233"/>
      <c r="AE838" s="233"/>
      <c r="AF838" s="233"/>
      <c r="AG838" s="233"/>
      <c r="AH838" s="233"/>
      <c r="AI838" s="233"/>
      <c r="AJ838" s="233"/>
      <c r="AK838" s="233"/>
      <c r="AL838" s="233"/>
    </row>
    <row r="839">
      <c r="B839" s="277"/>
      <c r="L839" s="67"/>
      <c r="M839" s="280" t="s">
        <v>2482</v>
      </c>
      <c r="N839" s="234"/>
      <c r="O839" s="281"/>
      <c r="P839" s="233"/>
      <c r="Q839" s="233"/>
      <c r="R839" s="234"/>
      <c r="S839" s="233"/>
      <c r="T839" s="233"/>
      <c r="U839" s="233"/>
      <c r="V839" s="233"/>
      <c r="W839" s="233"/>
      <c r="X839" s="233"/>
      <c r="Y839" s="233"/>
      <c r="Z839" s="233"/>
      <c r="AA839" s="233"/>
      <c r="AB839" s="233"/>
      <c r="AC839" s="233"/>
      <c r="AD839" s="233"/>
      <c r="AE839" s="233"/>
      <c r="AF839" s="233"/>
      <c r="AG839" s="233"/>
      <c r="AH839" s="233"/>
      <c r="AI839" s="233"/>
      <c r="AJ839" s="233"/>
      <c r="AK839" s="233"/>
      <c r="AL839" s="233"/>
    </row>
    <row r="840">
      <c r="B840" s="277"/>
      <c r="L840" s="67"/>
      <c r="M840" s="280" t="s">
        <v>2482</v>
      </c>
      <c r="N840" s="234"/>
      <c r="O840" s="281"/>
      <c r="P840" s="233"/>
      <c r="Q840" s="233"/>
      <c r="R840" s="234"/>
      <c r="S840" s="233"/>
      <c r="T840" s="233"/>
      <c r="U840" s="233"/>
      <c r="V840" s="233"/>
      <c r="W840" s="233"/>
      <c r="X840" s="233"/>
      <c r="Y840" s="233"/>
      <c r="Z840" s="233"/>
      <c r="AA840" s="233"/>
      <c r="AB840" s="233"/>
      <c r="AC840" s="233"/>
      <c r="AD840" s="233"/>
      <c r="AE840" s="233"/>
      <c r="AF840" s="233"/>
      <c r="AG840" s="233"/>
      <c r="AH840" s="233"/>
      <c r="AI840" s="233"/>
      <c r="AJ840" s="233"/>
      <c r="AK840" s="233"/>
      <c r="AL840" s="233"/>
    </row>
    <row r="841">
      <c r="B841" s="277"/>
      <c r="L841" s="67"/>
      <c r="M841" s="280" t="s">
        <v>2482</v>
      </c>
      <c r="N841" s="234"/>
      <c r="O841" s="281"/>
      <c r="P841" s="233"/>
      <c r="Q841" s="233"/>
      <c r="R841" s="234"/>
      <c r="S841" s="233"/>
      <c r="T841" s="233"/>
      <c r="U841" s="233"/>
      <c r="V841" s="233"/>
      <c r="W841" s="233"/>
      <c r="X841" s="233"/>
      <c r="Y841" s="233"/>
      <c r="Z841" s="233"/>
      <c r="AA841" s="233"/>
      <c r="AB841" s="233"/>
      <c r="AC841" s="233"/>
      <c r="AD841" s="233"/>
      <c r="AE841" s="233"/>
      <c r="AF841" s="233"/>
      <c r="AG841" s="233"/>
      <c r="AH841" s="233"/>
      <c r="AI841" s="233"/>
      <c r="AJ841" s="233"/>
      <c r="AK841" s="233"/>
      <c r="AL841" s="233"/>
    </row>
    <row r="842">
      <c r="B842" s="277"/>
      <c r="L842" s="67"/>
      <c r="M842" s="280" t="s">
        <v>2482</v>
      </c>
      <c r="N842" s="234"/>
      <c r="O842" s="281"/>
      <c r="P842" s="233"/>
      <c r="Q842" s="233"/>
      <c r="R842" s="234"/>
      <c r="S842" s="233"/>
      <c r="T842" s="233"/>
      <c r="U842" s="233"/>
      <c r="V842" s="233"/>
      <c r="W842" s="233"/>
      <c r="X842" s="233"/>
      <c r="Y842" s="233"/>
      <c r="Z842" s="233"/>
      <c r="AA842" s="233"/>
      <c r="AB842" s="233"/>
      <c r="AC842" s="233"/>
      <c r="AD842" s="233"/>
      <c r="AE842" s="233"/>
      <c r="AF842" s="233"/>
      <c r="AG842" s="233"/>
      <c r="AH842" s="233"/>
      <c r="AI842" s="233"/>
      <c r="AJ842" s="233"/>
      <c r="AK842" s="233"/>
      <c r="AL842" s="233"/>
    </row>
    <row r="843">
      <c r="B843" s="277"/>
      <c r="L843" s="67"/>
      <c r="M843" s="280" t="s">
        <v>2482</v>
      </c>
      <c r="N843" s="234"/>
      <c r="O843" s="281"/>
      <c r="P843" s="233"/>
      <c r="Q843" s="233"/>
      <c r="R843" s="234"/>
      <c r="S843" s="233"/>
      <c r="T843" s="233"/>
      <c r="U843" s="233"/>
      <c r="V843" s="233"/>
      <c r="W843" s="233"/>
      <c r="X843" s="233"/>
      <c r="Y843" s="233"/>
      <c r="Z843" s="233"/>
      <c r="AA843" s="233"/>
      <c r="AB843" s="233"/>
      <c r="AC843" s="233"/>
      <c r="AD843" s="233"/>
      <c r="AE843" s="233"/>
      <c r="AF843" s="233"/>
      <c r="AG843" s="233"/>
      <c r="AH843" s="233"/>
      <c r="AI843" s="233"/>
      <c r="AJ843" s="233"/>
      <c r="AK843" s="233"/>
      <c r="AL843" s="233"/>
    </row>
    <row r="844">
      <c r="B844" s="277"/>
      <c r="L844" s="67"/>
      <c r="M844" s="280" t="s">
        <v>2482</v>
      </c>
      <c r="N844" s="234"/>
      <c r="O844" s="281"/>
      <c r="P844" s="233"/>
      <c r="Q844" s="233"/>
      <c r="R844" s="234"/>
      <c r="S844" s="233"/>
      <c r="T844" s="233"/>
      <c r="U844" s="233"/>
      <c r="V844" s="233"/>
      <c r="W844" s="233"/>
      <c r="X844" s="233"/>
      <c r="Y844" s="233"/>
      <c r="Z844" s="233"/>
      <c r="AA844" s="233"/>
      <c r="AB844" s="233"/>
      <c r="AC844" s="233"/>
      <c r="AD844" s="233"/>
      <c r="AE844" s="233"/>
      <c r="AF844" s="233"/>
      <c r="AG844" s="233"/>
      <c r="AH844" s="233"/>
      <c r="AI844" s="233"/>
      <c r="AJ844" s="233"/>
      <c r="AK844" s="233"/>
      <c r="AL844" s="233"/>
    </row>
    <row r="845">
      <c r="B845" s="277"/>
      <c r="L845" s="67"/>
      <c r="M845" s="280" t="s">
        <v>2482</v>
      </c>
      <c r="N845" s="234"/>
      <c r="O845" s="281"/>
      <c r="P845" s="233"/>
      <c r="Q845" s="233"/>
      <c r="R845" s="234"/>
      <c r="S845" s="233"/>
      <c r="T845" s="233"/>
      <c r="U845" s="233"/>
      <c r="V845" s="233"/>
      <c r="W845" s="233"/>
      <c r="X845" s="233"/>
      <c r="Y845" s="233"/>
      <c r="Z845" s="233"/>
      <c r="AA845" s="233"/>
      <c r="AB845" s="233"/>
      <c r="AC845" s="233"/>
      <c r="AD845" s="233"/>
      <c r="AE845" s="233"/>
      <c r="AF845" s="233"/>
      <c r="AG845" s="233"/>
      <c r="AH845" s="233"/>
      <c r="AI845" s="233"/>
      <c r="AJ845" s="233"/>
      <c r="AK845" s="233"/>
      <c r="AL845" s="233"/>
    </row>
    <row r="846">
      <c r="B846" s="277"/>
      <c r="L846" s="67"/>
      <c r="M846" s="280" t="s">
        <v>2482</v>
      </c>
      <c r="N846" s="234"/>
      <c r="O846" s="281"/>
      <c r="P846" s="233"/>
      <c r="Q846" s="233"/>
      <c r="R846" s="234"/>
      <c r="S846" s="233"/>
      <c r="T846" s="233"/>
      <c r="U846" s="233"/>
      <c r="V846" s="233"/>
      <c r="W846" s="233"/>
      <c r="X846" s="233"/>
      <c r="Y846" s="233"/>
      <c r="Z846" s="233"/>
      <c r="AA846" s="233"/>
      <c r="AB846" s="233"/>
      <c r="AC846" s="233"/>
      <c r="AD846" s="233"/>
      <c r="AE846" s="233"/>
      <c r="AF846" s="233"/>
      <c r="AG846" s="233"/>
      <c r="AH846" s="233"/>
      <c r="AI846" s="233"/>
      <c r="AJ846" s="233"/>
      <c r="AK846" s="233"/>
      <c r="AL846" s="233"/>
    </row>
    <row r="847">
      <c r="B847" s="277"/>
      <c r="L847" s="67"/>
      <c r="M847" s="280" t="s">
        <v>2482</v>
      </c>
      <c r="N847" s="234"/>
      <c r="O847" s="281"/>
      <c r="P847" s="233"/>
      <c r="Q847" s="233"/>
      <c r="R847" s="234"/>
      <c r="S847" s="233"/>
      <c r="T847" s="233"/>
      <c r="U847" s="233"/>
      <c r="V847" s="233"/>
      <c r="W847" s="233"/>
      <c r="X847" s="233"/>
      <c r="Y847" s="233"/>
      <c r="Z847" s="233"/>
      <c r="AA847" s="233"/>
      <c r="AB847" s="233"/>
      <c r="AC847" s="233"/>
      <c r="AD847" s="233"/>
      <c r="AE847" s="233"/>
      <c r="AF847" s="233"/>
      <c r="AG847" s="233"/>
      <c r="AH847" s="233"/>
      <c r="AI847" s="233"/>
      <c r="AJ847" s="233"/>
      <c r="AK847" s="233"/>
      <c r="AL847" s="233"/>
    </row>
    <row r="848">
      <c r="B848" s="277"/>
      <c r="L848" s="67"/>
      <c r="M848" s="280" t="s">
        <v>2482</v>
      </c>
      <c r="N848" s="234"/>
      <c r="O848" s="281"/>
      <c r="P848" s="233"/>
      <c r="Q848" s="233"/>
      <c r="R848" s="234"/>
      <c r="S848" s="233"/>
      <c r="T848" s="233"/>
      <c r="U848" s="233"/>
      <c r="V848" s="233"/>
      <c r="W848" s="233"/>
      <c r="X848" s="233"/>
      <c r="Y848" s="233"/>
      <c r="Z848" s="233"/>
      <c r="AA848" s="233"/>
      <c r="AB848" s="233"/>
      <c r="AC848" s="233"/>
      <c r="AD848" s="233"/>
      <c r="AE848" s="233"/>
      <c r="AF848" s="233"/>
      <c r="AG848" s="233"/>
      <c r="AH848" s="233"/>
      <c r="AI848" s="233"/>
      <c r="AJ848" s="233"/>
      <c r="AK848" s="233"/>
      <c r="AL848" s="233"/>
    </row>
    <row r="849">
      <c r="B849" s="277"/>
      <c r="L849" s="67"/>
      <c r="M849" s="280" t="s">
        <v>2482</v>
      </c>
      <c r="N849" s="234"/>
      <c r="O849" s="281"/>
      <c r="P849" s="233"/>
      <c r="Q849" s="233"/>
      <c r="R849" s="234"/>
      <c r="S849" s="233"/>
      <c r="T849" s="233"/>
      <c r="U849" s="233"/>
      <c r="V849" s="233"/>
      <c r="W849" s="233"/>
      <c r="X849" s="233"/>
      <c r="Y849" s="233"/>
      <c r="Z849" s="233"/>
      <c r="AA849" s="233"/>
      <c r="AB849" s="233"/>
      <c r="AC849" s="233"/>
      <c r="AD849" s="233"/>
      <c r="AE849" s="233"/>
      <c r="AF849" s="233"/>
      <c r="AG849" s="233"/>
      <c r="AH849" s="233"/>
      <c r="AI849" s="233"/>
      <c r="AJ849" s="233"/>
      <c r="AK849" s="233"/>
      <c r="AL849" s="233"/>
    </row>
    <row r="850">
      <c r="B850" s="277"/>
      <c r="L850" s="67"/>
      <c r="M850" s="280" t="s">
        <v>2482</v>
      </c>
      <c r="N850" s="234"/>
      <c r="O850" s="281"/>
      <c r="P850" s="233"/>
      <c r="Q850" s="233"/>
      <c r="R850" s="234"/>
      <c r="S850" s="233"/>
      <c r="T850" s="233"/>
      <c r="U850" s="233"/>
      <c r="V850" s="233"/>
      <c r="W850" s="233"/>
      <c r="X850" s="233"/>
      <c r="Y850" s="233"/>
      <c r="Z850" s="233"/>
      <c r="AA850" s="233"/>
      <c r="AB850" s="233"/>
      <c r="AC850" s="233"/>
      <c r="AD850" s="233"/>
      <c r="AE850" s="233"/>
      <c r="AF850" s="233"/>
      <c r="AG850" s="233"/>
      <c r="AH850" s="233"/>
      <c r="AI850" s="233"/>
      <c r="AJ850" s="233"/>
      <c r="AK850" s="233"/>
      <c r="AL850" s="233"/>
    </row>
    <row r="851">
      <c r="B851" s="277"/>
      <c r="L851" s="67"/>
      <c r="M851" s="280" t="s">
        <v>2482</v>
      </c>
      <c r="N851" s="234"/>
      <c r="O851" s="281"/>
      <c r="P851" s="233"/>
      <c r="Q851" s="233"/>
      <c r="R851" s="234"/>
      <c r="S851" s="233"/>
      <c r="T851" s="233"/>
      <c r="U851" s="233"/>
      <c r="V851" s="233"/>
      <c r="W851" s="233"/>
      <c r="X851" s="233"/>
      <c r="Y851" s="233"/>
      <c r="Z851" s="233"/>
      <c r="AA851" s="233"/>
      <c r="AB851" s="233"/>
      <c r="AC851" s="233"/>
      <c r="AD851" s="233"/>
      <c r="AE851" s="233"/>
      <c r="AF851" s="233"/>
      <c r="AG851" s="233"/>
      <c r="AH851" s="233"/>
      <c r="AI851" s="233"/>
      <c r="AJ851" s="233"/>
      <c r="AK851" s="233"/>
      <c r="AL851" s="233"/>
    </row>
    <row r="852">
      <c r="B852" s="277"/>
      <c r="L852" s="67"/>
      <c r="M852" s="280" t="s">
        <v>2482</v>
      </c>
      <c r="N852" s="234"/>
      <c r="O852" s="281"/>
      <c r="P852" s="233"/>
      <c r="Q852" s="233"/>
      <c r="R852" s="234"/>
      <c r="S852" s="233"/>
      <c r="T852" s="233"/>
      <c r="U852" s="233"/>
      <c r="V852" s="233"/>
      <c r="W852" s="233"/>
      <c r="X852" s="233"/>
      <c r="Y852" s="233"/>
      <c r="Z852" s="233"/>
      <c r="AA852" s="233"/>
      <c r="AB852" s="233"/>
      <c r="AC852" s="233"/>
      <c r="AD852" s="233"/>
      <c r="AE852" s="233"/>
      <c r="AF852" s="233"/>
      <c r="AG852" s="233"/>
      <c r="AH852" s="233"/>
      <c r="AI852" s="233"/>
      <c r="AJ852" s="233"/>
      <c r="AK852" s="233"/>
      <c r="AL852" s="233"/>
    </row>
    <row r="853">
      <c r="B853" s="277"/>
      <c r="L853" s="67"/>
      <c r="M853" s="280" t="s">
        <v>2482</v>
      </c>
      <c r="N853" s="234"/>
      <c r="O853" s="281"/>
      <c r="P853" s="233"/>
      <c r="Q853" s="233"/>
      <c r="R853" s="234"/>
      <c r="S853" s="233"/>
      <c r="T853" s="233"/>
      <c r="U853" s="233"/>
      <c r="V853" s="233"/>
      <c r="W853" s="233"/>
      <c r="X853" s="233"/>
      <c r="Y853" s="233"/>
      <c r="Z853" s="233"/>
      <c r="AA853" s="233"/>
      <c r="AB853" s="233"/>
      <c r="AC853" s="233"/>
      <c r="AD853" s="233"/>
      <c r="AE853" s="233"/>
      <c r="AF853" s="233"/>
      <c r="AG853" s="233"/>
      <c r="AH853" s="233"/>
      <c r="AI853" s="233"/>
      <c r="AJ853" s="233"/>
      <c r="AK853" s="233"/>
      <c r="AL853" s="233"/>
    </row>
    <row r="854">
      <c r="B854" s="277"/>
      <c r="L854" s="67"/>
      <c r="M854" s="280" t="s">
        <v>2482</v>
      </c>
      <c r="N854" s="234"/>
      <c r="O854" s="281"/>
      <c r="P854" s="233"/>
      <c r="Q854" s="233"/>
      <c r="R854" s="234"/>
      <c r="S854" s="233"/>
      <c r="T854" s="233"/>
      <c r="U854" s="233"/>
      <c r="V854" s="233"/>
      <c r="W854" s="233"/>
      <c r="X854" s="233"/>
      <c r="Y854" s="233"/>
      <c r="Z854" s="233"/>
      <c r="AA854" s="233"/>
      <c r="AB854" s="233"/>
      <c r="AC854" s="233"/>
      <c r="AD854" s="233"/>
      <c r="AE854" s="233"/>
      <c r="AF854" s="233"/>
      <c r="AG854" s="233"/>
      <c r="AH854" s="233"/>
      <c r="AI854" s="233"/>
      <c r="AJ854" s="233"/>
      <c r="AK854" s="233"/>
      <c r="AL854" s="233"/>
    </row>
    <row r="855">
      <c r="B855" s="277"/>
      <c r="L855" s="67"/>
      <c r="M855" s="280" t="s">
        <v>2482</v>
      </c>
      <c r="N855" s="234"/>
      <c r="O855" s="281"/>
      <c r="P855" s="233"/>
      <c r="Q855" s="233"/>
      <c r="R855" s="234"/>
      <c r="S855" s="233"/>
      <c r="T855" s="233"/>
      <c r="U855" s="233"/>
      <c r="V855" s="233"/>
      <c r="W855" s="233"/>
      <c r="X855" s="233"/>
      <c r="Y855" s="233"/>
      <c r="Z855" s="233"/>
      <c r="AA855" s="233"/>
      <c r="AB855" s="233"/>
      <c r="AC855" s="233"/>
      <c r="AD855" s="233"/>
      <c r="AE855" s="233"/>
      <c r="AF855" s="233"/>
      <c r="AG855" s="233"/>
      <c r="AH855" s="233"/>
      <c r="AI855" s="233"/>
      <c r="AJ855" s="233"/>
      <c r="AK855" s="233"/>
      <c r="AL855" s="233"/>
    </row>
    <row r="856">
      <c r="B856" s="277"/>
      <c r="L856" s="67"/>
      <c r="M856" s="280" t="s">
        <v>2482</v>
      </c>
      <c r="N856" s="234"/>
      <c r="O856" s="281"/>
      <c r="P856" s="233"/>
      <c r="Q856" s="233"/>
      <c r="R856" s="234"/>
      <c r="S856" s="233"/>
      <c r="T856" s="233"/>
      <c r="U856" s="233"/>
      <c r="V856" s="233"/>
      <c r="W856" s="233"/>
      <c r="X856" s="233"/>
      <c r="Y856" s="233"/>
      <c r="Z856" s="233"/>
      <c r="AA856" s="233"/>
      <c r="AB856" s="233"/>
      <c r="AC856" s="233"/>
      <c r="AD856" s="233"/>
      <c r="AE856" s="233"/>
      <c r="AF856" s="233"/>
      <c r="AG856" s="233"/>
      <c r="AH856" s="233"/>
      <c r="AI856" s="233"/>
      <c r="AJ856" s="233"/>
      <c r="AK856" s="233"/>
      <c r="AL856" s="233"/>
    </row>
    <row r="857">
      <c r="B857" s="277"/>
      <c r="L857" s="67"/>
      <c r="M857" s="280" t="s">
        <v>2482</v>
      </c>
      <c r="N857" s="234"/>
      <c r="O857" s="281"/>
      <c r="P857" s="233"/>
      <c r="Q857" s="233"/>
      <c r="R857" s="234"/>
      <c r="S857" s="233"/>
      <c r="T857" s="233"/>
      <c r="U857" s="233"/>
      <c r="V857" s="233"/>
      <c r="W857" s="233"/>
      <c r="X857" s="233"/>
      <c r="Y857" s="233"/>
      <c r="Z857" s="233"/>
      <c r="AA857" s="233"/>
      <c r="AB857" s="233"/>
      <c r="AC857" s="233"/>
      <c r="AD857" s="233"/>
      <c r="AE857" s="233"/>
      <c r="AF857" s="233"/>
      <c r="AG857" s="233"/>
      <c r="AH857" s="233"/>
      <c r="AI857" s="233"/>
      <c r="AJ857" s="233"/>
      <c r="AK857" s="233"/>
      <c r="AL857" s="233"/>
    </row>
    <row r="858">
      <c r="B858" s="277"/>
      <c r="L858" s="67"/>
      <c r="M858" s="280" t="s">
        <v>2482</v>
      </c>
      <c r="N858" s="234"/>
      <c r="O858" s="281"/>
      <c r="P858" s="233"/>
      <c r="Q858" s="233"/>
      <c r="R858" s="234"/>
      <c r="S858" s="233"/>
      <c r="T858" s="233"/>
      <c r="U858" s="233"/>
      <c r="V858" s="233"/>
      <c r="W858" s="233"/>
      <c r="X858" s="233"/>
      <c r="Y858" s="233"/>
      <c r="Z858" s="233"/>
      <c r="AA858" s="233"/>
      <c r="AB858" s="233"/>
      <c r="AC858" s="233"/>
      <c r="AD858" s="233"/>
      <c r="AE858" s="233"/>
      <c r="AF858" s="233"/>
      <c r="AG858" s="233"/>
      <c r="AH858" s="233"/>
      <c r="AI858" s="233"/>
      <c r="AJ858" s="233"/>
      <c r="AK858" s="233"/>
      <c r="AL858" s="233"/>
    </row>
    <row r="859">
      <c r="B859" s="277"/>
      <c r="L859" s="67"/>
      <c r="M859" s="280" t="s">
        <v>2482</v>
      </c>
      <c r="N859" s="234"/>
      <c r="O859" s="281"/>
      <c r="P859" s="233"/>
      <c r="Q859" s="233"/>
      <c r="R859" s="234"/>
      <c r="S859" s="233"/>
      <c r="T859" s="233"/>
      <c r="U859" s="233"/>
      <c r="V859" s="233"/>
      <c r="W859" s="233"/>
      <c r="X859" s="233"/>
      <c r="Y859" s="233"/>
      <c r="Z859" s="233"/>
      <c r="AA859" s="233"/>
      <c r="AB859" s="233"/>
      <c r="AC859" s="233"/>
      <c r="AD859" s="233"/>
      <c r="AE859" s="233"/>
      <c r="AF859" s="233"/>
      <c r="AG859" s="233"/>
      <c r="AH859" s="233"/>
      <c r="AI859" s="233"/>
      <c r="AJ859" s="233"/>
      <c r="AK859" s="233"/>
      <c r="AL859" s="233"/>
    </row>
    <row r="860">
      <c r="B860" s="277"/>
      <c r="L860" s="67"/>
      <c r="M860" s="280" t="s">
        <v>2482</v>
      </c>
      <c r="N860" s="234"/>
      <c r="O860" s="281"/>
      <c r="P860" s="233"/>
      <c r="Q860" s="233"/>
      <c r="R860" s="234"/>
      <c r="S860" s="233"/>
      <c r="T860" s="233"/>
      <c r="U860" s="233"/>
      <c r="V860" s="233"/>
      <c r="W860" s="233"/>
      <c r="X860" s="233"/>
      <c r="Y860" s="233"/>
      <c r="Z860" s="233"/>
      <c r="AA860" s="233"/>
      <c r="AB860" s="233"/>
      <c r="AC860" s="233"/>
      <c r="AD860" s="233"/>
      <c r="AE860" s="233"/>
      <c r="AF860" s="233"/>
      <c r="AG860" s="233"/>
      <c r="AH860" s="233"/>
      <c r="AI860" s="233"/>
      <c r="AJ860" s="233"/>
      <c r="AK860" s="233"/>
      <c r="AL860" s="233"/>
    </row>
    <row r="861">
      <c r="B861" s="277"/>
      <c r="L861" s="67"/>
      <c r="M861" s="280" t="s">
        <v>2482</v>
      </c>
      <c r="N861" s="234"/>
      <c r="O861" s="281"/>
      <c r="P861" s="233"/>
      <c r="Q861" s="233"/>
      <c r="R861" s="234"/>
      <c r="S861" s="233"/>
      <c r="T861" s="233"/>
      <c r="U861" s="233"/>
      <c r="V861" s="233"/>
      <c r="W861" s="233"/>
      <c r="X861" s="233"/>
      <c r="Y861" s="233"/>
      <c r="Z861" s="233"/>
      <c r="AA861" s="233"/>
      <c r="AB861" s="233"/>
      <c r="AC861" s="233"/>
      <c r="AD861" s="233"/>
      <c r="AE861" s="233"/>
      <c r="AF861" s="233"/>
      <c r="AG861" s="233"/>
      <c r="AH861" s="233"/>
      <c r="AI861" s="233"/>
      <c r="AJ861" s="233"/>
      <c r="AK861" s="233"/>
      <c r="AL861" s="233"/>
    </row>
    <row r="862">
      <c r="B862" s="277"/>
      <c r="L862" s="67"/>
      <c r="M862" s="280" t="s">
        <v>2482</v>
      </c>
      <c r="N862" s="234"/>
      <c r="O862" s="281"/>
      <c r="P862" s="233"/>
      <c r="Q862" s="233"/>
      <c r="R862" s="234"/>
      <c r="S862" s="233"/>
      <c r="T862" s="233"/>
      <c r="U862" s="233"/>
      <c r="V862" s="233"/>
      <c r="W862" s="233"/>
      <c r="X862" s="233"/>
      <c r="Y862" s="233"/>
      <c r="Z862" s="233"/>
      <c r="AA862" s="233"/>
      <c r="AB862" s="233"/>
      <c r="AC862" s="233"/>
      <c r="AD862" s="233"/>
      <c r="AE862" s="233"/>
      <c r="AF862" s="233"/>
      <c r="AG862" s="233"/>
      <c r="AH862" s="233"/>
      <c r="AI862" s="233"/>
      <c r="AJ862" s="233"/>
      <c r="AK862" s="233"/>
      <c r="AL862" s="233"/>
    </row>
    <row r="863">
      <c r="B863" s="277"/>
      <c r="L863" s="67"/>
      <c r="M863" s="280" t="s">
        <v>2482</v>
      </c>
      <c r="N863" s="234"/>
      <c r="O863" s="281"/>
      <c r="P863" s="233"/>
      <c r="Q863" s="233"/>
      <c r="R863" s="234"/>
      <c r="S863" s="233"/>
      <c r="T863" s="233"/>
      <c r="U863" s="233"/>
      <c r="V863" s="233"/>
      <c r="W863" s="233"/>
      <c r="X863" s="233"/>
      <c r="Y863" s="233"/>
      <c r="Z863" s="233"/>
      <c r="AA863" s="233"/>
      <c r="AB863" s="233"/>
      <c r="AC863" s="233"/>
      <c r="AD863" s="233"/>
      <c r="AE863" s="233"/>
      <c r="AF863" s="233"/>
      <c r="AG863" s="233"/>
      <c r="AH863" s="233"/>
      <c r="AI863" s="233"/>
      <c r="AJ863" s="233"/>
      <c r="AK863" s="233"/>
      <c r="AL863" s="233"/>
    </row>
    <row r="864">
      <c r="B864" s="277"/>
      <c r="L864" s="67"/>
      <c r="M864" s="280" t="s">
        <v>2482</v>
      </c>
      <c r="N864" s="234"/>
      <c r="O864" s="281"/>
      <c r="P864" s="233"/>
      <c r="Q864" s="233"/>
      <c r="R864" s="234"/>
      <c r="S864" s="233"/>
      <c r="T864" s="233"/>
      <c r="U864" s="233"/>
      <c r="V864" s="233"/>
      <c r="W864" s="233"/>
      <c r="X864" s="233"/>
      <c r="Y864" s="233"/>
      <c r="Z864" s="233"/>
      <c r="AA864" s="233"/>
      <c r="AB864" s="233"/>
      <c r="AC864" s="233"/>
      <c r="AD864" s="233"/>
      <c r="AE864" s="233"/>
      <c r="AF864" s="233"/>
      <c r="AG864" s="233"/>
      <c r="AH864" s="233"/>
      <c r="AI864" s="233"/>
      <c r="AJ864" s="233"/>
      <c r="AK864" s="233"/>
      <c r="AL864" s="233"/>
    </row>
    <row r="865">
      <c r="B865" s="277"/>
      <c r="L865" s="67"/>
      <c r="M865" s="280" t="s">
        <v>2482</v>
      </c>
      <c r="N865" s="234"/>
      <c r="O865" s="281"/>
      <c r="P865" s="233"/>
      <c r="Q865" s="233"/>
      <c r="R865" s="234"/>
      <c r="S865" s="233"/>
      <c r="T865" s="233"/>
      <c r="U865" s="233"/>
      <c r="V865" s="233"/>
      <c r="W865" s="233"/>
      <c r="X865" s="233"/>
      <c r="Y865" s="233"/>
      <c r="Z865" s="233"/>
      <c r="AA865" s="233"/>
      <c r="AB865" s="233"/>
      <c r="AC865" s="233"/>
      <c r="AD865" s="233"/>
      <c r="AE865" s="233"/>
      <c r="AF865" s="233"/>
      <c r="AG865" s="233"/>
      <c r="AH865" s="233"/>
      <c r="AI865" s="233"/>
      <c r="AJ865" s="233"/>
      <c r="AK865" s="233"/>
      <c r="AL865" s="233"/>
    </row>
    <row r="866">
      <c r="B866" s="277"/>
      <c r="L866" s="67"/>
      <c r="M866" s="280" t="s">
        <v>2482</v>
      </c>
      <c r="N866" s="234"/>
      <c r="O866" s="281"/>
      <c r="P866" s="233"/>
      <c r="Q866" s="233"/>
      <c r="R866" s="234"/>
      <c r="S866" s="233"/>
      <c r="T866" s="233"/>
      <c r="U866" s="233"/>
      <c r="V866" s="233"/>
      <c r="W866" s="233"/>
      <c r="X866" s="233"/>
      <c r="Y866" s="233"/>
      <c r="Z866" s="233"/>
      <c r="AA866" s="233"/>
      <c r="AB866" s="233"/>
      <c r="AC866" s="233"/>
      <c r="AD866" s="233"/>
      <c r="AE866" s="233"/>
      <c r="AF866" s="233"/>
      <c r="AG866" s="233"/>
      <c r="AH866" s="233"/>
      <c r="AI866" s="233"/>
      <c r="AJ866" s="233"/>
      <c r="AK866" s="233"/>
      <c r="AL866" s="233"/>
    </row>
    <row r="867">
      <c r="B867" s="277"/>
      <c r="L867" s="67"/>
      <c r="M867" s="280" t="s">
        <v>2482</v>
      </c>
      <c r="N867" s="234"/>
      <c r="O867" s="281"/>
      <c r="P867" s="233"/>
      <c r="Q867" s="233"/>
      <c r="R867" s="234"/>
      <c r="S867" s="233"/>
      <c r="T867" s="233"/>
      <c r="U867" s="233"/>
      <c r="V867" s="233"/>
      <c r="W867" s="233"/>
      <c r="X867" s="233"/>
      <c r="Y867" s="233"/>
      <c r="Z867" s="233"/>
      <c r="AA867" s="233"/>
      <c r="AB867" s="233"/>
      <c r="AC867" s="233"/>
      <c r="AD867" s="233"/>
      <c r="AE867" s="233"/>
      <c r="AF867" s="233"/>
      <c r="AG867" s="233"/>
      <c r="AH867" s="233"/>
      <c r="AI867" s="233"/>
      <c r="AJ867" s="233"/>
      <c r="AK867" s="233"/>
      <c r="AL867" s="233"/>
    </row>
    <row r="868">
      <c r="B868" s="277"/>
      <c r="L868" s="67"/>
      <c r="M868" s="280" t="s">
        <v>2482</v>
      </c>
      <c r="N868" s="234"/>
      <c r="O868" s="281"/>
      <c r="P868" s="233"/>
      <c r="Q868" s="233"/>
      <c r="R868" s="234"/>
      <c r="S868" s="233"/>
      <c r="T868" s="233"/>
      <c r="U868" s="233"/>
      <c r="V868" s="233"/>
      <c r="W868" s="233"/>
      <c r="X868" s="233"/>
      <c r="Y868" s="233"/>
      <c r="Z868" s="233"/>
      <c r="AA868" s="233"/>
      <c r="AB868" s="233"/>
      <c r="AC868" s="233"/>
      <c r="AD868" s="233"/>
      <c r="AE868" s="233"/>
      <c r="AF868" s="233"/>
      <c r="AG868" s="233"/>
      <c r="AH868" s="233"/>
      <c r="AI868" s="233"/>
      <c r="AJ868" s="233"/>
      <c r="AK868" s="233"/>
      <c r="AL868" s="233"/>
    </row>
    <row r="869">
      <c r="B869" s="277"/>
      <c r="L869" s="67"/>
      <c r="M869" s="280" t="s">
        <v>2482</v>
      </c>
      <c r="N869" s="234"/>
      <c r="O869" s="281"/>
      <c r="P869" s="233"/>
      <c r="Q869" s="233"/>
      <c r="R869" s="234"/>
      <c r="S869" s="233"/>
      <c r="T869" s="233"/>
      <c r="U869" s="233"/>
      <c r="V869" s="233"/>
      <c r="W869" s="233"/>
      <c r="X869" s="233"/>
      <c r="Y869" s="233"/>
      <c r="Z869" s="233"/>
      <c r="AA869" s="233"/>
      <c r="AB869" s="233"/>
      <c r="AC869" s="233"/>
      <c r="AD869" s="233"/>
      <c r="AE869" s="233"/>
      <c r="AF869" s="233"/>
      <c r="AG869" s="233"/>
      <c r="AH869" s="233"/>
      <c r="AI869" s="233"/>
      <c r="AJ869" s="233"/>
      <c r="AK869" s="233"/>
      <c r="AL869" s="233"/>
    </row>
    <row r="870">
      <c r="B870" s="277"/>
      <c r="L870" s="67"/>
      <c r="M870" s="280" t="s">
        <v>2482</v>
      </c>
      <c r="N870" s="234"/>
      <c r="O870" s="281"/>
      <c r="P870" s="233"/>
      <c r="Q870" s="233"/>
      <c r="R870" s="234"/>
      <c r="S870" s="233"/>
      <c r="T870" s="233"/>
      <c r="U870" s="233"/>
      <c r="V870" s="233"/>
      <c r="W870" s="233"/>
      <c r="X870" s="233"/>
      <c r="Y870" s="233"/>
      <c r="Z870" s="233"/>
      <c r="AA870" s="233"/>
      <c r="AB870" s="233"/>
      <c r="AC870" s="233"/>
      <c r="AD870" s="233"/>
      <c r="AE870" s="233"/>
      <c r="AF870" s="233"/>
      <c r="AG870" s="233"/>
      <c r="AH870" s="233"/>
      <c r="AI870" s="233"/>
      <c r="AJ870" s="233"/>
      <c r="AK870" s="233"/>
      <c r="AL870" s="233"/>
    </row>
    <row r="871">
      <c r="B871" s="277"/>
      <c r="L871" s="67"/>
      <c r="M871" s="280" t="s">
        <v>2482</v>
      </c>
      <c r="N871" s="234"/>
      <c r="O871" s="281"/>
      <c r="P871" s="233"/>
      <c r="Q871" s="233"/>
      <c r="R871" s="234"/>
      <c r="S871" s="233"/>
      <c r="T871" s="233"/>
      <c r="U871" s="233"/>
      <c r="V871" s="233"/>
      <c r="W871" s="233"/>
      <c r="X871" s="233"/>
      <c r="Y871" s="233"/>
      <c r="Z871" s="233"/>
      <c r="AA871" s="233"/>
      <c r="AB871" s="233"/>
      <c r="AC871" s="233"/>
      <c r="AD871" s="233"/>
      <c r="AE871" s="233"/>
      <c r="AF871" s="233"/>
      <c r="AG871" s="233"/>
      <c r="AH871" s="233"/>
      <c r="AI871" s="233"/>
      <c r="AJ871" s="233"/>
      <c r="AK871" s="233"/>
      <c r="AL871" s="233"/>
    </row>
    <row r="872">
      <c r="B872" s="277"/>
      <c r="L872" s="67"/>
      <c r="M872" s="280" t="s">
        <v>2482</v>
      </c>
      <c r="N872" s="234"/>
      <c r="O872" s="281"/>
      <c r="P872" s="233"/>
      <c r="Q872" s="233"/>
      <c r="R872" s="234"/>
      <c r="S872" s="233"/>
      <c r="T872" s="233"/>
      <c r="U872" s="233"/>
      <c r="V872" s="233"/>
      <c r="W872" s="233"/>
      <c r="X872" s="233"/>
      <c r="Y872" s="233"/>
      <c r="Z872" s="233"/>
      <c r="AA872" s="233"/>
      <c r="AB872" s="233"/>
      <c r="AC872" s="233"/>
      <c r="AD872" s="233"/>
      <c r="AE872" s="233"/>
      <c r="AF872" s="233"/>
      <c r="AG872" s="233"/>
      <c r="AH872" s="233"/>
      <c r="AI872" s="233"/>
      <c r="AJ872" s="233"/>
      <c r="AK872" s="233"/>
      <c r="AL872" s="233"/>
    </row>
    <row r="873">
      <c r="B873" s="277"/>
      <c r="L873" s="67"/>
      <c r="M873" s="280" t="s">
        <v>2482</v>
      </c>
      <c r="N873" s="234"/>
      <c r="O873" s="281"/>
      <c r="P873" s="233"/>
      <c r="Q873" s="233"/>
      <c r="R873" s="234"/>
      <c r="S873" s="233"/>
      <c r="T873" s="233"/>
      <c r="U873" s="233"/>
      <c r="V873" s="233"/>
      <c r="W873" s="233"/>
      <c r="X873" s="233"/>
      <c r="Y873" s="233"/>
      <c r="Z873" s="233"/>
      <c r="AA873" s="233"/>
      <c r="AB873" s="233"/>
      <c r="AC873" s="233"/>
      <c r="AD873" s="233"/>
      <c r="AE873" s="233"/>
      <c r="AF873" s="233"/>
      <c r="AG873" s="233"/>
      <c r="AH873" s="233"/>
      <c r="AI873" s="233"/>
      <c r="AJ873" s="233"/>
      <c r="AK873" s="233"/>
      <c r="AL873" s="233"/>
    </row>
    <row r="874">
      <c r="B874" s="277"/>
      <c r="L874" s="67"/>
      <c r="M874" s="280" t="s">
        <v>2482</v>
      </c>
      <c r="N874" s="234"/>
      <c r="O874" s="281"/>
      <c r="P874" s="233"/>
      <c r="Q874" s="233"/>
      <c r="R874" s="234"/>
      <c r="S874" s="233"/>
      <c r="T874" s="233"/>
      <c r="U874" s="233"/>
      <c r="V874" s="233"/>
      <c r="W874" s="233"/>
      <c r="X874" s="233"/>
      <c r="Y874" s="233"/>
      <c r="Z874" s="233"/>
      <c r="AA874" s="233"/>
      <c r="AB874" s="233"/>
      <c r="AC874" s="233"/>
      <c r="AD874" s="233"/>
      <c r="AE874" s="233"/>
      <c r="AF874" s="233"/>
      <c r="AG874" s="233"/>
      <c r="AH874" s="233"/>
      <c r="AI874" s="233"/>
      <c r="AJ874" s="233"/>
      <c r="AK874" s="233"/>
      <c r="AL874" s="233"/>
    </row>
    <row r="875">
      <c r="B875" s="277"/>
      <c r="L875" s="67"/>
      <c r="M875" s="280" t="s">
        <v>2482</v>
      </c>
      <c r="N875" s="234"/>
      <c r="O875" s="281"/>
      <c r="P875" s="233"/>
      <c r="Q875" s="233"/>
      <c r="R875" s="234"/>
      <c r="S875" s="233"/>
      <c r="T875" s="233"/>
      <c r="U875" s="233"/>
      <c r="V875" s="233"/>
      <c r="W875" s="233"/>
      <c r="X875" s="233"/>
      <c r="Y875" s="233"/>
      <c r="Z875" s="233"/>
      <c r="AA875" s="233"/>
      <c r="AB875" s="233"/>
      <c r="AC875" s="233"/>
      <c r="AD875" s="233"/>
      <c r="AE875" s="233"/>
      <c r="AF875" s="233"/>
      <c r="AG875" s="233"/>
      <c r="AH875" s="233"/>
      <c r="AI875" s="233"/>
      <c r="AJ875" s="233"/>
      <c r="AK875" s="233"/>
      <c r="AL875" s="233"/>
    </row>
    <row r="876">
      <c r="B876" s="277"/>
      <c r="L876" s="67"/>
      <c r="M876" s="280" t="s">
        <v>2482</v>
      </c>
      <c r="N876" s="234"/>
      <c r="O876" s="281"/>
      <c r="P876" s="233"/>
      <c r="Q876" s="233"/>
      <c r="R876" s="234"/>
      <c r="S876" s="233"/>
      <c r="T876" s="233"/>
      <c r="U876" s="233"/>
      <c r="V876" s="233"/>
      <c r="W876" s="233"/>
      <c r="X876" s="233"/>
      <c r="Y876" s="233"/>
      <c r="Z876" s="233"/>
      <c r="AA876" s="233"/>
      <c r="AB876" s="233"/>
      <c r="AC876" s="233"/>
      <c r="AD876" s="233"/>
      <c r="AE876" s="233"/>
      <c r="AF876" s="233"/>
      <c r="AG876" s="233"/>
      <c r="AH876" s="233"/>
      <c r="AI876" s="233"/>
      <c r="AJ876" s="233"/>
      <c r="AK876" s="233"/>
      <c r="AL876" s="233"/>
    </row>
    <row r="877">
      <c r="B877" s="277"/>
      <c r="L877" s="67"/>
      <c r="M877" s="280" t="s">
        <v>2482</v>
      </c>
      <c r="N877" s="234"/>
      <c r="O877" s="281"/>
      <c r="P877" s="233"/>
      <c r="Q877" s="233"/>
      <c r="R877" s="234"/>
      <c r="S877" s="233"/>
      <c r="T877" s="233"/>
      <c r="U877" s="233"/>
      <c r="V877" s="233"/>
      <c r="W877" s="233"/>
      <c r="X877" s="233"/>
      <c r="Y877" s="233"/>
      <c r="Z877" s="233"/>
      <c r="AA877" s="233"/>
      <c r="AB877" s="233"/>
      <c r="AC877" s="233"/>
      <c r="AD877" s="233"/>
      <c r="AE877" s="233"/>
      <c r="AF877" s="233"/>
      <c r="AG877" s="233"/>
      <c r="AH877" s="233"/>
      <c r="AI877" s="233"/>
      <c r="AJ877" s="233"/>
      <c r="AK877" s="233"/>
      <c r="AL877" s="233"/>
    </row>
    <row r="878">
      <c r="B878" s="277"/>
      <c r="L878" s="67"/>
      <c r="M878" s="280" t="s">
        <v>2482</v>
      </c>
      <c r="N878" s="234"/>
      <c r="O878" s="281"/>
      <c r="P878" s="233"/>
      <c r="Q878" s="233"/>
      <c r="R878" s="234"/>
      <c r="S878" s="233"/>
      <c r="T878" s="233"/>
      <c r="U878" s="233"/>
      <c r="V878" s="233"/>
      <c r="W878" s="233"/>
      <c r="X878" s="233"/>
      <c r="Y878" s="233"/>
      <c r="Z878" s="233"/>
      <c r="AA878" s="233"/>
      <c r="AB878" s="233"/>
      <c r="AC878" s="233"/>
      <c r="AD878" s="233"/>
      <c r="AE878" s="233"/>
      <c r="AF878" s="233"/>
      <c r="AG878" s="233"/>
      <c r="AH878" s="233"/>
      <c r="AI878" s="233"/>
      <c r="AJ878" s="233"/>
      <c r="AK878" s="233"/>
      <c r="AL878" s="233"/>
    </row>
    <row r="879">
      <c r="B879" s="277"/>
      <c r="L879" s="67"/>
      <c r="M879" s="280" t="s">
        <v>2482</v>
      </c>
      <c r="N879" s="234"/>
      <c r="O879" s="281"/>
      <c r="P879" s="233"/>
      <c r="Q879" s="233"/>
      <c r="R879" s="234"/>
      <c r="S879" s="233"/>
      <c r="T879" s="233"/>
      <c r="U879" s="233"/>
      <c r="V879" s="233"/>
      <c r="W879" s="233"/>
      <c r="X879" s="233"/>
      <c r="Y879" s="233"/>
      <c r="Z879" s="233"/>
      <c r="AA879" s="233"/>
      <c r="AB879" s="233"/>
      <c r="AC879" s="233"/>
      <c r="AD879" s="233"/>
      <c r="AE879" s="233"/>
      <c r="AF879" s="233"/>
      <c r="AG879" s="233"/>
      <c r="AH879" s="233"/>
      <c r="AI879" s="233"/>
      <c r="AJ879" s="233"/>
      <c r="AK879" s="233"/>
      <c r="AL879" s="233"/>
    </row>
    <row r="880">
      <c r="B880" s="277"/>
      <c r="L880" s="67"/>
      <c r="M880" s="280" t="s">
        <v>2482</v>
      </c>
      <c r="N880" s="234"/>
      <c r="O880" s="281"/>
      <c r="P880" s="233"/>
      <c r="Q880" s="233"/>
      <c r="R880" s="234"/>
      <c r="S880" s="233"/>
      <c r="T880" s="233"/>
      <c r="U880" s="233"/>
      <c r="V880" s="233"/>
      <c r="W880" s="233"/>
      <c r="X880" s="233"/>
      <c r="Y880" s="233"/>
      <c r="Z880" s="233"/>
      <c r="AA880" s="233"/>
      <c r="AB880" s="233"/>
      <c r="AC880" s="233"/>
      <c r="AD880" s="233"/>
      <c r="AE880" s="233"/>
      <c r="AF880" s="233"/>
      <c r="AG880" s="233"/>
      <c r="AH880" s="233"/>
      <c r="AI880" s="233"/>
      <c r="AJ880" s="233"/>
      <c r="AK880" s="233"/>
      <c r="AL880" s="233"/>
    </row>
    <row r="881">
      <c r="B881" s="277"/>
      <c r="L881" s="67"/>
      <c r="M881" s="280" t="s">
        <v>2482</v>
      </c>
      <c r="N881" s="234"/>
      <c r="O881" s="281"/>
      <c r="P881" s="233"/>
      <c r="Q881" s="233"/>
      <c r="R881" s="234"/>
      <c r="S881" s="233"/>
      <c r="T881" s="233"/>
      <c r="U881" s="233"/>
      <c r="V881" s="233"/>
      <c r="W881" s="233"/>
      <c r="X881" s="233"/>
      <c r="Y881" s="233"/>
      <c r="Z881" s="233"/>
      <c r="AA881" s="233"/>
      <c r="AB881" s="233"/>
      <c r="AC881" s="233"/>
      <c r="AD881" s="233"/>
      <c r="AE881" s="233"/>
      <c r="AF881" s="233"/>
      <c r="AG881" s="233"/>
      <c r="AH881" s="233"/>
      <c r="AI881" s="233"/>
      <c r="AJ881" s="233"/>
      <c r="AK881" s="233"/>
      <c r="AL881" s="233"/>
    </row>
    <row r="882">
      <c r="B882" s="277"/>
      <c r="L882" s="67"/>
      <c r="M882" s="280" t="s">
        <v>2482</v>
      </c>
      <c r="N882" s="234"/>
      <c r="O882" s="281"/>
      <c r="P882" s="233"/>
      <c r="Q882" s="233"/>
      <c r="R882" s="234"/>
      <c r="S882" s="233"/>
      <c r="T882" s="233"/>
      <c r="U882" s="233"/>
      <c r="V882" s="233"/>
      <c r="W882" s="233"/>
      <c r="X882" s="233"/>
      <c r="Y882" s="233"/>
      <c r="Z882" s="233"/>
      <c r="AA882" s="233"/>
      <c r="AB882" s="233"/>
      <c r="AC882" s="233"/>
      <c r="AD882" s="233"/>
      <c r="AE882" s="233"/>
      <c r="AF882" s="233"/>
      <c r="AG882" s="233"/>
      <c r="AH882" s="233"/>
      <c r="AI882" s="233"/>
      <c r="AJ882" s="233"/>
      <c r="AK882" s="233"/>
      <c r="AL882" s="233"/>
    </row>
    <row r="883">
      <c r="B883" s="277"/>
      <c r="L883" s="67"/>
      <c r="M883" s="280" t="s">
        <v>2482</v>
      </c>
      <c r="N883" s="234"/>
      <c r="O883" s="281"/>
      <c r="P883" s="233"/>
      <c r="Q883" s="233"/>
      <c r="R883" s="234"/>
      <c r="S883" s="233"/>
      <c r="T883" s="233"/>
      <c r="U883" s="233"/>
      <c r="V883" s="233"/>
      <c r="W883" s="233"/>
      <c r="X883" s="233"/>
      <c r="Y883" s="233"/>
      <c r="Z883" s="233"/>
      <c r="AA883" s="233"/>
      <c r="AB883" s="233"/>
      <c r="AC883" s="233"/>
      <c r="AD883" s="233"/>
      <c r="AE883" s="233"/>
      <c r="AF883" s="233"/>
      <c r="AG883" s="233"/>
      <c r="AH883" s="233"/>
      <c r="AI883" s="233"/>
      <c r="AJ883" s="233"/>
      <c r="AK883" s="233"/>
      <c r="AL883" s="233"/>
    </row>
    <row r="884">
      <c r="B884" s="277"/>
      <c r="L884" s="67"/>
      <c r="M884" s="280" t="s">
        <v>2482</v>
      </c>
      <c r="N884" s="234"/>
      <c r="O884" s="281"/>
      <c r="P884" s="233"/>
      <c r="Q884" s="233"/>
      <c r="R884" s="234"/>
      <c r="S884" s="233"/>
      <c r="T884" s="233"/>
      <c r="U884" s="233"/>
      <c r="V884" s="233"/>
      <c r="W884" s="233"/>
      <c r="X884" s="233"/>
      <c r="Y884" s="233"/>
      <c r="Z884" s="233"/>
      <c r="AA884" s="233"/>
      <c r="AB884" s="233"/>
      <c r="AC884" s="233"/>
      <c r="AD884" s="233"/>
      <c r="AE884" s="233"/>
      <c r="AF884" s="233"/>
      <c r="AG884" s="233"/>
      <c r="AH884" s="233"/>
      <c r="AI884" s="233"/>
      <c r="AJ884" s="233"/>
      <c r="AK884" s="233"/>
      <c r="AL884" s="233"/>
    </row>
    <row r="885">
      <c r="B885" s="277"/>
      <c r="L885" s="67"/>
      <c r="M885" s="280" t="s">
        <v>2482</v>
      </c>
      <c r="N885" s="234"/>
      <c r="O885" s="281"/>
      <c r="P885" s="233"/>
      <c r="Q885" s="233"/>
      <c r="R885" s="234"/>
      <c r="S885" s="233"/>
      <c r="T885" s="233"/>
      <c r="U885" s="233"/>
      <c r="V885" s="233"/>
      <c r="W885" s="233"/>
      <c r="X885" s="233"/>
      <c r="Y885" s="233"/>
      <c r="Z885" s="233"/>
      <c r="AA885" s="233"/>
      <c r="AB885" s="233"/>
      <c r="AC885" s="233"/>
      <c r="AD885" s="233"/>
      <c r="AE885" s="233"/>
      <c r="AF885" s="233"/>
      <c r="AG885" s="233"/>
      <c r="AH885" s="233"/>
      <c r="AI885" s="233"/>
      <c r="AJ885" s="233"/>
      <c r="AK885" s="233"/>
      <c r="AL885" s="233"/>
    </row>
    <row r="886">
      <c r="B886" s="277"/>
      <c r="L886" s="67"/>
      <c r="M886" s="280" t="s">
        <v>2482</v>
      </c>
      <c r="N886" s="234"/>
      <c r="O886" s="281"/>
      <c r="P886" s="233"/>
      <c r="Q886" s="233"/>
      <c r="R886" s="234"/>
      <c r="S886" s="233"/>
      <c r="T886" s="233"/>
      <c r="U886" s="233"/>
      <c r="V886" s="233"/>
      <c r="W886" s="233"/>
      <c r="X886" s="233"/>
      <c r="Y886" s="233"/>
      <c r="Z886" s="233"/>
      <c r="AA886" s="233"/>
      <c r="AB886" s="233"/>
      <c r="AC886" s="233"/>
      <c r="AD886" s="233"/>
      <c r="AE886" s="233"/>
      <c r="AF886" s="233"/>
      <c r="AG886" s="233"/>
      <c r="AH886" s="233"/>
      <c r="AI886" s="233"/>
      <c r="AJ886" s="233"/>
      <c r="AK886" s="233"/>
      <c r="AL886" s="233"/>
    </row>
    <row r="887">
      <c r="B887" s="277"/>
      <c r="L887" s="67"/>
      <c r="M887" s="280" t="s">
        <v>2482</v>
      </c>
      <c r="N887" s="234"/>
      <c r="O887" s="281"/>
      <c r="P887" s="233"/>
      <c r="Q887" s="233"/>
      <c r="R887" s="234"/>
      <c r="S887" s="233"/>
      <c r="T887" s="233"/>
      <c r="U887" s="233"/>
      <c r="V887" s="233"/>
      <c r="W887" s="233"/>
      <c r="X887" s="233"/>
      <c r="Y887" s="233"/>
      <c r="Z887" s="233"/>
      <c r="AA887" s="233"/>
      <c r="AB887" s="233"/>
      <c r="AC887" s="233"/>
      <c r="AD887" s="233"/>
      <c r="AE887" s="233"/>
      <c r="AF887" s="233"/>
      <c r="AG887" s="233"/>
      <c r="AH887" s="233"/>
      <c r="AI887" s="233"/>
      <c r="AJ887" s="233"/>
      <c r="AK887" s="233"/>
      <c r="AL887" s="233"/>
    </row>
    <row r="888">
      <c r="B888" s="277"/>
      <c r="L888" s="67"/>
      <c r="M888" s="280" t="s">
        <v>2482</v>
      </c>
      <c r="N888" s="234"/>
      <c r="O888" s="281"/>
      <c r="P888" s="233"/>
      <c r="Q888" s="233"/>
      <c r="R888" s="234"/>
      <c r="S888" s="233"/>
      <c r="T888" s="233"/>
      <c r="U888" s="233"/>
      <c r="V888" s="233"/>
      <c r="W888" s="233"/>
      <c r="X888" s="233"/>
      <c r="Y888" s="233"/>
      <c r="Z888" s="233"/>
      <c r="AA888" s="233"/>
      <c r="AB888" s="233"/>
      <c r="AC888" s="233"/>
      <c r="AD888" s="233"/>
      <c r="AE888" s="233"/>
      <c r="AF888" s="233"/>
      <c r="AG888" s="233"/>
      <c r="AH888" s="233"/>
      <c r="AI888" s="233"/>
      <c r="AJ888" s="233"/>
      <c r="AK888" s="233"/>
      <c r="AL888" s="233"/>
    </row>
    <row r="889">
      <c r="B889" s="277"/>
      <c r="L889" s="67"/>
      <c r="M889" s="280" t="s">
        <v>2482</v>
      </c>
      <c r="N889" s="234"/>
      <c r="O889" s="281"/>
      <c r="P889" s="233"/>
      <c r="Q889" s="233"/>
      <c r="R889" s="234"/>
      <c r="S889" s="233"/>
      <c r="T889" s="233"/>
      <c r="U889" s="233"/>
      <c r="V889" s="233"/>
      <c r="W889" s="233"/>
      <c r="X889" s="233"/>
      <c r="Y889" s="233"/>
      <c r="Z889" s="233"/>
      <c r="AA889" s="233"/>
      <c r="AB889" s="233"/>
      <c r="AC889" s="233"/>
      <c r="AD889" s="233"/>
      <c r="AE889" s="233"/>
      <c r="AF889" s="233"/>
      <c r="AG889" s="233"/>
      <c r="AH889" s="233"/>
      <c r="AI889" s="233"/>
      <c r="AJ889" s="233"/>
      <c r="AK889" s="233"/>
      <c r="AL889" s="233"/>
    </row>
    <row r="890">
      <c r="B890" s="277"/>
      <c r="L890" s="67"/>
      <c r="M890" s="280" t="s">
        <v>2482</v>
      </c>
      <c r="N890" s="234"/>
      <c r="O890" s="281"/>
      <c r="P890" s="233"/>
      <c r="Q890" s="233"/>
      <c r="R890" s="234"/>
      <c r="S890" s="233"/>
      <c r="T890" s="233"/>
      <c r="U890" s="233"/>
      <c r="V890" s="233"/>
      <c r="W890" s="233"/>
      <c r="X890" s="233"/>
      <c r="Y890" s="233"/>
      <c r="Z890" s="233"/>
      <c r="AA890" s="233"/>
      <c r="AB890" s="233"/>
      <c r="AC890" s="233"/>
      <c r="AD890" s="233"/>
      <c r="AE890" s="233"/>
      <c r="AF890" s="233"/>
      <c r="AG890" s="233"/>
      <c r="AH890" s="233"/>
      <c r="AI890" s="233"/>
      <c r="AJ890" s="233"/>
      <c r="AK890" s="233"/>
      <c r="AL890" s="233"/>
    </row>
    <row r="891">
      <c r="B891" s="277"/>
      <c r="L891" s="67"/>
      <c r="M891" s="280" t="s">
        <v>2482</v>
      </c>
      <c r="N891" s="234"/>
      <c r="O891" s="281"/>
      <c r="P891" s="233"/>
      <c r="Q891" s="233"/>
      <c r="R891" s="234"/>
      <c r="S891" s="233"/>
      <c r="T891" s="233"/>
      <c r="U891" s="233"/>
      <c r="V891" s="233"/>
      <c r="W891" s="233"/>
      <c r="X891" s="233"/>
      <c r="Y891" s="233"/>
      <c r="Z891" s="233"/>
      <c r="AA891" s="233"/>
      <c r="AB891" s="233"/>
      <c r="AC891" s="233"/>
      <c r="AD891" s="233"/>
      <c r="AE891" s="233"/>
      <c r="AF891" s="233"/>
      <c r="AG891" s="233"/>
      <c r="AH891" s="233"/>
      <c r="AI891" s="233"/>
      <c r="AJ891" s="233"/>
      <c r="AK891" s="233"/>
      <c r="AL891" s="233"/>
    </row>
    <row r="892">
      <c r="B892" s="277"/>
      <c r="L892" s="67"/>
      <c r="M892" s="280" t="s">
        <v>2482</v>
      </c>
      <c r="N892" s="234"/>
      <c r="O892" s="281"/>
      <c r="P892" s="233"/>
      <c r="Q892" s="233"/>
      <c r="R892" s="234"/>
      <c r="S892" s="233"/>
      <c r="T892" s="233"/>
      <c r="U892" s="233"/>
      <c r="V892" s="233"/>
      <c r="W892" s="233"/>
      <c r="X892" s="233"/>
      <c r="Y892" s="233"/>
      <c r="Z892" s="233"/>
      <c r="AA892" s="233"/>
      <c r="AB892" s="233"/>
      <c r="AC892" s="233"/>
      <c r="AD892" s="233"/>
      <c r="AE892" s="233"/>
      <c r="AF892" s="233"/>
      <c r="AG892" s="233"/>
      <c r="AH892" s="233"/>
      <c r="AI892" s="233"/>
      <c r="AJ892" s="233"/>
      <c r="AK892" s="233"/>
      <c r="AL892" s="233"/>
    </row>
    <row r="893">
      <c r="B893" s="277"/>
      <c r="L893" s="67"/>
      <c r="M893" s="280" t="s">
        <v>2482</v>
      </c>
      <c r="N893" s="234"/>
      <c r="O893" s="281"/>
      <c r="P893" s="233"/>
      <c r="Q893" s="233"/>
      <c r="R893" s="234"/>
      <c r="S893" s="233"/>
      <c r="T893" s="233"/>
      <c r="U893" s="233"/>
      <c r="V893" s="233"/>
      <c r="W893" s="233"/>
      <c r="X893" s="233"/>
      <c r="Y893" s="233"/>
      <c r="Z893" s="233"/>
      <c r="AA893" s="233"/>
      <c r="AB893" s="233"/>
      <c r="AC893" s="233"/>
      <c r="AD893" s="233"/>
      <c r="AE893" s="233"/>
      <c r="AF893" s="233"/>
      <c r="AG893" s="233"/>
      <c r="AH893" s="233"/>
      <c r="AI893" s="233"/>
      <c r="AJ893" s="233"/>
      <c r="AK893" s="233"/>
      <c r="AL893" s="233"/>
    </row>
    <row r="894">
      <c r="B894" s="277"/>
      <c r="L894" s="67"/>
      <c r="M894" s="280" t="s">
        <v>2482</v>
      </c>
      <c r="N894" s="234"/>
      <c r="O894" s="281"/>
      <c r="P894" s="233"/>
      <c r="Q894" s="233"/>
      <c r="R894" s="234"/>
      <c r="S894" s="233"/>
      <c r="T894" s="233"/>
      <c r="U894" s="233"/>
      <c r="V894" s="233"/>
      <c r="W894" s="233"/>
      <c r="X894" s="233"/>
      <c r="Y894" s="233"/>
      <c r="Z894" s="233"/>
      <c r="AA894" s="233"/>
      <c r="AB894" s="233"/>
      <c r="AC894" s="233"/>
      <c r="AD894" s="233"/>
      <c r="AE894" s="233"/>
      <c r="AF894" s="233"/>
      <c r="AG894" s="233"/>
      <c r="AH894" s="233"/>
      <c r="AI894" s="233"/>
      <c r="AJ894" s="233"/>
      <c r="AK894" s="233"/>
      <c r="AL894" s="233"/>
    </row>
    <row r="895">
      <c r="B895" s="277"/>
      <c r="L895" s="67"/>
      <c r="M895" s="280" t="s">
        <v>2482</v>
      </c>
      <c r="N895" s="234"/>
      <c r="O895" s="281"/>
      <c r="P895" s="233"/>
      <c r="Q895" s="233"/>
      <c r="R895" s="234"/>
      <c r="S895" s="233"/>
      <c r="T895" s="233"/>
      <c r="U895" s="233"/>
      <c r="V895" s="233"/>
      <c r="W895" s="233"/>
      <c r="X895" s="233"/>
      <c r="Y895" s="233"/>
      <c r="Z895" s="233"/>
      <c r="AA895" s="233"/>
      <c r="AB895" s="233"/>
      <c r="AC895" s="233"/>
      <c r="AD895" s="233"/>
      <c r="AE895" s="233"/>
      <c r="AF895" s="233"/>
      <c r="AG895" s="233"/>
      <c r="AH895" s="233"/>
      <c r="AI895" s="233"/>
      <c r="AJ895" s="233"/>
      <c r="AK895" s="233"/>
      <c r="AL895" s="233"/>
    </row>
    <row r="896">
      <c r="B896" s="277"/>
      <c r="L896" s="67"/>
      <c r="M896" s="280" t="s">
        <v>2482</v>
      </c>
      <c r="N896" s="234"/>
      <c r="O896" s="281"/>
      <c r="P896" s="233"/>
      <c r="Q896" s="233"/>
      <c r="R896" s="234"/>
      <c r="S896" s="233"/>
      <c r="T896" s="233"/>
      <c r="U896" s="233"/>
      <c r="V896" s="233"/>
      <c r="W896" s="233"/>
      <c r="X896" s="233"/>
      <c r="Y896" s="233"/>
      <c r="Z896" s="233"/>
      <c r="AA896" s="233"/>
      <c r="AB896" s="233"/>
      <c r="AC896" s="233"/>
      <c r="AD896" s="233"/>
      <c r="AE896" s="233"/>
      <c r="AF896" s="233"/>
      <c r="AG896" s="233"/>
      <c r="AH896" s="233"/>
      <c r="AI896" s="233"/>
      <c r="AJ896" s="233"/>
      <c r="AK896" s="233"/>
      <c r="AL896" s="233"/>
    </row>
    <row r="897">
      <c r="B897" s="277"/>
      <c r="L897" s="67"/>
      <c r="M897" s="280" t="s">
        <v>2482</v>
      </c>
      <c r="N897" s="234"/>
      <c r="O897" s="281"/>
      <c r="P897" s="233"/>
      <c r="Q897" s="233"/>
      <c r="R897" s="234"/>
      <c r="S897" s="233"/>
      <c r="T897" s="233"/>
      <c r="U897" s="233"/>
      <c r="V897" s="233"/>
      <c r="W897" s="233"/>
      <c r="X897" s="233"/>
      <c r="Y897" s="233"/>
      <c r="Z897" s="233"/>
      <c r="AA897" s="233"/>
      <c r="AB897" s="233"/>
      <c r="AC897" s="233"/>
      <c r="AD897" s="233"/>
      <c r="AE897" s="233"/>
      <c r="AF897" s="233"/>
      <c r="AG897" s="233"/>
      <c r="AH897" s="233"/>
      <c r="AI897" s="233"/>
      <c r="AJ897" s="233"/>
      <c r="AK897" s="233"/>
      <c r="AL897" s="233"/>
    </row>
    <row r="898">
      <c r="B898" s="277"/>
      <c r="L898" s="67"/>
      <c r="M898" s="280" t="s">
        <v>2482</v>
      </c>
      <c r="N898" s="234"/>
      <c r="O898" s="281"/>
      <c r="P898" s="233"/>
      <c r="Q898" s="233"/>
      <c r="R898" s="234"/>
      <c r="S898" s="233"/>
      <c r="T898" s="233"/>
      <c r="U898" s="233"/>
      <c r="V898" s="233"/>
      <c r="W898" s="233"/>
      <c r="X898" s="233"/>
      <c r="Y898" s="233"/>
      <c r="Z898" s="233"/>
      <c r="AA898" s="233"/>
      <c r="AB898" s="233"/>
      <c r="AC898" s="233"/>
      <c r="AD898" s="233"/>
      <c r="AE898" s="233"/>
      <c r="AF898" s="233"/>
      <c r="AG898" s="233"/>
      <c r="AH898" s="233"/>
      <c r="AI898" s="233"/>
      <c r="AJ898" s="233"/>
      <c r="AK898" s="233"/>
      <c r="AL898" s="233"/>
    </row>
    <row r="899">
      <c r="B899" s="277"/>
      <c r="L899" s="67"/>
      <c r="M899" s="280" t="s">
        <v>2482</v>
      </c>
      <c r="N899" s="234"/>
      <c r="O899" s="281"/>
      <c r="P899" s="233"/>
      <c r="Q899" s="233"/>
      <c r="R899" s="234"/>
      <c r="S899" s="233"/>
      <c r="T899" s="233"/>
      <c r="U899" s="233"/>
      <c r="V899" s="233"/>
      <c r="W899" s="233"/>
      <c r="X899" s="233"/>
      <c r="Y899" s="233"/>
      <c r="Z899" s="233"/>
      <c r="AA899" s="233"/>
      <c r="AB899" s="233"/>
      <c r="AC899" s="233"/>
      <c r="AD899" s="233"/>
      <c r="AE899" s="233"/>
      <c r="AF899" s="233"/>
      <c r="AG899" s="233"/>
      <c r="AH899" s="233"/>
      <c r="AI899" s="233"/>
      <c r="AJ899" s="233"/>
      <c r="AK899" s="233"/>
      <c r="AL899" s="233"/>
    </row>
    <row r="900">
      <c r="B900" s="277"/>
      <c r="L900" s="67"/>
      <c r="M900" s="280" t="s">
        <v>2482</v>
      </c>
      <c r="N900" s="234"/>
      <c r="O900" s="281"/>
      <c r="P900" s="233"/>
      <c r="Q900" s="233"/>
      <c r="R900" s="234"/>
      <c r="S900" s="233"/>
      <c r="T900" s="233"/>
      <c r="U900" s="233"/>
      <c r="V900" s="233"/>
      <c r="W900" s="233"/>
      <c r="X900" s="233"/>
      <c r="Y900" s="233"/>
      <c r="Z900" s="233"/>
      <c r="AA900" s="233"/>
      <c r="AB900" s="233"/>
      <c r="AC900" s="233"/>
      <c r="AD900" s="233"/>
      <c r="AE900" s="233"/>
      <c r="AF900" s="233"/>
      <c r="AG900" s="233"/>
      <c r="AH900" s="233"/>
      <c r="AI900" s="233"/>
      <c r="AJ900" s="233"/>
      <c r="AK900" s="233"/>
      <c r="AL900" s="233"/>
    </row>
    <row r="901">
      <c r="B901" s="277"/>
      <c r="L901" s="67"/>
      <c r="M901" s="280" t="s">
        <v>2482</v>
      </c>
      <c r="N901" s="234"/>
      <c r="O901" s="281"/>
      <c r="P901" s="233"/>
      <c r="Q901" s="233"/>
      <c r="R901" s="234"/>
      <c r="S901" s="233"/>
      <c r="T901" s="233"/>
      <c r="U901" s="233"/>
      <c r="V901" s="233"/>
      <c r="W901" s="233"/>
      <c r="X901" s="233"/>
      <c r="Y901" s="233"/>
      <c r="Z901" s="233"/>
      <c r="AA901" s="233"/>
      <c r="AB901" s="233"/>
      <c r="AC901" s="233"/>
      <c r="AD901" s="233"/>
      <c r="AE901" s="233"/>
      <c r="AF901" s="233"/>
      <c r="AG901" s="233"/>
      <c r="AH901" s="233"/>
      <c r="AI901" s="233"/>
      <c r="AJ901" s="233"/>
      <c r="AK901" s="233"/>
      <c r="AL901" s="233"/>
    </row>
    <row r="902">
      <c r="B902" s="277"/>
      <c r="L902" s="67"/>
      <c r="M902" s="280" t="s">
        <v>2482</v>
      </c>
      <c r="N902" s="234"/>
      <c r="O902" s="281"/>
      <c r="P902" s="233"/>
      <c r="Q902" s="233"/>
      <c r="R902" s="234"/>
      <c r="S902" s="233"/>
      <c r="T902" s="233"/>
      <c r="U902" s="233"/>
      <c r="V902" s="233"/>
      <c r="W902" s="233"/>
      <c r="X902" s="233"/>
      <c r="Y902" s="233"/>
      <c r="Z902" s="233"/>
      <c r="AA902" s="233"/>
      <c r="AB902" s="233"/>
      <c r="AC902" s="233"/>
      <c r="AD902" s="233"/>
      <c r="AE902" s="233"/>
      <c r="AF902" s="233"/>
      <c r="AG902" s="233"/>
      <c r="AH902" s="233"/>
      <c r="AI902" s="233"/>
      <c r="AJ902" s="233"/>
      <c r="AK902" s="233"/>
      <c r="AL902" s="233"/>
    </row>
    <row r="903">
      <c r="B903" s="277"/>
      <c r="L903" s="67"/>
      <c r="M903" s="280" t="s">
        <v>2482</v>
      </c>
      <c r="N903" s="234"/>
      <c r="O903" s="281"/>
      <c r="P903" s="233"/>
      <c r="Q903" s="233"/>
      <c r="R903" s="234"/>
      <c r="S903" s="233"/>
      <c r="T903" s="233"/>
      <c r="U903" s="233"/>
      <c r="V903" s="233"/>
      <c r="W903" s="233"/>
      <c r="X903" s="233"/>
      <c r="Y903" s="233"/>
      <c r="Z903" s="233"/>
      <c r="AA903" s="233"/>
      <c r="AB903" s="233"/>
      <c r="AC903" s="233"/>
      <c r="AD903" s="233"/>
      <c r="AE903" s="233"/>
      <c r="AF903" s="233"/>
      <c r="AG903" s="233"/>
      <c r="AH903" s="233"/>
      <c r="AI903" s="233"/>
      <c r="AJ903" s="233"/>
      <c r="AK903" s="233"/>
      <c r="AL903" s="233"/>
    </row>
    <row r="904">
      <c r="B904" s="277"/>
      <c r="L904" s="67"/>
      <c r="M904" s="280" t="s">
        <v>2482</v>
      </c>
      <c r="N904" s="234"/>
      <c r="O904" s="281"/>
      <c r="P904" s="233"/>
      <c r="Q904" s="233"/>
      <c r="R904" s="234"/>
      <c r="S904" s="233"/>
      <c r="T904" s="233"/>
      <c r="U904" s="233"/>
      <c r="V904" s="233"/>
      <c r="W904" s="233"/>
      <c r="X904" s="233"/>
      <c r="Y904" s="233"/>
      <c r="Z904" s="233"/>
      <c r="AA904" s="233"/>
      <c r="AB904" s="233"/>
      <c r="AC904" s="233"/>
      <c r="AD904" s="233"/>
      <c r="AE904" s="233"/>
      <c r="AF904" s="233"/>
      <c r="AG904" s="233"/>
      <c r="AH904" s="233"/>
      <c r="AI904" s="233"/>
      <c r="AJ904" s="233"/>
      <c r="AK904" s="233"/>
      <c r="AL904" s="233"/>
    </row>
    <row r="905">
      <c r="B905" s="277"/>
      <c r="L905" s="67"/>
      <c r="M905" s="280" t="s">
        <v>2482</v>
      </c>
      <c r="N905" s="234"/>
      <c r="O905" s="281"/>
      <c r="P905" s="233"/>
      <c r="Q905" s="233"/>
      <c r="R905" s="234"/>
      <c r="S905" s="233"/>
      <c r="T905" s="233"/>
      <c r="U905" s="233"/>
      <c r="V905" s="233"/>
      <c r="W905" s="233"/>
      <c r="X905" s="233"/>
      <c r="Y905" s="233"/>
      <c r="Z905" s="233"/>
      <c r="AA905" s="233"/>
      <c r="AB905" s="233"/>
      <c r="AC905" s="233"/>
      <c r="AD905" s="233"/>
      <c r="AE905" s="233"/>
      <c r="AF905" s="233"/>
      <c r="AG905" s="233"/>
      <c r="AH905" s="233"/>
      <c r="AI905" s="233"/>
      <c r="AJ905" s="233"/>
      <c r="AK905" s="233"/>
      <c r="AL905" s="233"/>
    </row>
    <row r="906">
      <c r="B906" s="277"/>
      <c r="L906" s="67"/>
      <c r="M906" s="280" t="s">
        <v>2482</v>
      </c>
      <c r="N906" s="234"/>
      <c r="O906" s="281"/>
      <c r="P906" s="233"/>
      <c r="Q906" s="233"/>
      <c r="R906" s="234"/>
      <c r="S906" s="233"/>
      <c r="T906" s="233"/>
      <c r="U906" s="233"/>
      <c r="V906" s="233"/>
      <c r="W906" s="233"/>
      <c r="X906" s="233"/>
      <c r="Y906" s="233"/>
      <c r="Z906" s="233"/>
      <c r="AA906" s="233"/>
      <c r="AB906" s="233"/>
      <c r="AC906" s="233"/>
      <c r="AD906" s="233"/>
      <c r="AE906" s="233"/>
      <c r="AF906" s="233"/>
      <c r="AG906" s="233"/>
      <c r="AH906" s="233"/>
      <c r="AI906" s="233"/>
      <c r="AJ906" s="233"/>
      <c r="AK906" s="233"/>
      <c r="AL906" s="233"/>
    </row>
    <row r="907">
      <c r="B907" s="277"/>
      <c r="L907" s="67"/>
      <c r="M907" s="280" t="s">
        <v>2482</v>
      </c>
      <c r="N907" s="234"/>
      <c r="O907" s="281"/>
      <c r="P907" s="233"/>
      <c r="Q907" s="233"/>
      <c r="R907" s="234"/>
      <c r="S907" s="233"/>
      <c r="T907" s="233"/>
      <c r="U907" s="233"/>
      <c r="V907" s="233"/>
      <c r="W907" s="233"/>
      <c r="X907" s="233"/>
      <c r="Y907" s="233"/>
      <c r="Z907" s="233"/>
      <c r="AA907" s="233"/>
      <c r="AB907" s="233"/>
      <c r="AC907" s="233"/>
      <c r="AD907" s="233"/>
      <c r="AE907" s="233"/>
      <c r="AF907" s="233"/>
      <c r="AG907" s="233"/>
      <c r="AH907" s="233"/>
      <c r="AI907" s="233"/>
      <c r="AJ907" s="233"/>
      <c r="AK907" s="233"/>
      <c r="AL907" s="233"/>
    </row>
    <row r="908">
      <c r="B908" s="277"/>
      <c r="L908" s="67"/>
      <c r="M908" s="280" t="s">
        <v>2482</v>
      </c>
      <c r="N908" s="234"/>
      <c r="O908" s="281"/>
      <c r="P908" s="233"/>
      <c r="Q908" s="233"/>
      <c r="R908" s="234"/>
      <c r="S908" s="233"/>
      <c r="T908" s="233"/>
      <c r="U908" s="233"/>
      <c r="V908" s="233"/>
      <c r="W908" s="233"/>
      <c r="X908" s="233"/>
      <c r="Y908" s="233"/>
      <c r="Z908" s="233"/>
      <c r="AA908" s="233"/>
      <c r="AB908" s="233"/>
      <c r="AC908" s="233"/>
      <c r="AD908" s="233"/>
      <c r="AE908" s="233"/>
      <c r="AF908" s="233"/>
      <c r="AG908" s="233"/>
      <c r="AH908" s="233"/>
      <c r="AI908" s="233"/>
      <c r="AJ908" s="233"/>
      <c r="AK908" s="233"/>
      <c r="AL908" s="233"/>
    </row>
    <row r="909">
      <c r="B909" s="277"/>
      <c r="L909" s="67"/>
      <c r="M909" s="280" t="s">
        <v>2482</v>
      </c>
      <c r="N909" s="234"/>
      <c r="O909" s="281"/>
      <c r="P909" s="233"/>
      <c r="Q909" s="233"/>
      <c r="R909" s="234"/>
      <c r="S909" s="233"/>
      <c r="T909" s="233"/>
      <c r="U909" s="233"/>
      <c r="V909" s="233"/>
      <c r="W909" s="233"/>
      <c r="X909" s="233"/>
      <c r="Y909" s="233"/>
      <c r="Z909" s="233"/>
      <c r="AA909" s="233"/>
      <c r="AB909" s="233"/>
      <c r="AC909" s="233"/>
      <c r="AD909" s="233"/>
      <c r="AE909" s="233"/>
      <c r="AF909" s="233"/>
      <c r="AG909" s="233"/>
      <c r="AH909" s="233"/>
      <c r="AI909" s="233"/>
      <c r="AJ909" s="233"/>
      <c r="AK909" s="233"/>
      <c r="AL909" s="233"/>
    </row>
    <row r="910">
      <c r="B910" s="277"/>
      <c r="L910" s="67"/>
      <c r="M910" s="280" t="s">
        <v>2482</v>
      </c>
      <c r="N910" s="234"/>
      <c r="O910" s="281"/>
      <c r="P910" s="233"/>
      <c r="Q910" s="233"/>
      <c r="R910" s="234"/>
      <c r="S910" s="233"/>
      <c r="T910" s="233"/>
      <c r="U910" s="233"/>
      <c r="V910" s="233"/>
      <c r="W910" s="233"/>
      <c r="X910" s="233"/>
      <c r="Y910" s="233"/>
      <c r="Z910" s="233"/>
      <c r="AA910" s="233"/>
      <c r="AB910" s="233"/>
      <c r="AC910" s="233"/>
      <c r="AD910" s="233"/>
      <c r="AE910" s="233"/>
      <c r="AF910" s="233"/>
      <c r="AG910" s="233"/>
      <c r="AH910" s="233"/>
      <c r="AI910" s="233"/>
      <c r="AJ910" s="233"/>
      <c r="AK910" s="233"/>
      <c r="AL910" s="233"/>
    </row>
    <row r="911">
      <c r="B911" s="277"/>
      <c r="L911" s="67"/>
      <c r="M911" s="280" t="s">
        <v>2482</v>
      </c>
      <c r="N911" s="234"/>
      <c r="O911" s="281"/>
      <c r="P911" s="233"/>
      <c r="Q911" s="233"/>
      <c r="R911" s="234"/>
      <c r="S911" s="233"/>
      <c r="T911" s="233"/>
      <c r="U911" s="233"/>
      <c r="V911" s="233"/>
      <c r="W911" s="233"/>
      <c r="X911" s="233"/>
      <c r="Y911" s="233"/>
      <c r="Z911" s="233"/>
      <c r="AA911" s="233"/>
      <c r="AB911" s="233"/>
      <c r="AC911" s="233"/>
      <c r="AD911" s="233"/>
      <c r="AE911" s="233"/>
      <c r="AF911" s="233"/>
      <c r="AG911" s="233"/>
      <c r="AH911" s="233"/>
      <c r="AI911" s="233"/>
      <c r="AJ911" s="233"/>
      <c r="AK911" s="233"/>
      <c r="AL911" s="233"/>
    </row>
    <row r="912">
      <c r="B912" s="277"/>
      <c r="L912" s="67"/>
      <c r="M912" s="280" t="s">
        <v>2482</v>
      </c>
      <c r="N912" s="234"/>
      <c r="O912" s="281"/>
      <c r="P912" s="233"/>
      <c r="Q912" s="233"/>
      <c r="R912" s="234"/>
      <c r="S912" s="233"/>
      <c r="T912" s="233"/>
      <c r="U912" s="233"/>
      <c r="V912" s="233"/>
      <c r="W912" s="233"/>
      <c r="X912" s="233"/>
      <c r="Y912" s="233"/>
      <c r="Z912" s="233"/>
      <c r="AA912" s="233"/>
      <c r="AB912" s="233"/>
      <c r="AC912" s="233"/>
      <c r="AD912" s="233"/>
      <c r="AE912" s="233"/>
      <c r="AF912" s="233"/>
      <c r="AG912" s="233"/>
      <c r="AH912" s="233"/>
      <c r="AI912" s="233"/>
      <c r="AJ912" s="233"/>
      <c r="AK912" s="233"/>
      <c r="AL912" s="233"/>
    </row>
    <row r="913">
      <c r="B913" s="277"/>
      <c r="L913" s="67"/>
      <c r="M913" s="280" t="s">
        <v>2482</v>
      </c>
      <c r="N913" s="234"/>
      <c r="O913" s="281"/>
      <c r="P913" s="233"/>
      <c r="Q913" s="233"/>
      <c r="R913" s="234"/>
      <c r="S913" s="233"/>
      <c r="T913" s="233"/>
      <c r="U913" s="233"/>
      <c r="V913" s="233"/>
      <c r="W913" s="233"/>
      <c r="X913" s="233"/>
      <c r="Y913" s="233"/>
      <c r="Z913" s="233"/>
      <c r="AA913" s="233"/>
      <c r="AB913" s="233"/>
      <c r="AC913" s="233"/>
      <c r="AD913" s="233"/>
      <c r="AE913" s="233"/>
      <c r="AF913" s="233"/>
      <c r="AG913" s="233"/>
      <c r="AH913" s="233"/>
      <c r="AI913" s="233"/>
      <c r="AJ913" s="233"/>
      <c r="AK913" s="233"/>
      <c r="AL913" s="233"/>
    </row>
    <row r="914">
      <c r="B914" s="277"/>
      <c r="L914" s="67"/>
      <c r="M914" s="280" t="s">
        <v>2482</v>
      </c>
      <c r="N914" s="234"/>
      <c r="O914" s="281"/>
      <c r="P914" s="233"/>
      <c r="Q914" s="233"/>
      <c r="R914" s="234"/>
      <c r="S914" s="233"/>
      <c r="T914" s="233"/>
      <c r="U914" s="233"/>
      <c r="V914" s="233"/>
      <c r="W914" s="233"/>
      <c r="X914" s="233"/>
      <c r="Y914" s="233"/>
      <c r="Z914" s="233"/>
      <c r="AA914" s="233"/>
      <c r="AB914" s="233"/>
      <c r="AC914" s="233"/>
      <c r="AD914" s="233"/>
      <c r="AE914" s="233"/>
      <c r="AF914" s="233"/>
      <c r="AG914" s="233"/>
      <c r="AH914" s="233"/>
      <c r="AI914" s="233"/>
      <c r="AJ914" s="233"/>
      <c r="AK914" s="233"/>
      <c r="AL914" s="233"/>
    </row>
    <row r="915">
      <c r="B915" s="277"/>
      <c r="L915" s="67"/>
      <c r="M915" s="280" t="s">
        <v>2482</v>
      </c>
      <c r="N915" s="234"/>
      <c r="O915" s="281"/>
      <c r="P915" s="233"/>
      <c r="Q915" s="233"/>
      <c r="R915" s="234"/>
      <c r="S915" s="233"/>
      <c r="T915" s="233"/>
      <c r="U915" s="233"/>
      <c r="V915" s="233"/>
      <c r="W915" s="233"/>
      <c r="X915" s="233"/>
      <c r="Y915" s="233"/>
      <c r="Z915" s="233"/>
      <c r="AA915" s="233"/>
      <c r="AB915" s="233"/>
      <c r="AC915" s="233"/>
      <c r="AD915" s="233"/>
      <c r="AE915" s="233"/>
      <c r="AF915" s="233"/>
      <c r="AG915" s="233"/>
      <c r="AH915" s="233"/>
      <c r="AI915" s="233"/>
      <c r="AJ915" s="233"/>
      <c r="AK915" s="233"/>
      <c r="AL915" s="233"/>
    </row>
    <row r="916">
      <c r="B916" s="277"/>
      <c r="L916" s="67"/>
      <c r="M916" s="280" t="s">
        <v>2482</v>
      </c>
      <c r="N916" s="234"/>
      <c r="O916" s="281"/>
      <c r="P916" s="233"/>
      <c r="Q916" s="233"/>
      <c r="R916" s="234"/>
      <c r="S916" s="233"/>
      <c r="T916" s="233"/>
      <c r="U916" s="233"/>
      <c r="V916" s="233"/>
      <c r="W916" s="233"/>
      <c r="X916" s="233"/>
      <c r="Y916" s="233"/>
      <c r="Z916" s="233"/>
      <c r="AA916" s="233"/>
      <c r="AB916" s="233"/>
      <c r="AC916" s="233"/>
      <c r="AD916" s="233"/>
      <c r="AE916" s="233"/>
      <c r="AF916" s="233"/>
      <c r="AG916" s="233"/>
      <c r="AH916" s="233"/>
      <c r="AI916" s="233"/>
      <c r="AJ916" s="233"/>
      <c r="AK916" s="233"/>
      <c r="AL916" s="233"/>
    </row>
    <row r="917">
      <c r="B917" s="277"/>
      <c r="L917" s="67"/>
      <c r="M917" s="280" t="s">
        <v>2482</v>
      </c>
      <c r="N917" s="234"/>
      <c r="O917" s="281"/>
      <c r="P917" s="233"/>
      <c r="Q917" s="233"/>
      <c r="R917" s="234"/>
      <c r="S917" s="233"/>
      <c r="T917" s="233"/>
      <c r="U917" s="233"/>
      <c r="V917" s="233"/>
      <c r="W917" s="233"/>
      <c r="X917" s="233"/>
      <c r="Y917" s="233"/>
      <c r="Z917" s="233"/>
      <c r="AA917" s="233"/>
      <c r="AB917" s="233"/>
      <c r="AC917" s="233"/>
      <c r="AD917" s="233"/>
      <c r="AE917" s="233"/>
      <c r="AF917" s="233"/>
      <c r="AG917" s="233"/>
      <c r="AH917" s="233"/>
      <c r="AI917" s="233"/>
      <c r="AJ917" s="233"/>
      <c r="AK917" s="233"/>
      <c r="AL917" s="233"/>
    </row>
    <row r="918">
      <c r="B918" s="277"/>
      <c r="L918" s="67"/>
      <c r="M918" s="280" t="s">
        <v>2482</v>
      </c>
      <c r="N918" s="234"/>
      <c r="O918" s="281"/>
      <c r="P918" s="233"/>
      <c r="Q918" s="233"/>
      <c r="R918" s="234"/>
      <c r="S918" s="233"/>
      <c r="T918" s="233"/>
      <c r="U918" s="233"/>
      <c r="V918" s="233"/>
      <c r="W918" s="233"/>
      <c r="X918" s="233"/>
      <c r="Y918" s="233"/>
      <c r="Z918" s="233"/>
      <c r="AA918" s="233"/>
      <c r="AB918" s="233"/>
      <c r="AC918" s="233"/>
      <c r="AD918" s="233"/>
      <c r="AE918" s="233"/>
      <c r="AF918" s="233"/>
      <c r="AG918" s="233"/>
      <c r="AH918" s="233"/>
      <c r="AI918" s="233"/>
      <c r="AJ918" s="233"/>
      <c r="AK918" s="233"/>
      <c r="AL918" s="233"/>
    </row>
    <row r="919">
      <c r="B919" s="277"/>
      <c r="L919" s="67"/>
      <c r="M919" s="280" t="s">
        <v>2482</v>
      </c>
      <c r="N919" s="234"/>
      <c r="O919" s="281"/>
      <c r="P919" s="233"/>
      <c r="Q919" s="233"/>
      <c r="R919" s="234"/>
      <c r="S919" s="233"/>
      <c r="T919" s="233"/>
      <c r="U919" s="233"/>
      <c r="V919" s="233"/>
      <c r="W919" s="233"/>
      <c r="X919" s="233"/>
      <c r="Y919" s="233"/>
      <c r="Z919" s="233"/>
      <c r="AA919" s="233"/>
      <c r="AB919" s="233"/>
      <c r="AC919" s="233"/>
      <c r="AD919" s="233"/>
      <c r="AE919" s="233"/>
      <c r="AF919" s="233"/>
      <c r="AG919" s="233"/>
      <c r="AH919" s="233"/>
      <c r="AI919" s="233"/>
      <c r="AJ919" s="233"/>
      <c r="AK919" s="233"/>
      <c r="AL919" s="233"/>
    </row>
    <row r="920">
      <c r="B920" s="277"/>
      <c r="L920" s="67"/>
      <c r="M920" s="280" t="s">
        <v>2482</v>
      </c>
      <c r="N920" s="234"/>
      <c r="O920" s="281"/>
      <c r="P920" s="233"/>
      <c r="Q920" s="233"/>
      <c r="R920" s="234"/>
      <c r="S920" s="233"/>
      <c r="T920" s="233"/>
      <c r="U920" s="233"/>
      <c r="V920" s="233"/>
      <c r="W920" s="233"/>
      <c r="X920" s="233"/>
      <c r="Y920" s="233"/>
      <c r="Z920" s="233"/>
      <c r="AA920" s="233"/>
      <c r="AB920" s="233"/>
      <c r="AC920" s="233"/>
      <c r="AD920" s="233"/>
      <c r="AE920" s="233"/>
      <c r="AF920" s="233"/>
      <c r="AG920" s="233"/>
      <c r="AH920" s="233"/>
      <c r="AI920" s="233"/>
      <c r="AJ920" s="233"/>
      <c r="AK920" s="233"/>
      <c r="AL920" s="233"/>
    </row>
    <row r="921">
      <c r="B921" s="277"/>
      <c r="L921" s="67"/>
      <c r="M921" s="280" t="s">
        <v>2482</v>
      </c>
      <c r="N921" s="234"/>
      <c r="O921" s="281"/>
      <c r="P921" s="233"/>
      <c r="Q921" s="233"/>
      <c r="R921" s="234"/>
      <c r="S921" s="233"/>
      <c r="T921" s="233"/>
      <c r="U921" s="233"/>
      <c r="V921" s="233"/>
      <c r="W921" s="233"/>
      <c r="X921" s="233"/>
      <c r="Y921" s="233"/>
      <c r="Z921" s="233"/>
      <c r="AA921" s="233"/>
      <c r="AB921" s="233"/>
      <c r="AC921" s="233"/>
      <c r="AD921" s="233"/>
      <c r="AE921" s="233"/>
      <c r="AF921" s="233"/>
      <c r="AG921" s="233"/>
      <c r="AH921" s="233"/>
      <c r="AI921" s="233"/>
      <c r="AJ921" s="233"/>
      <c r="AK921" s="233"/>
      <c r="AL921" s="233"/>
    </row>
    <row r="922">
      <c r="B922" s="277"/>
      <c r="L922" s="67"/>
      <c r="M922" s="280" t="s">
        <v>2482</v>
      </c>
      <c r="N922" s="234"/>
      <c r="O922" s="281"/>
      <c r="P922" s="233"/>
      <c r="Q922" s="233"/>
      <c r="R922" s="234"/>
      <c r="S922" s="233"/>
      <c r="T922" s="233"/>
      <c r="U922" s="233"/>
      <c r="V922" s="233"/>
      <c r="W922" s="233"/>
      <c r="X922" s="233"/>
      <c r="Y922" s="233"/>
      <c r="Z922" s="233"/>
      <c r="AA922" s="233"/>
      <c r="AB922" s="233"/>
      <c r="AC922" s="233"/>
      <c r="AD922" s="233"/>
      <c r="AE922" s="233"/>
      <c r="AF922" s="233"/>
      <c r="AG922" s="233"/>
      <c r="AH922" s="233"/>
      <c r="AI922" s="233"/>
      <c r="AJ922" s="233"/>
      <c r="AK922" s="233"/>
      <c r="AL922" s="233"/>
    </row>
    <row r="923">
      <c r="B923" s="277"/>
      <c r="L923" s="67"/>
      <c r="M923" s="280" t="s">
        <v>2482</v>
      </c>
      <c r="N923" s="234"/>
      <c r="O923" s="281"/>
      <c r="P923" s="233"/>
      <c r="Q923" s="233"/>
      <c r="R923" s="234"/>
      <c r="S923" s="233"/>
      <c r="T923" s="233"/>
      <c r="U923" s="233"/>
      <c r="V923" s="233"/>
      <c r="W923" s="233"/>
      <c r="X923" s="233"/>
      <c r="Y923" s="233"/>
      <c r="Z923" s="233"/>
      <c r="AA923" s="233"/>
      <c r="AB923" s="233"/>
      <c r="AC923" s="233"/>
      <c r="AD923" s="233"/>
      <c r="AE923" s="233"/>
      <c r="AF923" s="233"/>
      <c r="AG923" s="233"/>
      <c r="AH923" s="233"/>
      <c r="AI923" s="233"/>
      <c r="AJ923" s="233"/>
      <c r="AK923" s="233"/>
      <c r="AL923" s="233"/>
    </row>
    <row r="924">
      <c r="B924" s="277"/>
      <c r="L924" s="67"/>
      <c r="M924" s="280" t="s">
        <v>2482</v>
      </c>
      <c r="N924" s="234"/>
      <c r="O924" s="281"/>
      <c r="P924" s="233"/>
      <c r="Q924" s="233"/>
      <c r="R924" s="234"/>
      <c r="S924" s="233"/>
      <c r="T924" s="233"/>
      <c r="U924" s="233"/>
      <c r="V924" s="233"/>
      <c r="W924" s="233"/>
      <c r="X924" s="233"/>
      <c r="Y924" s="233"/>
      <c r="Z924" s="233"/>
      <c r="AA924" s="233"/>
      <c r="AB924" s="233"/>
      <c r="AC924" s="233"/>
      <c r="AD924" s="233"/>
      <c r="AE924" s="233"/>
      <c r="AF924" s="233"/>
      <c r="AG924" s="233"/>
      <c r="AH924" s="233"/>
      <c r="AI924" s="233"/>
      <c r="AJ924" s="233"/>
      <c r="AK924" s="233"/>
      <c r="AL924" s="233"/>
    </row>
    <row r="925">
      <c r="B925" s="277"/>
      <c r="L925" s="67"/>
      <c r="M925" s="280" t="s">
        <v>2482</v>
      </c>
      <c r="N925" s="234"/>
      <c r="O925" s="281"/>
      <c r="P925" s="233"/>
      <c r="Q925" s="233"/>
      <c r="R925" s="234"/>
      <c r="S925" s="233"/>
      <c r="T925" s="233"/>
      <c r="U925" s="233"/>
      <c r="V925" s="233"/>
      <c r="W925" s="233"/>
      <c r="X925" s="233"/>
      <c r="Y925" s="233"/>
      <c r="Z925" s="233"/>
      <c r="AA925" s="233"/>
      <c r="AB925" s="233"/>
      <c r="AC925" s="233"/>
      <c r="AD925" s="233"/>
      <c r="AE925" s="233"/>
      <c r="AF925" s="233"/>
      <c r="AG925" s="233"/>
      <c r="AH925" s="233"/>
      <c r="AI925" s="233"/>
      <c r="AJ925" s="233"/>
      <c r="AK925" s="233"/>
      <c r="AL925" s="233"/>
    </row>
    <row r="926">
      <c r="B926" s="277"/>
      <c r="L926" s="67"/>
      <c r="M926" s="280" t="s">
        <v>2482</v>
      </c>
      <c r="N926" s="234"/>
      <c r="O926" s="281"/>
      <c r="P926" s="233"/>
      <c r="Q926" s="233"/>
      <c r="R926" s="234"/>
      <c r="S926" s="233"/>
      <c r="T926" s="233"/>
      <c r="U926" s="233"/>
      <c r="V926" s="233"/>
      <c r="W926" s="233"/>
      <c r="X926" s="233"/>
      <c r="Y926" s="233"/>
      <c r="Z926" s="233"/>
      <c r="AA926" s="233"/>
      <c r="AB926" s="233"/>
      <c r="AC926" s="233"/>
      <c r="AD926" s="233"/>
      <c r="AE926" s="233"/>
      <c r="AF926" s="233"/>
      <c r="AG926" s="233"/>
      <c r="AH926" s="233"/>
      <c r="AI926" s="233"/>
      <c r="AJ926" s="233"/>
      <c r="AK926" s="233"/>
      <c r="AL926" s="233"/>
    </row>
    <row r="927">
      <c r="B927" s="277"/>
      <c r="L927" s="67"/>
      <c r="M927" s="280" t="s">
        <v>2482</v>
      </c>
      <c r="N927" s="234"/>
      <c r="O927" s="281"/>
      <c r="P927" s="233"/>
      <c r="Q927" s="233"/>
      <c r="R927" s="234"/>
      <c r="S927" s="233"/>
      <c r="T927" s="233"/>
      <c r="U927" s="233"/>
      <c r="V927" s="233"/>
      <c r="W927" s="233"/>
      <c r="X927" s="233"/>
      <c r="Y927" s="233"/>
      <c r="Z927" s="233"/>
      <c r="AA927" s="233"/>
      <c r="AB927" s="233"/>
      <c r="AC927" s="233"/>
      <c r="AD927" s="233"/>
      <c r="AE927" s="233"/>
      <c r="AF927" s="233"/>
      <c r="AG927" s="233"/>
      <c r="AH927" s="233"/>
      <c r="AI927" s="233"/>
      <c r="AJ927" s="233"/>
      <c r="AK927" s="233"/>
      <c r="AL927" s="233"/>
    </row>
    <row r="928">
      <c r="B928" s="277"/>
      <c r="L928" s="67"/>
      <c r="M928" s="280" t="s">
        <v>2482</v>
      </c>
      <c r="N928" s="234"/>
      <c r="O928" s="281"/>
      <c r="P928" s="233"/>
      <c r="Q928" s="233"/>
      <c r="R928" s="234"/>
      <c r="S928" s="233"/>
      <c r="T928" s="233"/>
      <c r="U928" s="233"/>
      <c r="V928" s="233"/>
      <c r="W928" s="233"/>
      <c r="X928" s="233"/>
      <c r="Y928" s="233"/>
      <c r="Z928" s="233"/>
      <c r="AA928" s="233"/>
      <c r="AB928" s="233"/>
      <c r="AC928" s="233"/>
      <c r="AD928" s="233"/>
      <c r="AE928" s="233"/>
      <c r="AF928" s="233"/>
      <c r="AG928" s="233"/>
      <c r="AH928" s="233"/>
      <c r="AI928" s="233"/>
      <c r="AJ928" s="233"/>
      <c r="AK928" s="233"/>
      <c r="AL928" s="233"/>
    </row>
    <row r="929">
      <c r="B929" s="277"/>
      <c r="L929" s="67"/>
      <c r="M929" s="280" t="s">
        <v>2482</v>
      </c>
      <c r="N929" s="234"/>
      <c r="O929" s="281"/>
      <c r="P929" s="233"/>
      <c r="Q929" s="233"/>
      <c r="R929" s="234"/>
      <c r="S929" s="233"/>
      <c r="T929" s="233"/>
      <c r="U929" s="233"/>
      <c r="V929" s="233"/>
      <c r="W929" s="233"/>
      <c r="X929" s="233"/>
      <c r="Y929" s="233"/>
      <c r="Z929" s="233"/>
      <c r="AA929" s="233"/>
      <c r="AB929" s="233"/>
      <c r="AC929" s="233"/>
      <c r="AD929" s="233"/>
      <c r="AE929" s="233"/>
      <c r="AF929" s="233"/>
      <c r="AG929" s="233"/>
      <c r="AH929" s="233"/>
      <c r="AI929" s="233"/>
      <c r="AJ929" s="233"/>
      <c r="AK929" s="233"/>
      <c r="AL929" s="233"/>
    </row>
    <row r="930">
      <c r="B930" s="277"/>
      <c r="L930" s="67"/>
      <c r="M930" s="280" t="s">
        <v>2482</v>
      </c>
      <c r="N930" s="234"/>
      <c r="O930" s="281"/>
      <c r="P930" s="233"/>
      <c r="Q930" s="233"/>
      <c r="R930" s="234"/>
      <c r="S930" s="233"/>
      <c r="T930" s="233"/>
      <c r="U930" s="233"/>
      <c r="V930" s="233"/>
      <c r="W930" s="233"/>
      <c r="X930" s="233"/>
      <c r="Y930" s="233"/>
      <c r="Z930" s="233"/>
      <c r="AA930" s="233"/>
      <c r="AB930" s="233"/>
      <c r="AC930" s="233"/>
      <c r="AD930" s="233"/>
      <c r="AE930" s="233"/>
      <c r="AF930" s="233"/>
      <c r="AG930" s="233"/>
      <c r="AH930" s="233"/>
      <c r="AI930" s="233"/>
      <c r="AJ930" s="233"/>
      <c r="AK930" s="233"/>
      <c r="AL930" s="233"/>
    </row>
    <row r="931">
      <c r="B931" s="277"/>
      <c r="L931" s="67"/>
      <c r="M931" s="280" t="s">
        <v>2482</v>
      </c>
      <c r="N931" s="234"/>
      <c r="O931" s="281"/>
      <c r="P931" s="233"/>
      <c r="Q931" s="233"/>
      <c r="R931" s="234"/>
      <c r="S931" s="233"/>
      <c r="T931" s="233"/>
      <c r="U931" s="233"/>
      <c r="V931" s="233"/>
      <c r="W931" s="233"/>
      <c r="X931" s="233"/>
      <c r="Y931" s="233"/>
      <c r="Z931" s="233"/>
      <c r="AA931" s="233"/>
      <c r="AB931" s="233"/>
      <c r="AC931" s="233"/>
      <c r="AD931" s="233"/>
      <c r="AE931" s="233"/>
      <c r="AF931" s="233"/>
      <c r="AG931" s="233"/>
      <c r="AH931" s="233"/>
      <c r="AI931" s="233"/>
      <c r="AJ931" s="233"/>
      <c r="AK931" s="233"/>
      <c r="AL931" s="233"/>
    </row>
    <row r="932">
      <c r="B932" s="277"/>
      <c r="L932" s="67"/>
      <c r="M932" s="280" t="s">
        <v>2482</v>
      </c>
      <c r="N932" s="234"/>
      <c r="O932" s="281"/>
      <c r="P932" s="233"/>
      <c r="Q932" s="233"/>
      <c r="R932" s="234"/>
      <c r="S932" s="233"/>
      <c r="T932" s="233"/>
      <c r="U932" s="233"/>
      <c r="V932" s="233"/>
      <c r="W932" s="233"/>
      <c r="X932" s="233"/>
      <c r="Y932" s="233"/>
      <c r="Z932" s="233"/>
      <c r="AA932" s="233"/>
      <c r="AB932" s="233"/>
      <c r="AC932" s="233"/>
      <c r="AD932" s="233"/>
      <c r="AE932" s="233"/>
      <c r="AF932" s="233"/>
      <c r="AG932" s="233"/>
      <c r="AH932" s="233"/>
      <c r="AI932" s="233"/>
      <c r="AJ932" s="233"/>
      <c r="AK932" s="233"/>
      <c r="AL932" s="233"/>
    </row>
    <row r="933">
      <c r="B933" s="277"/>
      <c r="L933" s="67"/>
      <c r="M933" s="280" t="s">
        <v>2482</v>
      </c>
      <c r="N933" s="234"/>
      <c r="O933" s="281"/>
      <c r="P933" s="233"/>
      <c r="Q933" s="233"/>
      <c r="R933" s="234"/>
      <c r="S933" s="233"/>
      <c r="T933" s="233"/>
      <c r="U933" s="233"/>
      <c r="V933" s="233"/>
      <c r="W933" s="233"/>
      <c r="X933" s="233"/>
      <c r="Y933" s="233"/>
      <c r="Z933" s="233"/>
      <c r="AA933" s="233"/>
      <c r="AB933" s="233"/>
      <c r="AC933" s="233"/>
      <c r="AD933" s="233"/>
      <c r="AE933" s="233"/>
      <c r="AF933" s="233"/>
      <c r="AG933" s="233"/>
      <c r="AH933" s="233"/>
      <c r="AI933" s="233"/>
      <c r="AJ933" s="233"/>
      <c r="AK933" s="233"/>
      <c r="AL933" s="233"/>
    </row>
    <row r="934">
      <c r="B934" s="277"/>
      <c r="L934" s="67"/>
      <c r="M934" s="280" t="s">
        <v>2482</v>
      </c>
      <c r="N934" s="234"/>
      <c r="O934" s="281"/>
      <c r="P934" s="233"/>
      <c r="Q934" s="233"/>
      <c r="R934" s="234"/>
      <c r="S934" s="233"/>
      <c r="T934" s="233"/>
      <c r="U934" s="233"/>
      <c r="V934" s="233"/>
      <c r="W934" s="233"/>
      <c r="X934" s="233"/>
      <c r="Y934" s="233"/>
      <c r="Z934" s="233"/>
      <c r="AA934" s="233"/>
      <c r="AB934" s="233"/>
      <c r="AC934" s="233"/>
      <c r="AD934" s="233"/>
      <c r="AE934" s="233"/>
      <c r="AF934" s="233"/>
      <c r="AG934" s="233"/>
      <c r="AH934" s="233"/>
      <c r="AI934" s="233"/>
      <c r="AJ934" s="233"/>
      <c r="AK934" s="233"/>
      <c r="AL934" s="233"/>
    </row>
    <row r="935">
      <c r="B935" s="277"/>
      <c r="L935" s="67"/>
      <c r="M935" s="280" t="s">
        <v>2482</v>
      </c>
      <c r="N935" s="234"/>
      <c r="O935" s="281"/>
      <c r="P935" s="233"/>
      <c r="Q935" s="233"/>
      <c r="R935" s="234"/>
      <c r="S935" s="233"/>
      <c r="T935" s="233"/>
      <c r="U935" s="233"/>
      <c r="V935" s="233"/>
      <c r="W935" s="233"/>
      <c r="X935" s="233"/>
      <c r="Y935" s="233"/>
      <c r="Z935" s="233"/>
      <c r="AA935" s="233"/>
      <c r="AB935" s="233"/>
      <c r="AC935" s="233"/>
      <c r="AD935" s="233"/>
      <c r="AE935" s="233"/>
      <c r="AF935" s="233"/>
      <c r="AG935" s="233"/>
      <c r="AH935" s="233"/>
      <c r="AI935" s="233"/>
      <c r="AJ935" s="233"/>
      <c r="AK935" s="233"/>
      <c r="AL935" s="233"/>
    </row>
    <row r="936">
      <c r="B936" s="277"/>
      <c r="L936" s="67"/>
      <c r="M936" s="280" t="s">
        <v>2482</v>
      </c>
      <c r="N936" s="234"/>
      <c r="O936" s="281"/>
      <c r="P936" s="233"/>
      <c r="Q936" s="233"/>
      <c r="R936" s="234"/>
      <c r="S936" s="233"/>
      <c r="T936" s="233"/>
      <c r="U936" s="233"/>
      <c r="V936" s="233"/>
      <c r="W936" s="233"/>
      <c r="X936" s="233"/>
      <c r="Y936" s="233"/>
      <c r="Z936" s="233"/>
      <c r="AA936" s="233"/>
      <c r="AB936" s="233"/>
      <c r="AC936" s="233"/>
      <c r="AD936" s="233"/>
      <c r="AE936" s="233"/>
      <c r="AF936" s="233"/>
      <c r="AG936" s="233"/>
      <c r="AH936" s="233"/>
      <c r="AI936" s="233"/>
      <c r="AJ936" s="233"/>
      <c r="AK936" s="233"/>
      <c r="AL936" s="233"/>
    </row>
    <row r="937">
      <c r="B937" s="277"/>
      <c r="L937" s="67"/>
      <c r="M937" s="280" t="s">
        <v>2482</v>
      </c>
      <c r="N937" s="234"/>
      <c r="O937" s="281"/>
      <c r="P937" s="233"/>
      <c r="Q937" s="233"/>
      <c r="R937" s="234"/>
      <c r="S937" s="233"/>
      <c r="T937" s="233"/>
      <c r="U937" s="233"/>
      <c r="V937" s="233"/>
      <c r="W937" s="233"/>
      <c r="X937" s="233"/>
      <c r="Y937" s="233"/>
      <c r="Z937" s="233"/>
      <c r="AA937" s="233"/>
      <c r="AB937" s="233"/>
      <c r="AC937" s="233"/>
      <c r="AD937" s="233"/>
      <c r="AE937" s="233"/>
      <c r="AF937" s="233"/>
      <c r="AG937" s="233"/>
      <c r="AH937" s="233"/>
      <c r="AI937" s="233"/>
      <c r="AJ937" s="233"/>
      <c r="AK937" s="233"/>
      <c r="AL937" s="233"/>
    </row>
    <row r="938">
      <c r="B938" s="277"/>
      <c r="L938" s="67"/>
      <c r="M938" s="280" t="s">
        <v>2482</v>
      </c>
      <c r="N938" s="234"/>
      <c r="O938" s="281"/>
      <c r="P938" s="233"/>
      <c r="Q938" s="233"/>
      <c r="R938" s="234"/>
      <c r="S938" s="233"/>
      <c r="T938" s="233"/>
      <c r="U938" s="233"/>
      <c r="V938" s="233"/>
      <c r="W938" s="233"/>
      <c r="X938" s="233"/>
      <c r="Y938" s="233"/>
      <c r="Z938" s="233"/>
      <c r="AA938" s="233"/>
      <c r="AB938" s="233"/>
      <c r="AC938" s="233"/>
      <c r="AD938" s="233"/>
      <c r="AE938" s="233"/>
      <c r="AF938" s="233"/>
      <c r="AG938" s="233"/>
      <c r="AH938" s="233"/>
      <c r="AI938" s="233"/>
      <c r="AJ938" s="233"/>
      <c r="AK938" s="233"/>
      <c r="AL938" s="233"/>
    </row>
    <row r="939">
      <c r="B939" s="277"/>
      <c r="L939" s="67"/>
      <c r="M939" s="280" t="s">
        <v>2482</v>
      </c>
      <c r="N939" s="234"/>
      <c r="O939" s="281"/>
      <c r="P939" s="233"/>
      <c r="Q939" s="233"/>
      <c r="R939" s="234"/>
      <c r="S939" s="233"/>
      <c r="T939" s="233"/>
      <c r="U939" s="233"/>
      <c r="V939" s="233"/>
      <c r="W939" s="233"/>
      <c r="X939" s="233"/>
      <c r="Y939" s="233"/>
      <c r="Z939" s="233"/>
      <c r="AA939" s="233"/>
      <c r="AB939" s="233"/>
      <c r="AC939" s="233"/>
      <c r="AD939" s="233"/>
      <c r="AE939" s="233"/>
      <c r="AF939" s="233"/>
      <c r="AG939" s="233"/>
      <c r="AH939" s="233"/>
      <c r="AI939" s="233"/>
      <c r="AJ939" s="233"/>
      <c r="AK939" s="233"/>
      <c r="AL939" s="233"/>
    </row>
    <row r="940">
      <c r="B940" s="277"/>
      <c r="L940" s="67"/>
      <c r="M940" s="280" t="s">
        <v>2482</v>
      </c>
      <c r="N940" s="234"/>
      <c r="O940" s="281"/>
      <c r="P940" s="233"/>
      <c r="Q940" s="233"/>
      <c r="R940" s="234"/>
      <c r="S940" s="233"/>
      <c r="T940" s="233"/>
      <c r="U940" s="233"/>
      <c r="V940" s="233"/>
      <c r="W940" s="233"/>
      <c r="X940" s="233"/>
      <c r="Y940" s="233"/>
      <c r="Z940" s="233"/>
      <c r="AA940" s="233"/>
      <c r="AB940" s="233"/>
      <c r="AC940" s="233"/>
      <c r="AD940" s="233"/>
      <c r="AE940" s="233"/>
      <c r="AF940" s="233"/>
      <c r="AG940" s="233"/>
      <c r="AH940" s="233"/>
      <c r="AI940" s="233"/>
      <c r="AJ940" s="233"/>
      <c r="AK940" s="233"/>
      <c r="AL940" s="233"/>
    </row>
    <row r="941">
      <c r="B941" s="277"/>
      <c r="L941" s="67"/>
      <c r="M941" s="280" t="s">
        <v>2482</v>
      </c>
      <c r="N941" s="234"/>
      <c r="O941" s="281"/>
      <c r="P941" s="233"/>
      <c r="Q941" s="233"/>
      <c r="R941" s="234"/>
      <c r="S941" s="233"/>
      <c r="T941" s="233"/>
      <c r="U941" s="233"/>
      <c r="V941" s="233"/>
      <c r="W941" s="233"/>
      <c r="X941" s="233"/>
      <c r="Y941" s="233"/>
      <c r="Z941" s="233"/>
      <c r="AA941" s="233"/>
      <c r="AB941" s="233"/>
      <c r="AC941" s="233"/>
      <c r="AD941" s="233"/>
      <c r="AE941" s="233"/>
      <c r="AF941" s="233"/>
      <c r="AG941" s="233"/>
      <c r="AH941" s="233"/>
      <c r="AI941" s="233"/>
      <c r="AJ941" s="233"/>
      <c r="AK941" s="233"/>
      <c r="AL941" s="233"/>
    </row>
    <row r="942">
      <c r="B942" s="277"/>
      <c r="L942" s="67"/>
      <c r="M942" s="280" t="s">
        <v>2482</v>
      </c>
      <c r="N942" s="234"/>
      <c r="O942" s="281"/>
      <c r="P942" s="233"/>
      <c r="Q942" s="233"/>
      <c r="R942" s="234"/>
      <c r="S942" s="233"/>
      <c r="T942" s="233"/>
      <c r="U942" s="233"/>
      <c r="V942" s="233"/>
      <c r="W942" s="233"/>
      <c r="X942" s="233"/>
      <c r="Y942" s="233"/>
      <c r="Z942" s="233"/>
      <c r="AA942" s="233"/>
      <c r="AB942" s="233"/>
      <c r="AC942" s="233"/>
      <c r="AD942" s="233"/>
      <c r="AE942" s="233"/>
      <c r="AF942" s="233"/>
      <c r="AG942" s="233"/>
      <c r="AH942" s="233"/>
      <c r="AI942" s="233"/>
      <c r="AJ942" s="233"/>
      <c r="AK942" s="233"/>
      <c r="AL942" s="233"/>
    </row>
    <row r="943">
      <c r="B943" s="277"/>
      <c r="L943" s="67"/>
      <c r="M943" s="280" t="s">
        <v>2482</v>
      </c>
      <c r="N943" s="234"/>
      <c r="O943" s="281"/>
      <c r="P943" s="233"/>
      <c r="Q943" s="233"/>
      <c r="R943" s="234"/>
      <c r="S943" s="233"/>
      <c r="T943" s="233"/>
      <c r="U943" s="233"/>
      <c r="V943" s="233"/>
      <c r="W943" s="233"/>
      <c r="X943" s="233"/>
      <c r="Y943" s="233"/>
      <c r="Z943" s="233"/>
      <c r="AA943" s="233"/>
      <c r="AB943" s="233"/>
      <c r="AC943" s="233"/>
      <c r="AD943" s="233"/>
      <c r="AE943" s="233"/>
      <c r="AF943" s="233"/>
      <c r="AG943" s="233"/>
      <c r="AH943" s="233"/>
      <c r="AI943" s="233"/>
      <c r="AJ943" s="233"/>
      <c r="AK943" s="233"/>
      <c r="AL943" s="233"/>
    </row>
    <row r="944">
      <c r="B944" s="277"/>
      <c r="L944" s="67"/>
      <c r="M944" s="280" t="s">
        <v>2482</v>
      </c>
      <c r="N944" s="234"/>
      <c r="O944" s="281"/>
      <c r="P944" s="233"/>
      <c r="Q944" s="233"/>
      <c r="R944" s="234"/>
      <c r="S944" s="233"/>
      <c r="T944" s="233"/>
      <c r="U944" s="233"/>
      <c r="V944" s="233"/>
      <c r="W944" s="233"/>
      <c r="X944" s="233"/>
      <c r="Y944" s="233"/>
      <c r="Z944" s="233"/>
      <c r="AA944" s="233"/>
      <c r="AB944" s="233"/>
      <c r="AC944" s="233"/>
      <c r="AD944" s="233"/>
      <c r="AE944" s="233"/>
      <c r="AF944" s="233"/>
      <c r="AG944" s="233"/>
      <c r="AH944" s="233"/>
      <c r="AI944" s="233"/>
      <c r="AJ944" s="233"/>
      <c r="AK944" s="233"/>
      <c r="AL944" s="233"/>
    </row>
    <row r="945">
      <c r="B945" s="277"/>
      <c r="L945" s="67"/>
      <c r="M945" s="280" t="s">
        <v>2482</v>
      </c>
      <c r="N945" s="234"/>
      <c r="O945" s="281"/>
      <c r="P945" s="233"/>
      <c r="Q945" s="233"/>
      <c r="R945" s="234"/>
      <c r="S945" s="233"/>
      <c r="T945" s="233"/>
      <c r="U945" s="233"/>
      <c r="V945" s="233"/>
      <c r="W945" s="233"/>
      <c r="X945" s="233"/>
      <c r="Y945" s="233"/>
      <c r="Z945" s="233"/>
      <c r="AA945" s="233"/>
      <c r="AB945" s="233"/>
      <c r="AC945" s="233"/>
      <c r="AD945" s="233"/>
      <c r="AE945" s="233"/>
      <c r="AF945" s="233"/>
      <c r="AG945" s="233"/>
      <c r="AH945" s="233"/>
      <c r="AI945" s="233"/>
      <c r="AJ945" s="233"/>
      <c r="AK945" s="233"/>
      <c r="AL945" s="233"/>
    </row>
    <row r="946">
      <c r="B946" s="277"/>
      <c r="L946" s="67"/>
      <c r="M946" s="280" t="s">
        <v>2482</v>
      </c>
      <c r="N946" s="234"/>
      <c r="O946" s="281"/>
      <c r="P946" s="233"/>
      <c r="Q946" s="233"/>
      <c r="R946" s="234"/>
      <c r="S946" s="233"/>
      <c r="T946" s="233"/>
      <c r="U946" s="233"/>
      <c r="V946" s="233"/>
      <c r="W946" s="233"/>
      <c r="X946" s="233"/>
      <c r="Y946" s="233"/>
      <c r="Z946" s="233"/>
      <c r="AA946" s="233"/>
      <c r="AB946" s="233"/>
      <c r="AC946" s="233"/>
      <c r="AD946" s="233"/>
      <c r="AE946" s="233"/>
      <c r="AF946" s="233"/>
      <c r="AG946" s="233"/>
      <c r="AH946" s="233"/>
      <c r="AI946" s="233"/>
      <c r="AJ946" s="233"/>
      <c r="AK946" s="233"/>
      <c r="AL946" s="233"/>
    </row>
    <row r="947">
      <c r="B947" s="277"/>
      <c r="L947" s="67"/>
      <c r="M947" s="280" t="s">
        <v>2482</v>
      </c>
      <c r="N947" s="234"/>
      <c r="O947" s="281"/>
      <c r="P947" s="233"/>
      <c r="Q947" s="233"/>
      <c r="R947" s="234"/>
      <c r="S947" s="233"/>
      <c r="T947" s="233"/>
      <c r="U947" s="233"/>
      <c r="V947" s="233"/>
      <c r="W947" s="233"/>
      <c r="X947" s="233"/>
      <c r="Y947" s="233"/>
      <c r="Z947" s="233"/>
      <c r="AA947" s="233"/>
      <c r="AB947" s="233"/>
      <c r="AC947" s="233"/>
      <c r="AD947" s="233"/>
      <c r="AE947" s="233"/>
      <c r="AF947" s="233"/>
      <c r="AG947" s="233"/>
      <c r="AH947" s="233"/>
      <c r="AI947" s="233"/>
      <c r="AJ947" s="233"/>
      <c r="AK947" s="233"/>
      <c r="AL947" s="233"/>
    </row>
    <row r="948">
      <c r="B948" s="277"/>
      <c r="L948" s="67"/>
      <c r="M948" s="280" t="s">
        <v>2482</v>
      </c>
      <c r="N948" s="234"/>
      <c r="O948" s="281"/>
      <c r="P948" s="233"/>
      <c r="Q948" s="233"/>
      <c r="R948" s="234"/>
      <c r="S948" s="233"/>
      <c r="T948" s="233"/>
      <c r="U948" s="233"/>
      <c r="V948" s="233"/>
      <c r="W948" s="233"/>
      <c r="X948" s="233"/>
      <c r="Y948" s="233"/>
      <c r="Z948" s="233"/>
      <c r="AA948" s="233"/>
      <c r="AB948" s="233"/>
      <c r="AC948" s="233"/>
      <c r="AD948" s="233"/>
      <c r="AE948" s="233"/>
      <c r="AF948" s="233"/>
      <c r="AG948" s="233"/>
      <c r="AH948" s="233"/>
      <c r="AI948" s="233"/>
      <c r="AJ948" s="233"/>
      <c r="AK948" s="233"/>
      <c r="AL948" s="233"/>
    </row>
    <row r="949">
      <c r="B949" s="277"/>
      <c r="L949" s="67"/>
      <c r="M949" s="280" t="s">
        <v>2482</v>
      </c>
      <c r="N949" s="234"/>
      <c r="O949" s="281"/>
      <c r="P949" s="233"/>
      <c r="Q949" s="233"/>
      <c r="R949" s="234"/>
      <c r="S949" s="233"/>
      <c r="T949" s="233"/>
      <c r="U949" s="233"/>
      <c r="V949" s="233"/>
      <c r="W949" s="233"/>
      <c r="X949" s="233"/>
      <c r="Y949" s="233"/>
      <c r="Z949" s="233"/>
      <c r="AA949" s="233"/>
      <c r="AB949" s="233"/>
      <c r="AC949" s="233"/>
      <c r="AD949" s="233"/>
      <c r="AE949" s="233"/>
      <c r="AF949" s="233"/>
      <c r="AG949" s="233"/>
      <c r="AH949" s="233"/>
      <c r="AI949" s="233"/>
      <c r="AJ949" s="233"/>
      <c r="AK949" s="233"/>
      <c r="AL949" s="233"/>
    </row>
    <row r="950">
      <c r="B950" s="277"/>
      <c r="L950" s="67"/>
      <c r="M950" s="280" t="s">
        <v>2482</v>
      </c>
      <c r="N950" s="234"/>
      <c r="O950" s="281"/>
      <c r="P950" s="233"/>
      <c r="Q950" s="233"/>
      <c r="R950" s="234"/>
      <c r="S950" s="233"/>
      <c r="T950" s="233"/>
      <c r="U950" s="233"/>
      <c r="V950" s="233"/>
      <c r="W950" s="233"/>
      <c r="X950" s="233"/>
      <c r="Y950" s="233"/>
      <c r="Z950" s="233"/>
      <c r="AA950" s="233"/>
      <c r="AB950" s="233"/>
      <c r="AC950" s="233"/>
      <c r="AD950" s="233"/>
      <c r="AE950" s="233"/>
      <c r="AF950" s="233"/>
      <c r="AG950" s="233"/>
      <c r="AH950" s="233"/>
      <c r="AI950" s="233"/>
      <c r="AJ950" s="233"/>
      <c r="AK950" s="233"/>
      <c r="AL950" s="233"/>
    </row>
    <row r="951">
      <c r="B951" s="277"/>
      <c r="L951" s="67"/>
      <c r="M951" s="280" t="s">
        <v>2482</v>
      </c>
      <c r="N951" s="234"/>
      <c r="O951" s="281"/>
      <c r="P951" s="233"/>
      <c r="Q951" s="233"/>
      <c r="R951" s="234"/>
      <c r="S951" s="233"/>
      <c r="T951" s="233"/>
      <c r="U951" s="233"/>
      <c r="V951" s="233"/>
      <c r="W951" s="233"/>
      <c r="X951" s="233"/>
      <c r="Y951" s="233"/>
      <c r="Z951" s="233"/>
      <c r="AA951" s="233"/>
      <c r="AB951" s="233"/>
      <c r="AC951" s="233"/>
      <c r="AD951" s="233"/>
      <c r="AE951" s="233"/>
      <c r="AF951" s="233"/>
      <c r="AG951" s="233"/>
      <c r="AH951" s="233"/>
      <c r="AI951" s="233"/>
      <c r="AJ951" s="233"/>
      <c r="AK951" s="233"/>
      <c r="AL951" s="233"/>
    </row>
    <row r="952">
      <c r="B952" s="277"/>
      <c r="L952" s="67"/>
      <c r="M952" s="280" t="s">
        <v>2482</v>
      </c>
      <c r="N952" s="234"/>
      <c r="O952" s="281"/>
      <c r="P952" s="233"/>
      <c r="Q952" s="233"/>
      <c r="R952" s="234"/>
      <c r="S952" s="233"/>
      <c r="T952" s="233"/>
      <c r="U952" s="233"/>
      <c r="V952" s="233"/>
      <c r="W952" s="233"/>
      <c r="X952" s="233"/>
      <c r="Y952" s="233"/>
      <c r="Z952" s="233"/>
      <c r="AA952" s="233"/>
      <c r="AB952" s="233"/>
      <c r="AC952" s="233"/>
      <c r="AD952" s="233"/>
      <c r="AE952" s="233"/>
      <c r="AF952" s="233"/>
      <c r="AG952" s="233"/>
      <c r="AH952" s="233"/>
      <c r="AI952" s="233"/>
      <c r="AJ952" s="233"/>
      <c r="AK952" s="233"/>
      <c r="AL952" s="233"/>
    </row>
    <row r="953">
      <c r="B953" s="277"/>
      <c r="L953" s="67"/>
      <c r="M953" s="280" t="s">
        <v>2482</v>
      </c>
      <c r="N953" s="234"/>
      <c r="O953" s="281"/>
      <c r="P953" s="233"/>
      <c r="Q953" s="233"/>
      <c r="R953" s="234"/>
      <c r="S953" s="233"/>
      <c r="T953" s="233"/>
      <c r="U953" s="233"/>
      <c r="V953" s="233"/>
      <c r="W953" s="233"/>
      <c r="X953" s="233"/>
      <c r="Y953" s="233"/>
      <c r="Z953" s="233"/>
      <c r="AA953" s="233"/>
      <c r="AB953" s="233"/>
      <c r="AC953" s="233"/>
      <c r="AD953" s="233"/>
      <c r="AE953" s="233"/>
      <c r="AF953" s="233"/>
      <c r="AG953" s="233"/>
      <c r="AH953" s="233"/>
      <c r="AI953" s="233"/>
      <c r="AJ953" s="233"/>
      <c r="AK953" s="233"/>
      <c r="AL953" s="233"/>
    </row>
    <row r="954">
      <c r="B954" s="277"/>
      <c r="L954" s="67"/>
      <c r="M954" s="280" t="s">
        <v>2482</v>
      </c>
      <c r="N954" s="234"/>
      <c r="O954" s="281"/>
      <c r="P954" s="233"/>
      <c r="Q954" s="233"/>
      <c r="R954" s="234"/>
      <c r="S954" s="233"/>
      <c r="T954" s="233"/>
      <c r="U954" s="233"/>
      <c r="V954" s="233"/>
      <c r="W954" s="233"/>
      <c r="X954" s="233"/>
      <c r="Y954" s="233"/>
      <c r="Z954" s="233"/>
      <c r="AA954" s="233"/>
      <c r="AB954" s="233"/>
      <c r="AC954" s="233"/>
      <c r="AD954" s="233"/>
      <c r="AE954" s="233"/>
      <c r="AF954" s="233"/>
      <c r="AG954" s="233"/>
      <c r="AH954" s="233"/>
      <c r="AI954" s="233"/>
      <c r="AJ954" s="233"/>
      <c r="AK954" s="233"/>
      <c r="AL954" s="233"/>
    </row>
    <row r="955">
      <c r="B955" s="277"/>
      <c r="L955" s="67"/>
      <c r="M955" s="280" t="s">
        <v>2482</v>
      </c>
      <c r="N955" s="234"/>
      <c r="O955" s="281"/>
      <c r="P955" s="233"/>
      <c r="Q955" s="233"/>
      <c r="R955" s="234"/>
      <c r="S955" s="233"/>
      <c r="T955" s="233"/>
      <c r="U955" s="233"/>
      <c r="V955" s="233"/>
      <c r="W955" s="233"/>
      <c r="X955" s="233"/>
      <c r="Y955" s="233"/>
      <c r="Z955" s="233"/>
      <c r="AA955" s="233"/>
      <c r="AB955" s="233"/>
      <c r="AC955" s="233"/>
      <c r="AD955" s="233"/>
      <c r="AE955" s="233"/>
      <c r="AF955" s="233"/>
      <c r="AG955" s="233"/>
      <c r="AH955" s="233"/>
      <c r="AI955" s="233"/>
      <c r="AJ955" s="233"/>
      <c r="AK955" s="233"/>
      <c r="AL955" s="233"/>
    </row>
    <row r="956">
      <c r="B956" s="277"/>
      <c r="L956" s="67"/>
      <c r="M956" s="280" t="s">
        <v>2482</v>
      </c>
      <c r="N956" s="234"/>
      <c r="O956" s="281"/>
      <c r="P956" s="233"/>
      <c r="Q956" s="233"/>
      <c r="R956" s="234"/>
      <c r="S956" s="233"/>
      <c r="T956" s="233"/>
      <c r="U956" s="233"/>
      <c r="V956" s="233"/>
      <c r="W956" s="233"/>
      <c r="X956" s="233"/>
      <c r="Y956" s="233"/>
      <c r="Z956" s="233"/>
      <c r="AA956" s="233"/>
      <c r="AB956" s="233"/>
      <c r="AC956" s="233"/>
      <c r="AD956" s="233"/>
      <c r="AE956" s="233"/>
      <c r="AF956" s="233"/>
      <c r="AG956" s="233"/>
      <c r="AH956" s="233"/>
      <c r="AI956" s="233"/>
      <c r="AJ956" s="233"/>
      <c r="AK956" s="233"/>
      <c r="AL956" s="233"/>
    </row>
    <row r="957">
      <c r="B957" s="277"/>
      <c r="L957" s="67"/>
      <c r="M957" s="280" t="s">
        <v>2482</v>
      </c>
      <c r="N957" s="234"/>
      <c r="O957" s="281"/>
      <c r="P957" s="233"/>
      <c r="Q957" s="233"/>
      <c r="R957" s="234"/>
      <c r="S957" s="233"/>
      <c r="T957" s="233"/>
      <c r="U957" s="233"/>
      <c r="V957" s="233"/>
      <c r="W957" s="233"/>
      <c r="X957" s="233"/>
      <c r="Y957" s="233"/>
      <c r="Z957" s="233"/>
      <c r="AA957" s="233"/>
      <c r="AB957" s="233"/>
      <c r="AC957" s="233"/>
      <c r="AD957" s="233"/>
      <c r="AE957" s="233"/>
      <c r="AF957" s="233"/>
      <c r="AG957" s="233"/>
      <c r="AH957" s="233"/>
      <c r="AI957" s="233"/>
      <c r="AJ957" s="233"/>
      <c r="AK957" s="233"/>
      <c r="AL957" s="233"/>
    </row>
    <row r="958">
      <c r="B958" s="277"/>
      <c r="L958" s="67"/>
      <c r="M958" s="280" t="s">
        <v>2482</v>
      </c>
      <c r="N958" s="234"/>
      <c r="O958" s="281"/>
      <c r="P958" s="233"/>
      <c r="Q958" s="233"/>
      <c r="R958" s="234"/>
      <c r="S958" s="233"/>
      <c r="T958" s="233"/>
      <c r="U958" s="233"/>
      <c r="V958" s="233"/>
      <c r="W958" s="233"/>
      <c r="X958" s="233"/>
      <c r="Y958" s="233"/>
      <c r="Z958" s="233"/>
      <c r="AA958" s="233"/>
      <c r="AB958" s="233"/>
      <c r="AC958" s="233"/>
      <c r="AD958" s="233"/>
      <c r="AE958" s="233"/>
      <c r="AF958" s="233"/>
      <c r="AG958" s="233"/>
      <c r="AH958" s="233"/>
      <c r="AI958" s="233"/>
      <c r="AJ958" s="233"/>
      <c r="AK958" s="233"/>
      <c r="AL958" s="233"/>
    </row>
    <row r="959">
      <c r="B959" s="277"/>
      <c r="L959" s="67"/>
      <c r="M959" s="280" t="s">
        <v>2482</v>
      </c>
      <c r="N959" s="234"/>
      <c r="O959" s="281"/>
      <c r="P959" s="233"/>
      <c r="Q959" s="233"/>
      <c r="R959" s="234"/>
      <c r="S959" s="233"/>
      <c r="T959" s="233"/>
      <c r="U959" s="233"/>
      <c r="V959" s="233"/>
      <c r="W959" s="233"/>
      <c r="X959" s="233"/>
      <c r="Y959" s="233"/>
      <c r="Z959" s="233"/>
      <c r="AA959" s="233"/>
      <c r="AB959" s="233"/>
      <c r="AC959" s="233"/>
      <c r="AD959" s="233"/>
      <c r="AE959" s="233"/>
      <c r="AF959" s="233"/>
      <c r="AG959" s="233"/>
      <c r="AH959" s="233"/>
      <c r="AI959" s="233"/>
      <c r="AJ959" s="233"/>
      <c r="AK959" s="233"/>
      <c r="AL959" s="233"/>
    </row>
    <row r="960">
      <c r="B960" s="277"/>
      <c r="L960" s="67"/>
      <c r="M960" s="280" t="s">
        <v>2482</v>
      </c>
      <c r="N960" s="234"/>
      <c r="O960" s="281"/>
      <c r="P960" s="233"/>
      <c r="Q960" s="233"/>
      <c r="R960" s="234"/>
      <c r="S960" s="233"/>
      <c r="T960" s="233"/>
      <c r="U960" s="233"/>
      <c r="V960" s="233"/>
      <c r="W960" s="233"/>
      <c r="X960" s="233"/>
      <c r="Y960" s="233"/>
      <c r="Z960" s="233"/>
      <c r="AA960" s="233"/>
      <c r="AB960" s="233"/>
      <c r="AC960" s="233"/>
      <c r="AD960" s="233"/>
      <c r="AE960" s="233"/>
      <c r="AF960" s="233"/>
      <c r="AG960" s="233"/>
      <c r="AH960" s="233"/>
      <c r="AI960" s="233"/>
      <c r="AJ960" s="233"/>
      <c r="AK960" s="233"/>
      <c r="AL960" s="233"/>
    </row>
    <row r="961">
      <c r="B961" s="277"/>
      <c r="L961" s="67"/>
      <c r="M961" s="280" t="s">
        <v>2482</v>
      </c>
      <c r="N961" s="234"/>
      <c r="O961" s="281"/>
      <c r="P961" s="233"/>
      <c r="Q961" s="233"/>
      <c r="R961" s="234"/>
      <c r="S961" s="233"/>
      <c r="T961" s="233"/>
      <c r="U961" s="233"/>
      <c r="V961" s="233"/>
      <c r="W961" s="233"/>
      <c r="X961" s="233"/>
      <c r="Y961" s="233"/>
      <c r="Z961" s="233"/>
      <c r="AA961" s="233"/>
      <c r="AB961" s="233"/>
      <c r="AC961" s="233"/>
      <c r="AD961" s="233"/>
      <c r="AE961" s="233"/>
      <c r="AF961" s="233"/>
      <c r="AG961" s="233"/>
      <c r="AH961" s="233"/>
      <c r="AI961" s="233"/>
      <c r="AJ961" s="233"/>
      <c r="AK961" s="233"/>
      <c r="AL961" s="233"/>
    </row>
    <row r="962">
      <c r="B962" s="277"/>
      <c r="L962" s="67"/>
      <c r="M962" s="280" t="s">
        <v>2482</v>
      </c>
      <c r="N962" s="234"/>
      <c r="O962" s="281"/>
      <c r="P962" s="233"/>
      <c r="Q962" s="233"/>
      <c r="R962" s="234"/>
      <c r="S962" s="233"/>
      <c r="T962" s="233"/>
      <c r="U962" s="233"/>
      <c r="V962" s="233"/>
      <c r="W962" s="233"/>
      <c r="X962" s="233"/>
      <c r="Y962" s="233"/>
      <c r="Z962" s="233"/>
      <c r="AA962" s="233"/>
      <c r="AB962" s="233"/>
      <c r="AC962" s="233"/>
      <c r="AD962" s="233"/>
      <c r="AE962" s="233"/>
      <c r="AF962" s="233"/>
      <c r="AG962" s="233"/>
      <c r="AH962" s="233"/>
      <c r="AI962" s="233"/>
      <c r="AJ962" s="233"/>
      <c r="AK962" s="233"/>
      <c r="AL962" s="233"/>
    </row>
    <row r="963">
      <c r="B963" s="277"/>
      <c r="L963" s="67"/>
      <c r="M963" s="280" t="s">
        <v>2482</v>
      </c>
      <c r="N963" s="234"/>
      <c r="O963" s="281"/>
      <c r="P963" s="233"/>
      <c r="Q963" s="233"/>
      <c r="R963" s="234"/>
      <c r="S963" s="233"/>
      <c r="T963" s="233"/>
      <c r="U963" s="233"/>
      <c r="V963" s="233"/>
      <c r="W963" s="233"/>
      <c r="X963" s="233"/>
      <c r="Y963" s="233"/>
      <c r="Z963" s="233"/>
      <c r="AA963" s="233"/>
      <c r="AB963" s="233"/>
      <c r="AC963" s="233"/>
      <c r="AD963" s="233"/>
      <c r="AE963" s="233"/>
      <c r="AF963" s="233"/>
      <c r="AG963" s="233"/>
      <c r="AH963" s="233"/>
      <c r="AI963" s="233"/>
      <c r="AJ963" s="233"/>
      <c r="AK963" s="233"/>
      <c r="AL963" s="233"/>
    </row>
    <row r="964">
      <c r="B964" s="277"/>
      <c r="L964" s="67"/>
      <c r="M964" s="280" t="s">
        <v>2482</v>
      </c>
      <c r="N964" s="234"/>
      <c r="O964" s="281"/>
      <c r="P964" s="233"/>
      <c r="Q964" s="233"/>
      <c r="R964" s="234"/>
      <c r="S964" s="233"/>
      <c r="T964" s="233"/>
      <c r="U964" s="233"/>
      <c r="V964" s="233"/>
      <c r="W964" s="233"/>
      <c r="X964" s="233"/>
      <c r="Y964" s="233"/>
      <c r="Z964" s="233"/>
      <c r="AA964" s="233"/>
      <c r="AB964" s="233"/>
      <c r="AC964" s="233"/>
      <c r="AD964" s="233"/>
      <c r="AE964" s="233"/>
      <c r="AF964" s="233"/>
      <c r="AG964" s="233"/>
      <c r="AH964" s="233"/>
      <c r="AI964" s="233"/>
      <c r="AJ964" s="233"/>
      <c r="AK964" s="233"/>
      <c r="AL964" s="233"/>
    </row>
    <row r="965">
      <c r="B965" s="277"/>
      <c r="L965" s="67"/>
      <c r="M965" s="280" t="s">
        <v>2482</v>
      </c>
      <c r="N965" s="234"/>
      <c r="O965" s="281"/>
      <c r="P965" s="233"/>
      <c r="Q965" s="233"/>
      <c r="R965" s="234"/>
      <c r="S965" s="233"/>
      <c r="T965" s="233"/>
      <c r="U965" s="233"/>
      <c r="V965" s="233"/>
      <c r="W965" s="233"/>
      <c r="X965" s="233"/>
      <c r="Y965" s="233"/>
      <c r="Z965" s="233"/>
      <c r="AA965" s="233"/>
      <c r="AB965" s="233"/>
      <c r="AC965" s="233"/>
      <c r="AD965" s="233"/>
      <c r="AE965" s="233"/>
      <c r="AF965" s="233"/>
      <c r="AG965" s="233"/>
      <c r="AH965" s="233"/>
      <c r="AI965" s="233"/>
      <c r="AJ965" s="233"/>
      <c r="AK965" s="233"/>
      <c r="AL965" s="233"/>
    </row>
    <row r="966">
      <c r="B966" s="277"/>
      <c r="L966" s="67"/>
      <c r="M966" s="280" t="s">
        <v>2482</v>
      </c>
      <c r="N966" s="234"/>
      <c r="O966" s="281"/>
      <c r="P966" s="233"/>
      <c r="Q966" s="233"/>
      <c r="R966" s="234"/>
      <c r="S966" s="233"/>
      <c r="T966" s="233"/>
      <c r="U966" s="233"/>
      <c r="V966" s="233"/>
      <c r="W966" s="233"/>
      <c r="X966" s="233"/>
      <c r="Y966" s="233"/>
      <c r="Z966" s="233"/>
      <c r="AA966" s="233"/>
      <c r="AB966" s="233"/>
      <c r="AC966" s="233"/>
      <c r="AD966" s="233"/>
      <c r="AE966" s="233"/>
      <c r="AF966" s="233"/>
      <c r="AG966" s="233"/>
      <c r="AH966" s="233"/>
      <c r="AI966" s="233"/>
      <c r="AJ966" s="233"/>
      <c r="AK966" s="233"/>
      <c r="AL966" s="233"/>
    </row>
    <row r="967">
      <c r="B967" s="277"/>
      <c r="L967" s="67"/>
      <c r="M967" s="280" t="s">
        <v>2482</v>
      </c>
      <c r="N967" s="234"/>
      <c r="O967" s="281"/>
      <c r="P967" s="233"/>
      <c r="Q967" s="233"/>
      <c r="R967" s="234"/>
      <c r="S967" s="233"/>
      <c r="T967" s="233"/>
      <c r="U967" s="233"/>
      <c r="V967" s="233"/>
      <c r="W967" s="233"/>
      <c r="X967" s="233"/>
      <c r="Y967" s="233"/>
      <c r="Z967" s="233"/>
      <c r="AA967" s="233"/>
      <c r="AB967" s="233"/>
      <c r="AC967" s="233"/>
      <c r="AD967" s="233"/>
      <c r="AE967" s="233"/>
      <c r="AF967" s="233"/>
      <c r="AG967" s="233"/>
      <c r="AH967" s="233"/>
      <c r="AI967" s="233"/>
      <c r="AJ967" s="233"/>
      <c r="AK967" s="233"/>
      <c r="AL967" s="233"/>
    </row>
    <row r="968">
      <c r="B968" s="277"/>
      <c r="L968" s="67"/>
      <c r="M968" s="280" t="s">
        <v>2482</v>
      </c>
      <c r="N968" s="234"/>
      <c r="O968" s="281"/>
      <c r="P968" s="233"/>
      <c r="Q968" s="233"/>
      <c r="R968" s="234"/>
      <c r="S968" s="233"/>
      <c r="T968" s="233"/>
      <c r="U968" s="233"/>
      <c r="V968" s="233"/>
      <c r="W968" s="233"/>
      <c r="X968" s="233"/>
      <c r="Y968" s="233"/>
      <c r="Z968" s="233"/>
      <c r="AA968" s="233"/>
      <c r="AB968" s="233"/>
      <c r="AC968" s="233"/>
      <c r="AD968" s="233"/>
      <c r="AE968" s="233"/>
      <c r="AF968" s="233"/>
      <c r="AG968" s="233"/>
      <c r="AH968" s="233"/>
      <c r="AI968" s="233"/>
      <c r="AJ968" s="233"/>
      <c r="AK968" s="233"/>
      <c r="AL968" s="233"/>
    </row>
    <row r="969">
      <c r="B969" s="277"/>
      <c r="L969" s="67"/>
      <c r="M969" s="280" t="s">
        <v>2482</v>
      </c>
      <c r="N969" s="234"/>
      <c r="O969" s="281"/>
      <c r="P969" s="233"/>
      <c r="Q969" s="233"/>
      <c r="R969" s="234"/>
      <c r="S969" s="233"/>
      <c r="T969" s="233"/>
      <c r="U969" s="233"/>
      <c r="V969" s="233"/>
      <c r="W969" s="233"/>
      <c r="X969" s="233"/>
      <c r="Y969" s="233"/>
      <c r="Z969" s="233"/>
      <c r="AA969" s="233"/>
      <c r="AB969" s="233"/>
      <c r="AC969" s="233"/>
      <c r="AD969" s="233"/>
      <c r="AE969" s="233"/>
      <c r="AF969" s="233"/>
      <c r="AG969" s="233"/>
      <c r="AH969" s="233"/>
      <c r="AI969" s="233"/>
      <c r="AJ969" s="233"/>
      <c r="AK969" s="233"/>
      <c r="AL969" s="233"/>
    </row>
    <row r="970">
      <c r="B970" s="277"/>
      <c r="L970" s="67"/>
      <c r="M970" s="280" t="s">
        <v>2482</v>
      </c>
      <c r="N970" s="234"/>
      <c r="O970" s="281"/>
      <c r="P970" s="233"/>
      <c r="Q970" s="233"/>
      <c r="R970" s="234"/>
      <c r="S970" s="233"/>
      <c r="T970" s="233"/>
      <c r="U970" s="233"/>
      <c r="V970" s="233"/>
      <c r="W970" s="233"/>
      <c r="X970" s="233"/>
      <c r="Y970" s="233"/>
      <c r="Z970" s="233"/>
      <c r="AA970" s="233"/>
      <c r="AB970" s="233"/>
      <c r="AC970" s="233"/>
      <c r="AD970" s="233"/>
      <c r="AE970" s="233"/>
      <c r="AF970" s="233"/>
      <c r="AG970" s="233"/>
      <c r="AH970" s="233"/>
      <c r="AI970" s="233"/>
      <c r="AJ970" s="233"/>
      <c r="AK970" s="233"/>
      <c r="AL970" s="233"/>
    </row>
    <row r="971">
      <c r="B971" s="277"/>
      <c r="L971" s="67"/>
      <c r="M971" s="280" t="s">
        <v>2482</v>
      </c>
      <c r="N971" s="234"/>
      <c r="O971" s="281"/>
      <c r="P971" s="233"/>
      <c r="Q971" s="233"/>
      <c r="R971" s="234"/>
      <c r="S971" s="233"/>
      <c r="T971" s="233"/>
      <c r="U971" s="233"/>
      <c r="V971" s="233"/>
      <c r="W971" s="233"/>
      <c r="X971" s="233"/>
      <c r="Y971" s="233"/>
      <c r="Z971" s="233"/>
      <c r="AA971" s="233"/>
      <c r="AB971" s="233"/>
      <c r="AC971" s="233"/>
      <c r="AD971" s="233"/>
      <c r="AE971" s="233"/>
      <c r="AF971" s="233"/>
      <c r="AG971" s="233"/>
      <c r="AH971" s="233"/>
      <c r="AI971" s="233"/>
      <c r="AJ971" s="233"/>
      <c r="AK971" s="233"/>
      <c r="AL971" s="233"/>
    </row>
    <row r="972">
      <c r="B972" s="277"/>
      <c r="L972" s="67"/>
      <c r="M972" s="280" t="s">
        <v>2482</v>
      </c>
      <c r="N972" s="234"/>
      <c r="O972" s="281"/>
      <c r="P972" s="233"/>
      <c r="Q972" s="233"/>
      <c r="R972" s="234"/>
      <c r="S972" s="233"/>
      <c r="T972" s="233"/>
      <c r="U972" s="233"/>
      <c r="V972" s="233"/>
      <c r="W972" s="233"/>
      <c r="X972" s="233"/>
      <c r="Y972" s="233"/>
      <c r="Z972" s="233"/>
      <c r="AA972" s="233"/>
      <c r="AB972" s="233"/>
      <c r="AC972" s="233"/>
      <c r="AD972" s="233"/>
      <c r="AE972" s="233"/>
      <c r="AF972" s="233"/>
      <c r="AG972" s="233"/>
      <c r="AH972" s="233"/>
      <c r="AI972" s="233"/>
      <c r="AJ972" s="233"/>
      <c r="AK972" s="233"/>
      <c r="AL972" s="233"/>
    </row>
    <row r="973">
      <c r="B973" s="277"/>
      <c r="L973" s="67"/>
      <c r="M973" s="280" t="s">
        <v>2482</v>
      </c>
      <c r="N973" s="234"/>
      <c r="O973" s="281"/>
      <c r="P973" s="233"/>
      <c r="Q973" s="233"/>
      <c r="R973" s="234"/>
      <c r="S973" s="233"/>
      <c r="T973" s="233"/>
      <c r="U973" s="233"/>
      <c r="V973" s="233"/>
      <c r="W973" s="233"/>
      <c r="X973" s="233"/>
      <c r="Y973" s="233"/>
      <c r="Z973" s="233"/>
      <c r="AA973" s="233"/>
      <c r="AB973" s="233"/>
      <c r="AC973" s="233"/>
      <c r="AD973" s="233"/>
      <c r="AE973" s="233"/>
      <c r="AF973" s="233"/>
      <c r="AG973" s="233"/>
      <c r="AH973" s="233"/>
      <c r="AI973" s="233"/>
      <c r="AJ973" s="233"/>
      <c r="AK973" s="233"/>
      <c r="AL973" s="233"/>
    </row>
    <row r="974">
      <c r="B974" s="277"/>
      <c r="L974" s="67"/>
      <c r="M974" s="280" t="s">
        <v>2482</v>
      </c>
      <c r="N974" s="234"/>
      <c r="O974" s="281"/>
      <c r="P974" s="233"/>
      <c r="Q974" s="233"/>
      <c r="R974" s="234"/>
      <c r="S974" s="233"/>
      <c r="T974" s="233"/>
      <c r="U974" s="233"/>
      <c r="V974" s="233"/>
      <c r="W974" s="233"/>
      <c r="X974" s="233"/>
      <c r="Y974" s="233"/>
      <c r="Z974" s="233"/>
      <c r="AA974" s="233"/>
      <c r="AB974" s="233"/>
      <c r="AC974" s="233"/>
      <c r="AD974" s="233"/>
      <c r="AE974" s="233"/>
      <c r="AF974" s="233"/>
      <c r="AG974" s="233"/>
      <c r="AH974" s="233"/>
      <c r="AI974" s="233"/>
      <c r="AJ974" s="233"/>
      <c r="AK974" s="233"/>
      <c r="AL974" s="233"/>
    </row>
    <row r="975">
      <c r="B975" s="277"/>
      <c r="L975" s="67"/>
      <c r="M975" s="280" t="s">
        <v>2482</v>
      </c>
      <c r="N975" s="234"/>
      <c r="O975" s="281"/>
      <c r="P975" s="233"/>
      <c r="Q975" s="233"/>
      <c r="R975" s="234"/>
      <c r="S975" s="233"/>
      <c r="T975" s="233"/>
      <c r="U975" s="233"/>
      <c r="V975" s="233"/>
      <c r="W975" s="233"/>
      <c r="X975" s="233"/>
      <c r="Y975" s="233"/>
      <c r="Z975" s="233"/>
      <c r="AA975" s="233"/>
      <c r="AB975" s="233"/>
      <c r="AC975" s="233"/>
      <c r="AD975" s="233"/>
      <c r="AE975" s="233"/>
      <c r="AF975" s="233"/>
      <c r="AG975" s="233"/>
      <c r="AH975" s="233"/>
      <c r="AI975" s="233"/>
      <c r="AJ975" s="233"/>
      <c r="AK975" s="233"/>
      <c r="AL975" s="233"/>
    </row>
    <row r="976">
      <c r="B976" s="277"/>
      <c r="L976" s="67"/>
      <c r="M976" s="280" t="s">
        <v>2482</v>
      </c>
      <c r="N976" s="234"/>
      <c r="O976" s="281"/>
      <c r="P976" s="233"/>
      <c r="Q976" s="233"/>
      <c r="R976" s="234"/>
      <c r="S976" s="233"/>
      <c r="T976" s="233"/>
      <c r="U976" s="233"/>
      <c r="V976" s="233"/>
      <c r="W976" s="233"/>
      <c r="X976" s="233"/>
      <c r="Y976" s="233"/>
      <c r="Z976" s="233"/>
      <c r="AA976" s="233"/>
      <c r="AB976" s="233"/>
      <c r="AC976" s="233"/>
      <c r="AD976" s="233"/>
      <c r="AE976" s="233"/>
      <c r="AF976" s="233"/>
      <c r="AG976" s="233"/>
      <c r="AH976" s="233"/>
      <c r="AI976" s="233"/>
      <c r="AJ976" s="233"/>
      <c r="AK976" s="233"/>
      <c r="AL976" s="233"/>
    </row>
    <row r="977">
      <c r="B977" s="277"/>
      <c r="L977" s="67"/>
      <c r="M977" s="280" t="s">
        <v>2482</v>
      </c>
      <c r="N977" s="234"/>
      <c r="O977" s="281"/>
      <c r="P977" s="233"/>
      <c r="Q977" s="233"/>
      <c r="R977" s="234"/>
      <c r="S977" s="233"/>
      <c r="T977" s="233"/>
      <c r="U977" s="233"/>
      <c r="V977" s="233"/>
      <c r="W977" s="233"/>
      <c r="X977" s="233"/>
      <c r="Y977" s="233"/>
      <c r="Z977" s="233"/>
      <c r="AA977" s="233"/>
      <c r="AB977" s="233"/>
      <c r="AC977" s="233"/>
      <c r="AD977" s="233"/>
      <c r="AE977" s="233"/>
      <c r="AF977" s="233"/>
      <c r="AG977" s="233"/>
      <c r="AH977" s="233"/>
      <c r="AI977" s="233"/>
      <c r="AJ977" s="233"/>
      <c r="AK977" s="233"/>
      <c r="AL977" s="233"/>
    </row>
    <row r="978">
      <c r="B978" s="277"/>
      <c r="L978" s="67"/>
      <c r="M978" s="280" t="s">
        <v>2482</v>
      </c>
      <c r="N978" s="234"/>
      <c r="O978" s="281"/>
      <c r="P978" s="233"/>
      <c r="Q978" s="233"/>
      <c r="R978" s="234"/>
      <c r="S978" s="233"/>
      <c r="T978" s="233"/>
      <c r="U978" s="233"/>
      <c r="V978" s="233"/>
      <c r="W978" s="233"/>
      <c r="X978" s="233"/>
      <c r="Y978" s="233"/>
      <c r="Z978" s="233"/>
      <c r="AA978" s="233"/>
      <c r="AB978" s="233"/>
      <c r="AC978" s="233"/>
      <c r="AD978" s="233"/>
      <c r="AE978" s="233"/>
      <c r="AF978" s="233"/>
      <c r="AG978" s="233"/>
      <c r="AH978" s="233"/>
      <c r="AI978" s="233"/>
      <c r="AJ978" s="233"/>
      <c r="AK978" s="233"/>
      <c r="AL978" s="233"/>
    </row>
    <row r="979">
      <c r="B979" s="277"/>
      <c r="L979" s="67"/>
      <c r="M979" s="280" t="s">
        <v>2482</v>
      </c>
      <c r="N979" s="234"/>
      <c r="O979" s="281"/>
      <c r="P979" s="233"/>
      <c r="Q979" s="233"/>
      <c r="R979" s="234"/>
      <c r="S979" s="233"/>
      <c r="T979" s="233"/>
      <c r="U979" s="233"/>
      <c r="V979" s="233"/>
      <c r="W979" s="233"/>
      <c r="X979" s="233"/>
      <c r="Y979" s="233"/>
      <c r="Z979" s="233"/>
      <c r="AA979" s="233"/>
      <c r="AB979" s="233"/>
      <c r="AC979" s="233"/>
      <c r="AD979" s="233"/>
      <c r="AE979" s="233"/>
      <c r="AF979" s="233"/>
      <c r="AG979" s="233"/>
      <c r="AH979" s="233"/>
      <c r="AI979" s="233"/>
      <c r="AJ979" s="233"/>
      <c r="AK979" s="233"/>
      <c r="AL979" s="233"/>
    </row>
    <row r="980">
      <c r="B980" s="277"/>
      <c r="L980" s="67"/>
      <c r="M980" s="280" t="s">
        <v>2482</v>
      </c>
      <c r="N980" s="234"/>
      <c r="O980" s="281"/>
      <c r="P980" s="233"/>
      <c r="Q980" s="233"/>
      <c r="R980" s="234"/>
      <c r="S980" s="233"/>
      <c r="T980" s="233"/>
      <c r="U980" s="233"/>
      <c r="V980" s="233"/>
      <c r="W980" s="233"/>
      <c r="X980" s="233"/>
      <c r="Y980" s="233"/>
      <c r="Z980" s="233"/>
      <c r="AA980" s="233"/>
      <c r="AB980" s="233"/>
      <c r="AC980" s="233"/>
      <c r="AD980" s="233"/>
      <c r="AE980" s="233"/>
      <c r="AF980" s="233"/>
      <c r="AG980" s="233"/>
      <c r="AH980" s="233"/>
      <c r="AI980" s="233"/>
      <c r="AJ980" s="233"/>
      <c r="AK980" s="233"/>
      <c r="AL980" s="233"/>
    </row>
    <row r="981">
      <c r="B981" s="277"/>
      <c r="L981" s="67"/>
      <c r="M981" s="280" t="s">
        <v>2482</v>
      </c>
      <c r="N981" s="234"/>
      <c r="O981" s="281"/>
      <c r="P981" s="233"/>
      <c r="Q981" s="233"/>
      <c r="R981" s="234"/>
      <c r="S981" s="233"/>
      <c r="T981" s="233"/>
      <c r="U981" s="233"/>
      <c r="V981" s="233"/>
      <c r="W981" s="233"/>
      <c r="X981" s="233"/>
      <c r="Y981" s="233"/>
      <c r="Z981" s="233"/>
      <c r="AA981" s="233"/>
      <c r="AB981" s="233"/>
      <c r="AC981" s="233"/>
      <c r="AD981" s="233"/>
      <c r="AE981" s="233"/>
      <c r="AF981" s="233"/>
      <c r="AG981" s="233"/>
      <c r="AH981" s="233"/>
      <c r="AI981" s="233"/>
      <c r="AJ981" s="233"/>
      <c r="AK981" s="233"/>
      <c r="AL981" s="233"/>
    </row>
    <row r="982">
      <c r="B982" s="277"/>
      <c r="L982" s="67"/>
      <c r="M982" s="280" t="s">
        <v>2482</v>
      </c>
      <c r="N982" s="234"/>
      <c r="O982" s="281"/>
      <c r="P982" s="233"/>
      <c r="Q982" s="233"/>
      <c r="R982" s="234"/>
      <c r="S982" s="233"/>
      <c r="T982" s="233"/>
      <c r="U982" s="233"/>
      <c r="V982" s="233"/>
      <c r="W982" s="233"/>
      <c r="X982" s="233"/>
      <c r="Y982" s="233"/>
      <c r="Z982" s="233"/>
      <c r="AA982" s="233"/>
      <c r="AB982" s="233"/>
      <c r="AC982" s="233"/>
      <c r="AD982" s="233"/>
      <c r="AE982" s="233"/>
      <c r="AF982" s="233"/>
      <c r="AG982" s="233"/>
      <c r="AH982" s="233"/>
      <c r="AI982" s="233"/>
      <c r="AJ982" s="233"/>
      <c r="AK982" s="233"/>
      <c r="AL982" s="233"/>
    </row>
    <row r="983">
      <c r="B983" s="277"/>
      <c r="L983" s="67"/>
      <c r="M983" s="280" t="s">
        <v>2482</v>
      </c>
      <c r="N983" s="234"/>
      <c r="O983" s="281"/>
      <c r="P983" s="233"/>
      <c r="Q983" s="233"/>
      <c r="R983" s="234"/>
      <c r="S983" s="233"/>
      <c r="T983" s="233"/>
      <c r="U983" s="233"/>
      <c r="V983" s="233"/>
      <c r="W983" s="233"/>
      <c r="X983" s="233"/>
      <c r="Y983" s="233"/>
      <c r="Z983" s="233"/>
      <c r="AA983" s="233"/>
      <c r="AB983" s="233"/>
      <c r="AC983" s="233"/>
      <c r="AD983" s="233"/>
      <c r="AE983" s="233"/>
      <c r="AF983" s="233"/>
      <c r="AG983" s="233"/>
      <c r="AH983" s="233"/>
      <c r="AI983" s="233"/>
      <c r="AJ983" s="233"/>
      <c r="AK983" s="233"/>
      <c r="AL983" s="233"/>
    </row>
    <row r="984">
      <c r="B984" s="277"/>
      <c r="L984" s="67"/>
      <c r="M984" s="280" t="s">
        <v>2482</v>
      </c>
      <c r="N984" s="234"/>
      <c r="O984" s="281"/>
      <c r="P984" s="233"/>
      <c r="Q984" s="233"/>
      <c r="R984" s="234"/>
      <c r="S984" s="233"/>
      <c r="T984" s="233"/>
      <c r="U984" s="233"/>
      <c r="V984" s="233"/>
      <c r="W984" s="233"/>
      <c r="X984" s="233"/>
      <c r="Y984" s="233"/>
      <c r="Z984" s="233"/>
      <c r="AA984" s="233"/>
      <c r="AB984" s="233"/>
      <c r="AC984" s="233"/>
      <c r="AD984" s="233"/>
      <c r="AE984" s="233"/>
      <c r="AF984" s="233"/>
      <c r="AG984" s="233"/>
      <c r="AH984" s="233"/>
      <c r="AI984" s="233"/>
      <c r="AJ984" s="233"/>
      <c r="AK984" s="233"/>
      <c r="AL984" s="233"/>
    </row>
    <row r="985">
      <c r="B985" s="277"/>
      <c r="L985" s="67"/>
      <c r="M985" s="280" t="s">
        <v>2482</v>
      </c>
      <c r="N985" s="234"/>
      <c r="O985" s="281"/>
      <c r="P985" s="233"/>
      <c r="Q985" s="233"/>
      <c r="R985" s="234"/>
      <c r="S985" s="233"/>
      <c r="T985" s="233"/>
      <c r="U985" s="233"/>
      <c r="V985" s="233"/>
      <c r="W985" s="233"/>
      <c r="X985" s="233"/>
      <c r="Y985" s="233"/>
      <c r="Z985" s="233"/>
      <c r="AA985" s="233"/>
      <c r="AB985" s="233"/>
      <c r="AC985" s="233"/>
      <c r="AD985" s="233"/>
      <c r="AE985" s="233"/>
      <c r="AF985" s="233"/>
      <c r="AG985" s="233"/>
      <c r="AH985" s="233"/>
      <c r="AI985" s="233"/>
      <c r="AJ985" s="233"/>
      <c r="AK985" s="233"/>
      <c r="AL985" s="233"/>
    </row>
    <row r="986">
      <c r="B986" s="277"/>
      <c r="L986" s="67"/>
      <c r="M986" s="280" t="s">
        <v>2482</v>
      </c>
      <c r="N986" s="234"/>
      <c r="O986" s="281"/>
      <c r="P986" s="233"/>
      <c r="Q986" s="233"/>
      <c r="R986" s="234"/>
      <c r="S986" s="233"/>
      <c r="T986" s="233"/>
      <c r="U986" s="233"/>
      <c r="V986" s="233"/>
      <c r="W986" s="233"/>
      <c r="X986" s="233"/>
      <c r="Y986" s="233"/>
      <c r="Z986" s="233"/>
      <c r="AA986" s="233"/>
      <c r="AB986" s="233"/>
      <c r="AC986" s="233"/>
      <c r="AD986" s="233"/>
      <c r="AE986" s="233"/>
      <c r="AF986" s="233"/>
      <c r="AG986" s="233"/>
      <c r="AH986" s="233"/>
      <c r="AI986" s="233"/>
      <c r="AJ986" s="233"/>
      <c r="AK986" s="233"/>
      <c r="AL986" s="233"/>
    </row>
    <row r="987">
      <c r="B987" s="277"/>
      <c r="L987" s="67"/>
      <c r="M987" s="280" t="s">
        <v>2482</v>
      </c>
      <c r="N987" s="234"/>
      <c r="O987" s="281"/>
      <c r="P987" s="233"/>
      <c r="Q987" s="233"/>
      <c r="R987" s="234"/>
      <c r="S987" s="233"/>
      <c r="T987" s="233"/>
      <c r="U987" s="233"/>
      <c r="V987" s="233"/>
      <c r="W987" s="233"/>
      <c r="X987" s="233"/>
      <c r="Y987" s="233"/>
      <c r="Z987" s="233"/>
      <c r="AA987" s="233"/>
      <c r="AB987" s="233"/>
      <c r="AC987" s="233"/>
      <c r="AD987" s="233"/>
      <c r="AE987" s="233"/>
      <c r="AF987" s="233"/>
      <c r="AG987" s="233"/>
      <c r="AH987" s="233"/>
      <c r="AI987" s="233"/>
      <c r="AJ987" s="233"/>
      <c r="AK987" s="233"/>
      <c r="AL987" s="233"/>
    </row>
    <row r="988">
      <c r="B988" s="277"/>
      <c r="L988" s="67"/>
      <c r="M988" s="280" t="s">
        <v>2482</v>
      </c>
      <c r="N988" s="234"/>
      <c r="O988" s="281"/>
      <c r="P988" s="233"/>
      <c r="Q988" s="233"/>
      <c r="R988" s="234"/>
      <c r="S988" s="233"/>
      <c r="T988" s="233"/>
      <c r="U988" s="233"/>
      <c r="V988" s="233"/>
      <c r="W988" s="233"/>
      <c r="X988" s="233"/>
      <c r="Y988" s="233"/>
      <c r="Z988" s="233"/>
      <c r="AA988" s="233"/>
      <c r="AB988" s="233"/>
      <c r="AC988" s="233"/>
      <c r="AD988" s="233"/>
      <c r="AE988" s="233"/>
      <c r="AF988" s="233"/>
      <c r="AG988" s="233"/>
      <c r="AH988" s="233"/>
      <c r="AI988" s="233"/>
      <c r="AJ988" s="233"/>
      <c r="AK988" s="233"/>
      <c r="AL988" s="233"/>
    </row>
    <row r="989">
      <c r="B989" s="277"/>
      <c r="L989" s="67"/>
      <c r="M989" s="280" t="s">
        <v>2482</v>
      </c>
      <c r="N989" s="234"/>
      <c r="O989" s="281"/>
      <c r="P989" s="233"/>
      <c r="Q989" s="233"/>
      <c r="R989" s="234"/>
      <c r="S989" s="233"/>
      <c r="T989" s="233"/>
      <c r="U989" s="233"/>
      <c r="V989" s="233"/>
      <c r="W989" s="233"/>
      <c r="X989" s="233"/>
      <c r="Y989" s="233"/>
      <c r="Z989" s="233"/>
      <c r="AA989" s="233"/>
      <c r="AB989" s="233"/>
      <c r="AC989" s="233"/>
      <c r="AD989" s="233"/>
      <c r="AE989" s="233"/>
      <c r="AF989" s="233"/>
      <c r="AG989" s="233"/>
      <c r="AH989" s="233"/>
      <c r="AI989" s="233"/>
      <c r="AJ989" s="233"/>
      <c r="AK989" s="233"/>
      <c r="AL989" s="233"/>
    </row>
    <row r="990">
      <c r="B990" s="277"/>
      <c r="L990" s="67"/>
      <c r="M990" s="280" t="s">
        <v>2482</v>
      </c>
      <c r="N990" s="234"/>
      <c r="O990" s="281"/>
      <c r="P990" s="233"/>
      <c r="Q990" s="233"/>
      <c r="R990" s="234"/>
      <c r="S990" s="233"/>
      <c r="T990" s="233"/>
      <c r="U990" s="233"/>
      <c r="V990" s="233"/>
      <c r="W990" s="233"/>
      <c r="X990" s="233"/>
      <c r="Y990" s="233"/>
      <c r="Z990" s="233"/>
      <c r="AA990" s="233"/>
      <c r="AB990" s="233"/>
      <c r="AC990" s="233"/>
      <c r="AD990" s="233"/>
      <c r="AE990" s="233"/>
      <c r="AF990" s="233"/>
      <c r="AG990" s="233"/>
      <c r="AH990" s="233"/>
      <c r="AI990" s="233"/>
      <c r="AJ990" s="233"/>
      <c r="AK990" s="233"/>
      <c r="AL990" s="233"/>
    </row>
    <row r="991">
      <c r="B991" s="277"/>
      <c r="L991" s="67"/>
      <c r="M991" s="280" t="s">
        <v>2482</v>
      </c>
      <c r="N991" s="234"/>
      <c r="O991" s="281"/>
      <c r="P991" s="233"/>
      <c r="Q991" s="233"/>
      <c r="R991" s="234"/>
      <c r="S991" s="233"/>
      <c r="T991" s="233"/>
      <c r="U991" s="233"/>
      <c r="V991" s="233"/>
      <c r="W991" s="233"/>
      <c r="X991" s="233"/>
      <c r="Y991" s="233"/>
      <c r="Z991" s="233"/>
      <c r="AA991" s="233"/>
      <c r="AB991" s="233"/>
      <c r="AC991" s="233"/>
      <c r="AD991" s="233"/>
      <c r="AE991" s="233"/>
      <c r="AF991" s="233"/>
      <c r="AG991" s="233"/>
      <c r="AH991" s="233"/>
      <c r="AI991" s="233"/>
      <c r="AJ991" s="233"/>
      <c r="AK991" s="233"/>
      <c r="AL991" s="233"/>
    </row>
    <row r="992">
      <c r="B992" s="277"/>
      <c r="L992" s="67"/>
      <c r="M992" s="280" t="s">
        <v>2482</v>
      </c>
      <c r="N992" s="234"/>
      <c r="O992" s="281"/>
      <c r="P992" s="233"/>
      <c r="Q992" s="233"/>
      <c r="R992" s="234"/>
      <c r="S992" s="233"/>
      <c r="T992" s="233"/>
      <c r="U992" s="233"/>
      <c r="V992" s="233"/>
      <c r="W992" s="233"/>
      <c r="X992" s="233"/>
      <c r="Y992" s="233"/>
      <c r="Z992" s="233"/>
      <c r="AA992" s="233"/>
      <c r="AB992" s="233"/>
      <c r="AC992" s="233"/>
      <c r="AD992" s="233"/>
      <c r="AE992" s="233"/>
      <c r="AF992" s="233"/>
      <c r="AG992" s="233"/>
      <c r="AH992" s="233"/>
      <c r="AI992" s="233"/>
      <c r="AJ992" s="233"/>
      <c r="AK992" s="233"/>
      <c r="AL992" s="233"/>
    </row>
    <row r="993">
      <c r="B993" s="277"/>
      <c r="L993" s="67"/>
      <c r="M993" s="280" t="s">
        <v>2482</v>
      </c>
      <c r="N993" s="234"/>
      <c r="O993" s="281"/>
      <c r="P993" s="233"/>
      <c r="Q993" s="233"/>
      <c r="R993" s="234"/>
      <c r="S993" s="233"/>
      <c r="T993" s="233"/>
      <c r="U993" s="233"/>
      <c r="V993" s="233"/>
      <c r="W993" s="233"/>
      <c r="X993" s="233"/>
      <c r="Y993" s="233"/>
      <c r="Z993" s="233"/>
      <c r="AA993" s="233"/>
      <c r="AB993" s="233"/>
      <c r="AC993" s="233"/>
      <c r="AD993" s="233"/>
      <c r="AE993" s="233"/>
      <c r="AF993" s="233"/>
      <c r="AG993" s="233"/>
      <c r="AH993" s="233"/>
      <c r="AI993" s="233"/>
      <c r="AJ993" s="233"/>
      <c r="AK993" s="233"/>
      <c r="AL993" s="233"/>
    </row>
    <row r="994">
      <c r="B994" s="277"/>
      <c r="L994" s="67"/>
      <c r="M994" s="280" t="s">
        <v>2482</v>
      </c>
      <c r="N994" s="234"/>
      <c r="O994" s="281"/>
      <c r="P994" s="233"/>
      <c r="Q994" s="233"/>
      <c r="R994" s="234"/>
      <c r="S994" s="233"/>
      <c r="T994" s="233"/>
      <c r="U994" s="233"/>
      <c r="V994" s="233"/>
      <c r="W994" s="233"/>
      <c r="X994" s="233"/>
      <c r="Y994" s="233"/>
      <c r="Z994" s="233"/>
      <c r="AA994" s="233"/>
      <c r="AB994" s="233"/>
      <c r="AC994" s="233"/>
      <c r="AD994" s="233"/>
      <c r="AE994" s="233"/>
      <c r="AF994" s="233"/>
      <c r="AG994" s="233"/>
      <c r="AH994" s="233"/>
      <c r="AI994" s="233"/>
      <c r="AJ994" s="233"/>
      <c r="AK994" s="233"/>
      <c r="AL994" s="233"/>
    </row>
    <row r="995">
      <c r="B995" s="277"/>
      <c r="L995" s="67"/>
      <c r="M995" s="280" t="s">
        <v>2482</v>
      </c>
      <c r="N995" s="234"/>
      <c r="O995" s="281"/>
      <c r="P995" s="233"/>
      <c r="Q995" s="233"/>
      <c r="R995" s="234"/>
      <c r="S995" s="233"/>
      <c r="T995" s="233"/>
      <c r="U995" s="233"/>
      <c r="V995" s="233"/>
      <c r="W995" s="233"/>
      <c r="X995" s="233"/>
      <c r="Y995" s="233"/>
      <c r="Z995" s="233"/>
      <c r="AA995" s="233"/>
      <c r="AB995" s="233"/>
      <c r="AC995" s="233"/>
      <c r="AD995" s="233"/>
      <c r="AE995" s="233"/>
      <c r="AF995" s="233"/>
      <c r="AG995" s="233"/>
      <c r="AH995" s="233"/>
      <c r="AI995" s="233"/>
      <c r="AJ995" s="233"/>
      <c r="AK995" s="233"/>
      <c r="AL995" s="233"/>
    </row>
    <row r="996">
      <c r="B996" s="277"/>
      <c r="L996" s="67"/>
      <c r="M996" s="280" t="s">
        <v>2482</v>
      </c>
      <c r="N996" s="234"/>
      <c r="O996" s="281"/>
      <c r="P996" s="233"/>
      <c r="Q996" s="233"/>
      <c r="R996" s="234"/>
      <c r="S996" s="233"/>
      <c r="T996" s="233"/>
      <c r="U996" s="233"/>
      <c r="V996" s="233"/>
      <c r="W996" s="233"/>
      <c r="X996" s="233"/>
      <c r="Y996" s="233"/>
      <c r="Z996" s="233"/>
      <c r="AA996" s="233"/>
      <c r="AB996" s="233"/>
      <c r="AC996" s="233"/>
      <c r="AD996" s="233"/>
      <c r="AE996" s="233"/>
      <c r="AF996" s="233"/>
      <c r="AG996" s="233"/>
      <c r="AH996" s="233"/>
      <c r="AI996" s="233"/>
      <c r="AJ996" s="233"/>
      <c r="AK996" s="233"/>
      <c r="AL996" s="233"/>
    </row>
    <row r="997">
      <c r="B997" s="277"/>
      <c r="L997" s="67"/>
      <c r="M997" s="280" t="s">
        <v>2482</v>
      </c>
      <c r="N997" s="60"/>
      <c r="O997" s="369"/>
      <c r="R997" s="60"/>
    </row>
    <row r="998">
      <c r="B998" s="277"/>
      <c r="L998" s="67"/>
      <c r="M998" s="280" t="s">
        <v>2482</v>
      </c>
      <c r="N998" s="60"/>
      <c r="O998" s="369"/>
      <c r="R998" s="60"/>
    </row>
    <row r="999">
      <c r="B999" s="277"/>
      <c r="L999" s="67"/>
      <c r="M999" s="280" t="s">
        <v>2482</v>
      </c>
      <c r="N999" s="60"/>
      <c r="O999" s="369"/>
      <c r="R999" s="60"/>
    </row>
    <row r="1000">
      <c r="B1000" s="277"/>
      <c r="L1000" s="67"/>
      <c r="M1000" s="280" t="s">
        <v>2482</v>
      </c>
      <c r="N1000" s="60"/>
      <c r="O1000" s="369"/>
      <c r="R1000" s="60"/>
    </row>
    <row r="1001">
      <c r="B1001" s="277"/>
      <c r="L1001" s="67"/>
      <c r="M1001" s="280" t="s">
        <v>2482</v>
      </c>
      <c r="N1001" s="60"/>
      <c r="O1001" s="369"/>
      <c r="R1001" s="60"/>
    </row>
  </sheetData>
  <autoFilter ref="$A$1:$AL$1001"/>
  <dataValidations>
    <dataValidation type="list" allowBlank="1" sqref="M1:M1001">
      <formula1>'Företagskunder &amp; Potentiella fö'!$AL:$AL</formula1>
    </dataValidation>
  </dataValidations>
  <hyperlinks>
    <hyperlink r:id="rId1" ref="H34"/>
    <hyperlink r:id="rId2" ref="H93"/>
    <hyperlink r:id="rId3" ref="H114"/>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10" width="17.13"/>
  </cols>
  <sheetData>
    <row r="1">
      <c r="A1" s="317" t="s">
        <v>7</v>
      </c>
      <c r="B1" s="318" t="s">
        <v>3076</v>
      </c>
      <c r="C1" s="318" t="s">
        <v>3076</v>
      </c>
      <c r="D1" s="317" t="s">
        <v>3076</v>
      </c>
      <c r="E1" s="318" t="s">
        <v>2569</v>
      </c>
      <c r="F1" s="318" t="s">
        <v>2569</v>
      </c>
      <c r="G1" s="317" t="s">
        <v>2569</v>
      </c>
      <c r="H1" s="318" t="s">
        <v>551</v>
      </c>
      <c r="I1" s="318" t="s">
        <v>551</v>
      </c>
      <c r="J1" s="317" t="s">
        <v>551</v>
      </c>
      <c r="K1" s="320"/>
      <c r="L1" s="320"/>
      <c r="M1" s="320"/>
      <c r="N1" s="320"/>
      <c r="O1" s="320"/>
      <c r="P1" s="320"/>
      <c r="Q1" s="320"/>
      <c r="R1" s="320"/>
      <c r="S1" s="320"/>
      <c r="T1" s="320"/>
      <c r="U1" s="320"/>
      <c r="V1" s="320"/>
      <c r="W1" s="320"/>
      <c r="X1" s="320"/>
      <c r="Y1" s="320"/>
      <c r="Z1" s="320"/>
      <c r="AA1" s="320"/>
      <c r="AB1" s="320"/>
      <c r="AC1" s="320"/>
    </row>
    <row r="2">
      <c r="A2" s="321">
        <v>43490.0</v>
      </c>
      <c r="B2" s="322" t="s">
        <v>3080</v>
      </c>
      <c r="C2" s="322" t="s">
        <v>3081</v>
      </c>
      <c r="D2" s="324" t="s">
        <v>3083</v>
      </c>
      <c r="E2" s="318" t="s">
        <v>3086</v>
      </c>
      <c r="F2" s="318" t="s">
        <v>3087</v>
      </c>
      <c r="G2" s="326" t="s">
        <v>3088</v>
      </c>
      <c r="H2" s="322" t="s">
        <v>3091</v>
      </c>
      <c r="I2" s="322" t="s">
        <v>3093</v>
      </c>
      <c r="J2" s="324" t="s">
        <v>3094</v>
      </c>
      <c r="K2" s="66"/>
      <c r="L2" s="66"/>
      <c r="M2" s="66"/>
      <c r="N2" s="66"/>
      <c r="O2" s="66"/>
      <c r="P2" s="66"/>
      <c r="Q2" s="66"/>
      <c r="R2" s="66"/>
      <c r="S2" s="66"/>
      <c r="T2" s="66"/>
      <c r="U2" s="66"/>
      <c r="V2" s="66"/>
      <c r="W2" s="66"/>
      <c r="X2" s="66"/>
      <c r="Y2" s="66"/>
      <c r="Z2" s="66"/>
      <c r="AA2" s="66"/>
      <c r="AB2" s="66"/>
      <c r="AC2" s="66"/>
    </row>
    <row r="3" hidden="1">
      <c r="A3" s="321">
        <v>43491.0</v>
      </c>
      <c r="B3" s="66"/>
      <c r="C3" s="66"/>
      <c r="D3" s="327"/>
      <c r="E3" s="66"/>
      <c r="F3" s="66"/>
      <c r="G3" s="327"/>
      <c r="H3" s="322" t="s">
        <v>3096</v>
      </c>
      <c r="I3" s="66"/>
      <c r="J3" s="327"/>
      <c r="K3" s="66"/>
      <c r="L3" s="66"/>
      <c r="M3" s="66"/>
      <c r="N3" s="66"/>
      <c r="O3" s="66"/>
      <c r="P3" s="66"/>
      <c r="Q3" s="66"/>
      <c r="R3" s="66"/>
      <c r="S3" s="66"/>
      <c r="T3" s="66"/>
      <c r="U3" s="66"/>
      <c r="V3" s="66"/>
      <c r="W3" s="66"/>
      <c r="X3" s="66"/>
      <c r="Y3" s="66"/>
      <c r="Z3" s="66"/>
      <c r="AA3" s="66"/>
      <c r="AB3" s="66"/>
      <c r="AC3" s="66"/>
    </row>
    <row r="4" hidden="1">
      <c r="A4" s="321">
        <v>43492.0</v>
      </c>
      <c r="B4" s="66"/>
      <c r="C4" s="66"/>
      <c r="D4" s="327"/>
      <c r="E4" s="66"/>
      <c r="F4" s="66"/>
      <c r="G4" s="327"/>
      <c r="H4" s="66"/>
      <c r="I4" s="66"/>
      <c r="J4" s="327"/>
      <c r="K4" s="66"/>
      <c r="L4" s="66"/>
      <c r="M4" s="66"/>
      <c r="N4" s="66"/>
      <c r="O4" s="66"/>
      <c r="P4" s="66"/>
      <c r="Q4" s="66"/>
      <c r="R4" s="66"/>
      <c r="S4" s="66"/>
      <c r="T4" s="66"/>
      <c r="U4" s="66"/>
      <c r="V4" s="66"/>
      <c r="W4" s="66"/>
      <c r="X4" s="66"/>
      <c r="Y4" s="66"/>
      <c r="Z4" s="66"/>
      <c r="AA4" s="66"/>
      <c r="AB4" s="66"/>
      <c r="AC4" s="66"/>
    </row>
    <row r="5">
      <c r="A5" s="321">
        <v>43493.0</v>
      </c>
      <c r="B5" s="322" t="s">
        <v>3102</v>
      </c>
      <c r="C5" s="322" t="s">
        <v>3104</v>
      </c>
      <c r="D5" s="324" t="s">
        <v>3106</v>
      </c>
      <c r="E5" s="322" t="s">
        <v>3108</v>
      </c>
      <c r="F5" s="318" t="s">
        <v>3110</v>
      </c>
      <c r="G5" s="324" t="s">
        <v>3112</v>
      </c>
      <c r="H5" s="322" t="s">
        <v>3096</v>
      </c>
      <c r="I5" s="322" t="s">
        <v>3113</v>
      </c>
      <c r="J5" s="324" t="s">
        <v>3114</v>
      </c>
      <c r="K5" s="66"/>
      <c r="L5" s="66"/>
      <c r="M5" s="66"/>
      <c r="N5" s="66"/>
      <c r="O5" s="66"/>
      <c r="P5" s="66"/>
      <c r="Q5" s="66"/>
      <c r="R5" s="66"/>
      <c r="S5" s="66"/>
      <c r="T5" s="66"/>
      <c r="U5" s="66"/>
      <c r="V5" s="66"/>
      <c r="W5" s="66"/>
      <c r="X5" s="66"/>
      <c r="Y5" s="66"/>
      <c r="Z5" s="66"/>
      <c r="AA5" s="66"/>
      <c r="AB5" s="66"/>
      <c r="AC5" s="66"/>
    </row>
    <row r="6">
      <c r="A6" s="321">
        <v>43494.0</v>
      </c>
      <c r="B6" s="332" t="s">
        <v>3118</v>
      </c>
      <c r="C6" s="322" t="s">
        <v>3120</v>
      </c>
      <c r="D6" s="324" t="s">
        <v>3121</v>
      </c>
      <c r="E6" s="322" t="s">
        <v>3122</v>
      </c>
      <c r="F6" s="322"/>
      <c r="G6" s="327"/>
      <c r="H6" s="322" t="s">
        <v>3123</v>
      </c>
      <c r="I6" s="322" t="s">
        <v>3125</v>
      </c>
      <c r="J6" s="324" t="s">
        <v>3126</v>
      </c>
      <c r="K6" s="66"/>
      <c r="L6" s="66"/>
      <c r="M6" s="66"/>
      <c r="N6" s="66"/>
      <c r="O6" s="66"/>
      <c r="P6" s="66"/>
      <c r="Q6" s="66"/>
      <c r="R6" s="66"/>
      <c r="S6" s="66"/>
      <c r="T6" s="66"/>
      <c r="U6" s="66"/>
      <c r="V6" s="66"/>
      <c r="W6" s="66"/>
      <c r="X6" s="66"/>
      <c r="Y6" s="66"/>
      <c r="Z6" s="66"/>
      <c r="AA6" s="66"/>
      <c r="AB6" s="66"/>
      <c r="AC6" s="66"/>
    </row>
    <row r="7">
      <c r="A7" s="321">
        <v>43495.0</v>
      </c>
      <c r="B7" s="322" t="s">
        <v>3130</v>
      </c>
      <c r="C7" s="322" t="s">
        <v>3131</v>
      </c>
      <c r="D7" s="324" t="s">
        <v>3132</v>
      </c>
      <c r="E7" s="66"/>
      <c r="F7" s="66"/>
      <c r="G7" s="327"/>
      <c r="H7" s="322" t="s">
        <v>3133</v>
      </c>
      <c r="I7" s="318" t="s">
        <v>3134</v>
      </c>
      <c r="J7" s="324" t="s">
        <v>3135</v>
      </c>
      <c r="K7" s="66"/>
      <c r="L7" s="66"/>
      <c r="M7" s="66"/>
      <c r="N7" s="66"/>
      <c r="O7" s="66"/>
      <c r="P7" s="66"/>
      <c r="Q7" s="66"/>
      <c r="R7" s="66"/>
      <c r="S7" s="66"/>
      <c r="T7" s="66"/>
      <c r="U7" s="66"/>
      <c r="V7" s="66"/>
      <c r="W7" s="66"/>
      <c r="X7" s="66"/>
      <c r="Y7" s="66"/>
      <c r="Z7" s="66"/>
      <c r="AA7" s="66"/>
      <c r="AB7" s="66"/>
      <c r="AC7" s="66"/>
    </row>
    <row r="8">
      <c r="A8" s="321">
        <v>43496.0</v>
      </c>
      <c r="B8" s="322" t="s">
        <v>3142</v>
      </c>
      <c r="C8" s="322" t="s">
        <v>3145</v>
      </c>
      <c r="D8" s="324" t="s">
        <v>3147</v>
      </c>
      <c r="E8" s="66"/>
      <c r="F8" s="66"/>
      <c r="G8" s="327"/>
      <c r="H8" s="322" t="s">
        <v>3149</v>
      </c>
      <c r="I8" s="322" t="s">
        <v>3150</v>
      </c>
      <c r="J8" s="324" t="s">
        <v>3151</v>
      </c>
      <c r="K8" s="66"/>
      <c r="L8" s="66"/>
      <c r="M8" s="66"/>
      <c r="N8" s="66"/>
      <c r="O8" s="66"/>
      <c r="P8" s="66"/>
      <c r="Q8" s="66"/>
      <c r="R8" s="66"/>
      <c r="S8" s="66"/>
      <c r="T8" s="66"/>
      <c r="U8" s="66"/>
      <c r="V8" s="66"/>
      <c r="W8" s="66"/>
      <c r="X8" s="66"/>
      <c r="Y8" s="66"/>
      <c r="Z8" s="66"/>
      <c r="AA8" s="66"/>
      <c r="AB8" s="66"/>
      <c r="AC8" s="66"/>
    </row>
    <row r="9">
      <c r="A9" s="321">
        <v>43497.0</v>
      </c>
      <c r="B9" s="66"/>
      <c r="C9" s="66"/>
      <c r="D9" s="327"/>
      <c r="E9" s="66"/>
      <c r="F9" s="66"/>
      <c r="G9" s="327"/>
      <c r="H9" s="66"/>
      <c r="I9" s="66"/>
      <c r="J9" s="327"/>
      <c r="K9" s="66"/>
      <c r="L9" s="66"/>
      <c r="M9" s="66"/>
      <c r="N9" s="66"/>
      <c r="O9" s="66"/>
      <c r="P9" s="66"/>
      <c r="Q9" s="66"/>
      <c r="R9" s="66"/>
      <c r="S9" s="66"/>
      <c r="T9" s="66"/>
      <c r="U9" s="66"/>
      <c r="V9" s="66"/>
      <c r="W9" s="66"/>
      <c r="X9" s="66"/>
      <c r="Y9" s="66"/>
      <c r="Z9" s="66"/>
      <c r="AA9" s="66"/>
      <c r="AB9" s="66"/>
      <c r="AC9" s="66"/>
    </row>
    <row r="10" hidden="1">
      <c r="A10" s="321">
        <v>43498.0</v>
      </c>
      <c r="B10" s="66"/>
      <c r="C10" s="66"/>
      <c r="D10" s="327"/>
      <c r="E10" s="66"/>
      <c r="F10" s="66"/>
      <c r="G10" s="327"/>
      <c r="H10" s="66"/>
      <c r="I10" s="66"/>
      <c r="J10" s="327"/>
      <c r="K10" s="66"/>
      <c r="L10" s="66"/>
      <c r="M10" s="66"/>
      <c r="N10" s="66"/>
      <c r="O10" s="66"/>
      <c r="P10" s="66"/>
      <c r="Q10" s="66"/>
      <c r="R10" s="66"/>
      <c r="S10" s="66"/>
      <c r="T10" s="66"/>
      <c r="U10" s="66"/>
      <c r="V10" s="66"/>
      <c r="W10" s="66"/>
      <c r="X10" s="66"/>
      <c r="Y10" s="66"/>
      <c r="Z10" s="66"/>
      <c r="AA10" s="66"/>
      <c r="AB10" s="66"/>
      <c r="AC10" s="66"/>
    </row>
    <row r="11" hidden="1">
      <c r="A11" s="321">
        <v>43499.0</v>
      </c>
      <c r="B11" s="66"/>
      <c r="C11" s="66"/>
      <c r="D11" s="327"/>
      <c r="E11" s="66"/>
      <c r="F11" s="66"/>
      <c r="G11" s="327"/>
      <c r="H11" s="66"/>
      <c r="I11" s="66"/>
      <c r="J11" s="327"/>
      <c r="K11" s="66"/>
      <c r="L11" s="66"/>
      <c r="M11" s="66"/>
      <c r="N11" s="66"/>
      <c r="O11" s="66"/>
      <c r="P11" s="66"/>
      <c r="Q11" s="66"/>
      <c r="R11" s="66"/>
      <c r="S11" s="66"/>
      <c r="T11" s="66"/>
      <c r="U11" s="66"/>
      <c r="V11" s="66"/>
      <c r="W11" s="66"/>
      <c r="X11" s="66"/>
      <c r="Y11" s="66"/>
      <c r="Z11" s="66"/>
      <c r="AA11" s="66"/>
      <c r="AB11" s="66"/>
      <c r="AC11" s="66"/>
    </row>
    <row r="12">
      <c r="A12" s="321">
        <v>43500.0</v>
      </c>
      <c r="B12" s="66"/>
      <c r="C12" s="66"/>
      <c r="D12" s="327"/>
      <c r="E12" s="66"/>
      <c r="F12" s="66"/>
      <c r="G12" s="327"/>
      <c r="H12" s="66"/>
      <c r="I12" s="66"/>
      <c r="J12" s="327"/>
      <c r="K12" s="66"/>
      <c r="L12" s="66"/>
      <c r="M12" s="66"/>
      <c r="N12" s="66"/>
      <c r="O12" s="66"/>
      <c r="P12" s="66"/>
      <c r="Q12" s="66"/>
      <c r="R12" s="66"/>
      <c r="S12" s="66"/>
      <c r="T12" s="66"/>
      <c r="U12" s="66"/>
      <c r="V12" s="66"/>
      <c r="W12" s="66"/>
      <c r="X12" s="66"/>
      <c r="Y12" s="66"/>
      <c r="Z12" s="66"/>
      <c r="AA12" s="66"/>
      <c r="AB12" s="66"/>
      <c r="AC12" s="66"/>
    </row>
    <row r="13">
      <c r="A13" s="321">
        <v>43501.0</v>
      </c>
      <c r="B13" s="66"/>
      <c r="C13" s="66"/>
      <c r="D13" s="327"/>
      <c r="E13" s="66"/>
      <c r="F13" s="66"/>
      <c r="G13" s="327"/>
      <c r="H13" s="66"/>
      <c r="I13" s="66"/>
      <c r="J13" s="327"/>
      <c r="K13" s="66"/>
      <c r="L13" s="66"/>
      <c r="M13" s="66"/>
      <c r="N13" s="66"/>
      <c r="O13" s="66"/>
      <c r="P13" s="66"/>
      <c r="Q13" s="66"/>
      <c r="R13" s="66"/>
      <c r="S13" s="66"/>
      <c r="T13" s="66"/>
      <c r="U13" s="66"/>
      <c r="V13" s="66"/>
      <c r="W13" s="66"/>
      <c r="X13" s="66"/>
      <c r="Y13" s="66"/>
      <c r="Z13" s="66"/>
      <c r="AA13" s="66"/>
      <c r="AB13" s="66"/>
      <c r="AC13" s="66"/>
    </row>
    <row r="14">
      <c r="A14" s="321">
        <v>43502.0</v>
      </c>
      <c r="B14" s="66"/>
      <c r="C14" s="66"/>
      <c r="D14" s="327"/>
      <c r="E14" s="66"/>
      <c r="F14" s="66"/>
      <c r="G14" s="327"/>
      <c r="H14" s="66"/>
      <c r="I14" s="66"/>
      <c r="J14" s="327"/>
      <c r="K14" s="66"/>
      <c r="L14" s="66"/>
      <c r="M14" s="66"/>
      <c r="N14" s="66"/>
      <c r="O14" s="66"/>
      <c r="P14" s="66"/>
      <c r="Q14" s="66"/>
      <c r="R14" s="66"/>
      <c r="S14" s="66"/>
      <c r="T14" s="66"/>
      <c r="U14" s="66"/>
      <c r="V14" s="66"/>
      <c r="W14" s="66"/>
      <c r="X14" s="66"/>
      <c r="Y14" s="66"/>
      <c r="Z14" s="66"/>
      <c r="AA14" s="66"/>
      <c r="AB14" s="66"/>
      <c r="AC14" s="66"/>
    </row>
    <row r="15">
      <c r="A15" s="321">
        <v>43503.0</v>
      </c>
      <c r="B15" s="66"/>
      <c r="C15" s="66"/>
      <c r="D15" s="327"/>
      <c r="E15" s="66"/>
      <c r="F15" s="66"/>
      <c r="G15" s="327"/>
      <c r="H15" s="66"/>
      <c r="I15" s="66"/>
      <c r="J15" s="327"/>
      <c r="K15" s="66"/>
      <c r="L15" s="66"/>
      <c r="M15" s="66"/>
      <c r="N15" s="66"/>
      <c r="O15" s="66"/>
      <c r="P15" s="66"/>
      <c r="Q15" s="66"/>
      <c r="R15" s="66"/>
      <c r="S15" s="66"/>
      <c r="T15" s="66"/>
      <c r="U15" s="66"/>
      <c r="V15" s="66"/>
      <c r="W15" s="66"/>
      <c r="X15" s="66"/>
      <c r="Y15" s="66"/>
      <c r="Z15" s="66"/>
      <c r="AA15" s="66"/>
      <c r="AB15" s="66"/>
      <c r="AC15" s="66"/>
    </row>
    <row r="16">
      <c r="A16" s="321">
        <v>43504.0</v>
      </c>
      <c r="B16" s="66"/>
      <c r="C16" s="66"/>
      <c r="D16" s="327"/>
      <c r="E16" s="66"/>
      <c r="F16" s="66"/>
      <c r="G16" s="327"/>
      <c r="H16" s="66"/>
      <c r="I16" s="66"/>
      <c r="J16" s="327"/>
      <c r="K16" s="66"/>
      <c r="L16" s="66"/>
      <c r="M16" s="66"/>
      <c r="N16" s="66"/>
      <c r="O16" s="66"/>
      <c r="P16" s="66"/>
      <c r="Q16" s="66"/>
      <c r="R16" s="66"/>
      <c r="S16" s="66"/>
      <c r="T16" s="66"/>
      <c r="U16" s="66"/>
      <c r="V16" s="66"/>
      <c r="W16" s="66"/>
      <c r="X16" s="66"/>
      <c r="Y16" s="66"/>
      <c r="Z16" s="66"/>
      <c r="AA16" s="66"/>
      <c r="AB16" s="66"/>
      <c r="AC16" s="66"/>
    </row>
    <row r="17" hidden="1">
      <c r="A17" s="321">
        <v>43505.0</v>
      </c>
      <c r="B17" s="66"/>
      <c r="C17" s="66"/>
      <c r="D17" s="327"/>
      <c r="E17" s="66"/>
      <c r="F17" s="66"/>
      <c r="G17" s="327"/>
      <c r="H17" s="66"/>
      <c r="I17" s="66"/>
      <c r="J17" s="327"/>
      <c r="K17" s="66"/>
      <c r="L17" s="66"/>
      <c r="M17" s="66"/>
      <c r="N17" s="66"/>
      <c r="O17" s="66"/>
      <c r="P17" s="66"/>
      <c r="Q17" s="66"/>
      <c r="R17" s="66"/>
      <c r="S17" s="66"/>
      <c r="T17" s="66"/>
      <c r="U17" s="66"/>
      <c r="V17" s="66"/>
      <c r="W17" s="66"/>
      <c r="X17" s="66"/>
      <c r="Y17" s="66"/>
      <c r="Z17" s="66"/>
      <c r="AA17" s="66"/>
      <c r="AB17" s="66"/>
      <c r="AC17" s="66"/>
    </row>
    <row r="18" hidden="1">
      <c r="A18" s="321">
        <v>43506.0</v>
      </c>
      <c r="B18" s="66"/>
      <c r="C18" s="66"/>
      <c r="D18" s="327"/>
      <c r="E18" s="66"/>
      <c r="F18" s="66"/>
      <c r="G18" s="327"/>
      <c r="H18" s="66"/>
      <c r="I18" s="66"/>
      <c r="J18" s="327"/>
      <c r="K18" s="66"/>
      <c r="L18" s="66"/>
      <c r="M18" s="66"/>
      <c r="N18" s="66"/>
      <c r="O18" s="66"/>
      <c r="P18" s="66"/>
      <c r="Q18" s="66"/>
      <c r="R18" s="66"/>
      <c r="S18" s="66"/>
      <c r="T18" s="66"/>
      <c r="U18" s="66"/>
      <c r="V18" s="66"/>
      <c r="W18" s="66"/>
      <c r="X18" s="66"/>
      <c r="Y18" s="66"/>
      <c r="Z18" s="66"/>
      <c r="AA18" s="66"/>
      <c r="AB18" s="66"/>
      <c r="AC18" s="66"/>
    </row>
    <row r="19">
      <c r="A19" s="321">
        <v>43507.0</v>
      </c>
      <c r="B19" s="66"/>
      <c r="C19" s="66"/>
      <c r="D19" s="327"/>
      <c r="E19" s="66"/>
      <c r="F19" s="66"/>
      <c r="G19" s="327"/>
      <c r="H19" s="322" t="s">
        <v>3208</v>
      </c>
      <c r="I19" s="66"/>
      <c r="J19" s="327"/>
      <c r="K19" s="66"/>
      <c r="L19" s="66"/>
      <c r="M19" s="66"/>
      <c r="N19" s="66"/>
      <c r="O19" s="66"/>
      <c r="P19" s="66"/>
      <c r="Q19" s="66"/>
      <c r="R19" s="66"/>
      <c r="S19" s="66"/>
      <c r="T19" s="66"/>
      <c r="U19" s="66"/>
      <c r="V19" s="66"/>
      <c r="W19" s="66"/>
      <c r="X19" s="66"/>
      <c r="Y19" s="66"/>
      <c r="Z19" s="66"/>
      <c r="AA19" s="66"/>
      <c r="AB19" s="66"/>
      <c r="AC19" s="66"/>
    </row>
    <row r="20">
      <c r="A20" s="321">
        <v>43508.0</v>
      </c>
      <c r="B20" s="66"/>
      <c r="C20" s="66"/>
      <c r="D20" s="327"/>
      <c r="E20" s="66"/>
      <c r="F20" s="66"/>
      <c r="G20" s="327"/>
      <c r="H20" s="66"/>
      <c r="I20" s="66"/>
      <c r="J20" s="327"/>
      <c r="K20" s="66"/>
      <c r="L20" s="66"/>
      <c r="M20" s="66"/>
      <c r="N20" s="66"/>
      <c r="O20" s="66"/>
      <c r="P20" s="66"/>
      <c r="Q20" s="66"/>
      <c r="R20" s="66"/>
      <c r="S20" s="66"/>
      <c r="T20" s="66"/>
      <c r="U20" s="66"/>
      <c r="V20" s="66"/>
      <c r="W20" s="66"/>
      <c r="X20" s="66"/>
      <c r="Y20" s="66"/>
      <c r="Z20" s="66"/>
      <c r="AA20" s="66"/>
      <c r="AB20" s="66"/>
      <c r="AC20" s="66"/>
    </row>
    <row r="21">
      <c r="A21" s="321">
        <v>43509.0</v>
      </c>
      <c r="B21" s="66"/>
      <c r="C21" s="66"/>
      <c r="D21" s="327"/>
      <c r="E21" s="66"/>
      <c r="F21" s="66"/>
      <c r="G21" s="327"/>
      <c r="H21" s="66"/>
      <c r="I21" s="66"/>
      <c r="J21" s="327"/>
      <c r="K21" s="66"/>
      <c r="L21" s="66"/>
      <c r="M21" s="66"/>
      <c r="N21" s="66"/>
      <c r="O21" s="66"/>
      <c r="P21" s="66"/>
      <c r="Q21" s="66"/>
      <c r="R21" s="66"/>
      <c r="S21" s="66"/>
      <c r="T21" s="66"/>
      <c r="U21" s="66"/>
      <c r="V21" s="66"/>
      <c r="W21" s="66"/>
      <c r="X21" s="66"/>
      <c r="Y21" s="66"/>
      <c r="Z21" s="66"/>
      <c r="AA21" s="66"/>
      <c r="AB21" s="66"/>
      <c r="AC21" s="66"/>
    </row>
    <row r="22">
      <c r="A22" s="321">
        <v>43510.0</v>
      </c>
      <c r="B22" s="66"/>
      <c r="C22" s="66"/>
      <c r="D22" s="327"/>
      <c r="E22" s="66"/>
      <c r="F22" s="66"/>
      <c r="G22" s="327"/>
      <c r="H22" s="66"/>
      <c r="I22" s="66"/>
      <c r="J22" s="327"/>
      <c r="K22" s="66"/>
      <c r="L22" s="66"/>
      <c r="M22" s="66"/>
      <c r="N22" s="66"/>
      <c r="O22" s="66"/>
      <c r="P22" s="66"/>
      <c r="Q22" s="66"/>
      <c r="R22" s="66"/>
      <c r="S22" s="66"/>
      <c r="T22" s="66"/>
      <c r="U22" s="66"/>
      <c r="V22" s="66"/>
      <c r="W22" s="66"/>
      <c r="X22" s="66"/>
      <c r="Y22" s="66"/>
      <c r="Z22" s="66"/>
      <c r="AA22" s="66"/>
      <c r="AB22" s="66"/>
      <c r="AC22" s="66"/>
    </row>
    <row r="23">
      <c r="A23" s="321">
        <v>43511.0</v>
      </c>
      <c r="B23" s="66"/>
      <c r="C23" s="66"/>
      <c r="D23" s="327"/>
      <c r="E23" s="66"/>
      <c r="F23" s="66"/>
      <c r="G23" s="327"/>
      <c r="H23" s="66"/>
      <c r="I23" s="66"/>
      <c r="J23" s="327"/>
      <c r="K23" s="66"/>
      <c r="L23" s="66"/>
      <c r="M23" s="66"/>
      <c r="N23" s="66"/>
      <c r="O23" s="66"/>
      <c r="P23" s="66"/>
      <c r="Q23" s="66"/>
      <c r="R23" s="66"/>
      <c r="S23" s="66"/>
      <c r="T23" s="66"/>
      <c r="U23" s="66"/>
      <c r="V23" s="66"/>
      <c r="W23" s="66"/>
      <c r="X23" s="66"/>
      <c r="Y23" s="66"/>
      <c r="Z23" s="66"/>
      <c r="AA23" s="66"/>
      <c r="AB23" s="66"/>
      <c r="AC23" s="66"/>
    </row>
    <row r="24" hidden="1">
      <c r="A24" s="321">
        <v>43512.0</v>
      </c>
      <c r="B24" s="66"/>
      <c r="C24" s="66"/>
      <c r="D24" s="327"/>
      <c r="E24" s="66"/>
      <c r="F24" s="66"/>
      <c r="G24" s="327"/>
      <c r="H24" s="66"/>
      <c r="I24" s="66"/>
      <c r="J24" s="327"/>
      <c r="K24" s="66"/>
      <c r="L24" s="66"/>
      <c r="M24" s="66"/>
      <c r="N24" s="66"/>
      <c r="O24" s="66"/>
      <c r="P24" s="66"/>
      <c r="Q24" s="66"/>
      <c r="R24" s="66"/>
      <c r="S24" s="66"/>
      <c r="T24" s="66"/>
      <c r="U24" s="66"/>
      <c r="V24" s="66"/>
      <c r="W24" s="66"/>
      <c r="X24" s="66"/>
      <c r="Y24" s="66"/>
      <c r="Z24" s="66"/>
      <c r="AA24" s="66"/>
      <c r="AB24" s="66"/>
      <c r="AC24" s="66"/>
    </row>
    <row r="25" hidden="1">
      <c r="A25" s="321">
        <v>43513.0</v>
      </c>
      <c r="B25" s="66"/>
      <c r="C25" s="66"/>
      <c r="D25" s="327"/>
      <c r="E25" s="66"/>
      <c r="F25" s="66"/>
      <c r="G25" s="327"/>
      <c r="H25" s="66"/>
      <c r="I25" s="66"/>
      <c r="J25" s="327"/>
      <c r="K25" s="66"/>
      <c r="L25" s="66"/>
      <c r="M25" s="66"/>
      <c r="N25" s="66"/>
      <c r="O25" s="66"/>
      <c r="P25" s="66"/>
      <c r="Q25" s="66"/>
      <c r="R25" s="66"/>
      <c r="S25" s="66"/>
      <c r="T25" s="66"/>
      <c r="U25" s="66"/>
      <c r="V25" s="66"/>
      <c r="W25" s="66"/>
      <c r="X25" s="66"/>
      <c r="Y25" s="66"/>
      <c r="Z25" s="66"/>
      <c r="AA25" s="66"/>
      <c r="AB25" s="66"/>
      <c r="AC25" s="66"/>
    </row>
    <row r="26">
      <c r="A26" s="321">
        <v>43514.0</v>
      </c>
      <c r="B26" s="66"/>
      <c r="C26" s="66"/>
      <c r="D26" s="327"/>
      <c r="E26" s="66"/>
      <c r="F26" s="66"/>
      <c r="G26" s="327"/>
      <c r="H26" s="66"/>
      <c r="I26" s="66"/>
      <c r="J26" s="327"/>
      <c r="K26" s="66"/>
      <c r="L26" s="66"/>
      <c r="M26" s="66"/>
      <c r="N26" s="66"/>
      <c r="O26" s="66"/>
      <c r="P26" s="66"/>
      <c r="Q26" s="66"/>
      <c r="R26" s="66"/>
      <c r="S26" s="66"/>
      <c r="T26" s="66"/>
      <c r="U26" s="66"/>
      <c r="V26" s="66"/>
      <c r="W26" s="66"/>
      <c r="X26" s="66"/>
      <c r="Y26" s="66"/>
      <c r="Z26" s="66"/>
      <c r="AA26" s="66"/>
      <c r="AB26" s="66"/>
      <c r="AC26" s="66"/>
    </row>
    <row r="27">
      <c r="A27" s="321">
        <v>43515.0</v>
      </c>
      <c r="B27" s="66"/>
      <c r="C27" s="66"/>
      <c r="D27" s="327"/>
      <c r="E27" s="66"/>
      <c r="F27" s="66"/>
      <c r="G27" s="327"/>
      <c r="H27" s="322" t="s">
        <v>3248</v>
      </c>
      <c r="I27" s="322" t="s">
        <v>3250</v>
      </c>
      <c r="J27" s="324" t="s">
        <v>3251</v>
      </c>
      <c r="K27" s="66"/>
      <c r="L27" s="66"/>
      <c r="M27" s="66"/>
      <c r="N27" s="66"/>
      <c r="O27" s="66"/>
      <c r="P27" s="66"/>
      <c r="Q27" s="66"/>
      <c r="R27" s="66"/>
      <c r="S27" s="66"/>
      <c r="T27" s="66"/>
      <c r="U27" s="66"/>
      <c r="V27" s="66"/>
      <c r="W27" s="66"/>
      <c r="X27" s="66"/>
      <c r="Y27" s="66"/>
      <c r="Z27" s="66"/>
      <c r="AA27" s="66"/>
      <c r="AB27" s="66"/>
      <c r="AC27" s="66"/>
    </row>
    <row r="28">
      <c r="A28" s="321">
        <v>43516.0</v>
      </c>
      <c r="B28" s="66"/>
      <c r="C28" s="66"/>
      <c r="D28" s="327"/>
      <c r="E28" s="66"/>
      <c r="F28" s="66"/>
      <c r="G28" s="327"/>
      <c r="H28" s="322" t="s">
        <v>3253</v>
      </c>
      <c r="I28" s="322" t="s">
        <v>3254</v>
      </c>
      <c r="J28" s="324" t="s">
        <v>3255</v>
      </c>
      <c r="K28" s="66"/>
      <c r="L28" s="66"/>
      <c r="M28" s="66"/>
      <c r="N28" s="66"/>
      <c r="O28" s="66"/>
      <c r="P28" s="66"/>
      <c r="Q28" s="66"/>
      <c r="R28" s="66"/>
      <c r="S28" s="66"/>
      <c r="T28" s="66"/>
      <c r="U28" s="66"/>
      <c r="V28" s="66"/>
      <c r="W28" s="66"/>
      <c r="X28" s="66"/>
      <c r="Y28" s="66"/>
      <c r="Z28" s="66"/>
      <c r="AA28" s="66"/>
      <c r="AB28" s="66"/>
      <c r="AC28" s="66"/>
    </row>
    <row r="29">
      <c r="A29" s="321">
        <v>43517.0</v>
      </c>
      <c r="B29" s="66"/>
      <c r="C29" s="66"/>
      <c r="D29" s="327"/>
      <c r="E29" s="66"/>
      <c r="F29" s="66"/>
      <c r="G29" s="327"/>
      <c r="H29" s="66"/>
      <c r="I29" s="66"/>
      <c r="J29" s="327"/>
      <c r="K29" s="66"/>
      <c r="L29" s="66"/>
      <c r="M29" s="66"/>
      <c r="N29" s="66"/>
      <c r="O29" s="66"/>
      <c r="P29" s="66"/>
      <c r="Q29" s="66"/>
      <c r="R29" s="66"/>
      <c r="S29" s="66"/>
      <c r="T29" s="66"/>
      <c r="U29" s="66"/>
      <c r="V29" s="66"/>
      <c r="W29" s="66"/>
      <c r="X29" s="66"/>
      <c r="Y29" s="66"/>
      <c r="Z29" s="66"/>
      <c r="AA29" s="66"/>
      <c r="AB29" s="66"/>
      <c r="AC29" s="66"/>
    </row>
    <row r="30">
      <c r="A30" s="321">
        <v>43518.0</v>
      </c>
      <c r="B30" s="66"/>
      <c r="C30" s="66"/>
      <c r="D30" s="327"/>
      <c r="E30" s="66"/>
      <c r="F30" s="66"/>
      <c r="G30" s="327"/>
      <c r="H30" s="66"/>
      <c r="I30" s="66"/>
      <c r="J30" s="327"/>
      <c r="K30" s="66"/>
      <c r="L30" s="66"/>
      <c r="M30" s="66"/>
      <c r="N30" s="66"/>
      <c r="O30" s="66"/>
      <c r="P30" s="66"/>
      <c r="Q30" s="66"/>
      <c r="R30" s="66"/>
      <c r="S30" s="66"/>
      <c r="T30" s="66"/>
      <c r="U30" s="66"/>
      <c r="V30" s="66"/>
      <c r="W30" s="66"/>
      <c r="X30" s="66"/>
      <c r="Y30" s="66"/>
      <c r="Z30" s="66"/>
      <c r="AA30" s="66"/>
      <c r="AB30" s="66"/>
      <c r="AC30" s="66"/>
    </row>
    <row r="31" hidden="1">
      <c r="A31" s="321">
        <v>43519.0</v>
      </c>
      <c r="B31" s="66"/>
      <c r="C31" s="66"/>
      <c r="D31" s="327"/>
      <c r="E31" s="66"/>
      <c r="F31" s="66"/>
      <c r="G31" s="327"/>
      <c r="H31" s="66"/>
      <c r="I31" s="66"/>
      <c r="J31" s="327"/>
      <c r="K31" s="66"/>
      <c r="L31" s="66"/>
      <c r="M31" s="66"/>
      <c r="N31" s="66"/>
      <c r="O31" s="66"/>
      <c r="P31" s="66"/>
      <c r="Q31" s="66"/>
      <c r="R31" s="66"/>
      <c r="S31" s="66"/>
      <c r="T31" s="66"/>
      <c r="U31" s="66"/>
      <c r="V31" s="66"/>
      <c r="W31" s="66"/>
      <c r="X31" s="66"/>
      <c r="Y31" s="66"/>
      <c r="Z31" s="66"/>
      <c r="AA31" s="66"/>
      <c r="AB31" s="66"/>
      <c r="AC31" s="66"/>
    </row>
    <row r="32" hidden="1">
      <c r="A32" s="321">
        <v>43520.0</v>
      </c>
      <c r="B32" s="66"/>
      <c r="C32" s="66"/>
      <c r="D32" s="327"/>
      <c r="E32" s="66"/>
      <c r="F32" s="66"/>
      <c r="G32" s="327"/>
      <c r="H32" s="66"/>
      <c r="I32" s="66"/>
      <c r="J32" s="327"/>
      <c r="K32" s="66"/>
      <c r="L32" s="66"/>
      <c r="M32" s="66"/>
      <c r="N32" s="66"/>
      <c r="O32" s="66"/>
      <c r="P32" s="66"/>
      <c r="Q32" s="66"/>
      <c r="R32" s="66"/>
      <c r="S32" s="66"/>
      <c r="T32" s="66"/>
      <c r="U32" s="66"/>
      <c r="V32" s="66"/>
      <c r="W32" s="66"/>
      <c r="X32" s="66"/>
      <c r="Y32" s="66"/>
      <c r="Z32" s="66"/>
      <c r="AA32" s="66"/>
      <c r="AB32" s="66"/>
      <c r="AC32" s="66"/>
    </row>
    <row r="33">
      <c r="A33" s="321">
        <v>43521.0</v>
      </c>
      <c r="B33" s="66"/>
      <c r="C33" s="66"/>
      <c r="D33" s="327"/>
      <c r="E33" s="66"/>
      <c r="F33" s="66"/>
      <c r="G33" s="327"/>
      <c r="H33" s="66"/>
      <c r="I33" s="66"/>
      <c r="J33" s="327"/>
      <c r="K33" s="66"/>
      <c r="L33" s="66"/>
      <c r="M33" s="66"/>
      <c r="N33" s="66"/>
      <c r="O33" s="66"/>
      <c r="P33" s="66"/>
      <c r="Q33" s="66"/>
      <c r="R33" s="66"/>
      <c r="S33" s="66"/>
      <c r="T33" s="66"/>
      <c r="U33" s="66"/>
      <c r="V33" s="66"/>
      <c r="W33" s="66"/>
      <c r="X33" s="66"/>
      <c r="Y33" s="66"/>
      <c r="Z33" s="66"/>
      <c r="AA33" s="66"/>
      <c r="AB33" s="66"/>
      <c r="AC33" s="66"/>
    </row>
    <row r="34">
      <c r="A34" s="321">
        <v>43522.0</v>
      </c>
      <c r="B34" s="66"/>
      <c r="C34" s="66"/>
      <c r="D34" s="327"/>
      <c r="E34" s="66"/>
      <c r="F34" s="66"/>
      <c r="G34" s="327"/>
      <c r="H34" s="66"/>
      <c r="I34" s="66"/>
      <c r="J34" s="327"/>
      <c r="K34" s="66"/>
      <c r="L34" s="66"/>
      <c r="M34" s="66"/>
      <c r="N34" s="66"/>
      <c r="O34" s="66"/>
      <c r="P34" s="66"/>
      <c r="Q34" s="66"/>
      <c r="R34" s="66"/>
      <c r="S34" s="66"/>
      <c r="T34" s="66"/>
      <c r="U34" s="66"/>
      <c r="V34" s="66"/>
      <c r="W34" s="66"/>
      <c r="X34" s="66"/>
      <c r="Y34" s="66"/>
      <c r="Z34" s="66"/>
      <c r="AA34" s="66"/>
      <c r="AB34" s="66"/>
      <c r="AC34" s="66"/>
    </row>
    <row r="35">
      <c r="A35" s="321">
        <v>43523.0</v>
      </c>
      <c r="B35" s="66"/>
      <c r="C35" s="66"/>
      <c r="D35" s="327"/>
      <c r="E35" s="66"/>
      <c r="F35" s="66"/>
      <c r="G35" s="327"/>
      <c r="H35" s="66"/>
      <c r="I35" s="66"/>
      <c r="J35" s="327"/>
      <c r="K35" s="66"/>
      <c r="L35" s="66"/>
      <c r="M35" s="66"/>
      <c r="N35" s="66"/>
      <c r="O35" s="66"/>
      <c r="P35" s="66"/>
      <c r="Q35" s="66"/>
      <c r="R35" s="66"/>
      <c r="S35" s="66"/>
      <c r="T35" s="66"/>
      <c r="U35" s="66"/>
      <c r="V35" s="66"/>
      <c r="W35" s="66"/>
      <c r="X35" s="66"/>
      <c r="Y35" s="66"/>
      <c r="Z35" s="66"/>
      <c r="AA35" s="66"/>
      <c r="AB35" s="66"/>
      <c r="AC35" s="66"/>
    </row>
    <row r="36">
      <c r="A36" s="321">
        <v>43524.0</v>
      </c>
      <c r="B36" s="66"/>
      <c r="C36" s="66"/>
      <c r="D36" s="327"/>
      <c r="E36" s="66"/>
      <c r="F36" s="66"/>
      <c r="G36" s="327"/>
      <c r="H36" s="66"/>
      <c r="I36" s="66"/>
      <c r="J36" s="327"/>
      <c r="K36" s="66"/>
      <c r="L36" s="66"/>
      <c r="M36" s="66"/>
      <c r="N36" s="66"/>
      <c r="O36" s="66"/>
      <c r="P36" s="66"/>
      <c r="Q36" s="66"/>
      <c r="R36" s="66"/>
      <c r="S36" s="66"/>
      <c r="T36" s="66"/>
      <c r="U36" s="66"/>
      <c r="V36" s="66"/>
      <c r="W36" s="66"/>
      <c r="X36" s="66"/>
      <c r="Y36" s="66"/>
      <c r="Z36" s="66"/>
      <c r="AA36" s="66"/>
      <c r="AB36" s="66"/>
      <c r="AC36" s="66"/>
    </row>
    <row r="37">
      <c r="A37" s="321">
        <v>43525.0</v>
      </c>
      <c r="B37" s="66"/>
      <c r="C37" s="66"/>
      <c r="D37" s="327"/>
      <c r="E37" s="66"/>
      <c r="F37" s="66"/>
      <c r="G37" s="327"/>
      <c r="H37" s="66"/>
      <c r="I37" s="66"/>
      <c r="J37" s="327"/>
      <c r="K37" s="66"/>
      <c r="L37" s="66"/>
      <c r="M37" s="66"/>
      <c r="N37" s="66"/>
      <c r="O37" s="66"/>
      <c r="P37" s="66"/>
      <c r="Q37" s="66"/>
      <c r="R37" s="66"/>
      <c r="S37" s="66"/>
      <c r="T37" s="66"/>
      <c r="U37" s="66"/>
      <c r="V37" s="66"/>
      <c r="W37" s="66"/>
      <c r="X37" s="66"/>
      <c r="Y37" s="66"/>
      <c r="Z37" s="66"/>
      <c r="AA37" s="66"/>
      <c r="AB37" s="66"/>
      <c r="AC37" s="66"/>
    </row>
    <row r="38" hidden="1">
      <c r="A38" s="321">
        <v>43526.0</v>
      </c>
      <c r="B38" s="66"/>
      <c r="C38" s="66"/>
      <c r="D38" s="327"/>
      <c r="E38" s="66"/>
      <c r="F38" s="66"/>
      <c r="G38" s="327"/>
      <c r="H38" s="66"/>
      <c r="I38" s="66"/>
      <c r="J38" s="327"/>
      <c r="K38" s="66"/>
      <c r="L38" s="66"/>
      <c r="M38" s="66"/>
      <c r="N38" s="66"/>
      <c r="O38" s="66"/>
      <c r="P38" s="66"/>
      <c r="Q38" s="66"/>
      <c r="R38" s="66"/>
      <c r="S38" s="66"/>
      <c r="T38" s="66"/>
      <c r="U38" s="66"/>
      <c r="V38" s="66"/>
      <c r="W38" s="66"/>
      <c r="X38" s="66"/>
      <c r="Y38" s="66"/>
      <c r="Z38" s="66"/>
      <c r="AA38" s="66"/>
      <c r="AB38" s="66"/>
      <c r="AC38" s="66"/>
    </row>
    <row r="39" hidden="1">
      <c r="A39" s="321">
        <v>43527.0</v>
      </c>
      <c r="B39" s="66"/>
      <c r="C39" s="66"/>
      <c r="D39" s="327"/>
      <c r="E39" s="66"/>
      <c r="F39" s="66"/>
      <c r="G39" s="327"/>
      <c r="H39" s="66"/>
      <c r="I39" s="66"/>
      <c r="J39" s="327"/>
      <c r="K39" s="66"/>
      <c r="L39" s="66"/>
      <c r="M39" s="66"/>
      <c r="N39" s="66"/>
      <c r="O39" s="66"/>
      <c r="P39" s="66"/>
      <c r="Q39" s="66"/>
      <c r="R39" s="66"/>
      <c r="S39" s="66"/>
      <c r="T39" s="66"/>
      <c r="U39" s="66"/>
      <c r="V39" s="66"/>
      <c r="W39" s="66"/>
      <c r="X39" s="66"/>
      <c r="Y39" s="66"/>
      <c r="Z39" s="66"/>
      <c r="AA39" s="66"/>
      <c r="AB39" s="66"/>
      <c r="AC39" s="66"/>
    </row>
    <row r="40">
      <c r="A40" s="321">
        <v>43528.0</v>
      </c>
      <c r="B40" s="66"/>
      <c r="C40" s="66"/>
      <c r="D40" s="327"/>
      <c r="E40" s="66"/>
      <c r="F40" s="66"/>
      <c r="G40" s="327"/>
      <c r="H40" s="66"/>
      <c r="I40" s="66"/>
      <c r="J40" s="327"/>
      <c r="K40" s="66"/>
      <c r="L40" s="66"/>
      <c r="M40" s="66"/>
      <c r="N40" s="66"/>
      <c r="O40" s="66"/>
      <c r="P40" s="66"/>
      <c r="Q40" s="66"/>
      <c r="R40" s="66"/>
      <c r="S40" s="66"/>
      <c r="T40" s="66"/>
      <c r="U40" s="66"/>
      <c r="V40" s="66"/>
      <c r="W40" s="66"/>
      <c r="X40" s="66"/>
      <c r="Y40" s="66"/>
      <c r="Z40" s="66"/>
      <c r="AA40" s="66"/>
      <c r="AB40" s="66"/>
      <c r="AC40" s="66"/>
    </row>
    <row r="41">
      <c r="A41" s="321">
        <v>43529.0</v>
      </c>
      <c r="B41" s="66"/>
      <c r="C41" s="66"/>
      <c r="D41" s="327"/>
      <c r="E41" s="66"/>
      <c r="F41" s="66"/>
      <c r="G41" s="327"/>
      <c r="H41" s="66"/>
      <c r="I41" s="66"/>
      <c r="J41" s="327"/>
      <c r="K41" s="66"/>
      <c r="L41" s="66"/>
      <c r="M41" s="66"/>
      <c r="N41" s="66"/>
      <c r="O41" s="66"/>
      <c r="P41" s="66"/>
      <c r="Q41" s="66"/>
      <c r="R41" s="66"/>
      <c r="S41" s="66"/>
      <c r="T41" s="66"/>
      <c r="U41" s="66"/>
      <c r="V41" s="66"/>
      <c r="W41" s="66"/>
      <c r="X41" s="66"/>
      <c r="Y41" s="66"/>
      <c r="Z41" s="66"/>
      <c r="AA41" s="66"/>
      <c r="AB41" s="66"/>
      <c r="AC41" s="66"/>
    </row>
    <row r="42">
      <c r="A42" s="321">
        <v>43530.0</v>
      </c>
      <c r="B42" s="66"/>
      <c r="C42" s="66"/>
      <c r="D42" s="327"/>
      <c r="E42" s="66"/>
      <c r="F42" s="66"/>
      <c r="G42" s="327"/>
      <c r="H42" s="66"/>
      <c r="I42" s="66"/>
      <c r="J42" s="327"/>
      <c r="K42" s="66"/>
      <c r="L42" s="66"/>
      <c r="M42" s="66"/>
      <c r="N42" s="66"/>
      <c r="O42" s="66"/>
      <c r="P42" s="66"/>
      <c r="Q42" s="66"/>
      <c r="R42" s="66"/>
      <c r="S42" s="66"/>
      <c r="T42" s="66"/>
      <c r="U42" s="66"/>
      <c r="V42" s="66"/>
      <c r="W42" s="66"/>
      <c r="X42" s="66"/>
      <c r="Y42" s="66"/>
      <c r="Z42" s="66"/>
      <c r="AA42" s="66"/>
      <c r="AB42" s="66"/>
      <c r="AC42" s="66"/>
    </row>
    <row r="43">
      <c r="A43" s="321">
        <v>43531.0</v>
      </c>
      <c r="B43" s="66"/>
      <c r="C43" s="66"/>
      <c r="D43" s="327"/>
      <c r="E43" s="66"/>
      <c r="F43" s="66"/>
      <c r="G43" s="327"/>
      <c r="H43" s="66"/>
      <c r="I43" s="66"/>
      <c r="J43" s="327"/>
      <c r="K43" s="66"/>
      <c r="L43" s="66"/>
      <c r="M43" s="66"/>
      <c r="N43" s="66"/>
      <c r="O43" s="66"/>
      <c r="P43" s="66"/>
      <c r="Q43" s="66"/>
      <c r="R43" s="66"/>
      <c r="S43" s="66"/>
      <c r="T43" s="66"/>
      <c r="U43" s="66"/>
      <c r="V43" s="66"/>
      <c r="W43" s="66"/>
      <c r="X43" s="66"/>
      <c r="Y43" s="66"/>
      <c r="Z43" s="66"/>
      <c r="AA43" s="66"/>
      <c r="AB43" s="66"/>
      <c r="AC43" s="66"/>
    </row>
    <row r="44">
      <c r="A44" s="321">
        <v>43532.0</v>
      </c>
      <c r="B44" s="66"/>
      <c r="C44" s="66"/>
      <c r="D44" s="327"/>
      <c r="E44" s="66"/>
      <c r="F44" s="66"/>
      <c r="G44" s="327"/>
      <c r="H44" s="66"/>
      <c r="I44" s="66"/>
      <c r="J44" s="327"/>
      <c r="K44" s="66"/>
      <c r="L44" s="66"/>
      <c r="M44" s="66"/>
      <c r="N44" s="66"/>
      <c r="O44" s="66"/>
      <c r="P44" s="66"/>
      <c r="Q44" s="66"/>
      <c r="R44" s="66"/>
      <c r="S44" s="66"/>
      <c r="T44" s="66"/>
      <c r="U44" s="66"/>
      <c r="V44" s="66"/>
      <c r="W44" s="66"/>
      <c r="X44" s="66"/>
      <c r="Y44" s="66"/>
      <c r="Z44" s="66"/>
      <c r="AA44" s="66"/>
      <c r="AB44" s="66"/>
      <c r="AC44" s="66"/>
    </row>
    <row r="45" hidden="1">
      <c r="A45" s="321">
        <v>43533.0</v>
      </c>
      <c r="B45" s="66"/>
      <c r="C45" s="66"/>
      <c r="D45" s="327"/>
      <c r="E45" s="66"/>
      <c r="F45" s="66"/>
      <c r="G45" s="327"/>
      <c r="H45" s="66"/>
      <c r="I45" s="66"/>
      <c r="J45" s="327"/>
      <c r="K45" s="66"/>
      <c r="L45" s="66"/>
      <c r="M45" s="66"/>
      <c r="N45" s="66"/>
      <c r="O45" s="66"/>
      <c r="P45" s="66"/>
      <c r="Q45" s="66"/>
      <c r="R45" s="66"/>
      <c r="S45" s="66"/>
      <c r="T45" s="66"/>
      <c r="U45" s="66"/>
      <c r="V45" s="66"/>
      <c r="W45" s="66"/>
      <c r="X45" s="66"/>
      <c r="Y45" s="66"/>
      <c r="Z45" s="66"/>
      <c r="AA45" s="66"/>
      <c r="AB45" s="66"/>
      <c r="AC45" s="66"/>
    </row>
    <row r="46" hidden="1">
      <c r="A46" s="321">
        <v>43534.0</v>
      </c>
      <c r="B46" s="66"/>
      <c r="C46" s="66"/>
      <c r="D46" s="327"/>
      <c r="E46" s="66"/>
      <c r="F46" s="66"/>
      <c r="G46" s="327"/>
      <c r="H46" s="66"/>
      <c r="I46" s="66"/>
      <c r="J46" s="327"/>
      <c r="K46" s="66"/>
      <c r="L46" s="66"/>
      <c r="M46" s="66"/>
      <c r="N46" s="66"/>
      <c r="O46" s="66"/>
      <c r="P46" s="66"/>
      <c r="Q46" s="66"/>
      <c r="R46" s="66"/>
      <c r="S46" s="66"/>
      <c r="T46" s="66"/>
      <c r="U46" s="66"/>
      <c r="V46" s="66"/>
      <c r="W46" s="66"/>
      <c r="X46" s="66"/>
      <c r="Y46" s="66"/>
      <c r="Z46" s="66"/>
      <c r="AA46" s="66"/>
      <c r="AB46" s="66"/>
      <c r="AC46" s="66"/>
    </row>
    <row r="47">
      <c r="A47" s="321">
        <v>43535.0</v>
      </c>
      <c r="B47" s="66"/>
      <c r="C47" s="66"/>
      <c r="D47" s="327"/>
      <c r="E47" s="66"/>
      <c r="F47" s="66"/>
      <c r="G47" s="327"/>
      <c r="H47" s="66"/>
      <c r="I47" s="66"/>
      <c r="J47" s="327"/>
      <c r="K47" s="66"/>
      <c r="L47" s="66"/>
      <c r="M47" s="66"/>
      <c r="N47" s="66"/>
      <c r="O47" s="66"/>
      <c r="P47" s="66"/>
      <c r="Q47" s="66"/>
      <c r="R47" s="66"/>
      <c r="S47" s="66"/>
      <c r="T47" s="66"/>
      <c r="U47" s="66"/>
      <c r="V47" s="66"/>
      <c r="W47" s="66"/>
      <c r="X47" s="66"/>
      <c r="Y47" s="66"/>
      <c r="Z47" s="66"/>
      <c r="AA47" s="66"/>
      <c r="AB47" s="66"/>
      <c r="AC47" s="66"/>
    </row>
    <row r="48">
      <c r="A48" s="321">
        <v>43536.0</v>
      </c>
      <c r="B48" s="66"/>
      <c r="C48" s="66"/>
      <c r="D48" s="327"/>
      <c r="E48" s="66"/>
      <c r="F48" s="66"/>
      <c r="G48" s="327"/>
      <c r="H48" s="66"/>
      <c r="I48" s="66"/>
      <c r="J48" s="327"/>
      <c r="K48" s="66"/>
      <c r="L48" s="66"/>
      <c r="M48" s="66"/>
      <c r="N48" s="66"/>
      <c r="O48" s="66"/>
      <c r="P48" s="66"/>
      <c r="Q48" s="66"/>
      <c r="R48" s="66"/>
      <c r="S48" s="66"/>
      <c r="T48" s="66"/>
      <c r="U48" s="66"/>
      <c r="V48" s="66"/>
      <c r="W48" s="66"/>
      <c r="X48" s="66"/>
      <c r="Y48" s="66"/>
      <c r="Z48" s="66"/>
      <c r="AA48" s="66"/>
      <c r="AB48" s="66"/>
      <c r="AC48" s="66"/>
    </row>
    <row r="49">
      <c r="A49" s="321">
        <v>43537.0</v>
      </c>
      <c r="B49" s="66"/>
      <c r="C49" s="66"/>
      <c r="D49" s="327"/>
      <c r="E49" s="66"/>
      <c r="F49" s="66"/>
      <c r="G49" s="327"/>
      <c r="H49" s="66"/>
      <c r="I49" s="66"/>
      <c r="J49" s="327"/>
      <c r="K49" s="66"/>
      <c r="L49" s="66"/>
      <c r="M49" s="66"/>
      <c r="N49" s="66"/>
      <c r="O49" s="66"/>
      <c r="P49" s="66"/>
      <c r="Q49" s="66"/>
      <c r="R49" s="66"/>
      <c r="S49" s="66"/>
      <c r="T49" s="66"/>
      <c r="U49" s="66"/>
      <c r="V49" s="66"/>
      <c r="W49" s="66"/>
      <c r="X49" s="66"/>
      <c r="Y49" s="66"/>
      <c r="Z49" s="66"/>
      <c r="AA49" s="66"/>
      <c r="AB49" s="66"/>
      <c r="AC49" s="66"/>
    </row>
    <row r="50">
      <c r="A50" s="321">
        <v>43538.0</v>
      </c>
      <c r="B50" s="66"/>
      <c r="C50" s="66"/>
      <c r="D50" s="327"/>
      <c r="E50" s="66"/>
      <c r="F50" s="66"/>
      <c r="G50" s="327"/>
      <c r="H50" s="66"/>
      <c r="I50" s="66"/>
      <c r="J50" s="327"/>
      <c r="K50" s="66"/>
      <c r="L50" s="66"/>
      <c r="M50" s="66"/>
      <c r="N50" s="66"/>
      <c r="O50" s="66"/>
      <c r="P50" s="66"/>
      <c r="Q50" s="66"/>
      <c r="R50" s="66"/>
      <c r="S50" s="66"/>
      <c r="T50" s="66"/>
      <c r="U50" s="66"/>
      <c r="V50" s="66"/>
      <c r="W50" s="66"/>
      <c r="X50" s="66"/>
      <c r="Y50" s="66"/>
      <c r="Z50" s="66"/>
      <c r="AA50" s="66"/>
      <c r="AB50" s="66"/>
      <c r="AC50" s="66"/>
    </row>
    <row r="51">
      <c r="A51" s="321">
        <v>43539.0</v>
      </c>
      <c r="B51" s="66"/>
      <c r="C51" s="66"/>
      <c r="D51" s="327"/>
      <c r="E51" s="66"/>
      <c r="F51" s="66"/>
      <c r="G51" s="327"/>
      <c r="H51" s="66"/>
      <c r="I51" s="66"/>
      <c r="J51" s="327"/>
      <c r="K51" s="66"/>
      <c r="L51" s="66"/>
      <c r="M51" s="66"/>
      <c r="N51" s="66"/>
      <c r="O51" s="66"/>
      <c r="P51" s="66"/>
      <c r="Q51" s="66"/>
      <c r="R51" s="66"/>
      <c r="S51" s="66"/>
      <c r="T51" s="66"/>
      <c r="U51" s="66"/>
      <c r="V51" s="66"/>
      <c r="W51" s="66"/>
      <c r="X51" s="66"/>
      <c r="Y51" s="66"/>
      <c r="Z51" s="66"/>
      <c r="AA51" s="66"/>
      <c r="AB51" s="66"/>
      <c r="AC51" s="66"/>
    </row>
    <row r="52" hidden="1">
      <c r="A52" s="321">
        <v>43540.0</v>
      </c>
      <c r="B52" s="66"/>
      <c r="C52" s="66"/>
      <c r="D52" s="327"/>
      <c r="E52" s="66"/>
      <c r="F52" s="66"/>
      <c r="G52" s="327"/>
      <c r="H52" s="66"/>
      <c r="I52" s="66"/>
      <c r="J52" s="327"/>
      <c r="K52" s="66"/>
      <c r="L52" s="66"/>
      <c r="M52" s="66"/>
      <c r="N52" s="66"/>
      <c r="O52" s="66"/>
      <c r="P52" s="66"/>
      <c r="Q52" s="66"/>
      <c r="R52" s="66"/>
      <c r="S52" s="66"/>
      <c r="T52" s="66"/>
      <c r="U52" s="66"/>
      <c r="V52" s="66"/>
      <c r="W52" s="66"/>
      <c r="X52" s="66"/>
      <c r="Y52" s="66"/>
      <c r="Z52" s="66"/>
      <c r="AA52" s="66"/>
      <c r="AB52" s="66"/>
      <c r="AC52" s="66"/>
    </row>
    <row r="53" hidden="1">
      <c r="A53" s="321">
        <v>43541.0</v>
      </c>
      <c r="B53" s="66"/>
      <c r="C53" s="66"/>
      <c r="D53" s="327"/>
      <c r="E53" s="66"/>
      <c r="F53" s="66"/>
      <c r="G53" s="327"/>
      <c r="H53" s="66"/>
      <c r="I53" s="66"/>
      <c r="J53" s="327"/>
      <c r="K53" s="66"/>
      <c r="L53" s="66"/>
      <c r="M53" s="66"/>
      <c r="N53" s="66"/>
      <c r="O53" s="66"/>
      <c r="P53" s="66"/>
      <c r="Q53" s="66"/>
      <c r="R53" s="66"/>
      <c r="S53" s="66"/>
      <c r="T53" s="66"/>
      <c r="U53" s="66"/>
      <c r="V53" s="66"/>
      <c r="W53" s="66"/>
      <c r="X53" s="66"/>
      <c r="Y53" s="66"/>
      <c r="Z53" s="66"/>
      <c r="AA53" s="66"/>
      <c r="AB53" s="66"/>
      <c r="AC53" s="66"/>
    </row>
    <row r="54">
      <c r="A54" s="321">
        <v>43542.0</v>
      </c>
      <c r="B54" s="66"/>
      <c r="C54" s="66"/>
      <c r="D54" s="327"/>
      <c r="E54" s="66"/>
      <c r="F54" s="66"/>
      <c r="G54" s="327"/>
      <c r="H54" s="66"/>
      <c r="I54" s="66"/>
      <c r="J54" s="327"/>
      <c r="K54" s="66"/>
      <c r="L54" s="66"/>
      <c r="M54" s="66"/>
      <c r="N54" s="66"/>
      <c r="O54" s="66"/>
      <c r="P54" s="66"/>
      <c r="Q54" s="66"/>
      <c r="R54" s="66"/>
      <c r="S54" s="66"/>
      <c r="T54" s="66"/>
      <c r="U54" s="66"/>
      <c r="V54" s="66"/>
      <c r="W54" s="66"/>
      <c r="X54" s="66"/>
      <c r="Y54" s="66"/>
      <c r="Z54" s="66"/>
      <c r="AA54" s="66"/>
      <c r="AB54" s="66"/>
      <c r="AC54" s="66"/>
    </row>
    <row r="55">
      <c r="A55" s="321">
        <v>43543.0</v>
      </c>
      <c r="B55" s="66"/>
      <c r="C55" s="66"/>
      <c r="D55" s="327"/>
      <c r="E55" s="66"/>
      <c r="F55" s="66"/>
      <c r="G55" s="327"/>
      <c r="H55" s="66"/>
      <c r="I55" s="66"/>
      <c r="J55" s="327"/>
      <c r="K55" s="66"/>
      <c r="L55" s="66"/>
      <c r="M55" s="66"/>
      <c r="N55" s="66"/>
      <c r="O55" s="66"/>
      <c r="P55" s="66"/>
      <c r="Q55" s="66"/>
      <c r="R55" s="66"/>
      <c r="S55" s="66"/>
      <c r="T55" s="66"/>
      <c r="U55" s="66"/>
      <c r="V55" s="66"/>
      <c r="W55" s="66"/>
      <c r="X55" s="66"/>
      <c r="Y55" s="66"/>
      <c r="Z55" s="66"/>
      <c r="AA55" s="66"/>
      <c r="AB55" s="66"/>
      <c r="AC55" s="66"/>
    </row>
    <row r="56">
      <c r="A56" s="321">
        <v>43544.0</v>
      </c>
      <c r="B56" s="66"/>
      <c r="C56" s="66"/>
      <c r="D56" s="327"/>
      <c r="E56" s="66"/>
      <c r="F56" s="66"/>
      <c r="G56" s="327"/>
      <c r="H56" s="66"/>
      <c r="I56" s="66"/>
      <c r="J56" s="327"/>
      <c r="K56" s="66"/>
      <c r="L56" s="66"/>
      <c r="M56" s="66"/>
      <c r="N56" s="66"/>
      <c r="O56" s="66"/>
      <c r="P56" s="66"/>
      <c r="Q56" s="66"/>
      <c r="R56" s="66"/>
      <c r="S56" s="66"/>
      <c r="T56" s="66"/>
      <c r="U56" s="66"/>
      <c r="V56" s="66"/>
      <c r="W56" s="66"/>
      <c r="X56" s="66"/>
      <c r="Y56" s="66"/>
      <c r="Z56" s="66"/>
      <c r="AA56" s="66"/>
      <c r="AB56" s="66"/>
      <c r="AC56" s="66"/>
    </row>
    <row r="57">
      <c r="A57" s="321">
        <v>43545.0</v>
      </c>
      <c r="B57" s="66"/>
      <c r="C57" s="66"/>
      <c r="D57" s="327"/>
      <c r="E57" s="66"/>
      <c r="F57" s="66"/>
      <c r="G57" s="327"/>
      <c r="H57" s="66"/>
      <c r="I57" s="66"/>
      <c r="J57" s="327"/>
      <c r="K57" s="66"/>
      <c r="L57" s="66"/>
      <c r="M57" s="66"/>
      <c r="N57" s="66"/>
      <c r="O57" s="66"/>
      <c r="P57" s="66"/>
      <c r="Q57" s="66"/>
      <c r="R57" s="66"/>
      <c r="S57" s="66"/>
      <c r="T57" s="66"/>
      <c r="U57" s="66"/>
      <c r="V57" s="66"/>
      <c r="W57" s="66"/>
      <c r="X57" s="66"/>
      <c r="Y57" s="66"/>
      <c r="Z57" s="66"/>
      <c r="AA57" s="66"/>
      <c r="AB57" s="66"/>
      <c r="AC57" s="66"/>
    </row>
    <row r="58">
      <c r="A58" s="321">
        <v>43546.0</v>
      </c>
      <c r="B58" s="66"/>
      <c r="C58" s="66"/>
      <c r="D58" s="327"/>
      <c r="E58" s="66"/>
      <c r="F58" s="66"/>
      <c r="G58" s="327"/>
      <c r="H58" s="66"/>
      <c r="I58" s="66"/>
      <c r="J58" s="327"/>
      <c r="K58" s="66"/>
      <c r="L58" s="66"/>
      <c r="M58" s="66"/>
      <c r="N58" s="66"/>
      <c r="O58" s="66"/>
      <c r="P58" s="66"/>
      <c r="Q58" s="66"/>
      <c r="R58" s="66"/>
      <c r="S58" s="66"/>
      <c r="T58" s="66"/>
      <c r="U58" s="66"/>
      <c r="V58" s="66"/>
      <c r="W58" s="66"/>
      <c r="X58" s="66"/>
      <c r="Y58" s="66"/>
      <c r="Z58" s="66"/>
      <c r="AA58" s="66"/>
      <c r="AB58" s="66"/>
      <c r="AC58" s="66"/>
    </row>
    <row r="59" hidden="1">
      <c r="A59" s="321">
        <v>43547.0</v>
      </c>
      <c r="B59" s="66"/>
      <c r="C59" s="66"/>
      <c r="D59" s="327"/>
      <c r="E59" s="66"/>
      <c r="F59" s="66"/>
      <c r="G59" s="327"/>
      <c r="H59" s="66"/>
      <c r="I59" s="66"/>
      <c r="J59" s="327"/>
      <c r="K59" s="66"/>
      <c r="L59" s="66"/>
      <c r="M59" s="66"/>
      <c r="N59" s="66"/>
      <c r="O59" s="66"/>
      <c r="P59" s="66"/>
      <c r="Q59" s="66"/>
      <c r="R59" s="66"/>
      <c r="S59" s="66"/>
      <c r="T59" s="66"/>
      <c r="U59" s="66"/>
      <c r="V59" s="66"/>
      <c r="W59" s="66"/>
      <c r="X59" s="66"/>
      <c r="Y59" s="66"/>
      <c r="Z59" s="66"/>
      <c r="AA59" s="66"/>
      <c r="AB59" s="66"/>
      <c r="AC59" s="66"/>
    </row>
    <row r="60" hidden="1">
      <c r="A60" s="321">
        <v>43548.0</v>
      </c>
      <c r="B60" s="66"/>
      <c r="C60" s="66"/>
      <c r="D60" s="327"/>
      <c r="E60" s="66"/>
      <c r="F60" s="66"/>
      <c r="G60" s="327"/>
      <c r="H60" s="66"/>
      <c r="I60" s="66"/>
      <c r="J60" s="327"/>
      <c r="K60" s="66"/>
      <c r="L60" s="66"/>
      <c r="M60" s="66"/>
      <c r="N60" s="66"/>
      <c r="O60" s="66"/>
      <c r="P60" s="66"/>
      <c r="Q60" s="66"/>
      <c r="R60" s="66"/>
      <c r="S60" s="66"/>
      <c r="T60" s="66"/>
      <c r="U60" s="66"/>
      <c r="V60" s="66"/>
      <c r="W60" s="66"/>
      <c r="X60" s="66"/>
      <c r="Y60" s="66"/>
      <c r="Z60" s="66"/>
      <c r="AA60" s="66"/>
      <c r="AB60" s="66"/>
      <c r="AC60" s="66"/>
    </row>
    <row r="61">
      <c r="A61" s="321">
        <v>43549.0</v>
      </c>
      <c r="B61" s="66"/>
      <c r="C61" s="66"/>
      <c r="D61" s="327"/>
      <c r="E61" s="66"/>
      <c r="F61" s="66"/>
      <c r="G61" s="327"/>
      <c r="H61" s="66"/>
      <c r="I61" s="66"/>
      <c r="J61" s="327"/>
      <c r="K61" s="66"/>
      <c r="L61" s="66"/>
      <c r="M61" s="66"/>
      <c r="N61" s="66"/>
      <c r="O61" s="66"/>
      <c r="P61" s="66"/>
      <c r="Q61" s="66"/>
      <c r="R61" s="66"/>
      <c r="S61" s="66"/>
      <c r="T61" s="66"/>
      <c r="U61" s="66"/>
      <c r="V61" s="66"/>
      <c r="W61" s="66"/>
      <c r="X61" s="66"/>
      <c r="Y61" s="66"/>
      <c r="Z61" s="66"/>
      <c r="AA61" s="66"/>
      <c r="AB61" s="66"/>
      <c r="AC61" s="66"/>
    </row>
    <row r="62">
      <c r="A62" s="321">
        <v>43550.0</v>
      </c>
      <c r="B62" s="66"/>
      <c r="C62" s="66"/>
      <c r="D62" s="327"/>
      <c r="E62" s="66"/>
      <c r="F62" s="66"/>
      <c r="G62" s="327"/>
      <c r="H62" s="66"/>
      <c r="I62" s="66"/>
      <c r="J62" s="327"/>
      <c r="K62" s="66"/>
      <c r="L62" s="66"/>
      <c r="M62" s="66"/>
      <c r="N62" s="66"/>
      <c r="O62" s="66"/>
      <c r="P62" s="66"/>
      <c r="Q62" s="66"/>
      <c r="R62" s="66"/>
      <c r="S62" s="66"/>
      <c r="T62" s="66"/>
      <c r="U62" s="66"/>
      <c r="V62" s="66"/>
      <c r="W62" s="66"/>
      <c r="X62" s="66"/>
      <c r="Y62" s="66"/>
      <c r="Z62" s="66"/>
      <c r="AA62" s="66"/>
      <c r="AB62" s="66"/>
      <c r="AC62" s="66"/>
    </row>
    <row r="63">
      <c r="A63" s="321">
        <v>43551.0</v>
      </c>
      <c r="B63" s="66"/>
      <c r="C63" s="66"/>
      <c r="D63" s="327"/>
      <c r="E63" s="66"/>
      <c r="F63" s="66"/>
      <c r="G63" s="327"/>
      <c r="H63" s="66"/>
      <c r="I63" s="66"/>
      <c r="J63" s="327"/>
      <c r="K63" s="66"/>
      <c r="L63" s="66"/>
      <c r="M63" s="66"/>
      <c r="N63" s="66"/>
      <c r="O63" s="66"/>
      <c r="P63" s="66"/>
      <c r="Q63" s="66"/>
      <c r="R63" s="66"/>
      <c r="S63" s="66"/>
      <c r="T63" s="66"/>
      <c r="U63" s="66"/>
      <c r="V63" s="66"/>
      <c r="W63" s="66"/>
      <c r="X63" s="66"/>
      <c r="Y63" s="66"/>
      <c r="Z63" s="66"/>
      <c r="AA63" s="66"/>
      <c r="AB63" s="66"/>
      <c r="AC63" s="66"/>
    </row>
    <row r="64">
      <c r="A64" s="321">
        <v>43552.0</v>
      </c>
      <c r="B64" s="66"/>
      <c r="C64" s="66"/>
      <c r="D64" s="327"/>
      <c r="E64" s="66"/>
      <c r="F64" s="66"/>
      <c r="G64" s="327"/>
      <c r="H64" s="66"/>
      <c r="I64" s="66"/>
      <c r="J64" s="327"/>
      <c r="K64" s="66"/>
      <c r="L64" s="66"/>
      <c r="M64" s="66"/>
      <c r="N64" s="66"/>
      <c r="O64" s="66"/>
      <c r="P64" s="66"/>
      <c r="Q64" s="66"/>
      <c r="R64" s="66"/>
      <c r="S64" s="66"/>
      <c r="T64" s="66"/>
      <c r="U64" s="66"/>
      <c r="V64" s="66"/>
      <c r="W64" s="66"/>
      <c r="X64" s="66"/>
      <c r="Y64" s="66"/>
      <c r="Z64" s="66"/>
      <c r="AA64" s="66"/>
      <c r="AB64" s="66"/>
      <c r="AC64" s="66"/>
    </row>
    <row r="65">
      <c r="A65" s="321">
        <v>43553.0</v>
      </c>
      <c r="B65" s="66"/>
      <c r="C65" s="66"/>
      <c r="D65" s="327"/>
      <c r="E65" s="66"/>
      <c r="F65" s="66"/>
      <c r="G65" s="327"/>
      <c r="H65" s="66"/>
      <c r="I65" s="66"/>
      <c r="J65" s="327"/>
      <c r="K65" s="66"/>
      <c r="L65" s="66"/>
      <c r="M65" s="66"/>
      <c r="N65" s="66"/>
      <c r="O65" s="66"/>
      <c r="P65" s="66"/>
      <c r="Q65" s="66"/>
      <c r="R65" s="66"/>
      <c r="S65" s="66"/>
      <c r="T65" s="66"/>
      <c r="U65" s="66"/>
      <c r="V65" s="66"/>
      <c r="W65" s="66"/>
      <c r="X65" s="66"/>
      <c r="Y65" s="66"/>
      <c r="Z65" s="66"/>
      <c r="AA65" s="66"/>
      <c r="AB65" s="66"/>
      <c r="AC65" s="66"/>
    </row>
    <row r="66" hidden="1">
      <c r="A66" s="321">
        <v>43554.0</v>
      </c>
      <c r="B66" s="66"/>
      <c r="C66" s="66"/>
      <c r="D66" s="327"/>
      <c r="E66" s="66"/>
      <c r="F66" s="66"/>
      <c r="G66" s="327"/>
      <c r="H66" s="66"/>
      <c r="I66" s="66"/>
      <c r="J66" s="327"/>
      <c r="K66" s="66"/>
      <c r="L66" s="66"/>
      <c r="M66" s="66"/>
      <c r="N66" s="66"/>
      <c r="O66" s="66"/>
      <c r="P66" s="66"/>
      <c r="Q66" s="66"/>
      <c r="R66" s="66"/>
      <c r="S66" s="66"/>
      <c r="T66" s="66"/>
      <c r="U66" s="66"/>
      <c r="V66" s="66"/>
      <c r="W66" s="66"/>
      <c r="X66" s="66"/>
      <c r="Y66" s="66"/>
      <c r="Z66" s="66"/>
      <c r="AA66" s="66"/>
      <c r="AB66" s="66"/>
      <c r="AC66" s="66"/>
    </row>
    <row r="67" hidden="1">
      <c r="A67" s="321">
        <v>43555.0</v>
      </c>
      <c r="B67" s="66"/>
      <c r="C67" s="66"/>
      <c r="D67" s="327"/>
      <c r="E67" s="66"/>
      <c r="F67" s="66"/>
      <c r="G67" s="327"/>
      <c r="H67" s="66"/>
      <c r="I67" s="66"/>
      <c r="J67" s="327"/>
      <c r="K67" s="66"/>
      <c r="L67" s="66"/>
      <c r="M67" s="66"/>
      <c r="N67" s="66"/>
      <c r="O67" s="66"/>
      <c r="P67" s="66"/>
      <c r="Q67" s="66"/>
      <c r="R67" s="66"/>
      <c r="S67" s="66"/>
      <c r="T67" s="66"/>
      <c r="U67" s="66"/>
      <c r="V67" s="66"/>
      <c r="W67" s="66"/>
      <c r="X67" s="66"/>
      <c r="Y67" s="66"/>
      <c r="Z67" s="66"/>
      <c r="AA67" s="66"/>
      <c r="AB67" s="66"/>
      <c r="AC67" s="66"/>
    </row>
    <row r="68">
      <c r="A68" s="321">
        <v>43556.0</v>
      </c>
      <c r="B68" s="66"/>
      <c r="C68" s="66"/>
      <c r="D68" s="327"/>
      <c r="E68" s="66"/>
      <c r="F68" s="66"/>
      <c r="G68" s="327"/>
      <c r="H68" s="66"/>
      <c r="I68" s="66"/>
      <c r="J68" s="327"/>
      <c r="K68" s="66"/>
      <c r="L68" s="66"/>
      <c r="M68" s="66"/>
      <c r="N68" s="66"/>
      <c r="O68" s="66"/>
      <c r="P68" s="66"/>
      <c r="Q68" s="66"/>
      <c r="R68" s="66"/>
      <c r="S68" s="66"/>
      <c r="T68" s="66"/>
      <c r="U68" s="66"/>
      <c r="V68" s="66"/>
      <c r="W68" s="66"/>
      <c r="X68" s="66"/>
      <c r="Y68" s="66"/>
      <c r="Z68" s="66"/>
      <c r="AA68" s="66"/>
      <c r="AB68" s="66"/>
      <c r="AC68" s="66"/>
    </row>
    <row r="69">
      <c r="A69" s="321">
        <v>43557.0</v>
      </c>
      <c r="B69" s="66"/>
      <c r="C69" s="66"/>
      <c r="D69" s="327"/>
      <c r="E69" s="66"/>
      <c r="F69" s="66"/>
      <c r="G69" s="327"/>
      <c r="H69" s="66"/>
      <c r="I69" s="66"/>
      <c r="J69" s="327"/>
      <c r="K69" s="66"/>
      <c r="L69" s="66"/>
      <c r="M69" s="66"/>
      <c r="N69" s="66"/>
      <c r="O69" s="66"/>
      <c r="P69" s="66"/>
      <c r="Q69" s="66"/>
      <c r="R69" s="66"/>
      <c r="S69" s="66"/>
      <c r="T69" s="66"/>
      <c r="U69" s="66"/>
      <c r="V69" s="66"/>
      <c r="W69" s="66"/>
      <c r="X69" s="66"/>
      <c r="Y69" s="66"/>
      <c r="Z69" s="66"/>
      <c r="AA69" s="66"/>
      <c r="AB69" s="66"/>
      <c r="AC69" s="66"/>
    </row>
    <row r="70">
      <c r="A70" s="321">
        <v>43558.0</v>
      </c>
      <c r="B70" s="66"/>
      <c r="C70" s="66"/>
      <c r="D70" s="327"/>
      <c r="E70" s="66"/>
      <c r="F70" s="66"/>
      <c r="G70" s="327"/>
      <c r="H70" s="66"/>
      <c r="I70" s="66"/>
      <c r="J70" s="327"/>
      <c r="K70" s="66"/>
      <c r="L70" s="66"/>
      <c r="M70" s="66"/>
      <c r="N70" s="66"/>
      <c r="O70" s="66"/>
      <c r="P70" s="66"/>
      <c r="Q70" s="66"/>
      <c r="R70" s="66"/>
      <c r="S70" s="66"/>
      <c r="T70" s="66"/>
      <c r="U70" s="66"/>
      <c r="V70" s="66"/>
      <c r="W70" s="66"/>
      <c r="X70" s="66"/>
      <c r="Y70" s="66"/>
      <c r="Z70" s="66"/>
      <c r="AA70" s="66"/>
      <c r="AB70" s="66"/>
      <c r="AC70" s="66"/>
    </row>
    <row r="71">
      <c r="A71" s="321">
        <v>43559.0</v>
      </c>
      <c r="B71" s="66"/>
      <c r="C71" s="66"/>
      <c r="D71" s="327"/>
      <c r="E71" s="66"/>
      <c r="F71" s="66"/>
      <c r="G71" s="327"/>
      <c r="H71" s="66"/>
      <c r="I71" s="66"/>
      <c r="J71" s="327"/>
      <c r="K71" s="66"/>
      <c r="L71" s="66"/>
      <c r="M71" s="66"/>
      <c r="N71" s="66"/>
      <c r="O71" s="66"/>
      <c r="P71" s="66"/>
      <c r="Q71" s="66"/>
      <c r="R71" s="66"/>
      <c r="S71" s="66"/>
      <c r="T71" s="66"/>
      <c r="U71" s="66"/>
      <c r="V71" s="66"/>
      <c r="W71" s="66"/>
      <c r="X71" s="66"/>
      <c r="Y71" s="66"/>
      <c r="Z71" s="66"/>
      <c r="AA71" s="66"/>
      <c r="AB71" s="66"/>
      <c r="AC71" s="66"/>
    </row>
    <row r="72">
      <c r="A72" s="321">
        <v>43560.0</v>
      </c>
      <c r="B72" s="66"/>
      <c r="C72" s="66"/>
      <c r="D72" s="327"/>
      <c r="E72" s="66"/>
      <c r="F72" s="66"/>
      <c r="G72" s="327"/>
      <c r="H72" s="66"/>
      <c r="I72" s="66"/>
      <c r="J72" s="327"/>
      <c r="K72" s="66"/>
      <c r="L72" s="66"/>
      <c r="M72" s="66"/>
      <c r="N72" s="66"/>
      <c r="O72" s="66"/>
      <c r="P72" s="66"/>
      <c r="Q72" s="66"/>
      <c r="R72" s="66"/>
      <c r="S72" s="66"/>
      <c r="T72" s="66"/>
      <c r="U72" s="66"/>
      <c r="V72" s="66"/>
      <c r="W72" s="66"/>
      <c r="X72" s="66"/>
      <c r="Y72" s="66"/>
      <c r="Z72" s="66"/>
      <c r="AA72" s="66"/>
      <c r="AB72" s="66"/>
      <c r="AC72" s="66"/>
    </row>
    <row r="73" hidden="1">
      <c r="A73" s="321">
        <v>43561.0</v>
      </c>
      <c r="B73" s="66"/>
      <c r="C73" s="66"/>
      <c r="D73" s="327"/>
      <c r="E73" s="66"/>
      <c r="F73" s="66"/>
      <c r="G73" s="327"/>
      <c r="H73" s="66"/>
      <c r="I73" s="66"/>
      <c r="J73" s="327"/>
      <c r="K73" s="66"/>
      <c r="L73" s="66"/>
      <c r="M73" s="66"/>
      <c r="N73" s="66"/>
      <c r="O73" s="66"/>
      <c r="P73" s="66"/>
      <c r="Q73" s="66"/>
      <c r="R73" s="66"/>
      <c r="S73" s="66"/>
      <c r="T73" s="66"/>
      <c r="U73" s="66"/>
      <c r="V73" s="66"/>
      <c r="W73" s="66"/>
      <c r="X73" s="66"/>
      <c r="Y73" s="66"/>
      <c r="Z73" s="66"/>
      <c r="AA73" s="66"/>
      <c r="AB73" s="66"/>
      <c r="AC73" s="66"/>
    </row>
    <row r="74" hidden="1">
      <c r="A74" s="321">
        <v>43562.0</v>
      </c>
      <c r="B74" s="66"/>
      <c r="C74" s="66"/>
      <c r="D74" s="327"/>
      <c r="E74" s="66"/>
      <c r="F74" s="66"/>
      <c r="G74" s="327"/>
      <c r="H74" s="66"/>
      <c r="I74" s="66"/>
      <c r="J74" s="327"/>
      <c r="K74" s="66"/>
      <c r="L74" s="66"/>
      <c r="M74" s="66"/>
      <c r="N74" s="66"/>
      <c r="O74" s="66"/>
      <c r="P74" s="66"/>
      <c r="Q74" s="66"/>
      <c r="R74" s="66"/>
      <c r="S74" s="66"/>
      <c r="T74" s="66"/>
      <c r="U74" s="66"/>
      <c r="V74" s="66"/>
      <c r="W74" s="66"/>
      <c r="X74" s="66"/>
      <c r="Y74" s="66"/>
      <c r="Z74" s="66"/>
      <c r="AA74" s="66"/>
      <c r="AB74" s="66"/>
      <c r="AC74" s="66"/>
    </row>
    <row r="75">
      <c r="A75" s="321">
        <v>43563.0</v>
      </c>
      <c r="B75" s="66"/>
      <c r="C75" s="66"/>
      <c r="D75" s="327"/>
      <c r="E75" s="66"/>
      <c r="F75" s="66"/>
      <c r="G75" s="327"/>
      <c r="H75" s="66"/>
      <c r="I75" s="66"/>
      <c r="J75" s="327"/>
      <c r="K75" s="66"/>
      <c r="L75" s="66"/>
      <c r="M75" s="66"/>
      <c r="N75" s="66"/>
      <c r="O75" s="66"/>
      <c r="P75" s="66"/>
      <c r="Q75" s="66"/>
      <c r="R75" s="66"/>
      <c r="S75" s="66"/>
      <c r="T75" s="66"/>
      <c r="U75" s="66"/>
      <c r="V75" s="66"/>
      <c r="W75" s="66"/>
      <c r="X75" s="66"/>
      <c r="Y75" s="66"/>
      <c r="Z75" s="66"/>
      <c r="AA75" s="66"/>
      <c r="AB75" s="66"/>
      <c r="AC75" s="66"/>
    </row>
    <row r="76">
      <c r="A76" s="321">
        <v>43564.0</v>
      </c>
      <c r="B76" s="66"/>
      <c r="C76" s="66"/>
      <c r="D76" s="327"/>
      <c r="E76" s="66"/>
      <c r="F76" s="66"/>
      <c r="G76" s="327"/>
      <c r="H76" s="66"/>
      <c r="I76" s="66"/>
      <c r="J76" s="327"/>
      <c r="K76" s="66"/>
      <c r="L76" s="66"/>
      <c r="M76" s="66"/>
      <c r="N76" s="66"/>
      <c r="O76" s="66"/>
      <c r="P76" s="66"/>
      <c r="Q76" s="66"/>
      <c r="R76" s="66"/>
      <c r="S76" s="66"/>
      <c r="T76" s="66"/>
      <c r="U76" s="66"/>
      <c r="V76" s="66"/>
      <c r="W76" s="66"/>
      <c r="X76" s="66"/>
      <c r="Y76" s="66"/>
      <c r="Z76" s="66"/>
      <c r="AA76" s="66"/>
      <c r="AB76" s="66"/>
      <c r="AC76" s="66"/>
    </row>
    <row r="77">
      <c r="A77" s="321">
        <v>43565.0</v>
      </c>
      <c r="B77" s="66"/>
      <c r="C77" s="66"/>
      <c r="D77" s="327"/>
      <c r="E77" s="66"/>
      <c r="F77" s="66"/>
      <c r="G77" s="327"/>
      <c r="H77" s="66"/>
      <c r="I77" s="66"/>
      <c r="J77" s="327"/>
      <c r="K77" s="66"/>
      <c r="L77" s="66"/>
      <c r="M77" s="66"/>
      <c r="N77" s="66"/>
      <c r="O77" s="66"/>
      <c r="P77" s="66"/>
      <c r="Q77" s="66"/>
      <c r="R77" s="66"/>
      <c r="S77" s="66"/>
      <c r="T77" s="66"/>
      <c r="U77" s="66"/>
      <c r="V77" s="66"/>
      <c r="W77" s="66"/>
      <c r="X77" s="66"/>
      <c r="Y77" s="66"/>
      <c r="Z77" s="66"/>
      <c r="AA77" s="66"/>
      <c r="AB77" s="66"/>
      <c r="AC77" s="66"/>
    </row>
    <row r="78">
      <c r="A78" s="321">
        <v>43566.0</v>
      </c>
      <c r="B78" s="66"/>
      <c r="C78" s="66"/>
      <c r="D78" s="327"/>
      <c r="E78" s="66"/>
      <c r="F78" s="66"/>
      <c r="G78" s="327"/>
      <c r="H78" s="66"/>
      <c r="I78" s="66"/>
      <c r="J78" s="327"/>
      <c r="K78" s="66"/>
      <c r="L78" s="66"/>
      <c r="M78" s="66"/>
      <c r="N78" s="66"/>
      <c r="O78" s="66"/>
      <c r="P78" s="66"/>
      <c r="Q78" s="66"/>
      <c r="R78" s="66"/>
      <c r="S78" s="66"/>
      <c r="T78" s="66"/>
      <c r="U78" s="66"/>
      <c r="V78" s="66"/>
      <c r="W78" s="66"/>
      <c r="X78" s="66"/>
      <c r="Y78" s="66"/>
      <c r="Z78" s="66"/>
      <c r="AA78" s="66"/>
      <c r="AB78" s="66"/>
      <c r="AC78" s="66"/>
    </row>
    <row r="79">
      <c r="A79" s="321">
        <v>43567.0</v>
      </c>
      <c r="B79" s="66"/>
      <c r="C79" s="66"/>
      <c r="D79" s="327"/>
      <c r="E79" s="66"/>
      <c r="F79" s="66"/>
      <c r="G79" s="327"/>
      <c r="H79" s="66"/>
      <c r="I79" s="66"/>
      <c r="J79" s="327"/>
      <c r="K79" s="66"/>
      <c r="L79" s="66"/>
      <c r="M79" s="66"/>
      <c r="N79" s="66"/>
      <c r="O79" s="66"/>
      <c r="P79" s="66"/>
      <c r="Q79" s="66"/>
      <c r="R79" s="66"/>
      <c r="S79" s="66"/>
      <c r="T79" s="66"/>
      <c r="U79" s="66"/>
      <c r="V79" s="66"/>
      <c r="W79" s="66"/>
      <c r="X79" s="66"/>
      <c r="Y79" s="66"/>
      <c r="Z79" s="66"/>
      <c r="AA79" s="66"/>
      <c r="AB79" s="66"/>
      <c r="AC79" s="66"/>
    </row>
    <row r="80" hidden="1">
      <c r="A80" s="321">
        <v>43568.0</v>
      </c>
      <c r="B80" s="66"/>
      <c r="C80" s="66"/>
      <c r="D80" s="327"/>
      <c r="E80" s="66"/>
      <c r="F80" s="66"/>
      <c r="G80" s="327"/>
      <c r="H80" s="66"/>
      <c r="I80" s="66"/>
      <c r="J80" s="327"/>
      <c r="K80" s="66"/>
      <c r="L80" s="66"/>
      <c r="M80" s="66"/>
      <c r="N80" s="66"/>
      <c r="O80" s="66"/>
      <c r="P80" s="66"/>
      <c r="Q80" s="66"/>
      <c r="R80" s="66"/>
      <c r="S80" s="66"/>
      <c r="T80" s="66"/>
      <c r="U80" s="66"/>
      <c r="V80" s="66"/>
      <c r="W80" s="66"/>
      <c r="X80" s="66"/>
      <c r="Y80" s="66"/>
      <c r="Z80" s="66"/>
      <c r="AA80" s="66"/>
      <c r="AB80" s="66"/>
      <c r="AC80" s="66"/>
    </row>
    <row r="81" hidden="1">
      <c r="A81" s="321">
        <v>43569.0</v>
      </c>
      <c r="B81" s="66"/>
      <c r="C81" s="66"/>
      <c r="D81" s="327"/>
      <c r="E81" s="66"/>
      <c r="F81" s="66"/>
      <c r="G81" s="327"/>
      <c r="H81" s="66"/>
      <c r="I81" s="66"/>
      <c r="J81" s="327"/>
      <c r="K81" s="66"/>
      <c r="L81" s="66"/>
      <c r="M81" s="66"/>
      <c r="N81" s="66"/>
      <c r="O81" s="66"/>
      <c r="P81" s="66"/>
      <c r="Q81" s="66"/>
      <c r="R81" s="66"/>
      <c r="S81" s="66"/>
      <c r="T81" s="66"/>
      <c r="U81" s="66"/>
      <c r="V81" s="66"/>
      <c r="W81" s="66"/>
      <c r="X81" s="66"/>
      <c r="Y81" s="66"/>
      <c r="Z81" s="66"/>
      <c r="AA81" s="66"/>
      <c r="AB81" s="66"/>
      <c r="AC81" s="66"/>
    </row>
    <row r="82">
      <c r="A82" s="321">
        <v>43570.0</v>
      </c>
      <c r="B82" s="66"/>
      <c r="C82" s="66"/>
      <c r="D82" s="327"/>
      <c r="E82" s="66"/>
      <c r="F82" s="66"/>
      <c r="G82" s="327"/>
      <c r="H82" s="66"/>
      <c r="I82" s="66"/>
      <c r="J82" s="327"/>
      <c r="K82" s="66"/>
      <c r="L82" s="66"/>
      <c r="M82" s="66"/>
      <c r="N82" s="66"/>
      <c r="O82" s="66"/>
      <c r="P82" s="66"/>
      <c r="Q82" s="66"/>
      <c r="R82" s="66"/>
      <c r="S82" s="66"/>
      <c r="T82" s="66"/>
      <c r="U82" s="66"/>
      <c r="V82" s="66"/>
      <c r="W82" s="66"/>
      <c r="X82" s="66"/>
      <c r="Y82" s="66"/>
      <c r="Z82" s="66"/>
      <c r="AA82" s="66"/>
      <c r="AB82" s="66"/>
      <c r="AC82" s="66"/>
    </row>
    <row r="83">
      <c r="A83" s="321">
        <v>43571.0</v>
      </c>
      <c r="B83" s="66"/>
      <c r="C83" s="66"/>
      <c r="D83" s="327"/>
      <c r="E83" s="66"/>
      <c r="F83" s="66"/>
      <c r="G83" s="327"/>
      <c r="H83" s="66"/>
      <c r="I83" s="66"/>
      <c r="J83" s="327"/>
      <c r="K83" s="66"/>
      <c r="L83" s="66"/>
      <c r="M83" s="66"/>
      <c r="N83" s="66"/>
      <c r="O83" s="66"/>
      <c r="P83" s="66"/>
      <c r="Q83" s="66"/>
      <c r="R83" s="66"/>
      <c r="S83" s="66"/>
      <c r="T83" s="66"/>
      <c r="U83" s="66"/>
      <c r="V83" s="66"/>
      <c r="W83" s="66"/>
      <c r="X83" s="66"/>
      <c r="Y83" s="66"/>
      <c r="Z83" s="66"/>
      <c r="AA83" s="66"/>
      <c r="AB83" s="66"/>
      <c r="AC83" s="66"/>
    </row>
    <row r="84">
      <c r="A84" s="321">
        <v>43572.0</v>
      </c>
      <c r="B84" s="66"/>
      <c r="C84" s="66"/>
      <c r="D84" s="327"/>
      <c r="E84" s="66"/>
      <c r="F84" s="66"/>
      <c r="G84" s="327"/>
      <c r="H84" s="66"/>
      <c r="I84" s="66"/>
      <c r="J84" s="327"/>
      <c r="K84" s="66"/>
      <c r="L84" s="66"/>
      <c r="M84" s="66"/>
      <c r="N84" s="66"/>
      <c r="O84" s="66"/>
      <c r="P84" s="66"/>
      <c r="Q84" s="66"/>
      <c r="R84" s="66"/>
      <c r="S84" s="66"/>
      <c r="T84" s="66"/>
      <c r="U84" s="66"/>
      <c r="V84" s="66"/>
      <c r="W84" s="66"/>
      <c r="X84" s="66"/>
      <c r="Y84" s="66"/>
      <c r="Z84" s="66"/>
      <c r="AA84" s="66"/>
      <c r="AB84" s="66"/>
      <c r="AC84" s="66"/>
    </row>
    <row r="85">
      <c r="A85" s="321">
        <v>43573.0</v>
      </c>
      <c r="B85" s="66"/>
      <c r="C85" s="66"/>
      <c r="D85" s="327"/>
      <c r="E85" s="66"/>
      <c r="F85" s="66"/>
      <c r="G85" s="327"/>
      <c r="H85" s="66"/>
      <c r="I85" s="66"/>
      <c r="J85" s="327"/>
      <c r="K85" s="66"/>
      <c r="L85" s="66"/>
      <c r="M85" s="66"/>
      <c r="N85" s="66"/>
      <c r="O85" s="66"/>
      <c r="P85" s="66"/>
      <c r="Q85" s="66"/>
      <c r="R85" s="66"/>
      <c r="S85" s="66"/>
      <c r="T85" s="66"/>
      <c r="U85" s="66"/>
      <c r="V85" s="66"/>
      <c r="W85" s="66"/>
      <c r="X85" s="66"/>
      <c r="Y85" s="66"/>
      <c r="Z85" s="66"/>
      <c r="AA85" s="66"/>
      <c r="AB85" s="66"/>
      <c r="AC85" s="66"/>
    </row>
    <row r="86" hidden="1">
      <c r="A86" s="321">
        <v>43574.0</v>
      </c>
      <c r="B86" s="66"/>
      <c r="C86" s="66"/>
      <c r="D86" s="327"/>
      <c r="E86" s="66"/>
      <c r="F86" s="66"/>
      <c r="G86" s="327"/>
      <c r="H86" s="66"/>
      <c r="I86" s="66"/>
      <c r="J86" s="327"/>
      <c r="K86" s="66"/>
      <c r="L86" s="66"/>
      <c r="M86" s="66"/>
      <c r="N86" s="66"/>
      <c r="O86" s="66"/>
      <c r="P86" s="66"/>
      <c r="Q86" s="66"/>
      <c r="R86" s="66"/>
      <c r="S86" s="66"/>
      <c r="T86" s="66"/>
      <c r="U86" s="66"/>
      <c r="V86" s="66"/>
      <c r="W86" s="66"/>
      <c r="X86" s="66"/>
      <c r="Y86" s="66"/>
      <c r="Z86" s="66"/>
      <c r="AA86" s="66"/>
      <c r="AB86" s="66"/>
      <c r="AC86" s="66"/>
    </row>
    <row r="87" hidden="1">
      <c r="A87" s="321">
        <v>43575.0</v>
      </c>
      <c r="B87" s="66"/>
      <c r="C87" s="66"/>
      <c r="D87" s="327"/>
      <c r="E87" s="66"/>
      <c r="F87" s="66"/>
      <c r="G87" s="327"/>
      <c r="H87" s="66"/>
      <c r="I87" s="66"/>
      <c r="J87" s="327"/>
      <c r="K87" s="66"/>
      <c r="L87" s="66"/>
      <c r="M87" s="66"/>
      <c r="N87" s="66"/>
      <c r="O87" s="66"/>
      <c r="P87" s="66"/>
      <c r="Q87" s="66"/>
      <c r="R87" s="66"/>
      <c r="S87" s="66"/>
      <c r="T87" s="66"/>
      <c r="U87" s="66"/>
      <c r="V87" s="66"/>
      <c r="W87" s="66"/>
      <c r="X87" s="66"/>
      <c r="Y87" s="66"/>
      <c r="Z87" s="66"/>
      <c r="AA87" s="66"/>
      <c r="AB87" s="66"/>
      <c r="AC87" s="66"/>
    </row>
    <row r="88" hidden="1">
      <c r="A88" s="321">
        <v>43576.0</v>
      </c>
      <c r="B88" s="66"/>
      <c r="C88" s="66"/>
      <c r="D88" s="327"/>
      <c r="E88" s="66"/>
      <c r="F88" s="66"/>
      <c r="G88" s="327"/>
      <c r="H88" s="66"/>
      <c r="I88" s="66"/>
      <c r="J88" s="327"/>
      <c r="K88" s="66"/>
      <c r="L88" s="66"/>
      <c r="M88" s="66"/>
      <c r="N88" s="66"/>
      <c r="O88" s="66"/>
      <c r="P88" s="66"/>
      <c r="Q88" s="66"/>
      <c r="R88" s="66"/>
      <c r="S88" s="66"/>
      <c r="T88" s="66"/>
      <c r="U88" s="66"/>
      <c r="V88" s="66"/>
      <c r="W88" s="66"/>
      <c r="X88" s="66"/>
      <c r="Y88" s="66"/>
      <c r="Z88" s="66"/>
      <c r="AA88" s="66"/>
      <c r="AB88" s="66"/>
      <c r="AC88" s="66"/>
    </row>
    <row r="89" hidden="1">
      <c r="A89" s="321">
        <v>43577.0</v>
      </c>
      <c r="B89" s="66"/>
      <c r="C89" s="66"/>
      <c r="D89" s="327"/>
      <c r="E89" s="66"/>
      <c r="F89" s="66"/>
      <c r="G89" s="327"/>
      <c r="H89" s="66"/>
      <c r="I89" s="66"/>
      <c r="J89" s="327"/>
      <c r="K89" s="66"/>
      <c r="L89" s="66"/>
      <c r="M89" s="66"/>
      <c r="N89" s="66"/>
      <c r="O89" s="66"/>
      <c r="P89" s="66"/>
      <c r="Q89" s="66"/>
      <c r="R89" s="66"/>
      <c r="S89" s="66"/>
      <c r="T89" s="66"/>
      <c r="U89" s="66"/>
      <c r="V89" s="66"/>
      <c r="W89" s="66"/>
      <c r="X89" s="66"/>
      <c r="Y89" s="66"/>
      <c r="Z89" s="66"/>
      <c r="AA89" s="66"/>
      <c r="AB89" s="66"/>
      <c r="AC89" s="66"/>
    </row>
    <row r="90">
      <c r="A90" s="321">
        <v>43578.0</v>
      </c>
      <c r="B90" s="66"/>
      <c r="C90" s="66"/>
      <c r="D90" s="327"/>
      <c r="E90" s="66"/>
      <c r="F90" s="66"/>
      <c r="G90" s="327"/>
      <c r="H90" s="66"/>
      <c r="I90" s="66"/>
      <c r="J90" s="327"/>
      <c r="K90" s="66"/>
      <c r="L90" s="66"/>
      <c r="M90" s="66"/>
      <c r="N90" s="66"/>
      <c r="O90" s="66"/>
      <c r="P90" s="66"/>
      <c r="Q90" s="66"/>
      <c r="R90" s="66"/>
      <c r="S90" s="66"/>
      <c r="T90" s="66"/>
      <c r="U90" s="66"/>
      <c r="V90" s="66"/>
      <c r="W90" s="66"/>
      <c r="X90" s="66"/>
      <c r="Y90" s="66"/>
      <c r="Z90" s="66"/>
      <c r="AA90" s="66"/>
      <c r="AB90" s="66"/>
      <c r="AC90" s="66"/>
    </row>
    <row r="91">
      <c r="A91" s="321">
        <v>43579.0</v>
      </c>
      <c r="B91" s="66"/>
      <c r="C91" s="66"/>
      <c r="D91" s="327"/>
      <c r="E91" s="66"/>
      <c r="F91" s="66"/>
      <c r="G91" s="327"/>
      <c r="H91" s="66"/>
      <c r="I91" s="66"/>
      <c r="J91" s="327"/>
      <c r="K91" s="66"/>
      <c r="L91" s="66"/>
      <c r="M91" s="66"/>
      <c r="N91" s="66"/>
      <c r="O91" s="66"/>
      <c r="P91" s="66"/>
      <c r="Q91" s="66"/>
      <c r="R91" s="66"/>
      <c r="S91" s="66"/>
      <c r="T91" s="66"/>
      <c r="U91" s="66"/>
      <c r="V91" s="66"/>
      <c r="W91" s="66"/>
      <c r="X91" s="66"/>
      <c r="Y91" s="66"/>
      <c r="Z91" s="66"/>
      <c r="AA91" s="66"/>
      <c r="AB91" s="66"/>
      <c r="AC91" s="66"/>
    </row>
    <row r="92">
      <c r="A92" s="321">
        <v>43580.0</v>
      </c>
      <c r="B92" s="66"/>
      <c r="C92" s="66"/>
      <c r="D92" s="327"/>
      <c r="E92" s="66"/>
      <c r="F92" s="66"/>
      <c r="G92" s="327"/>
      <c r="H92" s="66"/>
      <c r="I92" s="66"/>
      <c r="J92" s="327"/>
      <c r="K92" s="66"/>
      <c r="L92" s="66"/>
      <c r="M92" s="66"/>
      <c r="N92" s="66"/>
      <c r="O92" s="66"/>
      <c r="P92" s="66"/>
      <c r="Q92" s="66"/>
      <c r="R92" s="66"/>
      <c r="S92" s="66"/>
      <c r="T92" s="66"/>
      <c r="U92" s="66"/>
      <c r="V92" s="66"/>
      <c r="W92" s="66"/>
      <c r="X92" s="66"/>
      <c r="Y92" s="66"/>
      <c r="Z92" s="66"/>
      <c r="AA92" s="66"/>
      <c r="AB92" s="66"/>
      <c r="AC92" s="66"/>
    </row>
    <row r="93">
      <c r="A93" s="321">
        <v>43581.0</v>
      </c>
      <c r="B93" s="66"/>
      <c r="C93" s="66"/>
      <c r="D93" s="327"/>
      <c r="E93" s="66"/>
      <c r="F93" s="66"/>
      <c r="G93" s="327"/>
      <c r="H93" s="66"/>
      <c r="I93" s="66"/>
      <c r="J93" s="327"/>
      <c r="K93" s="66"/>
      <c r="L93" s="66"/>
      <c r="M93" s="66"/>
      <c r="N93" s="66"/>
      <c r="O93" s="66"/>
      <c r="P93" s="66"/>
      <c r="Q93" s="66"/>
      <c r="R93" s="66"/>
      <c r="S93" s="66"/>
      <c r="T93" s="66"/>
      <c r="U93" s="66"/>
      <c r="V93" s="66"/>
      <c r="W93" s="66"/>
      <c r="X93" s="66"/>
      <c r="Y93" s="66"/>
      <c r="Z93" s="66"/>
      <c r="AA93" s="66"/>
      <c r="AB93" s="66"/>
      <c r="AC93" s="66"/>
    </row>
    <row r="94" hidden="1">
      <c r="A94" s="321">
        <v>43582.0</v>
      </c>
      <c r="B94" s="66"/>
      <c r="C94" s="66"/>
      <c r="D94" s="327"/>
      <c r="E94" s="66"/>
      <c r="F94" s="66"/>
      <c r="G94" s="327"/>
      <c r="H94" s="66"/>
      <c r="I94" s="66"/>
      <c r="J94" s="327"/>
      <c r="K94" s="66"/>
      <c r="L94" s="66"/>
      <c r="M94" s="66"/>
      <c r="N94" s="66"/>
      <c r="O94" s="66"/>
      <c r="P94" s="66"/>
      <c r="Q94" s="66"/>
      <c r="R94" s="66"/>
      <c r="S94" s="66"/>
      <c r="T94" s="66"/>
      <c r="U94" s="66"/>
      <c r="V94" s="66"/>
      <c r="W94" s="66"/>
      <c r="X94" s="66"/>
      <c r="Y94" s="66"/>
      <c r="Z94" s="66"/>
      <c r="AA94" s="66"/>
      <c r="AB94" s="66"/>
      <c r="AC94" s="66"/>
    </row>
    <row r="95" hidden="1">
      <c r="A95" s="321">
        <v>43583.0</v>
      </c>
      <c r="B95" s="66"/>
      <c r="C95" s="66"/>
      <c r="D95" s="327"/>
      <c r="E95" s="66"/>
      <c r="F95" s="66"/>
      <c r="G95" s="327"/>
      <c r="H95" s="66"/>
      <c r="I95" s="66"/>
      <c r="J95" s="327"/>
      <c r="K95" s="66"/>
      <c r="L95" s="66"/>
      <c r="M95" s="66"/>
      <c r="N95" s="66"/>
      <c r="O95" s="66"/>
      <c r="P95" s="66"/>
      <c r="Q95" s="66"/>
      <c r="R95" s="66"/>
      <c r="S95" s="66"/>
      <c r="T95" s="66"/>
      <c r="U95" s="66"/>
      <c r="V95" s="66"/>
      <c r="W95" s="66"/>
      <c r="X95" s="66"/>
      <c r="Y95" s="66"/>
      <c r="Z95" s="66"/>
      <c r="AA95" s="66"/>
      <c r="AB95" s="66"/>
      <c r="AC95" s="66"/>
    </row>
    <row r="96">
      <c r="A96" s="321">
        <v>43584.0</v>
      </c>
      <c r="B96" s="66"/>
      <c r="C96" s="66"/>
      <c r="D96" s="327"/>
      <c r="E96" s="66"/>
      <c r="F96" s="66"/>
      <c r="G96" s="327"/>
      <c r="H96" s="66"/>
      <c r="I96" s="66"/>
      <c r="J96" s="327"/>
      <c r="K96" s="66"/>
      <c r="L96" s="66"/>
      <c r="M96" s="66"/>
      <c r="N96" s="66"/>
      <c r="O96" s="66"/>
      <c r="P96" s="66"/>
      <c r="Q96" s="66"/>
      <c r="R96" s="66"/>
      <c r="S96" s="66"/>
      <c r="T96" s="66"/>
      <c r="U96" s="66"/>
      <c r="V96" s="66"/>
      <c r="W96" s="66"/>
      <c r="X96" s="66"/>
      <c r="Y96" s="66"/>
      <c r="Z96" s="66"/>
      <c r="AA96" s="66"/>
      <c r="AB96" s="66"/>
      <c r="AC96" s="66"/>
    </row>
    <row r="97">
      <c r="A97" s="321">
        <v>43585.0</v>
      </c>
      <c r="B97" s="66"/>
      <c r="C97" s="66"/>
      <c r="D97" s="327"/>
      <c r="E97" s="66"/>
      <c r="F97" s="66"/>
      <c r="G97" s="327"/>
      <c r="H97" s="66"/>
      <c r="I97" s="66"/>
      <c r="J97" s="327"/>
      <c r="K97" s="66"/>
      <c r="L97" s="66"/>
      <c r="M97" s="66"/>
      <c r="N97" s="66"/>
      <c r="O97" s="66"/>
      <c r="P97" s="66"/>
      <c r="Q97" s="66"/>
      <c r="R97" s="66"/>
      <c r="S97" s="66"/>
      <c r="T97" s="66"/>
      <c r="U97" s="66"/>
      <c r="V97" s="66"/>
      <c r="W97" s="66"/>
      <c r="X97" s="66"/>
      <c r="Y97" s="66"/>
      <c r="Z97" s="66"/>
      <c r="AA97" s="66"/>
      <c r="AB97" s="66"/>
      <c r="AC97" s="66"/>
    </row>
    <row r="98">
      <c r="A98" s="321">
        <v>43586.0</v>
      </c>
      <c r="B98" s="66"/>
      <c r="C98" s="66"/>
      <c r="D98" s="327"/>
      <c r="E98" s="66"/>
      <c r="F98" s="66"/>
      <c r="G98" s="327"/>
      <c r="H98" s="66"/>
      <c r="I98" s="66"/>
      <c r="J98" s="327"/>
      <c r="K98" s="66"/>
      <c r="L98" s="66"/>
      <c r="M98" s="66"/>
      <c r="N98" s="66"/>
      <c r="O98" s="66"/>
      <c r="P98" s="66"/>
      <c r="Q98" s="66"/>
      <c r="R98" s="66"/>
      <c r="S98" s="66"/>
      <c r="T98" s="66"/>
      <c r="U98" s="66"/>
      <c r="V98" s="66"/>
      <c r="W98" s="66"/>
      <c r="X98" s="66"/>
      <c r="Y98" s="66"/>
      <c r="Z98" s="66"/>
      <c r="AA98" s="66"/>
      <c r="AB98" s="66"/>
      <c r="AC98" s="66"/>
    </row>
    <row r="99">
      <c r="A99" s="321">
        <v>43587.0</v>
      </c>
      <c r="B99" s="66"/>
      <c r="C99" s="66"/>
      <c r="D99" s="327"/>
      <c r="E99" s="66"/>
      <c r="F99" s="66"/>
      <c r="G99" s="327"/>
      <c r="H99" s="66"/>
      <c r="I99" s="66"/>
      <c r="J99" s="327"/>
      <c r="K99" s="66"/>
      <c r="L99" s="66"/>
      <c r="M99" s="66"/>
      <c r="N99" s="66"/>
      <c r="O99" s="66"/>
      <c r="P99" s="66"/>
      <c r="Q99" s="66"/>
      <c r="R99" s="66"/>
      <c r="S99" s="66"/>
      <c r="T99" s="66"/>
      <c r="U99" s="66"/>
      <c r="V99" s="66"/>
      <c r="W99" s="66"/>
      <c r="X99" s="66"/>
      <c r="Y99" s="66"/>
      <c r="Z99" s="66"/>
      <c r="AA99" s="66"/>
      <c r="AB99" s="66"/>
      <c r="AC99" s="66"/>
    </row>
    <row r="100">
      <c r="A100" s="321">
        <v>43588.0</v>
      </c>
      <c r="B100" s="66"/>
      <c r="C100" s="66"/>
      <c r="D100" s="327"/>
      <c r="E100" s="66"/>
      <c r="F100" s="66"/>
      <c r="G100" s="327"/>
      <c r="H100" s="66"/>
      <c r="I100" s="66"/>
      <c r="J100" s="327"/>
      <c r="K100" s="66"/>
      <c r="L100" s="66"/>
      <c r="M100" s="66"/>
      <c r="N100" s="66"/>
      <c r="O100" s="66"/>
      <c r="P100" s="66"/>
      <c r="Q100" s="66"/>
      <c r="R100" s="66"/>
      <c r="S100" s="66"/>
      <c r="T100" s="66"/>
      <c r="U100" s="66"/>
      <c r="V100" s="66"/>
      <c r="W100" s="66"/>
      <c r="X100" s="66"/>
      <c r="Y100" s="66"/>
      <c r="Z100" s="66"/>
      <c r="AA100" s="66"/>
      <c r="AB100" s="66"/>
      <c r="AC100" s="66"/>
    </row>
    <row r="101" hidden="1">
      <c r="A101" s="321">
        <v>43589.0</v>
      </c>
      <c r="B101" s="66"/>
      <c r="C101" s="66"/>
      <c r="D101" s="327"/>
      <c r="E101" s="66"/>
      <c r="F101" s="66"/>
      <c r="G101" s="327"/>
      <c r="H101" s="66"/>
      <c r="I101" s="66"/>
      <c r="J101" s="327"/>
      <c r="K101" s="66"/>
      <c r="L101" s="66"/>
      <c r="M101" s="66"/>
      <c r="N101" s="66"/>
      <c r="O101" s="66"/>
      <c r="P101" s="66"/>
      <c r="Q101" s="66"/>
      <c r="R101" s="66"/>
      <c r="S101" s="66"/>
      <c r="T101" s="66"/>
      <c r="U101" s="66"/>
      <c r="V101" s="66"/>
      <c r="W101" s="66"/>
      <c r="X101" s="66"/>
      <c r="Y101" s="66"/>
      <c r="Z101" s="66"/>
      <c r="AA101" s="66"/>
      <c r="AB101" s="66"/>
      <c r="AC101" s="66"/>
    </row>
    <row r="102" hidden="1">
      <c r="A102" s="321">
        <v>43590.0</v>
      </c>
      <c r="B102" s="66"/>
      <c r="C102" s="66"/>
      <c r="D102" s="327"/>
      <c r="E102" s="66"/>
      <c r="F102" s="66"/>
      <c r="G102" s="327"/>
      <c r="H102" s="66"/>
      <c r="I102" s="66"/>
      <c r="J102" s="327"/>
      <c r="K102" s="66"/>
      <c r="L102" s="66"/>
      <c r="M102" s="66"/>
      <c r="N102" s="66"/>
      <c r="O102" s="66"/>
      <c r="P102" s="66"/>
      <c r="Q102" s="66"/>
      <c r="R102" s="66"/>
      <c r="S102" s="66"/>
      <c r="T102" s="66"/>
      <c r="U102" s="66"/>
      <c r="V102" s="66"/>
      <c r="W102" s="66"/>
      <c r="X102" s="66"/>
      <c r="Y102" s="66"/>
      <c r="Z102" s="66"/>
      <c r="AA102" s="66"/>
      <c r="AB102" s="66"/>
      <c r="AC102" s="66"/>
    </row>
    <row r="103">
      <c r="A103" s="321">
        <v>43591.0</v>
      </c>
      <c r="B103" s="66"/>
      <c r="C103" s="66"/>
      <c r="D103" s="327"/>
      <c r="E103" s="66"/>
      <c r="F103" s="66"/>
      <c r="G103" s="327"/>
      <c r="H103" s="66"/>
      <c r="I103" s="66"/>
      <c r="J103" s="327"/>
      <c r="K103" s="66"/>
      <c r="L103" s="66"/>
      <c r="M103" s="66"/>
      <c r="N103" s="66"/>
      <c r="O103" s="66"/>
      <c r="P103" s="66"/>
      <c r="Q103" s="66"/>
      <c r="R103" s="66"/>
      <c r="S103" s="66"/>
      <c r="T103" s="66"/>
      <c r="U103" s="66"/>
      <c r="V103" s="66"/>
      <c r="W103" s="66"/>
      <c r="X103" s="66"/>
      <c r="Y103" s="66"/>
      <c r="Z103" s="66"/>
      <c r="AA103" s="66"/>
      <c r="AB103" s="66"/>
      <c r="AC103" s="66"/>
    </row>
    <row r="104">
      <c r="A104" s="321">
        <v>43592.0</v>
      </c>
      <c r="B104" s="66"/>
      <c r="C104" s="66"/>
      <c r="D104" s="327"/>
      <c r="E104" s="66"/>
      <c r="F104" s="66"/>
      <c r="G104" s="327"/>
      <c r="H104" s="66"/>
      <c r="I104" s="66"/>
      <c r="J104" s="327"/>
      <c r="K104" s="66"/>
      <c r="L104" s="66"/>
      <c r="M104" s="66"/>
      <c r="N104" s="66"/>
      <c r="O104" s="66"/>
      <c r="P104" s="66"/>
      <c r="Q104" s="66"/>
      <c r="R104" s="66"/>
      <c r="S104" s="66"/>
      <c r="T104" s="66"/>
      <c r="U104" s="66"/>
      <c r="V104" s="66"/>
      <c r="W104" s="66"/>
      <c r="X104" s="66"/>
      <c r="Y104" s="66"/>
      <c r="Z104" s="66"/>
      <c r="AA104" s="66"/>
      <c r="AB104" s="66"/>
      <c r="AC104" s="66"/>
    </row>
    <row r="105">
      <c r="A105" s="321">
        <v>43593.0</v>
      </c>
      <c r="B105" s="66"/>
      <c r="C105" s="66"/>
      <c r="D105" s="327"/>
      <c r="E105" s="66"/>
      <c r="F105" s="66"/>
      <c r="G105" s="327"/>
      <c r="H105" s="66"/>
      <c r="I105" s="66"/>
      <c r="J105" s="327"/>
      <c r="K105" s="66"/>
      <c r="L105" s="66"/>
      <c r="M105" s="66"/>
      <c r="N105" s="66"/>
      <c r="O105" s="66"/>
      <c r="P105" s="66"/>
      <c r="Q105" s="66"/>
      <c r="R105" s="66"/>
      <c r="S105" s="66"/>
      <c r="T105" s="66"/>
      <c r="U105" s="66"/>
      <c r="V105" s="66"/>
      <c r="W105" s="66"/>
      <c r="X105" s="66"/>
      <c r="Y105" s="66"/>
      <c r="Z105" s="66"/>
      <c r="AA105" s="66"/>
      <c r="AB105" s="66"/>
      <c r="AC105" s="66"/>
    </row>
    <row r="106">
      <c r="A106" s="321">
        <v>43594.0</v>
      </c>
      <c r="B106" s="66"/>
      <c r="C106" s="66"/>
      <c r="D106" s="327"/>
      <c r="E106" s="66"/>
      <c r="F106" s="66"/>
      <c r="G106" s="327"/>
      <c r="H106" s="66"/>
      <c r="I106" s="66"/>
      <c r="J106" s="327"/>
      <c r="K106" s="66"/>
      <c r="L106" s="66"/>
      <c r="M106" s="66"/>
      <c r="N106" s="66"/>
      <c r="O106" s="66"/>
      <c r="P106" s="66"/>
      <c r="Q106" s="66"/>
      <c r="R106" s="66"/>
      <c r="S106" s="66"/>
      <c r="T106" s="66"/>
      <c r="U106" s="66"/>
      <c r="V106" s="66"/>
      <c r="W106" s="66"/>
      <c r="X106" s="66"/>
      <c r="Y106" s="66"/>
      <c r="Z106" s="66"/>
      <c r="AA106" s="66"/>
      <c r="AB106" s="66"/>
      <c r="AC106" s="66"/>
    </row>
    <row r="107">
      <c r="A107" s="321">
        <v>43595.0</v>
      </c>
      <c r="B107" s="66"/>
      <c r="C107" s="66"/>
      <c r="D107" s="327"/>
      <c r="E107" s="66"/>
      <c r="F107" s="66"/>
      <c r="G107" s="327"/>
      <c r="H107" s="66"/>
      <c r="I107" s="66"/>
      <c r="J107" s="327"/>
      <c r="K107" s="66"/>
      <c r="L107" s="66"/>
      <c r="M107" s="66"/>
      <c r="N107" s="66"/>
      <c r="O107" s="66"/>
      <c r="P107" s="66"/>
      <c r="Q107" s="66"/>
      <c r="R107" s="66"/>
      <c r="S107" s="66"/>
      <c r="T107" s="66"/>
      <c r="U107" s="66"/>
      <c r="V107" s="66"/>
      <c r="W107" s="66"/>
      <c r="X107" s="66"/>
      <c r="Y107" s="66"/>
      <c r="Z107" s="66"/>
      <c r="AA107" s="66"/>
      <c r="AB107" s="66"/>
      <c r="AC107" s="66"/>
    </row>
    <row r="108" hidden="1">
      <c r="A108" s="321">
        <v>43596.0</v>
      </c>
      <c r="B108" s="66"/>
      <c r="C108" s="66"/>
      <c r="D108" s="327"/>
      <c r="E108" s="66"/>
      <c r="F108" s="66"/>
      <c r="G108" s="327"/>
      <c r="H108" s="66"/>
      <c r="I108" s="66"/>
      <c r="J108" s="327"/>
      <c r="K108" s="66"/>
      <c r="L108" s="66"/>
      <c r="M108" s="66"/>
      <c r="N108" s="66"/>
      <c r="O108" s="66"/>
      <c r="P108" s="66"/>
      <c r="Q108" s="66"/>
      <c r="R108" s="66"/>
      <c r="S108" s="66"/>
      <c r="T108" s="66"/>
      <c r="U108" s="66"/>
      <c r="V108" s="66"/>
      <c r="W108" s="66"/>
      <c r="X108" s="66"/>
      <c r="Y108" s="66"/>
      <c r="Z108" s="66"/>
      <c r="AA108" s="66"/>
      <c r="AB108" s="66"/>
      <c r="AC108" s="66"/>
    </row>
    <row r="109" hidden="1">
      <c r="A109" s="321">
        <v>43597.0</v>
      </c>
      <c r="B109" s="66"/>
      <c r="C109" s="66"/>
      <c r="D109" s="327"/>
      <c r="E109" s="66"/>
      <c r="F109" s="66"/>
      <c r="G109" s="327"/>
      <c r="H109" s="66"/>
      <c r="I109" s="66"/>
      <c r="J109" s="327"/>
      <c r="K109" s="66"/>
      <c r="L109" s="66"/>
      <c r="M109" s="66"/>
      <c r="N109" s="66"/>
      <c r="O109" s="66"/>
      <c r="P109" s="66"/>
      <c r="Q109" s="66"/>
      <c r="R109" s="66"/>
      <c r="S109" s="66"/>
      <c r="T109" s="66"/>
      <c r="U109" s="66"/>
      <c r="V109" s="66"/>
      <c r="W109" s="66"/>
      <c r="X109" s="66"/>
      <c r="Y109" s="66"/>
      <c r="Z109" s="66"/>
      <c r="AA109" s="66"/>
      <c r="AB109" s="66"/>
      <c r="AC109" s="66"/>
    </row>
    <row r="110">
      <c r="A110" s="321">
        <v>43598.0</v>
      </c>
      <c r="B110" s="66"/>
      <c r="C110" s="66"/>
      <c r="D110" s="327"/>
      <c r="E110" s="66"/>
      <c r="F110" s="66"/>
      <c r="G110" s="327"/>
      <c r="H110" s="66"/>
      <c r="I110" s="66"/>
      <c r="J110" s="327"/>
      <c r="K110" s="66"/>
      <c r="L110" s="66"/>
      <c r="M110" s="66"/>
      <c r="N110" s="66"/>
      <c r="O110" s="66"/>
      <c r="P110" s="66"/>
      <c r="Q110" s="66"/>
      <c r="R110" s="66"/>
      <c r="S110" s="66"/>
      <c r="T110" s="66"/>
      <c r="U110" s="66"/>
      <c r="V110" s="66"/>
      <c r="W110" s="66"/>
      <c r="X110" s="66"/>
      <c r="Y110" s="66"/>
      <c r="Z110" s="66"/>
      <c r="AA110" s="66"/>
      <c r="AB110" s="66"/>
      <c r="AC110" s="66"/>
    </row>
    <row r="111">
      <c r="A111" s="321">
        <v>43599.0</v>
      </c>
      <c r="B111" s="66"/>
      <c r="C111" s="66"/>
      <c r="D111" s="327"/>
      <c r="E111" s="66"/>
      <c r="F111" s="66"/>
      <c r="G111" s="327"/>
      <c r="H111" s="66"/>
      <c r="I111" s="66"/>
      <c r="J111" s="327"/>
      <c r="K111" s="66"/>
      <c r="L111" s="66"/>
      <c r="M111" s="66"/>
      <c r="N111" s="66"/>
      <c r="O111" s="66"/>
      <c r="P111" s="66"/>
      <c r="Q111" s="66"/>
      <c r="R111" s="66"/>
      <c r="S111" s="66"/>
      <c r="T111" s="66"/>
      <c r="U111" s="66"/>
      <c r="V111" s="66"/>
      <c r="W111" s="66"/>
      <c r="X111" s="66"/>
      <c r="Y111" s="66"/>
      <c r="Z111" s="66"/>
      <c r="AA111" s="66"/>
      <c r="AB111" s="66"/>
      <c r="AC111" s="66"/>
    </row>
    <row r="112">
      <c r="A112" s="321">
        <v>43600.0</v>
      </c>
      <c r="B112" s="66"/>
      <c r="C112" s="66"/>
      <c r="D112" s="327"/>
      <c r="E112" s="66"/>
      <c r="F112" s="66"/>
      <c r="G112" s="327"/>
      <c r="H112" s="66"/>
      <c r="I112" s="66"/>
      <c r="J112" s="327"/>
      <c r="K112" s="66"/>
      <c r="L112" s="66"/>
      <c r="M112" s="66"/>
      <c r="N112" s="66"/>
      <c r="O112" s="66"/>
      <c r="P112" s="66"/>
      <c r="Q112" s="66"/>
      <c r="R112" s="66"/>
      <c r="S112" s="66"/>
      <c r="T112" s="66"/>
      <c r="U112" s="66"/>
      <c r="V112" s="66"/>
      <c r="W112" s="66"/>
      <c r="X112" s="66"/>
      <c r="Y112" s="66"/>
      <c r="Z112" s="66"/>
      <c r="AA112" s="66"/>
      <c r="AB112" s="66"/>
      <c r="AC112" s="66"/>
    </row>
    <row r="113">
      <c r="A113" s="321">
        <v>43601.0</v>
      </c>
      <c r="B113" s="66"/>
      <c r="C113" s="66"/>
      <c r="D113" s="327"/>
      <c r="E113" s="66"/>
      <c r="F113" s="66"/>
      <c r="G113" s="327"/>
      <c r="H113" s="66"/>
      <c r="I113" s="66"/>
      <c r="J113" s="327"/>
      <c r="K113" s="66"/>
      <c r="L113" s="66"/>
      <c r="M113" s="66"/>
      <c r="N113" s="66"/>
      <c r="O113" s="66"/>
      <c r="P113" s="66"/>
      <c r="Q113" s="66"/>
      <c r="R113" s="66"/>
      <c r="S113" s="66"/>
      <c r="T113" s="66"/>
      <c r="U113" s="66"/>
      <c r="V113" s="66"/>
      <c r="W113" s="66"/>
      <c r="X113" s="66"/>
      <c r="Y113" s="66"/>
      <c r="Z113" s="66"/>
      <c r="AA113" s="66"/>
      <c r="AB113" s="66"/>
      <c r="AC113" s="66"/>
    </row>
    <row r="114">
      <c r="A114" s="321">
        <v>43602.0</v>
      </c>
      <c r="B114" s="66"/>
      <c r="C114" s="66"/>
      <c r="D114" s="327"/>
      <c r="E114" s="66"/>
      <c r="F114" s="66"/>
      <c r="G114" s="327"/>
      <c r="H114" s="66"/>
      <c r="I114" s="66"/>
      <c r="J114" s="327"/>
      <c r="K114" s="66"/>
      <c r="L114" s="66"/>
      <c r="M114" s="66"/>
      <c r="N114" s="66"/>
      <c r="O114" s="66"/>
      <c r="P114" s="66"/>
      <c r="Q114" s="66"/>
      <c r="R114" s="66"/>
      <c r="S114" s="66"/>
      <c r="T114" s="66"/>
      <c r="U114" s="66"/>
      <c r="V114" s="66"/>
      <c r="W114" s="66"/>
      <c r="X114" s="66"/>
      <c r="Y114" s="66"/>
      <c r="Z114" s="66"/>
      <c r="AA114" s="66"/>
      <c r="AB114" s="66"/>
      <c r="AC114" s="66"/>
    </row>
    <row r="115" hidden="1">
      <c r="A115" s="321">
        <v>43603.0</v>
      </c>
      <c r="B115" s="66"/>
      <c r="C115" s="66"/>
      <c r="D115" s="327"/>
      <c r="E115" s="66"/>
      <c r="F115" s="66"/>
      <c r="G115" s="327"/>
      <c r="H115" s="66"/>
      <c r="I115" s="66"/>
      <c r="J115" s="327"/>
      <c r="K115" s="66"/>
      <c r="L115" s="66"/>
      <c r="M115" s="66"/>
      <c r="N115" s="66"/>
      <c r="O115" s="66"/>
      <c r="P115" s="66"/>
      <c r="Q115" s="66"/>
      <c r="R115" s="66"/>
      <c r="S115" s="66"/>
      <c r="T115" s="66"/>
      <c r="U115" s="66"/>
      <c r="V115" s="66"/>
      <c r="W115" s="66"/>
      <c r="X115" s="66"/>
      <c r="Y115" s="66"/>
      <c r="Z115" s="66"/>
      <c r="AA115" s="66"/>
      <c r="AB115" s="66"/>
      <c r="AC115" s="66"/>
    </row>
    <row r="116" hidden="1">
      <c r="A116" s="321">
        <v>43604.0</v>
      </c>
      <c r="B116" s="66"/>
      <c r="C116" s="66"/>
      <c r="D116" s="327"/>
      <c r="E116" s="66"/>
      <c r="F116" s="66"/>
      <c r="G116" s="327"/>
      <c r="H116" s="66"/>
      <c r="I116" s="66"/>
      <c r="J116" s="327"/>
      <c r="K116" s="66"/>
      <c r="L116" s="66"/>
      <c r="M116" s="66"/>
      <c r="N116" s="66"/>
      <c r="O116" s="66"/>
      <c r="P116" s="66"/>
      <c r="Q116" s="66"/>
      <c r="R116" s="66"/>
      <c r="S116" s="66"/>
      <c r="T116" s="66"/>
      <c r="U116" s="66"/>
      <c r="V116" s="66"/>
      <c r="W116" s="66"/>
      <c r="X116" s="66"/>
      <c r="Y116" s="66"/>
      <c r="Z116" s="66"/>
      <c r="AA116" s="66"/>
      <c r="AB116" s="66"/>
      <c r="AC116" s="66"/>
    </row>
    <row r="117">
      <c r="A117" s="321">
        <v>43605.0</v>
      </c>
      <c r="B117" s="66"/>
      <c r="C117" s="66"/>
      <c r="D117" s="327"/>
      <c r="E117" s="66"/>
      <c r="F117" s="66"/>
      <c r="G117" s="327"/>
      <c r="H117" s="66"/>
      <c r="I117" s="66"/>
      <c r="J117" s="327"/>
      <c r="K117" s="66"/>
      <c r="L117" s="66"/>
      <c r="M117" s="66"/>
      <c r="N117" s="66"/>
      <c r="O117" s="66"/>
      <c r="P117" s="66"/>
      <c r="Q117" s="66"/>
      <c r="R117" s="66"/>
      <c r="S117" s="66"/>
      <c r="T117" s="66"/>
      <c r="U117" s="66"/>
      <c r="V117" s="66"/>
      <c r="W117" s="66"/>
      <c r="X117" s="66"/>
      <c r="Y117" s="66"/>
      <c r="Z117" s="66"/>
      <c r="AA117" s="66"/>
      <c r="AB117" s="66"/>
      <c r="AC117" s="66"/>
    </row>
    <row r="118">
      <c r="A118" s="321">
        <v>43606.0</v>
      </c>
      <c r="B118" s="66"/>
      <c r="C118" s="66"/>
      <c r="D118" s="327"/>
      <c r="E118" s="66"/>
      <c r="F118" s="66"/>
      <c r="G118" s="327"/>
      <c r="H118" s="66"/>
      <c r="I118" s="66"/>
      <c r="J118" s="327"/>
      <c r="K118" s="66"/>
      <c r="L118" s="66"/>
      <c r="M118" s="66"/>
      <c r="N118" s="66"/>
      <c r="O118" s="66"/>
      <c r="P118" s="66"/>
      <c r="Q118" s="66"/>
      <c r="R118" s="66"/>
      <c r="S118" s="66"/>
      <c r="T118" s="66"/>
      <c r="U118" s="66"/>
      <c r="V118" s="66"/>
      <c r="W118" s="66"/>
      <c r="X118" s="66"/>
      <c r="Y118" s="66"/>
      <c r="Z118" s="66"/>
      <c r="AA118" s="66"/>
      <c r="AB118" s="66"/>
      <c r="AC118" s="66"/>
    </row>
    <row r="119">
      <c r="A119" s="321">
        <v>43607.0</v>
      </c>
      <c r="B119" s="66"/>
      <c r="C119" s="66"/>
      <c r="D119" s="327"/>
      <c r="E119" s="66"/>
      <c r="F119" s="66"/>
      <c r="G119" s="327"/>
      <c r="H119" s="66"/>
      <c r="I119" s="66"/>
      <c r="J119" s="327"/>
      <c r="K119" s="66"/>
      <c r="L119" s="66"/>
      <c r="M119" s="66"/>
      <c r="N119" s="66"/>
      <c r="O119" s="66"/>
      <c r="P119" s="66"/>
      <c r="Q119" s="66"/>
      <c r="R119" s="66"/>
      <c r="S119" s="66"/>
      <c r="T119" s="66"/>
      <c r="U119" s="66"/>
      <c r="V119" s="66"/>
      <c r="W119" s="66"/>
      <c r="X119" s="66"/>
      <c r="Y119" s="66"/>
      <c r="Z119" s="66"/>
      <c r="AA119" s="66"/>
      <c r="AB119" s="66"/>
      <c r="AC119" s="66"/>
    </row>
    <row r="120">
      <c r="A120" s="321">
        <v>43608.0</v>
      </c>
      <c r="B120" s="66"/>
      <c r="C120" s="66"/>
      <c r="D120" s="327"/>
      <c r="E120" s="66"/>
      <c r="F120" s="66"/>
      <c r="G120" s="327"/>
      <c r="H120" s="66"/>
      <c r="I120" s="66"/>
      <c r="J120" s="327"/>
      <c r="K120" s="66"/>
      <c r="L120" s="66"/>
      <c r="M120" s="66"/>
      <c r="N120" s="66"/>
      <c r="O120" s="66"/>
      <c r="P120" s="66"/>
      <c r="Q120" s="66"/>
      <c r="R120" s="66"/>
      <c r="S120" s="66"/>
      <c r="T120" s="66"/>
      <c r="U120" s="66"/>
      <c r="V120" s="66"/>
      <c r="W120" s="66"/>
      <c r="X120" s="66"/>
      <c r="Y120" s="66"/>
      <c r="Z120" s="66"/>
      <c r="AA120" s="66"/>
      <c r="AB120" s="66"/>
      <c r="AC120" s="66"/>
    </row>
    <row r="121">
      <c r="A121" s="321">
        <v>43609.0</v>
      </c>
      <c r="B121" s="66"/>
      <c r="C121" s="66"/>
      <c r="D121" s="327"/>
      <c r="E121" s="66"/>
      <c r="F121" s="66"/>
      <c r="G121" s="327"/>
      <c r="H121" s="66"/>
      <c r="I121" s="66"/>
      <c r="J121" s="327"/>
      <c r="K121" s="66"/>
      <c r="L121" s="66"/>
      <c r="M121" s="66"/>
      <c r="N121" s="66"/>
      <c r="O121" s="66"/>
      <c r="P121" s="66"/>
      <c r="Q121" s="66"/>
      <c r="R121" s="66"/>
      <c r="S121" s="66"/>
      <c r="T121" s="66"/>
      <c r="U121" s="66"/>
      <c r="V121" s="66"/>
      <c r="W121" s="66"/>
      <c r="X121" s="66"/>
      <c r="Y121" s="66"/>
      <c r="Z121" s="66"/>
      <c r="AA121" s="66"/>
      <c r="AB121" s="66"/>
      <c r="AC121" s="66"/>
    </row>
    <row r="122" hidden="1">
      <c r="A122" s="321">
        <v>43610.0</v>
      </c>
      <c r="B122" s="66"/>
      <c r="C122" s="66"/>
      <c r="D122" s="327"/>
      <c r="E122" s="66"/>
      <c r="F122" s="66"/>
      <c r="G122" s="327"/>
      <c r="H122" s="66"/>
      <c r="I122" s="66"/>
      <c r="J122" s="327"/>
      <c r="K122" s="66"/>
      <c r="L122" s="66"/>
      <c r="M122" s="66"/>
      <c r="N122" s="66"/>
      <c r="O122" s="66"/>
      <c r="P122" s="66"/>
      <c r="Q122" s="66"/>
      <c r="R122" s="66"/>
      <c r="S122" s="66"/>
      <c r="T122" s="66"/>
      <c r="U122" s="66"/>
      <c r="V122" s="66"/>
      <c r="W122" s="66"/>
      <c r="X122" s="66"/>
      <c r="Y122" s="66"/>
      <c r="Z122" s="66"/>
      <c r="AA122" s="66"/>
      <c r="AB122" s="66"/>
      <c r="AC122" s="66"/>
    </row>
    <row r="123" hidden="1">
      <c r="A123" s="321">
        <v>43611.0</v>
      </c>
      <c r="B123" s="66"/>
      <c r="C123" s="66"/>
      <c r="D123" s="327"/>
      <c r="E123" s="66"/>
      <c r="F123" s="66"/>
      <c r="G123" s="327"/>
      <c r="H123" s="66"/>
      <c r="I123" s="66"/>
      <c r="J123" s="327"/>
      <c r="K123" s="66"/>
      <c r="L123" s="66"/>
      <c r="M123" s="66"/>
      <c r="N123" s="66"/>
      <c r="O123" s="66"/>
      <c r="P123" s="66"/>
      <c r="Q123" s="66"/>
      <c r="R123" s="66"/>
      <c r="S123" s="66"/>
      <c r="T123" s="66"/>
      <c r="U123" s="66"/>
      <c r="V123" s="66"/>
      <c r="W123" s="66"/>
      <c r="X123" s="66"/>
      <c r="Y123" s="66"/>
      <c r="Z123" s="66"/>
      <c r="AA123" s="66"/>
      <c r="AB123" s="66"/>
      <c r="AC123" s="66"/>
    </row>
    <row r="124">
      <c r="A124" s="321">
        <v>43612.0</v>
      </c>
      <c r="B124" s="66"/>
      <c r="C124" s="66"/>
      <c r="D124" s="327"/>
      <c r="E124" s="66"/>
      <c r="F124" s="66"/>
      <c r="G124" s="327"/>
      <c r="H124" s="66"/>
      <c r="I124" s="66"/>
      <c r="J124" s="327"/>
      <c r="K124" s="66"/>
      <c r="L124" s="66"/>
      <c r="M124" s="66"/>
      <c r="N124" s="66"/>
      <c r="O124" s="66"/>
      <c r="P124" s="66"/>
      <c r="Q124" s="66"/>
      <c r="R124" s="66"/>
      <c r="S124" s="66"/>
      <c r="T124" s="66"/>
      <c r="U124" s="66"/>
      <c r="V124" s="66"/>
      <c r="W124" s="66"/>
      <c r="X124" s="66"/>
      <c r="Y124" s="66"/>
      <c r="Z124" s="66"/>
      <c r="AA124" s="66"/>
      <c r="AB124" s="66"/>
      <c r="AC124" s="66"/>
    </row>
    <row r="125">
      <c r="A125" s="321">
        <v>43613.0</v>
      </c>
      <c r="B125" s="66"/>
      <c r="C125" s="66"/>
      <c r="D125" s="327"/>
      <c r="E125" s="66"/>
      <c r="F125" s="66"/>
      <c r="G125" s="327"/>
      <c r="H125" s="66"/>
      <c r="I125" s="66"/>
      <c r="J125" s="327"/>
      <c r="K125" s="66"/>
      <c r="L125" s="66"/>
      <c r="M125" s="66"/>
      <c r="N125" s="66"/>
      <c r="O125" s="66"/>
      <c r="P125" s="66"/>
      <c r="Q125" s="66"/>
      <c r="R125" s="66"/>
      <c r="S125" s="66"/>
      <c r="T125" s="66"/>
      <c r="U125" s="66"/>
      <c r="V125" s="66"/>
      <c r="W125" s="66"/>
      <c r="X125" s="66"/>
      <c r="Y125" s="66"/>
      <c r="Z125" s="66"/>
      <c r="AA125" s="66"/>
      <c r="AB125" s="66"/>
      <c r="AC125" s="66"/>
    </row>
    <row r="126">
      <c r="A126" s="321">
        <v>43614.0</v>
      </c>
      <c r="B126" s="66"/>
      <c r="C126" s="66"/>
      <c r="D126" s="327"/>
      <c r="E126" s="66"/>
      <c r="F126" s="66"/>
      <c r="G126" s="327"/>
      <c r="H126" s="66"/>
      <c r="I126" s="66"/>
      <c r="J126" s="327"/>
      <c r="K126" s="66"/>
      <c r="L126" s="66"/>
      <c r="M126" s="66"/>
      <c r="N126" s="66"/>
      <c r="O126" s="66"/>
      <c r="P126" s="66"/>
      <c r="Q126" s="66"/>
      <c r="R126" s="66"/>
      <c r="S126" s="66"/>
      <c r="T126" s="66"/>
      <c r="U126" s="66"/>
      <c r="V126" s="66"/>
      <c r="W126" s="66"/>
      <c r="X126" s="66"/>
      <c r="Y126" s="66"/>
      <c r="Z126" s="66"/>
      <c r="AA126" s="66"/>
      <c r="AB126" s="66"/>
      <c r="AC126" s="66"/>
    </row>
    <row r="127">
      <c r="A127" s="321">
        <v>43615.0</v>
      </c>
      <c r="B127" s="66"/>
      <c r="C127" s="66"/>
      <c r="D127" s="327"/>
      <c r="E127" s="66"/>
      <c r="F127" s="66"/>
      <c r="G127" s="327"/>
      <c r="H127" s="66"/>
      <c r="I127" s="66"/>
      <c r="J127" s="327"/>
      <c r="K127" s="66"/>
      <c r="L127" s="66"/>
      <c r="M127" s="66"/>
      <c r="N127" s="66"/>
      <c r="O127" s="66"/>
      <c r="P127" s="66"/>
      <c r="Q127" s="66"/>
      <c r="R127" s="66"/>
      <c r="S127" s="66"/>
      <c r="T127" s="66"/>
      <c r="U127" s="66"/>
      <c r="V127" s="66"/>
      <c r="W127" s="66"/>
      <c r="X127" s="66"/>
      <c r="Y127" s="66"/>
      <c r="Z127" s="66"/>
      <c r="AA127" s="66"/>
      <c r="AB127" s="66"/>
      <c r="AC127" s="66"/>
    </row>
    <row r="128">
      <c r="A128" s="321">
        <v>43616.0</v>
      </c>
      <c r="B128" s="66"/>
      <c r="C128" s="66"/>
      <c r="D128" s="327"/>
      <c r="E128" s="66"/>
      <c r="F128" s="66"/>
      <c r="G128" s="327"/>
      <c r="H128" s="66"/>
      <c r="I128" s="66"/>
      <c r="J128" s="327"/>
      <c r="K128" s="66"/>
      <c r="L128" s="66"/>
      <c r="M128" s="66"/>
      <c r="N128" s="66"/>
      <c r="O128" s="66"/>
      <c r="P128" s="66"/>
      <c r="Q128" s="66"/>
      <c r="R128" s="66"/>
      <c r="S128" s="66"/>
      <c r="T128" s="66"/>
      <c r="U128" s="66"/>
      <c r="V128" s="66"/>
      <c r="W128" s="66"/>
      <c r="X128" s="66"/>
      <c r="Y128" s="66"/>
      <c r="Z128" s="66"/>
      <c r="AA128" s="66"/>
      <c r="AB128" s="66"/>
      <c r="AC128" s="66"/>
    </row>
    <row r="129" hidden="1">
      <c r="A129" s="321">
        <v>43617.0</v>
      </c>
      <c r="B129" s="66"/>
      <c r="C129" s="66"/>
      <c r="D129" s="327"/>
      <c r="E129" s="66"/>
      <c r="F129" s="66"/>
      <c r="G129" s="327"/>
      <c r="H129" s="66"/>
      <c r="I129" s="66"/>
      <c r="J129" s="327"/>
      <c r="K129" s="66"/>
      <c r="L129" s="66"/>
      <c r="M129" s="66"/>
      <c r="N129" s="66"/>
      <c r="O129" s="66"/>
      <c r="P129" s="66"/>
      <c r="Q129" s="66"/>
      <c r="R129" s="66"/>
      <c r="S129" s="66"/>
      <c r="T129" s="66"/>
      <c r="U129" s="66"/>
      <c r="V129" s="66"/>
      <c r="W129" s="66"/>
      <c r="X129" s="66"/>
      <c r="Y129" s="66"/>
      <c r="Z129" s="66"/>
      <c r="AA129" s="66"/>
      <c r="AB129" s="66"/>
      <c r="AC129" s="66"/>
    </row>
    <row r="130" hidden="1">
      <c r="A130" s="321">
        <v>43618.0</v>
      </c>
      <c r="B130" s="66"/>
      <c r="C130" s="66"/>
      <c r="D130" s="327"/>
      <c r="E130" s="66"/>
      <c r="F130" s="66"/>
      <c r="G130" s="327"/>
      <c r="H130" s="66"/>
      <c r="I130" s="66"/>
      <c r="J130" s="327"/>
      <c r="K130" s="66"/>
      <c r="L130" s="66"/>
      <c r="M130" s="66"/>
      <c r="N130" s="66"/>
      <c r="O130" s="66"/>
      <c r="P130" s="66"/>
      <c r="Q130" s="66"/>
      <c r="R130" s="66"/>
      <c r="S130" s="66"/>
      <c r="T130" s="66"/>
      <c r="U130" s="66"/>
      <c r="V130" s="66"/>
      <c r="W130" s="66"/>
      <c r="X130" s="66"/>
      <c r="Y130" s="66"/>
      <c r="Z130" s="66"/>
      <c r="AA130" s="66"/>
      <c r="AB130" s="66"/>
      <c r="AC130" s="66"/>
    </row>
    <row r="131">
      <c r="A131" s="321">
        <v>43619.0</v>
      </c>
      <c r="B131" s="66"/>
      <c r="C131" s="66"/>
      <c r="D131" s="327"/>
      <c r="E131" s="66"/>
      <c r="F131" s="66"/>
      <c r="G131" s="327"/>
      <c r="H131" s="66"/>
      <c r="I131" s="66"/>
      <c r="J131" s="327"/>
      <c r="K131" s="66"/>
      <c r="L131" s="66"/>
      <c r="M131" s="66"/>
      <c r="N131" s="66"/>
      <c r="O131" s="66"/>
      <c r="P131" s="66"/>
      <c r="Q131" s="66"/>
      <c r="R131" s="66"/>
      <c r="S131" s="66"/>
      <c r="T131" s="66"/>
      <c r="U131" s="66"/>
      <c r="V131" s="66"/>
      <c r="W131" s="66"/>
      <c r="X131" s="66"/>
      <c r="Y131" s="66"/>
      <c r="Z131" s="66"/>
      <c r="AA131" s="66"/>
      <c r="AB131" s="66"/>
      <c r="AC131" s="66"/>
    </row>
    <row r="132">
      <c r="A132" s="321">
        <v>43620.0</v>
      </c>
      <c r="B132" s="66"/>
      <c r="C132" s="66"/>
      <c r="D132" s="327"/>
      <c r="E132" s="66"/>
      <c r="F132" s="66"/>
      <c r="G132" s="327"/>
      <c r="H132" s="66"/>
      <c r="I132" s="66"/>
      <c r="J132" s="327"/>
      <c r="K132" s="66"/>
      <c r="L132" s="66"/>
      <c r="M132" s="66"/>
      <c r="N132" s="66"/>
      <c r="O132" s="66"/>
      <c r="P132" s="66"/>
      <c r="Q132" s="66"/>
      <c r="R132" s="66"/>
      <c r="S132" s="66"/>
      <c r="T132" s="66"/>
      <c r="U132" s="66"/>
      <c r="V132" s="66"/>
      <c r="W132" s="66"/>
      <c r="X132" s="66"/>
      <c r="Y132" s="66"/>
      <c r="Z132" s="66"/>
      <c r="AA132" s="66"/>
      <c r="AB132" s="66"/>
      <c r="AC132" s="66"/>
    </row>
    <row r="133">
      <c r="A133" s="321">
        <v>43621.0</v>
      </c>
      <c r="B133" s="66"/>
      <c r="C133" s="66"/>
      <c r="D133" s="327"/>
      <c r="E133" s="66"/>
      <c r="F133" s="66"/>
      <c r="G133" s="327"/>
      <c r="H133" s="66"/>
      <c r="I133" s="66"/>
      <c r="J133" s="327"/>
      <c r="K133" s="66"/>
      <c r="L133" s="66"/>
      <c r="M133" s="66"/>
      <c r="N133" s="66"/>
      <c r="O133" s="66"/>
      <c r="P133" s="66"/>
      <c r="Q133" s="66"/>
      <c r="R133" s="66"/>
      <c r="S133" s="66"/>
      <c r="T133" s="66"/>
      <c r="U133" s="66"/>
      <c r="V133" s="66"/>
      <c r="W133" s="66"/>
      <c r="X133" s="66"/>
      <c r="Y133" s="66"/>
      <c r="Z133" s="66"/>
      <c r="AA133" s="66"/>
      <c r="AB133" s="66"/>
      <c r="AC133" s="66"/>
    </row>
    <row r="134">
      <c r="A134" s="321">
        <v>43622.0</v>
      </c>
      <c r="B134" s="66"/>
      <c r="C134" s="66"/>
      <c r="D134" s="327"/>
      <c r="E134" s="66"/>
      <c r="F134" s="66"/>
      <c r="G134" s="327"/>
      <c r="H134" s="66"/>
      <c r="I134" s="66"/>
      <c r="J134" s="327"/>
      <c r="K134" s="66"/>
      <c r="L134" s="66"/>
      <c r="M134" s="66"/>
      <c r="N134" s="66"/>
      <c r="O134" s="66"/>
      <c r="P134" s="66"/>
      <c r="Q134" s="66"/>
      <c r="R134" s="66"/>
      <c r="S134" s="66"/>
      <c r="T134" s="66"/>
      <c r="U134" s="66"/>
      <c r="V134" s="66"/>
      <c r="W134" s="66"/>
      <c r="X134" s="66"/>
      <c r="Y134" s="66"/>
      <c r="Z134" s="66"/>
      <c r="AA134" s="66"/>
      <c r="AB134" s="66"/>
      <c r="AC134" s="66"/>
    </row>
    <row r="135">
      <c r="A135" s="321">
        <v>43623.0</v>
      </c>
      <c r="B135" s="66"/>
      <c r="C135" s="66"/>
      <c r="D135" s="327"/>
      <c r="E135" s="66"/>
      <c r="F135" s="66"/>
      <c r="G135" s="327"/>
      <c r="H135" s="66"/>
      <c r="I135" s="66"/>
      <c r="J135" s="327"/>
      <c r="K135" s="66"/>
      <c r="L135" s="66"/>
      <c r="M135" s="66"/>
      <c r="N135" s="66"/>
      <c r="O135" s="66"/>
      <c r="P135" s="66"/>
      <c r="Q135" s="66"/>
      <c r="R135" s="66"/>
      <c r="S135" s="66"/>
      <c r="T135" s="66"/>
      <c r="U135" s="66"/>
      <c r="V135" s="66"/>
      <c r="W135" s="66"/>
      <c r="X135" s="66"/>
      <c r="Y135" s="66"/>
      <c r="Z135" s="66"/>
      <c r="AA135" s="66"/>
      <c r="AB135" s="66"/>
      <c r="AC135" s="66"/>
    </row>
    <row r="136" hidden="1">
      <c r="A136" s="321">
        <v>43624.0</v>
      </c>
      <c r="B136" s="66"/>
      <c r="C136" s="66"/>
      <c r="D136" s="327"/>
      <c r="E136" s="66"/>
      <c r="F136" s="66"/>
      <c r="G136" s="327"/>
      <c r="H136" s="66"/>
      <c r="I136" s="66"/>
      <c r="J136" s="327"/>
      <c r="K136" s="66"/>
      <c r="L136" s="66"/>
      <c r="M136" s="66"/>
      <c r="N136" s="66"/>
      <c r="O136" s="66"/>
      <c r="P136" s="66"/>
      <c r="Q136" s="66"/>
      <c r="R136" s="66"/>
      <c r="S136" s="66"/>
      <c r="T136" s="66"/>
      <c r="U136" s="66"/>
      <c r="V136" s="66"/>
      <c r="W136" s="66"/>
      <c r="X136" s="66"/>
      <c r="Y136" s="66"/>
      <c r="Z136" s="66"/>
      <c r="AA136" s="66"/>
      <c r="AB136" s="66"/>
      <c r="AC136" s="66"/>
    </row>
    <row r="137" hidden="1">
      <c r="A137" s="321">
        <v>43625.0</v>
      </c>
      <c r="B137" s="66"/>
      <c r="C137" s="66"/>
      <c r="D137" s="327"/>
      <c r="E137" s="66"/>
      <c r="F137" s="66"/>
      <c r="G137" s="327"/>
      <c r="H137" s="66"/>
      <c r="I137" s="66"/>
      <c r="J137" s="327"/>
      <c r="K137" s="66"/>
      <c r="L137" s="66"/>
      <c r="M137" s="66"/>
      <c r="N137" s="66"/>
      <c r="O137" s="66"/>
      <c r="P137" s="66"/>
      <c r="Q137" s="66"/>
      <c r="R137" s="66"/>
      <c r="S137" s="66"/>
      <c r="T137" s="66"/>
      <c r="U137" s="66"/>
      <c r="V137" s="66"/>
      <c r="W137" s="66"/>
      <c r="X137" s="66"/>
      <c r="Y137" s="66"/>
      <c r="Z137" s="66"/>
      <c r="AA137" s="66"/>
      <c r="AB137" s="66"/>
      <c r="AC137" s="66"/>
    </row>
    <row r="138">
      <c r="A138" s="321">
        <v>43626.0</v>
      </c>
      <c r="B138" s="66"/>
      <c r="C138" s="66"/>
      <c r="D138" s="327"/>
      <c r="E138" s="66"/>
      <c r="F138" s="66"/>
      <c r="G138" s="327"/>
      <c r="H138" s="66"/>
      <c r="I138" s="66"/>
      <c r="J138" s="327"/>
      <c r="K138" s="66"/>
      <c r="L138" s="66"/>
      <c r="M138" s="66"/>
      <c r="N138" s="66"/>
      <c r="O138" s="66"/>
      <c r="P138" s="66"/>
      <c r="Q138" s="66"/>
      <c r="R138" s="66"/>
      <c r="S138" s="66"/>
      <c r="T138" s="66"/>
      <c r="U138" s="66"/>
      <c r="V138" s="66"/>
      <c r="W138" s="66"/>
      <c r="X138" s="66"/>
      <c r="Y138" s="66"/>
      <c r="Z138" s="66"/>
      <c r="AA138" s="66"/>
      <c r="AB138" s="66"/>
      <c r="AC138" s="66"/>
    </row>
    <row r="139">
      <c r="A139" s="321">
        <v>43627.0</v>
      </c>
      <c r="B139" s="66"/>
      <c r="C139" s="66"/>
      <c r="D139" s="327"/>
      <c r="E139" s="66"/>
      <c r="F139" s="66"/>
      <c r="G139" s="327"/>
      <c r="H139" s="66"/>
      <c r="I139" s="66"/>
      <c r="J139" s="327"/>
      <c r="K139" s="66"/>
      <c r="L139" s="66"/>
      <c r="M139" s="66"/>
      <c r="N139" s="66"/>
      <c r="O139" s="66"/>
      <c r="P139" s="66"/>
      <c r="Q139" s="66"/>
      <c r="R139" s="66"/>
      <c r="S139" s="66"/>
      <c r="T139" s="66"/>
      <c r="U139" s="66"/>
      <c r="V139" s="66"/>
      <c r="W139" s="66"/>
      <c r="X139" s="66"/>
      <c r="Y139" s="66"/>
      <c r="Z139" s="66"/>
      <c r="AA139" s="66"/>
      <c r="AB139" s="66"/>
      <c r="AC139" s="66"/>
    </row>
    <row r="140">
      <c r="A140" s="321">
        <v>43628.0</v>
      </c>
      <c r="B140" s="66"/>
      <c r="C140" s="66"/>
      <c r="D140" s="327"/>
      <c r="E140" s="66"/>
      <c r="F140" s="66"/>
      <c r="G140" s="327"/>
      <c r="H140" s="66"/>
      <c r="I140" s="66"/>
      <c r="J140" s="327"/>
      <c r="K140" s="66"/>
      <c r="L140" s="66"/>
      <c r="M140" s="66"/>
      <c r="N140" s="66"/>
      <c r="O140" s="66"/>
      <c r="P140" s="66"/>
      <c r="Q140" s="66"/>
      <c r="R140" s="66"/>
      <c r="S140" s="66"/>
      <c r="T140" s="66"/>
      <c r="U140" s="66"/>
      <c r="V140" s="66"/>
      <c r="W140" s="66"/>
      <c r="X140" s="66"/>
      <c r="Y140" s="66"/>
      <c r="Z140" s="66"/>
      <c r="AA140" s="66"/>
      <c r="AB140" s="66"/>
      <c r="AC140" s="66"/>
    </row>
    <row r="141">
      <c r="A141" s="321">
        <v>43629.0</v>
      </c>
      <c r="B141" s="66"/>
      <c r="C141" s="66"/>
      <c r="D141" s="327"/>
      <c r="E141" s="66"/>
      <c r="F141" s="66"/>
      <c r="G141" s="327"/>
      <c r="H141" s="66"/>
      <c r="I141" s="66"/>
      <c r="J141" s="327"/>
      <c r="K141" s="66"/>
      <c r="L141" s="66"/>
      <c r="M141" s="66"/>
      <c r="N141" s="66"/>
      <c r="O141" s="66"/>
      <c r="P141" s="66"/>
      <c r="Q141" s="66"/>
      <c r="R141" s="66"/>
      <c r="S141" s="66"/>
      <c r="T141" s="66"/>
      <c r="U141" s="66"/>
      <c r="V141" s="66"/>
      <c r="W141" s="66"/>
      <c r="X141" s="66"/>
      <c r="Y141" s="66"/>
      <c r="Z141" s="66"/>
      <c r="AA141" s="66"/>
      <c r="AB141" s="66"/>
      <c r="AC141" s="66"/>
    </row>
    <row r="142">
      <c r="A142" s="321">
        <v>43630.0</v>
      </c>
      <c r="B142" s="66"/>
      <c r="C142" s="66"/>
      <c r="D142" s="327"/>
      <c r="E142" s="66"/>
      <c r="F142" s="66"/>
      <c r="G142" s="327"/>
      <c r="H142" s="66"/>
      <c r="I142" s="66"/>
      <c r="J142" s="327"/>
      <c r="K142" s="66"/>
      <c r="L142" s="66"/>
      <c r="M142" s="66"/>
      <c r="N142" s="66"/>
      <c r="O142" s="66"/>
      <c r="P142" s="66"/>
      <c r="Q142" s="66"/>
      <c r="R142" s="66"/>
      <c r="S142" s="66"/>
      <c r="T142" s="66"/>
      <c r="U142" s="66"/>
      <c r="V142" s="66"/>
      <c r="W142" s="66"/>
      <c r="X142" s="66"/>
      <c r="Y142" s="66"/>
      <c r="Z142" s="66"/>
      <c r="AA142" s="66"/>
      <c r="AB142" s="66"/>
      <c r="AC142" s="66"/>
    </row>
    <row r="143" hidden="1">
      <c r="A143" s="321">
        <v>43631.0</v>
      </c>
      <c r="B143" s="66"/>
      <c r="C143" s="66"/>
      <c r="D143" s="327"/>
      <c r="E143" s="66"/>
      <c r="F143" s="66"/>
      <c r="G143" s="327"/>
      <c r="H143" s="66"/>
      <c r="I143" s="66"/>
      <c r="J143" s="327"/>
      <c r="K143" s="66"/>
      <c r="L143" s="66"/>
      <c r="M143" s="66"/>
      <c r="N143" s="66"/>
      <c r="O143" s="66"/>
      <c r="P143" s="66"/>
      <c r="Q143" s="66"/>
      <c r="R143" s="66"/>
      <c r="S143" s="66"/>
      <c r="T143" s="66"/>
      <c r="U143" s="66"/>
      <c r="V143" s="66"/>
      <c r="W143" s="66"/>
      <c r="X143" s="66"/>
      <c r="Y143" s="66"/>
      <c r="Z143" s="66"/>
      <c r="AA143" s="66"/>
      <c r="AB143" s="66"/>
      <c r="AC143" s="66"/>
    </row>
    <row r="144" hidden="1">
      <c r="A144" s="321">
        <v>43632.0</v>
      </c>
      <c r="B144" s="66"/>
      <c r="C144" s="66"/>
      <c r="D144" s="327"/>
      <c r="E144" s="66"/>
      <c r="F144" s="66"/>
      <c r="G144" s="327"/>
      <c r="H144" s="66"/>
      <c r="I144" s="66"/>
      <c r="J144" s="327"/>
      <c r="K144" s="66"/>
      <c r="L144" s="66"/>
      <c r="M144" s="66"/>
      <c r="N144" s="66"/>
      <c r="O144" s="66"/>
      <c r="P144" s="66"/>
      <c r="Q144" s="66"/>
      <c r="R144" s="66"/>
      <c r="S144" s="66"/>
      <c r="T144" s="66"/>
      <c r="U144" s="66"/>
      <c r="V144" s="66"/>
      <c r="W144" s="66"/>
      <c r="X144" s="66"/>
      <c r="Y144" s="66"/>
      <c r="Z144" s="66"/>
      <c r="AA144" s="66"/>
      <c r="AB144" s="66"/>
      <c r="AC144" s="66"/>
    </row>
    <row r="145">
      <c r="A145" s="321">
        <v>43633.0</v>
      </c>
      <c r="B145" s="66"/>
      <c r="C145" s="66"/>
      <c r="D145" s="327"/>
      <c r="E145" s="66"/>
      <c r="F145" s="66"/>
      <c r="G145" s="327"/>
      <c r="H145" s="66"/>
      <c r="I145" s="66"/>
      <c r="J145" s="327"/>
      <c r="K145" s="66"/>
      <c r="L145" s="66"/>
      <c r="M145" s="66"/>
      <c r="N145" s="66"/>
      <c r="O145" s="66"/>
      <c r="P145" s="66"/>
      <c r="Q145" s="66"/>
      <c r="R145" s="66"/>
      <c r="S145" s="66"/>
      <c r="T145" s="66"/>
      <c r="U145" s="66"/>
      <c r="V145" s="66"/>
      <c r="W145" s="66"/>
      <c r="X145" s="66"/>
      <c r="Y145" s="66"/>
      <c r="Z145" s="66"/>
      <c r="AA145" s="66"/>
      <c r="AB145" s="66"/>
      <c r="AC145" s="66"/>
    </row>
    <row r="146">
      <c r="A146" s="321">
        <v>43634.0</v>
      </c>
      <c r="B146" s="66"/>
      <c r="C146" s="66"/>
      <c r="D146" s="327"/>
      <c r="E146" s="66"/>
      <c r="F146" s="66"/>
      <c r="G146" s="327"/>
      <c r="H146" s="66"/>
      <c r="I146" s="66"/>
      <c r="J146" s="327"/>
      <c r="K146" s="66"/>
      <c r="L146" s="66"/>
      <c r="M146" s="66"/>
      <c r="N146" s="66"/>
      <c r="O146" s="66"/>
      <c r="P146" s="66"/>
      <c r="Q146" s="66"/>
      <c r="R146" s="66"/>
      <c r="S146" s="66"/>
      <c r="T146" s="66"/>
      <c r="U146" s="66"/>
      <c r="V146" s="66"/>
      <c r="W146" s="66"/>
      <c r="X146" s="66"/>
      <c r="Y146" s="66"/>
      <c r="Z146" s="66"/>
      <c r="AA146" s="66"/>
      <c r="AB146" s="66"/>
      <c r="AC146" s="66"/>
    </row>
    <row r="147">
      <c r="A147" s="321">
        <v>43635.0</v>
      </c>
      <c r="B147" s="66"/>
      <c r="C147" s="66"/>
      <c r="D147" s="327"/>
      <c r="E147" s="66"/>
      <c r="F147" s="66"/>
      <c r="G147" s="327"/>
      <c r="H147" s="66"/>
      <c r="I147" s="66"/>
      <c r="J147" s="327"/>
      <c r="K147" s="66"/>
      <c r="L147" s="66"/>
      <c r="M147" s="66"/>
      <c r="N147" s="66"/>
      <c r="O147" s="66"/>
      <c r="P147" s="66"/>
      <c r="Q147" s="66"/>
      <c r="R147" s="66"/>
      <c r="S147" s="66"/>
      <c r="T147" s="66"/>
      <c r="U147" s="66"/>
      <c r="V147" s="66"/>
      <c r="W147" s="66"/>
      <c r="X147" s="66"/>
      <c r="Y147" s="66"/>
      <c r="Z147" s="66"/>
      <c r="AA147" s="66"/>
      <c r="AB147" s="66"/>
      <c r="AC147" s="66"/>
    </row>
    <row r="148">
      <c r="A148" s="321">
        <v>43636.0</v>
      </c>
      <c r="B148" s="66"/>
      <c r="C148" s="66"/>
      <c r="D148" s="327"/>
      <c r="E148" s="66"/>
      <c r="F148" s="66"/>
      <c r="G148" s="327"/>
      <c r="H148" s="66"/>
      <c r="I148" s="66"/>
      <c r="J148" s="327"/>
      <c r="K148" s="66"/>
      <c r="L148" s="66"/>
      <c r="M148" s="66"/>
      <c r="N148" s="66"/>
      <c r="O148" s="66"/>
      <c r="P148" s="66"/>
      <c r="Q148" s="66"/>
      <c r="R148" s="66"/>
      <c r="S148" s="66"/>
      <c r="T148" s="66"/>
      <c r="U148" s="66"/>
      <c r="V148" s="66"/>
      <c r="W148" s="66"/>
      <c r="X148" s="66"/>
      <c r="Y148" s="66"/>
      <c r="Z148" s="66"/>
      <c r="AA148" s="66"/>
      <c r="AB148" s="66"/>
      <c r="AC148" s="66"/>
    </row>
    <row r="149" hidden="1">
      <c r="A149" s="321">
        <v>43637.0</v>
      </c>
      <c r="B149" s="66"/>
      <c r="C149" s="66"/>
      <c r="D149" s="327"/>
      <c r="E149" s="66"/>
      <c r="F149" s="66"/>
      <c r="G149" s="327"/>
      <c r="H149" s="66"/>
      <c r="I149" s="66"/>
      <c r="J149" s="327"/>
      <c r="K149" s="66"/>
      <c r="L149" s="66"/>
      <c r="M149" s="66"/>
      <c r="N149" s="66"/>
      <c r="O149" s="66"/>
      <c r="P149" s="66"/>
      <c r="Q149" s="66"/>
      <c r="R149" s="66"/>
      <c r="S149" s="66"/>
      <c r="T149" s="66"/>
      <c r="U149" s="66"/>
      <c r="V149" s="66"/>
      <c r="W149" s="66"/>
      <c r="X149" s="66"/>
      <c r="Y149" s="66"/>
      <c r="Z149" s="66"/>
      <c r="AA149" s="66"/>
      <c r="AB149" s="66"/>
      <c r="AC149" s="66"/>
    </row>
    <row r="150" hidden="1">
      <c r="A150" s="321">
        <v>43638.0</v>
      </c>
      <c r="B150" s="66"/>
      <c r="C150" s="66"/>
      <c r="D150" s="327"/>
      <c r="E150" s="66"/>
      <c r="F150" s="66"/>
      <c r="G150" s="327"/>
      <c r="H150" s="66"/>
      <c r="I150" s="66"/>
      <c r="J150" s="327"/>
      <c r="K150" s="66"/>
      <c r="L150" s="66"/>
      <c r="M150" s="66"/>
      <c r="N150" s="66"/>
      <c r="O150" s="66"/>
      <c r="P150" s="66"/>
      <c r="Q150" s="66"/>
      <c r="R150" s="66"/>
      <c r="S150" s="66"/>
      <c r="T150" s="66"/>
      <c r="U150" s="66"/>
      <c r="V150" s="66"/>
      <c r="W150" s="66"/>
      <c r="X150" s="66"/>
      <c r="Y150" s="66"/>
      <c r="Z150" s="66"/>
      <c r="AA150" s="66"/>
      <c r="AB150" s="66"/>
      <c r="AC150" s="66"/>
    </row>
    <row r="151" hidden="1">
      <c r="A151" s="321">
        <v>43639.0</v>
      </c>
      <c r="B151" s="66"/>
      <c r="C151" s="66"/>
      <c r="D151" s="327"/>
      <c r="E151" s="66"/>
      <c r="F151" s="66"/>
      <c r="G151" s="327"/>
      <c r="H151" s="66"/>
      <c r="I151" s="66"/>
      <c r="J151" s="327"/>
      <c r="K151" s="66"/>
      <c r="L151" s="66"/>
      <c r="M151" s="66"/>
      <c r="N151" s="66"/>
      <c r="O151" s="66"/>
      <c r="P151" s="66"/>
      <c r="Q151" s="66"/>
      <c r="R151" s="66"/>
      <c r="S151" s="66"/>
      <c r="T151" s="66"/>
      <c r="U151" s="66"/>
      <c r="V151" s="66"/>
      <c r="W151" s="66"/>
      <c r="X151" s="66"/>
      <c r="Y151" s="66"/>
      <c r="Z151" s="66"/>
      <c r="AA151" s="66"/>
      <c r="AB151" s="66"/>
      <c r="AC151" s="66"/>
    </row>
    <row r="152">
      <c r="A152" s="321">
        <v>43640.0</v>
      </c>
      <c r="B152" s="66"/>
      <c r="C152" s="66"/>
      <c r="D152" s="327"/>
      <c r="E152" s="66"/>
      <c r="F152" s="66"/>
      <c r="G152" s="327"/>
      <c r="H152" s="66"/>
      <c r="I152" s="66"/>
      <c r="J152" s="327"/>
      <c r="K152" s="66"/>
      <c r="L152" s="66"/>
      <c r="M152" s="66"/>
      <c r="N152" s="66"/>
      <c r="O152" s="66"/>
      <c r="P152" s="66"/>
      <c r="Q152" s="66"/>
      <c r="R152" s="66"/>
      <c r="S152" s="66"/>
      <c r="T152" s="66"/>
      <c r="U152" s="66"/>
      <c r="V152" s="66"/>
      <c r="W152" s="66"/>
      <c r="X152" s="66"/>
      <c r="Y152" s="66"/>
      <c r="Z152" s="66"/>
      <c r="AA152" s="66"/>
      <c r="AB152" s="66"/>
      <c r="AC152" s="66"/>
    </row>
    <row r="153">
      <c r="A153" s="321">
        <v>43641.0</v>
      </c>
      <c r="B153" s="66"/>
      <c r="C153" s="66"/>
      <c r="D153" s="327"/>
      <c r="E153" s="66"/>
      <c r="F153" s="66"/>
      <c r="G153" s="327"/>
      <c r="H153" s="66"/>
      <c r="I153" s="66"/>
      <c r="J153" s="327"/>
      <c r="K153" s="66"/>
      <c r="L153" s="66"/>
      <c r="M153" s="66"/>
      <c r="N153" s="66"/>
      <c r="O153" s="66"/>
      <c r="P153" s="66"/>
      <c r="Q153" s="66"/>
      <c r="R153" s="66"/>
      <c r="S153" s="66"/>
      <c r="T153" s="66"/>
      <c r="U153" s="66"/>
      <c r="V153" s="66"/>
      <c r="W153" s="66"/>
      <c r="X153" s="66"/>
      <c r="Y153" s="66"/>
      <c r="Z153" s="66"/>
      <c r="AA153" s="66"/>
      <c r="AB153" s="66"/>
      <c r="AC153" s="66"/>
    </row>
    <row r="154">
      <c r="A154" s="321">
        <v>43642.0</v>
      </c>
      <c r="B154" s="66"/>
      <c r="C154" s="66"/>
      <c r="D154" s="327"/>
      <c r="E154" s="66"/>
      <c r="F154" s="66"/>
      <c r="G154" s="327"/>
      <c r="H154" s="66"/>
      <c r="I154" s="66"/>
      <c r="J154" s="327"/>
      <c r="K154" s="66"/>
      <c r="L154" s="66"/>
      <c r="M154" s="66"/>
      <c r="N154" s="66"/>
      <c r="O154" s="66"/>
      <c r="P154" s="66"/>
      <c r="Q154" s="66"/>
      <c r="R154" s="66"/>
      <c r="S154" s="66"/>
      <c r="T154" s="66"/>
      <c r="U154" s="66"/>
      <c r="V154" s="66"/>
      <c r="W154" s="66"/>
      <c r="X154" s="66"/>
      <c r="Y154" s="66"/>
      <c r="Z154" s="66"/>
      <c r="AA154" s="66"/>
      <c r="AB154" s="66"/>
      <c r="AC154" s="66"/>
    </row>
    <row r="155">
      <c r="A155" s="321">
        <v>43643.0</v>
      </c>
      <c r="B155" s="66"/>
      <c r="C155" s="66"/>
      <c r="D155" s="327"/>
      <c r="E155" s="66"/>
      <c r="F155" s="66"/>
      <c r="G155" s="327"/>
      <c r="H155" s="66"/>
      <c r="I155" s="66"/>
      <c r="J155" s="327"/>
      <c r="K155" s="66"/>
      <c r="L155" s="66"/>
      <c r="M155" s="66"/>
      <c r="N155" s="66"/>
      <c r="O155" s="66"/>
      <c r="P155" s="66"/>
      <c r="Q155" s="66"/>
      <c r="R155" s="66"/>
      <c r="S155" s="66"/>
      <c r="T155" s="66"/>
      <c r="U155" s="66"/>
      <c r="V155" s="66"/>
      <c r="W155" s="66"/>
      <c r="X155" s="66"/>
      <c r="Y155" s="66"/>
      <c r="Z155" s="66"/>
      <c r="AA155" s="66"/>
      <c r="AB155" s="66"/>
      <c r="AC155" s="66"/>
    </row>
    <row r="156">
      <c r="A156" s="321">
        <v>43644.0</v>
      </c>
      <c r="B156" s="66"/>
      <c r="C156" s="66"/>
      <c r="D156" s="327"/>
      <c r="E156" s="66"/>
      <c r="F156" s="66"/>
      <c r="G156" s="327"/>
      <c r="H156" s="66"/>
      <c r="I156" s="66"/>
      <c r="J156" s="327"/>
      <c r="K156" s="66"/>
      <c r="L156" s="66"/>
      <c r="M156" s="66"/>
      <c r="N156" s="66"/>
      <c r="O156" s="66"/>
      <c r="P156" s="66"/>
      <c r="Q156" s="66"/>
      <c r="R156" s="66"/>
      <c r="S156" s="66"/>
      <c r="T156" s="66"/>
      <c r="U156" s="66"/>
      <c r="V156" s="66"/>
      <c r="W156" s="66"/>
      <c r="X156" s="66"/>
      <c r="Y156" s="66"/>
      <c r="Z156" s="66"/>
      <c r="AA156" s="66"/>
      <c r="AB156" s="66"/>
      <c r="AC156" s="66"/>
    </row>
    <row r="157">
      <c r="A157" s="321">
        <v>43645.0</v>
      </c>
      <c r="B157" s="66"/>
      <c r="C157" s="66"/>
      <c r="D157" s="327"/>
      <c r="E157" s="66"/>
      <c r="F157" s="66"/>
      <c r="G157" s="327"/>
      <c r="H157" s="66"/>
      <c r="I157" s="66"/>
      <c r="J157" s="327"/>
      <c r="K157" s="66"/>
      <c r="L157" s="66"/>
      <c r="M157" s="66"/>
      <c r="N157" s="66"/>
      <c r="O157" s="66"/>
      <c r="P157" s="66"/>
      <c r="Q157" s="66"/>
      <c r="R157" s="66"/>
      <c r="S157" s="66"/>
      <c r="T157" s="66"/>
      <c r="U157" s="66"/>
      <c r="V157" s="66"/>
      <c r="W157" s="66"/>
      <c r="X157" s="66"/>
      <c r="Y157" s="66"/>
      <c r="Z157" s="66"/>
      <c r="AA157" s="66"/>
      <c r="AB157" s="66"/>
      <c r="AC157" s="66"/>
    </row>
    <row r="158">
      <c r="A158" s="321">
        <v>43646.0</v>
      </c>
      <c r="B158" s="66"/>
      <c r="C158" s="66"/>
      <c r="D158" s="327"/>
      <c r="E158" s="66"/>
      <c r="F158" s="66"/>
      <c r="G158" s="327"/>
      <c r="H158" s="66"/>
      <c r="I158" s="66"/>
      <c r="J158" s="327"/>
      <c r="K158" s="66"/>
      <c r="L158" s="66"/>
      <c r="M158" s="66"/>
      <c r="N158" s="66"/>
      <c r="O158" s="66"/>
      <c r="P158" s="66"/>
      <c r="Q158" s="66"/>
      <c r="R158" s="66"/>
      <c r="S158" s="66"/>
      <c r="T158" s="66"/>
      <c r="U158" s="66"/>
      <c r="V158" s="66"/>
      <c r="W158" s="66"/>
      <c r="X158" s="66"/>
      <c r="Y158" s="66"/>
      <c r="Z158" s="66"/>
      <c r="AA158" s="66"/>
      <c r="AB158" s="66"/>
      <c r="AC158" s="66"/>
    </row>
    <row r="159">
      <c r="A159" s="321">
        <v>43647.0</v>
      </c>
      <c r="B159" s="66"/>
      <c r="C159" s="66"/>
      <c r="D159" s="327"/>
      <c r="E159" s="66"/>
      <c r="F159" s="66"/>
      <c r="G159" s="327"/>
      <c r="H159" s="66"/>
      <c r="I159" s="66"/>
      <c r="J159" s="327"/>
      <c r="K159" s="66"/>
      <c r="L159" s="66"/>
      <c r="M159" s="66"/>
      <c r="N159" s="66"/>
      <c r="O159" s="66"/>
      <c r="P159" s="66"/>
      <c r="Q159" s="66"/>
      <c r="R159" s="66"/>
      <c r="S159" s="66"/>
      <c r="T159" s="66"/>
      <c r="U159" s="66"/>
      <c r="V159" s="66"/>
      <c r="W159" s="66"/>
      <c r="X159" s="66"/>
      <c r="Y159" s="66"/>
      <c r="Z159" s="66"/>
      <c r="AA159" s="66"/>
      <c r="AB159" s="66"/>
      <c r="AC159" s="66"/>
    </row>
    <row r="160">
      <c r="A160" s="321">
        <v>43648.0</v>
      </c>
      <c r="B160" s="66"/>
      <c r="C160" s="66"/>
      <c r="D160" s="327"/>
      <c r="E160" s="66"/>
      <c r="F160" s="66"/>
      <c r="G160" s="327"/>
      <c r="H160" s="66"/>
      <c r="I160" s="66"/>
      <c r="J160" s="327"/>
      <c r="K160" s="66"/>
      <c r="L160" s="66"/>
      <c r="M160" s="66"/>
      <c r="N160" s="66"/>
      <c r="O160" s="66"/>
      <c r="P160" s="66"/>
      <c r="Q160" s="66"/>
      <c r="R160" s="66"/>
      <c r="S160" s="66"/>
      <c r="T160" s="66"/>
      <c r="U160" s="66"/>
      <c r="V160" s="66"/>
      <c r="W160" s="66"/>
      <c r="X160" s="66"/>
      <c r="Y160" s="66"/>
      <c r="Z160" s="66"/>
      <c r="AA160" s="66"/>
      <c r="AB160" s="66"/>
      <c r="AC160" s="66"/>
    </row>
    <row r="161">
      <c r="A161" s="321">
        <v>43649.0</v>
      </c>
      <c r="B161" s="66"/>
      <c r="C161" s="66"/>
      <c r="D161" s="327"/>
      <c r="E161" s="66"/>
      <c r="F161" s="66"/>
      <c r="G161" s="327"/>
      <c r="H161" s="66"/>
      <c r="I161" s="66"/>
      <c r="J161" s="327"/>
      <c r="K161" s="66"/>
      <c r="L161" s="66"/>
      <c r="M161" s="66"/>
      <c r="N161" s="66"/>
      <c r="O161" s="66"/>
      <c r="P161" s="66"/>
      <c r="Q161" s="66"/>
      <c r="R161" s="66"/>
      <c r="S161" s="66"/>
      <c r="T161" s="66"/>
      <c r="U161" s="66"/>
      <c r="V161" s="66"/>
      <c r="W161" s="66"/>
      <c r="X161" s="66"/>
      <c r="Y161" s="66"/>
      <c r="Z161" s="66"/>
      <c r="AA161" s="66"/>
      <c r="AB161" s="66"/>
      <c r="AC161" s="66"/>
    </row>
    <row r="162">
      <c r="A162" s="321">
        <v>43650.0</v>
      </c>
      <c r="B162" s="66"/>
      <c r="C162" s="66"/>
      <c r="D162" s="327"/>
      <c r="E162" s="66"/>
      <c r="F162" s="66"/>
      <c r="G162" s="327"/>
      <c r="H162" s="66"/>
      <c r="I162" s="66"/>
      <c r="J162" s="327"/>
      <c r="K162" s="66"/>
      <c r="L162" s="66"/>
      <c r="M162" s="66"/>
      <c r="N162" s="66"/>
      <c r="O162" s="66"/>
      <c r="P162" s="66"/>
      <c r="Q162" s="66"/>
      <c r="R162" s="66"/>
      <c r="S162" s="66"/>
      <c r="T162" s="66"/>
      <c r="U162" s="66"/>
      <c r="V162" s="66"/>
      <c r="W162" s="66"/>
      <c r="X162" s="66"/>
      <c r="Y162" s="66"/>
      <c r="Z162" s="66"/>
      <c r="AA162" s="66"/>
      <c r="AB162" s="66"/>
      <c r="AC162" s="66"/>
    </row>
    <row r="163">
      <c r="A163" s="321">
        <v>43651.0</v>
      </c>
      <c r="B163" s="66"/>
      <c r="C163" s="66"/>
      <c r="D163" s="327"/>
      <c r="E163" s="66"/>
      <c r="F163" s="66"/>
      <c r="G163" s="327"/>
      <c r="H163" s="66"/>
      <c r="I163" s="66"/>
      <c r="J163" s="327"/>
      <c r="K163" s="66"/>
      <c r="L163" s="66"/>
      <c r="M163" s="66"/>
      <c r="N163" s="66"/>
      <c r="O163" s="66"/>
      <c r="P163" s="66"/>
      <c r="Q163" s="66"/>
      <c r="R163" s="66"/>
      <c r="S163" s="66"/>
      <c r="T163" s="66"/>
      <c r="U163" s="66"/>
      <c r="V163" s="66"/>
      <c r="W163" s="66"/>
      <c r="X163" s="66"/>
      <c r="Y163" s="66"/>
      <c r="Z163" s="66"/>
      <c r="AA163" s="66"/>
      <c r="AB163" s="66"/>
      <c r="AC163" s="66"/>
    </row>
    <row r="164">
      <c r="A164" s="321">
        <v>43652.0</v>
      </c>
      <c r="B164" s="66"/>
      <c r="C164" s="66"/>
      <c r="D164" s="327"/>
      <c r="E164" s="66"/>
      <c r="F164" s="66"/>
      <c r="G164" s="327"/>
      <c r="H164" s="66"/>
      <c r="I164" s="66"/>
      <c r="J164" s="327"/>
      <c r="K164" s="66"/>
      <c r="L164" s="66"/>
      <c r="M164" s="66"/>
      <c r="N164" s="66"/>
      <c r="O164" s="66"/>
      <c r="P164" s="66"/>
      <c r="Q164" s="66"/>
      <c r="R164" s="66"/>
      <c r="S164" s="66"/>
      <c r="T164" s="66"/>
      <c r="U164" s="66"/>
      <c r="V164" s="66"/>
      <c r="W164" s="66"/>
      <c r="X164" s="66"/>
      <c r="Y164" s="66"/>
      <c r="Z164" s="66"/>
      <c r="AA164" s="66"/>
      <c r="AB164" s="66"/>
      <c r="AC164" s="66"/>
    </row>
    <row r="165">
      <c r="A165" s="321">
        <v>43653.0</v>
      </c>
      <c r="B165" s="66"/>
      <c r="C165" s="66"/>
      <c r="D165" s="327"/>
      <c r="E165" s="66"/>
      <c r="F165" s="66"/>
      <c r="G165" s="327"/>
      <c r="H165" s="66"/>
      <c r="I165" s="66"/>
      <c r="J165" s="327"/>
      <c r="K165" s="66"/>
      <c r="L165" s="66"/>
      <c r="M165" s="66"/>
      <c r="N165" s="66"/>
      <c r="O165" s="66"/>
      <c r="P165" s="66"/>
      <c r="Q165" s="66"/>
      <c r="R165" s="66"/>
      <c r="S165" s="66"/>
      <c r="T165" s="66"/>
      <c r="U165" s="66"/>
      <c r="V165" s="66"/>
      <c r="W165" s="66"/>
      <c r="X165" s="66"/>
      <c r="Y165" s="66"/>
      <c r="Z165" s="66"/>
      <c r="AA165" s="66"/>
      <c r="AB165" s="66"/>
      <c r="AC165" s="66"/>
    </row>
    <row r="166">
      <c r="A166" s="321">
        <v>43654.0</v>
      </c>
      <c r="B166" s="66"/>
      <c r="C166" s="66"/>
      <c r="D166" s="327"/>
      <c r="E166" s="66"/>
      <c r="F166" s="66"/>
      <c r="G166" s="327"/>
      <c r="H166" s="66"/>
      <c r="I166" s="66"/>
      <c r="J166" s="327"/>
      <c r="K166" s="66"/>
      <c r="L166" s="66"/>
      <c r="M166" s="66"/>
      <c r="N166" s="66"/>
      <c r="O166" s="66"/>
      <c r="P166" s="66"/>
      <c r="Q166" s="66"/>
      <c r="R166" s="66"/>
      <c r="S166" s="66"/>
      <c r="T166" s="66"/>
      <c r="U166" s="66"/>
      <c r="V166" s="66"/>
      <c r="W166" s="66"/>
      <c r="X166" s="66"/>
      <c r="Y166" s="66"/>
      <c r="Z166" s="66"/>
      <c r="AA166" s="66"/>
      <c r="AB166" s="66"/>
      <c r="AC166" s="66"/>
    </row>
    <row r="167">
      <c r="A167" s="321">
        <v>43655.0</v>
      </c>
      <c r="B167" s="66"/>
      <c r="C167" s="66"/>
      <c r="D167" s="327"/>
      <c r="E167" s="66"/>
      <c r="F167" s="66"/>
      <c r="G167" s="327"/>
      <c r="H167" s="66"/>
      <c r="I167" s="66"/>
      <c r="J167" s="327"/>
      <c r="K167" s="66"/>
      <c r="L167" s="66"/>
      <c r="M167" s="66"/>
      <c r="N167" s="66"/>
      <c r="O167" s="66"/>
      <c r="P167" s="66"/>
      <c r="Q167" s="66"/>
      <c r="R167" s="66"/>
      <c r="S167" s="66"/>
      <c r="T167" s="66"/>
      <c r="U167" s="66"/>
      <c r="V167" s="66"/>
      <c r="W167" s="66"/>
      <c r="X167" s="66"/>
      <c r="Y167" s="66"/>
      <c r="Z167" s="66"/>
      <c r="AA167" s="66"/>
      <c r="AB167" s="66"/>
      <c r="AC167" s="66"/>
    </row>
    <row r="168">
      <c r="A168" s="321">
        <v>43656.0</v>
      </c>
      <c r="B168" s="66"/>
      <c r="C168" s="66"/>
      <c r="D168" s="327"/>
      <c r="E168" s="66"/>
      <c r="F168" s="66"/>
      <c r="G168" s="327"/>
      <c r="H168" s="66"/>
      <c r="I168" s="66"/>
      <c r="J168" s="327"/>
      <c r="K168" s="66"/>
      <c r="L168" s="66"/>
      <c r="M168" s="66"/>
      <c r="N168" s="66"/>
      <c r="O168" s="66"/>
      <c r="P168" s="66"/>
      <c r="Q168" s="66"/>
      <c r="R168" s="66"/>
      <c r="S168" s="66"/>
      <c r="T168" s="66"/>
      <c r="U168" s="66"/>
      <c r="V168" s="66"/>
      <c r="W168" s="66"/>
      <c r="X168" s="66"/>
      <c r="Y168" s="66"/>
      <c r="Z168" s="66"/>
      <c r="AA168" s="66"/>
      <c r="AB168" s="66"/>
      <c r="AC168" s="66"/>
    </row>
    <row r="169">
      <c r="A169" s="321">
        <v>43657.0</v>
      </c>
      <c r="B169" s="66"/>
      <c r="C169" s="66"/>
      <c r="D169" s="327"/>
      <c r="E169" s="66"/>
      <c r="F169" s="66"/>
      <c r="G169" s="327"/>
      <c r="H169" s="66"/>
      <c r="I169" s="66"/>
      <c r="J169" s="327"/>
      <c r="K169" s="66"/>
      <c r="L169" s="66"/>
      <c r="M169" s="66"/>
      <c r="N169" s="66"/>
      <c r="O169" s="66"/>
      <c r="P169" s="66"/>
      <c r="Q169" s="66"/>
      <c r="R169" s="66"/>
      <c r="S169" s="66"/>
      <c r="T169" s="66"/>
      <c r="U169" s="66"/>
      <c r="V169" s="66"/>
      <c r="W169" s="66"/>
      <c r="X169" s="66"/>
      <c r="Y169" s="66"/>
      <c r="Z169" s="66"/>
      <c r="AA169" s="66"/>
      <c r="AB169" s="66"/>
      <c r="AC169" s="66"/>
    </row>
    <row r="170">
      <c r="A170" s="321">
        <v>43658.0</v>
      </c>
      <c r="B170" s="66"/>
      <c r="C170" s="66"/>
      <c r="D170" s="327"/>
      <c r="E170" s="66"/>
      <c r="F170" s="66"/>
      <c r="G170" s="327"/>
      <c r="H170" s="66"/>
      <c r="I170" s="66"/>
      <c r="J170" s="327"/>
      <c r="K170" s="66"/>
      <c r="L170" s="66"/>
      <c r="M170" s="66"/>
      <c r="N170" s="66"/>
      <c r="O170" s="66"/>
      <c r="P170" s="66"/>
      <c r="Q170" s="66"/>
      <c r="R170" s="66"/>
      <c r="S170" s="66"/>
      <c r="T170" s="66"/>
      <c r="U170" s="66"/>
      <c r="V170" s="66"/>
      <c r="W170" s="66"/>
      <c r="X170" s="66"/>
      <c r="Y170" s="66"/>
      <c r="Z170" s="66"/>
      <c r="AA170" s="66"/>
      <c r="AB170" s="66"/>
      <c r="AC170" s="66"/>
    </row>
    <row r="171">
      <c r="A171" s="321">
        <v>43659.0</v>
      </c>
      <c r="B171" s="66"/>
      <c r="C171" s="66"/>
      <c r="D171" s="327"/>
      <c r="E171" s="66"/>
      <c r="F171" s="66"/>
      <c r="G171" s="327"/>
      <c r="H171" s="66"/>
      <c r="I171" s="66"/>
      <c r="J171" s="327"/>
      <c r="K171" s="66"/>
      <c r="L171" s="66"/>
      <c r="M171" s="66"/>
      <c r="N171" s="66"/>
      <c r="O171" s="66"/>
      <c r="P171" s="66"/>
      <c r="Q171" s="66"/>
      <c r="R171" s="66"/>
      <c r="S171" s="66"/>
      <c r="T171" s="66"/>
      <c r="U171" s="66"/>
      <c r="V171" s="66"/>
      <c r="W171" s="66"/>
      <c r="X171" s="66"/>
      <c r="Y171" s="66"/>
      <c r="Z171" s="66"/>
      <c r="AA171" s="66"/>
      <c r="AB171" s="66"/>
      <c r="AC171" s="66"/>
    </row>
    <row r="172">
      <c r="A172" s="321">
        <v>43660.0</v>
      </c>
      <c r="B172" s="66"/>
      <c r="C172" s="66"/>
      <c r="D172" s="327"/>
      <c r="E172" s="66"/>
      <c r="F172" s="66"/>
      <c r="G172" s="327"/>
      <c r="H172" s="66"/>
      <c r="I172" s="66"/>
      <c r="J172" s="327"/>
      <c r="K172" s="66"/>
      <c r="L172" s="66"/>
      <c r="M172" s="66"/>
      <c r="N172" s="66"/>
      <c r="O172" s="66"/>
      <c r="P172" s="66"/>
      <c r="Q172" s="66"/>
      <c r="R172" s="66"/>
      <c r="S172" s="66"/>
      <c r="T172" s="66"/>
      <c r="U172" s="66"/>
      <c r="V172" s="66"/>
      <c r="W172" s="66"/>
      <c r="X172" s="66"/>
      <c r="Y172" s="66"/>
      <c r="Z172" s="66"/>
      <c r="AA172" s="66"/>
      <c r="AB172" s="66"/>
      <c r="AC172" s="66"/>
    </row>
    <row r="173">
      <c r="A173" s="321">
        <v>43661.0</v>
      </c>
      <c r="B173" s="66"/>
      <c r="C173" s="66"/>
      <c r="D173" s="327"/>
      <c r="E173" s="66"/>
      <c r="F173" s="66"/>
      <c r="G173" s="327"/>
      <c r="H173" s="66"/>
      <c r="I173" s="66"/>
      <c r="J173" s="327"/>
      <c r="K173" s="66"/>
      <c r="L173" s="66"/>
      <c r="M173" s="66"/>
      <c r="N173" s="66"/>
      <c r="O173" s="66"/>
      <c r="P173" s="66"/>
      <c r="Q173" s="66"/>
      <c r="R173" s="66"/>
      <c r="S173" s="66"/>
      <c r="T173" s="66"/>
      <c r="U173" s="66"/>
      <c r="V173" s="66"/>
      <c r="W173" s="66"/>
      <c r="X173" s="66"/>
      <c r="Y173" s="66"/>
      <c r="Z173" s="66"/>
      <c r="AA173" s="66"/>
      <c r="AB173" s="66"/>
      <c r="AC173" s="66"/>
    </row>
    <row r="174">
      <c r="A174" s="321">
        <v>43662.0</v>
      </c>
      <c r="B174" s="66"/>
      <c r="C174" s="66"/>
      <c r="D174" s="327"/>
      <c r="E174" s="66"/>
      <c r="F174" s="66"/>
      <c r="G174" s="327"/>
      <c r="H174" s="66"/>
      <c r="I174" s="66"/>
      <c r="J174" s="327"/>
      <c r="K174" s="66"/>
      <c r="L174" s="66"/>
      <c r="M174" s="66"/>
      <c r="N174" s="66"/>
      <c r="O174" s="66"/>
      <c r="P174" s="66"/>
      <c r="Q174" s="66"/>
      <c r="R174" s="66"/>
      <c r="S174" s="66"/>
      <c r="T174" s="66"/>
      <c r="U174" s="66"/>
      <c r="V174" s="66"/>
      <c r="W174" s="66"/>
      <c r="X174" s="66"/>
      <c r="Y174" s="66"/>
      <c r="Z174" s="66"/>
      <c r="AA174" s="66"/>
      <c r="AB174" s="66"/>
      <c r="AC174" s="66"/>
    </row>
    <row r="175">
      <c r="A175" s="321">
        <v>43663.0</v>
      </c>
      <c r="B175" s="66"/>
      <c r="C175" s="66"/>
      <c r="D175" s="327"/>
      <c r="E175" s="66"/>
      <c r="F175" s="66"/>
      <c r="G175" s="327"/>
      <c r="H175" s="66"/>
      <c r="I175" s="66"/>
      <c r="J175" s="327"/>
      <c r="K175" s="66"/>
      <c r="L175" s="66"/>
      <c r="M175" s="66"/>
      <c r="N175" s="66"/>
      <c r="O175" s="66"/>
      <c r="P175" s="66"/>
      <c r="Q175" s="66"/>
      <c r="R175" s="66"/>
      <c r="S175" s="66"/>
      <c r="T175" s="66"/>
      <c r="U175" s="66"/>
      <c r="V175" s="66"/>
      <c r="W175" s="66"/>
      <c r="X175" s="66"/>
      <c r="Y175" s="66"/>
      <c r="Z175" s="66"/>
      <c r="AA175" s="66"/>
      <c r="AB175" s="66"/>
      <c r="AC175" s="66"/>
    </row>
    <row r="176">
      <c r="A176" s="321">
        <v>43664.0</v>
      </c>
      <c r="B176" s="66"/>
      <c r="C176" s="66"/>
      <c r="D176" s="327"/>
      <c r="E176" s="66"/>
      <c r="F176" s="66"/>
      <c r="G176" s="327"/>
      <c r="H176" s="66"/>
      <c r="I176" s="66"/>
      <c r="J176" s="327"/>
      <c r="K176" s="66"/>
      <c r="L176" s="66"/>
      <c r="M176" s="66"/>
      <c r="N176" s="66"/>
      <c r="O176" s="66"/>
      <c r="P176" s="66"/>
      <c r="Q176" s="66"/>
      <c r="R176" s="66"/>
      <c r="S176" s="66"/>
      <c r="T176" s="66"/>
      <c r="U176" s="66"/>
      <c r="V176" s="66"/>
      <c r="W176" s="66"/>
      <c r="X176" s="66"/>
      <c r="Y176" s="66"/>
      <c r="Z176" s="66"/>
      <c r="AA176" s="66"/>
      <c r="AB176" s="66"/>
      <c r="AC176" s="66"/>
    </row>
    <row r="177">
      <c r="A177" s="321">
        <v>43665.0</v>
      </c>
      <c r="B177" s="66"/>
      <c r="C177" s="66"/>
      <c r="D177" s="327"/>
      <c r="E177" s="66"/>
      <c r="F177" s="66"/>
      <c r="G177" s="327"/>
      <c r="H177" s="66"/>
      <c r="I177" s="66"/>
      <c r="J177" s="327"/>
      <c r="K177" s="66"/>
      <c r="L177" s="66"/>
      <c r="M177" s="66"/>
      <c r="N177" s="66"/>
      <c r="O177" s="66"/>
      <c r="P177" s="66"/>
      <c r="Q177" s="66"/>
      <c r="R177" s="66"/>
      <c r="S177" s="66"/>
      <c r="T177" s="66"/>
      <c r="U177" s="66"/>
      <c r="V177" s="66"/>
      <c r="W177" s="66"/>
      <c r="X177" s="66"/>
      <c r="Y177" s="66"/>
      <c r="Z177" s="66"/>
      <c r="AA177" s="66"/>
      <c r="AB177" s="66"/>
      <c r="AC177" s="66"/>
    </row>
    <row r="178">
      <c r="A178" s="321">
        <v>43666.0</v>
      </c>
      <c r="B178" s="66"/>
      <c r="C178" s="66"/>
      <c r="D178" s="327"/>
      <c r="E178" s="66"/>
      <c r="F178" s="66"/>
      <c r="G178" s="327"/>
      <c r="H178" s="66"/>
      <c r="I178" s="66"/>
      <c r="J178" s="327"/>
      <c r="K178" s="66"/>
      <c r="L178" s="66"/>
      <c r="M178" s="66"/>
      <c r="N178" s="66"/>
      <c r="O178" s="66"/>
      <c r="P178" s="66"/>
      <c r="Q178" s="66"/>
      <c r="R178" s="66"/>
      <c r="S178" s="66"/>
      <c r="T178" s="66"/>
      <c r="U178" s="66"/>
      <c r="V178" s="66"/>
      <c r="W178" s="66"/>
      <c r="X178" s="66"/>
      <c r="Y178" s="66"/>
      <c r="Z178" s="66"/>
      <c r="AA178" s="66"/>
      <c r="AB178" s="66"/>
      <c r="AC178" s="66"/>
    </row>
    <row r="179">
      <c r="A179" s="321">
        <v>43667.0</v>
      </c>
      <c r="B179" s="66"/>
      <c r="C179" s="66"/>
      <c r="D179" s="327"/>
      <c r="E179" s="66"/>
      <c r="F179" s="66"/>
      <c r="G179" s="327"/>
      <c r="H179" s="66"/>
      <c r="I179" s="66"/>
      <c r="J179" s="327"/>
      <c r="K179" s="66"/>
      <c r="L179" s="66"/>
      <c r="M179" s="66"/>
      <c r="N179" s="66"/>
      <c r="O179" s="66"/>
      <c r="P179" s="66"/>
      <c r="Q179" s="66"/>
      <c r="R179" s="66"/>
      <c r="S179" s="66"/>
      <c r="T179" s="66"/>
      <c r="U179" s="66"/>
      <c r="V179" s="66"/>
      <c r="W179" s="66"/>
      <c r="X179" s="66"/>
      <c r="Y179" s="66"/>
      <c r="Z179" s="66"/>
      <c r="AA179" s="66"/>
      <c r="AB179" s="66"/>
      <c r="AC179" s="66"/>
    </row>
    <row r="180">
      <c r="A180" s="321">
        <v>43668.0</v>
      </c>
      <c r="B180" s="66"/>
      <c r="C180" s="66"/>
      <c r="D180" s="327"/>
      <c r="E180" s="66"/>
      <c r="F180" s="66"/>
      <c r="G180" s="327"/>
      <c r="H180" s="66"/>
      <c r="I180" s="66"/>
      <c r="J180" s="327"/>
      <c r="K180" s="66"/>
      <c r="L180" s="66"/>
      <c r="M180" s="66"/>
      <c r="N180" s="66"/>
      <c r="O180" s="66"/>
      <c r="P180" s="66"/>
      <c r="Q180" s="66"/>
      <c r="R180" s="66"/>
      <c r="S180" s="66"/>
      <c r="T180" s="66"/>
      <c r="U180" s="66"/>
      <c r="V180" s="66"/>
      <c r="W180" s="66"/>
      <c r="X180" s="66"/>
      <c r="Y180" s="66"/>
      <c r="Z180" s="66"/>
      <c r="AA180" s="66"/>
      <c r="AB180" s="66"/>
      <c r="AC180" s="66"/>
    </row>
    <row r="181">
      <c r="A181" s="321">
        <v>43669.0</v>
      </c>
      <c r="B181" s="66"/>
      <c r="C181" s="66"/>
      <c r="D181" s="327"/>
      <c r="E181" s="66"/>
      <c r="F181" s="66"/>
      <c r="G181" s="327"/>
      <c r="H181" s="66"/>
      <c r="I181" s="66"/>
      <c r="J181" s="327"/>
      <c r="K181" s="66"/>
      <c r="L181" s="66"/>
      <c r="M181" s="66"/>
      <c r="N181" s="66"/>
      <c r="O181" s="66"/>
      <c r="P181" s="66"/>
      <c r="Q181" s="66"/>
      <c r="R181" s="66"/>
      <c r="S181" s="66"/>
      <c r="T181" s="66"/>
      <c r="U181" s="66"/>
      <c r="V181" s="66"/>
      <c r="W181" s="66"/>
      <c r="X181" s="66"/>
      <c r="Y181" s="66"/>
      <c r="Z181" s="66"/>
      <c r="AA181" s="66"/>
      <c r="AB181" s="66"/>
      <c r="AC181" s="66"/>
    </row>
    <row r="182">
      <c r="A182" s="321">
        <v>43670.0</v>
      </c>
      <c r="B182" s="66"/>
      <c r="C182" s="66"/>
      <c r="D182" s="327"/>
      <c r="E182" s="66"/>
      <c r="F182" s="66"/>
      <c r="G182" s="327"/>
      <c r="H182" s="66"/>
      <c r="I182" s="66"/>
      <c r="J182" s="327"/>
      <c r="K182" s="66"/>
      <c r="L182" s="66"/>
      <c r="M182" s="66"/>
      <c r="N182" s="66"/>
      <c r="O182" s="66"/>
      <c r="P182" s="66"/>
      <c r="Q182" s="66"/>
      <c r="R182" s="66"/>
      <c r="S182" s="66"/>
      <c r="T182" s="66"/>
      <c r="U182" s="66"/>
      <c r="V182" s="66"/>
      <c r="W182" s="66"/>
      <c r="X182" s="66"/>
      <c r="Y182" s="66"/>
      <c r="Z182" s="66"/>
      <c r="AA182" s="66"/>
      <c r="AB182" s="66"/>
      <c r="AC182" s="66"/>
    </row>
    <row r="183">
      <c r="A183" s="321">
        <v>43671.0</v>
      </c>
      <c r="B183" s="66"/>
      <c r="C183" s="66"/>
      <c r="D183" s="327"/>
      <c r="E183" s="66"/>
      <c r="F183" s="66"/>
      <c r="G183" s="327"/>
      <c r="H183" s="66"/>
      <c r="I183" s="66"/>
      <c r="J183" s="327"/>
      <c r="K183" s="66"/>
      <c r="L183" s="66"/>
      <c r="M183" s="66"/>
      <c r="N183" s="66"/>
      <c r="O183" s="66"/>
      <c r="P183" s="66"/>
      <c r="Q183" s="66"/>
      <c r="R183" s="66"/>
      <c r="S183" s="66"/>
      <c r="T183" s="66"/>
      <c r="U183" s="66"/>
      <c r="V183" s="66"/>
      <c r="W183" s="66"/>
      <c r="X183" s="66"/>
      <c r="Y183" s="66"/>
      <c r="Z183" s="66"/>
      <c r="AA183" s="66"/>
      <c r="AB183" s="66"/>
      <c r="AC183" s="66"/>
    </row>
    <row r="184">
      <c r="A184" s="321">
        <v>43672.0</v>
      </c>
      <c r="B184" s="66"/>
      <c r="C184" s="66"/>
      <c r="D184" s="327"/>
      <c r="E184" s="66"/>
      <c r="F184" s="66"/>
      <c r="G184" s="327"/>
      <c r="H184" s="66"/>
      <c r="I184" s="66"/>
      <c r="J184" s="327"/>
      <c r="K184" s="66"/>
      <c r="L184" s="66"/>
      <c r="M184" s="66"/>
      <c r="N184" s="66"/>
      <c r="O184" s="66"/>
      <c r="P184" s="66"/>
      <c r="Q184" s="66"/>
      <c r="R184" s="66"/>
      <c r="S184" s="66"/>
      <c r="T184" s="66"/>
      <c r="U184" s="66"/>
      <c r="V184" s="66"/>
      <c r="W184" s="66"/>
      <c r="X184" s="66"/>
      <c r="Y184" s="66"/>
      <c r="Z184" s="66"/>
      <c r="AA184" s="66"/>
      <c r="AB184" s="66"/>
      <c r="AC184" s="66"/>
    </row>
    <row r="185">
      <c r="A185" s="321">
        <v>43673.0</v>
      </c>
      <c r="B185" s="66"/>
      <c r="C185" s="66"/>
      <c r="D185" s="327"/>
      <c r="E185" s="66"/>
      <c r="F185" s="66"/>
      <c r="G185" s="327"/>
      <c r="H185" s="66"/>
      <c r="I185" s="66"/>
      <c r="J185" s="327"/>
      <c r="K185" s="66"/>
      <c r="L185" s="66"/>
      <c r="M185" s="66"/>
      <c r="N185" s="66"/>
      <c r="O185" s="66"/>
      <c r="P185" s="66"/>
      <c r="Q185" s="66"/>
      <c r="R185" s="66"/>
      <c r="S185" s="66"/>
      <c r="T185" s="66"/>
      <c r="U185" s="66"/>
      <c r="V185" s="66"/>
      <c r="W185" s="66"/>
      <c r="X185" s="66"/>
      <c r="Y185" s="66"/>
      <c r="Z185" s="66"/>
      <c r="AA185" s="66"/>
      <c r="AB185" s="66"/>
      <c r="AC185" s="66"/>
    </row>
    <row r="186">
      <c r="A186" s="321">
        <v>43674.0</v>
      </c>
      <c r="B186" s="66"/>
      <c r="C186" s="66"/>
      <c r="D186" s="327"/>
      <c r="E186" s="66"/>
      <c r="F186" s="66"/>
      <c r="G186" s="327"/>
      <c r="H186" s="66"/>
      <c r="I186" s="66"/>
      <c r="J186" s="327"/>
      <c r="K186" s="66"/>
      <c r="L186" s="66"/>
      <c r="M186" s="66"/>
      <c r="N186" s="66"/>
      <c r="O186" s="66"/>
      <c r="P186" s="66"/>
      <c r="Q186" s="66"/>
      <c r="R186" s="66"/>
      <c r="S186" s="66"/>
      <c r="T186" s="66"/>
      <c r="U186" s="66"/>
      <c r="V186" s="66"/>
      <c r="W186" s="66"/>
      <c r="X186" s="66"/>
      <c r="Y186" s="66"/>
      <c r="Z186" s="66"/>
      <c r="AA186" s="66"/>
      <c r="AB186" s="66"/>
      <c r="AC186" s="66"/>
    </row>
    <row r="187">
      <c r="A187" s="321">
        <v>43675.0</v>
      </c>
      <c r="B187" s="66"/>
      <c r="C187" s="66"/>
      <c r="D187" s="327"/>
      <c r="E187" s="66"/>
      <c r="F187" s="66"/>
      <c r="G187" s="327"/>
      <c r="H187" s="66"/>
      <c r="I187" s="66"/>
      <c r="J187" s="327"/>
      <c r="K187" s="66"/>
      <c r="L187" s="66"/>
      <c r="M187" s="66"/>
      <c r="N187" s="66"/>
      <c r="O187" s="66"/>
      <c r="P187" s="66"/>
      <c r="Q187" s="66"/>
      <c r="R187" s="66"/>
      <c r="S187" s="66"/>
      <c r="T187" s="66"/>
      <c r="U187" s="66"/>
      <c r="V187" s="66"/>
      <c r="W187" s="66"/>
      <c r="X187" s="66"/>
      <c r="Y187" s="66"/>
      <c r="Z187" s="66"/>
      <c r="AA187" s="66"/>
      <c r="AB187" s="66"/>
      <c r="AC187" s="66"/>
    </row>
    <row r="188">
      <c r="A188" s="321">
        <v>43676.0</v>
      </c>
      <c r="B188" s="66"/>
      <c r="C188" s="66"/>
      <c r="D188" s="327"/>
      <c r="E188" s="66"/>
      <c r="F188" s="66"/>
      <c r="G188" s="327"/>
      <c r="H188" s="66"/>
      <c r="I188" s="66"/>
      <c r="J188" s="327"/>
      <c r="K188" s="66"/>
      <c r="L188" s="66"/>
      <c r="M188" s="66"/>
      <c r="N188" s="66"/>
      <c r="O188" s="66"/>
      <c r="P188" s="66"/>
      <c r="Q188" s="66"/>
      <c r="R188" s="66"/>
      <c r="S188" s="66"/>
      <c r="T188" s="66"/>
      <c r="U188" s="66"/>
      <c r="V188" s="66"/>
      <c r="W188" s="66"/>
      <c r="X188" s="66"/>
      <c r="Y188" s="66"/>
      <c r="Z188" s="66"/>
      <c r="AA188" s="66"/>
      <c r="AB188" s="66"/>
      <c r="AC188" s="66"/>
    </row>
    <row r="189">
      <c r="A189" s="321">
        <v>43677.0</v>
      </c>
      <c r="B189" s="66"/>
      <c r="C189" s="66"/>
      <c r="D189" s="327"/>
      <c r="E189" s="66"/>
      <c r="F189" s="66"/>
      <c r="G189" s="327"/>
      <c r="H189" s="66"/>
      <c r="I189" s="66"/>
      <c r="J189" s="327"/>
      <c r="K189" s="66"/>
      <c r="L189" s="66"/>
      <c r="M189" s="66"/>
      <c r="N189" s="66"/>
      <c r="O189" s="66"/>
      <c r="P189" s="66"/>
      <c r="Q189" s="66"/>
      <c r="R189" s="66"/>
      <c r="S189" s="66"/>
      <c r="T189" s="66"/>
      <c r="U189" s="66"/>
      <c r="V189" s="66"/>
      <c r="W189" s="66"/>
      <c r="X189" s="66"/>
      <c r="Y189" s="66"/>
      <c r="Z189" s="66"/>
      <c r="AA189" s="66"/>
      <c r="AB189" s="66"/>
      <c r="AC189" s="66"/>
    </row>
    <row r="190">
      <c r="A190" s="321">
        <v>43678.0</v>
      </c>
      <c r="B190" s="66"/>
      <c r="C190" s="66"/>
      <c r="D190" s="327"/>
      <c r="E190" s="66"/>
      <c r="F190" s="66"/>
      <c r="G190" s="327"/>
      <c r="H190" s="66"/>
      <c r="I190" s="66"/>
      <c r="J190" s="327"/>
      <c r="K190" s="66"/>
      <c r="L190" s="66"/>
      <c r="M190" s="66"/>
      <c r="N190" s="66"/>
      <c r="O190" s="66"/>
      <c r="P190" s="66"/>
      <c r="Q190" s="66"/>
      <c r="R190" s="66"/>
      <c r="S190" s="66"/>
      <c r="T190" s="66"/>
      <c r="U190" s="66"/>
      <c r="V190" s="66"/>
      <c r="W190" s="66"/>
      <c r="X190" s="66"/>
      <c r="Y190" s="66"/>
      <c r="Z190" s="66"/>
      <c r="AA190" s="66"/>
      <c r="AB190" s="66"/>
      <c r="AC190" s="66"/>
    </row>
    <row r="191">
      <c r="A191" s="321">
        <v>43679.0</v>
      </c>
      <c r="B191" s="66"/>
      <c r="C191" s="66"/>
      <c r="D191" s="327"/>
      <c r="E191" s="66"/>
      <c r="F191" s="66"/>
      <c r="G191" s="327"/>
      <c r="H191" s="66"/>
      <c r="I191" s="66"/>
      <c r="J191" s="327"/>
      <c r="K191" s="66"/>
      <c r="L191" s="66"/>
      <c r="M191" s="66"/>
      <c r="N191" s="66"/>
      <c r="O191" s="66"/>
      <c r="P191" s="66"/>
      <c r="Q191" s="66"/>
      <c r="R191" s="66"/>
      <c r="S191" s="66"/>
      <c r="T191" s="66"/>
      <c r="U191" s="66"/>
      <c r="V191" s="66"/>
      <c r="W191" s="66"/>
      <c r="X191" s="66"/>
      <c r="Y191" s="66"/>
      <c r="Z191" s="66"/>
      <c r="AA191" s="66"/>
      <c r="AB191" s="66"/>
      <c r="AC191" s="66"/>
    </row>
    <row r="192">
      <c r="A192" s="321">
        <v>43680.0</v>
      </c>
      <c r="B192" s="66"/>
      <c r="C192" s="66"/>
      <c r="D192" s="327"/>
      <c r="E192" s="66"/>
      <c r="F192" s="66"/>
      <c r="G192" s="327"/>
      <c r="H192" s="66"/>
      <c r="I192" s="66"/>
      <c r="J192" s="327"/>
      <c r="K192" s="66"/>
      <c r="L192" s="66"/>
      <c r="M192" s="66"/>
      <c r="N192" s="66"/>
      <c r="O192" s="66"/>
      <c r="P192" s="66"/>
      <c r="Q192" s="66"/>
      <c r="R192" s="66"/>
      <c r="S192" s="66"/>
      <c r="T192" s="66"/>
      <c r="U192" s="66"/>
      <c r="V192" s="66"/>
      <c r="W192" s="66"/>
      <c r="X192" s="66"/>
      <c r="Y192" s="66"/>
      <c r="Z192" s="66"/>
      <c r="AA192" s="66"/>
      <c r="AB192" s="66"/>
      <c r="AC192" s="66"/>
    </row>
    <row r="193">
      <c r="A193" s="321">
        <v>43681.0</v>
      </c>
      <c r="B193" s="66"/>
      <c r="C193" s="66"/>
      <c r="D193" s="327"/>
      <c r="E193" s="66"/>
      <c r="F193" s="66"/>
      <c r="G193" s="327"/>
      <c r="H193" s="66"/>
      <c r="I193" s="66"/>
      <c r="J193" s="327"/>
      <c r="K193" s="66"/>
      <c r="L193" s="66"/>
      <c r="M193" s="66"/>
      <c r="N193" s="66"/>
      <c r="O193" s="66"/>
      <c r="P193" s="66"/>
      <c r="Q193" s="66"/>
      <c r="R193" s="66"/>
      <c r="S193" s="66"/>
      <c r="T193" s="66"/>
      <c r="U193" s="66"/>
      <c r="V193" s="66"/>
      <c r="W193" s="66"/>
      <c r="X193" s="66"/>
      <c r="Y193" s="66"/>
      <c r="Z193" s="66"/>
      <c r="AA193" s="66"/>
      <c r="AB193" s="66"/>
      <c r="AC193" s="66"/>
    </row>
    <row r="194">
      <c r="A194" s="321">
        <v>43682.0</v>
      </c>
      <c r="B194" s="66"/>
      <c r="C194" s="66"/>
      <c r="D194" s="327"/>
      <c r="E194" s="66"/>
      <c r="F194" s="66"/>
      <c r="G194" s="327"/>
      <c r="H194" s="66"/>
      <c r="I194" s="66"/>
      <c r="J194" s="327"/>
      <c r="K194" s="66"/>
      <c r="L194" s="66"/>
      <c r="M194" s="66"/>
      <c r="N194" s="66"/>
      <c r="O194" s="66"/>
      <c r="P194" s="66"/>
      <c r="Q194" s="66"/>
      <c r="R194" s="66"/>
      <c r="S194" s="66"/>
      <c r="T194" s="66"/>
      <c r="U194" s="66"/>
      <c r="V194" s="66"/>
      <c r="W194" s="66"/>
      <c r="X194" s="66"/>
      <c r="Y194" s="66"/>
      <c r="Z194" s="66"/>
      <c r="AA194" s="66"/>
      <c r="AB194" s="66"/>
      <c r="AC194" s="66"/>
    </row>
    <row r="195">
      <c r="A195" s="321">
        <v>43683.0</v>
      </c>
      <c r="B195" s="66"/>
      <c r="C195" s="66"/>
      <c r="D195" s="327"/>
      <c r="E195" s="66"/>
      <c r="F195" s="66"/>
      <c r="G195" s="327"/>
      <c r="H195" s="66"/>
      <c r="I195" s="66"/>
      <c r="J195" s="327"/>
      <c r="K195" s="66"/>
      <c r="L195" s="66"/>
      <c r="M195" s="66"/>
      <c r="N195" s="66"/>
      <c r="O195" s="66"/>
      <c r="P195" s="66"/>
      <c r="Q195" s="66"/>
      <c r="R195" s="66"/>
      <c r="S195" s="66"/>
      <c r="T195" s="66"/>
      <c r="U195" s="66"/>
      <c r="V195" s="66"/>
      <c r="W195" s="66"/>
      <c r="X195" s="66"/>
      <c r="Y195" s="66"/>
      <c r="Z195" s="66"/>
      <c r="AA195" s="66"/>
      <c r="AB195" s="66"/>
      <c r="AC195" s="66"/>
    </row>
    <row r="196">
      <c r="A196" s="321">
        <v>43684.0</v>
      </c>
      <c r="B196" s="66"/>
      <c r="C196" s="66"/>
      <c r="D196" s="327"/>
      <c r="E196" s="66"/>
      <c r="F196" s="66"/>
      <c r="G196" s="327"/>
      <c r="H196" s="66"/>
      <c r="I196" s="66"/>
      <c r="J196" s="327"/>
      <c r="K196" s="66"/>
      <c r="L196" s="66"/>
      <c r="M196" s="66"/>
      <c r="N196" s="66"/>
      <c r="O196" s="66"/>
      <c r="P196" s="66"/>
      <c r="Q196" s="66"/>
      <c r="R196" s="66"/>
      <c r="S196" s="66"/>
      <c r="T196" s="66"/>
      <c r="U196" s="66"/>
      <c r="V196" s="66"/>
      <c r="W196" s="66"/>
      <c r="X196" s="66"/>
      <c r="Y196" s="66"/>
      <c r="Z196" s="66"/>
      <c r="AA196" s="66"/>
      <c r="AB196" s="66"/>
      <c r="AC196" s="66"/>
    </row>
    <row r="197">
      <c r="A197" s="321">
        <v>43685.0</v>
      </c>
      <c r="B197" s="66"/>
      <c r="C197" s="66"/>
      <c r="D197" s="327"/>
      <c r="E197" s="66"/>
      <c r="F197" s="66"/>
      <c r="G197" s="327"/>
      <c r="H197" s="66"/>
      <c r="I197" s="66"/>
      <c r="J197" s="327"/>
      <c r="K197" s="66"/>
      <c r="L197" s="66"/>
      <c r="M197" s="66"/>
      <c r="N197" s="66"/>
      <c r="O197" s="66"/>
      <c r="P197" s="66"/>
      <c r="Q197" s="66"/>
      <c r="R197" s="66"/>
      <c r="S197" s="66"/>
      <c r="T197" s="66"/>
      <c r="U197" s="66"/>
      <c r="V197" s="66"/>
      <c r="W197" s="66"/>
      <c r="X197" s="66"/>
      <c r="Y197" s="66"/>
      <c r="Z197" s="66"/>
      <c r="AA197" s="66"/>
      <c r="AB197" s="66"/>
      <c r="AC197" s="66"/>
    </row>
    <row r="198">
      <c r="A198" s="321">
        <v>43686.0</v>
      </c>
      <c r="B198" s="66"/>
      <c r="C198" s="66"/>
      <c r="D198" s="327"/>
      <c r="E198" s="66"/>
      <c r="F198" s="66"/>
      <c r="G198" s="327"/>
      <c r="H198" s="66"/>
      <c r="I198" s="66"/>
      <c r="J198" s="327"/>
      <c r="K198" s="66"/>
      <c r="L198" s="66"/>
      <c r="M198" s="66"/>
      <c r="N198" s="66"/>
      <c r="O198" s="66"/>
      <c r="P198" s="66"/>
      <c r="Q198" s="66"/>
      <c r="R198" s="66"/>
      <c r="S198" s="66"/>
      <c r="T198" s="66"/>
      <c r="U198" s="66"/>
      <c r="V198" s="66"/>
      <c r="W198" s="66"/>
      <c r="X198" s="66"/>
      <c r="Y198" s="66"/>
      <c r="Z198" s="66"/>
      <c r="AA198" s="66"/>
      <c r="AB198" s="66"/>
      <c r="AC198" s="66"/>
    </row>
    <row r="199">
      <c r="A199" s="321">
        <v>43687.0</v>
      </c>
      <c r="B199" s="66"/>
      <c r="C199" s="66"/>
      <c r="D199" s="327"/>
      <c r="E199" s="66"/>
      <c r="F199" s="66"/>
      <c r="G199" s="327"/>
      <c r="H199" s="66"/>
      <c r="I199" s="66"/>
      <c r="J199" s="327"/>
      <c r="K199" s="66"/>
      <c r="L199" s="66"/>
      <c r="M199" s="66"/>
      <c r="N199" s="66"/>
      <c r="O199" s="66"/>
      <c r="P199" s="66"/>
      <c r="Q199" s="66"/>
      <c r="R199" s="66"/>
      <c r="S199" s="66"/>
      <c r="T199" s="66"/>
      <c r="U199" s="66"/>
      <c r="V199" s="66"/>
      <c r="W199" s="66"/>
      <c r="X199" s="66"/>
      <c r="Y199" s="66"/>
      <c r="Z199" s="66"/>
      <c r="AA199" s="66"/>
      <c r="AB199" s="66"/>
      <c r="AC199" s="66"/>
    </row>
    <row r="200">
      <c r="A200" s="321">
        <v>43688.0</v>
      </c>
      <c r="B200" s="66"/>
      <c r="C200" s="66"/>
      <c r="D200" s="327"/>
      <c r="E200" s="66"/>
      <c r="F200" s="66"/>
      <c r="G200" s="327"/>
      <c r="H200" s="66"/>
      <c r="I200" s="66"/>
      <c r="J200" s="327"/>
      <c r="K200" s="66"/>
      <c r="L200" s="66"/>
      <c r="M200" s="66"/>
      <c r="N200" s="66"/>
      <c r="O200" s="66"/>
      <c r="P200" s="66"/>
      <c r="Q200" s="66"/>
      <c r="R200" s="66"/>
      <c r="S200" s="66"/>
      <c r="T200" s="66"/>
      <c r="U200" s="66"/>
      <c r="V200" s="66"/>
      <c r="W200" s="66"/>
      <c r="X200" s="66"/>
      <c r="Y200" s="66"/>
      <c r="Z200" s="66"/>
      <c r="AA200" s="66"/>
      <c r="AB200" s="66"/>
      <c r="AC200" s="66"/>
    </row>
    <row r="201">
      <c r="A201" s="321">
        <v>43689.0</v>
      </c>
      <c r="B201" s="66"/>
      <c r="C201" s="66"/>
      <c r="D201" s="327"/>
      <c r="E201" s="66"/>
      <c r="F201" s="66"/>
      <c r="G201" s="327"/>
      <c r="H201" s="66"/>
      <c r="I201" s="66"/>
      <c r="J201" s="327"/>
      <c r="K201" s="66"/>
      <c r="L201" s="66"/>
      <c r="M201" s="66"/>
      <c r="N201" s="66"/>
      <c r="O201" s="66"/>
      <c r="P201" s="66"/>
      <c r="Q201" s="66"/>
      <c r="R201" s="66"/>
      <c r="S201" s="66"/>
      <c r="T201" s="66"/>
      <c r="U201" s="66"/>
      <c r="V201" s="66"/>
      <c r="W201" s="66"/>
      <c r="X201" s="66"/>
      <c r="Y201" s="66"/>
      <c r="Z201" s="66"/>
      <c r="AA201" s="66"/>
      <c r="AB201" s="66"/>
      <c r="AC201" s="66"/>
    </row>
    <row r="202">
      <c r="A202" s="321">
        <v>43690.0</v>
      </c>
      <c r="B202" s="66"/>
      <c r="C202" s="66"/>
      <c r="D202" s="327"/>
      <c r="E202" s="66"/>
      <c r="F202" s="66"/>
      <c r="G202" s="327"/>
      <c r="H202" s="66"/>
      <c r="I202" s="66"/>
      <c r="J202" s="327"/>
      <c r="K202" s="66"/>
      <c r="L202" s="66"/>
      <c r="M202" s="66"/>
      <c r="N202" s="66"/>
      <c r="O202" s="66"/>
      <c r="P202" s="66"/>
      <c r="Q202" s="66"/>
      <c r="R202" s="66"/>
      <c r="S202" s="66"/>
      <c r="T202" s="66"/>
      <c r="U202" s="66"/>
      <c r="V202" s="66"/>
      <c r="W202" s="66"/>
      <c r="X202" s="66"/>
      <c r="Y202" s="66"/>
      <c r="Z202" s="66"/>
      <c r="AA202" s="66"/>
      <c r="AB202" s="66"/>
      <c r="AC202" s="66"/>
    </row>
    <row r="203">
      <c r="A203" s="321">
        <v>43691.0</v>
      </c>
      <c r="B203" s="66"/>
      <c r="C203" s="66"/>
      <c r="D203" s="327"/>
      <c r="E203" s="66"/>
      <c r="F203" s="66"/>
      <c r="G203" s="327"/>
      <c r="H203" s="66"/>
      <c r="I203" s="66"/>
      <c r="J203" s="327"/>
      <c r="K203" s="66"/>
      <c r="L203" s="66"/>
      <c r="M203" s="66"/>
      <c r="N203" s="66"/>
      <c r="O203" s="66"/>
      <c r="P203" s="66"/>
      <c r="Q203" s="66"/>
      <c r="R203" s="66"/>
      <c r="S203" s="66"/>
      <c r="T203" s="66"/>
      <c r="U203" s="66"/>
      <c r="V203" s="66"/>
      <c r="W203" s="66"/>
      <c r="X203" s="66"/>
      <c r="Y203" s="66"/>
      <c r="Z203" s="66"/>
      <c r="AA203" s="66"/>
      <c r="AB203" s="66"/>
      <c r="AC203" s="66"/>
    </row>
    <row r="204">
      <c r="A204" s="321">
        <v>43692.0</v>
      </c>
      <c r="B204" s="66"/>
      <c r="C204" s="66"/>
      <c r="D204" s="327"/>
      <c r="E204" s="66"/>
      <c r="F204" s="66"/>
      <c r="G204" s="327"/>
      <c r="H204" s="66"/>
      <c r="I204" s="66"/>
      <c r="J204" s="327"/>
      <c r="K204" s="66"/>
      <c r="L204" s="66"/>
      <c r="M204" s="66"/>
      <c r="N204" s="66"/>
      <c r="O204" s="66"/>
      <c r="P204" s="66"/>
      <c r="Q204" s="66"/>
      <c r="R204" s="66"/>
      <c r="S204" s="66"/>
      <c r="T204" s="66"/>
      <c r="U204" s="66"/>
      <c r="V204" s="66"/>
      <c r="W204" s="66"/>
      <c r="X204" s="66"/>
      <c r="Y204" s="66"/>
      <c r="Z204" s="66"/>
      <c r="AA204" s="66"/>
      <c r="AB204" s="66"/>
      <c r="AC204" s="66"/>
    </row>
    <row r="205">
      <c r="A205" s="321">
        <v>43693.0</v>
      </c>
      <c r="B205" s="66"/>
      <c r="C205" s="66"/>
      <c r="D205" s="327"/>
      <c r="E205" s="66"/>
      <c r="F205" s="66"/>
      <c r="G205" s="327"/>
      <c r="H205" s="66"/>
      <c r="I205" s="66"/>
      <c r="J205" s="327"/>
      <c r="K205" s="66"/>
      <c r="L205" s="66"/>
      <c r="M205" s="66"/>
      <c r="N205" s="66"/>
      <c r="O205" s="66"/>
      <c r="P205" s="66"/>
      <c r="Q205" s="66"/>
      <c r="R205" s="66"/>
      <c r="S205" s="66"/>
      <c r="T205" s="66"/>
      <c r="U205" s="66"/>
      <c r="V205" s="66"/>
      <c r="W205" s="66"/>
      <c r="X205" s="66"/>
      <c r="Y205" s="66"/>
      <c r="Z205" s="66"/>
      <c r="AA205" s="66"/>
      <c r="AB205" s="66"/>
      <c r="AC205" s="66"/>
    </row>
    <row r="206">
      <c r="A206" s="321">
        <v>43694.0</v>
      </c>
      <c r="B206" s="66"/>
      <c r="C206" s="66"/>
      <c r="D206" s="327"/>
      <c r="E206" s="66"/>
      <c r="F206" s="66"/>
      <c r="G206" s="327"/>
      <c r="H206" s="66"/>
      <c r="I206" s="66"/>
      <c r="J206" s="327"/>
      <c r="K206" s="66"/>
      <c r="L206" s="66"/>
      <c r="M206" s="66"/>
      <c r="N206" s="66"/>
      <c r="O206" s="66"/>
      <c r="P206" s="66"/>
      <c r="Q206" s="66"/>
      <c r="R206" s="66"/>
      <c r="S206" s="66"/>
      <c r="T206" s="66"/>
      <c r="U206" s="66"/>
      <c r="V206" s="66"/>
      <c r="W206" s="66"/>
      <c r="X206" s="66"/>
      <c r="Y206" s="66"/>
      <c r="Z206" s="66"/>
      <c r="AA206" s="66"/>
      <c r="AB206" s="66"/>
      <c r="AC206" s="66"/>
    </row>
    <row r="207">
      <c r="A207" s="321">
        <v>43695.0</v>
      </c>
      <c r="B207" s="66"/>
      <c r="C207" s="66"/>
      <c r="D207" s="327"/>
      <c r="E207" s="66"/>
      <c r="F207" s="66"/>
      <c r="G207" s="327"/>
      <c r="H207" s="66"/>
      <c r="I207" s="66"/>
      <c r="J207" s="327"/>
      <c r="K207" s="66"/>
      <c r="L207" s="66"/>
      <c r="M207" s="66"/>
      <c r="N207" s="66"/>
      <c r="O207" s="66"/>
      <c r="P207" s="66"/>
      <c r="Q207" s="66"/>
      <c r="R207" s="66"/>
      <c r="S207" s="66"/>
      <c r="T207" s="66"/>
      <c r="U207" s="66"/>
      <c r="V207" s="66"/>
      <c r="W207" s="66"/>
      <c r="X207" s="66"/>
      <c r="Y207" s="66"/>
      <c r="Z207" s="66"/>
      <c r="AA207" s="66"/>
      <c r="AB207" s="66"/>
      <c r="AC207" s="66"/>
    </row>
    <row r="208">
      <c r="A208" s="321">
        <v>43696.0</v>
      </c>
      <c r="B208" s="66"/>
      <c r="C208" s="66"/>
      <c r="D208" s="327"/>
      <c r="E208" s="66"/>
      <c r="F208" s="66"/>
      <c r="G208" s="327"/>
      <c r="H208" s="66"/>
      <c r="I208" s="66"/>
      <c r="J208" s="327"/>
      <c r="K208" s="66"/>
      <c r="L208" s="66"/>
      <c r="M208" s="66"/>
      <c r="N208" s="66"/>
      <c r="O208" s="66"/>
      <c r="P208" s="66"/>
      <c r="Q208" s="66"/>
      <c r="R208" s="66"/>
      <c r="S208" s="66"/>
      <c r="T208" s="66"/>
      <c r="U208" s="66"/>
      <c r="V208" s="66"/>
      <c r="W208" s="66"/>
      <c r="X208" s="66"/>
      <c r="Y208" s="66"/>
      <c r="Z208" s="66"/>
      <c r="AA208" s="66"/>
      <c r="AB208" s="66"/>
      <c r="AC208" s="66"/>
    </row>
    <row r="209">
      <c r="A209" s="321">
        <v>43697.0</v>
      </c>
      <c r="B209" s="66"/>
      <c r="C209" s="66"/>
      <c r="D209" s="327"/>
      <c r="E209" s="66"/>
      <c r="F209" s="66"/>
      <c r="G209" s="327"/>
      <c r="H209" s="66"/>
      <c r="I209" s="66"/>
      <c r="J209" s="327"/>
      <c r="K209" s="66"/>
      <c r="L209" s="66"/>
      <c r="M209" s="66"/>
      <c r="N209" s="66"/>
      <c r="O209" s="66"/>
      <c r="P209" s="66"/>
      <c r="Q209" s="66"/>
      <c r="R209" s="66"/>
      <c r="S209" s="66"/>
      <c r="T209" s="66"/>
      <c r="U209" s="66"/>
      <c r="V209" s="66"/>
      <c r="W209" s="66"/>
      <c r="X209" s="66"/>
      <c r="Y209" s="66"/>
      <c r="Z209" s="66"/>
      <c r="AA209" s="66"/>
      <c r="AB209" s="66"/>
      <c r="AC209" s="66"/>
    </row>
    <row r="210">
      <c r="A210" s="321">
        <v>43698.0</v>
      </c>
      <c r="B210" s="66"/>
      <c r="C210" s="66"/>
      <c r="D210" s="327"/>
      <c r="E210" s="66"/>
      <c r="F210" s="66"/>
      <c r="G210" s="327"/>
      <c r="H210" s="66"/>
      <c r="I210" s="66"/>
      <c r="J210" s="327"/>
      <c r="K210" s="66"/>
      <c r="L210" s="66"/>
      <c r="M210" s="66"/>
      <c r="N210" s="66"/>
      <c r="O210" s="66"/>
      <c r="P210" s="66"/>
      <c r="Q210" s="66"/>
      <c r="R210" s="66"/>
      <c r="S210" s="66"/>
      <c r="T210" s="66"/>
      <c r="U210" s="66"/>
      <c r="V210" s="66"/>
      <c r="W210" s="66"/>
      <c r="X210" s="66"/>
      <c r="Y210" s="66"/>
      <c r="Z210" s="66"/>
      <c r="AA210" s="66"/>
      <c r="AB210" s="66"/>
      <c r="AC210" s="66"/>
    </row>
    <row r="211">
      <c r="A211" s="321">
        <v>43699.0</v>
      </c>
      <c r="B211" s="66"/>
      <c r="C211" s="66"/>
      <c r="D211" s="327"/>
      <c r="E211" s="66"/>
      <c r="F211" s="66"/>
      <c r="G211" s="327"/>
      <c r="H211" s="66"/>
      <c r="I211" s="66"/>
      <c r="J211" s="327"/>
      <c r="K211" s="66"/>
      <c r="L211" s="66"/>
      <c r="M211" s="66"/>
      <c r="N211" s="66"/>
      <c r="O211" s="66"/>
      <c r="P211" s="66"/>
      <c r="Q211" s="66"/>
      <c r="R211" s="66"/>
      <c r="S211" s="66"/>
      <c r="T211" s="66"/>
      <c r="U211" s="66"/>
      <c r="V211" s="66"/>
      <c r="W211" s="66"/>
      <c r="X211" s="66"/>
      <c r="Y211" s="66"/>
      <c r="Z211" s="66"/>
      <c r="AA211" s="66"/>
      <c r="AB211" s="66"/>
      <c r="AC211" s="66"/>
    </row>
    <row r="212">
      <c r="A212" s="321">
        <v>43700.0</v>
      </c>
      <c r="B212" s="66"/>
      <c r="C212" s="66"/>
      <c r="D212" s="327"/>
      <c r="E212" s="66"/>
      <c r="F212" s="66"/>
      <c r="G212" s="327"/>
      <c r="H212" s="66"/>
      <c r="I212" s="66"/>
      <c r="J212" s="327"/>
      <c r="K212" s="66"/>
      <c r="L212" s="66"/>
      <c r="M212" s="66"/>
      <c r="N212" s="66"/>
      <c r="O212" s="66"/>
      <c r="P212" s="66"/>
      <c r="Q212" s="66"/>
      <c r="R212" s="66"/>
      <c r="S212" s="66"/>
      <c r="T212" s="66"/>
      <c r="U212" s="66"/>
      <c r="V212" s="66"/>
      <c r="W212" s="66"/>
      <c r="X212" s="66"/>
      <c r="Y212" s="66"/>
      <c r="Z212" s="66"/>
      <c r="AA212" s="66"/>
      <c r="AB212" s="66"/>
      <c r="AC212" s="66"/>
    </row>
    <row r="213">
      <c r="A213" s="321">
        <v>43701.0</v>
      </c>
      <c r="B213" s="66"/>
      <c r="C213" s="66"/>
      <c r="D213" s="327"/>
      <c r="E213" s="66"/>
      <c r="F213" s="66"/>
      <c r="G213" s="327"/>
      <c r="H213" s="66"/>
      <c r="I213" s="66"/>
      <c r="J213" s="327"/>
      <c r="K213" s="66"/>
      <c r="L213" s="66"/>
      <c r="M213" s="66"/>
      <c r="N213" s="66"/>
      <c r="O213" s="66"/>
      <c r="P213" s="66"/>
      <c r="Q213" s="66"/>
      <c r="R213" s="66"/>
      <c r="S213" s="66"/>
      <c r="T213" s="66"/>
      <c r="U213" s="66"/>
      <c r="V213" s="66"/>
      <c r="W213" s="66"/>
      <c r="X213" s="66"/>
      <c r="Y213" s="66"/>
      <c r="Z213" s="66"/>
      <c r="AA213" s="66"/>
      <c r="AB213" s="66"/>
      <c r="AC213" s="66"/>
    </row>
    <row r="214">
      <c r="A214" s="321">
        <v>43702.0</v>
      </c>
      <c r="B214" s="66"/>
      <c r="C214" s="66"/>
      <c r="D214" s="327"/>
      <c r="E214" s="66"/>
      <c r="F214" s="66"/>
      <c r="G214" s="327"/>
      <c r="H214" s="66"/>
      <c r="I214" s="66"/>
      <c r="J214" s="327"/>
      <c r="K214" s="66"/>
      <c r="L214" s="66"/>
      <c r="M214" s="66"/>
      <c r="N214" s="66"/>
      <c r="O214" s="66"/>
      <c r="P214" s="66"/>
      <c r="Q214" s="66"/>
      <c r="R214" s="66"/>
      <c r="S214" s="66"/>
      <c r="T214" s="66"/>
      <c r="U214" s="66"/>
      <c r="V214" s="66"/>
      <c r="W214" s="66"/>
      <c r="X214" s="66"/>
      <c r="Y214" s="66"/>
      <c r="Z214" s="66"/>
      <c r="AA214" s="66"/>
      <c r="AB214" s="66"/>
      <c r="AC214" s="66"/>
    </row>
    <row r="215">
      <c r="A215" s="321">
        <v>43703.0</v>
      </c>
      <c r="B215" s="66"/>
      <c r="C215" s="66"/>
      <c r="D215" s="327"/>
      <c r="E215" s="66"/>
      <c r="F215" s="66"/>
      <c r="G215" s="327"/>
      <c r="H215" s="66"/>
      <c r="I215" s="66"/>
      <c r="J215" s="327"/>
      <c r="K215" s="66"/>
      <c r="L215" s="66"/>
      <c r="M215" s="66"/>
      <c r="N215" s="66"/>
      <c r="O215" s="66"/>
      <c r="P215" s="66"/>
      <c r="Q215" s="66"/>
      <c r="R215" s="66"/>
      <c r="S215" s="66"/>
      <c r="T215" s="66"/>
      <c r="U215" s="66"/>
      <c r="V215" s="66"/>
      <c r="W215" s="66"/>
      <c r="X215" s="66"/>
      <c r="Y215" s="66"/>
      <c r="Z215" s="66"/>
      <c r="AA215" s="66"/>
      <c r="AB215" s="66"/>
      <c r="AC215" s="66"/>
    </row>
    <row r="216">
      <c r="A216" s="321">
        <v>43704.0</v>
      </c>
      <c r="B216" s="66"/>
      <c r="C216" s="66"/>
      <c r="D216" s="327"/>
      <c r="E216" s="66"/>
      <c r="F216" s="66"/>
      <c r="G216" s="327"/>
      <c r="H216" s="66"/>
      <c r="I216" s="66"/>
      <c r="J216" s="327"/>
      <c r="K216" s="66"/>
      <c r="L216" s="66"/>
      <c r="M216" s="66"/>
      <c r="N216" s="66"/>
      <c r="O216" s="66"/>
      <c r="P216" s="66"/>
      <c r="Q216" s="66"/>
      <c r="R216" s="66"/>
      <c r="S216" s="66"/>
      <c r="T216" s="66"/>
      <c r="U216" s="66"/>
      <c r="V216" s="66"/>
      <c r="W216" s="66"/>
      <c r="X216" s="66"/>
      <c r="Y216" s="66"/>
      <c r="Z216" s="66"/>
      <c r="AA216" s="66"/>
      <c r="AB216" s="66"/>
      <c r="AC216" s="66"/>
    </row>
    <row r="217">
      <c r="A217" s="321">
        <v>43705.0</v>
      </c>
      <c r="B217" s="66"/>
      <c r="C217" s="66"/>
      <c r="D217" s="327"/>
      <c r="E217" s="66"/>
      <c r="F217" s="66"/>
      <c r="G217" s="327"/>
      <c r="H217" s="66"/>
      <c r="I217" s="66"/>
      <c r="J217" s="327"/>
      <c r="K217" s="66"/>
      <c r="L217" s="66"/>
      <c r="M217" s="66"/>
      <c r="N217" s="66"/>
      <c r="O217" s="66"/>
      <c r="P217" s="66"/>
      <c r="Q217" s="66"/>
      <c r="R217" s="66"/>
      <c r="S217" s="66"/>
      <c r="T217" s="66"/>
      <c r="U217" s="66"/>
      <c r="V217" s="66"/>
      <c r="W217" s="66"/>
      <c r="X217" s="66"/>
      <c r="Y217" s="66"/>
      <c r="Z217" s="66"/>
      <c r="AA217" s="66"/>
      <c r="AB217" s="66"/>
      <c r="AC217" s="66"/>
    </row>
    <row r="218">
      <c r="A218" s="321">
        <v>43706.0</v>
      </c>
      <c r="B218" s="66"/>
      <c r="C218" s="66"/>
      <c r="D218" s="327"/>
      <c r="E218" s="66"/>
      <c r="F218" s="66"/>
      <c r="G218" s="327"/>
      <c r="H218" s="66"/>
      <c r="I218" s="66"/>
      <c r="J218" s="327"/>
      <c r="K218" s="66"/>
      <c r="L218" s="66"/>
      <c r="M218" s="66"/>
      <c r="N218" s="66"/>
      <c r="O218" s="66"/>
      <c r="P218" s="66"/>
      <c r="Q218" s="66"/>
      <c r="R218" s="66"/>
      <c r="S218" s="66"/>
      <c r="T218" s="66"/>
      <c r="U218" s="66"/>
      <c r="V218" s="66"/>
      <c r="W218" s="66"/>
      <c r="X218" s="66"/>
      <c r="Y218" s="66"/>
      <c r="Z218" s="66"/>
      <c r="AA218" s="66"/>
      <c r="AB218" s="66"/>
      <c r="AC218" s="66"/>
    </row>
    <row r="219">
      <c r="A219" s="321">
        <v>43707.0</v>
      </c>
      <c r="B219" s="66"/>
      <c r="C219" s="66"/>
      <c r="D219" s="327"/>
      <c r="E219" s="66"/>
      <c r="F219" s="66"/>
      <c r="G219" s="327"/>
      <c r="H219" s="66"/>
      <c r="I219" s="66"/>
      <c r="J219" s="327"/>
      <c r="K219" s="66"/>
      <c r="L219" s="66"/>
      <c r="M219" s="66"/>
      <c r="N219" s="66"/>
      <c r="O219" s="66"/>
      <c r="P219" s="66"/>
      <c r="Q219" s="66"/>
      <c r="R219" s="66"/>
      <c r="S219" s="66"/>
      <c r="T219" s="66"/>
      <c r="U219" s="66"/>
      <c r="V219" s="66"/>
      <c r="W219" s="66"/>
      <c r="X219" s="66"/>
      <c r="Y219" s="66"/>
      <c r="Z219" s="66"/>
      <c r="AA219" s="66"/>
      <c r="AB219" s="66"/>
      <c r="AC219" s="66"/>
    </row>
    <row r="220">
      <c r="A220" s="321">
        <v>43708.0</v>
      </c>
      <c r="B220" s="66"/>
      <c r="C220" s="66"/>
      <c r="D220" s="327"/>
      <c r="E220" s="66"/>
      <c r="F220" s="66"/>
      <c r="G220" s="327"/>
      <c r="H220" s="66"/>
      <c r="I220" s="66"/>
      <c r="J220" s="327"/>
      <c r="K220" s="66"/>
      <c r="L220" s="66"/>
      <c r="M220" s="66"/>
      <c r="N220" s="66"/>
      <c r="O220" s="66"/>
      <c r="P220" s="66"/>
      <c r="Q220" s="66"/>
      <c r="R220" s="66"/>
      <c r="S220" s="66"/>
      <c r="T220" s="66"/>
      <c r="U220" s="66"/>
      <c r="V220" s="66"/>
      <c r="W220" s="66"/>
      <c r="X220" s="66"/>
      <c r="Y220" s="66"/>
      <c r="Z220" s="66"/>
      <c r="AA220" s="66"/>
      <c r="AB220" s="66"/>
      <c r="AC220" s="66"/>
    </row>
    <row r="221">
      <c r="A221" s="321">
        <v>43709.0</v>
      </c>
      <c r="B221" s="66"/>
      <c r="C221" s="66"/>
      <c r="D221" s="327"/>
      <c r="E221" s="66"/>
      <c r="F221" s="66"/>
      <c r="G221" s="327"/>
      <c r="H221" s="66"/>
      <c r="I221" s="66"/>
      <c r="J221" s="327"/>
      <c r="K221" s="66"/>
      <c r="L221" s="66"/>
      <c r="M221" s="66"/>
      <c r="N221" s="66"/>
      <c r="O221" s="66"/>
      <c r="P221" s="66"/>
      <c r="Q221" s="66"/>
      <c r="R221" s="66"/>
      <c r="S221" s="66"/>
      <c r="T221" s="66"/>
      <c r="U221" s="66"/>
      <c r="V221" s="66"/>
      <c r="W221" s="66"/>
      <c r="X221" s="66"/>
      <c r="Y221" s="66"/>
      <c r="Z221" s="66"/>
      <c r="AA221" s="66"/>
      <c r="AB221" s="66"/>
      <c r="AC221" s="66"/>
    </row>
    <row r="222">
      <c r="A222" s="321">
        <v>43710.0</v>
      </c>
      <c r="B222" s="66"/>
      <c r="C222" s="66"/>
      <c r="D222" s="327"/>
      <c r="E222" s="66"/>
      <c r="F222" s="66"/>
      <c r="G222" s="327"/>
      <c r="H222" s="66"/>
      <c r="I222" s="66"/>
      <c r="J222" s="327"/>
      <c r="K222" s="66"/>
      <c r="L222" s="66"/>
      <c r="M222" s="66"/>
      <c r="N222" s="66"/>
      <c r="O222" s="66"/>
      <c r="P222" s="66"/>
      <c r="Q222" s="66"/>
      <c r="R222" s="66"/>
      <c r="S222" s="66"/>
      <c r="T222" s="66"/>
      <c r="U222" s="66"/>
      <c r="V222" s="66"/>
      <c r="W222" s="66"/>
      <c r="X222" s="66"/>
      <c r="Y222" s="66"/>
      <c r="Z222" s="66"/>
      <c r="AA222" s="66"/>
      <c r="AB222" s="66"/>
      <c r="AC222" s="66"/>
    </row>
    <row r="223">
      <c r="A223" s="321">
        <v>43711.0</v>
      </c>
      <c r="B223" s="66"/>
      <c r="C223" s="66"/>
      <c r="D223" s="327"/>
      <c r="E223" s="66"/>
      <c r="F223" s="66"/>
      <c r="G223" s="327"/>
      <c r="H223" s="66"/>
      <c r="I223" s="66"/>
      <c r="J223" s="327"/>
      <c r="K223" s="66"/>
      <c r="L223" s="66"/>
      <c r="M223" s="66"/>
      <c r="N223" s="66"/>
      <c r="O223" s="66"/>
      <c r="P223" s="66"/>
      <c r="Q223" s="66"/>
      <c r="R223" s="66"/>
      <c r="S223" s="66"/>
      <c r="T223" s="66"/>
      <c r="U223" s="66"/>
      <c r="V223" s="66"/>
      <c r="W223" s="66"/>
      <c r="X223" s="66"/>
      <c r="Y223" s="66"/>
      <c r="Z223" s="66"/>
      <c r="AA223" s="66"/>
      <c r="AB223" s="66"/>
      <c r="AC223" s="66"/>
    </row>
    <row r="224">
      <c r="A224" s="321">
        <v>43712.0</v>
      </c>
      <c r="B224" s="66"/>
      <c r="C224" s="66"/>
      <c r="D224" s="327"/>
      <c r="E224" s="66"/>
      <c r="F224" s="66"/>
      <c r="G224" s="327"/>
      <c r="H224" s="66"/>
      <c r="I224" s="66"/>
      <c r="J224" s="327"/>
      <c r="K224" s="66"/>
      <c r="L224" s="66"/>
      <c r="M224" s="66"/>
      <c r="N224" s="66"/>
      <c r="O224" s="66"/>
      <c r="P224" s="66"/>
      <c r="Q224" s="66"/>
      <c r="R224" s="66"/>
      <c r="S224" s="66"/>
      <c r="T224" s="66"/>
      <c r="U224" s="66"/>
      <c r="V224" s="66"/>
      <c r="W224" s="66"/>
      <c r="X224" s="66"/>
      <c r="Y224" s="66"/>
      <c r="Z224" s="66"/>
      <c r="AA224" s="66"/>
      <c r="AB224" s="66"/>
      <c r="AC224" s="66"/>
    </row>
    <row r="225">
      <c r="A225" s="321">
        <v>43713.0</v>
      </c>
      <c r="B225" s="66"/>
      <c r="C225" s="66"/>
      <c r="D225" s="327"/>
      <c r="E225" s="66"/>
      <c r="F225" s="66"/>
      <c r="G225" s="327"/>
      <c r="H225" s="66"/>
      <c r="I225" s="66"/>
      <c r="J225" s="327"/>
      <c r="K225" s="66"/>
      <c r="L225" s="66"/>
      <c r="M225" s="66"/>
      <c r="N225" s="66"/>
      <c r="O225" s="66"/>
      <c r="P225" s="66"/>
      <c r="Q225" s="66"/>
      <c r="R225" s="66"/>
      <c r="S225" s="66"/>
      <c r="T225" s="66"/>
      <c r="U225" s="66"/>
      <c r="V225" s="66"/>
      <c r="W225" s="66"/>
      <c r="X225" s="66"/>
      <c r="Y225" s="66"/>
      <c r="Z225" s="66"/>
      <c r="AA225" s="66"/>
      <c r="AB225" s="66"/>
      <c r="AC225" s="66"/>
    </row>
    <row r="226">
      <c r="A226" s="321">
        <v>43714.0</v>
      </c>
      <c r="B226" s="66"/>
      <c r="C226" s="66"/>
      <c r="D226" s="327"/>
      <c r="E226" s="66"/>
      <c r="F226" s="66"/>
      <c r="G226" s="327"/>
      <c r="H226" s="66"/>
      <c r="I226" s="66"/>
      <c r="J226" s="327"/>
      <c r="K226" s="66"/>
      <c r="L226" s="66"/>
      <c r="M226" s="66"/>
      <c r="N226" s="66"/>
      <c r="O226" s="66"/>
      <c r="P226" s="66"/>
      <c r="Q226" s="66"/>
      <c r="R226" s="66"/>
      <c r="S226" s="66"/>
      <c r="T226" s="66"/>
      <c r="U226" s="66"/>
      <c r="V226" s="66"/>
      <c r="W226" s="66"/>
      <c r="X226" s="66"/>
      <c r="Y226" s="66"/>
      <c r="Z226" s="66"/>
      <c r="AA226" s="66"/>
      <c r="AB226" s="66"/>
      <c r="AC226" s="66"/>
    </row>
    <row r="227">
      <c r="A227" s="321">
        <v>43715.0</v>
      </c>
      <c r="B227" s="66"/>
      <c r="C227" s="66"/>
      <c r="D227" s="327"/>
      <c r="E227" s="66"/>
      <c r="F227" s="66"/>
      <c r="G227" s="327"/>
      <c r="H227" s="66"/>
      <c r="I227" s="66"/>
      <c r="J227" s="327"/>
      <c r="K227" s="66"/>
      <c r="L227" s="66"/>
      <c r="M227" s="66"/>
      <c r="N227" s="66"/>
      <c r="O227" s="66"/>
      <c r="P227" s="66"/>
      <c r="Q227" s="66"/>
      <c r="R227" s="66"/>
      <c r="S227" s="66"/>
      <c r="T227" s="66"/>
      <c r="U227" s="66"/>
      <c r="V227" s="66"/>
      <c r="W227" s="66"/>
      <c r="X227" s="66"/>
      <c r="Y227" s="66"/>
      <c r="Z227" s="66"/>
      <c r="AA227" s="66"/>
      <c r="AB227" s="66"/>
      <c r="AC227" s="66"/>
    </row>
    <row r="228">
      <c r="A228" s="321">
        <v>43716.0</v>
      </c>
      <c r="B228" s="66"/>
      <c r="C228" s="66"/>
      <c r="D228" s="327"/>
      <c r="E228" s="66"/>
      <c r="F228" s="66"/>
      <c r="G228" s="327"/>
      <c r="H228" s="66"/>
      <c r="I228" s="66"/>
      <c r="J228" s="327"/>
      <c r="K228" s="66"/>
      <c r="L228" s="66"/>
      <c r="M228" s="66"/>
      <c r="N228" s="66"/>
      <c r="O228" s="66"/>
      <c r="P228" s="66"/>
      <c r="Q228" s="66"/>
      <c r="R228" s="66"/>
      <c r="S228" s="66"/>
      <c r="T228" s="66"/>
      <c r="U228" s="66"/>
      <c r="V228" s="66"/>
      <c r="W228" s="66"/>
      <c r="X228" s="66"/>
      <c r="Y228" s="66"/>
      <c r="Z228" s="66"/>
      <c r="AA228" s="66"/>
      <c r="AB228" s="66"/>
      <c r="AC228" s="66"/>
    </row>
    <row r="229">
      <c r="A229" s="321">
        <v>43717.0</v>
      </c>
      <c r="B229" s="66"/>
      <c r="C229" s="66"/>
      <c r="D229" s="327"/>
      <c r="E229" s="66"/>
      <c r="F229" s="66"/>
      <c r="G229" s="327"/>
      <c r="H229" s="66"/>
      <c r="I229" s="66"/>
      <c r="J229" s="327"/>
      <c r="K229" s="66"/>
      <c r="L229" s="66"/>
      <c r="M229" s="66"/>
      <c r="N229" s="66"/>
      <c r="O229" s="66"/>
      <c r="P229" s="66"/>
      <c r="Q229" s="66"/>
      <c r="R229" s="66"/>
      <c r="S229" s="66"/>
      <c r="T229" s="66"/>
      <c r="U229" s="66"/>
      <c r="V229" s="66"/>
      <c r="W229" s="66"/>
      <c r="X229" s="66"/>
      <c r="Y229" s="66"/>
      <c r="Z229" s="66"/>
      <c r="AA229" s="66"/>
      <c r="AB229" s="66"/>
      <c r="AC229" s="66"/>
    </row>
    <row r="230">
      <c r="A230" s="321">
        <v>43718.0</v>
      </c>
      <c r="B230" s="66"/>
      <c r="C230" s="66"/>
      <c r="D230" s="327"/>
      <c r="E230" s="66"/>
      <c r="F230" s="66"/>
      <c r="G230" s="327"/>
      <c r="H230" s="66"/>
      <c r="I230" s="66"/>
      <c r="J230" s="327"/>
      <c r="K230" s="66"/>
      <c r="L230" s="66"/>
      <c r="M230" s="66"/>
      <c r="N230" s="66"/>
      <c r="O230" s="66"/>
      <c r="P230" s="66"/>
      <c r="Q230" s="66"/>
      <c r="R230" s="66"/>
      <c r="S230" s="66"/>
      <c r="T230" s="66"/>
      <c r="U230" s="66"/>
      <c r="V230" s="66"/>
      <c r="W230" s="66"/>
      <c r="X230" s="66"/>
      <c r="Y230" s="66"/>
      <c r="Z230" s="66"/>
      <c r="AA230" s="66"/>
      <c r="AB230" s="66"/>
      <c r="AC230" s="66"/>
    </row>
    <row r="231">
      <c r="A231" s="321">
        <v>43719.0</v>
      </c>
      <c r="B231" s="66"/>
      <c r="C231" s="66"/>
      <c r="D231" s="327"/>
      <c r="E231" s="66"/>
      <c r="F231" s="66"/>
      <c r="G231" s="327"/>
      <c r="H231" s="66"/>
      <c r="I231" s="66"/>
      <c r="J231" s="327"/>
      <c r="K231" s="66"/>
      <c r="L231" s="66"/>
      <c r="M231" s="66"/>
      <c r="N231" s="66"/>
      <c r="O231" s="66"/>
      <c r="P231" s="66"/>
      <c r="Q231" s="66"/>
      <c r="R231" s="66"/>
      <c r="S231" s="66"/>
      <c r="T231" s="66"/>
      <c r="U231" s="66"/>
      <c r="V231" s="66"/>
      <c r="W231" s="66"/>
      <c r="X231" s="66"/>
      <c r="Y231" s="66"/>
      <c r="Z231" s="66"/>
      <c r="AA231" s="66"/>
      <c r="AB231" s="66"/>
      <c r="AC231" s="66"/>
    </row>
    <row r="232">
      <c r="A232" s="321">
        <v>43720.0</v>
      </c>
      <c r="B232" s="66"/>
      <c r="C232" s="66"/>
      <c r="D232" s="327"/>
      <c r="E232" s="66"/>
      <c r="F232" s="66"/>
      <c r="G232" s="327"/>
      <c r="H232" s="66"/>
      <c r="I232" s="66"/>
      <c r="J232" s="327"/>
      <c r="K232" s="66"/>
      <c r="L232" s="66"/>
      <c r="M232" s="66"/>
      <c r="N232" s="66"/>
      <c r="O232" s="66"/>
      <c r="P232" s="66"/>
      <c r="Q232" s="66"/>
      <c r="R232" s="66"/>
      <c r="S232" s="66"/>
      <c r="T232" s="66"/>
      <c r="U232" s="66"/>
      <c r="V232" s="66"/>
      <c r="W232" s="66"/>
      <c r="X232" s="66"/>
      <c r="Y232" s="66"/>
      <c r="Z232" s="66"/>
      <c r="AA232" s="66"/>
      <c r="AB232" s="66"/>
      <c r="AC232" s="66"/>
    </row>
    <row r="233">
      <c r="A233" s="321">
        <v>43721.0</v>
      </c>
      <c r="B233" s="66"/>
      <c r="C233" s="66"/>
      <c r="D233" s="327"/>
      <c r="E233" s="66"/>
      <c r="F233" s="66"/>
      <c r="G233" s="327"/>
      <c r="H233" s="66"/>
      <c r="I233" s="66"/>
      <c r="J233" s="327"/>
      <c r="K233" s="66"/>
      <c r="L233" s="66"/>
      <c r="M233" s="66"/>
      <c r="N233" s="66"/>
      <c r="O233" s="66"/>
      <c r="P233" s="66"/>
      <c r="Q233" s="66"/>
      <c r="R233" s="66"/>
      <c r="S233" s="66"/>
      <c r="T233" s="66"/>
      <c r="U233" s="66"/>
      <c r="V233" s="66"/>
      <c r="W233" s="66"/>
      <c r="X233" s="66"/>
      <c r="Y233" s="66"/>
      <c r="Z233" s="66"/>
      <c r="AA233" s="66"/>
      <c r="AB233" s="66"/>
      <c r="AC233" s="66"/>
    </row>
    <row r="234">
      <c r="A234" s="321">
        <v>43722.0</v>
      </c>
      <c r="B234" s="66"/>
      <c r="C234" s="66"/>
      <c r="D234" s="327"/>
      <c r="E234" s="66"/>
      <c r="F234" s="66"/>
      <c r="G234" s="327"/>
      <c r="H234" s="66"/>
      <c r="I234" s="66"/>
      <c r="J234" s="327"/>
      <c r="K234" s="66"/>
      <c r="L234" s="66"/>
      <c r="M234" s="66"/>
      <c r="N234" s="66"/>
      <c r="O234" s="66"/>
      <c r="P234" s="66"/>
      <c r="Q234" s="66"/>
      <c r="R234" s="66"/>
      <c r="S234" s="66"/>
      <c r="T234" s="66"/>
      <c r="U234" s="66"/>
      <c r="V234" s="66"/>
      <c r="W234" s="66"/>
      <c r="X234" s="66"/>
      <c r="Y234" s="66"/>
      <c r="Z234" s="66"/>
      <c r="AA234" s="66"/>
      <c r="AB234" s="66"/>
      <c r="AC234" s="66"/>
    </row>
    <row r="235">
      <c r="A235" s="321">
        <v>43723.0</v>
      </c>
      <c r="B235" s="66"/>
      <c r="C235" s="66"/>
      <c r="D235" s="327"/>
      <c r="E235" s="66"/>
      <c r="F235" s="66"/>
      <c r="G235" s="327"/>
      <c r="H235" s="66"/>
      <c r="I235" s="66"/>
      <c r="J235" s="327"/>
      <c r="K235" s="66"/>
      <c r="L235" s="66"/>
      <c r="M235" s="66"/>
      <c r="N235" s="66"/>
      <c r="O235" s="66"/>
      <c r="P235" s="66"/>
      <c r="Q235" s="66"/>
      <c r="R235" s="66"/>
      <c r="S235" s="66"/>
      <c r="T235" s="66"/>
      <c r="U235" s="66"/>
      <c r="V235" s="66"/>
      <c r="W235" s="66"/>
      <c r="X235" s="66"/>
      <c r="Y235" s="66"/>
      <c r="Z235" s="66"/>
      <c r="AA235" s="66"/>
      <c r="AB235" s="66"/>
      <c r="AC235" s="66"/>
    </row>
    <row r="236">
      <c r="A236" s="321">
        <v>43724.0</v>
      </c>
      <c r="B236" s="66"/>
      <c r="C236" s="66"/>
      <c r="D236" s="327"/>
      <c r="E236" s="66"/>
      <c r="F236" s="66"/>
      <c r="G236" s="327"/>
      <c r="H236" s="66"/>
      <c r="I236" s="66"/>
      <c r="J236" s="327"/>
      <c r="K236" s="66"/>
      <c r="L236" s="66"/>
      <c r="M236" s="66"/>
      <c r="N236" s="66"/>
      <c r="O236" s="66"/>
      <c r="P236" s="66"/>
      <c r="Q236" s="66"/>
      <c r="R236" s="66"/>
      <c r="S236" s="66"/>
      <c r="T236" s="66"/>
      <c r="U236" s="66"/>
      <c r="V236" s="66"/>
      <c r="W236" s="66"/>
      <c r="X236" s="66"/>
      <c r="Y236" s="66"/>
      <c r="Z236" s="66"/>
      <c r="AA236" s="66"/>
      <c r="AB236" s="66"/>
      <c r="AC236" s="66"/>
    </row>
    <row r="237">
      <c r="A237" s="321">
        <v>43725.0</v>
      </c>
      <c r="B237" s="66"/>
      <c r="C237" s="66"/>
      <c r="D237" s="327"/>
      <c r="E237" s="66"/>
      <c r="F237" s="66"/>
      <c r="G237" s="327"/>
      <c r="H237" s="66"/>
      <c r="I237" s="66"/>
      <c r="J237" s="327"/>
      <c r="K237" s="66"/>
      <c r="L237" s="66"/>
      <c r="M237" s="66"/>
      <c r="N237" s="66"/>
      <c r="O237" s="66"/>
      <c r="P237" s="66"/>
      <c r="Q237" s="66"/>
      <c r="R237" s="66"/>
      <c r="S237" s="66"/>
      <c r="T237" s="66"/>
      <c r="U237" s="66"/>
      <c r="V237" s="66"/>
      <c r="W237" s="66"/>
      <c r="X237" s="66"/>
      <c r="Y237" s="66"/>
      <c r="Z237" s="66"/>
      <c r="AA237" s="66"/>
      <c r="AB237" s="66"/>
      <c r="AC237" s="66"/>
    </row>
    <row r="238">
      <c r="A238" s="321">
        <v>43726.0</v>
      </c>
      <c r="B238" s="66"/>
      <c r="C238" s="66"/>
      <c r="D238" s="327"/>
      <c r="E238" s="66"/>
      <c r="F238" s="66"/>
      <c r="G238" s="327"/>
      <c r="H238" s="66"/>
      <c r="I238" s="66"/>
      <c r="J238" s="327"/>
      <c r="K238" s="66"/>
      <c r="L238" s="66"/>
      <c r="M238" s="66"/>
      <c r="N238" s="66"/>
      <c r="O238" s="66"/>
      <c r="P238" s="66"/>
      <c r="Q238" s="66"/>
      <c r="R238" s="66"/>
      <c r="S238" s="66"/>
      <c r="T238" s="66"/>
      <c r="U238" s="66"/>
      <c r="V238" s="66"/>
      <c r="W238" s="66"/>
      <c r="X238" s="66"/>
      <c r="Y238" s="66"/>
      <c r="Z238" s="66"/>
      <c r="AA238" s="66"/>
      <c r="AB238" s="66"/>
      <c r="AC238" s="66"/>
    </row>
    <row r="239">
      <c r="A239" s="321">
        <v>43727.0</v>
      </c>
      <c r="B239" s="66"/>
      <c r="C239" s="66"/>
      <c r="D239" s="327"/>
      <c r="E239" s="66"/>
      <c r="F239" s="66"/>
      <c r="G239" s="327"/>
      <c r="H239" s="66"/>
      <c r="I239" s="66"/>
      <c r="J239" s="327"/>
      <c r="K239" s="66"/>
      <c r="L239" s="66"/>
      <c r="M239" s="66"/>
      <c r="N239" s="66"/>
      <c r="O239" s="66"/>
      <c r="P239" s="66"/>
      <c r="Q239" s="66"/>
      <c r="R239" s="66"/>
      <c r="S239" s="66"/>
      <c r="T239" s="66"/>
      <c r="U239" s="66"/>
      <c r="V239" s="66"/>
      <c r="W239" s="66"/>
      <c r="X239" s="66"/>
      <c r="Y239" s="66"/>
      <c r="Z239" s="66"/>
      <c r="AA239" s="66"/>
      <c r="AB239" s="66"/>
      <c r="AC239" s="66"/>
    </row>
    <row r="240">
      <c r="A240" s="321">
        <v>43728.0</v>
      </c>
      <c r="B240" s="66"/>
      <c r="C240" s="66"/>
      <c r="D240" s="327"/>
      <c r="E240" s="66"/>
      <c r="F240" s="66"/>
      <c r="G240" s="327"/>
      <c r="H240" s="66"/>
      <c r="I240" s="66"/>
      <c r="J240" s="327"/>
      <c r="K240" s="66"/>
      <c r="L240" s="66"/>
      <c r="M240" s="66"/>
      <c r="N240" s="66"/>
      <c r="O240" s="66"/>
      <c r="P240" s="66"/>
      <c r="Q240" s="66"/>
      <c r="R240" s="66"/>
      <c r="S240" s="66"/>
      <c r="T240" s="66"/>
      <c r="U240" s="66"/>
      <c r="V240" s="66"/>
      <c r="W240" s="66"/>
      <c r="X240" s="66"/>
      <c r="Y240" s="66"/>
      <c r="Z240" s="66"/>
      <c r="AA240" s="66"/>
      <c r="AB240" s="66"/>
      <c r="AC240" s="66"/>
    </row>
    <row r="241">
      <c r="A241" s="321">
        <v>43729.0</v>
      </c>
      <c r="B241" s="66"/>
      <c r="C241" s="66"/>
      <c r="D241" s="327"/>
      <c r="E241" s="66"/>
      <c r="F241" s="66"/>
      <c r="G241" s="327"/>
      <c r="H241" s="66"/>
      <c r="I241" s="66"/>
      <c r="J241" s="327"/>
      <c r="K241" s="66"/>
      <c r="L241" s="66"/>
      <c r="M241" s="66"/>
      <c r="N241" s="66"/>
      <c r="O241" s="66"/>
      <c r="P241" s="66"/>
      <c r="Q241" s="66"/>
      <c r="R241" s="66"/>
      <c r="S241" s="66"/>
      <c r="T241" s="66"/>
      <c r="U241" s="66"/>
      <c r="V241" s="66"/>
      <c r="W241" s="66"/>
      <c r="X241" s="66"/>
      <c r="Y241" s="66"/>
      <c r="Z241" s="66"/>
      <c r="AA241" s="66"/>
      <c r="AB241" s="66"/>
      <c r="AC241" s="66"/>
    </row>
    <row r="242">
      <c r="A242" s="321">
        <v>43730.0</v>
      </c>
      <c r="B242" s="66"/>
      <c r="C242" s="66"/>
      <c r="D242" s="327"/>
      <c r="E242" s="66"/>
      <c r="F242" s="66"/>
      <c r="G242" s="327"/>
      <c r="H242" s="66"/>
      <c r="I242" s="66"/>
      <c r="J242" s="327"/>
      <c r="K242" s="66"/>
      <c r="L242" s="66"/>
      <c r="M242" s="66"/>
      <c r="N242" s="66"/>
      <c r="O242" s="66"/>
      <c r="P242" s="66"/>
      <c r="Q242" s="66"/>
      <c r="R242" s="66"/>
      <c r="S242" s="66"/>
      <c r="T242" s="66"/>
      <c r="U242" s="66"/>
      <c r="V242" s="66"/>
      <c r="W242" s="66"/>
      <c r="X242" s="66"/>
      <c r="Y242" s="66"/>
      <c r="Z242" s="66"/>
      <c r="AA242" s="66"/>
      <c r="AB242" s="66"/>
      <c r="AC242" s="66"/>
    </row>
    <row r="243">
      <c r="A243" s="321">
        <v>43731.0</v>
      </c>
      <c r="B243" s="66"/>
      <c r="C243" s="66"/>
      <c r="D243" s="327"/>
      <c r="E243" s="66"/>
      <c r="F243" s="66"/>
      <c r="G243" s="327"/>
      <c r="H243" s="66"/>
      <c r="I243" s="66"/>
      <c r="J243" s="327"/>
      <c r="K243" s="66"/>
      <c r="L243" s="66"/>
      <c r="M243" s="66"/>
      <c r="N243" s="66"/>
      <c r="O243" s="66"/>
      <c r="P243" s="66"/>
      <c r="Q243" s="66"/>
      <c r="R243" s="66"/>
      <c r="S243" s="66"/>
      <c r="T243" s="66"/>
      <c r="U243" s="66"/>
      <c r="V243" s="66"/>
      <c r="W243" s="66"/>
      <c r="X243" s="66"/>
      <c r="Y243" s="66"/>
      <c r="Z243" s="66"/>
      <c r="AA243" s="66"/>
      <c r="AB243" s="66"/>
      <c r="AC243" s="66"/>
    </row>
    <row r="244">
      <c r="A244" s="321">
        <v>43732.0</v>
      </c>
      <c r="B244" s="66"/>
      <c r="C244" s="66"/>
      <c r="D244" s="327"/>
      <c r="E244" s="66"/>
      <c r="F244" s="66"/>
      <c r="G244" s="327"/>
      <c r="H244" s="66"/>
      <c r="I244" s="66"/>
      <c r="J244" s="327"/>
      <c r="K244" s="66"/>
      <c r="L244" s="66"/>
      <c r="M244" s="66"/>
      <c r="N244" s="66"/>
      <c r="O244" s="66"/>
      <c r="P244" s="66"/>
      <c r="Q244" s="66"/>
      <c r="R244" s="66"/>
      <c r="S244" s="66"/>
      <c r="T244" s="66"/>
      <c r="U244" s="66"/>
      <c r="V244" s="66"/>
      <c r="W244" s="66"/>
      <c r="X244" s="66"/>
      <c r="Y244" s="66"/>
      <c r="Z244" s="66"/>
      <c r="AA244" s="66"/>
      <c r="AB244" s="66"/>
      <c r="AC244" s="66"/>
    </row>
    <row r="245">
      <c r="A245" s="321">
        <v>43733.0</v>
      </c>
      <c r="B245" s="66"/>
      <c r="C245" s="66"/>
      <c r="D245" s="327"/>
      <c r="E245" s="66"/>
      <c r="F245" s="66"/>
      <c r="G245" s="327"/>
      <c r="H245" s="66"/>
      <c r="I245" s="66"/>
      <c r="J245" s="327"/>
      <c r="K245" s="66"/>
      <c r="L245" s="66"/>
      <c r="M245" s="66"/>
      <c r="N245" s="66"/>
      <c r="O245" s="66"/>
      <c r="P245" s="66"/>
      <c r="Q245" s="66"/>
      <c r="R245" s="66"/>
      <c r="S245" s="66"/>
      <c r="T245" s="66"/>
      <c r="U245" s="66"/>
      <c r="V245" s="66"/>
      <c r="W245" s="66"/>
      <c r="X245" s="66"/>
      <c r="Y245" s="66"/>
      <c r="Z245" s="66"/>
      <c r="AA245" s="66"/>
      <c r="AB245" s="66"/>
      <c r="AC245" s="66"/>
    </row>
    <row r="246">
      <c r="A246" s="321">
        <v>43734.0</v>
      </c>
      <c r="B246" s="66"/>
      <c r="C246" s="66"/>
      <c r="D246" s="327"/>
      <c r="E246" s="66"/>
      <c r="F246" s="66"/>
      <c r="G246" s="327"/>
      <c r="H246" s="66"/>
      <c r="I246" s="66"/>
      <c r="J246" s="327"/>
      <c r="K246" s="66"/>
      <c r="L246" s="66"/>
      <c r="M246" s="66"/>
      <c r="N246" s="66"/>
      <c r="O246" s="66"/>
      <c r="P246" s="66"/>
      <c r="Q246" s="66"/>
      <c r="R246" s="66"/>
      <c r="S246" s="66"/>
      <c r="T246" s="66"/>
      <c r="U246" s="66"/>
      <c r="V246" s="66"/>
      <c r="W246" s="66"/>
      <c r="X246" s="66"/>
      <c r="Y246" s="66"/>
      <c r="Z246" s="66"/>
      <c r="AA246" s="66"/>
      <c r="AB246" s="66"/>
      <c r="AC246" s="66"/>
    </row>
    <row r="247">
      <c r="A247" s="321">
        <v>43735.0</v>
      </c>
      <c r="B247" s="66"/>
      <c r="C247" s="66"/>
      <c r="D247" s="327"/>
      <c r="E247" s="66"/>
      <c r="F247" s="66"/>
      <c r="G247" s="327"/>
      <c r="H247" s="66"/>
      <c r="I247" s="66"/>
      <c r="J247" s="327"/>
      <c r="K247" s="66"/>
      <c r="L247" s="66"/>
      <c r="M247" s="66"/>
      <c r="N247" s="66"/>
      <c r="O247" s="66"/>
      <c r="P247" s="66"/>
      <c r="Q247" s="66"/>
      <c r="R247" s="66"/>
      <c r="S247" s="66"/>
      <c r="T247" s="66"/>
      <c r="U247" s="66"/>
      <c r="V247" s="66"/>
      <c r="W247" s="66"/>
      <c r="X247" s="66"/>
      <c r="Y247" s="66"/>
      <c r="Z247" s="66"/>
      <c r="AA247" s="66"/>
      <c r="AB247" s="66"/>
      <c r="AC247" s="66"/>
    </row>
    <row r="248">
      <c r="A248" s="321">
        <v>43736.0</v>
      </c>
      <c r="B248" s="66"/>
      <c r="C248" s="66"/>
      <c r="D248" s="327"/>
      <c r="E248" s="66"/>
      <c r="F248" s="66"/>
      <c r="G248" s="327"/>
      <c r="H248" s="66"/>
      <c r="I248" s="66"/>
      <c r="J248" s="327"/>
      <c r="K248" s="66"/>
      <c r="L248" s="66"/>
      <c r="M248" s="66"/>
      <c r="N248" s="66"/>
      <c r="O248" s="66"/>
      <c r="P248" s="66"/>
      <c r="Q248" s="66"/>
      <c r="R248" s="66"/>
      <c r="S248" s="66"/>
      <c r="T248" s="66"/>
      <c r="U248" s="66"/>
      <c r="V248" s="66"/>
      <c r="W248" s="66"/>
      <c r="X248" s="66"/>
      <c r="Y248" s="66"/>
      <c r="Z248" s="66"/>
      <c r="AA248" s="66"/>
      <c r="AB248" s="66"/>
      <c r="AC248" s="66"/>
    </row>
    <row r="249">
      <c r="A249" s="321">
        <v>43737.0</v>
      </c>
      <c r="B249" s="66"/>
      <c r="C249" s="66"/>
      <c r="D249" s="327"/>
      <c r="E249" s="66"/>
      <c r="F249" s="66"/>
      <c r="G249" s="327"/>
      <c r="H249" s="66"/>
      <c r="I249" s="66"/>
      <c r="J249" s="327"/>
      <c r="K249" s="66"/>
      <c r="L249" s="66"/>
      <c r="M249" s="66"/>
      <c r="N249" s="66"/>
      <c r="O249" s="66"/>
      <c r="P249" s="66"/>
      <c r="Q249" s="66"/>
      <c r="R249" s="66"/>
      <c r="S249" s="66"/>
      <c r="T249" s="66"/>
      <c r="U249" s="66"/>
      <c r="V249" s="66"/>
      <c r="W249" s="66"/>
      <c r="X249" s="66"/>
      <c r="Y249" s="66"/>
      <c r="Z249" s="66"/>
      <c r="AA249" s="66"/>
      <c r="AB249" s="66"/>
      <c r="AC249" s="66"/>
    </row>
    <row r="250">
      <c r="A250" s="321">
        <v>43738.0</v>
      </c>
      <c r="B250" s="66"/>
      <c r="C250" s="66"/>
      <c r="D250" s="327"/>
      <c r="E250" s="66"/>
      <c r="F250" s="66"/>
      <c r="G250" s="327"/>
      <c r="H250" s="66"/>
      <c r="I250" s="66"/>
      <c r="J250" s="327"/>
      <c r="K250" s="66"/>
      <c r="L250" s="66"/>
      <c r="M250" s="66"/>
      <c r="N250" s="66"/>
      <c r="O250" s="66"/>
      <c r="P250" s="66"/>
      <c r="Q250" s="66"/>
      <c r="R250" s="66"/>
      <c r="S250" s="66"/>
      <c r="T250" s="66"/>
      <c r="U250" s="66"/>
      <c r="V250" s="66"/>
      <c r="W250" s="66"/>
      <c r="X250" s="66"/>
      <c r="Y250" s="66"/>
      <c r="Z250" s="66"/>
      <c r="AA250" s="66"/>
      <c r="AB250" s="66"/>
      <c r="AC250" s="66"/>
    </row>
    <row r="251">
      <c r="A251" s="321">
        <v>43739.0</v>
      </c>
      <c r="B251" s="66"/>
      <c r="C251" s="66"/>
      <c r="D251" s="327"/>
      <c r="E251" s="66"/>
      <c r="F251" s="66"/>
      <c r="G251" s="327"/>
      <c r="H251" s="322" t="s">
        <v>3779</v>
      </c>
      <c r="I251" s="322" t="s">
        <v>3780</v>
      </c>
      <c r="J251" s="324" t="s">
        <v>3782</v>
      </c>
      <c r="K251" s="66"/>
      <c r="L251" s="66"/>
      <c r="M251" s="66"/>
      <c r="N251" s="66"/>
      <c r="O251" s="66"/>
      <c r="P251" s="66"/>
      <c r="Q251" s="66"/>
      <c r="R251" s="66"/>
      <c r="S251" s="66"/>
      <c r="T251" s="66"/>
      <c r="U251" s="66"/>
      <c r="V251" s="66"/>
      <c r="W251" s="66"/>
      <c r="X251" s="66"/>
      <c r="Y251" s="66"/>
      <c r="Z251" s="66"/>
      <c r="AA251" s="66"/>
      <c r="AB251" s="66"/>
      <c r="AC251" s="66"/>
    </row>
    <row r="252">
      <c r="A252" s="321">
        <v>43740.0</v>
      </c>
      <c r="B252" s="66"/>
      <c r="C252" s="66"/>
      <c r="D252" s="327"/>
      <c r="E252" s="66"/>
      <c r="F252" s="66"/>
      <c r="G252" s="327"/>
      <c r="H252" s="322" t="s">
        <v>3783</v>
      </c>
      <c r="I252" s="318" t="s">
        <v>3784</v>
      </c>
      <c r="J252" s="327"/>
      <c r="K252" s="66"/>
      <c r="L252" s="66"/>
      <c r="M252" s="66"/>
      <c r="N252" s="66"/>
      <c r="O252" s="66"/>
      <c r="P252" s="66"/>
      <c r="Q252" s="66"/>
      <c r="R252" s="66"/>
      <c r="S252" s="66"/>
      <c r="T252" s="66"/>
      <c r="U252" s="66"/>
      <c r="V252" s="66"/>
      <c r="W252" s="66"/>
      <c r="X252" s="66"/>
      <c r="Y252" s="66"/>
      <c r="Z252" s="66"/>
      <c r="AA252" s="66"/>
      <c r="AB252" s="66"/>
      <c r="AC252" s="66"/>
    </row>
    <row r="253">
      <c r="A253" s="321">
        <v>43741.0</v>
      </c>
      <c r="B253" s="66"/>
      <c r="C253" s="66"/>
      <c r="D253" s="327"/>
      <c r="E253" s="66"/>
      <c r="F253" s="66"/>
      <c r="G253" s="324" t="s">
        <v>3787</v>
      </c>
      <c r="H253" s="66"/>
      <c r="I253" s="66"/>
      <c r="J253" s="327"/>
      <c r="K253" s="66"/>
      <c r="L253" s="66"/>
      <c r="M253" s="66"/>
      <c r="N253" s="66"/>
      <c r="O253" s="66"/>
      <c r="P253" s="66"/>
      <c r="Q253" s="66"/>
      <c r="R253" s="66"/>
      <c r="S253" s="66"/>
      <c r="T253" s="66"/>
      <c r="U253" s="66"/>
      <c r="V253" s="66"/>
      <c r="W253" s="66"/>
      <c r="X253" s="66"/>
      <c r="Y253" s="66"/>
      <c r="Z253" s="66"/>
      <c r="AA253" s="66"/>
      <c r="AB253" s="66"/>
      <c r="AC253" s="66"/>
    </row>
    <row r="254">
      <c r="A254" s="321">
        <v>43742.0</v>
      </c>
      <c r="B254" s="66"/>
      <c r="C254" s="66"/>
      <c r="D254" s="327"/>
      <c r="E254" s="322" t="s">
        <v>3788</v>
      </c>
      <c r="F254" s="322" t="s">
        <v>3789</v>
      </c>
      <c r="G254" s="324" t="s">
        <v>3790</v>
      </c>
      <c r="H254" s="66"/>
      <c r="I254" s="66"/>
      <c r="J254" s="327"/>
      <c r="K254" s="66"/>
      <c r="L254" s="66"/>
      <c r="M254" s="66"/>
      <c r="N254" s="66"/>
      <c r="O254" s="66"/>
      <c r="P254" s="66"/>
      <c r="Q254" s="66"/>
      <c r="R254" s="66"/>
      <c r="S254" s="66"/>
      <c r="T254" s="66"/>
      <c r="U254" s="66"/>
      <c r="V254" s="66"/>
      <c r="W254" s="66"/>
      <c r="X254" s="66"/>
      <c r="Y254" s="66"/>
      <c r="Z254" s="66"/>
      <c r="AA254" s="66"/>
      <c r="AB254" s="66"/>
      <c r="AC254" s="66"/>
    </row>
    <row r="255">
      <c r="A255" s="321">
        <v>43743.0</v>
      </c>
      <c r="B255" s="66"/>
      <c r="C255" s="66"/>
      <c r="D255" s="327"/>
      <c r="E255" s="322" t="s">
        <v>3792</v>
      </c>
      <c r="F255" s="322" t="s">
        <v>3793</v>
      </c>
      <c r="G255" s="324" t="s">
        <v>3794</v>
      </c>
      <c r="H255" s="66"/>
      <c r="I255" s="66"/>
      <c r="J255" s="327"/>
      <c r="K255" s="66"/>
      <c r="L255" s="66"/>
      <c r="M255" s="66"/>
      <c r="N255" s="66"/>
      <c r="O255" s="66"/>
      <c r="P255" s="66"/>
      <c r="Q255" s="66"/>
      <c r="R255" s="66"/>
      <c r="S255" s="66"/>
      <c r="T255" s="66"/>
      <c r="U255" s="66"/>
      <c r="V255" s="66"/>
      <c r="W255" s="66"/>
      <c r="X255" s="66"/>
      <c r="Y255" s="66"/>
      <c r="Z255" s="66"/>
      <c r="AA255" s="66"/>
      <c r="AB255" s="66"/>
      <c r="AC255" s="66"/>
    </row>
    <row r="256">
      <c r="A256" s="321">
        <v>43744.0</v>
      </c>
      <c r="B256" s="66"/>
      <c r="C256" s="66"/>
      <c r="D256" s="327"/>
      <c r="E256" s="322" t="s">
        <v>3795</v>
      </c>
      <c r="F256" s="322" t="s">
        <v>3796</v>
      </c>
      <c r="G256" s="324" t="s">
        <v>3797</v>
      </c>
      <c r="H256" s="66"/>
      <c r="I256" s="66"/>
      <c r="J256" s="327"/>
      <c r="K256" s="66"/>
      <c r="L256" s="66"/>
      <c r="M256" s="66"/>
      <c r="N256" s="66"/>
      <c r="O256" s="66"/>
      <c r="P256" s="66"/>
      <c r="Q256" s="66"/>
      <c r="R256" s="66"/>
      <c r="S256" s="66"/>
      <c r="T256" s="66"/>
      <c r="U256" s="66"/>
      <c r="V256" s="66"/>
      <c r="W256" s="66"/>
      <c r="X256" s="66"/>
      <c r="Y256" s="66"/>
      <c r="Z256" s="66"/>
      <c r="AA256" s="66"/>
      <c r="AB256" s="66"/>
      <c r="AC256" s="66"/>
    </row>
    <row r="257">
      <c r="A257" s="321">
        <v>43745.0</v>
      </c>
      <c r="B257" s="66"/>
      <c r="C257" s="66"/>
      <c r="D257" s="327"/>
      <c r="E257" s="322" t="s">
        <v>3799</v>
      </c>
      <c r="F257" s="322" t="s">
        <v>3800</v>
      </c>
      <c r="G257" s="324" t="s">
        <v>3801</v>
      </c>
      <c r="H257" s="322" t="s">
        <v>3802</v>
      </c>
      <c r="I257" s="322" t="s">
        <v>3803</v>
      </c>
      <c r="J257" s="324" t="s">
        <v>3804</v>
      </c>
      <c r="K257" s="66"/>
      <c r="L257" s="66"/>
      <c r="M257" s="66"/>
      <c r="N257" s="66"/>
      <c r="O257" s="66"/>
      <c r="P257" s="66"/>
      <c r="Q257" s="66"/>
      <c r="R257" s="66"/>
      <c r="S257" s="66"/>
      <c r="T257" s="66"/>
      <c r="U257" s="66"/>
      <c r="V257" s="66"/>
      <c r="W257" s="66"/>
      <c r="X257" s="66"/>
      <c r="Y257" s="66"/>
      <c r="Z257" s="66"/>
      <c r="AA257" s="66"/>
      <c r="AB257" s="66"/>
      <c r="AC257" s="66"/>
    </row>
    <row r="258">
      <c r="A258" s="321">
        <v>43746.0</v>
      </c>
      <c r="B258" s="66"/>
      <c r="C258" s="66"/>
      <c r="D258" s="327"/>
      <c r="E258" s="66"/>
      <c r="F258" s="66"/>
      <c r="G258" s="327"/>
      <c r="H258" s="66"/>
      <c r="I258" s="66"/>
      <c r="J258" s="327"/>
      <c r="K258" s="66"/>
      <c r="L258" s="66"/>
      <c r="M258" s="66"/>
      <c r="N258" s="66"/>
      <c r="O258" s="66"/>
      <c r="P258" s="66"/>
      <c r="Q258" s="66"/>
      <c r="R258" s="66"/>
      <c r="S258" s="66"/>
      <c r="T258" s="66"/>
      <c r="U258" s="66"/>
      <c r="V258" s="66"/>
      <c r="W258" s="66"/>
      <c r="X258" s="66"/>
      <c r="Y258" s="66"/>
      <c r="Z258" s="66"/>
      <c r="AA258" s="66"/>
      <c r="AB258" s="66"/>
      <c r="AC258" s="66"/>
    </row>
    <row r="259">
      <c r="A259" s="321">
        <v>43747.0</v>
      </c>
      <c r="B259" s="66"/>
      <c r="C259" s="66"/>
      <c r="D259" s="327"/>
      <c r="E259" s="66"/>
      <c r="F259" s="66"/>
      <c r="G259" s="327"/>
      <c r="H259" s="322" t="s">
        <v>3805</v>
      </c>
      <c r="I259" s="322" t="s">
        <v>3806</v>
      </c>
      <c r="J259" s="324" t="s">
        <v>3807</v>
      </c>
      <c r="K259" s="66"/>
      <c r="L259" s="66"/>
      <c r="M259" s="66"/>
      <c r="N259" s="66"/>
      <c r="O259" s="66"/>
      <c r="P259" s="66"/>
      <c r="Q259" s="66"/>
      <c r="R259" s="66"/>
      <c r="S259" s="66"/>
      <c r="T259" s="66"/>
      <c r="U259" s="66"/>
      <c r="V259" s="66"/>
      <c r="W259" s="66"/>
      <c r="X259" s="66"/>
      <c r="Y259" s="66"/>
      <c r="Z259" s="66"/>
      <c r="AA259" s="66"/>
      <c r="AB259" s="66"/>
      <c r="AC259" s="66"/>
    </row>
    <row r="260">
      <c r="A260" s="321">
        <v>43748.0</v>
      </c>
      <c r="B260" s="66"/>
      <c r="C260" s="66"/>
      <c r="D260" s="327"/>
      <c r="E260" s="66"/>
      <c r="F260" s="66"/>
      <c r="G260" s="327"/>
      <c r="H260" s="66"/>
      <c r="I260" s="66"/>
      <c r="J260" s="327"/>
      <c r="K260" s="66"/>
      <c r="L260" s="66"/>
      <c r="M260" s="66"/>
      <c r="N260" s="66"/>
      <c r="O260" s="66"/>
      <c r="P260" s="66"/>
      <c r="Q260" s="66"/>
      <c r="R260" s="66"/>
      <c r="S260" s="66"/>
      <c r="T260" s="66"/>
      <c r="U260" s="66"/>
      <c r="V260" s="66"/>
      <c r="W260" s="66"/>
      <c r="X260" s="66"/>
      <c r="Y260" s="66"/>
      <c r="Z260" s="66"/>
      <c r="AA260" s="66"/>
      <c r="AB260" s="66"/>
      <c r="AC260" s="66"/>
    </row>
    <row r="261">
      <c r="A261" s="321">
        <v>43749.0</v>
      </c>
      <c r="B261" s="66"/>
      <c r="C261" s="66"/>
      <c r="D261" s="327"/>
      <c r="E261" s="322" t="s">
        <v>3810</v>
      </c>
      <c r="F261" s="322" t="s">
        <v>3811</v>
      </c>
      <c r="G261" s="324" t="s">
        <v>3812</v>
      </c>
      <c r="H261" s="66"/>
      <c r="I261" s="66"/>
      <c r="J261" s="327"/>
      <c r="K261" s="66"/>
      <c r="L261" s="66"/>
      <c r="M261" s="66"/>
      <c r="N261" s="66"/>
      <c r="O261" s="66"/>
      <c r="P261" s="66"/>
      <c r="Q261" s="66"/>
      <c r="R261" s="66"/>
      <c r="S261" s="66"/>
      <c r="T261" s="66"/>
      <c r="U261" s="66"/>
      <c r="V261" s="66"/>
      <c r="W261" s="66"/>
      <c r="X261" s="66"/>
      <c r="Y261" s="66"/>
      <c r="Z261" s="66"/>
      <c r="AA261" s="66"/>
      <c r="AB261" s="66"/>
      <c r="AC261" s="66"/>
    </row>
    <row r="262">
      <c r="A262" s="321">
        <v>43750.0</v>
      </c>
      <c r="B262" s="66"/>
      <c r="C262" s="66"/>
      <c r="D262" s="327"/>
      <c r="E262" s="322" t="s">
        <v>3813</v>
      </c>
      <c r="F262" s="322" t="s">
        <v>3814</v>
      </c>
      <c r="G262" s="324" t="s">
        <v>3815</v>
      </c>
      <c r="H262" s="66"/>
      <c r="I262" s="66"/>
      <c r="J262" s="327"/>
      <c r="K262" s="66"/>
      <c r="L262" s="66"/>
      <c r="M262" s="66"/>
      <c r="N262" s="66"/>
      <c r="O262" s="66"/>
      <c r="P262" s="66"/>
      <c r="Q262" s="66"/>
      <c r="R262" s="66"/>
      <c r="S262" s="66"/>
      <c r="T262" s="66"/>
      <c r="U262" s="66"/>
      <c r="V262" s="66"/>
      <c r="W262" s="66"/>
      <c r="X262" s="66"/>
      <c r="Y262" s="66"/>
      <c r="Z262" s="66"/>
      <c r="AA262" s="66"/>
      <c r="AB262" s="66"/>
      <c r="AC262" s="66"/>
    </row>
    <row r="263">
      <c r="A263" s="321">
        <v>43751.0</v>
      </c>
      <c r="B263" s="66"/>
      <c r="C263" s="66"/>
      <c r="D263" s="327"/>
      <c r="E263" s="322" t="s">
        <v>3817</v>
      </c>
      <c r="F263" s="322" t="s">
        <v>3818</v>
      </c>
      <c r="G263" s="324" t="s">
        <v>3819</v>
      </c>
      <c r="H263" s="66"/>
      <c r="I263" s="66"/>
      <c r="J263" s="327"/>
      <c r="K263" s="66"/>
      <c r="L263" s="66"/>
      <c r="M263" s="66"/>
      <c r="N263" s="66"/>
      <c r="O263" s="66"/>
      <c r="P263" s="66"/>
      <c r="Q263" s="66"/>
      <c r="R263" s="66"/>
      <c r="S263" s="66"/>
      <c r="T263" s="66"/>
      <c r="U263" s="66"/>
      <c r="V263" s="66"/>
      <c r="W263" s="66"/>
      <c r="X263" s="66"/>
      <c r="Y263" s="66"/>
      <c r="Z263" s="66"/>
      <c r="AA263" s="66"/>
      <c r="AB263" s="66"/>
      <c r="AC263" s="66"/>
    </row>
    <row r="264">
      <c r="A264" s="321">
        <v>43752.0</v>
      </c>
      <c r="B264" s="66"/>
      <c r="C264" s="66"/>
      <c r="D264" s="327"/>
      <c r="E264" s="322" t="s">
        <v>3820</v>
      </c>
      <c r="F264" s="322" t="s">
        <v>3821</v>
      </c>
      <c r="G264" s="327"/>
      <c r="H264" s="66"/>
      <c r="I264" s="66"/>
      <c r="J264" s="327"/>
      <c r="K264" s="66"/>
      <c r="L264" s="66"/>
      <c r="M264" s="66"/>
      <c r="N264" s="66"/>
      <c r="O264" s="66"/>
      <c r="P264" s="66"/>
      <c r="Q264" s="66"/>
      <c r="R264" s="66"/>
      <c r="S264" s="66"/>
      <c r="T264" s="66"/>
      <c r="U264" s="66"/>
      <c r="V264" s="66"/>
      <c r="W264" s="66"/>
      <c r="X264" s="66"/>
      <c r="Y264" s="66"/>
      <c r="Z264" s="66"/>
      <c r="AA264" s="66"/>
      <c r="AB264" s="66"/>
      <c r="AC264" s="66"/>
    </row>
    <row r="265">
      <c r="A265" s="321">
        <v>43753.0</v>
      </c>
      <c r="B265" s="66"/>
      <c r="C265" s="66"/>
      <c r="D265" s="327"/>
      <c r="E265" s="66"/>
      <c r="F265" s="66"/>
      <c r="G265" s="327"/>
      <c r="H265" s="66"/>
      <c r="I265" s="66"/>
      <c r="J265" s="327"/>
      <c r="K265" s="66"/>
      <c r="L265" s="66"/>
      <c r="M265" s="66"/>
      <c r="N265" s="66"/>
      <c r="O265" s="66"/>
      <c r="P265" s="66"/>
      <c r="Q265" s="66"/>
      <c r="R265" s="66"/>
      <c r="S265" s="66"/>
      <c r="T265" s="66"/>
      <c r="U265" s="66"/>
      <c r="V265" s="66"/>
      <c r="W265" s="66"/>
      <c r="X265" s="66"/>
      <c r="Y265" s="66"/>
      <c r="Z265" s="66"/>
      <c r="AA265" s="66"/>
      <c r="AB265" s="66"/>
      <c r="AC265" s="66"/>
    </row>
    <row r="266">
      <c r="A266" s="321">
        <v>43754.0</v>
      </c>
      <c r="B266" s="66"/>
      <c r="C266" s="66"/>
      <c r="D266" s="327"/>
      <c r="E266" s="66"/>
      <c r="F266" s="66"/>
      <c r="G266" s="327"/>
      <c r="H266" s="66"/>
      <c r="I266" s="66"/>
      <c r="J266" s="327"/>
      <c r="K266" s="66"/>
      <c r="L266" s="66"/>
      <c r="M266" s="66"/>
      <c r="N266" s="66"/>
      <c r="O266" s="66"/>
      <c r="P266" s="66"/>
      <c r="Q266" s="66"/>
      <c r="R266" s="66"/>
      <c r="S266" s="66"/>
      <c r="T266" s="66"/>
      <c r="U266" s="66"/>
      <c r="V266" s="66"/>
      <c r="W266" s="66"/>
      <c r="X266" s="66"/>
      <c r="Y266" s="66"/>
      <c r="Z266" s="66"/>
      <c r="AA266" s="66"/>
      <c r="AB266" s="66"/>
      <c r="AC266" s="66"/>
    </row>
    <row r="267">
      <c r="A267" s="321">
        <v>43755.0</v>
      </c>
      <c r="B267" s="66"/>
      <c r="C267" s="66"/>
      <c r="D267" s="327"/>
      <c r="E267" s="66"/>
      <c r="F267" s="66"/>
      <c r="G267" s="327"/>
      <c r="H267" s="66"/>
      <c r="I267" s="66"/>
      <c r="J267" s="327"/>
      <c r="K267" s="66"/>
      <c r="L267" s="66"/>
      <c r="M267" s="66"/>
      <c r="N267" s="66"/>
      <c r="O267" s="66"/>
      <c r="P267" s="66"/>
      <c r="Q267" s="66"/>
      <c r="R267" s="66"/>
      <c r="S267" s="66"/>
      <c r="T267" s="66"/>
      <c r="U267" s="66"/>
      <c r="V267" s="66"/>
      <c r="W267" s="66"/>
      <c r="X267" s="66"/>
      <c r="Y267" s="66"/>
      <c r="Z267" s="66"/>
      <c r="AA267" s="66"/>
      <c r="AB267" s="66"/>
      <c r="AC267" s="66"/>
    </row>
    <row r="268">
      <c r="A268" s="321">
        <v>43756.0</v>
      </c>
      <c r="B268" s="66"/>
      <c r="C268" s="66"/>
      <c r="D268" s="327"/>
      <c r="E268" s="66"/>
      <c r="F268" s="66"/>
      <c r="G268" s="327"/>
      <c r="H268" s="66"/>
      <c r="I268" s="66"/>
      <c r="J268" s="327"/>
      <c r="K268" s="66"/>
      <c r="L268" s="66"/>
      <c r="M268" s="66"/>
      <c r="N268" s="66"/>
      <c r="O268" s="66"/>
      <c r="P268" s="66"/>
      <c r="Q268" s="66"/>
      <c r="R268" s="66"/>
      <c r="S268" s="66"/>
      <c r="T268" s="66"/>
      <c r="U268" s="66"/>
      <c r="V268" s="66"/>
      <c r="W268" s="66"/>
      <c r="X268" s="66"/>
      <c r="Y268" s="66"/>
      <c r="Z268" s="66"/>
      <c r="AA268" s="66"/>
      <c r="AB268" s="66"/>
      <c r="AC268" s="66"/>
    </row>
    <row r="269">
      <c r="A269" s="321">
        <v>43757.0</v>
      </c>
      <c r="B269" s="66"/>
      <c r="C269" s="66"/>
      <c r="D269" s="327"/>
      <c r="E269" s="66"/>
      <c r="F269" s="66"/>
      <c r="G269" s="327"/>
      <c r="H269" s="66"/>
      <c r="I269" s="66"/>
      <c r="J269" s="327"/>
      <c r="K269" s="66"/>
      <c r="L269" s="66"/>
      <c r="M269" s="66"/>
      <c r="N269" s="66"/>
      <c r="O269" s="66"/>
      <c r="P269" s="66"/>
      <c r="Q269" s="66"/>
      <c r="R269" s="66"/>
      <c r="S269" s="66"/>
      <c r="T269" s="66"/>
      <c r="U269" s="66"/>
      <c r="V269" s="66"/>
      <c r="W269" s="66"/>
      <c r="X269" s="66"/>
      <c r="Y269" s="66"/>
      <c r="Z269" s="66"/>
      <c r="AA269" s="66"/>
      <c r="AB269" s="66"/>
      <c r="AC269" s="66"/>
    </row>
    <row r="270">
      <c r="A270" s="321">
        <v>43758.0</v>
      </c>
      <c r="B270" s="66"/>
      <c r="C270" s="66"/>
      <c r="D270" s="327"/>
      <c r="E270" s="66"/>
      <c r="F270" s="66"/>
      <c r="G270" s="327"/>
      <c r="H270" s="66"/>
      <c r="I270" s="66"/>
      <c r="J270" s="327"/>
      <c r="K270" s="66"/>
      <c r="L270" s="66"/>
      <c r="M270" s="66"/>
      <c r="N270" s="66"/>
      <c r="O270" s="66"/>
      <c r="P270" s="66"/>
      <c r="Q270" s="66"/>
      <c r="R270" s="66"/>
      <c r="S270" s="66"/>
      <c r="T270" s="66"/>
      <c r="U270" s="66"/>
      <c r="V270" s="66"/>
      <c r="W270" s="66"/>
      <c r="X270" s="66"/>
      <c r="Y270" s="66"/>
      <c r="Z270" s="66"/>
      <c r="AA270" s="66"/>
      <c r="AB270" s="66"/>
      <c r="AC270" s="66"/>
    </row>
    <row r="271">
      <c r="A271" s="321">
        <v>43759.0</v>
      </c>
      <c r="B271" s="66"/>
      <c r="C271" s="66"/>
      <c r="D271" s="327"/>
      <c r="E271" s="66"/>
      <c r="F271" s="66"/>
      <c r="G271" s="327"/>
      <c r="H271" s="66"/>
      <c r="I271" s="66"/>
      <c r="J271" s="327"/>
      <c r="K271" s="66"/>
      <c r="L271" s="66"/>
      <c r="M271" s="66"/>
      <c r="N271" s="66"/>
      <c r="O271" s="66"/>
      <c r="P271" s="66"/>
      <c r="Q271" s="66"/>
      <c r="R271" s="66"/>
      <c r="S271" s="66"/>
      <c r="T271" s="66"/>
      <c r="U271" s="66"/>
      <c r="V271" s="66"/>
      <c r="W271" s="66"/>
      <c r="X271" s="66"/>
      <c r="Y271" s="66"/>
      <c r="Z271" s="66"/>
      <c r="AA271" s="66"/>
      <c r="AB271" s="66"/>
      <c r="AC271" s="66"/>
    </row>
    <row r="272">
      <c r="A272" s="321">
        <v>43760.0</v>
      </c>
      <c r="B272" s="66"/>
      <c r="C272" s="66"/>
      <c r="D272" s="327"/>
      <c r="E272" s="66"/>
      <c r="F272" s="66"/>
      <c r="G272" s="327"/>
      <c r="H272" s="66"/>
      <c r="I272" s="66"/>
      <c r="J272" s="327"/>
      <c r="K272" s="66"/>
      <c r="L272" s="66"/>
      <c r="M272" s="66"/>
      <c r="N272" s="66"/>
      <c r="O272" s="66"/>
      <c r="P272" s="66"/>
      <c r="Q272" s="66"/>
      <c r="R272" s="66"/>
      <c r="S272" s="66"/>
      <c r="T272" s="66"/>
      <c r="U272" s="66"/>
      <c r="V272" s="66"/>
      <c r="W272" s="66"/>
      <c r="X272" s="66"/>
      <c r="Y272" s="66"/>
      <c r="Z272" s="66"/>
      <c r="AA272" s="66"/>
      <c r="AB272" s="66"/>
      <c r="AC272" s="66"/>
    </row>
    <row r="273">
      <c r="A273" s="321">
        <v>43761.0</v>
      </c>
      <c r="B273" s="66"/>
      <c r="C273" s="66"/>
      <c r="D273" s="327"/>
      <c r="E273" s="66"/>
      <c r="F273" s="66"/>
      <c r="G273" s="327"/>
      <c r="H273" s="66"/>
      <c r="I273" s="66"/>
      <c r="J273" s="327"/>
      <c r="K273" s="66"/>
      <c r="L273" s="66"/>
      <c r="M273" s="66"/>
      <c r="N273" s="66"/>
      <c r="O273" s="66"/>
      <c r="P273" s="66"/>
      <c r="Q273" s="66"/>
      <c r="R273" s="66"/>
      <c r="S273" s="66"/>
      <c r="T273" s="66"/>
      <c r="U273" s="66"/>
      <c r="V273" s="66"/>
      <c r="W273" s="66"/>
      <c r="X273" s="66"/>
      <c r="Y273" s="66"/>
      <c r="Z273" s="66"/>
      <c r="AA273" s="66"/>
      <c r="AB273" s="66"/>
      <c r="AC273" s="66"/>
    </row>
    <row r="274">
      <c r="A274" s="321">
        <v>43762.0</v>
      </c>
      <c r="B274" s="66"/>
      <c r="C274" s="66"/>
      <c r="D274" s="327"/>
      <c r="E274" s="66"/>
      <c r="F274" s="66"/>
      <c r="G274" s="327"/>
      <c r="H274" s="66"/>
      <c r="I274" s="66"/>
      <c r="J274" s="327"/>
      <c r="K274" s="66"/>
      <c r="L274" s="66"/>
      <c r="M274" s="66"/>
      <c r="N274" s="66"/>
      <c r="O274" s="66"/>
      <c r="P274" s="66"/>
      <c r="Q274" s="66"/>
      <c r="R274" s="66"/>
      <c r="S274" s="66"/>
      <c r="T274" s="66"/>
      <c r="U274" s="66"/>
      <c r="V274" s="66"/>
      <c r="W274" s="66"/>
      <c r="X274" s="66"/>
      <c r="Y274" s="66"/>
      <c r="Z274" s="66"/>
      <c r="AA274" s="66"/>
      <c r="AB274" s="66"/>
      <c r="AC274" s="66"/>
    </row>
    <row r="275">
      <c r="A275" s="321">
        <v>43763.0</v>
      </c>
      <c r="B275" s="66"/>
      <c r="C275" s="66"/>
      <c r="D275" s="327"/>
      <c r="E275" s="66"/>
      <c r="F275" s="66"/>
      <c r="G275" s="327"/>
      <c r="H275" s="66"/>
      <c r="I275" s="66"/>
      <c r="J275" s="327"/>
      <c r="K275" s="66"/>
      <c r="L275" s="66"/>
      <c r="M275" s="66"/>
      <c r="N275" s="66"/>
      <c r="O275" s="66"/>
      <c r="P275" s="66"/>
      <c r="Q275" s="66"/>
      <c r="R275" s="66"/>
      <c r="S275" s="66"/>
      <c r="T275" s="66"/>
      <c r="U275" s="66"/>
      <c r="V275" s="66"/>
      <c r="W275" s="66"/>
      <c r="X275" s="66"/>
      <c r="Y275" s="66"/>
      <c r="Z275" s="66"/>
      <c r="AA275" s="66"/>
      <c r="AB275" s="66"/>
      <c r="AC275" s="66"/>
    </row>
    <row r="276">
      <c r="A276" s="321">
        <v>43764.0</v>
      </c>
      <c r="B276" s="66"/>
      <c r="C276" s="66"/>
      <c r="D276" s="327"/>
      <c r="E276" s="66"/>
      <c r="F276" s="66"/>
      <c r="G276" s="327"/>
      <c r="H276" s="66"/>
      <c r="I276" s="66"/>
      <c r="J276" s="327"/>
      <c r="K276" s="66"/>
      <c r="L276" s="66"/>
      <c r="M276" s="66"/>
      <c r="N276" s="66"/>
      <c r="O276" s="66"/>
      <c r="P276" s="66"/>
      <c r="Q276" s="66"/>
      <c r="R276" s="66"/>
      <c r="S276" s="66"/>
      <c r="T276" s="66"/>
      <c r="U276" s="66"/>
      <c r="V276" s="66"/>
      <c r="W276" s="66"/>
      <c r="X276" s="66"/>
      <c r="Y276" s="66"/>
      <c r="Z276" s="66"/>
      <c r="AA276" s="66"/>
      <c r="AB276" s="66"/>
      <c r="AC276" s="66"/>
    </row>
    <row r="277">
      <c r="A277" s="321">
        <v>43765.0</v>
      </c>
      <c r="B277" s="66"/>
      <c r="C277" s="66"/>
      <c r="D277" s="327"/>
      <c r="E277" s="66"/>
      <c r="F277" s="66"/>
      <c r="G277" s="327"/>
      <c r="H277" s="66"/>
      <c r="I277" s="66"/>
      <c r="J277" s="327"/>
      <c r="K277" s="66"/>
      <c r="L277" s="66"/>
      <c r="M277" s="66"/>
      <c r="N277" s="66"/>
      <c r="O277" s="66"/>
      <c r="P277" s="66"/>
      <c r="Q277" s="66"/>
      <c r="R277" s="66"/>
      <c r="S277" s="66"/>
      <c r="T277" s="66"/>
      <c r="U277" s="66"/>
      <c r="V277" s="66"/>
      <c r="W277" s="66"/>
      <c r="X277" s="66"/>
      <c r="Y277" s="66"/>
      <c r="Z277" s="66"/>
      <c r="AA277" s="66"/>
      <c r="AB277" s="66"/>
      <c r="AC277" s="66"/>
    </row>
    <row r="278">
      <c r="A278" s="321">
        <v>43766.0</v>
      </c>
      <c r="B278" s="66"/>
      <c r="C278" s="66"/>
      <c r="D278" s="327"/>
      <c r="E278" s="66"/>
      <c r="F278" s="66"/>
      <c r="G278" s="327"/>
      <c r="H278" s="66"/>
      <c r="I278" s="66"/>
      <c r="J278" s="327"/>
      <c r="K278" s="66"/>
      <c r="L278" s="66"/>
      <c r="M278" s="66"/>
      <c r="N278" s="66"/>
      <c r="O278" s="66"/>
      <c r="P278" s="66"/>
      <c r="Q278" s="66"/>
      <c r="R278" s="66"/>
      <c r="S278" s="66"/>
      <c r="T278" s="66"/>
      <c r="U278" s="66"/>
      <c r="V278" s="66"/>
      <c r="W278" s="66"/>
      <c r="X278" s="66"/>
      <c r="Y278" s="66"/>
      <c r="Z278" s="66"/>
      <c r="AA278" s="66"/>
      <c r="AB278" s="66"/>
      <c r="AC278" s="66"/>
    </row>
    <row r="279">
      <c r="A279" s="321">
        <v>43767.0</v>
      </c>
      <c r="B279" s="66"/>
      <c r="C279" s="66"/>
      <c r="D279" s="327"/>
      <c r="E279" s="66"/>
      <c r="F279" s="66"/>
      <c r="G279" s="327"/>
      <c r="H279" s="66"/>
      <c r="I279" s="66"/>
      <c r="J279" s="327"/>
      <c r="K279" s="66"/>
      <c r="L279" s="66"/>
      <c r="M279" s="66"/>
      <c r="N279" s="66"/>
      <c r="O279" s="66"/>
      <c r="P279" s="66"/>
      <c r="Q279" s="66"/>
      <c r="R279" s="66"/>
      <c r="S279" s="66"/>
      <c r="T279" s="66"/>
      <c r="U279" s="66"/>
      <c r="V279" s="66"/>
      <c r="W279" s="66"/>
      <c r="X279" s="66"/>
      <c r="Y279" s="66"/>
      <c r="Z279" s="66"/>
      <c r="AA279" s="66"/>
      <c r="AB279" s="66"/>
      <c r="AC279" s="66"/>
    </row>
    <row r="280">
      <c r="A280" s="321">
        <v>43768.0</v>
      </c>
      <c r="B280" s="66"/>
      <c r="C280" s="66"/>
      <c r="D280" s="327"/>
      <c r="E280" s="66"/>
      <c r="F280" s="66"/>
      <c r="G280" s="327"/>
      <c r="H280" s="66"/>
      <c r="I280" s="66"/>
      <c r="J280" s="327"/>
      <c r="K280" s="66"/>
      <c r="L280" s="66"/>
      <c r="M280" s="66"/>
      <c r="N280" s="66"/>
      <c r="O280" s="66"/>
      <c r="P280" s="66"/>
      <c r="Q280" s="66"/>
      <c r="R280" s="66"/>
      <c r="S280" s="66"/>
      <c r="T280" s="66"/>
      <c r="U280" s="66"/>
      <c r="V280" s="66"/>
      <c r="W280" s="66"/>
      <c r="X280" s="66"/>
      <c r="Y280" s="66"/>
      <c r="Z280" s="66"/>
      <c r="AA280" s="66"/>
      <c r="AB280" s="66"/>
      <c r="AC280" s="66"/>
    </row>
    <row r="281">
      <c r="A281" s="321">
        <v>43769.0</v>
      </c>
      <c r="B281" s="66"/>
      <c r="C281" s="66"/>
      <c r="D281" s="327"/>
      <c r="E281" s="66"/>
      <c r="F281" s="66"/>
      <c r="G281" s="327"/>
      <c r="H281" s="66"/>
      <c r="I281" s="66"/>
      <c r="J281" s="327"/>
      <c r="K281" s="66"/>
      <c r="L281" s="66"/>
      <c r="M281" s="66"/>
      <c r="N281" s="66"/>
      <c r="O281" s="66"/>
      <c r="P281" s="66"/>
      <c r="Q281" s="66"/>
      <c r="R281" s="66"/>
      <c r="S281" s="66"/>
      <c r="T281" s="66"/>
      <c r="U281" s="66"/>
      <c r="V281" s="66"/>
      <c r="W281" s="66"/>
      <c r="X281" s="66"/>
      <c r="Y281" s="66"/>
      <c r="Z281" s="66"/>
      <c r="AA281" s="66"/>
      <c r="AB281" s="66"/>
      <c r="AC281" s="66"/>
    </row>
    <row r="282">
      <c r="A282" s="321">
        <v>43770.0</v>
      </c>
      <c r="B282" s="66"/>
      <c r="C282" s="66"/>
      <c r="D282" s="327"/>
      <c r="E282" s="66"/>
      <c r="F282" s="66"/>
      <c r="G282" s="327"/>
      <c r="H282" s="66"/>
      <c r="I282" s="66"/>
      <c r="J282" s="327"/>
      <c r="K282" s="66"/>
      <c r="L282" s="66"/>
      <c r="M282" s="66"/>
      <c r="N282" s="66"/>
      <c r="O282" s="66"/>
      <c r="P282" s="66"/>
      <c r="Q282" s="66"/>
      <c r="R282" s="66"/>
      <c r="S282" s="66"/>
      <c r="T282" s="66"/>
      <c r="U282" s="66"/>
      <c r="V282" s="66"/>
      <c r="W282" s="66"/>
      <c r="X282" s="66"/>
      <c r="Y282" s="66"/>
      <c r="Z282" s="66"/>
      <c r="AA282" s="66"/>
      <c r="AB282" s="66"/>
      <c r="AC282" s="66"/>
    </row>
    <row r="283">
      <c r="A283" s="321">
        <v>43771.0</v>
      </c>
      <c r="B283" s="66"/>
      <c r="C283" s="66"/>
      <c r="D283" s="327"/>
      <c r="E283" s="66"/>
      <c r="F283" s="66"/>
      <c r="G283" s="327"/>
      <c r="H283" s="66"/>
      <c r="I283" s="66"/>
      <c r="J283" s="327"/>
      <c r="K283" s="66"/>
      <c r="L283" s="66"/>
      <c r="M283" s="66"/>
      <c r="N283" s="66"/>
      <c r="O283" s="66"/>
      <c r="P283" s="66"/>
      <c r="Q283" s="66"/>
      <c r="R283" s="66"/>
      <c r="S283" s="66"/>
      <c r="T283" s="66"/>
      <c r="U283" s="66"/>
      <c r="V283" s="66"/>
      <c r="W283" s="66"/>
      <c r="X283" s="66"/>
      <c r="Y283" s="66"/>
      <c r="Z283" s="66"/>
      <c r="AA283" s="66"/>
      <c r="AB283" s="66"/>
      <c r="AC283" s="66"/>
    </row>
    <row r="284">
      <c r="A284" s="321">
        <v>43772.0</v>
      </c>
      <c r="B284" s="66"/>
      <c r="C284" s="66"/>
      <c r="D284" s="327"/>
      <c r="E284" s="66"/>
      <c r="F284" s="66"/>
      <c r="G284" s="327"/>
      <c r="H284" s="66"/>
      <c r="I284" s="66"/>
      <c r="J284" s="327"/>
      <c r="K284" s="66"/>
      <c r="L284" s="66"/>
      <c r="M284" s="66"/>
      <c r="N284" s="66"/>
      <c r="O284" s="66"/>
      <c r="P284" s="66"/>
      <c r="Q284" s="66"/>
      <c r="R284" s="66"/>
      <c r="S284" s="66"/>
      <c r="T284" s="66"/>
      <c r="U284" s="66"/>
      <c r="V284" s="66"/>
      <c r="W284" s="66"/>
      <c r="X284" s="66"/>
      <c r="Y284" s="66"/>
      <c r="Z284" s="66"/>
      <c r="AA284" s="66"/>
      <c r="AB284" s="66"/>
      <c r="AC284" s="66"/>
    </row>
    <row r="285">
      <c r="A285" s="321">
        <v>43773.0</v>
      </c>
      <c r="B285" s="66"/>
      <c r="C285" s="66"/>
      <c r="D285" s="327"/>
      <c r="E285" s="66"/>
      <c r="F285" s="66"/>
      <c r="G285" s="327"/>
      <c r="H285" s="66"/>
      <c r="I285" s="66"/>
      <c r="J285" s="327"/>
      <c r="K285" s="66"/>
      <c r="L285" s="66"/>
      <c r="M285" s="66"/>
      <c r="N285" s="66"/>
      <c r="O285" s="66"/>
      <c r="P285" s="66"/>
      <c r="Q285" s="66"/>
      <c r="R285" s="66"/>
      <c r="S285" s="66"/>
      <c r="T285" s="66"/>
      <c r="U285" s="66"/>
      <c r="V285" s="66"/>
      <c r="W285" s="66"/>
      <c r="X285" s="66"/>
      <c r="Y285" s="66"/>
      <c r="Z285" s="66"/>
      <c r="AA285" s="66"/>
      <c r="AB285" s="66"/>
      <c r="AC285" s="66"/>
    </row>
    <row r="286">
      <c r="A286" s="321">
        <v>43774.0</v>
      </c>
      <c r="B286" s="66"/>
      <c r="C286" s="66"/>
      <c r="D286" s="327"/>
      <c r="E286" s="66"/>
      <c r="F286" s="66"/>
      <c r="G286" s="327"/>
      <c r="H286" s="66"/>
      <c r="I286" s="66"/>
      <c r="J286" s="327"/>
      <c r="K286" s="66"/>
      <c r="L286" s="66"/>
      <c r="M286" s="66"/>
      <c r="N286" s="66"/>
      <c r="O286" s="66"/>
      <c r="P286" s="66"/>
      <c r="Q286" s="66"/>
      <c r="R286" s="66"/>
      <c r="S286" s="66"/>
      <c r="T286" s="66"/>
      <c r="U286" s="66"/>
      <c r="V286" s="66"/>
      <c r="W286" s="66"/>
      <c r="X286" s="66"/>
      <c r="Y286" s="66"/>
      <c r="Z286" s="66"/>
      <c r="AA286" s="66"/>
      <c r="AB286" s="66"/>
      <c r="AC286" s="66"/>
    </row>
    <row r="287">
      <c r="A287" s="321">
        <v>43775.0</v>
      </c>
      <c r="B287" s="66"/>
      <c r="C287" s="66"/>
      <c r="D287" s="327"/>
      <c r="E287" s="66"/>
      <c r="F287" s="66"/>
      <c r="G287" s="327"/>
      <c r="H287" s="66"/>
      <c r="I287" s="66"/>
      <c r="J287" s="327"/>
      <c r="K287" s="66"/>
      <c r="L287" s="66"/>
      <c r="M287" s="66"/>
      <c r="N287" s="66"/>
      <c r="O287" s="66"/>
      <c r="P287" s="66"/>
      <c r="Q287" s="66"/>
      <c r="R287" s="66"/>
      <c r="S287" s="66"/>
      <c r="T287" s="66"/>
      <c r="U287" s="66"/>
      <c r="V287" s="66"/>
      <c r="W287" s="66"/>
      <c r="X287" s="66"/>
      <c r="Y287" s="66"/>
      <c r="Z287" s="66"/>
      <c r="AA287" s="66"/>
      <c r="AB287" s="66"/>
      <c r="AC287" s="66"/>
    </row>
    <row r="288">
      <c r="A288" s="321">
        <v>43776.0</v>
      </c>
      <c r="B288" s="66"/>
      <c r="C288" s="66"/>
      <c r="D288" s="327"/>
      <c r="E288" s="66"/>
      <c r="F288" s="66"/>
      <c r="G288" s="327"/>
      <c r="H288" s="66"/>
      <c r="I288" s="66"/>
      <c r="J288" s="327"/>
      <c r="K288" s="66"/>
      <c r="L288" s="66"/>
      <c r="M288" s="66"/>
      <c r="N288" s="66"/>
      <c r="O288" s="66"/>
      <c r="P288" s="66"/>
      <c r="Q288" s="66"/>
      <c r="R288" s="66"/>
      <c r="S288" s="66"/>
      <c r="T288" s="66"/>
      <c r="U288" s="66"/>
      <c r="V288" s="66"/>
      <c r="W288" s="66"/>
      <c r="X288" s="66"/>
      <c r="Y288" s="66"/>
      <c r="Z288" s="66"/>
      <c r="AA288" s="66"/>
      <c r="AB288" s="66"/>
      <c r="AC288" s="66"/>
    </row>
    <row r="289">
      <c r="A289" s="321">
        <v>43777.0</v>
      </c>
      <c r="B289" s="66"/>
      <c r="C289" s="66"/>
      <c r="D289" s="327"/>
      <c r="E289" s="66"/>
      <c r="F289" s="66"/>
      <c r="G289" s="327"/>
      <c r="H289" s="66"/>
      <c r="I289" s="66"/>
      <c r="J289" s="327"/>
      <c r="K289" s="66"/>
      <c r="L289" s="66"/>
      <c r="M289" s="66"/>
      <c r="N289" s="66"/>
      <c r="O289" s="66"/>
      <c r="P289" s="66"/>
      <c r="Q289" s="66"/>
      <c r="R289" s="66"/>
      <c r="S289" s="66"/>
      <c r="T289" s="66"/>
      <c r="U289" s="66"/>
      <c r="V289" s="66"/>
      <c r="W289" s="66"/>
      <c r="X289" s="66"/>
      <c r="Y289" s="66"/>
      <c r="Z289" s="66"/>
      <c r="AA289" s="66"/>
      <c r="AB289" s="66"/>
      <c r="AC289" s="66"/>
    </row>
    <row r="290">
      <c r="A290" s="321">
        <v>43778.0</v>
      </c>
      <c r="B290" s="66"/>
      <c r="C290" s="66"/>
      <c r="D290" s="327"/>
      <c r="E290" s="66"/>
      <c r="F290" s="66"/>
      <c r="G290" s="327"/>
      <c r="H290" s="66"/>
      <c r="I290" s="66"/>
      <c r="J290" s="327"/>
      <c r="K290" s="66"/>
      <c r="L290" s="66"/>
      <c r="M290" s="66"/>
      <c r="N290" s="66"/>
      <c r="O290" s="66"/>
      <c r="P290" s="66"/>
      <c r="Q290" s="66"/>
      <c r="R290" s="66"/>
      <c r="S290" s="66"/>
      <c r="T290" s="66"/>
      <c r="U290" s="66"/>
      <c r="V290" s="66"/>
      <c r="W290" s="66"/>
      <c r="X290" s="66"/>
      <c r="Y290" s="66"/>
      <c r="Z290" s="66"/>
      <c r="AA290" s="66"/>
      <c r="AB290" s="66"/>
      <c r="AC290" s="66"/>
    </row>
    <row r="291">
      <c r="A291" s="321">
        <v>43779.0</v>
      </c>
      <c r="B291" s="66"/>
      <c r="C291" s="66"/>
      <c r="D291" s="327"/>
      <c r="E291" s="66"/>
      <c r="F291" s="66"/>
      <c r="G291" s="327"/>
      <c r="H291" s="66"/>
      <c r="I291" s="66"/>
      <c r="J291" s="327"/>
      <c r="K291" s="66"/>
      <c r="L291" s="66"/>
      <c r="M291" s="66"/>
      <c r="N291" s="66"/>
      <c r="O291" s="66"/>
      <c r="P291" s="66"/>
      <c r="Q291" s="66"/>
      <c r="R291" s="66"/>
      <c r="S291" s="66"/>
      <c r="T291" s="66"/>
      <c r="U291" s="66"/>
      <c r="V291" s="66"/>
      <c r="W291" s="66"/>
      <c r="X291" s="66"/>
      <c r="Y291" s="66"/>
      <c r="Z291" s="66"/>
      <c r="AA291" s="66"/>
      <c r="AB291" s="66"/>
      <c r="AC291" s="66"/>
    </row>
    <row r="292">
      <c r="A292" s="321">
        <v>43780.0</v>
      </c>
      <c r="B292" s="66"/>
      <c r="C292" s="66"/>
      <c r="D292" s="327"/>
      <c r="E292" s="66"/>
      <c r="F292" s="66"/>
      <c r="G292" s="327"/>
      <c r="H292" s="66"/>
      <c r="I292" s="66"/>
      <c r="J292" s="327"/>
      <c r="K292" s="66"/>
      <c r="L292" s="66"/>
      <c r="M292" s="66"/>
      <c r="N292" s="66"/>
      <c r="O292" s="66"/>
      <c r="P292" s="66"/>
      <c r="Q292" s="66"/>
      <c r="R292" s="66"/>
      <c r="S292" s="66"/>
      <c r="T292" s="66"/>
      <c r="U292" s="66"/>
      <c r="V292" s="66"/>
      <c r="W292" s="66"/>
      <c r="X292" s="66"/>
      <c r="Y292" s="66"/>
      <c r="Z292" s="66"/>
      <c r="AA292" s="66"/>
      <c r="AB292" s="66"/>
      <c r="AC292" s="66"/>
    </row>
    <row r="293">
      <c r="A293" s="321">
        <v>43781.0</v>
      </c>
      <c r="B293" s="66"/>
      <c r="C293" s="66"/>
      <c r="D293" s="327"/>
      <c r="E293" s="66"/>
      <c r="F293" s="66"/>
      <c r="G293" s="327"/>
      <c r="H293" s="66"/>
      <c r="I293" s="66"/>
      <c r="J293" s="327"/>
      <c r="K293" s="66"/>
      <c r="L293" s="66"/>
      <c r="M293" s="66"/>
      <c r="N293" s="66"/>
      <c r="O293" s="66"/>
      <c r="P293" s="66"/>
      <c r="Q293" s="66"/>
      <c r="R293" s="66"/>
      <c r="S293" s="66"/>
      <c r="T293" s="66"/>
      <c r="U293" s="66"/>
      <c r="V293" s="66"/>
      <c r="W293" s="66"/>
      <c r="X293" s="66"/>
      <c r="Y293" s="66"/>
      <c r="Z293" s="66"/>
      <c r="AA293" s="66"/>
      <c r="AB293" s="66"/>
      <c r="AC293" s="66"/>
    </row>
    <row r="294">
      <c r="A294" s="321">
        <v>43782.0</v>
      </c>
      <c r="B294" s="66"/>
      <c r="C294" s="66"/>
      <c r="D294" s="327"/>
      <c r="E294" s="66"/>
      <c r="F294" s="66"/>
      <c r="G294" s="327"/>
      <c r="H294" s="66"/>
      <c r="I294" s="66"/>
      <c r="J294" s="327"/>
      <c r="K294" s="66"/>
      <c r="L294" s="66"/>
      <c r="M294" s="66"/>
      <c r="N294" s="66"/>
      <c r="O294" s="66"/>
      <c r="P294" s="66"/>
      <c r="Q294" s="66"/>
      <c r="R294" s="66"/>
      <c r="S294" s="66"/>
      <c r="T294" s="66"/>
      <c r="U294" s="66"/>
      <c r="V294" s="66"/>
      <c r="W294" s="66"/>
      <c r="X294" s="66"/>
      <c r="Y294" s="66"/>
      <c r="Z294" s="66"/>
      <c r="AA294" s="66"/>
      <c r="AB294" s="66"/>
      <c r="AC294" s="66"/>
    </row>
    <row r="295">
      <c r="A295" s="321">
        <v>43783.0</v>
      </c>
      <c r="B295" s="66"/>
      <c r="C295" s="66"/>
      <c r="D295" s="327"/>
      <c r="E295" s="66"/>
      <c r="F295" s="66"/>
      <c r="G295" s="327"/>
      <c r="H295" s="66"/>
      <c r="I295" s="66"/>
      <c r="J295" s="327"/>
      <c r="K295" s="66"/>
      <c r="L295" s="66"/>
      <c r="M295" s="66"/>
      <c r="N295" s="66"/>
      <c r="O295" s="66"/>
      <c r="P295" s="66"/>
      <c r="Q295" s="66"/>
      <c r="R295" s="66"/>
      <c r="S295" s="66"/>
      <c r="T295" s="66"/>
      <c r="U295" s="66"/>
      <c r="V295" s="66"/>
      <c r="W295" s="66"/>
      <c r="X295" s="66"/>
      <c r="Y295" s="66"/>
      <c r="Z295" s="66"/>
      <c r="AA295" s="66"/>
      <c r="AB295" s="66"/>
      <c r="AC295" s="66"/>
    </row>
    <row r="296">
      <c r="A296" s="321">
        <v>43784.0</v>
      </c>
      <c r="B296" s="66"/>
      <c r="C296" s="66"/>
      <c r="D296" s="327"/>
      <c r="E296" s="66"/>
      <c r="F296" s="66"/>
      <c r="G296" s="327"/>
      <c r="H296" s="66"/>
      <c r="I296" s="66"/>
      <c r="J296" s="327"/>
      <c r="K296" s="66"/>
      <c r="L296" s="66"/>
      <c r="M296" s="66"/>
      <c r="N296" s="66"/>
      <c r="O296" s="66"/>
      <c r="P296" s="66"/>
      <c r="Q296" s="66"/>
      <c r="R296" s="66"/>
      <c r="S296" s="66"/>
      <c r="T296" s="66"/>
      <c r="U296" s="66"/>
      <c r="V296" s="66"/>
      <c r="W296" s="66"/>
      <c r="X296" s="66"/>
      <c r="Y296" s="66"/>
      <c r="Z296" s="66"/>
      <c r="AA296" s="66"/>
      <c r="AB296" s="66"/>
      <c r="AC296" s="66"/>
    </row>
    <row r="297">
      <c r="A297" s="321">
        <v>43785.0</v>
      </c>
      <c r="B297" s="66"/>
      <c r="C297" s="66"/>
      <c r="D297" s="327"/>
      <c r="E297" s="66"/>
      <c r="F297" s="66"/>
      <c r="G297" s="327"/>
      <c r="H297" s="66"/>
      <c r="I297" s="66"/>
      <c r="J297" s="327"/>
      <c r="K297" s="66"/>
      <c r="L297" s="66"/>
      <c r="M297" s="66"/>
      <c r="N297" s="66"/>
      <c r="O297" s="66"/>
      <c r="P297" s="66"/>
      <c r="Q297" s="66"/>
      <c r="R297" s="66"/>
      <c r="S297" s="66"/>
      <c r="T297" s="66"/>
      <c r="U297" s="66"/>
      <c r="V297" s="66"/>
      <c r="W297" s="66"/>
      <c r="X297" s="66"/>
      <c r="Y297" s="66"/>
      <c r="Z297" s="66"/>
      <c r="AA297" s="66"/>
      <c r="AB297" s="66"/>
      <c r="AC297" s="66"/>
    </row>
    <row r="298">
      <c r="A298" s="321">
        <v>43786.0</v>
      </c>
      <c r="B298" s="66"/>
      <c r="C298" s="66"/>
      <c r="D298" s="327"/>
      <c r="E298" s="66"/>
      <c r="F298" s="66"/>
      <c r="G298" s="327"/>
      <c r="H298" s="66"/>
      <c r="I298" s="66"/>
      <c r="J298" s="327"/>
      <c r="K298" s="66"/>
      <c r="L298" s="66"/>
      <c r="M298" s="66"/>
      <c r="N298" s="66"/>
      <c r="O298" s="66"/>
      <c r="P298" s="66"/>
      <c r="Q298" s="66"/>
      <c r="R298" s="66"/>
      <c r="S298" s="66"/>
      <c r="T298" s="66"/>
      <c r="U298" s="66"/>
      <c r="V298" s="66"/>
      <c r="W298" s="66"/>
      <c r="X298" s="66"/>
      <c r="Y298" s="66"/>
      <c r="Z298" s="66"/>
      <c r="AA298" s="66"/>
      <c r="AB298" s="66"/>
      <c r="AC298" s="66"/>
    </row>
    <row r="299">
      <c r="A299" s="321">
        <v>43787.0</v>
      </c>
      <c r="B299" s="66"/>
      <c r="C299" s="66"/>
      <c r="D299" s="327"/>
      <c r="E299" s="66"/>
      <c r="F299" s="66"/>
      <c r="G299" s="327"/>
      <c r="H299" s="66"/>
      <c r="I299" s="66"/>
      <c r="J299" s="327"/>
      <c r="K299" s="66"/>
      <c r="L299" s="66"/>
      <c r="M299" s="66"/>
      <c r="N299" s="66"/>
      <c r="O299" s="66"/>
      <c r="P299" s="66"/>
      <c r="Q299" s="66"/>
      <c r="R299" s="66"/>
      <c r="S299" s="66"/>
      <c r="T299" s="66"/>
      <c r="U299" s="66"/>
      <c r="V299" s="66"/>
      <c r="W299" s="66"/>
      <c r="X299" s="66"/>
      <c r="Y299" s="66"/>
      <c r="Z299" s="66"/>
      <c r="AA299" s="66"/>
      <c r="AB299" s="66"/>
      <c r="AC299" s="66"/>
    </row>
    <row r="300">
      <c r="A300" s="321">
        <v>43788.0</v>
      </c>
      <c r="B300" s="66"/>
      <c r="C300" s="66"/>
      <c r="D300" s="327"/>
      <c r="E300" s="66"/>
      <c r="F300" s="66"/>
      <c r="G300" s="327"/>
      <c r="H300" s="66"/>
      <c r="I300" s="66"/>
      <c r="J300" s="327"/>
      <c r="K300" s="66"/>
      <c r="L300" s="66"/>
      <c r="M300" s="66"/>
      <c r="N300" s="66"/>
      <c r="O300" s="66"/>
      <c r="P300" s="66"/>
      <c r="Q300" s="66"/>
      <c r="R300" s="66"/>
      <c r="S300" s="66"/>
      <c r="T300" s="66"/>
      <c r="U300" s="66"/>
      <c r="V300" s="66"/>
      <c r="W300" s="66"/>
      <c r="X300" s="66"/>
      <c r="Y300" s="66"/>
      <c r="Z300" s="66"/>
      <c r="AA300" s="66"/>
      <c r="AB300" s="66"/>
      <c r="AC300" s="66"/>
    </row>
    <row r="301">
      <c r="A301" s="321">
        <v>43789.0</v>
      </c>
      <c r="B301" s="66"/>
      <c r="C301" s="66"/>
      <c r="D301" s="327"/>
      <c r="E301" s="66"/>
      <c r="F301" s="66"/>
      <c r="G301" s="327"/>
      <c r="H301" s="66"/>
      <c r="I301" s="66"/>
      <c r="J301" s="327"/>
      <c r="K301" s="66"/>
      <c r="L301" s="66"/>
      <c r="M301" s="66"/>
      <c r="N301" s="66"/>
      <c r="O301" s="66"/>
      <c r="P301" s="66"/>
      <c r="Q301" s="66"/>
      <c r="R301" s="66"/>
      <c r="S301" s="66"/>
      <c r="T301" s="66"/>
      <c r="U301" s="66"/>
      <c r="V301" s="66"/>
      <c r="W301" s="66"/>
      <c r="X301" s="66"/>
      <c r="Y301" s="66"/>
      <c r="Z301" s="66"/>
      <c r="AA301" s="66"/>
      <c r="AB301" s="66"/>
      <c r="AC301" s="66"/>
    </row>
    <row r="302">
      <c r="A302" s="321">
        <v>43790.0</v>
      </c>
      <c r="B302" s="66"/>
      <c r="C302" s="66"/>
      <c r="D302" s="327"/>
      <c r="E302" s="66"/>
      <c r="F302" s="66"/>
      <c r="G302" s="327"/>
      <c r="H302" s="66"/>
      <c r="I302" s="66"/>
      <c r="J302" s="327"/>
      <c r="K302" s="66"/>
      <c r="L302" s="66"/>
      <c r="M302" s="66"/>
      <c r="N302" s="66"/>
      <c r="O302" s="66"/>
      <c r="P302" s="66"/>
      <c r="Q302" s="66"/>
      <c r="R302" s="66"/>
      <c r="S302" s="66"/>
      <c r="T302" s="66"/>
      <c r="U302" s="66"/>
      <c r="V302" s="66"/>
      <c r="W302" s="66"/>
      <c r="X302" s="66"/>
      <c r="Y302" s="66"/>
      <c r="Z302" s="66"/>
      <c r="AA302" s="66"/>
      <c r="AB302" s="66"/>
      <c r="AC302" s="66"/>
    </row>
    <row r="303">
      <c r="A303" s="321">
        <v>43791.0</v>
      </c>
      <c r="B303" s="66"/>
      <c r="C303" s="66"/>
      <c r="D303" s="327"/>
      <c r="E303" s="66"/>
      <c r="F303" s="66"/>
      <c r="G303" s="327"/>
      <c r="H303" s="66"/>
      <c r="I303" s="66"/>
      <c r="J303" s="327"/>
      <c r="K303" s="66"/>
      <c r="L303" s="66"/>
      <c r="M303" s="66"/>
      <c r="N303" s="66"/>
      <c r="O303" s="66"/>
      <c r="P303" s="66"/>
      <c r="Q303" s="66"/>
      <c r="R303" s="66"/>
      <c r="S303" s="66"/>
      <c r="T303" s="66"/>
      <c r="U303" s="66"/>
      <c r="V303" s="66"/>
      <c r="W303" s="66"/>
      <c r="X303" s="66"/>
      <c r="Y303" s="66"/>
      <c r="Z303" s="66"/>
      <c r="AA303" s="66"/>
      <c r="AB303" s="66"/>
      <c r="AC303" s="66"/>
    </row>
    <row r="304">
      <c r="A304" s="321">
        <v>43792.0</v>
      </c>
      <c r="B304" s="66"/>
      <c r="C304" s="66"/>
      <c r="D304" s="327"/>
      <c r="E304" s="66"/>
      <c r="F304" s="66"/>
      <c r="G304" s="327"/>
      <c r="H304" s="66"/>
      <c r="I304" s="66"/>
      <c r="J304" s="327"/>
      <c r="K304" s="66"/>
      <c r="L304" s="66"/>
      <c r="M304" s="66"/>
      <c r="N304" s="66"/>
      <c r="O304" s="66"/>
      <c r="P304" s="66"/>
      <c r="Q304" s="66"/>
      <c r="R304" s="66"/>
      <c r="S304" s="66"/>
      <c r="T304" s="66"/>
      <c r="U304" s="66"/>
      <c r="V304" s="66"/>
      <c r="W304" s="66"/>
      <c r="X304" s="66"/>
      <c r="Y304" s="66"/>
      <c r="Z304" s="66"/>
      <c r="AA304" s="66"/>
      <c r="AB304" s="66"/>
      <c r="AC304" s="66"/>
    </row>
    <row r="305">
      <c r="A305" s="321">
        <v>43793.0</v>
      </c>
      <c r="B305" s="66"/>
      <c r="C305" s="66"/>
      <c r="D305" s="327"/>
      <c r="E305" s="66"/>
      <c r="F305" s="66"/>
      <c r="G305" s="327"/>
      <c r="H305" s="66"/>
      <c r="I305" s="66"/>
      <c r="J305" s="327"/>
      <c r="K305" s="66"/>
      <c r="L305" s="66"/>
      <c r="M305" s="66"/>
      <c r="N305" s="66"/>
      <c r="O305" s="66"/>
      <c r="P305" s="66"/>
      <c r="Q305" s="66"/>
      <c r="R305" s="66"/>
      <c r="S305" s="66"/>
      <c r="T305" s="66"/>
      <c r="U305" s="66"/>
      <c r="V305" s="66"/>
      <c r="W305" s="66"/>
      <c r="X305" s="66"/>
      <c r="Y305" s="66"/>
      <c r="Z305" s="66"/>
      <c r="AA305" s="66"/>
      <c r="AB305" s="66"/>
      <c r="AC305" s="66"/>
    </row>
    <row r="306">
      <c r="A306" s="321">
        <v>43794.0</v>
      </c>
      <c r="B306" s="66"/>
      <c r="C306" s="66"/>
      <c r="D306" s="327"/>
      <c r="E306" s="66"/>
      <c r="F306" s="66"/>
      <c r="G306" s="327"/>
      <c r="H306" s="66"/>
      <c r="I306" s="66"/>
      <c r="J306" s="327"/>
      <c r="K306" s="66"/>
      <c r="L306" s="66"/>
      <c r="M306" s="66"/>
      <c r="N306" s="66"/>
      <c r="O306" s="66"/>
      <c r="P306" s="66"/>
      <c r="Q306" s="66"/>
      <c r="R306" s="66"/>
      <c r="S306" s="66"/>
      <c r="T306" s="66"/>
      <c r="U306" s="66"/>
      <c r="V306" s="66"/>
      <c r="W306" s="66"/>
      <c r="X306" s="66"/>
      <c r="Y306" s="66"/>
      <c r="Z306" s="66"/>
      <c r="AA306" s="66"/>
      <c r="AB306" s="66"/>
      <c r="AC306" s="66"/>
    </row>
    <row r="307">
      <c r="A307" s="321">
        <v>43795.0</v>
      </c>
      <c r="B307" s="66"/>
      <c r="C307" s="66"/>
      <c r="D307" s="327"/>
      <c r="E307" s="66"/>
      <c r="F307" s="66"/>
      <c r="G307" s="327"/>
      <c r="H307" s="66"/>
      <c r="I307" s="66"/>
      <c r="J307" s="327"/>
      <c r="K307" s="66"/>
      <c r="L307" s="66"/>
      <c r="M307" s="66"/>
      <c r="N307" s="66"/>
      <c r="O307" s="66"/>
      <c r="P307" s="66"/>
      <c r="Q307" s="66"/>
      <c r="R307" s="66"/>
      <c r="S307" s="66"/>
      <c r="T307" s="66"/>
      <c r="U307" s="66"/>
      <c r="V307" s="66"/>
      <c r="W307" s="66"/>
      <c r="X307" s="66"/>
      <c r="Y307" s="66"/>
      <c r="Z307" s="66"/>
      <c r="AA307" s="66"/>
      <c r="AB307" s="66"/>
      <c r="AC307" s="66"/>
    </row>
    <row r="308">
      <c r="A308" s="321">
        <v>43796.0</v>
      </c>
      <c r="B308" s="66"/>
      <c r="C308" s="66"/>
      <c r="D308" s="327"/>
      <c r="E308" s="66"/>
      <c r="F308" s="66"/>
      <c r="G308" s="327"/>
      <c r="H308" s="66"/>
      <c r="I308" s="66"/>
      <c r="J308" s="327"/>
      <c r="K308" s="66"/>
      <c r="L308" s="66"/>
      <c r="M308" s="66"/>
      <c r="N308" s="66"/>
      <c r="O308" s="66"/>
      <c r="P308" s="66"/>
      <c r="Q308" s="66"/>
      <c r="R308" s="66"/>
      <c r="S308" s="66"/>
      <c r="T308" s="66"/>
      <c r="U308" s="66"/>
      <c r="V308" s="66"/>
      <c r="W308" s="66"/>
      <c r="X308" s="66"/>
      <c r="Y308" s="66"/>
      <c r="Z308" s="66"/>
      <c r="AA308" s="66"/>
      <c r="AB308" s="66"/>
      <c r="AC308" s="66"/>
    </row>
    <row r="309">
      <c r="A309" s="321">
        <v>43797.0</v>
      </c>
      <c r="B309" s="66"/>
      <c r="C309" s="66"/>
      <c r="D309" s="327"/>
      <c r="E309" s="66"/>
      <c r="F309" s="66"/>
      <c r="G309" s="327"/>
      <c r="H309" s="66"/>
      <c r="I309" s="66"/>
      <c r="J309" s="327"/>
      <c r="K309" s="66"/>
      <c r="L309" s="66"/>
      <c r="M309" s="66"/>
      <c r="N309" s="66"/>
      <c r="O309" s="66"/>
      <c r="P309" s="66"/>
      <c r="Q309" s="66"/>
      <c r="R309" s="66"/>
      <c r="S309" s="66"/>
      <c r="T309" s="66"/>
      <c r="U309" s="66"/>
      <c r="V309" s="66"/>
      <c r="W309" s="66"/>
      <c r="X309" s="66"/>
      <c r="Y309" s="66"/>
      <c r="Z309" s="66"/>
      <c r="AA309" s="66"/>
      <c r="AB309" s="66"/>
      <c r="AC309" s="66"/>
    </row>
    <row r="310">
      <c r="A310" s="321">
        <v>43798.0</v>
      </c>
      <c r="B310" s="66"/>
      <c r="C310" s="66"/>
      <c r="D310" s="327"/>
      <c r="E310" s="66"/>
      <c r="F310" s="66"/>
      <c r="G310" s="327"/>
      <c r="H310" s="66"/>
      <c r="I310" s="66"/>
      <c r="J310" s="327"/>
      <c r="K310" s="66"/>
      <c r="L310" s="66"/>
      <c r="M310" s="66"/>
      <c r="N310" s="66"/>
      <c r="O310" s="66"/>
      <c r="P310" s="66"/>
      <c r="Q310" s="66"/>
      <c r="R310" s="66"/>
      <c r="S310" s="66"/>
      <c r="T310" s="66"/>
      <c r="U310" s="66"/>
      <c r="V310" s="66"/>
      <c r="W310" s="66"/>
      <c r="X310" s="66"/>
      <c r="Y310" s="66"/>
      <c r="Z310" s="66"/>
      <c r="AA310" s="66"/>
      <c r="AB310" s="66"/>
      <c r="AC310" s="66"/>
    </row>
    <row r="311">
      <c r="A311" s="321">
        <v>43799.0</v>
      </c>
      <c r="B311" s="66"/>
      <c r="C311" s="66"/>
      <c r="D311" s="327"/>
      <c r="E311" s="66"/>
      <c r="F311" s="66"/>
      <c r="G311" s="327"/>
      <c r="H311" s="66"/>
      <c r="I311" s="66"/>
      <c r="J311" s="327"/>
      <c r="K311" s="66"/>
      <c r="L311" s="66"/>
      <c r="M311" s="66"/>
      <c r="N311" s="66"/>
      <c r="O311" s="66"/>
      <c r="P311" s="66"/>
      <c r="Q311" s="66"/>
      <c r="R311" s="66"/>
      <c r="S311" s="66"/>
      <c r="T311" s="66"/>
      <c r="U311" s="66"/>
      <c r="V311" s="66"/>
      <c r="W311" s="66"/>
      <c r="X311" s="66"/>
      <c r="Y311" s="66"/>
      <c r="Z311" s="66"/>
      <c r="AA311" s="66"/>
      <c r="AB311" s="66"/>
      <c r="AC311" s="66"/>
    </row>
    <row r="312">
      <c r="A312" s="321">
        <v>43800.0</v>
      </c>
      <c r="B312" s="66"/>
      <c r="C312" s="66"/>
      <c r="D312" s="327"/>
      <c r="E312" s="66"/>
      <c r="F312" s="66"/>
      <c r="G312" s="327"/>
      <c r="H312" s="66"/>
      <c r="I312" s="66"/>
      <c r="J312" s="327"/>
      <c r="K312" s="66"/>
      <c r="L312" s="66"/>
      <c r="M312" s="66"/>
      <c r="N312" s="66"/>
      <c r="O312" s="66"/>
      <c r="P312" s="66"/>
      <c r="Q312" s="66"/>
      <c r="R312" s="66"/>
      <c r="S312" s="66"/>
      <c r="T312" s="66"/>
      <c r="U312" s="66"/>
      <c r="V312" s="66"/>
      <c r="W312" s="66"/>
      <c r="X312" s="66"/>
      <c r="Y312" s="66"/>
      <c r="Z312" s="66"/>
      <c r="AA312" s="66"/>
      <c r="AB312" s="66"/>
      <c r="AC312" s="66"/>
    </row>
    <row r="313">
      <c r="A313" s="321">
        <v>43801.0</v>
      </c>
      <c r="B313" s="66"/>
      <c r="C313" s="66"/>
      <c r="D313" s="327"/>
      <c r="E313" s="66"/>
      <c r="F313" s="66"/>
      <c r="G313" s="327"/>
      <c r="H313" s="66"/>
      <c r="I313" s="66"/>
      <c r="J313" s="327"/>
      <c r="K313" s="66"/>
      <c r="L313" s="66"/>
      <c r="M313" s="66"/>
      <c r="N313" s="66"/>
      <c r="O313" s="66"/>
      <c r="P313" s="66"/>
      <c r="Q313" s="66"/>
      <c r="R313" s="66"/>
      <c r="S313" s="66"/>
      <c r="T313" s="66"/>
      <c r="U313" s="66"/>
      <c r="V313" s="66"/>
      <c r="W313" s="66"/>
      <c r="X313" s="66"/>
      <c r="Y313" s="66"/>
      <c r="Z313" s="66"/>
      <c r="AA313" s="66"/>
      <c r="AB313" s="66"/>
      <c r="AC313" s="66"/>
    </row>
    <row r="314">
      <c r="A314" s="321">
        <v>43802.0</v>
      </c>
      <c r="B314" s="66"/>
      <c r="C314" s="66"/>
      <c r="D314" s="327"/>
      <c r="E314" s="66"/>
      <c r="F314" s="66"/>
      <c r="G314" s="327"/>
      <c r="H314" s="66"/>
      <c r="I314" s="66"/>
      <c r="J314" s="327"/>
      <c r="K314" s="66"/>
      <c r="L314" s="66"/>
      <c r="M314" s="66"/>
      <c r="N314" s="66"/>
      <c r="O314" s="66"/>
      <c r="P314" s="66"/>
      <c r="Q314" s="66"/>
      <c r="R314" s="66"/>
      <c r="S314" s="66"/>
      <c r="T314" s="66"/>
      <c r="U314" s="66"/>
      <c r="V314" s="66"/>
      <c r="W314" s="66"/>
      <c r="X314" s="66"/>
      <c r="Y314" s="66"/>
      <c r="Z314" s="66"/>
      <c r="AA314" s="66"/>
      <c r="AB314" s="66"/>
      <c r="AC314" s="66"/>
    </row>
    <row r="315">
      <c r="A315" s="321">
        <v>43803.0</v>
      </c>
      <c r="B315" s="66"/>
      <c r="C315" s="66"/>
      <c r="D315" s="327"/>
      <c r="E315" s="66"/>
      <c r="F315" s="66"/>
      <c r="G315" s="327"/>
      <c r="H315" s="66"/>
      <c r="I315" s="66"/>
      <c r="J315" s="327"/>
      <c r="K315" s="66"/>
      <c r="L315" s="66"/>
      <c r="M315" s="66"/>
      <c r="N315" s="66"/>
      <c r="O315" s="66"/>
      <c r="P315" s="66"/>
      <c r="Q315" s="66"/>
      <c r="R315" s="66"/>
      <c r="S315" s="66"/>
      <c r="T315" s="66"/>
      <c r="U315" s="66"/>
      <c r="V315" s="66"/>
      <c r="W315" s="66"/>
      <c r="X315" s="66"/>
      <c r="Y315" s="66"/>
      <c r="Z315" s="66"/>
      <c r="AA315" s="66"/>
      <c r="AB315" s="66"/>
      <c r="AC315" s="66"/>
    </row>
    <row r="316">
      <c r="A316" s="321">
        <v>43804.0</v>
      </c>
      <c r="B316" s="66"/>
      <c r="C316" s="66"/>
      <c r="D316" s="327"/>
      <c r="E316" s="66"/>
      <c r="F316" s="66"/>
      <c r="G316" s="327"/>
      <c r="H316" s="66"/>
      <c r="I316" s="66"/>
      <c r="J316" s="327"/>
      <c r="K316" s="66"/>
      <c r="L316" s="66"/>
      <c r="M316" s="66"/>
      <c r="N316" s="66"/>
      <c r="O316" s="66"/>
      <c r="P316" s="66"/>
      <c r="Q316" s="66"/>
      <c r="R316" s="66"/>
      <c r="S316" s="66"/>
      <c r="T316" s="66"/>
      <c r="U316" s="66"/>
      <c r="V316" s="66"/>
      <c r="W316" s="66"/>
      <c r="X316" s="66"/>
      <c r="Y316" s="66"/>
      <c r="Z316" s="66"/>
      <c r="AA316" s="66"/>
      <c r="AB316" s="66"/>
      <c r="AC316" s="66"/>
    </row>
    <row r="317">
      <c r="A317" s="321">
        <v>43805.0</v>
      </c>
      <c r="B317" s="66"/>
      <c r="C317" s="66"/>
      <c r="D317" s="327"/>
      <c r="E317" s="66"/>
      <c r="F317" s="66"/>
      <c r="G317" s="327"/>
      <c r="H317" s="66"/>
      <c r="I317" s="66"/>
      <c r="J317" s="327"/>
      <c r="K317" s="66"/>
      <c r="L317" s="66"/>
      <c r="M317" s="66"/>
      <c r="N317" s="66"/>
      <c r="O317" s="66"/>
      <c r="P317" s="66"/>
      <c r="Q317" s="66"/>
      <c r="R317" s="66"/>
      <c r="S317" s="66"/>
      <c r="T317" s="66"/>
      <c r="U317" s="66"/>
      <c r="V317" s="66"/>
      <c r="W317" s="66"/>
      <c r="X317" s="66"/>
      <c r="Y317" s="66"/>
      <c r="Z317" s="66"/>
      <c r="AA317" s="66"/>
      <c r="AB317" s="66"/>
      <c r="AC317" s="66"/>
    </row>
    <row r="318">
      <c r="A318" s="321">
        <v>43806.0</v>
      </c>
      <c r="B318" s="66"/>
      <c r="C318" s="66"/>
      <c r="D318" s="327"/>
      <c r="E318" s="66"/>
      <c r="F318" s="66"/>
      <c r="G318" s="327"/>
      <c r="H318" s="66"/>
      <c r="I318" s="66"/>
      <c r="J318" s="327"/>
      <c r="K318" s="66"/>
      <c r="L318" s="66"/>
      <c r="M318" s="66"/>
      <c r="N318" s="66"/>
      <c r="O318" s="66"/>
      <c r="P318" s="66"/>
      <c r="Q318" s="66"/>
      <c r="R318" s="66"/>
      <c r="S318" s="66"/>
      <c r="T318" s="66"/>
      <c r="U318" s="66"/>
      <c r="V318" s="66"/>
      <c r="W318" s="66"/>
      <c r="X318" s="66"/>
      <c r="Y318" s="66"/>
      <c r="Z318" s="66"/>
      <c r="AA318" s="66"/>
      <c r="AB318" s="66"/>
      <c r="AC318" s="66"/>
    </row>
    <row r="319">
      <c r="A319" s="321">
        <v>43807.0</v>
      </c>
      <c r="B319" s="66"/>
      <c r="C319" s="66"/>
      <c r="D319" s="327"/>
      <c r="E319" s="66"/>
      <c r="F319" s="66"/>
      <c r="G319" s="327"/>
      <c r="H319" s="66"/>
      <c r="I319" s="66"/>
      <c r="J319" s="327"/>
      <c r="K319" s="66"/>
      <c r="L319" s="66"/>
      <c r="M319" s="66"/>
      <c r="N319" s="66"/>
      <c r="O319" s="66"/>
      <c r="P319" s="66"/>
      <c r="Q319" s="66"/>
      <c r="R319" s="66"/>
      <c r="S319" s="66"/>
      <c r="T319" s="66"/>
      <c r="U319" s="66"/>
      <c r="V319" s="66"/>
      <c r="W319" s="66"/>
      <c r="X319" s="66"/>
      <c r="Y319" s="66"/>
      <c r="Z319" s="66"/>
      <c r="AA319" s="66"/>
      <c r="AB319" s="66"/>
      <c r="AC319" s="66"/>
    </row>
    <row r="320">
      <c r="A320" s="321">
        <v>43808.0</v>
      </c>
      <c r="B320" s="66"/>
      <c r="C320" s="66"/>
      <c r="D320" s="327"/>
      <c r="E320" s="66"/>
      <c r="F320" s="66"/>
      <c r="G320" s="327"/>
      <c r="H320" s="66"/>
      <c r="I320" s="66"/>
      <c r="J320" s="327"/>
      <c r="K320" s="66"/>
      <c r="L320" s="66"/>
      <c r="M320" s="66"/>
      <c r="N320" s="66"/>
      <c r="O320" s="66"/>
      <c r="P320" s="66"/>
      <c r="Q320" s="66"/>
      <c r="R320" s="66"/>
      <c r="S320" s="66"/>
      <c r="T320" s="66"/>
      <c r="U320" s="66"/>
      <c r="V320" s="66"/>
      <c r="W320" s="66"/>
      <c r="X320" s="66"/>
      <c r="Y320" s="66"/>
      <c r="Z320" s="66"/>
      <c r="AA320" s="66"/>
      <c r="AB320" s="66"/>
      <c r="AC320" s="66"/>
    </row>
    <row r="321">
      <c r="A321" s="321">
        <v>43809.0</v>
      </c>
      <c r="B321" s="66"/>
      <c r="C321" s="66"/>
      <c r="D321" s="327"/>
      <c r="E321" s="66"/>
      <c r="F321" s="66"/>
      <c r="G321" s="327"/>
      <c r="H321" s="66"/>
      <c r="I321" s="66"/>
      <c r="J321" s="327"/>
      <c r="K321" s="66"/>
      <c r="L321" s="66"/>
      <c r="M321" s="66"/>
      <c r="N321" s="66"/>
      <c r="O321" s="66"/>
      <c r="P321" s="66"/>
      <c r="Q321" s="66"/>
      <c r="R321" s="66"/>
      <c r="S321" s="66"/>
      <c r="T321" s="66"/>
      <c r="U321" s="66"/>
      <c r="V321" s="66"/>
      <c r="W321" s="66"/>
      <c r="X321" s="66"/>
      <c r="Y321" s="66"/>
      <c r="Z321" s="66"/>
      <c r="AA321" s="66"/>
      <c r="AB321" s="66"/>
      <c r="AC321" s="66"/>
    </row>
    <row r="322">
      <c r="A322" s="321">
        <v>43810.0</v>
      </c>
      <c r="B322" s="66"/>
      <c r="C322" s="66"/>
      <c r="D322" s="327"/>
      <c r="E322" s="66"/>
      <c r="F322" s="66"/>
      <c r="G322" s="327"/>
      <c r="H322" s="66"/>
      <c r="I322" s="66"/>
      <c r="J322" s="327"/>
      <c r="K322" s="66"/>
      <c r="L322" s="66"/>
      <c r="M322" s="66"/>
      <c r="N322" s="66"/>
      <c r="O322" s="66"/>
      <c r="P322" s="66"/>
      <c r="Q322" s="66"/>
      <c r="R322" s="66"/>
      <c r="S322" s="66"/>
      <c r="T322" s="66"/>
      <c r="U322" s="66"/>
      <c r="V322" s="66"/>
      <c r="W322" s="66"/>
      <c r="X322" s="66"/>
      <c r="Y322" s="66"/>
      <c r="Z322" s="66"/>
      <c r="AA322" s="66"/>
      <c r="AB322" s="66"/>
      <c r="AC322" s="66"/>
    </row>
    <row r="323">
      <c r="A323" s="321">
        <v>43811.0</v>
      </c>
      <c r="B323" s="66"/>
      <c r="C323" s="66"/>
      <c r="D323" s="327"/>
      <c r="E323" s="66"/>
      <c r="F323" s="66"/>
      <c r="G323" s="327"/>
      <c r="H323" s="66"/>
      <c r="I323" s="66"/>
      <c r="J323" s="327"/>
      <c r="K323" s="66"/>
      <c r="L323" s="66"/>
      <c r="M323" s="66"/>
      <c r="N323" s="66"/>
      <c r="O323" s="66"/>
      <c r="P323" s="66"/>
      <c r="Q323" s="66"/>
      <c r="R323" s="66"/>
      <c r="S323" s="66"/>
      <c r="T323" s="66"/>
      <c r="U323" s="66"/>
      <c r="V323" s="66"/>
      <c r="W323" s="66"/>
      <c r="X323" s="66"/>
      <c r="Y323" s="66"/>
      <c r="Z323" s="66"/>
      <c r="AA323" s="66"/>
      <c r="AB323" s="66"/>
      <c r="AC323" s="66"/>
    </row>
    <row r="324">
      <c r="A324" s="321">
        <v>43812.0</v>
      </c>
      <c r="B324" s="66"/>
      <c r="C324" s="66"/>
      <c r="D324" s="327"/>
      <c r="E324" s="66"/>
      <c r="F324" s="66"/>
      <c r="G324" s="327"/>
      <c r="H324" s="66"/>
      <c r="I324" s="66"/>
      <c r="J324" s="327"/>
      <c r="K324" s="66"/>
      <c r="L324" s="66"/>
      <c r="M324" s="66"/>
      <c r="N324" s="66"/>
      <c r="O324" s="66"/>
      <c r="P324" s="66"/>
      <c r="Q324" s="66"/>
      <c r="R324" s="66"/>
      <c r="S324" s="66"/>
      <c r="T324" s="66"/>
      <c r="U324" s="66"/>
      <c r="V324" s="66"/>
      <c r="W324" s="66"/>
      <c r="X324" s="66"/>
      <c r="Y324" s="66"/>
      <c r="Z324" s="66"/>
      <c r="AA324" s="66"/>
      <c r="AB324" s="66"/>
      <c r="AC324" s="66"/>
    </row>
    <row r="325">
      <c r="A325" s="321">
        <v>43813.0</v>
      </c>
      <c r="B325" s="66"/>
      <c r="C325" s="66"/>
      <c r="D325" s="327"/>
      <c r="E325" s="66"/>
      <c r="F325" s="66"/>
      <c r="G325" s="327"/>
      <c r="H325" s="66"/>
      <c r="I325" s="66"/>
      <c r="J325" s="327"/>
      <c r="K325" s="66"/>
      <c r="L325" s="66"/>
      <c r="M325" s="66"/>
      <c r="N325" s="66"/>
      <c r="O325" s="66"/>
      <c r="P325" s="66"/>
      <c r="Q325" s="66"/>
      <c r="R325" s="66"/>
      <c r="S325" s="66"/>
      <c r="T325" s="66"/>
      <c r="U325" s="66"/>
      <c r="V325" s="66"/>
      <c r="W325" s="66"/>
      <c r="X325" s="66"/>
      <c r="Y325" s="66"/>
      <c r="Z325" s="66"/>
      <c r="AA325" s="66"/>
      <c r="AB325" s="66"/>
      <c r="AC325" s="66"/>
    </row>
    <row r="326">
      <c r="A326" s="321">
        <v>43814.0</v>
      </c>
      <c r="B326" s="66"/>
      <c r="C326" s="66"/>
      <c r="D326" s="327"/>
      <c r="E326" s="66"/>
      <c r="F326" s="66"/>
      <c r="G326" s="327"/>
      <c r="H326" s="66"/>
      <c r="I326" s="66"/>
      <c r="J326" s="327"/>
      <c r="K326" s="66"/>
      <c r="L326" s="66"/>
      <c r="M326" s="66"/>
      <c r="N326" s="66"/>
      <c r="O326" s="66"/>
      <c r="P326" s="66"/>
      <c r="Q326" s="66"/>
      <c r="R326" s="66"/>
      <c r="S326" s="66"/>
      <c r="T326" s="66"/>
      <c r="U326" s="66"/>
      <c r="V326" s="66"/>
      <c r="W326" s="66"/>
      <c r="X326" s="66"/>
      <c r="Y326" s="66"/>
      <c r="Z326" s="66"/>
      <c r="AA326" s="66"/>
      <c r="AB326" s="66"/>
      <c r="AC326" s="66"/>
    </row>
    <row r="327">
      <c r="A327" s="321">
        <v>43815.0</v>
      </c>
      <c r="B327" s="66"/>
      <c r="C327" s="66"/>
      <c r="D327" s="327"/>
      <c r="E327" s="66"/>
      <c r="F327" s="66"/>
      <c r="G327" s="327"/>
      <c r="H327" s="66"/>
      <c r="I327" s="66"/>
      <c r="J327" s="327"/>
      <c r="K327" s="66"/>
      <c r="L327" s="66"/>
      <c r="M327" s="66"/>
      <c r="N327" s="66"/>
      <c r="O327" s="66"/>
      <c r="P327" s="66"/>
      <c r="Q327" s="66"/>
      <c r="R327" s="66"/>
      <c r="S327" s="66"/>
      <c r="T327" s="66"/>
      <c r="U327" s="66"/>
      <c r="V327" s="66"/>
      <c r="W327" s="66"/>
      <c r="X327" s="66"/>
      <c r="Y327" s="66"/>
      <c r="Z327" s="66"/>
      <c r="AA327" s="66"/>
      <c r="AB327" s="66"/>
      <c r="AC327" s="66"/>
    </row>
    <row r="328">
      <c r="A328" s="321">
        <v>43816.0</v>
      </c>
      <c r="B328" s="66"/>
      <c r="C328" s="66"/>
      <c r="D328" s="327"/>
      <c r="E328" s="66"/>
      <c r="F328" s="66"/>
      <c r="G328" s="327"/>
      <c r="H328" s="66"/>
      <c r="I328" s="66"/>
      <c r="J328" s="327"/>
      <c r="K328" s="66"/>
      <c r="L328" s="66"/>
      <c r="M328" s="66"/>
      <c r="N328" s="66"/>
      <c r="O328" s="66"/>
      <c r="P328" s="66"/>
      <c r="Q328" s="66"/>
      <c r="R328" s="66"/>
      <c r="S328" s="66"/>
      <c r="T328" s="66"/>
      <c r="U328" s="66"/>
      <c r="V328" s="66"/>
      <c r="W328" s="66"/>
      <c r="X328" s="66"/>
      <c r="Y328" s="66"/>
      <c r="Z328" s="66"/>
      <c r="AA328" s="66"/>
      <c r="AB328" s="66"/>
      <c r="AC328" s="66"/>
    </row>
    <row r="329">
      <c r="A329" s="321">
        <v>43817.0</v>
      </c>
      <c r="B329" s="66"/>
      <c r="C329" s="66"/>
      <c r="D329" s="327"/>
      <c r="E329" s="66"/>
      <c r="F329" s="66"/>
      <c r="G329" s="327"/>
      <c r="H329" s="66"/>
      <c r="I329" s="66"/>
      <c r="J329" s="327"/>
      <c r="K329" s="66"/>
      <c r="L329" s="66"/>
      <c r="M329" s="66"/>
      <c r="N329" s="66"/>
      <c r="O329" s="66"/>
      <c r="P329" s="66"/>
      <c r="Q329" s="66"/>
      <c r="R329" s="66"/>
      <c r="S329" s="66"/>
      <c r="T329" s="66"/>
      <c r="U329" s="66"/>
      <c r="V329" s="66"/>
      <c r="W329" s="66"/>
      <c r="X329" s="66"/>
      <c r="Y329" s="66"/>
      <c r="Z329" s="66"/>
      <c r="AA329" s="66"/>
      <c r="AB329" s="66"/>
      <c r="AC329" s="66"/>
    </row>
    <row r="330">
      <c r="A330" s="321">
        <v>43818.0</v>
      </c>
      <c r="B330" s="66"/>
      <c r="C330" s="66"/>
      <c r="D330" s="327"/>
      <c r="E330" s="66"/>
      <c r="F330" s="66"/>
      <c r="G330" s="327"/>
      <c r="H330" s="66"/>
      <c r="I330" s="66"/>
      <c r="J330" s="327"/>
      <c r="K330" s="66"/>
      <c r="L330" s="66"/>
      <c r="M330" s="66"/>
      <c r="N330" s="66"/>
      <c r="O330" s="66"/>
      <c r="P330" s="66"/>
      <c r="Q330" s="66"/>
      <c r="R330" s="66"/>
      <c r="S330" s="66"/>
      <c r="T330" s="66"/>
      <c r="U330" s="66"/>
      <c r="V330" s="66"/>
      <c r="W330" s="66"/>
      <c r="X330" s="66"/>
      <c r="Y330" s="66"/>
      <c r="Z330" s="66"/>
      <c r="AA330" s="66"/>
      <c r="AB330" s="66"/>
      <c r="AC330" s="66"/>
    </row>
    <row r="331">
      <c r="A331" s="321">
        <v>43819.0</v>
      </c>
      <c r="B331" s="66"/>
      <c r="C331" s="66"/>
      <c r="D331" s="327"/>
      <c r="E331" s="66"/>
      <c r="F331" s="66"/>
      <c r="G331" s="327"/>
      <c r="H331" s="66"/>
      <c r="I331" s="66"/>
      <c r="J331" s="327"/>
      <c r="K331" s="66"/>
      <c r="L331" s="66"/>
      <c r="M331" s="66"/>
      <c r="N331" s="66"/>
      <c r="O331" s="66"/>
      <c r="P331" s="66"/>
      <c r="Q331" s="66"/>
      <c r="R331" s="66"/>
      <c r="S331" s="66"/>
      <c r="T331" s="66"/>
      <c r="U331" s="66"/>
      <c r="V331" s="66"/>
      <c r="W331" s="66"/>
      <c r="X331" s="66"/>
      <c r="Y331" s="66"/>
      <c r="Z331" s="66"/>
      <c r="AA331" s="66"/>
      <c r="AB331" s="66"/>
      <c r="AC331" s="66"/>
    </row>
    <row r="332">
      <c r="A332" s="321">
        <v>43820.0</v>
      </c>
      <c r="B332" s="66"/>
      <c r="C332" s="66"/>
      <c r="D332" s="327"/>
      <c r="E332" s="66"/>
      <c r="F332" s="66"/>
      <c r="G332" s="327"/>
      <c r="H332" s="66"/>
      <c r="I332" s="66"/>
      <c r="J332" s="327"/>
      <c r="K332" s="66"/>
      <c r="L332" s="66"/>
      <c r="M332" s="66"/>
      <c r="N332" s="66"/>
      <c r="O332" s="66"/>
      <c r="P332" s="66"/>
      <c r="Q332" s="66"/>
      <c r="R332" s="66"/>
      <c r="S332" s="66"/>
      <c r="T332" s="66"/>
      <c r="U332" s="66"/>
      <c r="V332" s="66"/>
      <c r="W332" s="66"/>
      <c r="X332" s="66"/>
      <c r="Y332" s="66"/>
      <c r="Z332" s="66"/>
      <c r="AA332" s="66"/>
      <c r="AB332" s="66"/>
      <c r="AC332" s="66"/>
    </row>
    <row r="333">
      <c r="A333" s="321">
        <v>43821.0</v>
      </c>
      <c r="B333" s="66"/>
      <c r="C333" s="66"/>
      <c r="D333" s="327"/>
      <c r="E333" s="66"/>
      <c r="F333" s="66"/>
      <c r="G333" s="327"/>
      <c r="H333" s="66"/>
      <c r="I333" s="66"/>
      <c r="J333" s="327"/>
      <c r="K333" s="66"/>
      <c r="L333" s="66"/>
      <c r="M333" s="66"/>
      <c r="N333" s="66"/>
      <c r="O333" s="66"/>
      <c r="P333" s="66"/>
      <c r="Q333" s="66"/>
      <c r="R333" s="66"/>
      <c r="S333" s="66"/>
      <c r="T333" s="66"/>
      <c r="U333" s="66"/>
      <c r="V333" s="66"/>
      <c r="W333" s="66"/>
      <c r="X333" s="66"/>
      <c r="Y333" s="66"/>
      <c r="Z333" s="66"/>
      <c r="AA333" s="66"/>
      <c r="AB333" s="66"/>
      <c r="AC333" s="66"/>
    </row>
    <row r="334">
      <c r="A334" s="321">
        <v>43822.0</v>
      </c>
      <c r="B334" s="66"/>
      <c r="C334" s="66"/>
      <c r="D334" s="327"/>
      <c r="E334" s="66"/>
      <c r="F334" s="66"/>
      <c r="G334" s="327"/>
      <c r="H334" s="66"/>
      <c r="I334" s="66"/>
      <c r="J334" s="327"/>
      <c r="K334" s="66"/>
      <c r="L334" s="66"/>
      <c r="M334" s="66"/>
      <c r="N334" s="66"/>
      <c r="O334" s="66"/>
      <c r="P334" s="66"/>
      <c r="Q334" s="66"/>
      <c r="R334" s="66"/>
      <c r="S334" s="66"/>
      <c r="T334" s="66"/>
      <c r="U334" s="66"/>
      <c r="V334" s="66"/>
      <c r="W334" s="66"/>
      <c r="X334" s="66"/>
      <c r="Y334" s="66"/>
      <c r="Z334" s="66"/>
      <c r="AA334" s="66"/>
      <c r="AB334" s="66"/>
      <c r="AC334" s="66"/>
    </row>
    <row r="335">
      <c r="A335" s="321">
        <v>43823.0</v>
      </c>
      <c r="B335" s="66"/>
      <c r="C335" s="66"/>
      <c r="D335" s="327"/>
      <c r="E335" s="66"/>
      <c r="F335" s="66"/>
      <c r="G335" s="327"/>
      <c r="H335" s="66"/>
      <c r="I335" s="66"/>
      <c r="J335" s="327"/>
      <c r="K335" s="66"/>
      <c r="L335" s="66"/>
      <c r="M335" s="66"/>
      <c r="N335" s="66"/>
      <c r="O335" s="66"/>
      <c r="P335" s="66"/>
      <c r="Q335" s="66"/>
      <c r="R335" s="66"/>
      <c r="S335" s="66"/>
      <c r="T335" s="66"/>
      <c r="U335" s="66"/>
      <c r="V335" s="66"/>
      <c r="W335" s="66"/>
      <c r="X335" s="66"/>
      <c r="Y335" s="66"/>
      <c r="Z335" s="66"/>
      <c r="AA335" s="66"/>
      <c r="AB335" s="66"/>
      <c r="AC335" s="66"/>
    </row>
    <row r="336">
      <c r="A336" s="321">
        <v>43824.0</v>
      </c>
      <c r="B336" s="66"/>
      <c r="C336" s="66"/>
      <c r="D336" s="327"/>
      <c r="E336" s="66"/>
      <c r="F336" s="66"/>
      <c r="G336" s="327"/>
      <c r="H336" s="66"/>
      <c r="I336" s="66"/>
      <c r="J336" s="327"/>
      <c r="K336" s="66"/>
      <c r="L336" s="66"/>
      <c r="M336" s="66"/>
      <c r="N336" s="66"/>
      <c r="O336" s="66"/>
      <c r="P336" s="66"/>
      <c r="Q336" s="66"/>
      <c r="R336" s="66"/>
      <c r="S336" s="66"/>
      <c r="T336" s="66"/>
      <c r="U336" s="66"/>
      <c r="V336" s="66"/>
      <c r="W336" s="66"/>
      <c r="X336" s="66"/>
      <c r="Y336" s="66"/>
      <c r="Z336" s="66"/>
      <c r="AA336" s="66"/>
      <c r="AB336" s="66"/>
      <c r="AC336" s="66"/>
    </row>
    <row r="337">
      <c r="A337" s="321">
        <v>43825.0</v>
      </c>
      <c r="B337" s="66"/>
      <c r="C337" s="66"/>
      <c r="D337" s="327"/>
      <c r="E337" s="66"/>
      <c r="F337" s="66"/>
      <c r="G337" s="327"/>
      <c r="H337" s="66"/>
      <c r="I337" s="66"/>
      <c r="J337" s="327"/>
      <c r="K337" s="66"/>
      <c r="L337" s="66"/>
      <c r="M337" s="66"/>
      <c r="N337" s="66"/>
      <c r="O337" s="66"/>
      <c r="P337" s="66"/>
      <c r="Q337" s="66"/>
      <c r="R337" s="66"/>
      <c r="S337" s="66"/>
      <c r="T337" s="66"/>
      <c r="U337" s="66"/>
      <c r="V337" s="66"/>
      <c r="W337" s="66"/>
      <c r="X337" s="66"/>
      <c r="Y337" s="66"/>
      <c r="Z337" s="66"/>
      <c r="AA337" s="66"/>
      <c r="AB337" s="66"/>
      <c r="AC337" s="66"/>
    </row>
    <row r="338">
      <c r="A338" s="321">
        <v>43826.0</v>
      </c>
      <c r="B338" s="66"/>
      <c r="C338" s="66"/>
      <c r="D338" s="327"/>
      <c r="E338" s="66"/>
      <c r="F338" s="66"/>
      <c r="G338" s="327"/>
      <c r="H338" s="66"/>
      <c r="I338" s="66"/>
      <c r="J338" s="327"/>
      <c r="K338" s="66"/>
      <c r="L338" s="66"/>
      <c r="M338" s="66"/>
      <c r="N338" s="66"/>
      <c r="O338" s="66"/>
      <c r="P338" s="66"/>
      <c r="Q338" s="66"/>
      <c r="R338" s="66"/>
      <c r="S338" s="66"/>
      <c r="T338" s="66"/>
      <c r="U338" s="66"/>
      <c r="V338" s="66"/>
      <c r="W338" s="66"/>
      <c r="X338" s="66"/>
      <c r="Y338" s="66"/>
      <c r="Z338" s="66"/>
      <c r="AA338" s="66"/>
      <c r="AB338" s="66"/>
      <c r="AC338" s="66"/>
    </row>
    <row r="339">
      <c r="A339" s="321">
        <v>43827.0</v>
      </c>
      <c r="B339" s="66"/>
      <c r="C339" s="66"/>
      <c r="D339" s="327"/>
      <c r="E339" s="66"/>
      <c r="F339" s="66"/>
      <c r="G339" s="327"/>
      <c r="H339" s="66"/>
      <c r="I339" s="66"/>
      <c r="J339" s="327"/>
      <c r="K339" s="66"/>
      <c r="L339" s="66"/>
      <c r="M339" s="66"/>
      <c r="N339" s="66"/>
      <c r="O339" s="66"/>
      <c r="P339" s="66"/>
      <c r="Q339" s="66"/>
      <c r="R339" s="66"/>
      <c r="S339" s="66"/>
      <c r="T339" s="66"/>
      <c r="U339" s="66"/>
      <c r="V339" s="66"/>
      <c r="W339" s="66"/>
      <c r="X339" s="66"/>
      <c r="Y339" s="66"/>
      <c r="Z339" s="66"/>
      <c r="AA339" s="66"/>
      <c r="AB339" s="66"/>
      <c r="AC339" s="66"/>
    </row>
    <row r="340">
      <c r="A340" s="321">
        <v>43828.0</v>
      </c>
      <c r="B340" s="66"/>
      <c r="C340" s="66"/>
      <c r="D340" s="327"/>
      <c r="E340" s="66"/>
      <c r="F340" s="66"/>
      <c r="G340" s="327"/>
      <c r="H340" s="66"/>
      <c r="I340" s="66"/>
      <c r="J340" s="327"/>
      <c r="K340" s="66"/>
      <c r="L340" s="66"/>
      <c r="M340" s="66"/>
      <c r="N340" s="66"/>
      <c r="O340" s="66"/>
      <c r="P340" s="66"/>
      <c r="Q340" s="66"/>
      <c r="R340" s="66"/>
      <c r="S340" s="66"/>
      <c r="T340" s="66"/>
      <c r="U340" s="66"/>
      <c r="V340" s="66"/>
      <c r="W340" s="66"/>
      <c r="X340" s="66"/>
      <c r="Y340" s="66"/>
      <c r="Z340" s="66"/>
      <c r="AA340" s="66"/>
      <c r="AB340" s="66"/>
      <c r="AC340" s="66"/>
    </row>
    <row r="341">
      <c r="A341" s="321">
        <v>43829.0</v>
      </c>
      <c r="B341" s="66"/>
      <c r="C341" s="66"/>
      <c r="D341" s="327"/>
      <c r="E341" s="66"/>
      <c r="F341" s="66"/>
      <c r="G341" s="327"/>
      <c r="H341" s="66"/>
      <c r="I341" s="66"/>
      <c r="J341" s="327"/>
      <c r="K341" s="66"/>
      <c r="L341" s="66"/>
      <c r="M341" s="66"/>
      <c r="N341" s="66"/>
      <c r="O341" s="66"/>
      <c r="P341" s="66"/>
      <c r="Q341" s="66"/>
      <c r="R341" s="66"/>
      <c r="S341" s="66"/>
      <c r="T341" s="66"/>
      <c r="U341" s="66"/>
      <c r="V341" s="66"/>
      <c r="W341" s="66"/>
      <c r="X341" s="66"/>
      <c r="Y341" s="66"/>
      <c r="Z341" s="66"/>
      <c r="AA341" s="66"/>
      <c r="AB341" s="66"/>
      <c r="AC341" s="66"/>
    </row>
    <row r="342">
      <c r="A342" s="321">
        <v>43830.0</v>
      </c>
      <c r="B342" s="66"/>
      <c r="C342" s="66"/>
      <c r="D342" s="327"/>
      <c r="E342" s="66"/>
      <c r="F342" s="66"/>
      <c r="G342" s="327"/>
      <c r="H342" s="66"/>
      <c r="I342" s="66"/>
      <c r="J342" s="327"/>
      <c r="K342" s="66"/>
      <c r="L342" s="66"/>
      <c r="M342" s="66"/>
      <c r="N342" s="66"/>
      <c r="O342" s="66"/>
      <c r="P342" s="66"/>
      <c r="Q342" s="66"/>
      <c r="R342" s="66"/>
      <c r="S342" s="66"/>
      <c r="T342" s="66"/>
      <c r="U342" s="66"/>
      <c r="V342" s="66"/>
      <c r="W342" s="66"/>
      <c r="X342" s="66"/>
      <c r="Y342" s="66"/>
      <c r="Z342" s="66"/>
      <c r="AA342" s="66"/>
      <c r="AB342" s="66"/>
      <c r="AC342" s="66"/>
    </row>
    <row r="343">
      <c r="A343" s="321">
        <v>43831.0</v>
      </c>
      <c r="B343" s="66"/>
      <c r="C343" s="66"/>
      <c r="D343" s="327"/>
      <c r="E343" s="66"/>
      <c r="F343" s="66"/>
      <c r="G343" s="327"/>
      <c r="H343" s="66"/>
      <c r="I343" s="66"/>
      <c r="J343" s="327"/>
      <c r="K343" s="66"/>
      <c r="L343" s="66"/>
      <c r="M343" s="66"/>
      <c r="N343" s="66"/>
      <c r="O343" s="66"/>
      <c r="P343" s="66"/>
      <c r="Q343" s="66"/>
      <c r="R343" s="66"/>
      <c r="S343" s="66"/>
      <c r="T343" s="66"/>
      <c r="U343" s="66"/>
      <c r="V343" s="66"/>
      <c r="W343" s="66"/>
      <c r="X343" s="66"/>
      <c r="Y343" s="66"/>
      <c r="Z343" s="66"/>
      <c r="AA343" s="66"/>
      <c r="AB343" s="66"/>
      <c r="AC343" s="66"/>
    </row>
    <row r="344">
      <c r="A344" s="321">
        <v>43832.0</v>
      </c>
      <c r="B344" s="66"/>
      <c r="C344" s="66"/>
      <c r="D344" s="327"/>
      <c r="E344" s="66"/>
      <c r="F344" s="66"/>
      <c r="G344" s="327"/>
      <c r="H344" s="66"/>
      <c r="I344" s="66"/>
      <c r="J344" s="327"/>
      <c r="K344" s="66"/>
      <c r="L344" s="66"/>
      <c r="M344" s="66"/>
      <c r="N344" s="66"/>
      <c r="O344" s="66"/>
      <c r="P344" s="66"/>
      <c r="Q344" s="66"/>
      <c r="R344" s="66"/>
      <c r="S344" s="66"/>
      <c r="T344" s="66"/>
      <c r="U344" s="66"/>
      <c r="V344" s="66"/>
      <c r="W344" s="66"/>
      <c r="X344" s="66"/>
      <c r="Y344" s="66"/>
      <c r="Z344" s="66"/>
      <c r="AA344" s="66"/>
      <c r="AB344" s="66"/>
      <c r="AC344" s="66"/>
    </row>
    <row r="345">
      <c r="A345" s="321">
        <v>43833.0</v>
      </c>
      <c r="B345" s="66"/>
      <c r="C345" s="66"/>
      <c r="D345" s="327"/>
      <c r="E345" s="66"/>
      <c r="F345" s="66"/>
      <c r="G345" s="327"/>
      <c r="H345" s="66"/>
      <c r="I345" s="66"/>
      <c r="J345" s="327"/>
      <c r="K345" s="66"/>
      <c r="L345" s="66"/>
      <c r="M345" s="66"/>
      <c r="N345" s="66"/>
      <c r="O345" s="66"/>
      <c r="P345" s="66"/>
      <c r="Q345" s="66"/>
      <c r="R345" s="66"/>
      <c r="S345" s="66"/>
      <c r="T345" s="66"/>
      <c r="U345" s="66"/>
      <c r="V345" s="66"/>
      <c r="W345" s="66"/>
      <c r="X345" s="66"/>
      <c r="Y345" s="66"/>
      <c r="Z345" s="66"/>
      <c r="AA345" s="66"/>
      <c r="AB345" s="66"/>
      <c r="AC345" s="66"/>
    </row>
    <row r="346">
      <c r="A346" s="321">
        <v>43834.0</v>
      </c>
      <c r="B346" s="66"/>
      <c r="C346" s="66"/>
      <c r="D346" s="327"/>
      <c r="E346" s="66"/>
      <c r="F346" s="66"/>
      <c r="G346" s="327"/>
      <c r="H346" s="66"/>
      <c r="I346" s="66"/>
      <c r="J346" s="327"/>
      <c r="K346" s="66"/>
      <c r="L346" s="66"/>
      <c r="M346" s="66"/>
      <c r="N346" s="66"/>
      <c r="O346" s="66"/>
      <c r="P346" s="66"/>
      <c r="Q346" s="66"/>
      <c r="R346" s="66"/>
      <c r="S346" s="66"/>
      <c r="T346" s="66"/>
      <c r="U346" s="66"/>
      <c r="V346" s="66"/>
      <c r="W346" s="66"/>
      <c r="X346" s="66"/>
      <c r="Y346" s="66"/>
      <c r="Z346" s="66"/>
      <c r="AA346" s="66"/>
      <c r="AB346" s="66"/>
      <c r="AC346" s="66"/>
    </row>
    <row r="347">
      <c r="A347" s="321">
        <v>43835.0</v>
      </c>
      <c r="B347" s="66"/>
      <c r="C347" s="66"/>
      <c r="D347" s="327"/>
      <c r="E347" s="66"/>
      <c r="F347" s="66"/>
      <c r="G347" s="327"/>
      <c r="H347" s="66"/>
      <c r="I347" s="66"/>
      <c r="J347" s="327"/>
      <c r="K347" s="66"/>
      <c r="L347" s="66"/>
      <c r="M347" s="66"/>
      <c r="N347" s="66"/>
      <c r="O347" s="66"/>
      <c r="P347" s="66"/>
      <c r="Q347" s="66"/>
      <c r="R347" s="66"/>
      <c r="S347" s="66"/>
      <c r="T347" s="66"/>
      <c r="U347" s="66"/>
      <c r="V347" s="66"/>
      <c r="W347" s="66"/>
      <c r="X347" s="66"/>
      <c r="Y347" s="66"/>
      <c r="Z347" s="66"/>
      <c r="AA347" s="66"/>
      <c r="AB347" s="66"/>
      <c r="AC347" s="66"/>
    </row>
    <row r="348">
      <c r="A348" s="321">
        <v>43836.0</v>
      </c>
      <c r="B348" s="66"/>
      <c r="C348" s="66"/>
      <c r="D348" s="327"/>
      <c r="E348" s="66"/>
      <c r="F348" s="66"/>
      <c r="G348" s="327"/>
      <c r="H348" s="66"/>
      <c r="I348" s="66"/>
      <c r="J348" s="327"/>
      <c r="K348" s="66"/>
      <c r="L348" s="66"/>
      <c r="M348" s="66"/>
      <c r="N348" s="66"/>
      <c r="O348" s="66"/>
      <c r="P348" s="66"/>
      <c r="Q348" s="66"/>
      <c r="R348" s="66"/>
      <c r="S348" s="66"/>
      <c r="T348" s="66"/>
      <c r="U348" s="66"/>
      <c r="V348" s="66"/>
      <c r="W348" s="66"/>
      <c r="X348" s="66"/>
      <c r="Y348" s="66"/>
      <c r="Z348" s="66"/>
      <c r="AA348" s="66"/>
      <c r="AB348" s="66"/>
      <c r="AC348" s="66"/>
    </row>
    <row r="349">
      <c r="A349" s="321">
        <v>43837.0</v>
      </c>
      <c r="B349" s="66"/>
      <c r="C349" s="66"/>
      <c r="D349" s="327"/>
      <c r="E349" s="66"/>
      <c r="F349" s="66"/>
      <c r="G349" s="327"/>
      <c r="H349" s="66"/>
      <c r="I349" s="66"/>
      <c r="J349" s="327"/>
      <c r="K349" s="66"/>
      <c r="L349" s="66"/>
      <c r="M349" s="66"/>
      <c r="N349" s="66"/>
      <c r="O349" s="66"/>
      <c r="P349" s="66"/>
      <c r="Q349" s="66"/>
      <c r="R349" s="66"/>
      <c r="S349" s="66"/>
      <c r="T349" s="66"/>
      <c r="U349" s="66"/>
      <c r="V349" s="66"/>
      <c r="W349" s="66"/>
      <c r="X349" s="66"/>
      <c r="Y349" s="66"/>
      <c r="Z349" s="66"/>
      <c r="AA349" s="66"/>
      <c r="AB349" s="66"/>
      <c r="AC349" s="66"/>
    </row>
    <row r="350">
      <c r="A350" s="321">
        <v>43838.0</v>
      </c>
      <c r="B350" s="66"/>
      <c r="C350" s="66"/>
      <c r="D350" s="327"/>
      <c r="E350" s="66"/>
      <c r="F350" s="66"/>
      <c r="G350" s="327"/>
      <c r="H350" s="66"/>
      <c r="I350" s="66"/>
      <c r="J350" s="327"/>
      <c r="K350" s="66"/>
      <c r="L350" s="66"/>
      <c r="M350" s="66"/>
      <c r="N350" s="66"/>
      <c r="O350" s="66"/>
      <c r="P350" s="66"/>
      <c r="Q350" s="66"/>
      <c r="R350" s="66"/>
      <c r="S350" s="66"/>
      <c r="T350" s="66"/>
      <c r="U350" s="66"/>
      <c r="V350" s="66"/>
      <c r="W350" s="66"/>
      <c r="X350" s="66"/>
      <c r="Y350" s="66"/>
      <c r="Z350" s="66"/>
      <c r="AA350" s="66"/>
      <c r="AB350" s="66"/>
      <c r="AC350" s="66"/>
    </row>
    <row r="351">
      <c r="A351" s="321">
        <v>43839.0</v>
      </c>
      <c r="B351" s="66"/>
      <c r="C351" s="66"/>
      <c r="D351" s="327"/>
      <c r="E351" s="66"/>
      <c r="F351" s="66"/>
      <c r="G351" s="327"/>
      <c r="H351" s="66"/>
      <c r="I351" s="66"/>
      <c r="J351" s="327"/>
      <c r="K351" s="66"/>
      <c r="L351" s="66"/>
      <c r="M351" s="66"/>
      <c r="N351" s="66"/>
      <c r="O351" s="66"/>
      <c r="P351" s="66"/>
      <c r="Q351" s="66"/>
      <c r="R351" s="66"/>
      <c r="S351" s="66"/>
      <c r="T351" s="66"/>
      <c r="U351" s="66"/>
      <c r="V351" s="66"/>
      <c r="W351" s="66"/>
      <c r="X351" s="66"/>
      <c r="Y351" s="66"/>
      <c r="Z351" s="66"/>
      <c r="AA351" s="66"/>
      <c r="AB351" s="66"/>
      <c r="AC351" s="66"/>
    </row>
    <row r="352">
      <c r="A352" s="321">
        <v>43840.0</v>
      </c>
      <c r="B352" s="66"/>
      <c r="C352" s="66"/>
      <c r="D352" s="327"/>
      <c r="E352" s="66"/>
      <c r="F352" s="66"/>
      <c r="G352" s="327"/>
      <c r="H352" s="66"/>
      <c r="I352" s="66"/>
      <c r="J352" s="327"/>
      <c r="K352" s="66"/>
      <c r="L352" s="66"/>
      <c r="M352" s="66"/>
      <c r="N352" s="66"/>
      <c r="O352" s="66"/>
      <c r="P352" s="66"/>
      <c r="Q352" s="66"/>
      <c r="R352" s="66"/>
      <c r="S352" s="66"/>
      <c r="T352" s="66"/>
      <c r="U352" s="66"/>
      <c r="V352" s="66"/>
      <c r="W352" s="66"/>
      <c r="X352" s="66"/>
      <c r="Y352" s="66"/>
      <c r="Z352" s="66"/>
      <c r="AA352" s="66"/>
      <c r="AB352" s="66"/>
      <c r="AC352" s="66"/>
    </row>
    <row r="353">
      <c r="A353" s="321">
        <v>43841.0</v>
      </c>
      <c r="B353" s="66"/>
      <c r="C353" s="66"/>
      <c r="D353" s="327"/>
      <c r="E353" s="66"/>
      <c r="F353" s="66"/>
      <c r="G353" s="327"/>
      <c r="H353" s="66"/>
      <c r="I353" s="66"/>
      <c r="J353" s="327"/>
      <c r="K353" s="66"/>
      <c r="L353" s="66"/>
      <c r="M353" s="66"/>
      <c r="N353" s="66"/>
      <c r="O353" s="66"/>
      <c r="P353" s="66"/>
      <c r="Q353" s="66"/>
      <c r="R353" s="66"/>
      <c r="S353" s="66"/>
      <c r="T353" s="66"/>
      <c r="U353" s="66"/>
      <c r="V353" s="66"/>
      <c r="W353" s="66"/>
      <c r="X353" s="66"/>
      <c r="Y353" s="66"/>
      <c r="Z353" s="66"/>
      <c r="AA353" s="66"/>
      <c r="AB353" s="66"/>
      <c r="AC353" s="66"/>
    </row>
    <row r="354">
      <c r="A354" s="321">
        <v>43842.0</v>
      </c>
      <c r="B354" s="66"/>
      <c r="C354" s="66"/>
      <c r="D354" s="327"/>
      <c r="E354" s="66"/>
      <c r="F354" s="66"/>
      <c r="G354" s="327"/>
      <c r="H354" s="66"/>
      <c r="I354" s="66"/>
      <c r="J354" s="327"/>
      <c r="K354" s="66"/>
      <c r="L354" s="66"/>
      <c r="M354" s="66"/>
      <c r="N354" s="66"/>
      <c r="O354" s="66"/>
      <c r="P354" s="66"/>
      <c r="Q354" s="66"/>
      <c r="R354" s="66"/>
      <c r="S354" s="66"/>
      <c r="T354" s="66"/>
      <c r="U354" s="66"/>
      <c r="V354" s="66"/>
      <c r="W354" s="66"/>
      <c r="X354" s="66"/>
      <c r="Y354" s="66"/>
      <c r="Z354" s="66"/>
      <c r="AA354" s="66"/>
      <c r="AB354" s="66"/>
      <c r="AC354" s="66"/>
    </row>
    <row r="355">
      <c r="A355" s="321">
        <v>43843.0</v>
      </c>
      <c r="B355" s="66"/>
      <c r="C355" s="66"/>
      <c r="D355" s="327"/>
      <c r="E355" s="66"/>
      <c r="F355" s="66"/>
      <c r="G355" s="327"/>
      <c r="H355" s="66"/>
      <c r="I355" s="66"/>
      <c r="J355" s="327"/>
      <c r="K355" s="66"/>
      <c r="L355" s="66"/>
      <c r="M355" s="66"/>
      <c r="N355" s="66"/>
      <c r="O355" s="66"/>
      <c r="P355" s="66"/>
      <c r="Q355" s="66"/>
      <c r="R355" s="66"/>
      <c r="S355" s="66"/>
      <c r="T355" s="66"/>
      <c r="U355" s="66"/>
      <c r="V355" s="66"/>
      <c r="W355" s="66"/>
      <c r="X355" s="66"/>
      <c r="Y355" s="66"/>
      <c r="Z355" s="66"/>
      <c r="AA355" s="66"/>
      <c r="AB355" s="66"/>
      <c r="AC355" s="66"/>
    </row>
    <row r="356">
      <c r="A356" s="321">
        <v>43844.0</v>
      </c>
      <c r="B356" s="66"/>
      <c r="C356" s="66"/>
      <c r="D356" s="327"/>
      <c r="E356" s="66"/>
      <c r="F356" s="66"/>
      <c r="G356" s="327"/>
      <c r="H356" s="66"/>
      <c r="I356" s="66"/>
      <c r="J356" s="327"/>
      <c r="K356" s="66"/>
      <c r="L356" s="66"/>
      <c r="M356" s="66"/>
      <c r="N356" s="66"/>
      <c r="O356" s="66"/>
      <c r="P356" s="66"/>
      <c r="Q356" s="66"/>
      <c r="R356" s="66"/>
      <c r="S356" s="66"/>
      <c r="T356" s="66"/>
      <c r="U356" s="66"/>
      <c r="V356" s="66"/>
      <c r="W356" s="66"/>
      <c r="X356" s="66"/>
      <c r="Y356" s="66"/>
      <c r="Z356" s="66"/>
      <c r="AA356" s="66"/>
      <c r="AB356" s="66"/>
      <c r="AC356" s="66"/>
    </row>
    <row r="357">
      <c r="A357" s="321">
        <v>43845.0</v>
      </c>
      <c r="B357" s="66"/>
      <c r="C357" s="66"/>
      <c r="D357" s="327"/>
      <c r="E357" s="66"/>
      <c r="F357" s="66"/>
      <c r="G357" s="327"/>
      <c r="H357" s="66"/>
      <c r="I357" s="66"/>
      <c r="J357" s="327"/>
      <c r="K357" s="66"/>
      <c r="L357" s="66"/>
      <c r="M357" s="66"/>
      <c r="N357" s="66"/>
      <c r="O357" s="66"/>
      <c r="P357" s="66"/>
      <c r="Q357" s="66"/>
      <c r="R357" s="66"/>
      <c r="S357" s="66"/>
      <c r="T357" s="66"/>
      <c r="U357" s="66"/>
      <c r="V357" s="66"/>
      <c r="W357" s="66"/>
      <c r="X357" s="66"/>
      <c r="Y357" s="66"/>
      <c r="Z357" s="66"/>
      <c r="AA357" s="66"/>
      <c r="AB357" s="66"/>
      <c r="AC357" s="66"/>
    </row>
    <row r="358">
      <c r="A358" s="321">
        <v>43846.0</v>
      </c>
      <c r="B358" s="66"/>
      <c r="C358" s="66"/>
      <c r="D358" s="327"/>
      <c r="E358" s="66"/>
      <c r="F358" s="66"/>
      <c r="G358" s="327"/>
      <c r="H358" s="66"/>
      <c r="I358" s="66"/>
      <c r="J358" s="327"/>
      <c r="K358" s="66"/>
      <c r="L358" s="66"/>
      <c r="M358" s="66"/>
      <c r="N358" s="66"/>
      <c r="O358" s="66"/>
      <c r="P358" s="66"/>
      <c r="Q358" s="66"/>
      <c r="R358" s="66"/>
      <c r="S358" s="66"/>
      <c r="T358" s="66"/>
      <c r="U358" s="66"/>
      <c r="V358" s="66"/>
      <c r="W358" s="66"/>
      <c r="X358" s="66"/>
      <c r="Y358" s="66"/>
      <c r="Z358" s="66"/>
      <c r="AA358" s="66"/>
      <c r="AB358" s="66"/>
      <c r="AC358" s="66"/>
    </row>
    <row r="359">
      <c r="A359" s="321">
        <v>43847.0</v>
      </c>
      <c r="B359" s="66"/>
      <c r="C359" s="66"/>
      <c r="D359" s="327"/>
      <c r="E359" s="66"/>
      <c r="F359" s="66"/>
      <c r="G359" s="327"/>
      <c r="H359" s="66"/>
      <c r="I359" s="66"/>
      <c r="J359" s="327"/>
      <c r="K359" s="66"/>
      <c r="L359" s="66"/>
      <c r="M359" s="66"/>
      <c r="N359" s="66"/>
      <c r="O359" s="66"/>
      <c r="P359" s="66"/>
      <c r="Q359" s="66"/>
      <c r="R359" s="66"/>
      <c r="S359" s="66"/>
      <c r="T359" s="66"/>
      <c r="U359" s="66"/>
      <c r="V359" s="66"/>
      <c r="W359" s="66"/>
      <c r="X359" s="66"/>
      <c r="Y359" s="66"/>
      <c r="Z359" s="66"/>
      <c r="AA359" s="66"/>
      <c r="AB359" s="66"/>
      <c r="AC359" s="66"/>
    </row>
    <row r="360">
      <c r="A360" s="321">
        <v>43848.0</v>
      </c>
      <c r="B360" s="66"/>
      <c r="C360" s="66"/>
      <c r="D360" s="327"/>
      <c r="E360" s="66"/>
      <c r="F360" s="66"/>
      <c r="G360" s="327"/>
      <c r="H360" s="66"/>
      <c r="I360" s="66"/>
      <c r="J360" s="327"/>
      <c r="K360" s="66"/>
      <c r="L360" s="66"/>
      <c r="M360" s="66"/>
      <c r="N360" s="66"/>
      <c r="O360" s="66"/>
      <c r="P360" s="66"/>
      <c r="Q360" s="66"/>
      <c r="R360" s="66"/>
      <c r="S360" s="66"/>
      <c r="T360" s="66"/>
      <c r="U360" s="66"/>
      <c r="V360" s="66"/>
      <c r="W360" s="66"/>
      <c r="X360" s="66"/>
      <c r="Y360" s="66"/>
      <c r="Z360" s="66"/>
      <c r="AA360" s="66"/>
      <c r="AB360" s="66"/>
      <c r="AC360" s="66"/>
    </row>
    <row r="361">
      <c r="A361" s="321">
        <v>43849.0</v>
      </c>
      <c r="B361" s="66"/>
      <c r="C361" s="66"/>
      <c r="D361" s="327"/>
      <c r="E361" s="66"/>
      <c r="F361" s="66"/>
      <c r="G361" s="327"/>
      <c r="H361" s="66"/>
      <c r="I361" s="66"/>
      <c r="J361" s="327"/>
      <c r="K361" s="66"/>
      <c r="L361" s="66"/>
      <c r="M361" s="66"/>
      <c r="N361" s="66"/>
      <c r="O361" s="66"/>
      <c r="P361" s="66"/>
      <c r="Q361" s="66"/>
      <c r="R361" s="66"/>
      <c r="S361" s="66"/>
      <c r="T361" s="66"/>
      <c r="U361" s="66"/>
      <c r="V361" s="66"/>
      <c r="W361" s="66"/>
      <c r="X361" s="66"/>
      <c r="Y361" s="66"/>
      <c r="Z361" s="66"/>
      <c r="AA361" s="66"/>
      <c r="AB361" s="66"/>
      <c r="AC361" s="66"/>
    </row>
    <row r="362">
      <c r="A362" s="321">
        <v>43850.0</v>
      </c>
      <c r="B362" s="66"/>
      <c r="C362" s="66"/>
      <c r="D362" s="327"/>
      <c r="E362" s="66"/>
      <c r="F362" s="66"/>
      <c r="G362" s="327"/>
      <c r="H362" s="66"/>
      <c r="I362" s="66"/>
      <c r="J362" s="327"/>
      <c r="K362" s="66"/>
      <c r="L362" s="66"/>
      <c r="M362" s="66"/>
      <c r="N362" s="66"/>
      <c r="O362" s="66"/>
      <c r="P362" s="66"/>
      <c r="Q362" s="66"/>
      <c r="R362" s="66"/>
      <c r="S362" s="66"/>
      <c r="T362" s="66"/>
      <c r="U362" s="66"/>
      <c r="V362" s="66"/>
      <c r="W362" s="66"/>
      <c r="X362" s="66"/>
      <c r="Y362" s="66"/>
      <c r="Z362" s="66"/>
      <c r="AA362" s="66"/>
      <c r="AB362" s="66"/>
      <c r="AC362" s="66"/>
    </row>
    <row r="363">
      <c r="A363" s="321">
        <v>43851.0</v>
      </c>
      <c r="B363" s="66"/>
      <c r="C363" s="66"/>
      <c r="D363" s="327"/>
      <c r="E363" s="66"/>
      <c r="F363" s="66"/>
      <c r="G363" s="327"/>
      <c r="H363" s="66"/>
      <c r="I363" s="66"/>
      <c r="J363" s="327"/>
      <c r="K363" s="66"/>
      <c r="L363" s="66"/>
      <c r="M363" s="66"/>
      <c r="N363" s="66"/>
      <c r="O363" s="66"/>
      <c r="P363" s="66"/>
      <c r="Q363" s="66"/>
      <c r="R363" s="66"/>
      <c r="S363" s="66"/>
      <c r="T363" s="66"/>
      <c r="U363" s="66"/>
      <c r="V363" s="66"/>
      <c r="W363" s="66"/>
      <c r="X363" s="66"/>
      <c r="Y363" s="66"/>
      <c r="Z363" s="66"/>
      <c r="AA363" s="66"/>
      <c r="AB363" s="66"/>
      <c r="AC363" s="66"/>
    </row>
    <row r="364">
      <c r="A364" s="321">
        <v>43852.0</v>
      </c>
      <c r="B364" s="66"/>
      <c r="C364" s="66"/>
      <c r="D364" s="327"/>
      <c r="E364" s="66"/>
      <c r="F364" s="66"/>
      <c r="G364" s="327"/>
      <c r="H364" s="66"/>
      <c r="I364" s="66"/>
      <c r="J364" s="327"/>
      <c r="K364" s="66"/>
      <c r="L364" s="66"/>
      <c r="M364" s="66"/>
      <c r="N364" s="66"/>
      <c r="O364" s="66"/>
      <c r="P364" s="66"/>
      <c r="Q364" s="66"/>
      <c r="R364" s="66"/>
      <c r="S364" s="66"/>
      <c r="T364" s="66"/>
      <c r="U364" s="66"/>
      <c r="V364" s="66"/>
      <c r="W364" s="66"/>
      <c r="X364" s="66"/>
      <c r="Y364" s="66"/>
      <c r="Z364" s="66"/>
      <c r="AA364" s="66"/>
      <c r="AB364" s="66"/>
      <c r="AC364" s="66"/>
    </row>
    <row r="365">
      <c r="A365" s="321">
        <v>43853.0</v>
      </c>
      <c r="B365" s="66"/>
      <c r="C365" s="66"/>
      <c r="D365" s="327"/>
      <c r="E365" s="66"/>
      <c r="F365" s="66"/>
      <c r="G365" s="327"/>
      <c r="H365" s="66"/>
      <c r="I365" s="66"/>
      <c r="J365" s="327"/>
      <c r="K365" s="66"/>
      <c r="L365" s="66"/>
      <c r="M365" s="66"/>
      <c r="N365" s="66"/>
      <c r="O365" s="66"/>
      <c r="P365" s="66"/>
      <c r="Q365" s="66"/>
      <c r="R365" s="66"/>
      <c r="S365" s="66"/>
      <c r="T365" s="66"/>
      <c r="U365" s="66"/>
      <c r="V365" s="66"/>
      <c r="W365" s="66"/>
      <c r="X365" s="66"/>
      <c r="Y365" s="66"/>
      <c r="Z365" s="66"/>
      <c r="AA365" s="66"/>
      <c r="AB365" s="66"/>
      <c r="AC365" s="66"/>
    </row>
    <row r="366">
      <c r="A366" s="321">
        <v>43854.0</v>
      </c>
      <c r="B366" s="66"/>
      <c r="C366" s="66"/>
      <c r="D366" s="327"/>
      <c r="E366" s="66"/>
      <c r="F366" s="66"/>
      <c r="G366" s="327"/>
      <c r="H366" s="66"/>
      <c r="I366" s="66"/>
      <c r="J366" s="327"/>
      <c r="K366" s="66"/>
      <c r="L366" s="66"/>
      <c r="M366" s="66"/>
      <c r="N366" s="66"/>
      <c r="O366" s="66"/>
      <c r="P366" s="66"/>
      <c r="Q366" s="66"/>
      <c r="R366" s="66"/>
      <c r="S366" s="66"/>
      <c r="T366" s="66"/>
      <c r="U366" s="66"/>
      <c r="V366" s="66"/>
      <c r="W366" s="66"/>
      <c r="X366" s="66"/>
      <c r="Y366" s="66"/>
      <c r="Z366" s="66"/>
      <c r="AA366" s="66"/>
      <c r="AB366" s="66"/>
      <c r="AC366" s="66"/>
    </row>
    <row r="367">
      <c r="A367" s="321">
        <v>43855.0</v>
      </c>
      <c r="B367" s="66"/>
      <c r="C367" s="66"/>
      <c r="D367" s="327"/>
      <c r="E367" s="66"/>
      <c r="F367" s="66"/>
      <c r="G367" s="327"/>
      <c r="H367" s="66"/>
      <c r="I367" s="66"/>
      <c r="J367" s="327"/>
      <c r="K367" s="66"/>
      <c r="L367" s="66"/>
      <c r="M367" s="66"/>
      <c r="N367" s="66"/>
      <c r="O367" s="66"/>
      <c r="P367" s="66"/>
      <c r="Q367" s="66"/>
      <c r="R367" s="66"/>
      <c r="S367" s="66"/>
      <c r="T367" s="66"/>
      <c r="U367" s="66"/>
      <c r="V367" s="66"/>
      <c r="W367" s="66"/>
      <c r="X367" s="66"/>
      <c r="Y367" s="66"/>
      <c r="Z367" s="66"/>
      <c r="AA367" s="66"/>
      <c r="AB367" s="66"/>
      <c r="AC367" s="66"/>
    </row>
    <row r="368">
      <c r="A368" s="321">
        <v>43856.0</v>
      </c>
      <c r="B368" s="66"/>
      <c r="C368" s="66"/>
      <c r="D368" s="327"/>
      <c r="E368" s="66"/>
      <c r="F368" s="66"/>
      <c r="G368" s="327"/>
      <c r="H368" s="66"/>
      <c r="I368" s="66"/>
      <c r="J368" s="327"/>
      <c r="K368" s="66"/>
      <c r="L368" s="66"/>
      <c r="M368" s="66"/>
      <c r="N368" s="66"/>
      <c r="O368" s="66"/>
      <c r="P368" s="66"/>
      <c r="Q368" s="66"/>
      <c r="R368" s="66"/>
      <c r="S368" s="66"/>
      <c r="T368" s="66"/>
      <c r="U368" s="66"/>
      <c r="V368" s="66"/>
      <c r="W368" s="66"/>
      <c r="X368" s="66"/>
      <c r="Y368" s="66"/>
      <c r="Z368" s="66"/>
      <c r="AA368" s="66"/>
      <c r="AB368" s="66"/>
      <c r="AC368" s="66"/>
    </row>
    <row r="369">
      <c r="A369" s="321">
        <v>43857.0</v>
      </c>
      <c r="B369" s="66"/>
      <c r="C369" s="66"/>
      <c r="D369" s="327"/>
      <c r="E369" s="66"/>
      <c r="F369" s="66"/>
      <c r="G369" s="327"/>
      <c r="H369" s="66"/>
      <c r="I369" s="66"/>
      <c r="J369" s="327"/>
      <c r="K369" s="66"/>
      <c r="L369" s="66"/>
      <c r="M369" s="66"/>
      <c r="N369" s="66"/>
      <c r="O369" s="66"/>
      <c r="P369" s="66"/>
      <c r="Q369" s="66"/>
      <c r="R369" s="66"/>
      <c r="S369" s="66"/>
      <c r="T369" s="66"/>
      <c r="U369" s="66"/>
      <c r="V369" s="66"/>
      <c r="W369" s="66"/>
      <c r="X369" s="66"/>
      <c r="Y369" s="66"/>
      <c r="Z369" s="66"/>
      <c r="AA369" s="66"/>
      <c r="AB369" s="66"/>
      <c r="AC369" s="66"/>
    </row>
    <row r="370">
      <c r="A370" s="321">
        <v>43858.0</v>
      </c>
      <c r="B370" s="66"/>
      <c r="C370" s="66"/>
      <c r="D370" s="327"/>
      <c r="E370" s="66"/>
      <c r="F370" s="66"/>
      <c r="G370" s="327"/>
      <c r="H370" s="66"/>
      <c r="I370" s="66"/>
      <c r="J370" s="327"/>
      <c r="K370" s="66"/>
      <c r="L370" s="66"/>
      <c r="M370" s="66"/>
      <c r="N370" s="66"/>
      <c r="O370" s="66"/>
      <c r="P370" s="66"/>
      <c r="Q370" s="66"/>
      <c r="R370" s="66"/>
      <c r="S370" s="66"/>
      <c r="T370" s="66"/>
      <c r="U370" s="66"/>
      <c r="V370" s="66"/>
      <c r="W370" s="66"/>
      <c r="X370" s="66"/>
      <c r="Y370" s="66"/>
      <c r="Z370" s="66"/>
      <c r="AA370" s="66"/>
      <c r="AB370" s="66"/>
      <c r="AC370" s="66"/>
    </row>
    <row r="371">
      <c r="A371" s="321">
        <v>43859.0</v>
      </c>
      <c r="B371" s="66"/>
      <c r="C371" s="66"/>
      <c r="D371" s="327"/>
      <c r="E371" s="66"/>
      <c r="F371" s="66"/>
      <c r="G371" s="327"/>
      <c r="H371" s="66"/>
      <c r="I371" s="66"/>
      <c r="J371" s="327"/>
      <c r="K371" s="66"/>
      <c r="L371" s="66"/>
      <c r="M371" s="66"/>
      <c r="N371" s="66"/>
      <c r="O371" s="66"/>
      <c r="P371" s="66"/>
      <c r="Q371" s="66"/>
      <c r="R371" s="66"/>
      <c r="S371" s="66"/>
      <c r="T371" s="66"/>
      <c r="U371" s="66"/>
      <c r="V371" s="66"/>
      <c r="W371" s="66"/>
      <c r="X371" s="66"/>
      <c r="Y371" s="66"/>
      <c r="Z371" s="66"/>
      <c r="AA371" s="66"/>
      <c r="AB371" s="66"/>
      <c r="AC371" s="66"/>
    </row>
    <row r="372">
      <c r="A372" s="321">
        <v>43860.0</v>
      </c>
      <c r="B372" s="66"/>
      <c r="C372" s="66"/>
      <c r="D372" s="327"/>
      <c r="E372" s="66"/>
      <c r="F372" s="66"/>
      <c r="G372" s="327"/>
      <c r="H372" s="66"/>
      <c r="I372" s="66"/>
      <c r="J372" s="327"/>
      <c r="K372" s="66"/>
      <c r="L372" s="66"/>
      <c r="M372" s="66"/>
      <c r="N372" s="66"/>
      <c r="O372" s="66"/>
      <c r="P372" s="66"/>
      <c r="Q372" s="66"/>
      <c r="R372" s="66"/>
      <c r="S372" s="66"/>
      <c r="T372" s="66"/>
      <c r="U372" s="66"/>
      <c r="V372" s="66"/>
      <c r="W372" s="66"/>
      <c r="X372" s="66"/>
      <c r="Y372" s="66"/>
      <c r="Z372" s="66"/>
      <c r="AA372" s="66"/>
      <c r="AB372" s="66"/>
      <c r="AC372" s="66"/>
    </row>
    <row r="373">
      <c r="A373" s="321">
        <v>43861.0</v>
      </c>
      <c r="B373" s="66"/>
      <c r="C373" s="66"/>
      <c r="D373" s="327"/>
      <c r="E373" s="66"/>
      <c r="F373" s="66"/>
      <c r="G373" s="327"/>
      <c r="H373" s="66"/>
      <c r="I373" s="66"/>
      <c r="J373" s="327"/>
      <c r="K373" s="66"/>
      <c r="L373" s="66"/>
      <c r="M373" s="66"/>
      <c r="N373" s="66"/>
      <c r="O373" s="66"/>
      <c r="P373" s="66"/>
      <c r="Q373" s="66"/>
      <c r="R373" s="66"/>
      <c r="S373" s="66"/>
      <c r="T373" s="66"/>
      <c r="U373" s="66"/>
      <c r="V373" s="66"/>
      <c r="W373" s="66"/>
      <c r="X373" s="66"/>
      <c r="Y373" s="66"/>
      <c r="Z373" s="66"/>
      <c r="AA373" s="66"/>
      <c r="AB373" s="66"/>
      <c r="AC373" s="66"/>
    </row>
    <row r="374">
      <c r="A374" s="321">
        <v>43862.0</v>
      </c>
      <c r="B374" s="66"/>
      <c r="C374" s="66"/>
      <c r="D374" s="327"/>
      <c r="E374" s="66"/>
      <c r="F374" s="66"/>
      <c r="G374" s="327"/>
      <c r="H374" s="66"/>
      <c r="I374" s="66"/>
      <c r="J374" s="327"/>
      <c r="K374" s="66"/>
      <c r="L374" s="66"/>
      <c r="M374" s="66"/>
      <c r="N374" s="66"/>
      <c r="O374" s="66"/>
      <c r="P374" s="66"/>
      <c r="Q374" s="66"/>
      <c r="R374" s="66"/>
      <c r="S374" s="66"/>
      <c r="T374" s="66"/>
      <c r="U374" s="66"/>
      <c r="V374" s="66"/>
      <c r="W374" s="66"/>
      <c r="X374" s="66"/>
      <c r="Y374" s="66"/>
      <c r="Z374" s="66"/>
      <c r="AA374" s="66"/>
      <c r="AB374" s="66"/>
      <c r="AC374" s="66"/>
    </row>
    <row r="375">
      <c r="A375" s="321">
        <v>43863.0</v>
      </c>
      <c r="B375" s="66"/>
      <c r="C375" s="66"/>
      <c r="D375" s="327"/>
      <c r="E375" s="66"/>
      <c r="F375" s="66"/>
      <c r="G375" s="327"/>
      <c r="H375" s="66"/>
      <c r="I375" s="66"/>
      <c r="J375" s="327"/>
      <c r="K375" s="66"/>
      <c r="L375" s="66"/>
      <c r="M375" s="66"/>
      <c r="N375" s="66"/>
      <c r="O375" s="66"/>
      <c r="P375" s="66"/>
      <c r="Q375" s="66"/>
      <c r="R375" s="66"/>
      <c r="S375" s="66"/>
      <c r="T375" s="66"/>
      <c r="U375" s="66"/>
      <c r="V375" s="66"/>
      <c r="W375" s="66"/>
      <c r="X375" s="66"/>
      <c r="Y375" s="66"/>
      <c r="Z375" s="66"/>
      <c r="AA375" s="66"/>
      <c r="AB375" s="66"/>
      <c r="AC375" s="66"/>
    </row>
    <row r="376">
      <c r="A376" s="321">
        <v>43864.0</v>
      </c>
      <c r="B376" s="66"/>
      <c r="C376" s="66"/>
      <c r="D376" s="327"/>
      <c r="E376" s="66"/>
      <c r="F376" s="66"/>
      <c r="G376" s="327"/>
      <c r="H376" s="66"/>
      <c r="I376" s="66"/>
      <c r="J376" s="327"/>
      <c r="K376" s="66"/>
      <c r="L376" s="66"/>
      <c r="M376" s="66"/>
      <c r="N376" s="66"/>
      <c r="O376" s="66"/>
      <c r="P376" s="66"/>
      <c r="Q376" s="66"/>
      <c r="R376" s="66"/>
      <c r="S376" s="66"/>
      <c r="T376" s="66"/>
      <c r="U376" s="66"/>
      <c r="V376" s="66"/>
      <c r="W376" s="66"/>
      <c r="X376" s="66"/>
      <c r="Y376" s="66"/>
      <c r="Z376" s="66"/>
      <c r="AA376" s="66"/>
      <c r="AB376" s="66"/>
      <c r="AC376" s="66"/>
    </row>
    <row r="377">
      <c r="A377" s="321">
        <v>43865.0</v>
      </c>
      <c r="B377" s="66"/>
      <c r="C377" s="66"/>
      <c r="D377" s="327"/>
      <c r="E377" s="66"/>
      <c r="F377" s="66"/>
      <c r="G377" s="327"/>
      <c r="H377" s="66"/>
      <c r="I377" s="66"/>
      <c r="J377" s="327"/>
      <c r="K377" s="66"/>
      <c r="L377" s="66"/>
      <c r="M377" s="66"/>
      <c r="N377" s="66"/>
      <c r="O377" s="66"/>
      <c r="P377" s="66"/>
      <c r="Q377" s="66"/>
      <c r="R377" s="66"/>
      <c r="S377" s="66"/>
      <c r="T377" s="66"/>
      <c r="U377" s="66"/>
      <c r="V377" s="66"/>
      <c r="W377" s="66"/>
      <c r="X377" s="66"/>
      <c r="Y377" s="66"/>
      <c r="Z377" s="66"/>
      <c r="AA377" s="66"/>
      <c r="AB377" s="66"/>
      <c r="AC377" s="66"/>
    </row>
    <row r="378">
      <c r="A378" s="321">
        <v>43866.0</v>
      </c>
      <c r="B378" s="66"/>
      <c r="C378" s="66"/>
      <c r="D378" s="327"/>
      <c r="E378" s="66"/>
      <c r="F378" s="66"/>
      <c r="G378" s="327"/>
      <c r="H378" s="66"/>
      <c r="I378" s="66"/>
      <c r="J378" s="327"/>
      <c r="K378" s="66"/>
      <c r="L378" s="66"/>
      <c r="M378" s="66"/>
      <c r="N378" s="66"/>
      <c r="O378" s="66"/>
      <c r="P378" s="66"/>
      <c r="Q378" s="66"/>
      <c r="R378" s="66"/>
      <c r="S378" s="66"/>
      <c r="T378" s="66"/>
      <c r="U378" s="66"/>
      <c r="V378" s="66"/>
      <c r="W378" s="66"/>
      <c r="X378" s="66"/>
      <c r="Y378" s="66"/>
      <c r="Z378" s="66"/>
      <c r="AA378" s="66"/>
      <c r="AB378" s="66"/>
      <c r="AC378" s="66"/>
    </row>
    <row r="379">
      <c r="A379" s="321">
        <v>43867.0</v>
      </c>
      <c r="B379" s="66"/>
      <c r="C379" s="66"/>
      <c r="D379" s="327"/>
      <c r="E379" s="66"/>
      <c r="F379" s="66"/>
      <c r="G379" s="327"/>
      <c r="H379" s="66"/>
      <c r="I379" s="66"/>
      <c r="J379" s="327"/>
      <c r="K379" s="66"/>
      <c r="L379" s="66"/>
      <c r="M379" s="66"/>
      <c r="N379" s="66"/>
      <c r="O379" s="66"/>
      <c r="P379" s="66"/>
      <c r="Q379" s="66"/>
      <c r="R379" s="66"/>
      <c r="S379" s="66"/>
      <c r="T379" s="66"/>
      <c r="U379" s="66"/>
      <c r="V379" s="66"/>
      <c r="W379" s="66"/>
      <c r="X379" s="66"/>
      <c r="Y379" s="66"/>
      <c r="Z379" s="66"/>
      <c r="AA379" s="66"/>
      <c r="AB379" s="66"/>
      <c r="AC379" s="66"/>
    </row>
    <row r="380">
      <c r="A380" s="321">
        <v>43868.0</v>
      </c>
      <c r="B380" s="66"/>
      <c r="C380" s="66"/>
      <c r="D380" s="327"/>
      <c r="E380" s="66"/>
      <c r="F380" s="66"/>
      <c r="G380" s="327"/>
      <c r="H380" s="66"/>
      <c r="I380" s="66"/>
      <c r="J380" s="327"/>
      <c r="K380" s="66"/>
      <c r="L380" s="66"/>
      <c r="M380" s="66"/>
      <c r="N380" s="66"/>
      <c r="O380" s="66"/>
      <c r="P380" s="66"/>
      <c r="Q380" s="66"/>
      <c r="R380" s="66"/>
      <c r="S380" s="66"/>
      <c r="T380" s="66"/>
      <c r="U380" s="66"/>
      <c r="V380" s="66"/>
      <c r="W380" s="66"/>
      <c r="X380" s="66"/>
      <c r="Y380" s="66"/>
      <c r="Z380" s="66"/>
      <c r="AA380" s="66"/>
      <c r="AB380" s="66"/>
      <c r="AC380" s="66"/>
    </row>
    <row r="381">
      <c r="A381" s="321">
        <v>43869.0</v>
      </c>
      <c r="B381" s="66"/>
      <c r="C381" s="66"/>
      <c r="D381" s="327"/>
      <c r="E381" s="66"/>
      <c r="F381" s="66"/>
      <c r="G381" s="327"/>
      <c r="H381" s="66"/>
      <c r="I381" s="66"/>
      <c r="J381" s="327"/>
      <c r="K381" s="66"/>
      <c r="L381" s="66"/>
      <c r="M381" s="66"/>
      <c r="N381" s="66"/>
      <c r="O381" s="66"/>
      <c r="P381" s="66"/>
      <c r="Q381" s="66"/>
      <c r="R381" s="66"/>
      <c r="S381" s="66"/>
      <c r="T381" s="66"/>
      <c r="U381" s="66"/>
      <c r="V381" s="66"/>
      <c r="W381" s="66"/>
      <c r="X381" s="66"/>
      <c r="Y381" s="66"/>
      <c r="Z381" s="66"/>
      <c r="AA381" s="66"/>
      <c r="AB381" s="66"/>
      <c r="AC381" s="66"/>
    </row>
    <row r="382">
      <c r="A382" s="321">
        <v>43870.0</v>
      </c>
      <c r="B382" s="66"/>
      <c r="C382" s="66"/>
      <c r="D382" s="327"/>
      <c r="E382" s="66"/>
      <c r="F382" s="66"/>
      <c r="G382" s="327"/>
      <c r="H382" s="66"/>
      <c r="I382" s="66"/>
      <c r="J382" s="327"/>
      <c r="K382" s="66"/>
      <c r="L382" s="66"/>
      <c r="M382" s="66"/>
      <c r="N382" s="66"/>
      <c r="O382" s="66"/>
      <c r="P382" s="66"/>
      <c r="Q382" s="66"/>
      <c r="R382" s="66"/>
      <c r="S382" s="66"/>
      <c r="T382" s="66"/>
      <c r="U382" s="66"/>
      <c r="V382" s="66"/>
      <c r="W382" s="66"/>
      <c r="X382" s="66"/>
      <c r="Y382" s="66"/>
      <c r="Z382" s="66"/>
      <c r="AA382" s="66"/>
      <c r="AB382" s="66"/>
      <c r="AC382" s="66"/>
    </row>
    <row r="383">
      <c r="A383" s="321">
        <v>43871.0</v>
      </c>
      <c r="B383" s="66"/>
      <c r="C383" s="66"/>
      <c r="D383" s="327"/>
      <c r="E383" s="66"/>
      <c r="F383" s="66"/>
      <c r="G383" s="327"/>
      <c r="H383" s="66"/>
      <c r="I383" s="66"/>
      <c r="J383" s="327"/>
      <c r="K383" s="66"/>
      <c r="L383" s="66"/>
      <c r="M383" s="66"/>
      <c r="N383" s="66"/>
      <c r="O383" s="66"/>
      <c r="P383" s="66"/>
      <c r="Q383" s="66"/>
      <c r="R383" s="66"/>
      <c r="S383" s="66"/>
      <c r="T383" s="66"/>
      <c r="U383" s="66"/>
      <c r="V383" s="66"/>
      <c r="W383" s="66"/>
      <c r="X383" s="66"/>
      <c r="Y383" s="66"/>
      <c r="Z383" s="66"/>
      <c r="AA383" s="66"/>
      <c r="AB383" s="66"/>
      <c r="AC383" s="66"/>
    </row>
    <row r="384">
      <c r="A384" s="321">
        <v>43872.0</v>
      </c>
      <c r="B384" s="66"/>
      <c r="C384" s="66"/>
      <c r="D384" s="327"/>
      <c r="E384" s="66"/>
      <c r="F384" s="66"/>
      <c r="G384" s="327"/>
      <c r="H384" s="66"/>
      <c r="I384" s="66"/>
      <c r="J384" s="327"/>
      <c r="K384" s="66"/>
      <c r="L384" s="66"/>
      <c r="M384" s="66"/>
      <c r="N384" s="66"/>
      <c r="O384" s="66"/>
      <c r="P384" s="66"/>
      <c r="Q384" s="66"/>
      <c r="R384" s="66"/>
      <c r="S384" s="66"/>
      <c r="T384" s="66"/>
      <c r="U384" s="66"/>
      <c r="V384" s="66"/>
      <c r="W384" s="66"/>
      <c r="X384" s="66"/>
      <c r="Y384" s="66"/>
      <c r="Z384" s="66"/>
      <c r="AA384" s="66"/>
      <c r="AB384" s="66"/>
      <c r="AC384" s="66"/>
    </row>
    <row r="385">
      <c r="A385" s="321">
        <v>43873.0</v>
      </c>
      <c r="B385" s="66"/>
      <c r="C385" s="66"/>
      <c r="D385" s="327"/>
      <c r="E385" s="66"/>
      <c r="F385" s="66"/>
      <c r="G385" s="327"/>
      <c r="H385" s="66"/>
      <c r="I385" s="66"/>
      <c r="J385" s="327"/>
      <c r="K385" s="66"/>
      <c r="L385" s="66"/>
      <c r="M385" s="66"/>
      <c r="N385" s="66"/>
      <c r="O385" s="66"/>
      <c r="P385" s="66"/>
      <c r="Q385" s="66"/>
      <c r="R385" s="66"/>
      <c r="S385" s="66"/>
      <c r="T385" s="66"/>
      <c r="U385" s="66"/>
      <c r="V385" s="66"/>
      <c r="W385" s="66"/>
      <c r="X385" s="66"/>
      <c r="Y385" s="66"/>
      <c r="Z385" s="66"/>
      <c r="AA385" s="66"/>
      <c r="AB385" s="66"/>
      <c r="AC385" s="66"/>
    </row>
    <row r="386">
      <c r="A386" s="321">
        <v>43874.0</v>
      </c>
      <c r="B386" s="66"/>
      <c r="C386" s="66"/>
      <c r="D386" s="327"/>
      <c r="E386" s="66"/>
      <c r="F386" s="66"/>
      <c r="G386" s="327"/>
      <c r="H386" s="66"/>
      <c r="I386" s="66"/>
      <c r="J386" s="327"/>
      <c r="K386" s="66"/>
      <c r="L386" s="66"/>
      <c r="M386" s="66"/>
      <c r="N386" s="66"/>
      <c r="O386" s="66"/>
      <c r="P386" s="66"/>
      <c r="Q386" s="66"/>
      <c r="R386" s="66"/>
      <c r="S386" s="66"/>
      <c r="T386" s="66"/>
      <c r="U386" s="66"/>
      <c r="V386" s="66"/>
      <c r="W386" s="66"/>
      <c r="X386" s="66"/>
      <c r="Y386" s="66"/>
      <c r="Z386" s="66"/>
      <c r="AA386" s="66"/>
      <c r="AB386" s="66"/>
      <c r="AC386" s="66"/>
    </row>
    <row r="387">
      <c r="A387" s="321">
        <v>43875.0</v>
      </c>
      <c r="B387" s="66"/>
      <c r="C387" s="66"/>
      <c r="D387" s="327"/>
      <c r="E387" s="66"/>
      <c r="F387" s="66"/>
      <c r="G387" s="327"/>
      <c r="H387" s="66"/>
      <c r="I387" s="66"/>
      <c r="J387" s="327"/>
      <c r="K387" s="66"/>
      <c r="L387" s="66"/>
      <c r="M387" s="66"/>
      <c r="N387" s="66"/>
      <c r="O387" s="66"/>
      <c r="P387" s="66"/>
      <c r="Q387" s="66"/>
      <c r="R387" s="66"/>
      <c r="S387" s="66"/>
      <c r="T387" s="66"/>
      <c r="U387" s="66"/>
      <c r="V387" s="66"/>
      <c r="W387" s="66"/>
      <c r="X387" s="66"/>
      <c r="Y387" s="66"/>
      <c r="Z387" s="66"/>
      <c r="AA387" s="66"/>
      <c r="AB387" s="66"/>
      <c r="AC387" s="66"/>
    </row>
    <row r="388">
      <c r="A388" s="321">
        <v>43876.0</v>
      </c>
      <c r="B388" s="66"/>
      <c r="C388" s="66"/>
      <c r="D388" s="327"/>
      <c r="E388" s="66"/>
      <c r="F388" s="66"/>
      <c r="G388" s="327"/>
      <c r="H388" s="66"/>
      <c r="I388" s="66"/>
      <c r="J388" s="327"/>
      <c r="K388" s="66"/>
      <c r="L388" s="66"/>
      <c r="M388" s="66"/>
      <c r="N388" s="66"/>
      <c r="O388" s="66"/>
      <c r="P388" s="66"/>
      <c r="Q388" s="66"/>
      <c r="R388" s="66"/>
      <c r="S388" s="66"/>
      <c r="T388" s="66"/>
      <c r="U388" s="66"/>
      <c r="V388" s="66"/>
      <c r="W388" s="66"/>
      <c r="X388" s="66"/>
      <c r="Y388" s="66"/>
      <c r="Z388" s="66"/>
      <c r="AA388" s="66"/>
      <c r="AB388" s="66"/>
      <c r="AC388" s="66"/>
    </row>
    <row r="389">
      <c r="A389" s="321">
        <v>43877.0</v>
      </c>
      <c r="B389" s="66"/>
      <c r="C389" s="66"/>
      <c r="D389" s="327"/>
      <c r="E389" s="66"/>
      <c r="F389" s="66"/>
      <c r="G389" s="327"/>
      <c r="H389" s="66"/>
      <c r="I389" s="66"/>
      <c r="J389" s="327"/>
      <c r="K389" s="66"/>
      <c r="L389" s="66"/>
      <c r="M389" s="66"/>
      <c r="N389" s="66"/>
      <c r="O389" s="66"/>
      <c r="P389" s="66"/>
      <c r="Q389" s="66"/>
      <c r="R389" s="66"/>
      <c r="S389" s="66"/>
      <c r="T389" s="66"/>
      <c r="U389" s="66"/>
      <c r="V389" s="66"/>
      <c r="W389" s="66"/>
      <c r="X389" s="66"/>
      <c r="Y389" s="66"/>
      <c r="Z389" s="66"/>
      <c r="AA389" s="66"/>
      <c r="AB389" s="66"/>
      <c r="AC389" s="66"/>
    </row>
    <row r="390">
      <c r="A390" s="321">
        <v>43878.0</v>
      </c>
      <c r="B390" s="66"/>
      <c r="C390" s="66"/>
      <c r="D390" s="327"/>
      <c r="E390" s="66"/>
      <c r="F390" s="66"/>
      <c r="G390" s="327"/>
      <c r="H390" s="66"/>
      <c r="I390" s="66"/>
      <c r="J390" s="327"/>
      <c r="K390" s="66"/>
      <c r="L390" s="66"/>
      <c r="M390" s="66"/>
      <c r="N390" s="66"/>
      <c r="O390" s="66"/>
      <c r="P390" s="66"/>
      <c r="Q390" s="66"/>
      <c r="R390" s="66"/>
      <c r="S390" s="66"/>
      <c r="T390" s="66"/>
      <c r="U390" s="66"/>
      <c r="V390" s="66"/>
      <c r="W390" s="66"/>
      <c r="X390" s="66"/>
      <c r="Y390" s="66"/>
      <c r="Z390" s="66"/>
      <c r="AA390" s="66"/>
      <c r="AB390" s="66"/>
      <c r="AC390" s="66"/>
    </row>
    <row r="391">
      <c r="A391" s="321">
        <v>43879.0</v>
      </c>
      <c r="B391" s="66"/>
      <c r="C391" s="66"/>
      <c r="D391" s="327"/>
      <c r="E391" s="66"/>
      <c r="F391" s="66"/>
      <c r="G391" s="327"/>
      <c r="H391" s="66"/>
      <c r="I391" s="66"/>
      <c r="J391" s="327"/>
      <c r="K391" s="66"/>
      <c r="L391" s="66"/>
      <c r="M391" s="66"/>
      <c r="N391" s="66"/>
      <c r="O391" s="66"/>
      <c r="P391" s="66"/>
      <c r="Q391" s="66"/>
      <c r="R391" s="66"/>
      <c r="S391" s="66"/>
      <c r="T391" s="66"/>
      <c r="U391" s="66"/>
      <c r="V391" s="66"/>
      <c r="W391" s="66"/>
      <c r="X391" s="66"/>
      <c r="Y391" s="66"/>
      <c r="Z391" s="66"/>
      <c r="AA391" s="66"/>
      <c r="AB391" s="66"/>
      <c r="AC391" s="66"/>
    </row>
    <row r="392">
      <c r="A392" s="321">
        <v>43880.0</v>
      </c>
      <c r="B392" s="66"/>
      <c r="C392" s="66"/>
      <c r="D392" s="327"/>
      <c r="E392" s="66"/>
      <c r="F392" s="66"/>
      <c r="G392" s="327"/>
      <c r="H392" s="66"/>
      <c r="I392" s="66"/>
      <c r="J392" s="327"/>
      <c r="K392" s="66"/>
      <c r="L392" s="66"/>
      <c r="M392" s="66"/>
      <c r="N392" s="66"/>
      <c r="O392" s="66"/>
      <c r="P392" s="66"/>
      <c r="Q392" s="66"/>
      <c r="R392" s="66"/>
      <c r="S392" s="66"/>
      <c r="T392" s="66"/>
      <c r="U392" s="66"/>
      <c r="V392" s="66"/>
      <c r="W392" s="66"/>
      <c r="X392" s="66"/>
      <c r="Y392" s="66"/>
      <c r="Z392" s="66"/>
      <c r="AA392" s="66"/>
      <c r="AB392" s="66"/>
      <c r="AC392" s="66"/>
    </row>
    <row r="393">
      <c r="A393" s="321">
        <v>43881.0</v>
      </c>
      <c r="B393" s="66"/>
      <c r="C393" s="66"/>
      <c r="D393" s="327"/>
      <c r="E393" s="66"/>
      <c r="F393" s="66"/>
      <c r="G393" s="327"/>
      <c r="H393" s="66"/>
      <c r="I393" s="66"/>
      <c r="J393" s="327"/>
      <c r="K393" s="66"/>
      <c r="L393" s="66"/>
      <c r="M393" s="66"/>
      <c r="N393" s="66"/>
      <c r="O393" s="66"/>
      <c r="P393" s="66"/>
      <c r="Q393" s="66"/>
      <c r="R393" s="66"/>
      <c r="S393" s="66"/>
      <c r="T393" s="66"/>
      <c r="U393" s="66"/>
      <c r="V393" s="66"/>
      <c r="W393" s="66"/>
      <c r="X393" s="66"/>
      <c r="Y393" s="66"/>
      <c r="Z393" s="66"/>
      <c r="AA393" s="66"/>
      <c r="AB393" s="66"/>
      <c r="AC393" s="66"/>
    </row>
    <row r="394">
      <c r="A394" s="321">
        <v>43882.0</v>
      </c>
      <c r="B394" s="66"/>
      <c r="C394" s="66"/>
      <c r="D394" s="327"/>
      <c r="E394" s="66"/>
      <c r="F394" s="66"/>
      <c r="G394" s="327"/>
      <c r="H394" s="66"/>
      <c r="I394" s="66"/>
      <c r="J394" s="327"/>
      <c r="K394" s="66"/>
      <c r="L394" s="66"/>
      <c r="M394" s="66"/>
      <c r="N394" s="66"/>
      <c r="O394" s="66"/>
      <c r="P394" s="66"/>
      <c r="Q394" s="66"/>
      <c r="R394" s="66"/>
      <c r="S394" s="66"/>
      <c r="T394" s="66"/>
      <c r="U394" s="66"/>
      <c r="V394" s="66"/>
      <c r="W394" s="66"/>
      <c r="X394" s="66"/>
      <c r="Y394" s="66"/>
      <c r="Z394" s="66"/>
      <c r="AA394" s="66"/>
      <c r="AB394" s="66"/>
      <c r="AC394" s="66"/>
    </row>
    <row r="395">
      <c r="A395" s="321">
        <v>43883.0</v>
      </c>
      <c r="B395" s="66"/>
      <c r="C395" s="66"/>
      <c r="D395" s="327"/>
      <c r="E395" s="66"/>
      <c r="F395" s="66"/>
      <c r="G395" s="327"/>
      <c r="H395" s="66"/>
      <c r="I395" s="66"/>
      <c r="J395" s="327"/>
      <c r="K395" s="66"/>
      <c r="L395" s="66"/>
      <c r="M395" s="66"/>
      <c r="N395" s="66"/>
      <c r="O395" s="66"/>
      <c r="P395" s="66"/>
      <c r="Q395" s="66"/>
      <c r="R395" s="66"/>
      <c r="S395" s="66"/>
      <c r="T395" s="66"/>
      <c r="U395" s="66"/>
      <c r="V395" s="66"/>
      <c r="W395" s="66"/>
      <c r="X395" s="66"/>
      <c r="Y395" s="66"/>
      <c r="Z395" s="66"/>
      <c r="AA395" s="66"/>
      <c r="AB395" s="66"/>
      <c r="AC395" s="66"/>
    </row>
    <row r="396">
      <c r="A396" s="321">
        <v>43884.0</v>
      </c>
      <c r="B396" s="66"/>
      <c r="C396" s="66"/>
      <c r="D396" s="327"/>
      <c r="E396" s="66"/>
      <c r="F396" s="66"/>
      <c r="G396" s="327"/>
      <c r="H396" s="66"/>
      <c r="I396" s="66"/>
      <c r="J396" s="327"/>
      <c r="K396" s="66"/>
      <c r="L396" s="66"/>
      <c r="M396" s="66"/>
      <c r="N396" s="66"/>
      <c r="O396" s="66"/>
      <c r="P396" s="66"/>
      <c r="Q396" s="66"/>
      <c r="R396" s="66"/>
      <c r="S396" s="66"/>
      <c r="T396" s="66"/>
      <c r="U396" s="66"/>
      <c r="V396" s="66"/>
      <c r="W396" s="66"/>
      <c r="X396" s="66"/>
      <c r="Y396" s="66"/>
      <c r="Z396" s="66"/>
      <c r="AA396" s="66"/>
      <c r="AB396" s="66"/>
      <c r="AC396" s="66"/>
    </row>
    <row r="397">
      <c r="A397" s="321">
        <v>43885.0</v>
      </c>
      <c r="B397" s="66"/>
      <c r="C397" s="66"/>
      <c r="D397" s="327"/>
      <c r="E397" s="66"/>
      <c r="F397" s="66"/>
      <c r="G397" s="327"/>
      <c r="H397" s="66"/>
      <c r="I397" s="66"/>
      <c r="J397" s="327"/>
      <c r="K397" s="66"/>
      <c r="L397" s="66"/>
      <c r="M397" s="66"/>
      <c r="N397" s="66"/>
      <c r="O397" s="66"/>
      <c r="P397" s="66"/>
      <c r="Q397" s="66"/>
      <c r="R397" s="66"/>
      <c r="S397" s="66"/>
      <c r="T397" s="66"/>
      <c r="U397" s="66"/>
      <c r="V397" s="66"/>
      <c r="W397" s="66"/>
      <c r="X397" s="66"/>
      <c r="Y397" s="66"/>
      <c r="Z397" s="66"/>
      <c r="AA397" s="66"/>
      <c r="AB397" s="66"/>
      <c r="AC397" s="66"/>
    </row>
    <row r="398">
      <c r="A398" s="321">
        <v>43886.0</v>
      </c>
      <c r="B398" s="66"/>
      <c r="C398" s="66"/>
      <c r="D398" s="327"/>
      <c r="E398" s="66"/>
      <c r="F398" s="66"/>
      <c r="G398" s="327"/>
      <c r="H398" s="66"/>
      <c r="I398" s="66"/>
      <c r="J398" s="327"/>
      <c r="K398" s="66"/>
      <c r="L398" s="66"/>
      <c r="M398" s="66"/>
      <c r="N398" s="66"/>
      <c r="O398" s="66"/>
      <c r="P398" s="66"/>
      <c r="Q398" s="66"/>
      <c r="R398" s="66"/>
      <c r="S398" s="66"/>
      <c r="T398" s="66"/>
      <c r="U398" s="66"/>
      <c r="V398" s="66"/>
      <c r="W398" s="66"/>
      <c r="X398" s="66"/>
      <c r="Y398" s="66"/>
      <c r="Z398" s="66"/>
      <c r="AA398" s="66"/>
      <c r="AB398" s="66"/>
      <c r="AC398" s="66"/>
    </row>
    <row r="399">
      <c r="A399" s="321">
        <v>43887.0</v>
      </c>
      <c r="B399" s="66"/>
      <c r="C399" s="66"/>
      <c r="D399" s="327"/>
      <c r="E399" s="66"/>
      <c r="F399" s="66"/>
      <c r="G399" s="327"/>
      <c r="H399" s="66"/>
      <c r="I399" s="66"/>
      <c r="J399" s="327"/>
      <c r="K399" s="66"/>
      <c r="L399" s="66"/>
      <c r="M399" s="66"/>
      <c r="N399" s="66"/>
      <c r="O399" s="66"/>
      <c r="P399" s="66"/>
      <c r="Q399" s="66"/>
      <c r="R399" s="66"/>
      <c r="S399" s="66"/>
      <c r="T399" s="66"/>
      <c r="U399" s="66"/>
      <c r="V399" s="66"/>
      <c r="W399" s="66"/>
      <c r="X399" s="66"/>
      <c r="Y399" s="66"/>
      <c r="Z399" s="66"/>
      <c r="AA399" s="66"/>
      <c r="AB399" s="66"/>
      <c r="AC399" s="66"/>
    </row>
    <row r="400">
      <c r="A400" s="321">
        <v>43888.0</v>
      </c>
      <c r="B400" s="66"/>
      <c r="C400" s="66"/>
      <c r="D400" s="327"/>
      <c r="E400" s="66"/>
      <c r="F400" s="66"/>
      <c r="G400" s="327"/>
      <c r="H400" s="66"/>
      <c r="I400" s="66"/>
      <c r="J400" s="327"/>
      <c r="K400" s="66"/>
      <c r="L400" s="66"/>
      <c r="M400" s="66"/>
      <c r="N400" s="66"/>
      <c r="O400" s="66"/>
      <c r="P400" s="66"/>
      <c r="Q400" s="66"/>
      <c r="R400" s="66"/>
      <c r="S400" s="66"/>
      <c r="T400" s="66"/>
      <c r="U400" s="66"/>
      <c r="V400" s="66"/>
      <c r="W400" s="66"/>
      <c r="X400" s="66"/>
      <c r="Y400" s="66"/>
      <c r="Z400" s="66"/>
      <c r="AA400" s="66"/>
      <c r="AB400" s="66"/>
      <c r="AC400" s="66"/>
    </row>
    <row r="401">
      <c r="A401" s="321">
        <v>43889.0</v>
      </c>
      <c r="B401" s="66"/>
      <c r="C401" s="66"/>
      <c r="D401" s="327"/>
      <c r="E401" s="66"/>
      <c r="F401" s="66"/>
      <c r="G401" s="327"/>
      <c r="H401" s="66"/>
      <c r="I401" s="66"/>
      <c r="J401" s="327"/>
      <c r="K401" s="66"/>
      <c r="L401" s="66"/>
      <c r="M401" s="66"/>
      <c r="N401" s="66"/>
      <c r="O401" s="66"/>
      <c r="P401" s="66"/>
      <c r="Q401" s="66"/>
      <c r="R401" s="66"/>
      <c r="S401" s="66"/>
      <c r="T401" s="66"/>
      <c r="U401" s="66"/>
      <c r="V401" s="66"/>
      <c r="W401" s="66"/>
      <c r="X401" s="66"/>
      <c r="Y401" s="66"/>
      <c r="Z401" s="66"/>
      <c r="AA401" s="66"/>
      <c r="AB401" s="66"/>
      <c r="AC401" s="66"/>
    </row>
    <row r="402">
      <c r="A402" s="321">
        <v>43890.0</v>
      </c>
      <c r="B402" s="66"/>
      <c r="C402" s="66"/>
      <c r="D402" s="327"/>
      <c r="E402" s="66"/>
      <c r="F402" s="66"/>
      <c r="G402" s="327"/>
      <c r="H402" s="66"/>
      <c r="I402" s="66"/>
      <c r="J402" s="327"/>
      <c r="K402" s="66"/>
      <c r="L402" s="66"/>
      <c r="M402" s="66"/>
      <c r="N402" s="66"/>
      <c r="O402" s="66"/>
      <c r="P402" s="66"/>
      <c r="Q402" s="66"/>
      <c r="R402" s="66"/>
      <c r="S402" s="66"/>
      <c r="T402" s="66"/>
      <c r="U402" s="66"/>
      <c r="V402" s="66"/>
      <c r="W402" s="66"/>
      <c r="X402" s="66"/>
      <c r="Y402" s="66"/>
      <c r="Z402" s="66"/>
      <c r="AA402" s="66"/>
      <c r="AB402" s="66"/>
      <c r="AC402" s="66"/>
    </row>
    <row r="403">
      <c r="A403" s="321">
        <v>43891.0</v>
      </c>
      <c r="B403" s="66"/>
      <c r="C403" s="66"/>
      <c r="D403" s="327"/>
      <c r="E403" s="66"/>
      <c r="F403" s="66"/>
      <c r="G403" s="327"/>
      <c r="H403" s="66"/>
      <c r="I403" s="66"/>
      <c r="J403" s="327"/>
      <c r="K403" s="66"/>
      <c r="L403" s="66"/>
      <c r="M403" s="66"/>
      <c r="N403" s="66"/>
      <c r="O403" s="66"/>
      <c r="P403" s="66"/>
      <c r="Q403" s="66"/>
      <c r="R403" s="66"/>
      <c r="S403" s="66"/>
      <c r="T403" s="66"/>
      <c r="U403" s="66"/>
      <c r="V403" s="66"/>
      <c r="W403" s="66"/>
      <c r="X403" s="66"/>
      <c r="Y403" s="66"/>
      <c r="Z403" s="66"/>
      <c r="AA403" s="66"/>
      <c r="AB403" s="66"/>
      <c r="AC403" s="66"/>
    </row>
    <row r="404">
      <c r="A404" s="321">
        <v>43892.0</v>
      </c>
      <c r="B404" s="66"/>
      <c r="C404" s="66"/>
      <c r="D404" s="327"/>
      <c r="E404" s="66"/>
      <c r="F404" s="66"/>
      <c r="G404" s="327"/>
      <c r="H404" s="66"/>
      <c r="I404" s="66"/>
      <c r="J404" s="327"/>
      <c r="K404" s="66"/>
      <c r="L404" s="66"/>
      <c r="M404" s="66"/>
      <c r="N404" s="66"/>
      <c r="O404" s="66"/>
      <c r="P404" s="66"/>
      <c r="Q404" s="66"/>
      <c r="R404" s="66"/>
      <c r="S404" s="66"/>
      <c r="T404" s="66"/>
      <c r="U404" s="66"/>
      <c r="V404" s="66"/>
      <c r="W404" s="66"/>
      <c r="X404" s="66"/>
      <c r="Y404" s="66"/>
      <c r="Z404" s="66"/>
      <c r="AA404" s="66"/>
      <c r="AB404" s="66"/>
      <c r="AC404" s="66"/>
    </row>
    <row r="405">
      <c r="A405" s="321">
        <v>43893.0</v>
      </c>
      <c r="B405" s="66"/>
      <c r="C405" s="66"/>
      <c r="D405" s="327"/>
      <c r="E405" s="66"/>
      <c r="F405" s="66"/>
      <c r="G405" s="327"/>
      <c r="H405" s="66"/>
      <c r="I405" s="66"/>
      <c r="J405" s="327"/>
      <c r="K405" s="66"/>
      <c r="L405" s="66"/>
      <c r="M405" s="66"/>
      <c r="N405" s="66"/>
      <c r="O405" s="66"/>
      <c r="P405" s="66"/>
      <c r="Q405" s="66"/>
      <c r="R405" s="66"/>
      <c r="S405" s="66"/>
      <c r="T405" s="66"/>
      <c r="U405" s="66"/>
      <c r="V405" s="66"/>
      <c r="W405" s="66"/>
      <c r="X405" s="66"/>
      <c r="Y405" s="66"/>
      <c r="Z405" s="66"/>
      <c r="AA405" s="66"/>
      <c r="AB405" s="66"/>
      <c r="AC405" s="66"/>
    </row>
    <row r="406">
      <c r="A406" s="321">
        <v>43894.0</v>
      </c>
      <c r="B406" s="66"/>
      <c r="C406" s="66"/>
      <c r="D406" s="327"/>
      <c r="E406" s="66"/>
      <c r="F406" s="66"/>
      <c r="G406" s="327"/>
      <c r="H406" s="66"/>
      <c r="I406" s="66"/>
      <c r="J406" s="327"/>
      <c r="K406" s="66"/>
      <c r="L406" s="66"/>
      <c r="M406" s="66"/>
      <c r="N406" s="66"/>
      <c r="O406" s="66"/>
      <c r="P406" s="66"/>
      <c r="Q406" s="66"/>
      <c r="R406" s="66"/>
      <c r="S406" s="66"/>
      <c r="T406" s="66"/>
      <c r="U406" s="66"/>
      <c r="V406" s="66"/>
      <c r="W406" s="66"/>
      <c r="X406" s="66"/>
      <c r="Y406" s="66"/>
      <c r="Z406" s="66"/>
      <c r="AA406" s="66"/>
      <c r="AB406" s="66"/>
      <c r="AC406" s="66"/>
    </row>
    <row r="407">
      <c r="A407" s="321">
        <v>43895.0</v>
      </c>
      <c r="B407" s="66"/>
      <c r="C407" s="66"/>
      <c r="D407" s="327"/>
      <c r="E407" s="66"/>
      <c r="F407" s="66"/>
      <c r="G407" s="327"/>
      <c r="H407" s="66"/>
      <c r="I407" s="66"/>
      <c r="J407" s="327"/>
      <c r="K407" s="66"/>
      <c r="L407" s="66"/>
      <c r="M407" s="66"/>
      <c r="N407" s="66"/>
      <c r="O407" s="66"/>
      <c r="P407" s="66"/>
      <c r="Q407" s="66"/>
      <c r="R407" s="66"/>
      <c r="S407" s="66"/>
      <c r="T407" s="66"/>
      <c r="U407" s="66"/>
      <c r="V407" s="66"/>
      <c r="W407" s="66"/>
      <c r="X407" s="66"/>
      <c r="Y407" s="66"/>
      <c r="Z407" s="66"/>
      <c r="AA407" s="66"/>
      <c r="AB407" s="66"/>
      <c r="AC407" s="66"/>
    </row>
    <row r="408">
      <c r="A408" s="321">
        <v>43896.0</v>
      </c>
      <c r="B408" s="66"/>
      <c r="C408" s="66"/>
      <c r="D408" s="327"/>
      <c r="E408" s="66"/>
      <c r="F408" s="66"/>
      <c r="G408" s="327"/>
      <c r="H408" s="66"/>
      <c r="I408" s="66"/>
      <c r="J408" s="327"/>
      <c r="K408" s="66"/>
      <c r="L408" s="66"/>
      <c r="M408" s="66"/>
      <c r="N408" s="66"/>
      <c r="O408" s="66"/>
      <c r="P408" s="66"/>
      <c r="Q408" s="66"/>
      <c r="R408" s="66"/>
      <c r="S408" s="66"/>
      <c r="T408" s="66"/>
      <c r="U408" s="66"/>
      <c r="V408" s="66"/>
      <c r="W408" s="66"/>
      <c r="X408" s="66"/>
      <c r="Y408" s="66"/>
      <c r="Z408" s="66"/>
      <c r="AA408" s="66"/>
      <c r="AB408" s="66"/>
      <c r="AC408" s="66"/>
    </row>
    <row r="409">
      <c r="A409" s="321">
        <v>43897.0</v>
      </c>
      <c r="B409" s="66"/>
      <c r="C409" s="66"/>
      <c r="D409" s="327"/>
      <c r="E409" s="66"/>
      <c r="F409" s="66"/>
      <c r="G409" s="327"/>
      <c r="H409" s="66"/>
      <c r="I409" s="66"/>
      <c r="J409" s="327"/>
      <c r="K409" s="66"/>
      <c r="L409" s="66"/>
      <c r="M409" s="66"/>
      <c r="N409" s="66"/>
      <c r="O409" s="66"/>
      <c r="P409" s="66"/>
      <c r="Q409" s="66"/>
      <c r="R409" s="66"/>
      <c r="S409" s="66"/>
      <c r="T409" s="66"/>
      <c r="U409" s="66"/>
      <c r="V409" s="66"/>
      <c r="W409" s="66"/>
      <c r="X409" s="66"/>
      <c r="Y409" s="66"/>
      <c r="Z409" s="66"/>
      <c r="AA409" s="66"/>
      <c r="AB409" s="66"/>
      <c r="AC409" s="66"/>
    </row>
    <row r="410">
      <c r="A410" s="321">
        <v>43898.0</v>
      </c>
      <c r="B410" s="66"/>
      <c r="C410" s="66"/>
      <c r="D410" s="327"/>
      <c r="E410" s="66"/>
      <c r="F410" s="66"/>
      <c r="G410" s="327"/>
      <c r="H410" s="66"/>
      <c r="I410" s="66"/>
      <c r="J410" s="327"/>
      <c r="K410" s="66"/>
      <c r="L410" s="66"/>
      <c r="M410" s="66"/>
      <c r="N410" s="66"/>
      <c r="O410" s="66"/>
      <c r="P410" s="66"/>
      <c r="Q410" s="66"/>
      <c r="R410" s="66"/>
      <c r="S410" s="66"/>
      <c r="T410" s="66"/>
      <c r="U410" s="66"/>
      <c r="V410" s="66"/>
      <c r="W410" s="66"/>
      <c r="X410" s="66"/>
      <c r="Y410" s="66"/>
      <c r="Z410" s="66"/>
      <c r="AA410" s="66"/>
      <c r="AB410" s="66"/>
      <c r="AC410" s="66"/>
    </row>
    <row r="411">
      <c r="A411" s="321">
        <v>43899.0</v>
      </c>
      <c r="B411" s="66"/>
      <c r="C411" s="66"/>
      <c r="D411" s="327"/>
      <c r="E411" s="66"/>
      <c r="F411" s="66"/>
      <c r="G411" s="327"/>
      <c r="H411" s="66"/>
      <c r="I411" s="66"/>
      <c r="J411" s="327"/>
      <c r="K411" s="66"/>
      <c r="L411" s="66"/>
      <c r="M411" s="66"/>
      <c r="N411" s="66"/>
      <c r="O411" s="66"/>
      <c r="P411" s="66"/>
      <c r="Q411" s="66"/>
      <c r="R411" s="66"/>
      <c r="S411" s="66"/>
      <c r="T411" s="66"/>
      <c r="U411" s="66"/>
      <c r="V411" s="66"/>
      <c r="W411" s="66"/>
      <c r="X411" s="66"/>
      <c r="Y411" s="66"/>
      <c r="Z411" s="66"/>
      <c r="AA411" s="66"/>
      <c r="AB411" s="66"/>
      <c r="AC411" s="66"/>
    </row>
    <row r="412">
      <c r="A412" s="321">
        <v>43900.0</v>
      </c>
      <c r="B412" s="66"/>
      <c r="C412" s="66"/>
      <c r="D412" s="327"/>
      <c r="E412" s="66"/>
      <c r="F412" s="66"/>
      <c r="G412" s="327"/>
      <c r="H412" s="66"/>
      <c r="I412" s="66"/>
      <c r="J412" s="327"/>
      <c r="K412" s="66"/>
      <c r="L412" s="66"/>
      <c r="M412" s="66"/>
      <c r="N412" s="66"/>
      <c r="O412" s="66"/>
      <c r="P412" s="66"/>
      <c r="Q412" s="66"/>
      <c r="R412" s="66"/>
      <c r="S412" s="66"/>
      <c r="T412" s="66"/>
      <c r="U412" s="66"/>
      <c r="V412" s="66"/>
      <c r="W412" s="66"/>
      <c r="X412" s="66"/>
      <c r="Y412" s="66"/>
      <c r="Z412" s="66"/>
      <c r="AA412" s="66"/>
      <c r="AB412" s="66"/>
      <c r="AC412" s="66"/>
    </row>
    <row r="413">
      <c r="A413" s="321">
        <v>43901.0</v>
      </c>
      <c r="B413" s="66"/>
      <c r="C413" s="66"/>
      <c r="D413" s="327"/>
      <c r="E413" s="66"/>
      <c r="F413" s="66"/>
      <c r="G413" s="327"/>
      <c r="H413" s="66"/>
      <c r="I413" s="66"/>
      <c r="J413" s="327"/>
      <c r="K413" s="66"/>
      <c r="L413" s="66"/>
      <c r="M413" s="66"/>
      <c r="N413" s="66"/>
      <c r="O413" s="66"/>
      <c r="P413" s="66"/>
      <c r="Q413" s="66"/>
      <c r="R413" s="66"/>
      <c r="S413" s="66"/>
      <c r="T413" s="66"/>
      <c r="U413" s="66"/>
      <c r="V413" s="66"/>
      <c r="W413" s="66"/>
      <c r="X413" s="66"/>
      <c r="Y413" s="66"/>
      <c r="Z413" s="66"/>
      <c r="AA413" s="66"/>
      <c r="AB413" s="66"/>
      <c r="AC413" s="66"/>
    </row>
    <row r="414">
      <c r="A414" s="321">
        <v>43902.0</v>
      </c>
      <c r="B414" s="66"/>
      <c r="C414" s="66"/>
      <c r="D414" s="327"/>
      <c r="E414" s="66"/>
      <c r="F414" s="66"/>
      <c r="G414" s="327"/>
      <c r="H414" s="66"/>
      <c r="I414" s="66"/>
      <c r="J414" s="327"/>
      <c r="K414" s="66"/>
      <c r="L414" s="66"/>
      <c r="M414" s="66"/>
      <c r="N414" s="66"/>
      <c r="O414" s="66"/>
      <c r="P414" s="66"/>
      <c r="Q414" s="66"/>
      <c r="R414" s="66"/>
      <c r="S414" s="66"/>
      <c r="T414" s="66"/>
      <c r="U414" s="66"/>
      <c r="V414" s="66"/>
      <c r="W414" s="66"/>
      <c r="X414" s="66"/>
      <c r="Y414" s="66"/>
      <c r="Z414" s="66"/>
      <c r="AA414" s="66"/>
      <c r="AB414" s="66"/>
      <c r="AC414" s="66"/>
    </row>
    <row r="415">
      <c r="A415" s="321">
        <v>43903.0</v>
      </c>
      <c r="B415" s="66"/>
      <c r="C415" s="66"/>
      <c r="D415" s="327"/>
      <c r="E415" s="66"/>
      <c r="F415" s="66"/>
      <c r="G415" s="327"/>
      <c r="H415" s="66"/>
      <c r="I415" s="66"/>
      <c r="J415" s="327"/>
      <c r="K415" s="66"/>
      <c r="L415" s="66"/>
      <c r="M415" s="66"/>
      <c r="N415" s="66"/>
      <c r="O415" s="66"/>
      <c r="P415" s="66"/>
      <c r="Q415" s="66"/>
      <c r="R415" s="66"/>
      <c r="S415" s="66"/>
      <c r="T415" s="66"/>
      <c r="U415" s="66"/>
      <c r="V415" s="66"/>
      <c r="W415" s="66"/>
      <c r="X415" s="66"/>
      <c r="Y415" s="66"/>
      <c r="Z415" s="66"/>
      <c r="AA415" s="66"/>
      <c r="AB415" s="66"/>
      <c r="AC415" s="66"/>
    </row>
    <row r="416">
      <c r="A416" s="321">
        <v>43904.0</v>
      </c>
      <c r="B416" s="66"/>
      <c r="C416" s="66"/>
      <c r="D416" s="327"/>
      <c r="E416" s="66"/>
      <c r="F416" s="66"/>
      <c r="G416" s="327"/>
      <c r="H416" s="66"/>
      <c r="I416" s="66"/>
      <c r="J416" s="327"/>
      <c r="K416" s="66"/>
      <c r="L416" s="66"/>
      <c r="M416" s="66"/>
      <c r="N416" s="66"/>
      <c r="O416" s="66"/>
      <c r="P416" s="66"/>
      <c r="Q416" s="66"/>
      <c r="R416" s="66"/>
      <c r="S416" s="66"/>
      <c r="T416" s="66"/>
      <c r="U416" s="66"/>
      <c r="V416" s="66"/>
      <c r="W416" s="66"/>
      <c r="X416" s="66"/>
      <c r="Y416" s="66"/>
      <c r="Z416" s="66"/>
      <c r="AA416" s="66"/>
      <c r="AB416" s="66"/>
      <c r="AC416" s="66"/>
    </row>
    <row r="417">
      <c r="A417" s="321">
        <v>43905.0</v>
      </c>
      <c r="B417" s="66"/>
      <c r="C417" s="66"/>
      <c r="D417" s="327"/>
      <c r="E417" s="66"/>
      <c r="F417" s="66"/>
      <c r="G417" s="327"/>
      <c r="H417" s="66"/>
      <c r="I417" s="66"/>
      <c r="J417" s="327"/>
      <c r="K417" s="66"/>
      <c r="L417" s="66"/>
      <c r="M417" s="66"/>
      <c r="N417" s="66"/>
      <c r="O417" s="66"/>
      <c r="P417" s="66"/>
      <c r="Q417" s="66"/>
      <c r="R417" s="66"/>
      <c r="S417" s="66"/>
      <c r="T417" s="66"/>
      <c r="U417" s="66"/>
      <c r="V417" s="66"/>
      <c r="W417" s="66"/>
      <c r="X417" s="66"/>
      <c r="Y417" s="66"/>
      <c r="Z417" s="66"/>
      <c r="AA417" s="66"/>
      <c r="AB417" s="66"/>
      <c r="AC417" s="66"/>
    </row>
    <row r="418">
      <c r="A418" s="321">
        <v>43906.0</v>
      </c>
      <c r="B418" s="66"/>
      <c r="C418" s="66"/>
      <c r="D418" s="327"/>
      <c r="E418" s="66"/>
      <c r="F418" s="66"/>
      <c r="G418" s="327"/>
      <c r="H418" s="66"/>
      <c r="I418" s="66"/>
      <c r="J418" s="327"/>
      <c r="K418" s="66"/>
      <c r="L418" s="66"/>
      <c r="M418" s="66"/>
      <c r="N418" s="66"/>
      <c r="O418" s="66"/>
      <c r="P418" s="66"/>
      <c r="Q418" s="66"/>
      <c r="R418" s="66"/>
      <c r="S418" s="66"/>
      <c r="T418" s="66"/>
      <c r="U418" s="66"/>
      <c r="V418" s="66"/>
      <c r="W418" s="66"/>
      <c r="X418" s="66"/>
      <c r="Y418" s="66"/>
      <c r="Z418" s="66"/>
      <c r="AA418" s="66"/>
      <c r="AB418" s="66"/>
      <c r="AC418" s="66"/>
    </row>
    <row r="419">
      <c r="A419" s="321">
        <v>43907.0</v>
      </c>
      <c r="B419" s="66"/>
      <c r="C419" s="66"/>
      <c r="D419" s="327"/>
      <c r="E419" s="66"/>
      <c r="F419" s="66"/>
      <c r="G419" s="327"/>
      <c r="H419" s="66"/>
      <c r="I419" s="66"/>
      <c r="J419" s="327"/>
      <c r="K419" s="66"/>
      <c r="L419" s="66"/>
      <c r="M419" s="66"/>
      <c r="N419" s="66"/>
      <c r="O419" s="66"/>
      <c r="P419" s="66"/>
      <c r="Q419" s="66"/>
      <c r="R419" s="66"/>
      <c r="S419" s="66"/>
      <c r="T419" s="66"/>
      <c r="U419" s="66"/>
      <c r="V419" s="66"/>
      <c r="W419" s="66"/>
      <c r="X419" s="66"/>
      <c r="Y419" s="66"/>
      <c r="Z419" s="66"/>
      <c r="AA419" s="66"/>
      <c r="AB419" s="66"/>
      <c r="AC419" s="66"/>
    </row>
    <row r="420">
      <c r="A420" s="321">
        <v>43908.0</v>
      </c>
      <c r="B420" s="66"/>
      <c r="C420" s="66"/>
      <c r="D420" s="327"/>
      <c r="E420" s="66"/>
      <c r="F420" s="66"/>
      <c r="G420" s="327"/>
      <c r="H420" s="66"/>
      <c r="I420" s="66"/>
      <c r="J420" s="327"/>
      <c r="K420" s="66"/>
      <c r="L420" s="66"/>
      <c r="M420" s="66"/>
      <c r="N420" s="66"/>
      <c r="O420" s="66"/>
      <c r="P420" s="66"/>
      <c r="Q420" s="66"/>
      <c r="R420" s="66"/>
      <c r="S420" s="66"/>
      <c r="T420" s="66"/>
      <c r="U420" s="66"/>
      <c r="V420" s="66"/>
      <c r="W420" s="66"/>
      <c r="X420" s="66"/>
      <c r="Y420" s="66"/>
      <c r="Z420" s="66"/>
      <c r="AA420" s="66"/>
      <c r="AB420" s="66"/>
      <c r="AC420" s="66"/>
    </row>
    <row r="421">
      <c r="A421" s="321">
        <v>43909.0</v>
      </c>
      <c r="B421" s="66"/>
      <c r="C421" s="66"/>
      <c r="D421" s="327"/>
      <c r="E421" s="66"/>
      <c r="F421" s="66"/>
      <c r="G421" s="327"/>
      <c r="H421" s="66"/>
      <c r="I421" s="66"/>
      <c r="J421" s="327"/>
      <c r="K421" s="66"/>
      <c r="L421" s="66"/>
      <c r="M421" s="66"/>
      <c r="N421" s="66"/>
      <c r="O421" s="66"/>
      <c r="P421" s="66"/>
      <c r="Q421" s="66"/>
      <c r="R421" s="66"/>
      <c r="S421" s="66"/>
      <c r="T421" s="66"/>
      <c r="U421" s="66"/>
      <c r="V421" s="66"/>
      <c r="W421" s="66"/>
      <c r="X421" s="66"/>
      <c r="Y421" s="66"/>
      <c r="Z421" s="66"/>
      <c r="AA421" s="66"/>
      <c r="AB421" s="66"/>
      <c r="AC421" s="66"/>
    </row>
    <row r="422">
      <c r="A422" s="321">
        <v>43910.0</v>
      </c>
      <c r="B422" s="66"/>
      <c r="C422" s="66"/>
      <c r="D422" s="327"/>
      <c r="E422" s="66"/>
      <c r="F422" s="66"/>
      <c r="G422" s="327"/>
      <c r="H422" s="66"/>
      <c r="I422" s="66"/>
      <c r="J422" s="327"/>
      <c r="K422" s="66"/>
      <c r="L422" s="66"/>
      <c r="M422" s="66"/>
      <c r="N422" s="66"/>
      <c r="O422" s="66"/>
      <c r="P422" s="66"/>
      <c r="Q422" s="66"/>
      <c r="R422" s="66"/>
      <c r="S422" s="66"/>
      <c r="T422" s="66"/>
      <c r="U422" s="66"/>
      <c r="V422" s="66"/>
      <c r="W422" s="66"/>
      <c r="X422" s="66"/>
      <c r="Y422" s="66"/>
      <c r="Z422" s="66"/>
      <c r="AA422" s="66"/>
      <c r="AB422" s="66"/>
      <c r="AC422" s="66"/>
    </row>
    <row r="423">
      <c r="A423" s="321">
        <v>43911.0</v>
      </c>
      <c r="B423" s="66"/>
      <c r="C423" s="66"/>
      <c r="D423" s="327"/>
      <c r="E423" s="66"/>
      <c r="F423" s="66"/>
      <c r="G423" s="327"/>
      <c r="H423" s="66"/>
      <c r="I423" s="66"/>
      <c r="J423" s="327"/>
      <c r="K423" s="66"/>
      <c r="L423" s="66"/>
      <c r="M423" s="66"/>
      <c r="N423" s="66"/>
      <c r="O423" s="66"/>
      <c r="P423" s="66"/>
      <c r="Q423" s="66"/>
      <c r="R423" s="66"/>
      <c r="S423" s="66"/>
      <c r="T423" s="66"/>
      <c r="U423" s="66"/>
      <c r="V423" s="66"/>
      <c r="W423" s="66"/>
      <c r="X423" s="66"/>
      <c r="Y423" s="66"/>
      <c r="Z423" s="66"/>
      <c r="AA423" s="66"/>
      <c r="AB423" s="66"/>
      <c r="AC423" s="66"/>
    </row>
    <row r="424">
      <c r="A424" s="321">
        <v>43912.0</v>
      </c>
      <c r="B424" s="66"/>
      <c r="C424" s="66"/>
      <c r="D424" s="327"/>
      <c r="E424" s="66"/>
      <c r="F424" s="66"/>
      <c r="G424" s="327"/>
      <c r="H424" s="66"/>
      <c r="I424" s="66"/>
      <c r="J424" s="327"/>
      <c r="K424" s="66"/>
      <c r="L424" s="66"/>
      <c r="M424" s="66"/>
      <c r="N424" s="66"/>
      <c r="O424" s="66"/>
      <c r="P424" s="66"/>
      <c r="Q424" s="66"/>
      <c r="R424" s="66"/>
      <c r="S424" s="66"/>
      <c r="T424" s="66"/>
      <c r="U424" s="66"/>
      <c r="V424" s="66"/>
      <c r="W424" s="66"/>
      <c r="X424" s="66"/>
      <c r="Y424" s="66"/>
      <c r="Z424" s="66"/>
      <c r="AA424" s="66"/>
      <c r="AB424" s="66"/>
      <c r="AC424" s="66"/>
    </row>
    <row r="425">
      <c r="A425" s="321">
        <v>43913.0</v>
      </c>
      <c r="B425" s="66"/>
      <c r="C425" s="66"/>
      <c r="D425" s="327"/>
      <c r="E425" s="66"/>
      <c r="F425" s="66"/>
      <c r="G425" s="327"/>
      <c r="H425" s="66"/>
      <c r="I425" s="66"/>
      <c r="J425" s="327"/>
      <c r="K425" s="66"/>
      <c r="L425" s="66"/>
      <c r="M425" s="66"/>
      <c r="N425" s="66"/>
      <c r="O425" s="66"/>
      <c r="P425" s="66"/>
      <c r="Q425" s="66"/>
      <c r="R425" s="66"/>
      <c r="S425" s="66"/>
      <c r="T425" s="66"/>
      <c r="U425" s="66"/>
      <c r="V425" s="66"/>
      <c r="W425" s="66"/>
      <c r="X425" s="66"/>
      <c r="Y425" s="66"/>
      <c r="Z425" s="66"/>
      <c r="AA425" s="66"/>
      <c r="AB425" s="66"/>
      <c r="AC425" s="66"/>
    </row>
    <row r="426">
      <c r="A426" s="321">
        <v>43914.0</v>
      </c>
      <c r="B426" s="66"/>
      <c r="C426" s="66"/>
      <c r="D426" s="327"/>
      <c r="E426" s="66"/>
      <c r="F426" s="66"/>
      <c r="G426" s="327"/>
      <c r="H426" s="66"/>
      <c r="I426" s="66"/>
      <c r="J426" s="327"/>
      <c r="K426" s="66"/>
      <c r="L426" s="66"/>
      <c r="M426" s="66"/>
      <c r="N426" s="66"/>
      <c r="O426" s="66"/>
      <c r="P426" s="66"/>
      <c r="Q426" s="66"/>
      <c r="R426" s="66"/>
      <c r="S426" s="66"/>
      <c r="T426" s="66"/>
      <c r="U426" s="66"/>
      <c r="V426" s="66"/>
      <c r="W426" s="66"/>
      <c r="X426" s="66"/>
      <c r="Y426" s="66"/>
      <c r="Z426" s="66"/>
      <c r="AA426" s="66"/>
      <c r="AB426" s="66"/>
      <c r="AC426" s="66"/>
    </row>
    <row r="427">
      <c r="A427" s="321">
        <v>43915.0</v>
      </c>
      <c r="B427" s="66"/>
      <c r="C427" s="66"/>
      <c r="D427" s="327"/>
      <c r="E427" s="66"/>
      <c r="F427" s="66"/>
      <c r="G427" s="327"/>
      <c r="H427" s="66"/>
      <c r="I427" s="66"/>
      <c r="J427" s="327"/>
      <c r="K427" s="66"/>
      <c r="L427" s="66"/>
      <c r="M427" s="66"/>
      <c r="N427" s="66"/>
      <c r="O427" s="66"/>
      <c r="P427" s="66"/>
      <c r="Q427" s="66"/>
      <c r="R427" s="66"/>
      <c r="S427" s="66"/>
      <c r="T427" s="66"/>
      <c r="U427" s="66"/>
      <c r="V427" s="66"/>
      <c r="W427" s="66"/>
      <c r="X427" s="66"/>
      <c r="Y427" s="66"/>
      <c r="Z427" s="66"/>
      <c r="AA427" s="66"/>
      <c r="AB427" s="66"/>
      <c r="AC427" s="66"/>
    </row>
    <row r="428">
      <c r="A428" s="321">
        <v>43916.0</v>
      </c>
      <c r="B428" s="66"/>
      <c r="C428" s="66"/>
      <c r="D428" s="327"/>
      <c r="E428" s="66"/>
      <c r="F428" s="66"/>
      <c r="G428" s="327"/>
      <c r="H428" s="66"/>
      <c r="I428" s="66"/>
      <c r="J428" s="327"/>
      <c r="K428" s="66"/>
      <c r="L428" s="66"/>
      <c r="M428" s="66"/>
      <c r="N428" s="66"/>
      <c r="O428" s="66"/>
      <c r="P428" s="66"/>
      <c r="Q428" s="66"/>
      <c r="R428" s="66"/>
      <c r="S428" s="66"/>
      <c r="T428" s="66"/>
      <c r="U428" s="66"/>
      <c r="V428" s="66"/>
      <c r="W428" s="66"/>
      <c r="X428" s="66"/>
      <c r="Y428" s="66"/>
      <c r="Z428" s="66"/>
      <c r="AA428" s="66"/>
      <c r="AB428" s="66"/>
      <c r="AC428" s="66"/>
    </row>
    <row r="429">
      <c r="A429" s="321">
        <v>43917.0</v>
      </c>
      <c r="B429" s="66"/>
      <c r="C429" s="66"/>
      <c r="D429" s="327"/>
      <c r="E429" s="66"/>
      <c r="F429" s="66"/>
      <c r="G429" s="327"/>
      <c r="H429" s="66"/>
      <c r="I429" s="66"/>
      <c r="J429" s="327"/>
      <c r="K429" s="66"/>
      <c r="L429" s="66"/>
      <c r="M429" s="66"/>
      <c r="N429" s="66"/>
      <c r="O429" s="66"/>
      <c r="P429" s="66"/>
      <c r="Q429" s="66"/>
      <c r="R429" s="66"/>
      <c r="S429" s="66"/>
      <c r="T429" s="66"/>
      <c r="U429" s="66"/>
      <c r="V429" s="66"/>
      <c r="W429" s="66"/>
      <c r="X429" s="66"/>
      <c r="Y429" s="66"/>
      <c r="Z429" s="66"/>
      <c r="AA429" s="66"/>
      <c r="AB429" s="66"/>
      <c r="AC429" s="66"/>
    </row>
    <row r="430">
      <c r="A430" s="321">
        <v>43918.0</v>
      </c>
      <c r="B430" s="66"/>
      <c r="C430" s="66"/>
      <c r="D430" s="327"/>
      <c r="E430" s="66"/>
      <c r="F430" s="66"/>
      <c r="G430" s="327"/>
      <c r="H430" s="66"/>
      <c r="I430" s="66"/>
      <c r="J430" s="327"/>
      <c r="K430" s="66"/>
      <c r="L430" s="66"/>
      <c r="M430" s="66"/>
      <c r="N430" s="66"/>
      <c r="O430" s="66"/>
      <c r="P430" s="66"/>
      <c r="Q430" s="66"/>
      <c r="R430" s="66"/>
      <c r="S430" s="66"/>
      <c r="T430" s="66"/>
      <c r="U430" s="66"/>
      <c r="V430" s="66"/>
      <c r="W430" s="66"/>
      <c r="X430" s="66"/>
      <c r="Y430" s="66"/>
      <c r="Z430" s="66"/>
      <c r="AA430" s="66"/>
      <c r="AB430" s="66"/>
      <c r="AC430" s="66"/>
    </row>
    <row r="431">
      <c r="A431" s="321">
        <v>43919.0</v>
      </c>
      <c r="B431" s="66"/>
      <c r="C431" s="66"/>
      <c r="D431" s="327"/>
      <c r="E431" s="66"/>
      <c r="F431" s="66"/>
      <c r="G431" s="327"/>
      <c r="H431" s="66"/>
      <c r="I431" s="66"/>
      <c r="J431" s="327"/>
      <c r="K431" s="66"/>
      <c r="L431" s="66"/>
      <c r="M431" s="66"/>
      <c r="N431" s="66"/>
      <c r="O431" s="66"/>
      <c r="P431" s="66"/>
      <c r="Q431" s="66"/>
      <c r="R431" s="66"/>
      <c r="S431" s="66"/>
      <c r="T431" s="66"/>
      <c r="U431" s="66"/>
      <c r="V431" s="66"/>
      <c r="W431" s="66"/>
      <c r="X431" s="66"/>
      <c r="Y431" s="66"/>
      <c r="Z431" s="66"/>
      <c r="AA431" s="66"/>
      <c r="AB431" s="66"/>
      <c r="AC431" s="66"/>
    </row>
    <row r="432">
      <c r="A432" s="321">
        <v>43920.0</v>
      </c>
      <c r="B432" s="66"/>
      <c r="C432" s="66"/>
      <c r="D432" s="327"/>
      <c r="E432" s="66"/>
      <c r="F432" s="66"/>
      <c r="G432" s="327"/>
      <c r="H432" s="66"/>
      <c r="I432" s="66"/>
      <c r="J432" s="327"/>
      <c r="K432" s="66"/>
      <c r="L432" s="66"/>
      <c r="M432" s="66"/>
      <c r="N432" s="66"/>
      <c r="O432" s="66"/>
      <c r="P432" s="66"/>
      <c r="Q432" s="66"/>
      <c r="R432" s="66"/>
      <c r="S432" s="66"/>
      <c r="T432" s="66"/>
      <c r="U432" s="66"/>
      <c r="V432" s="66"/>
      <c r="W432" s="66"/>
      <c r="X432" s="66"/>
      <c r="Y432" s="66"/>
      <c r="Z432" s="66"/>
      <c r="AA432" s="66"/>
      <c r="AB432" s="66"/>
      <c r="AC432" s="66"/>
    </row>
    <row r="433">
      <c r="A433" s="321">
        <v>43921.0</v>
      </c>
      <c r="B433" s="66"/>
      <c r="C433" s="66"/>
      <c r="D433" s="327"/>
      <c r="E433" s="66"/>
      <c r="F433" s="66"/>
      <c r="G433" s="327"/>
      <c r="H433" s="66"/>
      <c r="I433" s="66"/>
      <c r="J433" s="327"/>
      <c r="K433" s="66"/>
      <c r="L433" s="66"/>
      <c r="M433" s="66"/>
      <c r="N433" s="66"/>
      <c r="O433" s="66"/>
      <c r="P433" s="66"/>
      <c r="Q433" s="66"/>
      <c r="R433" s="66"/>
      <c r="S433" s="66"/>
      <c r="T433" s="66"/>
      <c r="U433" s="66"/>
      <c r="V433" s="66"/>
      <c r="W433" s="66"/>
      <c r="X433" s="66"/>
      <c r="Y433" s="66"/>
      <c r="Z433" s="66"/>
      <c r="AA433" s="66"/>
      <c r="AB433" s="66"/>
      <c r="AC433" s="66"/>
    </row>
    <row r="434">
      <c r="A434" s="321">
        <v>43922.0</v>
      </c>
      <c r="B434" s="66"/>
      <c r="C434" s="66"/>
      <c r="D434" s="327"/>
      <c r="E434" s="66"/>
      <c r="F434" s="66"/>
      <c r="G434" s="327"/>
      <c r="H434" s="66"/>
      <c r="I434" s="66"/>
      <c r="J434" s="327"/>
      <c r="K434" s="66"/>
      <c r="L434" s="66"/>
      <c r="M434" s="66"/>
      <c r="N434" s="66"/>
      <c r="O434" s="66"/>
      <c r="P434" s="66"/>
      <c r="Q434" s="66"/>
      <c r="R434" s="66"/>
      <c r="S434" s="66"/>
      <c r="T434" s="66"/>
      <c r="U434" s="66"/>
      <c r="V434" s="66"/>
      <c r="W434" s="66"/>
      <c r="X434" s="66"/>
      <c r="Y434" s="66"/>
      <c r="Z434" s="66"/>
      <c r="AA434" s="66"/>
      <c r="AB434" s="66"/>
      <c r="AC434" s="66"/>
    </row>
    <row r="435">
      <c r="A435" s="321">
        <v>43923.0</v>
      </c>
      <c r="B435" s="66"/>
      <c r="C435" s="66"/>
      <c r="D435" s="327"/>
      <c r="E435" s="66"/>
      <c r="F435" s="66"/>
      <c r="G435" s="327"/>
      <c r="H435" s="66"/>
      <c r="I435" s="66"/>
      <c r="J435" s="327"/>
      <c r="K435" s="66"/>
      <c r="L435" s="66"/>
      <c r="M435" s="66"/>
      <c r="N435" s="66"/>
      <c r="O435" s="66"/>
      <c r="P435" s="66"/>
      <c r="Q435" s="66"/>
      <c r="R435" s="66"/>
      <c r="S435" s="66"/>
      <c r="T435" s="66"/>
      <c r="U435" s="66"/>
      <c r="V435" s="66"/>
      <c r="W435" s="66"/>
      <c r="X435" s="66"/>
      <c r="Y435" s="66"/>
      <c r="Z435" s="66"/>
      <c r="AA435" s="66"/>
      <c r="AB435" s="66"/>
      <c r="AC435" s="66"/>
    </row>
    <row r="436">
      <c r="A436" s="321">
        <v>43924.0</v>
      </c>
      <c r="B436" s="66"/>
      <c r="C436" s="66"/>
      <c r="D436" s="327"/>
      <c r="E436" s="66"/>
      <c r="F436" s="66"/>
      <c r="G436" s="327"/>
      <c r="H436" s="66"/>
      <c r="I436" s="66"/>
      <c r="J436" s="327"/>
      <c r="K436" s="66"/>
      <c r="L436" s="66"/>
      <c r="M436" s="66"/>
      <c r="N436" s="66"/>
      <c r="O436" s="66"/>
      <c r="P436" s="66"/>
      <c r="Q436" s="66"/>
      <c r="R436" s="66"/>
      <c r="S436" s="66"/>
      <c r="T436" s="66"/>
      <c r="U436" s="66"/>
      <c r="V436" s="66"/>
      <c r="W436" s="66"/>
      <c r="X436" s="66"/>
      <c r="Y436" s="66"/>
      <c r="Z436" s="66"/>
      <c r="AA436" s="66"/>
      <c r="AB436" s="66"/>
      <c r="AC436" s="66"/>
    </row>
    <row r="437">
      <c r="A437" s="321">
        <v>43925.0</v>
      </c>
      <c r="B437" s="66"/>
      <c r="C437" s="66"/>
      <c r="D437" s="327"/>
      <c r="E437" s="66"/>
      <c r="F437" s="66"/>
      <c r="G437" s="327"/>
      <c r="H437" s="66"/>
      <c r="I437" s="66"/>
      <c r="J437" s="327"/>
      <c r="K437" s="66"/>
      <c r="L437" s="66"/>
      <c r="M437" s="66"/>
      <c r="N437" s="66"/>
      <c r="O437" s="66"/>
      <c r="P437" s="66"/>
      <c r="Q437" s="66"/>
      <c r="R437" s="66"/>
      <c r="S437" s="66"/>
      <c r="T437" s="66"/>
      <c r="U437" s="66"/>
      <c r="V437" s="66"/>
      <c r="W437" s="66"/>
      <c r="X437" s="66"/>
      <c r="Y437" s="66"/>
      <c r="Z437" s="66"/>
      <c r="AA437" s="66"/>
      <c r="AB437" s="66"/>
      <c r="AC437" s="66"/>
    </row>
    <row r="438">
      <c r="A438" s="321">
        <v>43926.0</v>
      </c>
      <c r="B438" s="66"/>
      <c r="C438" s="66"/>
      <c r="D438" s="327"/>
      <c r="E438" s="66"/>
      <c r="F438" s="66"/>
      <c r="G438" s="327"/>
      <c r="H438" s="66"/>
      <c r="I438" s="66"/>
      <c r="J438" s="327"/>
      <c r="K438" s="66"/>
      <c r="L438" s="66"/>
      <c r="M438" s="66"/>
      <c r="N438" s="66"/>
      <c r="O438" s="66"/>
      <c r="P438" s="66"/>
      <c r="Q438" s="66"/>
      <c r="R438" s="66"/>
      <c r="S438" s="66"/>
      <c r="T438" s="66"/>
      <c r="U438" s="66"/>
      <c r="V438" s="66"/>
      <c r="W438" s="66"/>
      <c r="X438" s="66"/>
      <c r="Y438" s="66"/>
      <c r="Z438" s="66"/>
      <c r="AA438" s="66"/>
      <c r="AB438" s="66"/>
      <c r="AC438" s="66"/>
    </row>
    <row r="439">
      <c r="A439" s="327"/>
      <c r="B439" s="66"/>
      <c r="C439" s="66"/>
      <c r="D439" s="327"/>
      <c r="E439" s="66"/>
      <c r="F439" s="66"/>
      <c r="G439" s="327"/>
      <c r="H439" s="66"/>
      <c r="I439" s="66"/>
      <c r="J439" s="327"/>
      <c r="K439" s="66"/>
      <c r="L439" s="66"/>
      <c r="M439" s="66"/>
      <c r="N439" s="66"/>
      <c r="O439" s="66"/>
      <c r="P439" s="66"/>
      <c r="Q439" s="66"/>
      <c r="R439" s="66"/>
      <c r="S439" s="66"/>
      <c r="T439" s="66"/>
      <c r="U439" s="66"/>
      <c r="V439" s="66"/>
      <c r="W439" s="66"/>
      <c r="X439" s="66"/>
      <c r="Y439" s="66"/>
      <c r="Z439" s="66"/>
      <c r="AA439" s="66"/>
      <c r="AB439" s="66"/>
      <c r="AC439" s="66"/>
    </row>
    <row r="440">
      <c r="A440" s="327"/>
      <c r="B440" s="66"/>
      <c r="C440" s="66"/>
      <c r="D440" s="327"/>
      <c r="E440" s="66"/>
      <c r="F440" s="66"/>
      <c r="G440" s="327"/>
      <c r="H440" s="66"/>
      <c r="I440" s="66"/>
      <c r="J440" s="327"/>
      <c r="K440" s="66"/>
      <c r="L440" s="66"/>
      <c r="M440" s="66"/>
      <c r="N440" s="66"/>
      <c r="O440" s="66"/>
      <c r="P440" s="66"/>
      <c r="Q440" s="66"/>
      <c r="R440" s="66"/>
      <c r="S440" s="66"/>
      <c r="T440" s="66"/>
      <c r="U440" s="66"/>
      <c r="V440" s="66"/>
      <c r="W440" s="66"/>
      <c r="X440" s="66"/>
      <c r="Y440" s="66"/>
      <c r="Z440" s="66"/>
      <c r="AA440" s="66"/>
      <c r="AB440" s="66"/>
      <c r="AC440" s="66"/>
    </row>
    <row r="441">
      <c r="A441" s="327"/>
      <c r="B441" s="66"/>
      <c r="C441" s="66"/>
      <c r="D441" s="327"/>
      <c r="E441" s="66"/>
      <c r="F441" s="66"/>
      <c r="G441" s="327"/>
      <c r="H441" s="66"/>
      <c r="I441" s="66"/>
      <c r="J441" s="327"/>
      <c r="K441" s="66"/>
      <c r="L441" s="66"/>
      <c r="M441" s="66"/>
      <c r="N441" s="66"/>
      <c r="O441" s="66"/>
      <c r="P441" s="66"/>
      <c r="Q441" s="66"/>
      <c r="R441" s="66"/>
      <c r="S441" s="66"/>
      <c r="T441" s="66"/>
      <c r="U441" s="66"/>
      <c r="V441" s="66"/>
      <c r="W441" s="66"/>
      <c r="X441" s="66"/>
      <c r="Y441" s="66"/>
      <c r="Z441" s="66"/>
      <c r="AA441" s="66"/>
      <c r="AB441" s="66"/>
      <c r="AC441" s="66"/>
    </row>
    <row r="442">
      <c r="A442" s="327"/>
      <c r="B442" s="66"/>
      <c r="C442" s="66"/>
      <c r="D442" s="327"/>
      <c r="E442" s="66"/>
      <c r="F442" s="66"/>
      <c r="G442" s="327"/>
      <c r="H442" s="66"/>
      <c r="I442" s="66"/>
      <c r="J442" s="327"/>
      <c r="K442" s="66"/>
      <c r="L442" s="66"/>
      <c r="M442" s="66"/>
      <c r="N442" s="66"/>
      <c r="O442" s="66"/>
      <c r="P442" s="66"/>
      <c r="Q442" s="66"/>
      <c r="R442" s="66"/>
      <c r="S442" s="66"/>
      <c r="T442" s="66"/>
      <c r="U442" s="66"/>
      <c r="V442" s="66"/>
      <c r="W442" s="66"/>
      <c r="X442" s="66"/>
      <c r="Y442" s="66"/>
      <c r="Z442" s="66"/>
      <c r="AA442" s="66"/>
      <c r="AB442" s="66"/>
      <c r="AC442" s="66"/>
    </row>
    <row r="443">
      <c r="A443" s="327"/>
      <c r="B443" s="66"/>
      <c r="C443" s="66"/>
      <c r="D443" s="327"/>
      <c r="E443" s="66"/>
      <c r="F443" s="66"/>
      <c r="G443" s="327"/>
      <c r="H443" s="66"/>
      <c r="I443" s="66"/>
      <c r="J443" s="327"/>
      <c r="K443" s="66"/>
      <c r="L443" s="66"/>
      <c r="M443" s="66"/>
      <c r="N443" s="66"/>
      <c r="O443" s="66"/>
      <c r="P443" s="66"/>
      <c r="Q443" s="66"/>
      <c r="R443" s="66"/>
      <c r="S443" s="66"/>
      <c r="T443" s="66"/>
      <c r="U443" s="66"/>
      <c r="V443" s="66"/>
      <c r="W443" s="66"/>
      <c r="X443" s="66"/>
      <c r="Y443" s="66"/>
      <c r="Z443" s="66"/>
      <c r="AA443" s="66"/>
      <c r="AB443" s="66"/>
      <c r="AC443" s="66"/>
    </row>
    <row r="444">
      <c r="A444" s="327"/>
      <c r="B444" s="66"/>
      <c r="C444" s="66"/>
      <c r="D444" s="327"/>
      <c r="E444" s="66"/>
      <c r="F444" s="66"/>
      <c r="G444" s="327"/>
      <c r="H444" s="66"/>
      <c r="I444" s="66"/>
      <c r="J444" s="327"/>
      <c r="K444" s="66"/>
      <c r="L444" s="66"/>
      <c r="M444" s="66"/>
      <c r="N444" s="66"/>
      <c r="O444" s="66"/>
      <c r="P444" s="66"/>
      <c r="Q444" s="66"/>
      <c r="R444" s="66"/>
      <c r="S444" s="66"/>
      <c r="T444" s="66"/>
      <c r="U444" s="66"/>
      <c r="V444" s="66"/>
      <c r="W444" s="66"/>
      <c r="X444" s="66"/>
      <c r="Y444" s="66"/>
      <c r="Z444" s="66"/>
      <c r="AA444" s="66"/>
      <c r="AB444" s="66"/>
      <c r="AC444" s="66"/>
    </row>
    <row r="445">
      <c r="A445" s="327"/>
      <c r="B445" s="66"/>
      <c r="C445" s="66"/>
      <c r="D445" s="327"/>
      <c r="E445" s="66"/>
      <c r="F445" s="66"/>
      <c r="G445" s="327"/>
      <c r="H445" s="66"/>
      <c r="I445" s="66"/>
      <c r="J445" s="327"/>
      <c r="K445" s="66"/>
      <c r="L445" s="66"/>
      <c r="M445" s="66"/>
      <c r="N445" s="66"/>
      <c r="O445" s="66"/>
      <c r="P445" s="66"/>
      <c r="Q445" s="66"/>
      <c r="R445" s="66"/>
      <c r="S445" s="66"/>
      <c r="T445" s="66"/>
      <c r="U445" s="66"/>
      <c r="V445" s="66"/>
      <c r="W445" s="66"/>
      <c r="X445" s="66"/>
      <c r="Y445" s="66"/>
      <c r="Z445" s="66"/>
      <c r="AA445" s="66"/>
      <c r="AB445" s="66"/>
      <c r="AC445" s="66"/>
    </row>
    <row r="446">
      <c r="A446" s="327"/>
      <c r="B446" s="66"/>
      <c r="C446" s="66"/>
      <c r="D446" s="327"/>
      <c r="E446" s="66"/>
      <c r="F446" s="66"/>
      <c r="G446" s="327"/>
      <c r="H446" s="66"/>
      <c r="I446" s="66"/>
      <c r="J446" s="327"/>
      <c r="K446" s="66"/>
      <c r="L446" s="66"/>
      <c r="M446" s="66"/>
      <c r="N446" s="66"/>
      <c r="O446" s="66"/>
      <c r="P446" s="66"/>
      <c r="Q446" s="66"/>
      <c r="R446" s="66"/>
      <c r="S446" s="66"/>
      <c r="T446" s="66"/>
      <c r="U446" s="66"/>
      <c r="V446" s="66"/>
      <c r="W446" s="66"/>
      <c r="X446" s="66"/>
      <c r="Y446" s="66"/>
      <c r="Z446" s="66"/>
      <c r="AA446" s="66"/>
      <c r="AB446" s="66"/>
      <c r="AC446" s="66"/>
    </row>
    <row r="447">
      <c r="A447" s="327"/>
      <c r="B447" s="66"/>
      <c r="C447" s="66"/>
      <c r="D447" s="327"/>
      <c r="E447" s="66"/>
      <c r="F447" s="66"/>
      <c r="G447" s="327"/>
      <c r="H447" s="66"/>
      <c r="I447" s="66"/>
      <c r="J447" s="327"/>
      <c r="K447" s="66"/>
      <c r="L447" s="66"/>
      <c r="M447" s="66"/>
      <c r="N447" s="66"/>
      <c r="O447" s="66"/>
      <c r="P447" s="66"/>
      <c r="Q447" s="66"/>
      <c r="R447" s="66"/>
      <c r="S447" s="66"/>
      <c r="T447" s="66"/>
      <c r="U447" s="66"/>
      <c r="V447" s="66"/>
      <c r="W447" s="66"/>
      <c r="X447" s="66"/>
      <c r="Y447" s="66"/>
      <c r="Z447" s="66"/>
      <c r="AA447" s="66"/>
      <c r="AB447" s="66"/>
      <c r="AC447" s="66"/>
    </row>
    <row r="448">
      <c r="A448" s="327"/>
      <c r="B448" s="66"/>
      <c r="C448" s="66"/>
      <c r="D448" s="327"/>
      <c r="E448" s="66"/>
      <c r="F448" s="66"/>
      <c r="G448" s="327"/>
      <c r="H448" s="66"/>
      <c r="I448" s="66"/>
      <c r="J448" s="327"/>
      <c r="K448" s="66"/>
      <c r="L448" s="66"/>
      <c r="M448" s="66"/>
      <c r="N448" s="66"/>
      <c r="O448" s="66"/>
      <c r="P448" s="66"/>
      <c r="Q448" s="66"/>
      <c r="R448" s="66"/>
      <c r="S448" s="66"/>
      <c r="T448" s="66"/>
      <c r="U448" s="66"/>
      <c r="V448" s="66"/>
      <c r="W448" s="66"/>
      <c r="X448" s="66"/>
      <c r="Y448" s="66"/>
      <c r="Z448" s="66"/>
      <c r="AA448" s="66"/>
      <c r="AB448" s="66"/>
      <c r="AC448" s="66"/>
    </row>
    <row r="449">
      <c r="A449" s="327"/>
      <c r="B449" s="66"/>
      <c r="C449" s="66"/>
      <c r="D449" s="327"/>
      <c r="E449" s="66"/>
      <c r="F449" s="66"/>
      <c r="G449" s="327"/>
      <c r="H449" s="66"/>
      <c r="I449" s="66"/>
      <c r="J449" s="327"/>
      <c r="K449" s="66"/>
      <c r="L449" s="66"/>
      <c r="M449" s="66"/>
      <c r="N449" s="66"/>
      <c r="O449" s="66"/>
      <c r="P449" s="66"/>
      <c r="Q449" s="66"/>
      <c r="R449" s="66"/>
      <c r="S449" s="66"/>
      <c r="T449" s="66"/>
      <c r="U449" s="66"/>
      <c r="V449" s="66"/>
      <c r="W449" s="66"/>
      <c r="X449" s="66"/>
      <c r="Y449" s="66"/>
      <c r="Z449" s="66"/>
      <c r="AA449" s="66"/>
      <c r="AB449" s="66"/>
      <c r="AC449" s="66"/>
    </row>
    <row r="450">
      <c r="A450" s="327"/>
      <c r="B450" s="66"/>
      <c r="C450" s="66"/>
      <c r="D450" s="327"/>
      <c r="E450" s="66"/>
      <c r="F450" s="66"/>
      <c r="G450" s="327"/>
      <c r="H450" s="66"/>
      <c r="I450" s="66"/>
      <c r="J450" s="327"/>
      <c r="K450" s="66"/>
      <c r="L450" s="66"/>
      <c r="M450" s="66"/>
      <c r="N450" s="66"/>
      <c r="O450" s="66"/>
      <c r="P450" s="66"/>
      <c r="Q450" s="66"/>
      <c r="R450" s="66"/>
      <c r="S450" s="66"/>
      <c r="T450" s="66"/>
      <c r="U450" s="66"/>
      <c r="V450" s="66"/>
      <c r="W450" s="66"/>
      <c r="X450" s="66"/>
      <c r="Y450" s="66"/>
      <c r="Z450" s="66"/>
      <c r="AA450" s="66"/>
      <c r="AB450" s="66"/>
      <c r="AC450" s="66"/>
    </row>
    <row r="451">
      <c r="A451" s="327"/>
      <c r="B451" s="66"/>
      <c r="C451" s="66"/>
      <c r="D451" s="327"/>
      <c r="E451" s="66"/>
      <c r="F451" s="66"/>
      <c r="G451" s="327"/>
      <c r="H451" s="66"/>
      <c r="I451" s="66"/>
      <c r="J451" s="327"/>
      <c r="K451" s="66"/>
      <c r="L451" s="66"/>
      <c r="M451" s="66"/>
      <c r="N451" s="66"/>
      <c r="O451" s="66"/>
      <c r="P451" s="66"/>
      <c r="Q451" s="66"/>
      <c r="R451" s="66"/>
      <c r="S451" s="66"/>
      <c r="T451" s="66"/>
      <c r="U451" s="66"/>
      <c r="V451" s="66"/>
      <c r="W451" s="66"/>
      <c r="X451" s="66"/>
      <c r="Y451" s="66"/>
      <c r="Z451" s="66"/>
      <c r="AA451" s="66"/>
      <c r="AB451" s="66"/>
      <c r="AC451" s="66"/>
    </row>
    <row r="452">
      <c r="A452" s="327"/>
      <c r="B452" s="66"/>
      <c r="C452" s="66"/>
      <c r="D452" s="327"/>
      <c r="E452" s="66"/>
      <c r="F452" s="66"/>
      <c r="G452" s="327"/>
      <c r="H452" s="66"/>
      <c r="I452" s="66"/>
      <c r="J452" s="327"/>
      <c r="K452" s="66"/>
      <c r="L452" s="66"/>
      <c r="M452" s="66"/>
      <c r="N452" s="66"/>
      <c r="O452" s="66"/>
      <c r="P452" s="66"/>
      <c r="Q452" s="66"/>
      <c r="R452" s="66"/>
      <c r="S452" s="66"/>
      <c r="T452" s="66"/>
      <c r="U452" s="66"/>
      <c r="V452" s="66"/>
      <c r="W452" s="66"/>
      <c r="X452" s="66"/>
      <c r="Y452" s="66"/>
      <c r="Z452" s="66"/>
      <c r="AA452" s="66"/>
      <c r="AB452" s="66"/>
      <c r="AC452" s="66"/>
    </row>
    <row r="453">
      <c r="A453" s="327"/>
      <c r="B453" s="66"/>
      <c r="C453" s="66"/>
      <c r="D453" s="327"/>
      <c r="E453" s="66"/>
      <c r="F453" s="66"/>
      <c r="G453" s="327"/>
      <c r="H453" s="66"/>
      <c r="I453" s="66"/>
      <c r="J453" s="327"/>
      <c r="K453" s="66"/>
      <c r="L453" s="66"/>
      <c r="M453" s="66"/>
      <c r="N453" s="66"/>
      <c r="O453" s="66"/>
      <c r="P453" s="66"/>
      <c r="Q453" s="66"/>
      <c r="R453" s="66"/>
      <c r="S453" s="66"/>
      <c r="T453" s="66"/>
      <c r="U453" s="66"/>
      <c r="V453" s="66"/>
      <c r="W453" s="66"/>
      <c r="X453" s="66"/>
      <c r="Y453" s="66"/>
      <c r="Z453" s="66"/>
      <c r="AA453" s="66"/>
      <c r="AB453" s="66"/>
      <c r="AC453" s="66"/>
    </row>
    <row r="454">
      <c r="A454" s="327"/>
      <c r="B454" s="66"/>
      <c r="C454" s="66"/>
      <c r="D454" s="327"/>
      <c r="E454" s="66"/>
      <c r="F454" s="66"/>
      <c r="G454" s="327"/>
      <c r="H454" s="66"/>
      <c r="I454" s="66"/>
      <c r="J454" s="327"/>
      <c r="K454" s="66"/>
      <c r="L454" s="66"/>
      <c r="M454" s="66"/>
      <c r="N454" s="66"/>
      <c r="O454" s="66"/>
      <c r="P454" s="66"/>
      <c r="Q454" s="66"/>
      <c r="R454" s="66"/>
      <c r="S454" s="66"/>
      <c r="T454" s="66"/>
      <c r="U454" s="66"/>
      <c r="V454" s="66"/>
      <c r="W454" s="66"/>
      <c r="X454" s="66"/>
      <c r="Y454" s="66"/>
      <c r="Z454" s="66"/>
      <c r="AA454" s="66"/>
      <c r="AB454" s="66"/>
      <c r="AC454" s="66"/>
    </row>
    <row r="455">
      <c r="A455" s="327"/>
      <c r="B455" s="66"/>
      <c r="C455" s="66"/>
      <c r="D455" s="327"/>
      <c r="E455" s="66"/>
      <c r="F455" s="66"/>
      <c r="G455" s="327"/>
      <c r="H455" s="66"/>
      <c r="I455" s="66"/>
      <c r="J455" s="327"/>
      <c r="K455" s="66"/>
      <c r="L455" s="66"/>
      <c r="M455" s="66"/>
      <c r="N455" s="66"/>
      <c r="O455" s="66"/>
      <c r="P455" s="66"/>
      <c r="Q455" s="66"/>
      <c r="R455" s="66"/>
      <c r="S455" s="66"/>
      <c r="T455" s="66"/>
      <c r="U455" s="66"/>
      <c r="V455" s="66"/>
      <c r="W455" s="66"/>
      <c r="X455" s="66"/>
      <c r="Y455" s="66"/>
      <c r="Z455" s="66"/>
      <c r="AA455" s="66"/>
      <c r="AB455" s="66"/>
      <c r="AC455" s="66"/>
    </row>
    <row r="456">
      <c r="A456" s="327"/>
      <c r="B456" s="66"/>
      <c r="C456" s="66"/>
      <c r="D456" s="327"/>
      <c r="E456" s="66"/>
      <c r="F456" s="66"/>
      <c r="G456" s="327"/>
      <c r="H456" s="66"/>
      <c r="I456" s="66"/>
      <c r="J456" s="327"/>
      <c r="K456" s="66"/>
      <c r="L456" s="66"/>
      <c r="M456" s="66"/>
      <c r="N456" s="66"/>
      <c r="O456" s="66"/>
      <c r="P456" s="66"/>
      <c r="Q456" s="66"/>
      <c r="R456" s="66"/>
      <c r="S456" s="66"/>
      <c r="T456" s="66"/>
      <c r="U456" s="66"/>
      <c r="V456" s="66"/>
      <c r="W456" s="66"/>
      <c r="X456" s="66"/>
      <c r="Y456" s="66"/>
      <c r="Z456" s="66"/>
      <c r="AA456" s="66"/>
      <c r="AB456" s="66"/>
      <c r="AC456" s="66"/>
    </row>
    <row r="457">
      <c r="A457" s="327"/>
      <c r="B457" s="66"/>
      <c r="C457" s="66"/>
      <c r="D457" s="327"/>
      <c r="E457" s="66"/>
      <c r="F457" s="66"/>
      <c r="G457" s="327"/>
      <c r="H457" s="66"/>
      <c r="I457" s="66"/>
      <c r="J457" s="327"/>
      <c r="K457" s="66"/>
      <c r="L457" s="66"/>
      <c r="M457" s="66"/>
      <c r="N457" s="66"/>
      <c r="O457" s="66"/>
      <c r="P457" s="66"/>
      <c r="Q457" s="66"/>
      <c r="R457" s="66"/>
      <c r="S457" s="66"/>
      <c r="T457" s="66"/>
      <c r="U457" s="66"/>
      <c r="V457" s="66"/>
      <c r="W457" s="66"/>
      <c r="X457" s="66"/>
      <c r="Y457" s="66"/>
      <c r="Z457" s="66"/>
      <c r="AA457" s="66"/>
      <c r="AB457" s="66"/>
      <c r="AC457" s="66"/>
    </row>
    <row r="458">
      <c r="A458" s="327"/>
      <c r="B458" s="66"/>
      <c r="C458" s="66"/>
      <c r="D458" s="327"/>
      <c r="E458" s="66"/>
      <c r="F458" s="66"/>
      <c r="G458" s="327"/>
      <c r="H458" s="66"/>
      <c r="I458" s="66"/>
      <c r="J458" s="327"/>
      <c r="K458" s="66"/>
      <c r="L458" s="66"/>
      <c r="M458" s="66"/>
      <c r="N458" s="66"/>
      <c r="O458" s="66"/>
      <c r="P458" s="66"/>
      <c r="Q458" s="66"/>
      <c r="R458" s="66"/>
      <c r="S458" s="66"/>
      <c r="T458" s="66"/>
      <c r="U458" s="66"/>
      <c r="V458" s="66"/>
      <c r="W458" s="66"/>
      <c r="X458" s="66"/>
      <c r="Y458" s="66"/>
      <c r="Z458" s="66"/>
      <c r="AA458" s="66"/>
      <c r="AB458" s="66"/>
      <c r="AC458" s="66"/>
    </row>
    <row r="459">
      <c r="A459" s="327"/>
      <c r="B459" s="66"/>
      <c r="C459" s="66"/>
      <c r="D459" s="327"/>
      <c r="E459" s="66"/>
      <c r="F459" s="66"/>
      <c r="G459" s="327"/>
      <c r="H459" s="66"/>
      <c r="I459" s="66"/>
      <c r="J459" s="327"/>
      <c r="K459" s="66"/>
      <c r="L459" s="66"/>
      <c r="M459" s="66"/>
      <c r="N459" s="66"/>
      <c r="O459" s="66"/>
      <c r="P459" s="66"/>
      <c r="Q459" s="66"/>
      <c r="R459" s="66"/>
      <c r="S459" s="66"/>
      <c r="T459" s="66"/>
      <c r="U459" s="66"/>
      <c r="V459" s="66"/>
      <c r="W459" s="66"/>
      <c r="X459" s="66"/>
      <c r="Y459" s="66"/>
      <c r="Z459" s="66"/>
      <c r="AA459" s="66"/>
      <c r="AB459" s="66"/>
      <c r="AC459" s="66"/>
    </row>
    <row r="460">
      <c r="A460" s="327"/>
      <c r="B460" s="66"/>
      <c r="C460" s="66"/>
      <c r="D460" s="327"/>
      <c r="E460" s="66"/>
      <c r="F460" s="66"/>
      <c r="G460" s="327"/>
      <c r="H460" s="66"/>
      <c r="I460" s="66"/>
      <c r="J460" s="327"/>
      <c r="K460" s="66"/>
      <c r="L460" s="66"/>
      <c r="M460" s="66"/>
      <c r="N460" s="66"/>
      <c r="O460" s="66"/>
      <c r="P460" s="66"/>
      <c r="Q460" s="66"/>
      <c r="R460" s="66"/>
      <c r="S460" s="66"/>
      <c r="T460" s="66"/>
      <c r="U460" s="66"/>
      <c r="V460" s="66"/>
      <c r="W460" s="66"/>
      <c r="X460" s="66"/>
      <c r="Y460" s="66"/>
      <c r="Z460" s="66"/>
      <c r="AA460" s="66"/>
      <c r="AB460" s="66"/>
      <c r="AC460" s="66"/>
    </row>
    <row r="461">
      <c r="A461" s="327"/>
      <c r="B461" s="66"/>
      <c r="C461" s="66"/>
      <c r="D461" s="327"/>
      <c r="E461" s="66"/>
      <c r="F461" s="66"/>
      <c r="G461" s="327"/>
      <c r="H461" s="66"/>
      <c r="I461" s="66"/>
      <c r="J461" s="327"/>
      <c r="K461" s="66"/>
      <c r="L461" s="66"/>
      <c r="M461" s="66"/>
      <c r="N461" s="66"/>
      <c r="O461" s="66"/>
      <c r="P461" s="66"/>
      <c r="Q461" s="66"/>
      <c r="R461" s="66"/>
      <c r="S461" s="66"/>
      <c r="T461" s="66"/>
      <c r="U461" s="66"/>
      <c r="V461" s="66"/>
      <c r="W461" s="66"/>
      <c r="X461" s="66"/>
      <c r="Y461" s="66"/>
      <c r="Z461" s="66"/>
      <c r="AA461" s="66"/>
      <c r="AB461" s="66"/>
      <c r="AC461" s="66"/>
    </row>
    <row r="462">
      <c r="A462" s="327"/>
      <c r="B462" s="66"/>
      <c r="C462" s="66"/>
      <c r="D462" s="327"/>
      <c r="E462" s="66"/>
      <c r="F462" s="66"/>
      <c r="G462" s="327"/>
      <c r="H462" s="66"/>
      <c r="I462" s="66"/>
      <c r="J462" s="327"/>
      <c r="K462" s="66"/>
      <c r="L462" s="66"/>
      <c r="M462" s="66"/>
      <c r="N462" s="66"/>
      <c r="O462" s="66"/>
      <c r="P462" s="66"/>
      <c r="Q462" s="66"/>
      <c r="R462" s="66"/>
      <c r="S462" s="66"/>
      <c r="T462" s="66"/>
      <c r="U462" s="66"/>
      <c r="V462" s="66"/>
      <c r="W462" s="66"/>
      <c r="X462" s="66"/>
      <c r="Y462" s="66"/>
      <c r="Z462" s="66"/>
      <c r="AA462" s="66"/>
      <c r="AB462" s="66"/>
      <c r="AC462" s="66"/>
    </row>
    <row r="463">
      <c r="A463" s="327"/>
      <c r="B463" s="66"/>
      <c r="C463" s="66"/>
      <c r="D463" s="327"/>
      <c r="E463" s="66"/>
      <c r="F463" s="66"/>
      <c r="G463" s="327"/>
      <c r="H463" s="66"/>
      <c r="I463" s="66"/>
      <c r="J463" s="327"/>
      <c r="K463" s="66"/>
      <c r="L463" s="66"/>
      <c r="M463" s="66"/>
      <c r="N463" s="66"/>
      <c r="O463" s="66"/>
      <c r="P463" s="66"/>
      <c r="Q463" s="66"/>
      <c r="R463" s="66"/>
      <c r="S463" s="66"/>
      <c r="T463" s="66"/>
      <c r="U463" s="66"/>
      <c r="V463" s="66"/>
      <c r="W463" s="66"/>
      <c r="X463" s="66"/>
      <c r="Y463" s="66"/>
      <c r="Z463" s="66"/>
      <c r="AA463" s="66"/>
      <c r="AB463" s="66"/>
      <c r="AC463" s="66"/>
    </row>
    <row r="464">
      <c r="A464" s="327"/>
      <c r="B464" s="66"/>
      <c r="C464" s="66"/>
      <c r="D464" s="327"/>
      <c r="E464" s="66"/>
      <c r="F464" s="66"/>
      <c r="G464" s="327"/>
      <c r="H464" s="66"/>
      <c r="I464" s="66"/>
      <c r="J464" s="327"/>
      <c r="K464" s="66"/>
      <c r="L464" s="66"/>
      <c r="M464" s="66"/>
      <c r="N464" s="66"/>
      <c r="O464" s="66"/>
      <c r="P464" s="66"/>
      <c r="Q464" s="66"/>
      <c r="R464" s="66"/>
      <c r="S464" s="66"/>
      <c r="T464" s="66"/>
      <c r="U464" s="66"/>
      <c r="V464" s="66"/>
      <c r="W464" s="66"/>
      <c r="X464" s="66"/>
      <c r="Y464" s="66"/>
      <c r="Z464" s="66"/>
      <c r="AA464" s="66"/>
      <c r="AB464" s="66"/>
      <c r="AC464" s="66"/>
    </row>
    <row r="465">
      <c r="A465" s="327"/>
      <c r="B465" s="66"/>
      <c r="C465" s="66"/>
      <c r="D465" s="327"/>
      <c r="E465" s="66"/>
      <c r="F465" s="66"/>
      <c r="G465" s="327"/>
      <c r="H465" s="66"/>
      <c r="I465" s="66"/>
      <c r="J465" s="327"/>
      <c r="K465" s="66"/>
      <c r="L465" s="66"/>
      <c r="M465" s="66"/>
      <c r="N465" s="66"/>
      <c r="O465" s="66"/>
      <c r="P465" s="66"/>
      <c r="Q465" s="66"/>
      <c r="R465" s="66"/>
      <c r="S465" s="66"/>
      <c r="T465" s="66"/>
      <c r="U465" s="66"/>
      <c r="V465" s="66"/>
      <c r="W465" s="66"/>
      <c r="X465" s="66"/>
      <c r="Y465" s="66"/>
      <c r="Z465" s="66"/>
      <c r="AA465" s="66"/>
      <c r="AB465" s="66"/>
      <c r="AC465" s="66"/>
    </row>
    <row r="466">
      <c r="A466" s="327"/>
      <c r="B466" s="66"/>
      <c r="C466" s="66"/>
      <c r="D466" s="327"/>
      <c r="E466" s="66"/>
      <c r="F466" s="66"/>
      <c r="G466" s="327"/>
      <c r="H466" s="66"/>
      <c r="I466" s="66"/>
      <c r="J466" s="327"/>
      <c r="K466" s="66"/>
      <c r="L466" s="66"/>
      <c r="M466" s="66"/>
      <c r="N466" s="66"/>
      <c r="O466" s="66"/>
      <c r="P466" s="66"/>
      <c r="Q466" s="66"/>
      <c r="R466" s="66"/>
      <c r="S466" s="66"/>
      <c r="T466" s="66"/>
      <c r="U466" s="66"/>
      <c r="V466" s="66"/>
      <c r="W466" s="66"/>
      <c r="X466" s="66"/>
      <c r="Y466" s="66"/>
      <c r="Z466" s="66"/>
      <c r="AA466" s="66"/>
      <c r="AB466" s="66"/>
      <c r="AC466" s="66"/>
    </row>
    <row r="467">
      <c r="A467" s="327"/>
      <c r="B467" s="66"/>
      <c r="C467" s="66"/>
      <c r="D467" s="327"/>
      <c r="E467" s="66"/>
      <c r="F467" s="66"/>
      <c r="G467" s="327"/>
      <c r="H467" s="66"/>
      <c r="I467" s="66"/>
      <c r="J467" s="327"/>
      <c r="K467" s="66"/>
      <c r="L467" s="66"/>
      <c r="M467" s="66"/>
      <c r="N467" s="66"/>
      <c r="O467" s="66"/>
      <c r="P467" s="66"/>
      <c r="Q467" s="66"/>
      <c r="R467" s="66"/>
      <c r="S467" s="66"/>
      <c r="T467" s="66"/>
      <c r="U467" s="66"/>
      <c r="V467" s="66"/>
      <c r="W467" s="66"/>
      <c r="X467" s="66"/>
      <c r="Y467" s="66"/>
      <c r="Z467" s="66"/>
      <c r="AA467" s="66"/>
      <c r="AB467" s="66"/>
      <c r="AC467" s="66"/>
    </row>
    <row r="468">
      <c r="A468" s="327"/>
      <c r="B468" s="66"/>
      <c r="C468" s="66"/>
      <c r="D468" s="327"/>
      <c r="E468" s="66"/>
      <c r="F468" s="66"/>
      <c r="G468" s="327"/>
      <c r="H468" s="66"/>
      <c r="I468" s="66"/>
      <c r="J468" s="327"/>
      <c r="K468" s="66"/>
      <c r="L468" s="66"/>
      <c r="M468" s="66"/>
      <c r="N468" s="66"/>
      <c r="O468" s="66"/>
      <c r="P468" s="66"/>
      <c r="Q468" s="66"/>
      <c r="R468" s="66"/>
      <c r="S468" s="66"/>
      <c r="T468" s="66"/>
      <c r="U468" s="66"/>
      <c r="V468" s="66"/>
      <c r="W468" s="66"/>
      <c r="X468" s="66"/>
      <c r="Y468" s="66"/>
      <c r="Z468" s="66"/>
      <c r="AA468" s="66"/>
      <c r="AB468" s="66"/>
      <c r="AC468" s="66"/>
    </row>
    <row r="469">
      <c r="A469" s="327"/>
      <c r="B469" s="66"/>
      <c r="C469" s="66"/>
      <c r="D469" s="327"/>
      <c r="E469" s="66"/>
      <c r="F469" s="66"/>
      <c r="G469" s="327"/>
      <c r="H469" s="66"/>
      <c r="I469" s="66"/>
      <c r="J469" s="327"/>
      <c r="K469" s="66"/>
      <c r="L469" s="66"/>
      <c r="M469" s="66"/>
      <c r="N469" s="66"/>
      <c r="O469" s="66"/>
      <c r="P469" s="66"/>
      <c r="Q469" s="66"/>
      <c r="R469" s="66"/>
      <c r="S469" s="66"/>
      <c r="T469" s="66"/>
      <c r="U469" s="66"/>
      <c r="V469" s="66"/>
      <c r="W469" s="66"/>
      <c r="X469" s="66"/>
      <c r="Y469" s="66"/>
      <c r="Z469" s="66"/>
      <c r="AA469" s="66"/>
      <c r="AB469" s="66"/>
      <c r="AC469" s="66"/>
    </row>
    <row r="470">
      <c r="A470" s="327"/>
      <c r="B470" s="66"/>
      <c r="C470" s="66"/>
      <c r="D470" s="327"/>
      <c r="E470" s="66"/>
      <c r="F470" s="66"/>
      <c r="G470" s="327"/>
      <c r="H470" s="66"/>
      <c r="I470" s="66"/>
      <c r="J470" s="327"/>
      <c r="K470" s="66"/>
      <c r="L470" s="66"/>
      <c r="M470" s="66"/>
      <c r="N470" s="66"/>
      <c r="O470" s="66"/>
      <c r="P470" s="66"/>
      <c r="Q470" s="66"/>
      <c r="R470" s="66"/>
      <c r="S470" s="66"/>
      <c r="T470" s="66"/>
      <c r="U470" s="66"/>
      <c r="V470" s="66"/>
      <c r="W470" s="66"/>
      <c r="X470" s="66"/>
      <c r="Y470" s="66"/>
      <c r="Z470" s="66"/>
      <c r="AA470" s="66"/>
      <c r="AB470" s="66"/>
      <c r="AC470" s="66"/>
    </row>
    <row r="471">
      <c r="A471" s="327"/>
      <c r="B471" s="66"/>
      <c r="C471" s="66"/>
      <c r="D471" s="327"/>
      <c r="E471" s="66"/>
      <c r="F471" s="66"/>
      <c r="G471" s="327"/>
      <c r="H471" s="66"/>
      <c r="I471" s="66"/>
      <c r="J471" s="327"/>
      <c r="K471" s="66"/>
      <c r="L471" s="66"/>
      <c r="M471" s="66"/>
      <c r="N471" s="66"/>
      <c r="O471" s="66"/>
      <c r="P471" s="66"/>
      <c r="Q471" s="66"/>
      <c r="R471" s="66"/>
      <c r="S471" s="66"/>
      <c r="T471" s="66"/>
      <c r="U471" s="66"/>
      <c r="V471" s="66"/>
      <c r="W471" s="66"/>
      <c r="X471" s="66"/>
      <c r="Y471" s="66"/>
      <c r="Z471" s="66"/>
      <c r="AA471" s="66"/>
      <c r="AB471" s="66"/>
      <c r="AC471" s="66"/>
    </row>
    <row r="472">
      <c r="A472" s="327"/>
      <c r="B472" s="66"/>
      <c r="C472" s="66"/>
      <c r="D472" s="327"/>
      <c r="E472" s="66"/>
      <c r="F472" s="66"/>
      <c r="G472" s="327"/>
      <c r="H472" s="66"/>
      <c r="I472" s="66"/>
      <c r="J472" s="327"/>
      <c r="K472" s="66"/>
      <c r="L472" s="66"/>
      <c r="M472" s="66"/>
      <c r="N472" s="66"/>
      <c r="O472" s="66"/>
      <c r="P472" s="66"/>
      <c r="Q472" s="66"/>
      <c r="R472" s="66"/>
      <c r="S472" s="66"/>
      <c r="T472" s="66"/>
      <c r="U472" s="66"/>
      <c r="V472" s="66"/>
      <c r="W472" s="66"/>
      <c r="X472" s="66"/>
      <c r="Y472" s="66"/>
      <c r="Z472" s="66"/>
      <c r="AA472" s="66"/>
      <c r="AB472" s="66"/>
      <c r="AC472" s="66"/>
    </row>
    <row r="473">
      <c r="A473" s="327"/>
      <c r="B473" s="66"/>
      <c r="C473" s="66"/>
      <c r="D473" s="327"/>
      <c r="E473" s="66"/>
      <c r="F473" s="66"/>
      <c r="G473" s="327"/>
      <c r="H473" s="66"/>
      <c r="I473" s="66"/>
      <c r="J473" s="327"/>
      <c r="K473" s="66"/>
      <c r="L473" s="66"/>
      <c r="M473" s="66"/>
      <c r="N473" s="66"/>
      <c r="O473" s="66"/>
      <c r="P473" s="66"/>
      <c r="Q473" s="66"/>
      <c r="R473" s="66"/>
      <c r="S473" s="66"/>
      <c r="T473" s="66"/>
      <c r="U473" s="66"/>
      <c r="V473" s="66"/>
      <c r="W473" s="66"/>
      <c r="X473" s="66"/>
      <c r="Y473" s="66"/>
      <c r="Z473" s="66"/>
      <c r="AA473" s="66"/>
      <c r="AB473" s="66"/>
      <c r="AC473" s="66"/>
    </row>
    <row r="474">
      <c r="A474" s="327"/>
      <c r="B474" s="66"/>
      <c r="C474" s="66"/>
      <c r="D474" s="327"/>
      <c r="E474" s="66"/>
      <c r="F474" s="66"/>
      <c r="G474" s="327"/>
      <c r="H474" s="66"/>
      <c r="I474" s="66"/>
      <c r="J474" s="327"/>
      <c r="K474" s="66"/>
      <c r="L474" s="66"/>
      <c r="M474" s="66"/>
      <c r="N474" s="66"/>
      <c r="O474" s="66"/>
      <c r="P474" s="66"/>
      <c r="Q474" s="66"/>
      <c r="R474" s="66"/>
      <c r="S474" s="66"/>
      <c r="T474" s="66"/>
      <c r="U474" s="66"/>
      <c r="V474" s="66"/>
      <c r="W474" s="66"/>
      <c r="X474" s="66"/>
      <c r="Y474" s="66"/>
      <c r="Z474" s="66"/>
      <c r="AA474" s="66"/>
      <c r="AB474" s="66"/>
      <c r="AC474" s="66"/>
    </row>
    <row r="475">
      <c r="A475" s="327"/>
      <c r="B475" s="66"/>
      <c r="C475" s="66"/>
      <c r="D475" s="327"/>
      <c r="E475" s="66"/>
      <c r="F475" s="66"/>
      <c r="G475" s="327"/>
      <c r="H475" s="66"/>
      <c r="I475" s="66"/>
      <c r="J475" s="327"/>
      <c r="K475" s="66"/>
      <c r="L475" s="66"/>
      <c r="M475" s="66"/>
      <c r="N475" s="66"/>
      <c r="O475" s="66"/>
      <c r="P475" s="66"/>
      <c r="Q475" s="66"/>
      <c r="R475" s="66"/>
      <c r="S475" s="66"/>
      <c r="T475" s="66"/>
      <c r="U475" s="66"/>
      <c r="V475" s="66"/>
      <c r="W475" s="66"/>
      <c r="X475" s="66"/>
      <c r="Y475" s="66"/>
      <c r="Z475" s="66"/>
      <c r="AA475" s="66"/>
      <c r="AB475" s="66"/>
      <c r="AC475" s="66"/>
    </row>
    <row r="476">
      <c r="A476" s="327"/>
      <c r="B476" s="66"/>
      <c r="C476" s="66"/>
      <c r="D476" s="327"/>
      <c r="E476" s="66"/>
      <c r="F476" s="66"/>
      <c r="G476" s="327"/>
      <c r="H476" s="66"/>
      <c r="I476" s="66"/>
      <c r="J476" s="327"/>
      <c r="K476" s="66"/>
      <c r="L476" s="66"/>
      <c r="M476" s="66"/>
      <c r="N476" s="66"/>
      <c r="O476" s="66"/>
      <c r="P476" s="66"/>
      <c r="Q476" s="66"/>
      <c r="R476" s="66"/>
      <c r="S476" s="66"/>
      <c r="T476" s="66"/>
      <c r="U476" s="66"/>
      <c r="V476" s="66"/>
      <c r="W476" s="66"/>
      <c r="X476" s="66"/>
      <c r="Y476" s="66"/>
      <c r="Z476" s="66"/>
      <c r="AA476" s="66"/>
      <c r="AB476" s="66"/>
      <c r="AC476" s="66"/>
    </row>
    <row r="477">
      <c r="A477" s="327"/>
      <c r="B477" s="66"/>
      <c r="C477" s="66"/>
      <c r="D477" s="327"/>
      <c r="E477" s="66"/>
      <c r="F477" s="66"/>
      <c r="G477" s="327"/>
      <c r="H477" s="66"/>
      <c r="I477" s="66"/>
      <c r="J477" s="327"/>
      <c r="K477" s="66"/>
      <c r="L477" s="66"/>
      <c r="M477" s="66"/>
      <c r="N477" s="66"/>
      <c r="O477" s="66"/>
      <c r="P477" s="66"/>
      <c r="Q477" s="66"/>
      <c r="R477" s="66"/>
      <c r="S477" s="66"/>
      <c r="T477" s="66"/>
      <c r="U477" s="66"/>
      <c r="V477" s="66"/>
      <c r="W477" s="66"/>
      <c r="X477" s="66"/>
      <c r="Y477" s="66"/>
      <c r="Z477" s="66"/>
      <c r="AA477" s="66"/>
      <c r="AB477" s="66"/>
      <c r="AC477" s="66"/>
    </row>
    <row r="478">
      <c r="A478" s="327"/>
      <c r="B478" s="66"/>
      <c r="C478" s="66"/>
      <c r="D478" s="327"/>
      <c r="E478" s="66"/>
      <c r="F478" s="66"/>
      <c r="G478" s="327"/>
      <c r="H478" s="66"/>
      <c r="I478" s="66"/>
      <c r="J478" s="327"/>
      <c r="K478" s="66"/>
      <c r="L478" s="66"/>
      <c r="M478" s="66"/>
      <c r="N478" s="66"/>
      <c r="O478" s="66"/>
      <c r="P478" s="66"/>
      <c r="Q478" s="66"/>
      <c r="R478" s="66"/>
      <c r="S478" s="66"/>
      <c r="T478" s="66"/>
      <c r="U478" s="66"/>
      <c r="V478" s="66"/>
      <c r="W478" s="66"/>
      <c r="X478" s="66"/>
      <c r="Y478" s="66"/>
      <c r="Z478" s="66"/>
      <c r="AA478" s="66"/>
      <c r="AB478" s="66"/>
      <c r="AC478" s="66"/>
    </row>
    <row r="479">
      <c r="A479" s="327"/>
      <c r="B479" s="66"/>
      <c r="C479" s="66"/>
      <c r="D479" s="327"/>
      <c r="E479" s="66"/>
      <c r="F479" s="66"/>
      <c r="G479" s="327"/>
      <c r="H479" s="66"/>
      <c r="I479" s="66"/>
      <c r="J479" s="327"/>
      <c r="K479" s="66"/>
      <c r="L479" s="66"/>
      <c r="M479" s="66"/>
      <c r="N479" s="66"/>
      <c r="O479" s="66"/>
      <c r="P479" s="66"/>
      <c r="Q479" s="66"/>
      <c r="R479" s="66"/>
      <c r="S479" s="66"/>
      <c r="T479" s="66"/>
      <c r="U479" s="66"/>
      <c r="V479" s="66"/>
      <c r="W479" s="66"/>
      <c r="X479" s="66"/>
      <c r="Y479" s="66"/>
      <c r="Z479" s="66"/>
      <c r="AA479" s="66"/>
      <c r="AB479" s="66"/>
      <c r="AC479" s="66"/>
    </row>
    <row r="480">
      <c r="A480" s="327"/>
      <c r="B480" s="66"/>
      <c r="C480" s="66"/>
      <c r="D480" s="327"/>
      <c r="E480" s="66"/>
      <c r="F480" s="66"/>
      <c r="G480" s="327"/>
      <c r="H480" s="66"/>
      <c r="I480" s="66"/>
      <c r="J480" s="327"/>
      <c r="K480" s="66"/>
      <c r="L480" s="66"/>
      <c r="M480" s="66"/>
      <c r="N480" s="66"/>
      <c r="O480" s="66"/>
      <c r="P480" s="66"/>
      <c r="Q480" s="66"/>
      <c r="R480" s="66"/>
      <c r="S480" s="66"/>
      <c r="T480" s="66"/>
      <c r="U480" s="66"/>
      <c r="V480" s="66"/>
      <c r="W480" s="66"/>
      <c r="X480" s="66"/>
      <c r="Y480" s="66"/>
      <c r="Z480" s="66"/>
      <c r="AA480" s="66"/>
      <c r="AB480" s="66"/>
      <c r="AC480" s="66"/>
    </row>
    <row r="481">
      <c r="A481" s="327"/>
      <c r="B481" s="66"/>
      <c r="C481" s="66"/>
      <c r="D481" s="327"/>
      <c r="E481" s="66"/>
      <c r="F481" s="66"/>
      <c r="G481" s="327"/>
      <c r="H481" s="66"/>
      <c r="I481" s="66"/>
      <c r="J481" s="327"/>
      <c r="K481" s="66"/>
      <c r="L481" s="66"/>
      <c r="M481" s="66"/>
      <c r="N481" s="66"/>
      <c r="O481" s="66"/>
      <c r="P481" s="66"/>
      <c r="Q481" s="66"/>
      <c r="R481" s="66"/>
      <c r="S481" s="66"/>
      <c r="T481" s="66"/>
      <c r="U481" s="66"/>
      <c r="V481" s="66"/>
      <c r="W481" s="66"/>
      <c r="X481" s="66"/>
      <c r="Y481" s="66"/>
      <c r="Z481" s="66"/>
      <c r="AA481" s="66"/>
      <c r="AB481" s="66"/>
      <c r="AC481" s="66"/>
    </row>
    <row r="482">
      <c r="A482" s="327"/>
      <c r="B482" s="66"/>
      <c r="C482" s="66"/>
      <c r="D482" s="327"/>
      <c r="E482" s="66"/>
      <c r="F482" s="66"/>
      <c r="G482" s="327"/>
      <c r="H482" s="66"/>
      <c r="I482" s="66"/>
      <c r="J482" s="327"/>
      <c r="K482" s="66"/>
      <c r="L482" s="66"/>
      <c r="M482" s="66"/>
      <c r="N482" s="66"/>
      <c r="O482" s="66"/>
      <c r="P482" s="66"/>
      <c r="Q482" s="66"/>
      <c r="R482" s="66"/>
      <c r="S482" s="66"/>
      <c r="T482" s="66"/>
      <c r="U482" s="66"/>
      <c r="V482" s="66"/>
      <c r="W482" s="66"/>
      <c r="X482" s="66"/>
      <c r="Y482" s="66"/>
      <c r="Z482" s="66"/>
      <c r="AA482" s="66"/>
      <c r="AB482" s="66"/>
      <c r="AC482" s="66"/>
    </row>
    <row r="483">
      <c r="A483" s="327"/>
      <c r="B483" s="66"/>
      <c r="C483" s="66"/>
      <c r="D483" s="327"/>
      <c r="E483" s="66"/>
      <c r="F483" s="66"/>
      <c r="G483" s="327"/>
      <c r="H483" s="66"/>
      <c r="I483" s="66"/>
      <c r="J483" s="327"/>
      <c r="K483" s="66"/>
      <c r="L483" s="66"/>
      <c r="M483" s="66"/>
      <c r="N483" s="66"/>
      <c r="O483" s="66"/>
      <c r="P483" s="66"/>
      <c r="Q483" s="66"/>
      <c r="R483" s="66"/>
      <c r="S483" s="66"/>
      <c r="T483" s="66"/>
      <c r="U483" s="66"/>
      <c r="V483" s="66"/>
      <c r="W483" s="66"/>
      <c r="X483" s="66"/>
      <c r="Y483" s="66"/>
      <c r="Z483" s="66"/>
      <c r="AA483" s="66"/>
      <c r="AB483" s="66"/>
      <c r="AC483" s="66"/>
    </row>
    <row r="484">
      <c r="A484" s="327"/>
      <c r="B484" s="66"/>
      <c r="C484" s="66"/>
      <c r="D484" s="327"/>
      <c r="E484" s="66"/>
      <c r="F484" s="66"/>
      <c r="G484" s="327"/>
      <c r="H484" s="66"/>
      <c r="I484" s="66"/>
      <c r="J484" s="327"/>
      <c r="K484" s="66"/>
      <c r="L484" s="66"/>
      <c r="M484" s="66"/>
      <c r="N484" s="66"/>
      <c r="O484" s="66"/>
      <c r="P484" s="66"/>
      <c r="Q484" s="66"/>
      <c r="R484" s="66"/>
      <c r="S484" s="66"/>
      <c r="T484" s="66"/>
      <c r="U484" s="66"/>
      <c r="V484" s="66"/>
      <c r="W484" s="66"/>
      <c r="X484" s="66"/>
      <c r="Y484" s="66"/>
      <c r="Z484" s="66"/>
      <c r="AA484" s="66"/>
      <c r="AB484" s="66"/>
      <c r="AC484" s="66"/>
    </row>
    <row r="485">
      <c r="A485" s="327"/>
      <c r="B485" s="66"/>
      <c r="C485" s="66"/>
      <c r="D485" s="327"/>
      <c r="E485" s="66"/>
      <c r="F485" s="66"/>
      <c r="G485" s="327"/>
      <c r="H485" s="66"/>
      <c r="I485" s="66"/>
      <c r="J485" s="327"/>
      <c r="K485" s="66"/>
      <c r="L485" s="66"/>
      <c r="M485" s="66"/>
      <c r="N485" s="66"/>
      <c r="O485" s="66"/>
      <c r="P485" s="66"/>
      <c r="Q485" s="66"/>
      <c r="R485" s="66"/>
      <c r="S485" s="66"/>
      <c r="T485" s="66"/>
      <c r="U485" s="66"/>
      <c r="V485" s="66"/>
      <c r="W485" s="66"/>
      <c r="X485" s="66"/>
      <c r="Y485" s="66"/>
      <c r="Z485" s="66"/>
      <c r="AA485" s="66"/>
      <c r="AB485" s="66"/>
      <c r="AC485" s="66"/>
    </row>
    <row r="486">
      <c r="A486" s="327"/>
      <c r="B486" s="66"/>
      <c r="C486" s="66"/>
      <c r="D486" s="327"/>
      <c r="E486" s="66"/>
      <c r="F486" s="66"/>
      <c r="G486" s="327"/>
      <c r="H486" s="66"/>
      <c r="I486" s="66"/>
      <c r="J486" s="327"/>
      <c r="K486" s="66"/>
      <c r="L486" s="66"/>
      <c r="M486" s="66"/>
      <c r="N486" s="66"/>
      <c r="O486" s="66"/>
      <c r="P486" s="66"/>
      <c r="Q486" s="66"/>
      <c r="R486" s="66"/>
      <c r="S486" s="66"/>
      <c r="T486" s="66"/>
      <c r="U486" s="66"/>
      <c r="V486" s="66"/>
      <c r="W486" s="66"/>
      <c r="X486" s="66"/>
      <c r="Y486" s="66"/>
      <c r="Z486" s="66"/>
      <c r="AA486" s="66"/>
      <c r="AB486" s="66"/>
      <c r="AC486" s="66"/>
    </row>
    <row r="487">
      <c r="A487" s="327"/>
      <c r="B487" s="66"/>
      <c r="C487" s="66"/>
      <c r="D487" s="327"/>
      <c r="E487" s="66"/>
      <c r="F487" s="66"/>
      <c r="G487" s="327"/>
      <c r="H487" s="66"/>
      <c r="I487" s="66"/>
      <c r="J487" s="327"/>
      <c r="K487" s="66"/>
      <c r="L487" s="66"/>
      <c r="M487" s="66"/>
      <c r="N487" s="66"/>
      <c r="O487" s="66"/>
      <c r="P487" s="66"/>
      <c r="Q487" s="66"/>
      <c r="R487" s="66"/>
      <c r="S487" s="66"/>
      <c r="T487" s="66"/>
      <c r="U487" s="66"/>
      <c r="V487" s="66"/>
      <c r="W487" s="66"/>
      <c r="X487" s="66"/>
      <c r="Y487" s="66"/>
      <c r="Z487" s="66"/>
      <c r="AA487" s="66"/>
      <c r="AB487" s="66"/>
      <c r="AC487" s="66"/>
    </row>
    <row r="488">
      <c r="A488" s="327"/>
      <c r="B488" s="66"/>
      <c r="C488" s="66"/>
      <c r="D488" s="327"/>
      <c r="E488" s="66"/>
      <c r="F488" s="66"/>
      <c r="G488" s="327"/>
      <c r="H488" s="66"/>
      <c r="I488" s="66"/>
      <c r="J488" s="327"/>
      <c r="K488" s="66"/>
      <c r="L488" s="66"/>
      <c r="M488" s="66"/>
      <c r="N488" s="66"/>
      <c r="O488" s="66"/>
      <c r="P488" s="66"/>
      <c r="Q488" s="66"/>
      <c r="R488" s="66"/>
      <c r="S488" s="66"/>
      <c r="T488" s="66"/>
      <c r="U488" s="66"/>
      <c r="V488" s="66"/>
      <c r="W488" s="66"/>
      <c r="X488" s="66"/>
      <c r="Y488" s="66"/>
      <c r="Z488" s="66"/>
      <c r="AA488" s="66"/>
      <c r="AB488" s="66"/>
      <c r="AC488" s="66"/>
    </row>
    <row r="489">
      <c r="A489" s="327"/>
      <c r="B489" s="66"/>
      <c r="C489" s="66"/>
      <c r="D489" s="327"/>
      <c r="E489" s="66"/>
      <c r="F489" s="66"/>
      <c r="G489" s="327"/>
      <c r="H489" s="66"/>
      <c r="I489" s="66"/>
      <c r="J489" s="327"/>
      <c r="K489" s="66"/>
      <c r="L489" s="66"/>
      <c r="M489" s="66"/>
      <c r="N489" s="66"/>
      <c r="O489" s="66"/>
      <c r="P489" s="66"/>
      <c r="Q489" s="66"/>
      <c r="R489" s="66"/>
      <c r="S489" s="66"/>
      <c r="T489" s="66"/>
      <c r="U489" s="66"/>
      <c r="V489" s="66"/>
      <c r="W489" s="66"/>
      <c r="X489" s="66"/>
      <c r="Y489" s="66"/>
      <c r="Z489" s="66"/>
      <c r="AA489" s="66"/>
      <c r="AB489" s="66"/>
      <c r="AC489" s="66"/>
    </row>
    <row r="490">
      <c r="A490" s="327"/>
      <c r="B490" s="66"/>
      <c r="C490" s="66"/>
      <c r="D490" s="327"/>
      <c r="E490" s="66"/>
      <c r="F490" s="66"/>
      <c r="G490" s="327"/>
      <c r="H490" s="66"/>
      <c r="I490" s="66"/>
      <c r="J490" s="327"/>
      <c r="K490" s="66"/>
      <c r="L490" s="66"/>
      <c r="M490" s="66"/>
      <c r="N490" s="66"/>
      <c r="O490" s="66"/>
      <c r="P490" s="66"/>
      <c r="Q490" s="66"/>
      <c r="R490" s="66"/>
      <c r="S490" s="66"/>
      <c r="T490" s="66"/>
      <c r="U490" s="66"/>
      <c r="V490" s="66"/>
      <c r="W490" s="66"/>
      <c r="X490" s="66"/>
      <c r="Y490" s="66"/>
      <c r="Z490" s="66"/>
      <c r="AA490" s="66"/>
      <c r="AB490" s="66"/>
      <c r="AC490" s="66"/>
    </row>
    <row r="491">
      <c r="A491" s="327"/>
      <c r="B491" s="66"/>
      <c r="C491" s="66"/>
      <c r="D491" s="327"/>
      <c r="E491" s="66"/>
      <c r="F491" s="66"/>
      <c r="G491" s="327"/>
      <c r="H491" s="66"/>
      <c r="I491" s="66"/>
      <c r="J491" s="327"/>
      <c r="K491" s="66"/>
      <c r="L491" s="66"/>
      <c r="M491" s="66"/>
      <c r="N491" s="66"/>
      <c r="O491" s="66"/>
      <c r="P491" s="66"/>
      <c r="Q491" s="66"/>
      <c r="R491" s="66"/>
      <c r="S491" s="66"/>
      <c r="T491" s="66"/>
      <c r="U491" s="66"/>
      <c r="V491" s="66"/>
      <c r="W491" s="66"/>
      <c r="X491" s="66"/>
      <c r="Y491" s="66"/>
      <c r="Z491" s="66"/>
      <c r="AA491" s="66"/>
      <c r="AB491" s="66"/>
      <c r="AC491" s="66"/>
    </row>
    <row r="492">
      <c r="A492" s="327"/>
      <c r="B492" s="66"/>
      <c r="C492" s="66"/>
      <c r="D492" s="327"/>
      <c r="E492" s="66"/>
      <c r="F492" s="66"/>
      <c r="G492" s="327"/>
      <c r="H492" s="66"/>
      <c r="I492" s="66"/>
      <c r="J492" s="327"/>
      <c r="K492" s="66"/>
      <c r="L492" s="66"/>
      <c r="M492" s="66"/>
      <c r="N492" s="66"/>
      <c r="O492" s="66"/>
      <c r="P492" s="66"/>
      <c r="Q492" s="66"/>
      <c r="R492" s="66"/>
      <c r="S492" s="66"/>
      <c r="T492" s="66"/>
      <c r="U492" s="66"/>
      <c r="V492" s="66"/>
      <c r="W492" s="66"/>
      <c r="X492" s="66"/>
      <c r="Y492" s="66"/>
      <c r="Z492" s="66"/>
      <c r="AA492" s="66"/>
      <c r="AB492" s="66"/>
      <c r="AC492" s="66"/>
    </row>
    <row r="493">
      <c r="A493" s="327"/>
      <c r="B493" s="66"/>
      <c r="C493" s="66"/>
      <c r="D493" s="327"/>
      <c r="E493" s="66"/>
      <c r="F493" s="66"/>
      <c r="G493" s="327"/>
      <c r="H493" s="66"/>
      <c r="I493" s="66"/>
      <c r="J493" s="327"/>
      <c r="K493" s="66"/>
      <c r="L493" s="66"/>
      <c r="M493" s="66"/>
      <c r="N493" s="66"/>
      <c r="O493" s="66"/>
      <c r="P493" s="66"/>
      <c r="Q493" s="66"/>
      <c r="R493" s="66"/>
      <c r="S493" s="66"/>
      <c r="T493" s="66"/>
      <c r="U493" s="66"/>
      <c r="V493" s="66"/>
      <c r="W493" s="66"/>
      <c r="X493" s="66"/>
      <c r="Y493" s="66"/>
      <c r="Z493" s="66"/>
      <c r="AA493" s="66"/>
      <c r="AB493" s="66"/>
      <c r="AC493" s="66"/>
    </row>
    <row r="494">
      <c r="A494" s="327"/>
      <c r="B494" s="66"/>
      <c r="C494" s="66"/>
      <c r="D494" s="327"/>
      <c r="E494" s="66"/>
      <c r="F494" s="66"/>
      <c r="G494" s="327"/>
      <c r="H494" s="66"/>
      <c r="I494" s="66"/>
      <c r="J494" s="327"/>
      <c r="K494" s="66"/>
      <c r="L494" s="66"/>
      <c r="M494" s="66"/>
      <c r="N494" s="66"/>
      <c r="O494" s="66"/>
      <c r="P494" s="66"/>
      <c r="Q494" s="66"/>
      <c r="R494" s="66"/>
      <c r="S494" s="66"/>
      <c r="T494" s="66"/>
      <c r="U494" s="66"/>
      <c r="V494" s="66"/>
      <c r="W494" s="66"/>
      <c r="X494" s="66"/>
      <c r="Y494" s="66"/>
      <c r="Z494" s="66"/>
      <c r="AA494" s="66"/>
      <c r="AB494" s="66"/>
      <c r="AC494" s="66"/>
    </row>
    <row r="495">
      <c r="A495" s="327"/>
      <c r="B495" s="66"/>
      <c r="C495" s="66"/>
      <c r="D495" s="327"/>
      <c r="E495" s="66"/>
      <c r="F495" s="66"/>
      <c r="G495" s="327"/>
      <c r="H495" s="66"/>
      <c r="I495" s="66"/>
      <c r="J495" s="327"/>
      <c r="K495" s="66"/>
      <c r="L495" s="66"/>
      <c r="M495" s="66"/>
      <c r="N495" s="66"/>
      <c r="O495" s="66"/>
      <c r="P495" s="66"/>
      <c r="Q495" s="66"/>
      <c r="R495" s="66"/>
      <c r="S495" s="66"/>
      <c r="T495" s="66"/>
      <c r="U495" s="66"/>
      <c r="V495" s="66"/>
      <c r="W495" s="66"/>
      <c r="X495" s="66"/>
      <c r="Y495" s="66"/>
      <c r="Z495" s="66"/>
      <c r="AA495" s="66"/>
      <c r="AB495" s="66"/>
      <c r="AC495" s="66"/>
    </row>
    <row r="496">
      <c r="A496" s="327"/>
      <c r="B496" s="66"/>
      <c r="C496" s="66"/>
      <c r="D496" s="327"/>
      <c r="E496" s="66"/>
      <c r="F496" s="66"/>
      <c r="G496" s="327"/>
      <c r="H496" s="66"/>
      <c r="I496" s="66"/>
      <c r="J496" s="327"/>
      <c r="K496" s="66"/>
      <c r="L496" s="66"/>
      <c r="M496" s="66"/>
      <c r="N496" s="66"/>
      <c r="O496" s="66"/>
      <c r="P496" s="66"/>
      <c r="Q496" s="66"/>
      <c r="R496" s="66"/>
      <c r="S496" s="66"/>
      <c r="T496" s="66"/>
      <c r="U496" s="66"/>
      <c r="V496" s="66"/>
      <c r="W496" s="66"/>
      <c r="X496" s="66"/>
      <c r="Y496" s="66"/>
      <c r="Z496" s="66"/>
      <c r="AA496" s="66"/>
      <c r="AB496" s="66"/>
      <c r="AC496" s="66"/>
    </row>
    <row r="497">
      <c r="A497" s="327"/>
      <c r="B497" s="66"/>
      <c r="C497" s="66"/>
      <c r="D497" s="327"/>
      <c r="E497" s="66"/>
      <c r="F497" s="66"/>
      <c r="G497" s="327"/>
      <c r="H497" s="66"/>
      <c r="I497" s="66"/>
      <c r="J497" s="327"/>
      <c r="K497" s="66"/>
      <c r="L497" s="66"/>
      <c r="M497" s="66"/>
      <c r="N497" s="66"/>
      <c r="O497" s="66"/>
      <c r="P497" s="66"/>
      <c r="Q497" s="66"/>
      <c r="R497" s="66"/>
      <c r="S497" s="66"/>
      <c r="T497" s="66"/>
      <c r="U497" s="66"/>
      <c r="V497" s="66"/>
      <c r="W497" s="66"/>
      <c r="X497" s="66"/>
      <c r="Y497" s="66"/>
      <c r="Z497" s="66"/>
      <c r="AA497" s="66"/>
      <c r="AB497" s="66"/>
      <c r="AC497" s="66"/>
    </row>
    <row r="498">
      <c r="A498" s="327"/>
      <c r="B498" s="66"/>
      <c r="C498" s="66"/>
      <c r="D498" s="327"/>
      <c r="E498" s="66"/>
      <c r="F498" s="66"/>
      <c r="G498" s="327"/>
      <c r="H498" s="66"/>
      <c r="I498" s="66"/>
      <c r="J498" s="327"/>
      <c r="K498" s="66"/>
      <c r="L498" s="66"/>
      <c r="M498" s="66"/>
      <c r="N498" s="66"/>
      <c r="O498" s="66"/>
      <c r="P498" s="66"/>
      <c r="Q498" s="66"/>
      <c r="R498" s="66"/>
      <c r="S498" s="66"/>
      <c r="T498" s="66"/>
      <c r="U498" s="66"/>
      <c r="V498" s="66"/>
      <c r="W498" s="66"/>
      <c r="X498" s="66"/>
      <c r="Y498" s="66"/>
      <c r="Z498" s="66"/>
      <c r="AA498" s="66"/>
      <c r="AB498" s="66"/>
      <c r="AC498" s="66"/>
    </row>
    <row r="499">
      <c r="A499" s="327"/>
      <c r="B499" s="66"/>
      <c r="C499" s="66"/>
      <c r="D499" s="327"/>
      <c r="E499" s="66"/>
      <c r="F499" s="66"/>
      <c r="G499" s="327"/>
      <c r="H499" s="66"/>
      <c r="I499" s="66"/>
      <c r="J499" s="327"/>
      <c r="K499" s="66"/>
      <c r="L499" s="66"/>
      <c r="M499" s="66"/>
      <c r="N499" s="66"/>
      <c r="O499" s="66"/>
      <c r="P499" s="66"/>
      <c r="Q499" s="66"/>
      <c r="R499" s="66"/>
      <c r="S499" s="66"/>
      <c r="T499" s="66"/>
      <c r="U499" s="66"/>
      <c r="V499" s="66"/>
      <c r="W499" s="66"/>
      <c r="X499" s="66"/>
      <c r="Y499" s="66"/>
      <c r="Z499" s="66"/>
      <c r="AA499" s="66"/>
      <c r="AB499" s="66"/>
      <c r="AC499" s="66"/>
    </row>
    <row r="500">
      <c r="A500" s="327"/>
      <c r="B500" s="66"/>
      <c r="C500" s="66"/>
      <c r="D500" s="327"/>
      <c r="E500" s="66"/>
      <c r="F500" s="66"/>
      <c r="G500" s="327"/>
      <c r="H500" s="66"/>
      <c r="I500" s="66"/>
      <c r="J500" s="327"/>
      <c r="K500" s="66"/>
      <c r="L500" s="66"/>
      <c r="M500" s="66"/>
      <c r="N500" s="66"/>
      <c r="O500" s="66"/>
      <c r="P500" s="66"/>
      <c r="Q500" s="66"/>
      <c r="R500" s="66"/>
      <c r="S500" s="66"/>
      <c r="T500" s="66"/>
      <c r="U500" s="66"/>
      <c r="V500" s="66"/>
      <c r="W500" s="66"/>
      <c r="X500" s="66"/>
      <c r="Y500" s="66"/>
      <c r="Z500" s="66"/>
      <c r="AA500" s="66"/>
      <c r="AB500" s="66"/>
      <c r="AC500" s="66"/>
    </row>
    <row r="501">
      <c r="A501" s="327"/>
      <c r="B501" s="66"/>
      <c r="C501" s="66"/>
      <c r="D501" s="327"/>
      <c r="E501" s="66"/>
      <c r="F501" s="66"/>
      <c r="G501" s="327"/>
      <c r="H501" s="66"/>
      <c r="I501" s="66"/>
      <c r="J501" s="327"/>
      <c r="K501" s="66"/>
      <c r="L501" s="66"/>
      <c r="M501" s="66"/>
      <c r="N501" s="66"/>
      <c r="O501" s="66"/>
      <c r="P501" s="66"/>
      <c r="Q501" s="66"/>
      <c r="R501" s="66"/>
      <c r="S501" s="66"/>
      <c r="T501" s="66"/>
      <c r="U501" s="66"/>
      <c r="V501" s="66"/>
      <c r="W501" s="66"/>
      <c r="X501" s="66"/>
      <c r="Y501" s="66"/>
      <c r="Z501" s="66"/>
      <c r="AA501" s="66"/>
      <c r="AB501" s="66"/>
      <c r="AC501" s="66"/>
    </row>
    <row r="502">
      <c r="A502" s="327"/>
      <c r="B502" s="66"/>
      <c r="C502" s="66"/>
      <c r="D502" s="327"/>
      <c r="E502" s="66"/>
      <c r="F502" s="66"/>
      <c r="G502" s="327"/>
      <c r="H502" s="66"/>
      <c r="I502" s="66"/>
      <c r="J502" s="327"/>
      <c r="K502" s="66"/>
      <c r="L502" s="66"/>
      <c r="M502" s="66"/>
      <c r="N502" s="66"/>
      <c r="O502" s="66"/>
      <c r="P502" s="66"/>
      <c r="Q502" s="66"/>
      <c r="R502" s="66"/>
      <c r="S502" s="66"/>
      <c r="T502" s="66"/>
      <c r="U502" s="66"/>
      <c r="V502" s="66"/>
      <c r="W502" s="66"/>
      <c r="X502" s="66"/>
      <c r="Y502" s="66"/>
      <c r="Z502" s="66"/>
      <c r="AA502" s="66"/>
      <c r="AB502" s="66"/>
      <c r="AC502" s="66"/>
    </row>
    <row r="503">
      <c r="A503" s="327"/>
      <c r="B503" s="66"/>
      <c r="C503" s="66"/>
      <c r="D503" s="327"/>
      <c r="E503" s="66"/>
      <c r="F503" s="66"/>
      <c r="G503" s="327"/>
      <c r="H503" s="66"/>
      <c r="I503" s="66"/>
      <c r="J503" s="327"/>
      <c r="K503" s="66"/>
      <c r="L503" s="66"/>
      <c r="M503" s="66"/>
      <c r="N503" s="66"/>
      <c r="O503" s="66"/>
      <c r="P503" s="66"/>
      <c r="Q503" s="66"/>
      <c r="R503" s="66"/>
      <c r="S503" s="66"/>
      <c r="T503" s="66"/>
      <c r="U503" s="66"/>
      <c r="V503" s="66"/>
      <c r="W503" s="66"/>
      <c r="X503" s="66"/>
      <c r="Y503" s="66"/>
      <c r="Z503" s="66"/>
      <c r="AA503" s="66"/>
      <c r="AB503" s="66"/>
      <c r="AC503" s="66"/>
    </row>
    <row r="504">
      <c r="A504" s="327"/>
      <c r="B504" s="66"/>
      <c r="C504" s="66"/>
      <c r="D504" s="327"/>
      <c r="E504" s="66"/>
      <c r="F504" s="66"/>
      <c r="G504" s="327"/>
      <c r="H504" s="66"/>
      <c r="I504" s="66"/>
      <c r="J504" s="327"/>
      <c r="K504" s="66"/>
      <c r="L504" s="66"/>
      <c r="M504" s="66"/>
      <c r="N504" s="66"/>
      <c r="O504" s="66"/>
      <c r="P504" s="66"/>
      <c r="Q504" s="66"/>
      <c r="R504" s="66"/>
      <c r="S504" s="66"/>
      <c r="T504" s="66"/>
      <c r="U504" s="66"/>
      <c r="V504" s="66"/>
      <c r="W504" s="66"/>
      <c r="X504" s="66"/>
      <c r="Y504" s="66"/>
      <c r="Z504" s="66"/>
      <c r="AA504" s="66"/>
      <c r="AB504" s="66"/>
      <c r="AC504" s="66"/>
    </row>
    <row r="505">
      <c r="A505" s="327"/>
      <c r="B505" s="66"/>
      <c r="C505" s="66"/>
      <c r="D505" s="327"/>
      <c r="E505" s="66"/>
      <c r="F505" s="66"/>
      <c r="G505" s="327"/>
      <c r="H505" s="66"/>
      <c r="I505" s="66"/>
      <c r="J505" s="327"/>
      <c r="K505" s="66"/>
      <c r="L505" s="66"/>
      <c r="M505" s="66"/>
      <c r="N505" s="66"/>
      <c r="O505" s="66"/>
      <c r="P505" s="66"/>
      <c r="Q505" s="66"/>
      <c r="R505" s="66"/>
      <c r="S505" s="66"/>
      <c r="T505" s="66"/>
      <c r="U505" s="66"/>
      <c r="V505" s="66"/>
      <c r="W505" s="66"/>
      <c r="X505" s="66"/>
      <c r="Y505" s="66"/>
      <c r="Z505" s="66"/>
      <c r="AA505" s="66"/>
      <c r="AB505" s="66"/>
      <c r="AC505" s="66"/>
    </row>
    <row r="506">
      <c r="A506" s="327"/>
      <c r="B506" s="66"/>
      <c r="C506" s="66"/>
      <c r="D506" s="327"/>
      <c r="E506" s="66"/>
      <c r="F506" s="66"/>
      <c r="G506" s="327"/>
      <c r="H506" s="66"/>
      <c r="I506" s="66"/>
      <c r="J506" s="327"/>
      <c r="K506" s="66"/>
      <c r="L506" s="66"/>
      <c r="M506" s="66"/>
      <c r="N506" s="66"/>
      <c r="O506" s="66"/>
      <c r="P506" s="66"/>
      <c r="Q506" s="66"/>
      <c r="R506" s="66"/>
      <c r="S506" s="66"/>
      <c r="T506" s="66"/>
      <c r="U506" s="66"/>
      <c r="V506" s="66"/>
      <c r="W506" s="66"/>
      <c r="X506" s="66"/>
      <c r="Y506" s="66"/>
      <c r="Z506" s="66"/>
      <c r="AA506" s="66"/>
      <c r="AB506" s="66"/>
      <c r="AC506" s="66"/>
    </row>
    <row r="507">
      <c r="A507" s="327"/>
      <c r="B507" s="66"/>
      <c r="C507" s="66"/>
      <c r="D507" s="327"/>
      <c r="E507" s="66"/>
      <c r="F507" s="66"/>
      <c r="G507" s="327"/>
      <c r="H507" s="66"/>
      <c r="I507" s="66"/>
      <c r="J507" s="327"/>
      <c r="K507" s="66"/>
      <c r="L507" s="66"/>
      <c r="M507" s="66"/>
      <c r="N507" s="66"/>
      <c r="O507" s="66"/>
      <c r="P507" s="66"/>
      <c r="Q507" s="66"/>
      <c r="R507" s="66"/>
      <c r="S507" s="66"/>
      <c r="T507" s="66"/>
      <c r="U507" s="66"/>
      <c r="V507" s="66"/>
      <c r="W507" s="66"/>
      <c r="X507" s="66"/>
      <c r="Y507" s="66"/>
      <c r="Z507" s="66"/>
      <c r="AA507" s="66"/>
      <c r="AB507" s="66"/>
      <c r="AC507" s="66"/>
    </row>
    <row r="508">
      <c r="A508" s="327"/>
      <c r="B508" s="66"/>
      <c r="C508" s="66"/>
      <c r="D508" s="327"/>
      <c r="E508" s="66"/>
      <c r="F508" s="66"/>
      <c r="G508" s="327"/>
      <c r="H508" s="66"/>
      <c r="I508" s="66"/>
      <c r="J508" s="327"/>
      <c r="K508" s="66"/>
      <c r="L508" s="66"/>
      <c r="M508" s="66"/>
      <c r="N508" s="66"/>
      <c r="O508" s="66"/>
      <c r="P508" s="66"/>
      <c r="Q508" s="66"/>
      <c r="R508" s="66"/>
      <c r="S508" s="66"/>
      <c r="T508" s="66"/>
      <c r="U508" s="66"/>
      <c r="V508" s="66"/>
      <c r="W508" s="66"/>
      <c r="X508" s="66"/>
      <c r="Y508" s="66"/>
      <c r="Z508" s="66"/>
      <c r="AA508" s="66"/>
      <c r="AB508" s="66"/>
      <c r="AC508" s="66"/>
    </row>
    <row r="509">
      <c r="A509" s="327"/>
      <c r="B509" s="66"/>
      <c r="C509" s="66"/>
      <c r="D509" s="327"/>
      <c r="E509" s="66"/>
      <c r="F509" s="66"/>
      <c r="G509" s="327"/>
      <c r="H509" s="66"/>
      <c r="I509" s="66"/>
      <c r="J509" s="327"/>
      <c r="K509" s="66"/>
      <c r="L509" s="66"/>
      <c r="M509" s="66"/>
      <c r="N509" s="66"/>
      <c r="O509" s="66"/>
      <c r="P509" s="66"/>
      <c r="Q509" s="66"/>
      <c r="R509" s="66"/>
      <c r="S509" s="66"/>
      <c r="T509" s="66"/>
      <c r="U509" s="66"/>
      <c r="V509" s="66"/>
      <c r="W509" s="66"/>
      <c r="X509" s="66"/>
      <c r="Y509" s="66"/>
      <c r="Z509" s="66"/>
      <c r="AA509" s="66"/>
      <c r="AB509" s="66"/>
      <c r="AC509" s="66"/>
    </row>
    <row r="510">
      <c r="A510" s="327"/>
      <c r="B510" s="66"/>
      <c r="C510" s="66"/>
      <c r="D510" s="327"/>
      <c r="E510" s="66"/>
      <c r="F510" s="66"/>
      <c r="G510" s="327"/>
      <c r="H510" s="66"/>
      <c r="I510" s="66"/>
      <c r="J510" s="327"/>
      <c r="K510" s="66"/>
      <c r="L510" s="66"/>
      <c r="M510" s="66"/>
      <c r="N510" s="66"/>
      <c r="O510" s="66"/>
      <c r="P510" s="66"/>
      <c r="Q510" s="66"/>
      <c r="R510" s="66"/>
      <c r="S510" s="66"/>
      <c r="T510" s="66"/>
      <c r="U510" s="66"/>
      <c r="V510" s="66"/>
      <c r="W510" s="66"/>
      <c r="X510" s="66"/>
      <c r="Y510" s="66"/>
      <c r="Z510" s="66"/>
      <c r="AA510" s="66"/>
      <c r="AB510" s="66"/>
      <c r="AC510" s="66"/>
    </row>
    <row r="511">
      <c r="A511" s="327"/>
      <c r="B511" s="66"/>
      <c r="C511" s="66"/>
      <c r="D511" s="327"/>
      <c r="E511" s="66"/>
      <c r="F511" s="66"/>
      <c r="G511" s="327"/>
      <c r="H511" s="66"/>
      <c r="I511" s="66"/>
      <c r="J511" s="327"/>
      <c r="K511" s="66"/>
      <c r="L511" s="66"/>
      <c r="M511" s="66"/>
      <c r="N511" s="66"/>
      <c r="O511" s="66"/>
      <c r="P511" s="66"/>
      <c r="Q511" s="66"/>
      <c r="R511" s="66"/>
      <c r="S511" s="66"/>
      <c r="T511" s="66"/>
      <c r="U511" s="66"/>
      <c r="V511" s="66"/>
      <c r="W511" s="66"/>
      <c r="X511" s="66"/>
      <c r="Y511" s="66"/>
      <c r="Z511" s="66"/>
      <c r="AA511" s="66"/>
      <c r="AB511" s="66"/>
      <c r="AC511" s="66"/>
    </row>
    <row r="512">
      <c r="A512" s="327"/>
      <c r="B512" s="66"/>
      <c r="C512" s="66"/>
      <c r="D512" s="327"/>
      <c r="E512" s="66"/>
      <c r="F512" s="66"/>
      <c r="G512" s="327"/>
      <c r="H512" s="66"/>
      <c r="I512" s="66"/>
      <c r="J512" s="327"/>
      <c r="K512" s="66"/>
      <c r="L512" s="66"/>
      <c r="M512" s="66"/>
      <c r="N512" s="66"/>
      <c r="O512" s="66"/>
      <c r="P512" s="66"/>
      <c r="Q512" s="66"/>
      <c r="R512" s="66"/>
      <c r="S512" s="66"/>
      <c r="T512" s="66"/>
      <c r="U512" s="66"/>
      <c r="V512" s="66"/>
      <c r="W512" s="66"/>
      <c r="X512" s="66"/>
      <c r="Y512" s="66"/>
      <c r="Z512" s="66"/>
      <c r="AA512" s="66"/>
      <c r="AB512" s="66"/>
      <c r="AC512" s="66"/>
    </row>
    <row r="513">
      <c r="A513" s="327"/>
      <c r="B513" s="66"/>
      <c r="C513" s="66"/>
      <c r="D513" s="327"/>
      <c r="E513" s="66"/>
      <c r="F513" s="66"/>
      <c r="G513" s="327"/>
      <c r="H513" s="66"/>
      <c r="I513" s="66"/>
      <c r="J513" s="327"/>
      <c r="K513" s="66"/>
      <c r="L513" s="66"/>
      <c r="M513" s="66"/>
      <c r="N513" s="66"/>
      <c r="O513" s="66"/>
      <c r="P513" s="66"/>
      <c r="Q513" s="66"/>
      <c r="R513" s="66"/>
      <c r="S513" s="66"/>
      <c r="T513" s="66"/>
      <c r="U513" s="66"/>
      <c r="V513" s="66"/>
      <c r="W513" s="66"/>
      <c r="X513" s="66"/>
      <c r="Y513" s="66"/>
      <c r="Z513" s="66"/>
      <c r="AA513" s="66"/>
      <c r="AB513" s="66"/>
      <c r="AC513" s="66"/>
    </row>
    <row r="514">
      <c r="A514" s="327"/>
      <c r="B514" s="66"/>
      <c r="C514" s="66"/>
      <c r="D514" s="327"/>
      <c r="E514" s="66"/>
      <c r="F514" s="66"/>
      <c r="G514" s="327"/>
      <c r="H514" s="66"/>
      <c r="I514" s="66"/>
      <c r="J514" s="327"/>
      <c r="K514" s="66"/>
      <c r="L514" s="66"/>
      <c r="M514" s="66"/>
      <c r="N514" s="66"/>
      <c r="O514" s="66"/>
      <c r="P514" s="66"/>
      <c r="Q514" s="66"/>
      <c r="R514" s="66"/>
      <c r="S514" s="66"/>
      <c r="T514" s="66"/>
      <c r="U514" s="66"/>
      <c r="V514" s="66"/>
      <c r="W514" s="66"/>
      <c r="X514" s="66"/>
      <c r="Y514" s="66"/>
      <c r="Z514" s="66"/>
      <c r="AA514" s="66"/>
      <c r="AB514" s="66"/>
      <c r="AC514" s="66"/>
    </row>
    <row r="515">
      <c r="A515" s="327"/>
      <c r="B515" s="66"/>
      <c r="C515" s="66"/>
      <c r="D515" s="327"/>
      <c r="E515" s="66"/>
      <c r="F515" s="66"/>
      <c r="G515" s="327"/>
      <c r="H515" s="66"/>
      <c r="I515" s="66"/>
      <c r="J515" s="327"/>
      <c r="K515" s="66"/>
      <c r="L515" s="66"/>
      <c r="M515" s="66"/>
      <c r="N515" s="66"/>
      <c r="O515" s="66"/>
      <c r="P515" s="66"/>
      <c r="Q515" s="66"/>
      <c r="R515" s="66"/>
      <c r="S515" s="66"/>
      <c r="T515" s="66"/>
      <c r="U515" s="66"/>
      <c r="V515" s="66"/>
      <c r="W515" s="66"/>
      <c r="X515" s="66"/>
      <c r="Y515" s="66"/>
      <c r="Z515" s="66"/>
      <c r="AA515" s="66"/>
      <c r="AB515" s="66"/>
      <c r="AC515" s="66"/>
    </row>
    <row r="516">
      <c r="A516" s="327"/>
      <c r="B516" s="66"/>
      <c r="C516" s="66"/>
      <c r="D516" s="327"/>
      <c r="E516" s="66"/>
      <c r="F516" s="66"/>
      <c r="G516" s="327"/>
      <c r="H516" s="66"/>
      <c r="I516" s="66"/>
      <c r="J516" s="327"/>
      <c r="K516" s="66"/>
      <c r="L516" s="66"/>
      <c r="M516" s="66"/>
      <c r="N516" s="66"/>
      <c r="O516" s="66"/>
      <c r="P516" s="66"/>
      <c r="Q516" s="66"/>
      <c r="R516" s="66"/>
      <c r="S516" s="66"/>
      <c r="T516" s="66"/>
      <c r="U516" s="66"/>
      <c r="V516" s="66"/>
      <c r="W516" s="66"/>
      <c r="X516" s="66"/>
      <c r="Y516" s="66"/>
      <c r="Z516" s="66"/>
      <c r="AA516" s="66"/>
      <c r="AB516" s="66"/>
      <c r="AC516" s="66"/>
    </row>
    <row r="517">
      <c r="A517" s="327"/>
      <c r="B517" s="66"/>
      <c r="C517" s="66"/>
      <c r="D517" s="327"/>
      <c r="E517" s="66"/>
      <c r="F517" s="66"/>
      <c r="G517" s="327"/>
      <c r="H517" s="66"/>
      <c r="I517" s="66"/>
      <c r="J517" s="327"/>
      <c r="K517" s="66"/>
      <c r="L517" s="66"/>
      <c r="M517" s="66"/>
      <c r="N517" s="66"/>
      <c r="O517" s="66"/>
      <c r="P517" s="66"/>
      <c r="Q517" s="66"/>
      <c r="R517" s="66"/>
      <c r="S517" s="66"/>
      <c r="T517" s="66"/>
      <c r="U517" s="66"/>
      <c r="V517" s="66"/>
      <c r="W517" s="66"/>
      <c r="X517" s="66"/>
      <c r="Y517" s="66"/>
      <c r="Z517" s="66"/>
      <c r="AA517" s="66"/>
      <c r="AB517" s="66"/>
      <c r="AC517" s="66"/>
    </row>
    <row r="518">
      <c r="A518" s="327"/>
      <c r="B518" s="66"/>
      <c r="C518" s="66"/>
      <c r="D518" s="327"/>
      <c r="E518" s="66"/>
      <c r="F518" s="66"/>
      <c r="G518" s="327"/>
      <c r="H518" s="66"/>
      <c r="I518" s="66"/>
      <c r="J518" s="327"/>
      <c r="K518" s="66"/>
      <c r="L518" s="66"/>
      <c r="M518" s="66"/>
      <c r="N518" s="66"/>
      <c r="O518" s="66"/>
      <c r="P518" s="66"/>
      <c r="Q518" s="66"/>
      <c r="R518" s="66"/>
      <c r="S518" s="66"/>
      <c r="T518" s="66"/>
      <c r="U518" s="66"/>
      <c r="V518" s="66"/>
      <c r="W518" s="66"/>
      <c r="X518" s="66"/>
      <c r="Y518" s="66"/>
      <c r="Z518" s="66"/>
      <c r="AA518" s="66"/>
      <c r="AB518" s="66"/>
      <c r="AC518" s="66"/>
    </row>
    <row r="519">
      <c r="A519" s="327"/>
      <c r="B519" s="66"/>
      <c r="C519" s="66"/>
      <c r="D519" s="327"/>
      <c r="E519" s="66"/>
      <c r="F519" s="66"/>
      <c r="G519" s="327"/>
      <c r="H519" s="66"/>
      <c r="I519" s="66"/>
      <c r="J519" s="327"/>
      <c r="K519" s="66"/>
      <c r="L519" s="66"/>
      <c r="M519" s="66"/>
      <c r="N519" s="66"/>
      <c r="O519" s="66"/>
      <c r="P519" s="66"/>
      <c r="Q519" s="66"/>
      <c r="R519" s="66"/>
      <c r="S519" s="66"/>
      <c r="T519" s="66"/>
      <c r="U519" s="66"/>
      <c r="V519" s="66"/>
      <c r="W519" s="66"/>
      <c r="X519" s="66"/>
      <c r="Y519" s="66"/>
      <c r="Z519" s="66"/>
      <c r="AA519" s="66"/>
      <c r="AB519" s="66"/>
      <c r="AC519" s="66"/>
    </row>
    <row r="520">
      <c r="A520" s="327"/>
      <c r="B520" s="66"/>
      <c r="C520" s="66"/>
      <c r="D520" s="327"/>
      <c r="E520" s="66"/>
      <c r="F520" s="66"/>
      <c r="G520" s="327"/>
      <c r="H520" s="66"/>
      <c r="I520" s="66"/>
      <c r="J520" s="327"/>
      <c r="K520" s="66"/>
      <c r="L520" s="66"/>
      <c r="M520" s="66"/>
      <c r="N520" s="66"/>
      <c r="O520" s="66"/>
      <c r="P520" s="66"/>
      <c r="Q520" s="66"/>
      <c r="R520" s="66"/>
      <c r="S520" s="66"/>
      <c r="T520" s="66"/>
      <c r="U520" s="66"/>
      <c r="V520" s="66"/>
      <c r="W520" s="66"/>
      <c r="X520" s="66"/>
      <c r="Y520" s="66"/>
      <c r="Z520" s="66"/>
      <c r="AA520" s="66"/>
      <c r="AB520" s="66"/>
      <c r="AC520" s="66"/>
    </row>
    <row r="521">
      <c r="A521" s="327"/>
      <c r="B521" s="66"/>
      <c r="C521" s="66"/>
      <c r="D521" s="327"/>
      <c r="E521" s="66"/>
      <c r="F521" s="66"/>
      <c r="G521" s="327"/>
      <c r="H521" s="66"/>
      <c r="I521" s="66"/>
      <c r="J521" s="327"/>
      <c r="K521" s="66"/>
      <c r="L521" s="66"/>
      <c r="M521" s="66"/>
      <c r="N521" s="66"/>
      <c r="O521" s="66"/>
      <c r="P521" s="66"/>
      <c r="Q521" s="66"/>
      <c r="R521" s="66"/>
      <c r="S521" s="66"/>
      <c r="T521" s="66"/>
      <c r="U521" s="66"/>
      <c r="V521" s="66"/>
      <c r="W521" s="66"/>
      <c r="X521" s="66"/>
      <c r="Y521" s="66"/>
      <c r="Z521" s="66"/>
      <c r="AA521" s="66"/>
      <c r="AB521" s="66"/>
      <c r="AC521" s="66"/>
    </row>
    <row r="522">
      <c r="A522" s="327"/>
      <c r="B522" s="66"/>
      <c r="C522" s="66"/>
      <c r="D522" s="327"/>
      <c r="E522" s="66"/>
      <c r="F522" s="66"/>
      <c r="G522" s="327"/>
      <c r="H522" s="66"/>
      <c r="I522" s="66"/>
      <c r="J522" s="327"/>
      <c r="K522" s="66"/>
      <c r="L522" s="66"/>
      <c r="M522" s="66"/>
      <c r="N522" s="66"/>
      <c r="O522" s="66"/>
      <c r="P522" s="66"/>
      <c r="Q522" s="66"/>
      <c r="R522" s="66"/>
      <c r="S522" s="66"/>
      <c r="T522" s="66"/>
      <c r="U522" s="66"/>
      <c r="V522" s="66"/>
      <c r="W522" s="66"/>
      <c r="X522" s="66"/>
      <c r="Y522" s="66"/>
      <c r="Z522" s="66"/>
      <c r="AA522" s="66"/>
      <c r="AB522" s="66"/>
      <c r="AC522" s="66"/>
    </row>
    <row r="523">
      <c r="A523" s="327"/>
      <c r="B523" s="66"/>
      <c r="C523" s="66"/>
      <c r="D523" s="327"/>
      <c r="E523" s="66"/>
      <c r="F523" s="66"/>
      <c r="G523" s="327"/>
      <c r="H523" s="66"/>
      <c r="I523" s="66"/>
      <c r="J523" s="327"/>
      <c r="K523" s="66"/>
      <c r="L523" s="66"/>
      <c r="M523" s="66"/>
      <c r="N523" s="66"/>
      <c r="O523" s="66"/>
      <c r="P523" s="66"/>
      <c r="Q523" s="66"/>
      <c r="R523" s="66"/>
      <c r="S523" s="66"/>
      <c r="T523" s="66"/>
      <c r="U523" s="66"/>
      <c r="V523" s="66"/>
      <c r="W523" s="66"/>
      <c r="X523" s="66"/>
      <c r="Y523" s="66"/>
      <c r="Z523" s="66"/>
      <c r="AA523" s="66"/>
      <c r="AB523" s="66"/>
      <c r="AC523" s="66"/>
    </row>
    <row r="524">
      <c r="A524" s="327"/>
      <c r="B524" s="66"/>
      <c r="C524" s="66"/>
      <c r="D524" s="327"/>
      <c r="E524" s="66"/>
      <c r="F524" s="66"/>
      <c r="G524" s="327"/>
      <c r="H524" s="66"/>
      <c r="I524" s="66"/>
      <c r="J524" s="327"/>
      <c r="K524" s="66"/>
      <c r="L524" s="66"/>
      <c r="M524" s="66"/>
      <c r="N524" s="66"/>
      <c r="O524" s="66"/>
      <c r="P524" s="66"/>
      <c r="Q524" s="66"/>
      <c r="R524" s="66"/>
      <c r="S524" s="66"/>
      <c r="T524" s="66"/>
      <c r="U524" s="66"/>
      <c r="V524" s="66"/>
      <c r="W524" s="66"/>
      <c r="X524" s="66"/>
      <c r="Y524" s="66"/>
      <c r="Z524" s="66"/>
      <c r="AA524" s="66"/>
      <c r="AB524" s="66"/>
      <c r="AC524" s="66"/>
    </row>
    <row r="525">
      <c r="A525" s="327"/>
      <c r="B525" s="66"/>
      <c r="C525" s="66"/>
      <c r="D525" s="327"/>
      <c r="E525" s="66"/>
      <c r="F525" s="66"/>
      <c r="G525" s="327"/>
      <c r="H525" s="66"/>
      <c r="I525" s="66"/>
      <c r="J525" s="327"/>
      <c r="K525" s="66"/>
      <c r="L525" s="66"/>
      <c r="M525" s="66"/>
      <c r="N525" s="66"/>
      <c r="O525" s="66"/>
      <c r="P525" s="66"/>
      <c r="Q525" s="66"/>
      <c r="R525" s="66"/>
      <c r="S525" s="66"/>
      <c r="T525" s="66"/>
      <c r="U525" s="66"/>
      <c r="V525" s="66"/>
      <c r="W525" s="66"/>
      <c r="X525" s="66"/>
      <c r="Y525" s="66"/>
      <c r="Z525" s="66"/>
      <c r="AA525" s="66"/>
      <c r="AB525" s="66"/>
      <c r="AC525" s="66"/>
    </row>
    <row r="526">
      <c r="A526" s="327"/>
      <c r="B526" s="66"/>
      <c r="C526" s="66"/>
      <c r="D526" s="327"/>
      <c r="E526" s="66"/>
      <c r="F526" s="66"/>
      <c r="G526" s="327"/>
      <c r="H526" s="66"/>
      <c r="I526" s="66"/>
      <c r="J526" s="327"/>
      <c r="K526" s="66"/>
      <c r="L526" s="66"/>
      <c r="M526" s="66"/>
      <c r="N526" s="66"/>
      <c r="O526" s="66"/>
      <c r="P526" s="66"/>
      <c r="Q526" s="66"/>
      <c r="R526" s="66"/>
      <c r="S526" s="66"/>
      <c r="T526" s="66"/>
      <c r="U526" s="66"/>
      <c r="V526" s="66"/>
      <c r="W526" s="66"/>
      <c r="X526" s="66"/>
      <c r="Y526" s="66"/>
      <c r="Z526" s="66"/>
      <c r="AA526" s="66"/>
      <c r="AB526" s="66"/>
      <c r="AC526" s="66"/>
    </row>
    <row r="527">
      <c r="A527" s="327"/>
      <c r="B527" s="66"/>
      <c r="C527" s="66"/>
      <c r="D527" s="327"/>
      <c r="E527" s="66"/>
      <c r="F527" s="66"/>
      <c r="G527" s="327"/>
      <c r="H527" s="66"/>
      <c r="I527" s="66"/>
      <c r="J527" s="327"/>
      <c r="K527" s="66"/>
      <c r="L527" s="66"/>
      <c r="M527" s="66"/>
      <c r="N527" s="66"/>
      <c r="O527" s="66"/>
      <c r="P527" s="66"/>
      <c r="Q527" s="66"/>
      <c r="R527" s="66"/>
      <c r="S527" s="66"/>
      <c r="T527" s="66"/>
      <c r="U527" s="66"/>
      <c r="V527" s="66"/>
      <c r="W527" s="66"/>
      <c r="X527" s="66"/>
      <c r="Y527" s="66"/>
      <c r="Z527" s="66"/>
      <c r="AA527" s="66"/>
      <c r="AB527" s="66"/>
      <c r="AC527" s="66"/>
    </row>
    <row r="528">
      <c r="A528" s="327"/>
      <c r="B528" s="66"/>
      <c r="C528" s="66"/>
      <c r="D528" s="327"/>
      <c r="E528" s="66"/>
      <c r="F528" s="66"/>
      <c r="G528" s="327"/>
      <c r="H528" s="66"/>
      <c r="I528" s="66"/>
      <c r="J528" s="327"/>
      <c r="K528" s="66"/>
      <c r="L528" s="66"/>
      <c r="M528" s="66"/>
      <c r="N528" s="66"/>
      <c r="O528" s="66"/>
      <c r="P528" s="66"/>
      <c r="Q528" s="66"/>
      <c r="R528" s="66"/>
      <c r="S528" s="66"/>
      <c r="T528" s="66"/>
      <c r="U528" s="66"/>
      <c r="V528" s="66"/>
      <c r="W528" s="66"/>
      <c r="X528" s="66"/>
      <c r="Y528" s="66"/>
      <c r="Z528" s="66"/>
      <c r="AA528" s="66"/>
      <c r="AB528" s="66"/>
      <c r="AC528" s="66"/>
    </row>
    <row r="529">
      <c r="A529" s="327"/>
      <c r="B529" s="66"/>
      <c r="C529" s="66"/>
      <c r="D529" s="327"/>
      <c r="E529" s="66"/>
      <c r="F529" s="66"/>
      <c r="G529" s="327"/>
      <c r="H529" s="66"/>
      <c r="I529" s="66"/>
      <c r="J529" s="327"/>
      <c r="K529" s="66"/>
      <c r="L529" s="66"/>
      <c r="M529" s="66"/>
      <c r="N529" s="66"/>
      <c r="O529" s="66"/>
      <c r="P529" s="66"/>
      <c r="Q529" s="66"/>
      <c r="R529" s="66"/>
      <c r="S529" s="66"/>
      <c r="T529" s="66"/>
      <c r="U529" s="66"/>
      <c r="V529" s="66"/>
      <c r="W529" s="66"/>
      <c r="X529" s="66"/>
      <c r="Y529" s="66"/>
      <c r="Z529" s="66"/>
      <c r="AA529" s="66"/>
      <c r="AB529" s="66"/>
      <c r="AC529" s="66"/>
    </row>
    <row r="530">
      <c r="A530" s="327"/>
      <c r="B530" s="66"/>
      <c r="C530" s="66"/>
      <c r="D530" s="327"/>
      <c r="E530" s="66"/>
      <c r="F530" s="66"/>
      <c r="G530" s="327"/>
      <c r="H530" s="66"/>
      <c r="I530" s="66"/>
      <c r="J530" s="327"/>
      <c r="K530" s="66"/>
      <c r="L530" s="66"/>
      <c r="M530" s="66"/>
      <c r="N530" s="66"/>
      <c r="O530" s="66"/>
      <c r="P530" s="66"/>
      <c r="Q530" s="66"/>
      <c r="R530" s="66"/>
      <c r="S530" s="66"/>
      <c r="T530" s="66"/>
      <c r="U530" s="66"/>
      <c r="V530" s="66"/>
      <c r="W530" s="66"/>
      <c r="X530" s="66"/>
      <c r="Y530" s="66"/>
      <c r="Z530" s="66"/>
      <c r="AA530" s="66"/>
      <c r="AB530" s="66"/>
      <c r="AC530" s="66"/>
    </row>
    <row r="531">
      <c r="A531" s="327"/>
      <c r="B531" s="66"/>
      <c r="C531" s="66"/>
      <c r="D531" s="327"/>
      <c r="E531" s="66"/>
      <c r="F531" s="66"/>
      <c r="G531" s="327"/>
      <c r="H531" s="66"/>
      <c r="I531" s="66"/>
      <c r="J531" s="327"/>
      <c r="K531" s="66"/>
      <c r="L531" s="66"/>
      <c r="M531" s="66"/>
      <c r="N531" s="66"/>
      <c r="O531" s="66"/>
      <c r="P531" s="66"/>
      <c r="Q531" s="66"/>
      <c r="R531" s="66"/>
      <c r="S531" s="66"/>
      <c r="T531" s="66"/>
      <c r="U531" s="66"/>
      <c r="V531" s="66"/>
      <c r="W531" s="66"/>
      <c r="X531" s="66"/>
      <c r="Y531" s="66"/>
      <c r="Z531" s="66"/>
      <c r="AA531" s="66"/>
      <c r="AB531" s="66"/>
      <c r="AC531" s="66"/>
    </row>
    <row r="532">
      <c r="A532" s="327"/>
      <c r="B532" s="66"/>
      <c r="C532" s="66"/>
      <c r="D532" s="327"/>
      <c r="E532" s="66"/>
      <c r="F532" s="66"/>
      <c r="G532" s="327"/>
      <c r="H532" s="66"/>
      <c r="I532" s="66"/>
      <c r="J532" s="327"/>
      <c r="K532" s="66"/>
      <c r="L532" s="66"/>
      <c r="M532" s="66"/>
      <c r="N532" s="66"/>
      <c r="O532" s="66"/>
      <c r="P532" s="66"/>
      <c r="Q532" s="66"/>
      <c r="R532" s="66"/>
      <c r="S532" s="66"/>
      <c r="T532" s="66"/>
      <c r="U532" s="66"/>
      <c r="V532" s="66"/>
      <c r="W532" s="66"/>
      <c r="X532" s="66"/>
      <c r="Y532" s="66"/>
      <c r="Z532" s="66"/>
      <c r="AA532" s="66"/>
      <c r="AB532" s="66"/>
      <c r="AC532" s="66"/>
    </row>
    <row r="533">
      <c r="A533" s="327"/>
      <c r="B533" s="66"/>
      <c r="C533" s="66"/>
      <c r="D533" s="327"/>
      <c r="E533" s="66"/>
      <c r="F533" s="66"/>
      <c r="G533" s="327"/>
      <c r="H533" s="66"/>
      <c r="I533" s="66"/>
      <c r="J533" s="327"/>
      <c r="K533" s="66"/>
      <c r="L533" s="66"/>
      <c r="M533" s="66"/>
      <c r="N533" s="66"/>
      <c r="O533" s="66"/>
      <c r="P533" s="66"/>
      <c r="Q533" s="66"/>
      <c r="R533" s="66"/>
      <c r="S533" s="66"/>
      <c r="T533" s="66"/>
      <c r="U533" s="66"/>
      <c r="V533" s="66"/>
      <c r="W533" s="66"/>
      <c r="X533" s="66"/>
      <c r="Y533" s="66"/>
      <c r="Z533" s="66"/>
      <c r="AA533" s="66"/>
      <c r="AB533" s="66"/>
      <c r="AC533" s="66"/>
    </row>
    <row r="534">
      <c r="A534" s="327"/>
      <c r="B534" s="66"/>
      <c r="C534" s="66"/>
      <c r="D534" s="327"/>
      <c r="E534" s="66"/>
      <c r="F534" s="66"/>
      <c r="G534" s="327"/>
      <c r="H534" s="66"/>
      <c r="I534" s="66"/>
      <c r="J534" s="327"/>
      <c r="K534" s="66"/>
      <c r="L534" s="66"/>
      <c r="M534" s="66"/>
      <c r="N534" s="66"/>
      <c r="O534" s="66"/>
      <c r="P534" s="66"/>
      <c r="Q534" s="66"/>
      <c r="R534" s="66"/>
      <c r="S534" s="66"/>
      <c r="T534" s="66"/>
      <c r="U534" s="66"/>
      <c r="V534" s="66"/>
      <c r="W534" s="66"/>
      <c r="X534" s="66"/>
      <c r="Y534" s="66"/>
      <c r="Z534" s="66"/>
      <c r="AA534" s="66"/>
      <c r="AB534" s="66"/>
      <c r="AC534" s="66"/>
    </row>
    <row r="535">
      <c r="A535" s="327"/>
      <c r="B535" s="66"/>
      <c r="C535" s="66"/>
      <c r="D535" s="327"/>
      <c r="E535" s="66"/>
      <c r="F535" s="66"/>
      <c r="G535" s="327"/>
      <c r="H535" s="66"/>
      <c r="I535" s="66"/>
      <c r="J535" s="327"/>
      <c r="K535" s="66"/>
      <c r="L535" s="66"/>
      <c r="M535" s="66"/>
      <c r="N535" s="66"/>
      <c r="O535" s="66"/>
      <c r="P535" s="66"/>
      <c r="Q535" s="66"/>
      <c r="R535" s="66"/>
      <c r="S535" s="66"/>
      <c r="T535" s="66"/>
      <c r="U535" s="66"/>
      <c r="V535" s="66"/>
      <c r="W535" s="66"/>
      <c r="X535" s="66"/>
      <c r="Y535" s="66"/>
      <c r="Z535" s="66"/>
      <c r="AA535" s="66"/>
      <c r="AB535" s="66"/>
      <c r="AC535" s="66"/>
    </row>
    <row r="536">
      <c r="A536" s="327"/>
      <c r="B536" s="66"/>
      <c r="C536" s="66"/>
      <c r="D536" s="327"/>
      <c r="E536" s="66"/>
      <c r="F536" s="66"/>
      <c r="G536" s="327"/>
      <c r="H536" s="66"/>
      <c r="I536" s="66"/>
      <c r="J536" s="327"/>
      <c r="K536" s="66"/>
      <c r="L536" s="66"/>
      <c r="M536" s="66"/>
      <c r="N536" s="66"/>
      <c r="O536" s="66"/>
      <c r="P536" s="66"/>
      <c r="Q536" s="66"/>
      <c r="R536" s="66"/>
      <c r="S536" s="66"/>
      <c r="T536" s="66"/>
      <c r="U536" s="66"/>
      <c r="V536" s="66"/>
      <c r="W536" s="66"/>
      <c r="X536" s="66"/>
      <c r="Y536" s="66"/>
      <c r="Z536" s="66"/>
      <c r="AA536" s="66"/>
      <c r="AB536" s="66"/>
      <c r="AC536" s="66"/>
    </row>
    <row r="537">
      <c r="A537" s="327"/>
      <c r="B537" s="66"/>
      <c r="C537" s="66"/>
      <c r="D537" s="327"/>
      <c r="E537" s="66"/>
      <c r="F537" s="66"/>
      <c r="G537" s="327"/>
      <c r="H537" s="66"/>
      <c r="I537" s="66"/>
      <c r="J537" s="327"/>
      <c r="K537" s="66"/>
      <c r="L537" s="66"/>
      <c r="M537" s="66"/>
      <c r="N537" s="66"/>
      <c r="O537" s="66"/>
      <c r="P537" s="66"/>
      <c r="Q537" s="66"/>
      <c r="R537" s="66"/>
      <c r="S537" s="66"/>
      <c r="T537" s="66"/>
      <c r="U537" s="66"/>
      <c r="V537" s="66"/>
      <c r="W537" s="66"/>
      <c r="X537" s="66"/>
      <c r="Y537" s="66"/>
      <c r="Z537" s="66"/>
      <c r="AA537" s="66"/>
      <c r="AB537" s="66"/>
      <c r="AC537" s="66"/>
    </row>
    <row r="538">
      <c r="A538" s="327"/>
      <c r="B538" s="66"/>
      <c r="C538" s="66"/>
      <c r="D538" s="327"/>
      <c r="E538" s="66"/>
      <c r="F538" s="66"/>
      <c r="G538" s="327"/>
      <c r="H538" s="66"/>
      <c r="I538" s="66"/>
      <c r="J538" s="327"/>
      <c r="K538" s="66"/>
      <c r="L538" s="66"/>
      <c r="M538" s="66"/>
      <c r="N538" s="66"/>
      <c r="O538" s="66"/>
      <c r="P538" s="66"/>
      <c r="Q538" s="66"/>
      <c r="R538" s="66"/>
      <c r="S538" s="66"/>
      <c r="T538" s="66"/>
      <c r="U538" s="66"/>
      <c r="V538" s="66"/>
      <c r="W538" s="66"/>
      <c r="X538" s="66"/>
      <c r="Y538" s="66"/>
      <c r="Z538" s="66"/>
      <c r="AA538" s="66"/>
      <c r="AB538" s="66"/>
      <c r="AC538" s="66"/>
    </row>
    <row r="539">
      <c r="A539" s="327"/>
      <c r="B539" s="66"/>
      <c r="C539" s="66"/>
      <c r="D539" s="327"/>
      <c r="E539" s="66"/>
      <c r="F539" s="66"/>
      <c r="G539" s="327"/>
      <c r="H539" s="66"/>
      <c r="I539" s="66"/>
      <c r="J539" s="327"/>
      <c r="K539" s="66"/>
      <c r="L539" s="66"/>
      <c r="M539" s="66"/>
      <c r="N539" s="66"/>
      <c r="O539" s="66"/>
      <c r="P539" s="66"/>
      <c r="Q539" s="66"/>
      <c r="R539" s="66"/>
      <c r="S539" s="66"/>
      <c r="T539" s="66"/>
      <c r="U539" s="66"/>
      <c r="V539" s="66"/>
      <c r="W539" s="66"/>
      <c r="X539" s="66"/>
      <c r="Y539" s="66"/>
      <c r="Z539" s="66"/>
      <c r="AA539" s="66"/>
      <c r="AB539" s="66"/>
      <c r="AC539" s="66"/>
    </row>
    <row r="540">
      <c r="A540" s="327"/>
      <c r="B540" s="66"/>
      <c r="C540" s="66"/>
      <c r="D540" s="327"/>
      <c r="E540" s="66"/>
      <c r="F540" s="66"/>
      <c r="G540" s="327"/>
      <c r="H540" s="66"/>
      <c r="I540" s="66"/>
      <c r="J540" s="327"/>
      <c r="K540" s="66"/>
      <c r="L540" s="66"/>
      <c r="M540" s="66"/>
      <c r="N540" s="66"/>
      <c r="O540" s="66"/>
      <c r="P540" s="66"/>
      <c r="Q540" s="66"/>
      <c r="R540" s="66"/>
      <c r="S540" s="66"/>
      <c r="T540" s="66"/>
      <c r="U540" s="66"/>
      <c r="V540" s="66"/>
      <c r="W540" s="66"/>
      <c r="X540" s="66"/>
      <c r="Y540" s="66"/>
      <c r="Z540" s="66"/>
      <c r="AA540" s="66"/>
      <c r="AB540" s="66"/>
      <c r="AC540" s="66"/>
    </row>
    <row r="541">
      <c r="A541" s="327"/>
      <c r="B541" s="66"/>
      <c r="C541" s="66"/>
      <c r="D541" s="327"/>
      <c r="E541" s="66"/>
      <c r="F541" s="66"/>
      <c r="G541" s="327"/>
      <c r="H541" s="66"/>
      <c r="I541" s="66"/>
      <c r="J541" s="327"/>
      <c r="K541" s="66"/>
      <c r="L541" s="66"/>
      <c r="M541" s="66"/>
      <c r="N541" s="66"/>
      <c r="O541" s="66"/>
      <c r="P541" s="66"/>
      <c r="Q541" s="66"/>
      <c r="R541" s="66"/>
      <c r="S541" s="66"/>
      <c r="T541" s="66"/>
      <c r="U541" s="66"/>
      <c r="V541" s="66"/>
      <c r="W541" s="66"/>
      <c r="X541" s="66"/>
      <c r="Y541" s="66"/>
      <c r="Z541" s="66"/>
      <c r="AA541" s="66"/>
      <c r="AB541" s="66"/>
      <c r="AC541" s="66"/>
    </row>
    <row r="542">
      <c r="A542" s="327"/>
      <c r="B542" s="66"/>
      <c r="C542" s="66"/>
      <c r="D542" s="327"/>
      <c r="E542" s="66"/>
      <c r="F542" s="66"/>
      <c r="G542" s="327"/>
      <c r="H542" s="66"/>
      <c r="I542" s="66"/>
      <c r="J542" s="327"/>
      <c r="K542" s="66"/>
      <c r="L542" s="66"/>
      <c r="M542" s="66"/>
      <c r="N542" s="66"/>
      <c r="O542" s="66"/>
      <c r="P542" s="66"/>
      <c r="Q542" s="66"/>
      <c r="R542" s="66"/>
      <c r="S542" s="66"/>
      <c r="T542" s="66"/>
      <c r="U542" s="66"/>
      <c r="V542" s="66"/>
      <c r="W542" s="66"/>
      <c r="X542" s="66"/>
      <c r="Y542" s="66"/>
      <c r="Z542" s="66"/>
      <c r="AA542" s="66"/>
      <c r="AB542" s="66"/>
      <c r="AC542" s="66"/>
    </row>
    <row r="543">
      <c r="A543" s="327"/>
      <c r="B543" s="66"/>
      <c r="C543" s="66"/>
      <c r="D543" s="327"/>
      <c r="E543" s="66"/>
      <c r="F543" s="66"/>
      <c r="G543" s="327"/>
      <c r="H543" s="66"/>
      <c r="I543" s="66"/>
      <c r="J543" s="327"/>
      <c r="K543" s="66"/>
      <c r="L543" s="66"/>
      <c r="M543" s="66"/>
      <c r="N543" s="66"/>
      <c r="O543" s="66"/>
      <c r="P543" s="66"/>
      <c r="Q543" s="66"/>
      <c r="R543" s="66"/>
      <c r="S543" s="66"/>
      <c r="T543" s="66"/>
      <c r="U543" s="66"/>
      <c r="V543" s="66"/>
      <c r="W543" s="66"/>
      <c r="X543" s="66"/>
      <c r="Y543" s="66"/>
      <c r="Z543" s="66"/>
      <c r="AA543" s="66"/>
      <c r="AB543" s="66"/>
      <c r="AC543" s="66"/>
    </row>
    <row r="544">
      <c r="A544" s="327"/>
      <c r="B544" s="66"/>
      <c r="C544" s="66"/>
      <c r="D544" s="327"/>
      <c r="E544" s="66"/>
      <c r="F544" s="66"/>
      <c r="G544" s="327"/>
      <c r="H544" s="66"/>
      <c r="I544" s="66"/>
      <c r="J544" s="327"/>
      <c r="K544" s="66"/>
      <c r="L544" s="66"/>
      <c r="M544" s="66"/>
      <c r="N544" s="66"/>
      <c r="O544" s="66"/>
      <c r="P544" s="66"/>
      <c r="Q544" s="66"/>
      <c r="R544" s="66"/>
      <c r="S544" s="66"/>
      <c r="T544" s="66"/>
      <c r="U544" s="66"/>
      <c r="V544" s="66"/>
      <c r="W544" s="66"/>
      <c r="X544" s="66"/>
      <c r="Y544" s="66"/>
      <c r="Z544" s="66"/>
      <c r="AA544" s="66"/>
      <c r="AB544" s="66"/>
      <c r="AC544" s="66"/>
    </row>
    <row r="545">
      <c r="A545" s="327"/>
      <c r="B545" s="66"/>
      <c r="C545" s="66"/>
      <c r="D545" s="327"/>
      <c r="E545" s="66"/>
      <c r="F545" s="66"/>
      <c r="G545" s="327"/>
      <c r="H545" s="66"/>
      <c r="I545" s="66"/>
      <c r="J545" s="327"/>
      <c r="K545" s="66"/>
      <c r="L545" s="66"/>
      <c r="M545" s="66"/>
      <c r="N545" s="66"/>
      <c r="O545" s="66"/>
      <c r="P545" s="66"/>
      <c r="Q545" s="66"/>
      <c r="R545" s="66"/>
      <c r="S545" s="66"/>
      <c r="T545" s="66"/>
      <c r="U545" s="66"/>
      <c r="V545" s="66"/>
      <c r="W545" s="66"/>
      <c r="X545" s="66"/>
      <c r="Y545" s="66"/>
      <c r="Z545" s="66"/>
      <c r="AA545" s="66"/>
      <c r="AB545" s="66"/>
      <c r="AC545" s="66"/>
    </row>
    <row r="546">
      <c r="A546" s="327"/>
      <c r="B546" s="66"/>
      <c r="C546" s="66"/>
      <c r="D546" s="327"/>
      <c r="E546" s="66"/>
      <c r="F546" s="66"/>
      <c r="G546" s="327"/>
      <c r="H546" s="66"/>
      <c r="I546" s="66"/>
      <c r="J546" s="327"/>
      <c r="K546" s="66"/>
      <c r="L546" s="66"/>
      <c r="M546" s="66"/>
      <c r="N546" s="66"/>
      <c r="O546" s="66"/>
      <c r="P546" s="66"/>
      <c r="Q546" s="66"/>
      <c r="R546" s="66"/>
      <c r="S546" s="66"/>
      <c r="T546" s="66"/>
      <c r="U546" s="66"/>
      <c r="V546" s="66"/>
      <c r="W546" s="66"/>
      <c r="X546" s="66"/>
      <c r="Y546" s="66"/>
      <c r="Z546" s="66"/>
      <c r="AA546" s="66"/>
      <c r="AB546" s="66"/>
      <c r="AC546" s="66"/>
    </row>
    <row r="547">
      <c r="A547" s="327"/>
      <c r="B547" s="66"/>
      <c r="C547" s="66"/>
      <c r="D547" s="327"/>
      <c r="E547" s="66"/>
      <c r="F547" s="66"/>
      <c r="G547" s="327"/>
      <c r="H547" s="66"/>
      <c r="I547" s="66"/>
      <c r="J547" s="327"/>
      <c r="K547" s="66"/>
      <c r="L547" s="66"/>
      <c r="M547" s="66"/>
      <c r="N547" s="66"/>
      <c r="O547" s="66"/>
      <c r="P547" s="66"/>
      <c r="Q547" s="66"/>
      <c r="R547" s="66"/>
      <c r="S547" s="66"/>
      <c r="T547" s="66"/>
      <c r="U547" s="66"/>
      <c r="V547" s="66"/>
      <c r="W547" s="66"/>
      <c r="X547" s="66"/>
      <c r="Y547" s="66"/>
      <c r="Z547" s="66"/>
      <c r="AA547" s="66"/>
      <c r="AB547" s="66"/>
      <c r="AC547" s="66"/>
    </row>
    <row r="548">
      <c r="A548" s="327"/>
      <c r="B548" s="66"/>
      <c r="C548" s="66"/>
      <c r="D548" s="327"/>
      <c r="E548" s="66"/>
      <c r="F548" s="66"/>
      <c r="G548" s="327"/>
      <c r="H548" s="66"/>
      <c r="I548" s="66"/>
      <c r="J548" s="327"/>
      <c r="K548" s="66"/>
      <c r="L548" s="66"/>
      <c r="M548" s="66"/>
      <c r="N548" s="66"/>
      <c r="O548" s="66"/>
      <c r="P548" s="66"/>
      <c r="Q548" s="66"/>
      <c r="R548" s="66"/>
      <c r="S548" s="66"/>
      <c r="T548" s="66"/>
      <c r="U548" s="66"/>
      <c r="V548" s="66"/>
      <c r="W548" s="66"/>
      <c r="X548" s="66"/>
      <c r="Y548" s="66"/>
      <c r="Z548" s="66"/>
      <c r="AA548" s="66"/>
      <c r="AB548" s="66"/>
      <c r="AC548" s="66"/>
    </row>
    <row r="549">
      <c r="A549" s="327"/>
      <c r="B549" s="66"/>
      <c r="C549" s="66"/>
      <c r="D549" s="327"/>
      <c r="E549" s="66"/>
      <c r="F549" s="66"/>
      <c r="G549" s="327"/>
      <c r="H549" s="66"/>
      <c r="I549" s="66"/>
      <c r="J549" s="327"/>
      <c r="K549" s="66"/>
      <c r="L549" s="66"/>
      <c r="M549" s="66"/>
      <c r="N549" s="66"/>
      <c r="O549" s="66"/>
      <c r="P549" s="66"/>
      <c r="Q549" s="66"/>
      <c r="R549" s="66"/>
      <c r="S549" s="66"/>
      <c r="T549" s="66"/>
      <c r="U549" s="66"/>
      <c r="V549" s="66"/>
      <c r="W549" s="66"/>
      <c r="X549" s="66"/>
      <c r="Y549" s="66"/>
      <c r="Z549" s="66"/>
      <c r="AA549" s="66"/>
      <c r="AB549" s="66"/>
      <c r="AC549" s="66"/>
    </row>
    <row r="550">
      <c r="A550" s="327"/>
      <c r="B550" s="66"/>
      <c r="C550" s="66"/>
      <c r="D550" s="327"/>
      <c r="E550" s="66"/>
      <c r="F550" s="66"/>
      <c r="G550" s="327"/>
      <c r="H550" s="66"/>
      <c r="I550" s="66"/>
      <c r="J550" s="327"/>
      <c r="K550" s="66"/>
      <c r="L550" s="66"/>
      <c r="M550" s="66"/>
      <c r="N550" s="66"/>
      <c r="O550" s="66"/>
      <c r="P550" s="66"/>
      <c r="Q550" s="66"/>
      <c r="R550" s="66"/>
      <c r="S550" s="66"/>
      <c r="T550" s="66"/>
      <c r="U550" s="66"/>
      <c r="V550" s="66"/>
      <c r="W550" s="66"/>
      <c r="X550" s="66"/>
      <c r="Y550" s="66"/>
      <c r="Z550" s="66"/>
      <c r="AA550" s="66"/>
      <c r="AB550" s="66"/>
      <c r="AC550" s="66"/>
    </row>
    <row r="551">
      <c r="A551" s="327"/>
      <c r="B551" s="66"/>
      <c r="C551" s="66"/>
      <c r="D551" s="327"/>
      <c r="E551" s="66"/>
      <c r="F551" s="66"/>
      <c r="G551" s="327"/>
      <c r="H551" s="66"/>
      <c r="I551" s="66"/>
      <c r="J551" s="327"/>
      <c r="K551" s="66"/>
      <c r="L551" s="66"/>
      <c r="M551" s="66"/>
      <c r="N551" s="66"/>
      <c r="O551" s="66"/>
      <c r="P551" s="66"/>
      <c r="Q551" s="66"/>
      <c r="R551" s="66"/>
      <c r="S551" s="66"/>
      <c r="T551" s="66"/>
      <c r="U551" s="66"/>
      <c r="V551" s="66"/>
      <c r="W551" s="66"/>
      <c r="X551" s="66"/>
      <c r="Y551" s="66"/>
      <c r="Z551" s="66"/>
      <c r="AA551" s="66"/>
      <c r="AB551" s="66"/>
      <c r="AC551" s="66"/>
    </row>
    <row r="552">
      <c r="A552" s="327"/>
      <c r="B552" s="66"/>
      <c r="C552" s="66"/>
      <c r="D552" s="327"/>
      <c r="E552" s="66"/>
      <c r="F552" s="66"/>
      <c r="G552" s="327"/>
      <c r="H552" s="66"/>
      <c r="I552" s="66"/>
      <c r="J552" s="327"/>
      <c r="K552" s="66"/>
      <c r="L552" s="66"/>
      <c r="M552" s="66"/>
      <c r="N552" s="66"/>
      <c r="O552" s="66"/>
      <c r="P552" s="66"/>
      <c r="Q552" s="66"/>
      <c r="R552" s="66"/>
      <c r="S552" s="66"/>
      <c r="T552" s="66"/>
      <c r="U552" s="66"/>
      <c r="V552" s="66"/>
      <c r="W552" s="66"/>
      <c r="X552" s="66"/>
      <c r="Y552" s="66"/>
      <c r="Z552" s="66"/>
      <c r="AA552" s="66"/>
      <c r="AB552" s="66"/>
      <c r="AC552" s="66"/>
    </row>
    <row r="553">
      <c r="A553" s="327"/>
      <c r="B553" s="66"/>
      <c r="C553" s="66"/>
      <c r="D553" s="327"/>
      <c r="E553" s="66"/>
      <c r="F553" s="66"/>
      <c r="G553" s="327"/>
      <c r="H553" s="66"/>
      <c r="I553" s="66"/>
      <c r="J553" s="327"/>
      <c r="K553" s="66"/>
      <c r="L553" s="66"/>
      <c r="M553" s="66"/>
      <c r="N553" s="66"/>
      <c r="O553" s="66"/>
      <c r="P553" s="66"/>
      <c r="Q553" s="66"/>
      <c r="R553" s="66"/>
      <c r="S553" s="66"/>
      <c r="T553" s="66"/>
      <c r="U553" s="66"/>
      <c r="V553" s="66"/>
      <c r="W553" s="66"/>
      <c r="X553" s="66"/>
      <c r="Y553" s="66"/>
      <c r="Z553" s="66"/>
      <c r="AA553" s="66"/>
      <c r="AB553" s="66"/>
      <c r="AC553" s="66"/>
    </row>
    <row r="554">
      <c r="A554" s="327"/>
      <c r="B554" s="66"/>
      <c r="C554" s="66"/>
      <c r="D554" s="327"/>
      <c r="E554" s="66"/>
      <c r="F554" s="66"/>
      <c r="G554" s="327"/>
      <c r="H554" s="66"/>
      <c r="I554" s="66"/>
      <c r="J554" s="327"/>
      <c r="K554" s="66"/>
      <c r="L554" s="66"/>
      <c r="M554" s="66"/>
      <c r="N554" s="66"/>
      <c r="O554" s="66"/>
      <c r="P554" s="66"/>
      <c r="Q554" s="66"/>
      <c r="R554" s="66"/>
      <c r="S554" s="66"/>
      <c r="T554" s="66"/>
      <c r="U554" s="66"/>
      <c r="V554" s="66"/>
      <c r="W554" s="66"/>
      <c r="X554" s="66"/>
      <c r="Y554" s="66"/>
      <c r="Z554" s="66"/>
      <c r="AA554" s="66"/>
      <c r="AB554" s="66"/>
      <c r="AC554" s="66"/>
    </row>
    <row r="555">
      <c r="A555" s="327"/>
      <c r="B555" s="66"/>
      <c r="C555" s="66"/>
      <c r="D555" s="327"/>
      <c r="E555" s="66"/>
      <c r="F555" s="66"/>
      <c r="G555" s="327"/>
      <c r="H555" s="66"/>
      <c r="I555" s="66"/>
      <c r="J555" s="327"/>
      <c r="K555" s="66"/>
      <c r="L555" s="66"/>
      <c r="M555" s="66"/>
      <c r="N555" s="66"/>
      <c r="O555" s="66"/>
      <c r="P555" s="66"/>
      <c r="Q555" s="66"/>
      <c r="R555" s="66"/>
      <c r="S555" s="66"/>
      <c r="T555" s="66"/>
      <c r="U555" s="66"/>
      <c r="V555" s="66"/>
      <c r="W555" s="66"/>
      <c r="X555" s="66"/>
      <c r="Y555" s="66"/>
      <c r="Z555" s="66"/>
      <c r="AA555" s="66"/>
      <c r="AB555" s="66"/>
      <c r="AC555" s="66"/>
    </row>
    <row r="556">
      <c r="A556" s="327"/>
      <c r="B556" s="66"/>
      <c r="C556" s="66"/>
      <c r="D556" s="327"/>
      <c r="E556" s="66"/>
      <c r="F556" s="66"/>
      <c r="G556" s="327"/>
      <c r="H556" s="66"/>
      <c r="I556" s="66"/>
      <c r="J556" s="327"/>
      <c r="K556" s="66"/>
      <c r="L556" s="66"/>
      <c r="M556" s="66"/>
      <c r="N556" s="66"/>
      <c r="O556" s="66"/>
      <c r="P556" s="66"/>
      <c r="Q556" s="66"/>
      <c r="R556" s="66"/>
      <c r="S556" s="66"/>
      <c r="T556" s="66"/>
      <c r="U556" s="66"/>
      <c r="V556" s="66"/>
      <c r="W556" s="66"/>
      <c r="X556" s="66"/>
      <c r="Y556" s="66"/>
      <c r="Z556" s="66"/>
      <c r="AA556" s="66"/>
      <c r="AB556" s="66"/>
      <c r="AC556" s="66"/>
    </row>
    <row r="557">
      <c r="A557" s="327"/>
      <c r="B557" s="66"/>
      <c r="C557" s="66"/>
      <c r="D557" s="327"/>
      <c r="E557" s="66"/>
      <c r="F557" s="66"/>
      <c r="G557" s="327"/>
      <c r="H557" s="66"/>
      <c r="I557" s="66"/>
      <c r="J557" s="327"/>
      <c r="K557" s="66"/>
      <c r="L557" s="66"/>
      <c r="M557" s="66"/>
      <c r="N557" s="66"/>
      <c r="O557" s="66"/>
      <c r="P557" s="66"/>
      <c r="Q557" s="66"/>
      <c r="R557" s="66"/>
      <c r="S557" s="66"/>
      <c r="T557" s="66"/>
      <c r="U557" s="66"/>
      <c r="V557" s="66"/>
      <c r="W557" s="66"/>
      <c r="X557" s="66"/>
      <c r="Y557" s="66"/>
      <c r="Z557" s="66"/>
      <c r="AA557" s="66"/>
      <c r="AB557" s="66"/>
      <c r="AC557" s="66"/>
    </row>
    <row r="558">
      <c r="A558" s="327"/>
      <c r="B558" s="66"/>
      <c r="C558" s="66"/>
      <c r="D558" s="327"/>
      <c r="E558" s="66"/>
      <c r="F558" s="66"/>
      <c r="G558" s="327"/>
      <c r="H558" s="66"/>
      <c r="I558" s="66"/>
      <c r="J558" s="327"/>
      <c r="K558" s="66"/>
      <c r="L558" s="66"/>
      <c r="M558" s="66"/>
      <c r="N558" s="66"/>
      <c r="O558" s="66"/>
      <c r="P558" s="66"/>
      <c r="Q558" s="66"/>
      <c r="R558" s="66"/>
      <c r="S558" s="66"/>
      <c r="T558" s="66"/>
      <c r="U558" s="66"/>
      <c r="V558" s="66"/>
      <c r="W558" s="66"/>
      <c r="X558" s="66"/>
      <c r="Y558" s="66"/>
      <c r="Z558" s="66"/>
      <c r="AA558" s="66"/>
      <c r="AB558" s="66"/>
      <c r="AC558" s="66"/>
    </row>
    <row r="559">
      <c r="A559" s="327"/>
      <c r="B559" s="66"/>
      <c r="C559" s="66"/>
      <c r="D559" s="327"/>
      <c r="E559" s="66"/>
      <c r="F559" s="66"/>
      <c r="G559" s="327"/>
      <c r="H559" s="66"/>
      <c r="I559" s="66"/>
      <c r="J559" s="327"/>
      <c r="K559" s="66"/>
      <c r="L559" s="66"/>
      <c r="M559" s="66"/>
      <c r="N559" s="66"/>
      <c r="O559" s="66"/>
      <c r="P559" s="66"/>
      <c r="Q559" s="66"/>
      <c r="R559" s="66"/>
      <c r="S559" s="66"/>
      <c r="T559" s="66"/>
      <c r="U559" s="66"/>
      <c r="V559" s="66"/>
      <c r="W559" s="66"/>
      <c r="X559" s="66"/>
      <c r="Y559" s="66"/>
      <c r="Z559" s="66"/>
      <c r="AA559" s="66"/>
      <c r="AB559" s="66"/>
      <c r="AC559" s="66"/>
    </row>
    <row r="560">
      <c r="A560" s="327"/>
      <c r="B560" s="66"/>
      <c r="C560" s="66"/>
      <c r="D560" s="327"/>
      <c r="E560" s="66"/>
      <c r="F560" s="66"/>
      <c r="G560" s="327"/>
      <c r="H560" s="66"/>
      <c r="I560" s="66"/>
      <c r="J560" s="327"/>
      <c r="K560" s="66"/>
      <c r="L560" s="66"/>
      <c r="M560" s="66"/>
      <c r="N560" s="66"/>
      <c r="O560" s="66"/>
      <c r="P560" s="66"/>
      <c r="Q560" s="66"/>
      <c r="R560" s="66"/>
      <c r="S560" s="66"/>
      <c r="T560" s="66"/>
      <c r="U560" s="66"/>
      <c r="V560" s="66"/>
      <c r="W560" s="66"/>
      <c r="X560" s="66"/>
      <c r="Y560" s="66"/>
      <c r="Z560" s="66"/>
      <c r="AA560" s="66"/>
      <c r="AB560" s="66"/>
      <c r="AC560" s="66"/>
    </row>
    <row r="561">
      <c r="A561" s="327"/>
      <c r="B561" s="66"/>
      <c r="C561" s="66"/>
      <c r="D561" s="327"/>
      <c r="E561" s="66"/>
      <c r="F561" s="66"/>
      <c r="G561" s="327"/>
      <c r="H561" s="66"/>
      <c r="I561" s="66"/>
      <c r="J561" s="327"/>
      <c r="K561" s="66"/>
      <c r="L561" s="66"/>
      <c r="M561" s="66"/>
      <c r="N561" s="66"/>
      <c r="O561" s="66"/>
      <c r="P561" s="66"/>
      <c r="Q561" s="66"/>
      <c r="R561" s="66"/>
      <c r="S561" s="66"/>
      <c r="T561" s="66"/>
      <c r="U561" s="66"/>
      <c r="V561" s="66"/>
      <c r="W561" s="66"/>
      <c r="X561" s="66"/>
      <c r="Y561" s="66"/>
      <c r="Z561" s="66"/>
      <c r="AA561" s="66"/>
      <c r="AB561" s="66"/>
      <c r="AC561" s="66"/>
    </row>
    <row r="562">
      <c r="A562" s="327"/>
      <c r="B562" s="66"/>
      <c r="C562" s="66"/>
      <c r="D562" s="327"/>
      <c r="E562" s="66"/>
      <c r="F562" s="66"/>
      <c r="G562" s="327"/>
      <c r="H562" s="66"/>
      <c r="I562" s="66"/>
      <c r="J562" s="327"/>
      <c r="K562" s="66"/>
      <c r="L562" s="66"/>
      <c r="M562" s="66"/>
      <c r="N562" s="66"/>
      <c r="O562" s="66"/>
      <c r="P562" s="66"/>
      <c r="Q562" s="66"/>
      <c r="R562" s="66"/>
      <c r="S562" s="66"/>
      <c r="T562" s="66"/>
      <c r="U562" s="66"/>
      <c r="V562" s="66"/>
      <c r="W562" s="66"/>
      <c r="X562" s="66"/>
      <c r="Y562" s="66"/>
      <c r="Z562" s="66"/>
      <c r="AA562" s="66"/>
      <c r="AB562" s="66"/>
      <c r="AC562" s="66"/>
    </row>
    <row r="563">
      <c r="A563" s="327"/>
      <c r="B563" s="66"/>
      <c r="C563" s="66"/>
      <c r="D563" s="327"/>
      <c r="E563" s="66"/>
      <c r="F563" s="66"/>
      <c r="G563" s="327"/>
      <c r="H563" s="66"/>
      <c r="I563" s="66"/>
      <c r="J563" s="327"/>
      <c r="K563" s="66"/>
      <c r="L563" s="66"/>
      <c r="M563" s="66"/>
      <c r="N563" s="66"/>
      <c r="O563" s="66"/>
      <c r="P563" s="66"/>
      <c r="Q563" s="66"/>
      <c r="R563" s="66"/>
      <c r="S563" s="66"/>
      <c r="T563" s="66"/>
      <c r="U563" s="66"/>
      <c r="V563" s="66"/>
      <c r="W563" s="66"/>
      <c r="X563" s="66"/>
      <c r="Y563" s="66"/>
      <c r="Z563" s="66"/>
      <c r="AA563" s="66"/>
      <c r="AB563" s="66"/>
      <c r="AC563" s="66"/>
    </row>
    <row r="564">
      <c r="A564" s="327"/>
      <c r="B564" s="66"/>
      <c r="C564" s="66"/>
      <c r="D564" s="327"/>
      <c r="E564" s="66"/>
      <c r="F564" s="66"/>
      <c r="G564" s="327"/>
      <c r="H564" s="66"/>
      <c r="I564" s="66"/>
      <c r="J564" s="327"/>
      <c r="K564" s="66"/>
      <c r="L564" s="66"/>
      <c r="M564" s="66"/>
      <c r="N564" s="66"/>
      <c r="O564" s="66"/>
      <c r="P564" s="66"/>
      <c r="Q564" s="66"/>
      <c r="R564" s="66"/>
      <c r="S564" s="66"/>
      <c r="T564" s="66"/>
      <c r="U564" s="66"/>
      <c r="V564" s="66"/>
      <c r="W564" s="66"/>
      <c r="X564" s="66"/>
      <c r="Y564" s="66"/>
      <c r="Z564" s="66"/>
      <c r="AA564" s="66"/>
      <c r="AB564" s="66"/>
      <c r="AC564" s="66"/>
    </row>
    <row r="565">
      <c r="A565" s="327"/>
      <c r="B565" s="66"/>
      <c r="C565" s="66"/>
      <c r="D565" s="327"/>
      <c r="E565" s="66"/>
      <c r="F565" s="66"/>
      <c r="G565" s="327"/>
      <c r="H565" s="66"/>
      <c r="I565" s="66"/>
      <c r="J565" s="327"/>
      <c r="K565" s="66"/>
      <c r="L565" s="66"/>
      <c r="M565" s="66"/>
      <c r="N565" s="66"/>
      <c r="O565" s="66"/>
      <c r="P565" s="66"/>
      <c r="Q565" s="66"/>
      <c r="R565" s="66"/>
      <c r="S565" s="66"/>
      <c r="T565" s="66"/>
      <c r="U565" s="66"/>
      <c r="V565" s="66"/>
      <c r="W565" s="66"/>
      <c r="X565" s="66"/>
      <c r="Y565" s="66"/>
      <c r="Z565" s="66"/>
      <c r="AA565" s="66"/>
      <c r="AB565" s="66"/>
      <c r="AC565" s="66"/>
    </row>
    <row r="566">
      <c r="A566" s="327"/>
      <c r="B566" s="66"/>
      <c r="C566" s="66"/>
      <c r="D566" s="327"/>
      <c r="E566" s="66"/>
      <c r="F566" s="66"/>
      <c r="G566" s="327"/>
      <c r="H566" s="66"/>
      <c r="I566" s="66"/>
      <c r="J566" s="327"/>
      <c r="K566" s="66"/>
      <c r="L566" s="66"/>
      <c r="M566" s="66"/>
      <c r="N566" s="66"/>
      <c r="O566" s="66"/>
      <c r="P566" s="66"/>
      <c r="Q566" s="66"/>
      <c r="R566" s="66"/>
      <c r="S566" s="66"/>
      <c r="T566" s="66"/>
      <c r="U566" s="66"/>
      <c r="V566" s="66"/>
      <c r="W566" s="66"/>
      <c r="X566" s="66"/>
      <c r="Y566" s="66"/>
      <c r="Z566" s="66"/>
      <c r="AA566" s="66"/>
      <c r="AB566" s="66"/>
      <c r="AC566" s="66"/>
    </row>
    <row r="567">
      <c r="A567" s="327"/>
      <c r="B567" s="66"/>
      <c r="C567" s="66"/>
      <c r="D567" s="327"/>
      <c r="E567" s="66"/>
      <c r="F567" s="66"/>
      <c r="G567" s="327"/>
      <c r="H567" s="66"/>
      <c r="I567" s="66"/>
      <c r="J567" s="327"/>
      <c r="K567" s="66"/>
      <c r="L567" s="66"/>
      <c r="M567" s="66"/>
      <c r="N567" s="66"/>
      <c r="O567" s="66"/>
      <c r="P567" s="66"/>
      <c r="Q567" s="66"/>
      <c r="R567" s="66"/>
      <c r="S567" s="66"/>
      <c r="T567" s="66"/>
      <c r="U567" s="66"/>
      <c r="V567" s="66"/>
      <c r="W567" s="66"/>
      <c r="X567" s="66"/>
      <c r="Y567" s="66"/>
      <c r="Z567" s="66"/>
      <c r="AA567" s="66"/>
      <c r="AB567" s="66"/>
      <c r="AC567" s="66"/>
    </row>
    <row r="568">
      <c r="A568" s="327"/>
      <c r="B568" s="66"/>
      <c r="C568" s="66"/>
      <c r="D568" s="327"/>
      <c r="E568" s="66"/>
      <c r="F568" s="66"/>
      <c r="G568" s="327"/>
      <c r="H568" s="66"/>
      <c r="I568" s="66"/>
      <c r="J568" s="327"/>
      <c r="K568" s="66"/>
      <c r="L568" s="66"/>
      <c r="M568" s="66"/>
      <c r="N568" s="66"/>
      <c r="O568" s="66"/>
      <c r="P568" s="66"/>
      <c r="Q568" s="66"/>
      <c r="R568" s="66"/>
      <c r="S568" s="66"/>
      <c r="T568" s="66"/>
      <c r="U568" s="66"/>
      <c r="V568" s="66"/>
      <c r="W568" s="66"/>
      <c r="X568" s="66"/>
      <c r="Y568" s="66"/>
      <c r="Z568" s="66"/>
      <c r="AA568" s="66"/>
      <c r="AB568" s="66"/>
      <c r="AC568" s="66"/>
    </row>
    <row r="569">
      <c r="A569" s="327"/>
      <c r="B569" s="66"/>
      <c r="C569" s="66"/>
      <c r="D569" s="327"/>
      <c r="E569" s="66"/>
      <c r="F569" s="66"/>
      <c r="G569" s="327"/>
      <c r="H569" s="66"/>
      <c r="I569" s="66"/>
      <c r="J569" s="327"/>
      <c r="K569" s="66"/>
      <c r="L569" s="66"/>
      <c r="M569" s="66"/>
      <c r="N569" s="66"/>
      <c r="O569" s="66"/>
      <c r="P569" s="66"/>
      <c r="Q569" s="66"/>
      <c r="R569" s="66"/>
      <c r="S569" s="66"/>
      <c r="T569" s="66"/>
      <c r="U569" s="66"/>
      <c r="V569" s="66"/>
      <c r="W569" s="66"/>
      <c r="X569" s="66"/>
      <c r="Y569" s="66"/>
      <c r="Z569" s="66"/>
      <c r="AA569" s="66"/>
      <c r="AB569" s="66"/>
      <c r="AC569" s="66"/>
    </row>
    <row r="570">
      <c r="A570" s="327"/>
      <c r="B570" s="66"/>
      <c r="C570" s="66"/>
      <c r="D570" s="327"/>
      <c r="E570" s="66"/>
      <c r="F570" s="66"/>
      <c r="G570" s="327"/>
      <c r="H570" s="66"/>
      <c r="I570" s="66"/>
      <c r="J570" s="327"/>
      <c r="K570" s="66"/>
      <c r="L570" s="66"/>
      <c r="M570" s="66"/>
      <c r="N570" s="66"/>
      <c r="O570" s="66"/>
      <c r="P570" s="66"/>
      <c r="Q570" s="66"/>
      <c r="R570" s="66"/>
      <c r="S570" s="66"/>
      <c r="T570" s="66"/>
      <c r="U570" s="66"/>
      <c r="V570" s="66"/>
      <c r="W570" s="66"/>
      <c r="X570" s="66"/>
      <c r="Y570" s="66"/>
      <c r="Z570" s="66"/>
      <c r="AA570" s="66"/>
      <c r="AB570" s="66"/>
      <c r="AC570" s="66"/>
    </row>
    <row r="571">
      <c r="A571" s="327"/>
      <c r="B571" s="66"/>
      <c r="C571" s="66"/>
      <c r="D571" s="327"/>
      <c r="E571" s="66"/>
      <c r="F571" s="66"/>
      <c r="G571" s="327"/>
      <c r="H571" s="66"/>
      <c r="I571" s="66"/>
      <c r="J571" s="327"/>
      <c r="K571" s="66"/>
      <c r="L571" s="66"/>
      <c r="M571" s="66"/>
      <c r="N571" s="66"/>
      <c r="O571" s="66"/>
      <c r="P571" s="66"/>
      <c r="Q571" s="66"/>
      <c r="R571" s="66"/>
      <c r="S571" s="66"/>
      <c r="T571" s="66"/>
      <c r="U571" s="66"/>
      <c r="V571" s="66"/>
      <c r="W571" s="66"/>
      <c r="X571" s="66"/>
      <c r="Y571" s="66"/>
      <c r="Z571" s="66"/>
      <c r="AA571" s="66"/>
      <c r="AB571" s="66"/>
      <c r="AC571" s="66"/>
    </row>
    <row r="572">
      <c r="A572" s="327"/>
      <c r="B572" s="66"/>
      <c r="C572" s="66"/>
      <c r="D572" s="327"/>
      <c r="E572" s="66"/>
      <c r="F572" s="66"/>
      <c r="G572" s="327"/>
      <c r="H572" s="66"/>
      <c r="I572" s="66"/>
      <c r="J572" s="327"/>
      <c r="K572" s="66"/>
      <c r="L572" s="66"/>
      <c r="M572" s="66"/>
      <c r="N572" s="66"/>
      <c r="O572" s="66"/>
      <c r="P572" s="66"/>
      <c r="Q572" s="66"/>
      <c r="R572" s="66"/>
      <c r="S572" s="66"/>
      <c r="T572" s="66"/>
      <c r="U572" s="66"/>
      <c r="V572" s="66"/>
      <c r="W572" s="66"/>
      <c r="X572" s="66"/>
      <c r="Y572" s="66"/>
      <c r="Z572" s="66"/>
      <c r="AA572" s="66"/>
      <c r="AB572" s="66"/>
      <c r="AC572" s="66"/>
    </row>
    <row r="573">
      <c r="A573" s="327"/>
      <c r="B573" s="66"/>
      <c r="C573" s="66"/>
      <c r="D573" s="327"/>
      <c r="E573" s="66"/>
      <c r="F573" s="66"/>
      <c r="G573" s="327"/>
      <c r="H573" s="66"/>
      <c r="I573" s="66"/>
      <c r="J573" s="327"/>
      <c r="K573" s="66"/>
      <c r="L573" s="66"/>
      <c r="M573" s="66"/>
      <c r="N573" s="66"/>
      <c r="O573" s="66"/>
      <c r="P573" s="66"/>
      <c r="Q573" s="66"/>
      <c r="R573" s="66"/>
      <c r="S573" s="66"/>
      <c r="T573" s="66"/>
      <c r="U573" s="66"/>
      <c r="V573" s="66"/>
      <c r="W573" s="66"/>
      <c r="X573" s="66"/>
      <c r="Y573" s="66"/>
      <c r="Z573" s="66"/>
      <c r="AA573" s="66"/>
      <c r="AB573" s="66"/>
      <c r="AC573" s="66"/>
    </row>
    <row r="574">
      <c r="A574" s="327"/>
      <c r="B574" s="66"/>
      <c r="C574" s="66"/>
      <c r="D574" s="327"/>
      <c r="E574" s="66"/>
      <c r="F574" s="66"/>
      <c r="G574" s="327"/>
      <c r="H574" s="66"/>
      <c r="I574" s="66"/>
      <c r="J574" s="327"/>
      <c r="K574" s="66"/>
      <c r="L574" s="66"/>
      <c r="M574" s="66"/>
      <c r="N574" s="66"/>
      <c r="O574" s="66"/>
      <c r="P574" s="66"/>
      <c r="Q574" s="66"/>
      <c r="R574" s="66"/>
      <c r="S574" s="66"/>
      <c r="T574" s="66"/>
      <c r="U574" s="66"/>
      <c r="V574" s="66"/>
      <c r="W574" s="66"/>
      <c r="X574" s="66"/>
      <c r="Y574" s="66"/>
      <c r="Z574" s="66"/>
      <c r="AA574" s="66"/>
      <c r="AB574" s="66"/>
      <c r="AC574" s="66"/>
    </row>
    <row r="575">
      <c r="A575" s="327"/>
      <c r="B575" s="66"/>
      <c r="C575" s="66"/>
      <c r="D575" s="327"/>
      <c r="E575" s="66"/>
      <c r="F575" s="66"/>
      <c r="G575" s="327"/>
      <c r="H575" s="66"/>
      <c r="I575" s="66"/>
      <c r="J575" s="327"/>
      <c r="K575" s="66"/>
      <c r="L575" s="66"/>
      <c r="M575" s="66"/>
      <c r="N575" s="66"/>
      <c r="O575" s="66"/>
      <c r="P575" s="66"/>
      <c r="Q575" s="66"/>
      <c r="R575" s="66"/>
      <c r="S575" s="66"/>
      <c r="T575" s="66"/>
      <c r="U575" s="66"/>
      <c r="V575" s="66"/>
      <c r="W575" s="66"/>
      <c r="X575" s="66"/>
      <c r="Y575" s="66"/>
      <c r="Z575" s="66"/>
      <c r="AA575" s="66"/>
      <c r="AB575" s="66"/>
      <c r="AC575" s="66"/>
    </row>
    <row r="576">
      <c r="A576" s="327"/>
      <c r="B576" s="66"/>
      <c r="C576" s="66"/>
      <c r="D576" s="327"/>
      <c r="E576" s="66"/>
      <c r="F576" s="66"/>
      <c r="G576" s="327"/>
      <c r="H576" s="66"/>
      <c r="I576" s="66"/>
      <c r="J576" s="327"/>
      <c r="K576" s="66"/>
      <c r="L576" s="66"/>
      <c r="M576" s="66"/>
      <c r="N576" s="66"/>
      <c r="O576" s="66"/>
      <c r="P576" s="66"/>
      <c r="Q576" s="66"/>
      <c r="R576" s="66"/>
      <c r="S576" s="66"/>
      <c r="T576" s="66"/>
      <c r="U576" s="66"/>
      <c r="V576" s="66"/>
      <c r="W576" s="66"/>
      <c r="X576" s="66"/>
      <c r="Y576" s="66"/>
      <c r="Z576" s="66"/>
      <c r="AA576" s="66"/>
      <c r="AB576" s="66"/>
      <c r="AC576" s="66"/>
    </row>
    <row r="577">
      <c r="A577" s="327"/>
      <c r="B577" s="66"/>
      <c r="C577" s="66"/>
      <c r="D577" s="327"/>
      <c r="E577" s="66"/>
      <c r="F577" s="66"/>
      <c r="G577" s="327"/>
      <c r="H577" s="66"/>
      <c r="I577" s="66"/>
      <c r="J577" s="327"/>
      <c r="K577" s="66"/>
      <c r="L577" s="66"/>
      <c r="M577" s="66"/>
      <c r="N577" s="66"/>
      <c r="O577" s="66"/>
      <c r="P577" s="66"/>
      <c r="Q577" s="66"/>
      <c r="R577" s="66"/>
      <c r="S577" s="66"/>
      <c r="T577" s="66"/>
      <c r="U577" s="66"/>
      <c r="V577" s="66"/>
      <c r="W577" s="66"/>
      <c r="X577" s="66"/>
      <c r="Y577" s="66"/>
      <c r="Z577" s="66"/>
      <c r="AA577" s="66"/>
      <c r="AB577" s="66"/>
      <c r="AC577" s="66"/>
    </row>
    <row r="578">
      <c r="A578" s="327"/>
      <c r="B578" s="66"/>
      <c r="C578" s="66"/>
      <c r="D578" s="327"/>
      <c r="E578" s="66"/>
      <c r="F578" s="66"/>
      <c r="G578" s="327"/>
      <c r="H578" s="66"/>
      <c r="I578" s="66"/>
      <c r="J578" s="327"/>
      <c r="K578" s="66"/>
      <c r="L578" s="66"/>
      <c r="M578" s="66"/>
      <c r="N578" s="66"/>
      <c r="O578" s="66"/>
      <c r="P578" s="66"/>
      <c r="Q578" s="66"/>
      <c r="R578" s="66"/>
      <c r="S578" s="66"/>
      <c r="T578" s="66"/>
      <c r="U578" s="66"/>
      <c r="V578" s="66"/>
      <c r="W578" s="66"/>
      <c r="X578" s="66"/>
      <c r="Y578" s="66"/>
      <c r="Z578" s="66"/>
      <c r="AA578" s="66"/>
      <c r="AB578" s="66"/>
      <c r="AC578" s="66"/>
    </row>
    <row r="579">
      <c r="A579" s="327"/>
      <c r="B579" s="66"/>
      <c r="C579" s="66"/>
      <c r="D579" s="327"/>
      <c r="E579" s="66"/>
      <c r="F579" s="66"/>
      <c r="G579" s="327"/>
      <c r="H579" s="66"/>
      <c r="I579" s="66"/>
      <c r="J579" s="327"/>
      <c r="K579" s="66"/>
      <c r="L579" s="66"/>
      <c r="M579" s="66"/>
      <c r="N579" s="66"/>
      <c r="O579" s="66"/>
      <c r="P579" s="66"/>
      <c r="Q579" s="66"/>
      <c r="R579" s="66"/>
      <c r="S579" s="66"/>
      <c r="T579" s="66"/>
      <c r="U579" s="66"/>
      <c r="V579" s="66"/>
      <c r="W579" s="66"/>
      <c r="X579" s="66"/>
      <c r="Y579" s="66"/>
      <c r="Z579" s="66"/>
      <c r="AA579" s="66"/>
      <c r="AB579" s="66"/>
      <c r="AC579" s="66"/>
    </row>
    <row r="580">
      <c r="A580" s="327"/>
      <c r="B580" s="66"/>
      <c r="C580" s="66"/>
      <c r="D580" s="327"/>
      <c r="E580" s="66"/>
      <c r="F580" s="66"/>
      <c r="G580" s="327"/>
      <c r="H580" s="66"/>
      <c r="I580" s="66"/>
      <c r="J580" s="327"/>
      <c r="K580" s="66"/>
      <c r="L580" s="66"/>
      <c r="M580" s="66"/>
      <c r="N580" s="66"/>
      <c r="O580" s="66"/>
      <c r="P580" s="66"/>
      <c r="Q580" s="66"/>
      <c r="R580" s="66"/>
      <c r="S580" s="66"/>
      <c r="T580" s="66"/>
      <c r="U580" s="66"/>
      <c r="V580" s="66"/>
      <c r="W580" s="66"/>
      <c r="X580" s="66"/>
      <c r="Y580" s="66"/>
      <c r="Z580" s="66"/>
      <c r="AA580" s="66"/>
      <c r="AB580" s="66"/>
      <c r="AC580" s="66"/>
    </row>
    <row r="581">
      <c r="A581" s="327"/>
      <c r="B581" s="66"/>
      <c r="C581" s="66"/>
      <c r="D581" s="327"/>
      <c r="E581" s="66"/>
      <c r="F581" s="66"/>
      <c r="G581" s="327"/>
      <c r="H581" s="66"/>
      <c r="I581" s="66"/>
      <c r="J581" s="327"/>
      <c r="K581" s="66"/>
      <c r="L581" s="66"/>
      <c r="M581" s="66"/>
      <c r="N581" s="66"/>
      <c r="O581" s="66"/>
      <c r="P581" s="66"/>
      <c r="Q581" s="66"/>
      <c r="R581" s="66"/>
      <c r="S581" s="66"/>
      <c r="T581" s="66"/>
      <c r="U581" s="66"/>
      <c r="V581" s="66"/>
      <c r="W581" s="66"/>
      <c r="X581" s="66"/>
      <c r="Y581" s="66"/>
      <c r="Z581" s="66"/>
      <c r="AA581" s="66"/>
      <c r="AB581" s="66"/>
      <c r="AC581" s="66"/>
    </row>
    <row r="582">
      <c r="A582" s="327"/>
      <c r="B582" s="66"/>
      <c r="C582" s="66"/>
      <c r="D582" s="327"/>
      <c r="E582" s="66"/>
      <c r="F582" s="66"/>
      <c r="G582" s="327"/>
      <c r="H582" s="66"/>
      <c r="I582" s="66"/>
      <c r="J582" s="327"/>
      <c r="K582" s="66"/>
      <c r="L582" s="66"/>
      <c r="M582" s="66"/>
      <c r="N582" s="66"/>
      <c r="O582" s="66"/>
      <c r="P582" s="66"/>
      <c r="Q582" s="66"/>
      <c r="R582" s="66"/>
      <c r="S582" s="66"/>
      <c r="T582" s="66"/>
      <c r="U582" s="66"/>
      <c r="V582" s="66"/>
      <c r="W582" s="66"/>
      <c r="X582" s="66"/>
      <c r="Y582" s="66"/>
      <c r="Z582" s="66"/>
      <c r="AA582" s="66"/>
      <c r="AB582" s="66"/>
      <c r="AC582" s="66"/>
    </row>
    <row r="583">
      <c r="A583" s="327"/>
      <c r="B583" s="66"/>
      <c r="C583" s="66"/>
      <c r="D583" s="327"/>
      <c r="E583" s="66"/>
      <c r="F583" s="66"/>
      <c r="G583" s="327"/>
      <c r="H583" s="66"/>
      <c r="I583" s="66"/>
      <c r="J583" s="327"/>
      <c r="K583" s="66"/>
      <c r="L583" s="66"/>
      <c r="M583" s="66"/>
      <c r="N583" s="66"/>
      <c r="O583" s="66"/>
      <c r="P583" s="66"/>
      <c r="Q583" s="66"/>
      <c r="R583" s="66"/>
      <c r="S583" s="66"/>
      <c r="T583" s="66"/>
      <c r="U583" s="66"/>
      <c r="V583" s="66"/>
      <c r="W583" s="66"/>
      <c r="X583" s="66"/>
      <c r="Y583" s="66"/>
      <c r="Z583" s="66"/>
      <c r="AA583" s="66"/>
      <c r="AB583" s="66"/>
      <c r="AC583" s="66"/>
    </row>
    <row r="584">
      <c r="A584" s="327"/>
      <c r="B584" s="66"/>
      <c r="C584" s="66"/>
      <c r="D584" s="327"/>
      <c r="E584" s="66"/>
      <c r="F584" s="66"/>
      <c r="G584" s="327"/>
      <c r="H584" s="66"/>
      <c r="I584" s="66"/>
      <c r="J584" s="327"/>
      <c r="K584" s="66"/>
      <c r="L584" s="66"/>
      <c r="M584" s="66"/>
      <c r="N584" s="66"/>
      <c r="O584" s="66"/>
      <c r="P584" s="66"/>
      <c r="Q584" s="66"/>
      <c r="R584" s="66"/>
      <c r="S584" s="66"/>
      <c r="T584" s="66"/>
      <c r="U584" s="66"/>
      <c r="V584" s="66"/>
      <c r="W584" s="66"/>
      <c r="X584" s="66"/>
      <c r="Y584" s="66"/>
      <c r="Z584" s="66"/>
      <c r="AA584" s="66"/>
      <c r="AB584" s="66"/>
      <c r="AC584" s="66"/>
    </row>
    <row r="585">
      <c r="A585" s="327"/>
      <c r="B585" s="66"/>
      <c r="C585" s="66"/>
      <c r="D585" s="327"/>
      <c r="E585" s="66"/>
      <c r="F585" s="66"/>
      <c r="G585" s="327"/>
      <c r="H585" s="66"/>
      <c r="I585" s="66"/>
      <c r="J585" s="327"/>
      <c r="K585" s="66"/>
      <c r="L585" s="66"/>
      <c r="M585" s="66"/>
      <c r="N585" s="66"/>
      <c r="O585" s="66"/>
      <c r="P585" s="66"/>
      <c r="Q585" s="66"/>
      <c r="R585" s="66"/>
      <c r="S585" s="66"/>
      <c r="T585" s="66"/>
      <c r="U585" s="66"/>
      <c r="V585" s="66"/>
      <c r="W585" s="66"/>
      <c r="X585" s="66"/>
      <c r="Y585" s="66"/>
      <c r="Z585" s="66"/>
      <c r="AA585" s="66"/>
      <c r="AB585" s="66"/>
      <c r="AC585" s="66"/>
    </row>
    <row r="586">
      <c r="A586" s="327"/>
      <c r="B586" s="66"/>
      <c r="C586" s="66"/>
      <c r="D586" s="327"/>
      <c r="E586" s="66"/>
      <c r="F586" s="66"/>
      <c r="G586" s="327"/>
      <c r="H586" s="66"/>
      <c r="I586" s="66"/>
      <c r="J586" s="327"/>
      <c r="K586" s="66"/>
      <c r="L586" s="66"/>
      <c r="M586" s="66"/>
      <c r="N586" s="66"/>
      <c r="O586" s="66"/>
      <c r="P586" s="66"/>
      <c r="Q586" s="66"/>
      <c r="R586" s="66"/>
      <c r="S586" s="66"/>
      <c r="T586" s="66"/>
      <c r="U586" s="66"/>
      <c r="V586" s="66"/>
      <c r="W586" s="66"/>
      <c r="X586" s="66"/>
      <c r="Y586" s="66"/>
      <c r="Z586" s="66"/>
      <c r="AA586" s="66"/>
      <c r="AB586" s="66"/>
      <c r="AC586" s="66"/>
    </row>
    <row r="587">
      <c r="A587" s="327"/>
      <c r="B587" s="66"/>
      <c r="C587" s="66"/>
      <c r="D587" s="327"/>
      <c r="E587" s="66"/>
      <c r="F587" s="66"/>
      <c r="G587" s="327"/>
      <c r="H587" s="66"/>
      <c r="I587" s="66"/>
      <c r="J587" s="327"/>
      <c r="K587" s="66"/>
      <c r="L587" s="66"/>
      <c r="M587" s="66"/>
      <c r="N587" s="66"/>
      <c r="O587" s="66"/>
      <c r="P587" s="66"/>
      <c r="Q587" s="66"/>
      <c r="R587" s="66"/>
      <c r="S587" s="66"/>
      <c r="T587" s="66"/>
      <c r="U587" s="66"/>
      <c r="V587" s="66"/>
      <c r="W587" s="66"/>
      <c r="X587" s="66"/>
      <c r="Y587" s="66"/>
      <c r="Z587" s="66"/>
      <c r="AA587" s="66"/>
      <c r="AB587" s="66"/>
      <c r="AC587" s="66"/>
    </row>
    <row r="588">
      <c r="A588" s="327"/>
      <c r="B588" s="66"/>
      <c r="C588" s="66"/>
      <c r="D588" s="327"/>
      <c r="E588" s="66"/>
      <c r="F588" s="66"/>
      <c r="G588" s="327"/>
      <c r="H588" s="66"/>
      <c r="I588" s="66"/>
      <c r="J588" s="327"/>
      <c r="K588" s="66"/>
      <c r="L588" s="66"/>
      <c r="M588" s="66"/>
      <c r="N588" s="66"/>
      <c r="O588" s="66"/>
      <c r="P588" s="66"/>
      <c r="Q588" s="66"/>
      <c r="R588" s="66"/>
      <c r="S588" s="66"/>
      <c r="T588" s="66"/>
      <c r="U588" s="66"/>
      <c r="V588" s="66"/>
      <c r="W588" s="66"/>
      <c r="X588" s="66"/>
      <c r="Y588" s="66"/>
      <c r="Z588" s="66"/>
      <c r="AA588" s="66"/>
      <c r="AB588" s="66"/>
      <c r="AC588" s="66"/>
    </row>
    <row r="589">
      <c r="A589" s="327"/>
      <c r="B589" s="66"/>
      <c r="C589" s="66"/>
      <c r="D589" s="327"/>
      <c r="E589" s="66"/>
      <c r="F589" s="66"/>
      <c r="G589" s="327"/>
      <c r="H589" s="66"/>
      <c r="I589" s="66"/>
      <c r="J589" s="327"/>
      <c r="K589" s="66"/>
      <c r="L589" s="66"/>
      <c r="M589" s="66"/>
      <c r="N589" s="66"/>
      <c r="O589" s="66"/>
      <c r="P589" s="66"/>
      <c r="Q589" s="66"/>
      <c r="R589" s="66"/>
      <c r="S589" s="66"/>
      <c r="T589" s="66"/>
      <c r="U589" s="66"/>
      <c r="V589" s="66"/>
      <c r="W589" s="66"/>
      <c r="X589" s="66"/>
      <c r="Y589" s="66"/>
      <c r="Z589" s="66"/>
      <c r="AA589" s="66"/>
      <c r="AB589" s="66"/>
      <c r="AC589" s="66"/>
    </row>
    <row r="590">
      <c r="A590" s="327"/>
      <c r="B590" s="66"/>
      <c r="C590" s="66"/>
      <c r="D590" s="327"/>
      <c r="E590" s="66"/>
      <c r="F590" s="66"/>
      <c r="G590" s="327"/>
      <c r="H590" s="66"/>
      <c r="I590" s="66"/>
      <c r="J590" s="327"/>
      <c r="K590" s="66"/>
      <c r="L590" s="66"/>
      <c r="M590" s="66"/>
      <c r="N590" s="66"/>
      <c r="O590" s="66"/>
      <c r="P590" s="66"/>
      <c r="Q590" s="66"/>
      <c r="R590" s="66"/>
      <c r="S590" s="66"/>
      <c r="T590" s="66"/>
      <c r="U590" s="66"/>
      <c r="V590" s="66"/>
      <c r="W590" s="66"/>
      <c r="X590" s="66"/>
      <c r="Y590" s="66"/>
      <c r="Z590" s="66"/>
      <c r="AA590" s="66"/>
      <c r="AB590" s="66"/>
      <c r="AC590" s="66"/>
    </row>
    <row r="591">
      <c r="A591" s="327"/>
      <c r="B591" s="66"/>
      <c r="C591" s="66"/>
      <c r="D591" s="327"/>
      <c r="E591" s="66"/>
      <c r="F591" s="66"/>
      <c r="G591" s="327"/>
      <c r="H591" s="66"/>
      <c r="I591" s="66"/>
      <c r="J591" s="327"/>
      <c r="K591" s="66"/>
      <c r="L591" s="66"/>
      <c r="M591" s="66"/>
      <c r="N591" s="66"/>
      <c r="O591" s="66"/>
      <c r="P591" s="66"/>
      <c r="Q591" s="66"/>
      <c r="R591" s="66"/>
      <c r="S591" s="66"/>
      <c r="T591" s="66"/>
      <c r="U591" s="66"/>
      <c r="V591" s="66"/>
      <c r="W591" s="66"/>
      <c r="X591" s="66"/>
      <c r="Y591" s="66"/>
      <c r="Z591" s="66"/>
      <c r="AA591" s="66"/>
      <c r="AB591" s="66"/>
      <c r="AC591" s="66"/>
    </row>
    <row r="592">
      <c r="A592" s="327"/>
      <c r="B592" s="66"/>
      <c r="C592" s="66"/>
      <c r="D592" s="327"/>
      <c r="E592" s="66"/>
      <c r="F592" s="66"/>
      <c r="G592" s="327"/>
      <c r="H592" s="66"/>
      <c r="I592" s="66"/>
      <c r="J592" s="327"/>
      <c r="K592" s="66"/>
      <c r="L592" s="66"/>
      <c r="M592" s="66"/>
      <c r="N592" s="66"/>
      <c r="O592" s="66"/>
      <c r="P592" s="66"/>
      <c r="Q592" s="66"/>
      <c r="R592" s="66"/>
      <c r="S592" s="66"/>
      <c r="T592" s="66"/>
      <c r="U592" s="66"/>
      <c r="V592" s="66"/>
      <c r="W592" s="66"/>
      <c r="X592" s="66"/>
      <c r="Y592" s="66"/>
      <c r="Z592" s="66"/>
      <c r="AA592" s="66"/>
      <c r="AB592" s="66"/>
      <c r="AC592" s="66"/>
    </row>
    <row r="593">
      <c r="A593" s="327"/>
      <c r="B593" s="66"/>
      <c r="C593" s="66"/>
      <c r="D593" s="327"/>
      <c r="E593" s="66"/>
      <c r="F593" s="66"/>
      <c r="G593" s="327"/>
      <c r="H593" s="66"/>
      <c r="I593" s="66"/>
      <c r="J593" s="327"/>
      <c r="K593" s="66"/>
      <c r="L593" s="66"/>
      <c r="M593" s="66"/>
      <c r="N593" s="66"/>
      <c r="O593" s="66"/>
      <c r="P593" s="66"/>
      <c r="Q593" s="66"/>
      <c r="R593" s="66"/>
      <c r="S593" s="66"/>
      <c r="T593" s="66"/>
      <c r="U593" s="66"/>
      <c r="V593" s="66"/>
      <c r="W593" s="66"/>
      <c r="X593" s="66"/>
      <c r="Y593" s="66"/>
      <c r="Z593" s="66"/>
      <c r="AA593" s="66"/>
      <c r="AB593" s="66"/>
      <c r="AC593" s="66"/>
    </row>
    <row r="594">
      <c r="A594" s="327"/>
      <c r="B594" s="66"/>
      <c r="C594" s="66"/>
      <c r="D594" s="327"/>
      <c r="E594" s="66"/>
      <c r="F594" s="66"/>
      <c r="G594" s="327"/>
      <c r="H594" s="66"/>
      <c r="I594" s="66"/>
      <c r="J594" s="327"/>
      <c r="K594" s="66"/>
      <c r="L594" s="66"/>
      <c r="M594" s="66"/>
      <c r="N594" s="66"/>
      <c r="O594" s="66"/>
      <c r="P594" s="66"/>
      <c r="Q594" s="66"/>
      <c r="R594" s="66"/>
      <c r="S594" s="66"/>
      <c r="T594" s="66"/>
      <c r="U594" s="66"/>
      <c r="V594" s="66"/>
      <c r="W594" s="66"/>
      <c r="X594" s="66"/>
      <c r="Y594" s="66"/>
      <c r="Z594" s="66"/>
      <c r="AA594" s="66"/>
      <c r="AB594" s="66"/>
      <c r="AC594" s="66"/>
    </row>
    <row r="595">
      <c r="A595" s="327"/>
      <c r="B595" s="66"/>
      <c r="C595" s="66"/>
      <c r="D595" s="327"/>
      <c r="E595" s="66"/>
      <c r="F595" s="66"/>
      <c r="G595" s="327"/>
      <c r="H595" s="66"/>
      <c r="I595" s="66"/>
      <c r="J595" s="327"/>
      <c r="K595" s="66"/>
      <c r="L595" s="66"/>
      <c r="M595" s="66"/>
      <c r="N595" s="66"/>
      <c r="O595" s="66"/>
      <c r="P595" s="66"/>
      <c r="Q595" s="66"/>
      <c r="R595" s="66"/>
      <c r="S595" s="66"/>
      <c r="T595" s="66"/>
      <c r="U595" s="66"/>
      <c r="V595" s="66"/>
      <c r="W595" s="66"/>
      <c r="X595" s="66"/>
      <c r="Y595" s="66"/>
      <c r="Z595" s="66"/>
      <c r="AA595" s="66"/>
      <c r="AB595" s="66"/>
      <c r="AC595" s="66"/>
    </row>
    <row r="596">
      <c r="A596" s="327"/>
      <c r="B596" s="66"/>
      <c r="C596" s="66"/>
      <c r="D596" s="327"/>
      <c r="E596" s="66"/>
      <c r="F596" s="66"/>
      <c r="G596" s="327"/>
      <c r="H596" s="66"/>
      <c r="I596" s="66"/>
      <c r="J596" s="327"/>
      <c r="K596" s="66"/>
      <c r="L596" s="66"/>
      <c r="M596" s="66"/>
      <c r="N596" s="66"/>
      <c r="O596" s="66"/>
      <c r="P596" s="66"/>
      <c r="Q596" s="66"/>
      <c r="R596" s="66"/>
      <c r="S596" s="66"/>
      <c r="T596" s="66"/>
      <c r="U596" s="66"/>
      <c r="V596" s="66"/>
      <c r="W596" s="66"/>
      <c r="X596" s="66"/>
      <c r="Y596" s="66"/>
      <c r="Z596" s="66"/>
      <c r="AA596" s="66"/>
      <c r="AB596" s="66"/>
      <c r="AC596" s="66"/>
    </row>
    <row r="597">
      <c r="A597" s="327"/>
      <c r="B597" s="66"/>
      <c r="C597" s="66"/>
      <c r="D597" s="327"/>
      <c r="E597" s="66"/>
      <c r="F597" s="66"/>
      <c r="G597" s="327"/>
      <c r="H597" s="66"/>
      <c r="I597" s="66"/>
      <c r="J597" s="327"/>
      <c r="K597" s="66"/>
      <c r="L597" s="66"/>
      <c r="M597" s="66"/>
      <c r="N597" s="66"/>
      <c r="O597" s="66"/>
      <c r="P597" s="66"/>
      <c r="Q597" s="66"/>
      <c r="R597" s="66"/>
      <c r="S597" s="66"/>
      <c r="T597" s="66"/>
      <c r="U597" s="66"/>
      <c r="V597" s="66"/>
      <c r="W597" s="66"/>
      <c r="X597" s="66"/>
      <c r="Y597" s="66"/>
      <c r="Z597" s="66"/>
      <c r="AA597" s="66"/>
      <c r="AB597" s="66"/>
      <c r="AC597" s="66"/>
    </row>
    <row r="598">
      <c r="A598" s="327"/>
      <c r="B598" s="66"/>
      <c r="C598" s="66"/>
      <c r="D598" s="327"/>
      <c r="E598" s="66"/>
      <c r="F598" s="66"/>
      <c r="G598" s="327"/>
      <c r="H598" s="66"/>
      <c r="I598" s="66"/>
      <c r="J598" s="327"/>
      <c r="K598" s="66"/>
      <c r="L598" s="66"/>
      <c r="M598" s="66"/>
      <c r="N598" s="66"/>
      <c r="O598" s="66"/>
      <c r="P598" s="66"/>
      <c r="Q598" s="66"/>
      <c r="R598" s="66"/>
      <c r="S598" s="66"/>
      <c r="T598" s="66"/>
      <c r="U598" s="66"/>
      <c r="V598" s="66"/>
      <c r="W598" s="66"/>
      <c r="X598" s="66"/>
      <c r="Y598" s="66"/>
      <c r="Z598" s="66"/>
      <c r="AA598" s="66"/>
      <c r="AB598" s="66"/>
      <c r="AC598" s="66"/>
    </row>
    <row r="599">
      <c r="A599" s="327"/>
      <c r="B599" s="66"/>
      <c r="C599" s="66"/>
      <c r="D599" s="327"/>
      <c r="E599" s="66"/>
      <c r="F599" s="66"/>
      <c r="G599" s="327"/>
      <c r="H599" s="66"/>
      <c r="I599" s="66"/>
      <c r="J599" s="327"/>
      <c r="K599" s="66"/>
      <c r="L599" s="66"/>
      <c r="M599" s="66"/>
      <c r="N599" s="66"/>
      <c r="O599" s="66"/>
      <c r="P599" s="66"/>
      <c r="Q599" s="66"/>
      <c r="R599" s="66"/>
      <c r="S599" s="66"/>
      <c r="T599" s="66"/>
      <c r="U599" s="66"/>
      <c r="V599" s="66"/>
      <c r="W599" s="66"/>
      <c r="X599" s="66"/>
      <c r="Y599" s="66"/>
      <c r="Z599" s="66"/>
      <c r="AA599" s="66"/>
      <c r="AB599" s="66"/>
      <c r="AC599" s="66"/>
    </row>
    <row r="600">
      <c r="A600" s="327"/>
      <c r="B600" s="66"/>
      <c r="C600" s="66"/>
      <c r="D600" s="327"/>
      <c r="E600" s="66"/>
      <c r="F600" s="66"/>
      <c r="G600" s="327"/>
      <c r="H600" s="66"/>
      <c r="I600" s="66"/>
      <c r="J600" s="327"/>
      <c r="K600" s="66"/>
      <c r="L600" s="66"/>
      <c r="M600" s="66"/>
      <c r="N600" s="66"/>
      <c r="O600" s="66"/>
      <c r="P600" s="66"/>
      <c r="Q600" s="66"/>
      <c r="R600" s="66"/>
      <c r="S600" s="66"/>
      <c r="T600" s="66"/>
      <c r="U600" s="66"/>
      <c r="V600" s="66"/>
      <c r="W600" s="66"/>
      <c r="X600" s="66"/>
      <c r="Y600" s="66"/>
      <c r="Z600" s="66"/>
      <c r="AA600" s="66"/>
      <c r="AB600" s="66"/>
      <c r="AC600" s="66"/>
    </row>
    <row r="601">
      <c r="A601" s="327"/>
      <c r="B601" s="66"/>
      <c r="C601" s="66"/>
      <c r="D601" s="327"/>
      <c r="E601" s="66"/>
      <c r="F601" s="66"/>
      <c r="G601" s="327"/>
      <c r="H601" s="66"/>
      <c r="I601" s="66"/>
      <c r="J601" s="327"/>
      <c r="K601" s="66"/>
      <c r="L601" s="66"/>
      <c r="M601" s="66"/>
      <c r="N601" s="66"/>
      <c r="O601" s="66"/>
      <c r="P601" s="66"/>
      <c r="Q601" s="66"/>
      <c r="R601" s="66"/>
      <c r="S601" s="66"/>
      <c r="T601" s="66"/>
      <c r="U601" s="66"/>
      <c r="V601" s="66"/>
      <c r="W601" s="66"/>
      <c r="X601" s="66"/>
      <c r="Y601" s="66"/>
      <c r="Z601" s="66"/>
      <c r="AA601" s="66"/>
      <c r="AB601" s="66"/>
      <c r="AC601" s="66"/>
    </row>
    <row r="602">
      <c r="A602" s="327"/>
      <c r="B602" s="66"/>
      <c r="C602" s="66"/>
      <c r="D602" s="327"/>
      <c r="E602" s="66"/>
      <c r="F602" s="66"/>
      <c r="G602" s="327"/>
      <c r="H602" s="66"/>
      <c r="I602" s="66"/>
      <c r="J602" s="327"/>
      <c r="K602" s="66"/>
      <c r="L602" s="66"/>
      <c r="M602" s="66"/>
      <c r="N602" s="66"/>
      <c r="O602" s="66"/>
      <c r="P602" s="66"/>
      <c r="Q602" s="66"/>
      <c r="R602" s="66"/>
      <c r="S602" s="66"/>
      <c r="T602" s="66"/>
      <c r="U602" s="66"/>
      <c r="V602" s="66"/>
      <c r="W602" s="66"/>
      <c r="X602" s="66"/>
      <c r="Y602" s="66"/>
      <c r="Z602" s="66"/>
      <c r="AA602" s="66"/>
      <c r="AB602" s="66"/>
      <c r="AC602" s="66"/>
    </row>
    <row r="603">
      <c r="A603" s="327"/>
      <c r="B603" s="66"/>
      <c r="C603" s="66"/>
      <c r="D603" s="327"/>
      <c r="E603" s="66"/>
      <c r="F603" s="66"/>
      <c r="G603" s="327"/>
      <c r="H603" s="66"/>
      <c r="I603" s="66"/>
      <c r="J603" s="327"/>
      <c r="K603" s="66"/>
      <c r="L603" s="66"/>
      <c r="M603" s="66"/>
      <c r="N603" s="66"/>
      <c r="O603" s="66"/>
      <c r="P603" s="66"/>
      <c r="Q603" s="66"/>
      <c r="R603" s="66"/>
      <c r="S603" s="66"/>
      <c r="T603" s="66"/>
      <c r="U603" s="66"/>
      <c r="V603" s="66"/>
      <c r="W603" s="66"/>
      <c r="X603" s="66"/>
      <c r="Y603" s="66"/>
      <c r="Z603" s="66"/>
      <c r="AA603" s="66"/>
      <c r="AB603" s="66"/>
      <c r="AC603" s="66"/>
    </row>
    <row r="604">
      <c r="A604" s="327"/>
      <c r="B604" s="66"/>
      <c r="C604" s="66"/>
      <c r="D604" s="327"/>
      <c r="E604" s="66"/>
      <c r="F604" s="66"/>
      <c r="G604" s="327"/>
      <c r="H604" s="66"/>
      <c r="I604" s="66"/>
      <c r="J604" s="327"/>
      <c r="K604" s="66"/>
      <c r="L604" s="66"/>
      <c r="M604" s="66"/>
      <c r="N604" s="66"/>
      <c r="O604" s="66"/>
      <c r="P604" s="66"/>
      <c r="Q604" s="66"/>
      <c r="R604" s="66"/>
      <c r="S604" s="66"/>
      <c r="T604" s="66"/>
      <c r="U604" s="66"/>
      <c r="V604" s="66"/>
      <c r="W604" s="66"/>
      <c r="X604" s="66"/>
      <c r="Y604" s="66"/>
      <c r="Z604" s="66"/>
      <c r="AA604" s="66"/>
      <c r="AB604" s="66"/>
      <c r="AC604" s="66"/>
    </row>
    <row r="605">
      <c r="A605" s="327"/>
      <c r="B605" s="66"/>
      <c r="C605" s="66"/>
      <c r="D605" s="327"/>
      <c r="E605" s="66"/>
      <c r="F605" s="66"/>
      <c r="G605" s="327"/>
      <c r="H605" s="66"/>
      <c r="I605" s="66"/>
      <c r="J605" s="327"/>
      <c r="K605" s="66"/>
      <c r="L605" s="66"/>
      <c r="M605" s="66"/>
      <c r="N605" s="66"/>
      <c r="O605" s="66"/>
      <c r="P605" s="66"/>
      <c r="Q605" s="66"/>
      <c r="R605" s="66"/>
      <c r="S605" s="66"/>
      <c r="T605" s="66"/>
      <c r="U605" s="66"/>
      <c r="V605" s="66"/>
      <c r="W605" s="66"/>
      <c r="X605" s="66"/>
      <c r="Y605" s="66"/>
      <c r="Z605" s="66"/>
      <c r="AA605" s="66"/>
      <c r="AB605" s="66"/>
      <c r="AC605" s="66"/>
    </row>
    <row r="606">
      <c r="A606" s="327"/>
      <c r="B606" s="66"/>
      <c r="C606" s="66"/>
      <c r="D606" s="327"/>
      <c r="E606" s="66"/>
      <c r="F606" s="66"/>
      <c r="G606" s="327"/>
      <c r="H606" s="66"/>
      <c r="I606" s="66"/>
      <c r="J606" s="327"/>
      <c r="K606" s="66"/>
      <c r="L606" s="66"/>
      <c r="M606" s="66"/>
      <c r="N606" s="66"/>
      <c r="O606" s="66"/>
      <c r="P606" s="66"/>
      <c r="Q606" s="66"/>
      <c r="R606" s="66"/>
      <c r="S606" s="66"/>
      <c r="T606" s="66"/>
      <c r="U606" s="66"/>
      <c r="V606" s="66"/>
      <c r="W606" s="66"/>
      <c r="X606" s="66"/>
      <c r="Y606" s="66"/>
      <c r="Z606" s="66"/>
      <c r="AA606" s="66"/>
      <c r="AB606" s="66"/>
      <c r="AC606" s="66"/>
    </row>
    <row r="607">
      <c r="A607" s="327"/>
      <c r="B607" s="66"/>
      <c r="C607" s="66"/>
      <c r="D607" s="327"/>
      <c r="E607" s="66"/>
      <c r="F607" s="66"/>
      <c r="G607" s="327"/>
      <c r="H607" s="66"/>
      <c r="I607" s="66"/>
      <c r="J607" s="327"/>
      <c r="K607" s="66"/>
      <c r="L607" s="66"/>
      <c r="M607" s="66"/>
      <c r="N607" s="66"/>
      <c r="O607" s="66"/>
      <c r="P607" s="66"/>
      <c r="Q607" s="66"/>
      <c r="R607" s="66"/>
      <c r="S607" s="66"/>
      <c r="T607" s="66"/>
      <c r="U607" s="66"/>
      <c r="V607" s="66"/>
      <c r="W607" s="66"/>
      <c r="X607" s="66"/>
      <c r="Y607" s="66"/>
      <c r="Z607" s="66"/>
      <c r="AA607" s="66"/>
      <c r="AB607" s="66"/>
      <c r="AC607" s="66"/>
    </row>
    <row r="608">
      <c r="A608" s="327"/>
      <c r="B608" s="66"/>
      <c r="C608" s="66"/>
      <c r="D608" s="327"/>
      <c r="E608" s="66"/>
      <c r="F608" s="66"/>
      <c r="G608" s="327"/>
      <c r="H608" s="66"/>
      <c r="I608" s="66"/>
      <c r="J608" s="327"/>
      <c r="K608" s="66"/>
      <c r="L608" s="66"/>
      <c r="M608" s="66"/>
      <c r="N608" s="66"/>
      <c r="O608" s="66"/>
      <c r="P608" s="66"/>
      <c r="Q608" s="66"/>
      <c r="R608" s="66"/>
      <c r="S608" s="66"/>
      <c r="T608" s="66"/>
      <c r="U608" s="66"/>
      <c r="V608" s="66"/>
      <c r="W608" s="66"/>
      <c r="X608" s="66"/>
      <c r="Y608" s="66"/>
      <c r="Z608" s="66"/>
      <c r="AA608" s="66"/>
      <c r="AB608" s="66"/>
      <c r="AC608" s="66"/>
    </row>
    <row r="609">
      <c r="A609" s="327"/>
      <c r="B609" s="66"/>
      <c r="C609" s="66"/>
      <c r="D609" s="327"/>
      <c r="E609" s="66"/>
      <c r="F609" s="66"/>
      <c r="G609" s="327"/>
      <c r="H609" s="66"/>
      <c r="I609" s="66"/>
      <c r="J609" s="327"/>
      <c r="K609" s="66"/>
      <c r="L609" s="66"/>
      <c r="M609" s="66"/>
      <c r="N609" s="66"/>
      <c r="O609" s="66"/>
      <c r="P609" s="66"/>
      <c r="Q609" s="66"/>
      <c r="R609" s="66"/>
      <c r="S609" s="66"/>
      <c r="T609" s="66"/>
      <c r="U609" s="66"/>
      <c r="V609" s="66"/>
      <c r="W609" s="66"/>
      <c r="X609" s="66"/>
      <c r="Y609" s="66"/>
      <c r="Z609" s="66"/>
      <c r="AA609" s="66"/>
      <c r="AB609" s="66"/>
      <c r="AC609" s="66"/>
    </row>
    <row r="610">
      <c r="A610" s="327"/>
      <c r="B610" s="66"/>
      <c r="C610" s="66"/>
      <c r="D610" s="327"/>
      <c r="E610" s="66"/>
      <c r="F610" s="66"/>
      <c r="G610" s="327"/>
      <c r="H610" s="66"/>
      <c r="I610" s="66"/>
      <c r="J610" s="327"/>
      <c r="K610" s="66"/>
      <c r="L610" s="66"/>
      <c r="M610" s="66"/>
      <c r="N610" s="66"/>
      <c r="O610" s="66"/>
      <c r="P610" s="66"/>
      <c r="Q610" s="66"/>
      <c r="R610" s="66"/>
      <c r="S610" s="66"/>
      <c r="T610" s="66"/>
      <c r="U610" s="66"/>
      <c r="V610" s="66"/>
      <c r="W610" s="66"/>
      <c r="X610" s="66"/>
      <c r="Y610" s="66"/>
      <c r="Z610" s="66"/>
      <c r="AA610" s="66"/>
      <c r="AB610" s="66"/>
      <c r="AC610" s="66"/>
    </row>
    <row r="611">
      <c r="A611" s="327"/>
      <c r="B611" s="66"/>
      <c r="C611" s="66"/>
      <c r="D611" s="327"/>
      <c r="E611" s="66"/>
      <c r="F611" s="66"/>
      <c r="G611" s="327"/>
      <c r="H611" s="66"/>
      <c r="I611" s="66"/>
      <c r="J611" s="327"/>
      <c r="K611" s="66"/>
      <c r="L611" s="66"/>
      <c r="M611" s="66"/>
      <c r="N611" s="66"/>
      <c r="O611" s="66"/>
      <c r="P611" s="66"/>
      <c r="Q611" s="66"/>
      <c r="R611" s="66"/>
      <c r="S611" s="66"/>
      <c r="T611" s="66"/>
      <c r="U611" s="66"/>
      <c r="V611" s="66"/>
      <c r="W611" s="66"/>
      <c r="X611" s="66"/>
      <c r="Y611" s="66"/>
      <c r="Z611" s="66"/>
      <c r="AA611" s="66"/>
      <c r="AB611" s="66"/>
      <c r="AC611" s="66"/>
    </row>
    <row r="612">
      <c r="A612" s="327"/>
      <c r="B612" s="66"/>
      <c r="C612" s="66"/>
      <c r="D612" s="327"/>
      <c r="E612" s="66"/>
      <c r="F612" s="66"/>
      <c r="G612" s="327"/>
      <c r="H612" s="66"/>
      <c r="I612" s="66"/>
      <c r="J612" s="327"/>
      <c r="K612" s="66"/>
      <c r="L612" s="66"/>
      <c r="M612" s="66"/>
      <c r="N612" s="66"/>
      <c r="O612" s="66"/>
      <c r="P612" s="66"/>
      <c r="Q612" s="66"/>
      <c r="R612" s="66"/>
      <c r="S612" s="66"/>
      <c r="T612" s="66"/>
      <c r="U612" s="66"/>
      <c r="V612" s="66"/>
      <c r="W612" s="66"/>
      <c r="X612" s="66"/>
      <c r="Y612" s="66"/>
      <c r="Z612" s="66"/>
      <c r="AA612" s="66"/>
      <c r="AB612" s="66"/>
      <c r="AC612" s="66"/>
    </row>
    <row r="613">
      <c r="A613" s="327"/>
      <c r="B613" s="66"/>
      <c r="C613" s="66"/>
      <c r="D613" s="327"/>
      <c r="E613" s="66"/>
      <c r="F613" s="66"/>
      <c r="G613" s="327"/>
      <c r="H613" s="66"/>
      <c r="I613" s="66"/>
      <c r="J613" s="327"/>
      <c r="K613" s="66"/>
      <c r="L613" s="66"/>
      <c r="M613" s="66"/>
      <c r="N613" s="66"/>
      <c r="O613" s="66"/>
      <c r="P613" s="66"/>
      <c r="Q613" s="66"/>
      <c r="R613" s="66"/>
      <c r="S613" s="66"/>
      <c r="T613" s="66"/>
      <c r="U613" s="66"/>
      <c r="V613" s="66"/>
      <c r="W613" s="66"/>
      <c r="X613" s="66"/>
      <c r="Y613" s="66"/>
      <c r="Z613" s="66"/>
      <c r="AA613" s="66"/>
      <c r="AB613" s="66"/>
      <c r="AC613" s="66"/>
    </row>
    <row r="614">
      <c r="A614" s="327"/>
      <c r="B614" s="66"/>
      <c r="C614" s="66"/>
      <c r="D614" s="327"/>
      <c r="E614" s="66"/>
      <c r="F614" s="66"/>
      <c r="G614" s="327"/>
      <c r="H614" s="66"/>
      <c r="I614" s="66"/>
      <c r="J614" s="327"/>
      <c r="K614" s="66"/>
      <c r="L614" s="66"/>
      <c r="M614" s="66"/>
      <c r="N614" s="66"/>
      <c r="O614" s="66"/>
      <c r="P614" s="66"/>
      <c r="Q614" s="66"/>
      <c r="R614" s="66"/>
      <c r="S614" s="66"/>
      <c r="T614" s="66"/>
      <c r="U614" s="66"/>
      <c r="V614" s="66"/>
      <c r="W614" s="66"/>
      <c r="X614" s="66"/>
      <c r="Y614" s="66"/>
      <c r="Z614" s="66"/>
      <c r="AA614" s="66"/>
      <c r="AB614" s="66"/>
      <c r="AC614" s="66"/>
    </row>
    <row r="615">
      <c r="A615" s="327"/>
      <c r="B615" s="66"/>
      <c r="C615" s="66"/>
      <c r="D615" s="327"/>
      <c r="E615" s="66"/>
      <c r="F615" s="66"/>
      <c r="G615" s="327"/>
      <c r="H615" s="66"/>
      <c r="I615" s="66"/>
      <c r="J615" s="327"/>
      <c r="K615" s="66"/>
      <c r="L615" s="66"/>
      <c r="M615" s="66"/>
      <c r="N615" s="66"/>
      <c r="O615" s="66"/>
      <c r="P615" s="66"/>
      <c r="Q615" s="66"/>
      <c r="R615" s="66"/>
      <c r="S615" s="66"/>
      <c r="T615" s="66"/>
      <c r="U615" s="66"/>
      <c r="V615" s="66"/>
      <c r="W615" s="66"/>
      <c r="X615" s="66"/>
      <c r="Y615" s="66"/>
      <c r="Z615" s="66"/>
      <c r="AA615" s="66"/>
      <c r="AB615" s="66"/>
      <c r="AC615" s="66"/>
    </row>
    <row r="616">
      <c r="A616" s="327"/>
      <c r="B616" s="66"/>
      <c r="C616" s="66"/>
      <c r="D616" s="327"/>
      <c r="E616" s="66"/>
      <c r="F616" s="66"/>
      <c r="G616" s="327"/>
      <c r="H616" s="66"/>
      <c r="I616" s="66"/>
      <c r="J616" s="327"/>
      <c r="K616" s="66"/>
      <c r="L616" s="66"/>
      <c r="M616" s="66"/>
      <c r="N616" s="66"/>
      <c r="O616" s="66"/>
      <c r="P616" s="66"/>
      <c r="Q616" s="66"/>
      <c r="R616" s="66"/>
      <c r="S616" s="66"/>
      <c r="T616" s="66"/>
      <c r="U616" s="66"/>
      <c r="V616" s="66"/>
      <c r="W616" s="66"/>
      <c r="X616" s="66"/>
      <c r="Y616" s="66"/>
      <c r="Z616" s="66"/>
      <c r="AA616" s="66"/>
      <c r="AB616" s="66"/>
      <c r="AC616" s="66"/>
    </row>
    <row r="617">
      <c r="A617" s="327"/>
      <c r="B617" s="66"/>
      <c r="C617" s="66"/>
      <c r="D617" s="327"/>
      <c r="E617" s="66"/>
      <c r="F617" s="66"/>
      <c r="G617" s="327"/>
      <c r="H617" s="66"/>
      <c r="I617" s="66"/>
      <c r="J617" s="327"/>
      <c r="K617" s="66"/>
      <c r="L617" s="66"/>
      <c r="M617" s="66"/>
      <c r="N617" s="66"/>
      <c r="O617" s="66"/>
      <c r="P617" s="66"/>
      <c r="Q617" s="66"/>
      <c r="R617" s="66"/>
      <c r="S617" s="66"/>
      <c r="T617" s="66"/>
      <c r="U617" s="66"/>
      <c r="V617" s="66"/>
      <c r="W617" s="66"/>
      <c r="X617" s="66"/>
      <c r="Y617" s="66"/>
      <c r="Z617" s="66"/>
      <c r="AA617" s="66"/>
      <c r="AB617" s="66"/>
      <c r="AC617" s="66"/>
    </row>
    <row r="618">
      <c r="A618" s="327"/>
      <c r="B618" s="66"/>
      <c r="C618" s="66"/>
      <c r="D618" s="327"/>
      <c r="E618" s="66"/>
      <c r="F618" s="66"/>
      <c r="G618" s="327"/>
      <c r="H618" s="66"/>
      <c r="I618" s="66"/>
      <c r="J618" s="327"/>
      <c r="K618" s="66"/>
      <c r="L618" s="66"/>
      <c r="M618" s="66"/>
      <c r="N618" s="66"/>
      <c r="O618" s="66"/>
      <c r="P618" s="66"/>
      <c r="Q618" s="66"/>
      <c r="R618" s="66"/>
      <c r="S618" s="66"/>
      <c r="T618" s="66"/>
      <c r="U618" s="66"/>
      <c r="V618" s="66"/>
      <c r="W618" s="66"/>
      <c r="X618" s="66"/>
      <c r="Y618" s="66"/>
      <c r="Z618" s="66"/>
      <c r="AA618" s="66"/>
      <c r="AB618" s="66"/>
      <c r="AC618" s="66"/>
    </row>
    <row r="619">
      <c r="A619" s="327"/>
      <c r="B619" s="66"/>
      <c r="C619" s="66"/>
      <c r="D619" s="327"/>
      <c r="E619" s="66"/>
      <c r="F619" s="66"/>
      <c r="G619" s="327"/>
      <c r="H619" s="66"/>
      <c r="I619" s="66"/>
      <c r="J619" s="327"/>
      <c r="K619" s="66"/>
      <c r="L619" s="66"/>
      <c r="M619" s="66"/>
      <c r="N619" s="66"/>
      <c r="O619" s="66"/>
      <c r="P619" s="66"/>
      <c r="Q619" s="66"/>
      <c r="R619" s="66"/>
      <c r="S619" s="66"/>
      <c r="T619" s="66"/>
      <c r="U619" s="66"/>
      <c r="V619" s="66"/>
      <c r="W619" s="66"/>
      <c r="X619" s="66"/>
      <c r="Y619" s="66"/>
      <c r="Z619" s="66"/>
      <c r="AA619" s="66"/>
      <c r="AB619" s="66"/>
      <c r="AC619" s="66"/>
    </row>
    <row r="620">
      <c r="A620" s="327"/>
      <c r="B620" s="66"/>
      <c r="C620" s="66"/>
      <c r="D620" s="327"/>
      <c r="E620" s="66"/>
      <c r="F620" s="66"/>
      <c r="G620" s="327"/>
      <c r="H620" s="66"/>
      <c r="I620" s="66"/>
      <c r="J620" s="327"/>
      <c r="K620" s="66"/>
      <c r="L620" s="66"/>
      <c r="M620" s="66"/>
      <c r="N620" s="66"/>
      <c r="O620" s="66"/>
      <c r="P620" s="66"/>
      <c r="Q620" s="66"/>
      <c r="R620" s="66"/>
      <c r="S620" s="66"/>
      <c r="T620" s="66"/>
      <c r="U620" s="66"/>
      <c r="V620" s="66"/>
      <c r="W620" s="66"/>
      <c r="X620" s="66"/>
      <c r="Y620" s="66"/>
      <c r="Z620" s="66"/>
      <c r="AA620" s="66"/>
      <c r="AB620" s="66"/>
      <c r="AC620" s="66"/>
    </row>
    <row r="621">
      <c r="A621" s="327"/>
      <c r="B621" s="66"/>
      <c r="C621" s="66"/>
      <c r="D621" s="327"/>
      <c r="E621" s="66"/>
      <c r="F621" s="66"/>
      <c r="G621" s="327"/>
      <c r="H621" s="66"/>
      <c r="I621" s="66"/>
      <c r="J621" s="327"/>
      <c r="K621" s="66"/>
      <c r="L621" s="66"/>
      <c r="M621" s="66"/>
      <c r="N621" s="66"/>
      <c r="O621" s="66"/>
      <c r="P621" s="66"/>
      <c r="Q621" s="66"/>
      <c r="R621" s="66"/>
      <c r="S621" s="66"/>
      <c r="T621" s="66"/>
      <c r="U621" s="66"/>
      <c r="V621" s="66"/>
      <c r="W621" s="66"/>
      <c r="X621" s="66"/>
      <c r="Y621" s="66"/>
      <c r="Z621" s="66"/>
      <c r="AA621" s="66"/>
      <c r="AB621" s="66"/>
      <c r="AC621" s="66"/>
    </row>
    <row r="622">
      <c r="A622" s="327"/>
      <c r="B622" s="66"/>
      <c r="C622" s="66"/>
      <c r="D622" s="327"/>
      <c r="E622" s="66"/>
      <c r="F622" s="66"/>
      <c r="G622" s="327"/>
      <c r="H622" s="66"/>
      <c r="I622" s="66"/>
      <c r="J622" s="327"/>
      <c r="K622" s="66"/>
      <c r="L622" s="66"/>
      <c r="M622" s="66"/>
      <c r="N622" s="66"/>
      <c r="O622" s="66"/>
      <c r="P622" s="66"/>
      <c r="Q622" s="66"/>
      <c r="R622" s="66"/>
      <c r="S622" s="66"/>
      <c r="T622" s="66"/>
      <c r="U622" s="66"/>
      <c r="V622" s="66"/>
      <c r="W622" s="66"/>
      <c r="X622" s="66"/>
      <c r="Y622" s="66"/>
      <c r="Z622" s="66"/>
      <c r="AA622" s="66"/>
      <c r="AB622" s="66"/>
      <c r="AC622" s="66"/>
    </row>
    <row r="623">
      <c r="A623" s="327"/>
      <c r="B623" s="66"/>
      <c r="C623" s="66"/>
      <c r="D623" s="327"/>
      <c r="E623" s="66"/>
      <c r="F623" s="66"/>
      <c r="G623" s="327"/>
      <c r="H623" s="66"/>
      <c r="I623" s="66"/>
      <c r="J623" s="327"/>
      <c r="K623" s="66"/>
      <c r="L623" s="66"/>
      <c r="M623" s="66"/>
      <c r="N623" s="66"/>
      <c r="O623" s="66"/>
      <c r="P623" s="66"/>
      <c r="Q623" s="66"/>
      <c r="R623" s="66"/>
      <c r="S623" s="66"/>
      <c r="T623" s="66"/>
      <c r="U623" s="66"/>
      <c r="V623" s="66"/>
      <c r="W623" s="66"/>
      <c r="X623" s="66"/>
      <c r="Y623" s="66"/>
      <c r="Z623" s="66"/>
      <c r="AA623" s="66"/>
      <c r="AB623" s="66"/>
      <c r="AC623" s="66"/>
    </row>
    <row r="624">
      <c r="A624" s="327"/>
      <c r="B624" s="66"/>
      <c r="C624" s="66"/>
      <c r="D624" s="327"/>
      <c r="E624" s="66"/>
      <c r="F624" s="66"/>
      <c r="G624" s="327"/>
      <c r="H624" s="66"/>
      <c r="I624" s="66"/>
      <c r="J624" s="327"/>
      <c r="K624" s="66"/>
      <c r="L624" s="66"/>
      <c r="M624" s="66"/>
      <c r="N624" s="66"/>
      <c r="O624" s="66"/>
      <c r="P624" s="66"/>
      <c r="Q624" s="66"/>
      <c r="R624" s="66"/>
      <c r="S624" s="66"/>
      <c r="T624" s="66"/>
      <c r="U624" s="66"/>
      <c r="V624" s="66"/>
      <c r="W624" s="66"/>
      <c r="X624" s="66"/>
      <c r="Y624" s="66"/>
      <c r="Z624" s="66"/>
      <c r="AA624" s="66"/>
      <c r="AB624" s="66"/>
      <c r="AC624" s="66"/>
    </row>
    <row r="625">
      <c r="A625" s="327"/>
      <c r="B625" s="66"/>
      <c r="C625" s="66"/>
      <c r="D625" s="327"/>
      <c r="E625" s="66"/>
      <c r="F625" s="66"/>
      <c r="G625" s="327"/>
      <c r="H625" s="66"/>
      <c r="I625" s="66"/>
      <c r="J625" s="327"/>
      <c r="K625" s="66"/>
      <c r="L625" s="66"/>
      <c r="M625" s="66"/>
      <c r="N625" s="66"/>
      <c r="O625" s="66"/>
      <c r="P625" s="66"/>
      <c r="Q625" s="66"/>
      <c r="R625" s="66"/>
      <c r="S625" s="66"/>
      <c r="T625" s="66"/>
      <c r="U625" s="66"/>
      <c r="V625" s="66"/>
      <c r="W625" s="66"/>
      <c r="X625" s="66"/>
      <c r="Y625" s="66"/>
      <c r="Z625" s="66"/>
      <c r="AA625" s="66"/>
      <c r="AB625" s="66"/>
      <c r="AC625" s="66"/>
    </row>
    <row r="626">
      <c r="A626" s="327"/>
      <c r="B626" s="66"/>
      <c r="C626" s="66"/>
      <c r="D626" s="327"/>
      <c r="E626" s="66"/>
      <c r="F626" s="66"/>
      <c r="G626" s="327"/>
      <c r="H626" s="66"/>
      <c r="I626" s="66"/>
      <c r="J626" s="327"/>
      <c r="K626" s="66"/>
      <c r="L626" s="66"/>
      <c r="M626" s="66"/>
      <c r="N626" s="66"/>
      <c r="O626" s="66"/>
      <c r="P626" s="66"/>
      <c r="Q626" s="66"/>
      <c r="R626" s="66"/>
      <c r="S626" s="66"/>
      <c r="T626" s="66"/>
      <c r="U626" s="66"/>
      <c r="V626" s="66"/>
      <c r="W626" s="66"/>
      <c r="X626" s="66"/>
      <c r="Y626" s="66"/>
      <c r="Z626" s="66"/>
      <c r="AA626" s="66"/>
      <c r="AB626" s="66"/>
      <c r="AC626" s="66"/>
    </row>
    <row r="627">
      <c r="A627" s="327"/>
      <c r="B627" s="66"/>
      <c r="C627" s="66"/>
      <c r="D627" s="327"/>
      <c r="E627" s="66"/>
      <c r="F627" s="66"/>
      <c r="G627" s="327"/>
      <c r="H627" s="66"/>
      <c r="I627" s="66"/>
      <c r="J627" s="327"/>
      <c r="K627" s="66"/>
      <c r="L627" s="66"/>
      <c r="M627" s="66"/>
      <c r="N627" s="66"/>
      <c r="O627" s="66"/>
      <c r="P627" s="66"/>
      <c r="Q627" s="66"/>
      <c r="R627" s="66"/>
      <c r="S627" s="66"/>
      <c r="T627" s="66"/>
      <c r="U627" s="66"/>
      <c r="V627" s="66"/>
      <c r="W627" s="66"/>
      <c r="X627" s="66"/>
      <c r="Y627" s="66"/>
      <c r="Z627" s="66"/>
      <c r="AA627" s="66"/>
      <c r="AB627" s="66"/>
      <c r="AC627" s="66"/>
    </row>
    <row r="628">
      <c r="A628" s="327"/>
      <c r="B628" s="66"/>
      <c r="C628" s="66"/>
      <c r="D628" s="327"/>
      <c r="E628" s="66"/>
      <c r="F628" s="66"/>
      <c r="G628" s="327"/>
      <c r="H628" s="66"/>
      <c r="I628" s="66"/>
      <c r="J628" s="327"/>
      <c r="K628" s="66"/>
      <c r="L628" s="66"/>
      <c r="M628" s="66"/>
      <c r="N628" s="66"/>
      <c r="O628" s="66"/>
      <c r="P628" s="66"/>
      <c r="Q628" s="66"/>
      <c r="R628" s="66"/>
      <c r="S628" s="66"/>
      <c r="T628" s="66"/>
      <c r="U628" s="66"/>
      <c r="V628" s="66"/>
      <c r="W628" s="66"/>
      <c r="X628" s="66"/>
      <c r="Y628" s="66"/>
      <c r="Z628" s="66"/>
      <c r="AA628" s="66"/>
      <c r="AB628" s="66"/>
      <c r="AC628" s="66"/>
    </row>
    <row r="629">
      <c r="A629" s="327"/>
      <c r="B629" s="66"/>
      <c r="C629" s="66"/>
      <c r="D629" s="327"/>
      <c r="E629" s="66"/>
      <c r="F629" s="66"/>
      <c r="G629" s="327"/>
      <c r="H629" s="66"/>
      <c r="I629" s="66"/>
      <c r="J629" s="327"/>
      <c r="K629" s="66"/>
      <c r="L629" s="66"/>
      <c r="M629" s="66"/>
      <c r="N629" s="66"/>
      <c r="O629" s="66"/>
      <c r="P629" s="66"/>
      <c r="Q629" s="66"/>
      <c r="R629" s="66"/>
      <c r="S629" s="66"/>
      <c r="T629" s="66"/>
      <c r="U629" s="66"/>
      <c r="V629" s="66"/>
      <c r="W629" s="66"/>
      <c r="X629" s="66"/>
      <c r="Y629" s="66"/>
      <c r="Z629" s="66"/>
      <c r="AA629" s="66"/>
      <c r="AB629" s="66"/>
      <c r="AC629" s="66"/>
    </row>
    <row r="630">
      <c r="A630" s="327"/>
      <c r="B630" s="66"/>
      <c r="C630" s="66"/>
      <c r="D630" s="327"/>
      <c r="E630" s="66"/>
      <c r="F630" s="66"/>
      <c r="G630" s="327"/>
      <c r="H630" s="66"/>
      <c r="I630" s="66"/>
      <c r="J630" s="327"/>
      <c r="K630" s="66"/>
      <c r="L630" s="66"/>
      <c r="M630" s="66"/>
      <c r="N630" s="66"/>
      <c r="O630" s="66"/>
      <c r="P630" s="66"/>
      <c r="Q630" s="66"/>
      <c r="R630" s="66"/>
      <c r="S630" s="66"/>
      <c r="T630" s="66"/>
      <c r="U630" s="66"/>
      <c r="V630" s="66"/>
      <c r="W630" s="66"/>
      <c r="X630" s="66"/>
      <c r="Y630" s="66"/>
      <c r="Z630" s="66"/>
      <c r="AA630" s="66"/>
      <c r="AB630" s="66"/>
      <c r="AC630" s="66"/>
    </row>
    <row r="631">
      <c r="A631" s="327"/>
      <c r="B631" s="66"/>
      <c r="C631" s="66"/>
      <c r="D631" s="327"/>
      <c r="E631" s="66"/>
      <c r="F631" s="66"/>
      <c r="G631" s="327"/>
      <c r="H631" s="66"/>
      <c r="I631" s="66"/>
      <c r="J631" s="327"/>
      <c r="K631" s="66"/>
      <c r="L631" s="66"/>
      <c r="M631" s="66"/>
      <c r="N631" s="66"/>
      <c r="O631" s="66"/>
      <c r="P631" s="66"/>
      <c r="Q631" s="66"/>
      <c r="R631" s="66"/>
      <c r="S631" s="66"/>
      <c r="T631" s="66"/>
      <c r="U631" s="66"/>
      <c r="V631" s="66"/>
      <c r="W631" s="66"/>
      <c r="X631" s="66"/>
      <c r="Y631" s="66"/>
      <c r="Z631" s="66"/>
      <c r="AA631" s="66"/>
      <c r="AB631" s="66"/>
      <c r="AC631" s="66"/>
    </row>
    <row r="632">
      <c r="A632" s="327"/>
      <c r="B632" s="66"/>
      <c r="C632" s="66"/>
      <c r="D632" s="327"/>
      <c r="E632" s="66"/>
      <c r="F632" s="66"/>
      <c r="G632" s="327"/>
      <c r="H632" s="66"/>
      <c r="I632" s="66"/>
      <c r="J632" s="327"/>
      <c r="K632" s="66"/>
      <c r="L632" s="66"/>
      <c r="M632" s="66"/>
      <c r="N632" s="66"/>
      <c r="O632" s="66"/>
      <c r="P632" s="66"/>
      <c r="Q632" s="66"/>
      <c r="R632" s="66"/>
      <c r="S632" s="66"/>
      <c r="T632" s="66"/>
      <c r="U632" s="66"/>
      <c r="V632" s="66"/>
      <c r="W632" s="66"/>
      <c r="X632" s="66"/>
      <c r="Y632" s="66"/>
      <c r="Z632" s="66"/>
      <c r="AA632" s="66"/>
      <c r="AB632" s="66"/>
      <c r="AC632" s="66"/>
    </row>
    <row r="633">
      <c r="A633" s="327"/>
      <c r="B633" s="66"/>
      <c r="C633" s="66"/>
      <c r="D633" s="327"/>
      <c r="E633" s="66"/>
      <c r="F633" s="66"/>
      <c r="G633" s="327"/>
      <c r="H633" s="66"/>
      <c r="I633" s="66"/>
      <c r="J633" s="327"/>
      <c r="K633" s="66"/>
      <c r="L633" s="66"/>
      <c r="M633" s="66"/>
      <c r="N633" s="66"/>
      <c r="O633" s="66"/>
      <c r="P633" s="66"/>
      <c r="Q633" s="66"/>
      <c r="R633" s="66"/>
      <c r="S633" s="66"/>
      <c r="T633" s="66"/>
      <c r="U633" s="66"/>
      <c r="V633" s="66"/>
      <c r="W633" s="66"/>
      <c r="X633" s="66"/>
      <c r="Y633" s="66"/>
      <c r="Z633" s="66"/>
      <c r="AA633" s="66"/>
      <c r="AB633" s="66"/>
      <c r="AC633" s="66"/>
    </row>
    <row r="634">
      <c r="A634" s="327"/>
      <c r="B634" s="66"/>
      <c r="C634" s="66"/>
      <c r="D634" s="327"/>
      <c r="E634" s="66"/>
      <c r="F634" s="66"/>
      <c r="G634" s="327"/>
      <c r="H634" s="66"/>
      <c r="I634" s="66"/>
      <c r="J634" s="327"/>
      <c r="K634" s="66"/>
      <c r="L634" s="66"/>
      <c r="M634" s="66"/>
      <c r="N634" s="66"/>
      <c r="O634" s="66"/>
      <c r="P634" s="66"/>
      <c r="Q634" s="66"/>
      <c r="R634" s="66"/>
      <c r="S634" s="66"/>
      <c r="T634" s="66"/>
      <c r="U634" s="66"/>
      <c r="V634" s="66"/>
      <c r="W634" s="66"/>
      <c r="X634" s="66"/>
      <c r="Y634" s="66"/>
      <c r="Z634" s="66"/>
      <c r="AA634" s="66"/>
      <c r="AB634" s="66"/>
      <c r="AC634" s="66"/>
    </row>
    <row r="635">
      <c r="A635" s="327"/>
      <c r="B635" s="66"/>
      <c r="C635" s="66"/>
      <c r="D635" s="327"/>
      <c r="E635" s="66"/>
      <c r="F635" s="66"/>
      <c r="G635" s="327"/>
      <c r="H635" s="66"/>
      <c r="I635" s="66"/>
      <c r="J635" s="327"/>
      <c r="K635" s="66"/>
      <c r="L635" s="66"/>
      <c r="M635" s="66"/>
      <c r="N635" s="66"/>
      <c r="O635" s="66"/>
      <c r="P635" s="66"/>
      <c r="Q635" s="66"/>
      <c r="R635" s="66"/>
      <c r="S635" s="66"/>
      <c r="T635" s="66"/>
      <c r="U635" s="66"/>
      <c r="V635" s="66"/>
      <c r="W635" s="66"/>
      <c r="X635" s="66"/>
      <c r="Y635" s="66"/>
      <c r="Z635" s="66"/>
      <c r="AA635" s="66"/>
      <c r="AB635" s="66"/>
      <c r="AC635" s="66"/>
    </row>
    <row r="636">
      <c r="A636" s="327"/>
      <c r="B636" s="66"/>
      <c r="C636" s="66"/>
      <c r="D636" s="327"/>
      <c r="E636" s="66"/>
      <c r="F636" s="66"/>
      <c r="G636" s="327"/>
      <c r="H636" s="66"/>
      <c r="I636" s="66"/>
      <c r="J636" s="327"/>
      <c r="K636" s="66"/>
      <c r="L636" s="66"/>
      <c r="M636" s="66"/>
      <c r="N636" s="66"/>
      <c r="O636" s="66"/>
      <c r="P636" s="66"/>
      <c r="Q636" s="66"/>
      <c r="R636" s="66"/>
      <c r="S636" s="66"/>
      <c r="T636" s="66"/>
      <c r="U636" s="66"/>
      <c r="V636" s="66"/>
      <c r="W636" s="66"/>
      <c r="X636" s="66"/>
      <c r="Y636" s="66"/>
      <c r="Z636" s="66"/>
      <c r="AA636" s="66"/>
      <c r="AB636" s="66"/>
      <c r="AC636" s="66"/>
    </row>
    <row r="637">
      <c r="A637" s="327"/>
      <c r="B637" s="66"/>
      <c r="C637" s="66"/>
      <c r="D637" s="327"/>
      <c r="E637" s="66"/>
      <c r="F637" s="66"/>
      <c r="G637" s="327"/>
      <c r="H637" s="66"/>
      <c r="I637" s="66"/>
      <c r="J637" s="327"/>
      <c r="K637" s="66"/>
      <c r="L637" s="66"/>
      <c r="M637" s="66"/>
      <c r="N637" s="66"/>
      <c r="O637" s="66"/>
      <c r="P637" s="66"/>
      <c r="Q637" s="66"/>
      <c r="R637" s="66"/>
      <c r="S637" s="66"/>
      <c r="T637" s="66"/>
      <c r="U637" s="66"/>
      <c r="V637" s="66"/>
      <c r="W637" s="66"/>
      <c r="X637" s="66"/>
      <c r="Y637" s="66"/>
      <c r="Z637" s="66"/>
      <c r="AA637" s="66"/>
      <c r="AB637" s="66"/>
      <c r="AC637" s="66"/>
    </row>
    <row r="638">
      <c r="A638" s="327"/>
      <c r="B638" s="66"/>
      <c r="C638" s="66"/>
      <c r="D638" s="327"/>
      <c r="E638" s="66"/>
      <c r="F638" s="66"/>
      <c r="G638" s="327"/>
      <c r="H638" s="66"/>
      <c r="I638" s="66"/>
      <c r="J638" s="327"/>
      <c r="K638" s="66"/>
      <c r="L638" s="66"/>
      <c r="M638" s="66"/>
      <c r="N638" s="66"/>
      <c r="O638" s="66"/>
      <c r="P638" s="66"/>
      <c r="Q638" s="66"/>
      <c r="R638" s="66"/>
      <c r="S638" s="66"/>
      <c r="T638" s="66"/>
      <c r="U638" s="66"/>
      <c r="V638" s="66"/>
      <c r="W638" s="66"/>
      <c r="X638" s="66"/>
      <c r="Y638" s="66"/>
      <c r="Z638" s="66"/>
      <c r="AA638" s="66"/>
      <c r="AB638" s="66"/>
      <c r="AC638" s="66"/>
    </row>
    <row r="639">
      <c r="A639" s="327"/>
      <c r="B639" s="66"/>
      <c r="C639" s="66"/>
      <c r="D639" s="327"/>
      <c r="E639" s="66"/>
      <c r="F639" s="66"/>
      <c r="G639" s="327"/>
      <c r="H639" s="66"/>
      <c r="I639" s="66"/>
      <c r="J639" s="327"/>
      <c r="K639" s="66"/>
      <c r="L639" s="66"/>
      <c r="M639" s="66"/>
      <c r="N639" s="66"/>
      <c r="O639" s="66"/>
      <c r="P639" s="66"/>
      <c r="Q639" s="66"/>
      <c r="R639" s="66"/>
      <c r="S639" s="66"/>
      <c r="T639" s="66"/>
      <c r="U639" s="66"/>
      <c r="V639" s="66"/>
      <c r="W639" s="66"/>
      <c r="X639" s="66"/>
      <c r="Y639" s="66"/>
      <c r="Z639" s="66"/>
      <c r="AA639" s="66"/>
      <c r="AB639" s="66"/>
      <c r="AC639" s="66"/>
    </row>
    <row r="640">
      <c r="A640" s="327"/>
      <c r="B640" s="66"/>
      <c r="C640" s="66"/>
      <c r="D640" s="327"/>
      <c r="E640" s="66"/>
      <c r="F640" s="66"/>
      <c r="G640" s="327"/>
      <c r="H640" s="66"/>
      <c r="I640" s="66"/>
      <c r="J640" s="327"/>
      <c r="K640" s="66"/>
      <c r="L640" s="66"/>
      <c r="M640" s="66"/>
      <c r="N640" s="66"/>
      <c r="O640" s="66"/>
      <c r="P640" s="66"/>
      <c r="Q640" s="66"/>
      <c r="R640" s="66"/>
      <c r="S640" s="66"/>
      <c r="T640" s="66"/>
      <c r="U640" s="66"/>
      <c r="V640" s="66"/>
      <c r="W640" s="66"/>
      <c r="X640" s="66"/>
      <c r="Y640" s="66"/>
      <c r="Z640" s="66"/>
      <c r="AA640" s="66"/>
      <c r="AB640" s="66"/>
      <c r="AC640" s="66"/>
    </row>
    <row r="641">
      <c r="A641" s="327"/>
      <c r="B641" s="66"/>
      <c r="C641" s="66"/>
      <c r="D641" s="327"/>
      <c r="E641" s="66"/>
      <c r="F641" s="66"/>
      <c r="G641" s="327"/>
      <c r="H641" s="66"/>
      <c r="I641" s="66"/>
      <c r="J641" s="327"/>
      <c r="K641" s="66"/>
      <c r="L641" s="66"/>
      <c r="M641" s="66"/>
      <c r="N641" s="66"/>
      <c r="O641" s="66"/>
      <c r="P641" s="66"/>
      <c r="Q641" s="66"/>
      <c r="R641" s="66"/>
      <c r="S641" s="66"/>
      <c r="T641" s="66"/>
      <c r="U641" s="66"/>
      <c r="V641" s="66"/>
      <c r="W641" s="66"/>
      <c r="X641" s="66"/>
      <c r="Y641" s="66"/>
      <c r="Z641" s="66"/>
      <c r="AA641" s="66"/>
      <c r="AB641" s="66"/>
      <c r="AC641" s="66"/>
    </row>
    <row r="642">
      <c r="A642" s="327"/>
      <c r="B642" s="66"/>
      <c r="C642" s="66"/>
      <c r="D642" s="327"/>
      <c r="E642" s="66"/>
      <c r="F642" s="66"/>
      <c r="G642" s="327"/>
      <c r="H642" s="66"/>
      <c r="I642" s="66"/>
      <c r="J642" s="327"/>
      <c r="K642" s="66"/>
      <c r="L642" s="66"/>
      <c r="M642" s="66"/>
      <c r="N642" s="66"/>
      <c r="O642" s="66"/>
      <c r="P642" s="66"/>
      <c r="Q642" s="66"/>
      <c r="R642" s="66"/>
      <c r="S642" s="66"/>
      <c r="T642" s="66"/>
      <c r="U642" s="66"/>
      <c r="V642" s="66"/>
      <c r="W642" s="66"/>
      <c r="X642" s="66"/>
      <c r="Y642" s="66"/>
      <c r="Z642" s="66"/>
      <c r="AA642" s="66"/>
      <c r="AB642" s="66"/>
      <c r="AC642" s="66"/>
    </row>
    <row r="643">
      <c r="A643" s="327"/>
      <c r="B643" s="66"/>
      <c r="C643" s="66"/>
      <c r="D643" s="327"/>
      <c r="E643" s="66"/>
      <c r="F643" s="66"/>
      <c r="G643" s="327"/>
      <c r="H643" s="66"/>
      <c r="I643" s="66"/>
      <c r="J643" s="327"/>
      <c r="K643" s="66"/>
      <c r="L643" s="66"/>
      <c r="M643" s="66"/>
      <c r="N643" s="66"/>
      <c r="O643" s="66"/>
      <c r="P643" s="66"/>
      <c r="Q643" s="66"/>
      <c r="R643" s="66"/>
      <c r="S643" s="66"/>
      <c r="T643" s="66"/>
      <c r="U643" s="66"/>
      <c r="V643" s="66"/>
      <c r="W643" s="66"/>
      <c r="X643" s="66"/>
      <c r="Y643" s="66"/>
      <c r="Z643" s="66"/>
      <c r="AA643" s="66"/>
      <c r="AB643" s="66"/>
      <c r="AC643" s="66"/>
    </row>
    <row r="644">
      <c r="A644" s="327"/>
      <c r="B644" s="66"/>
      <c r="C644" s="66"/>
      <c r="D644" s="327"/>
      <c r="E644" s="66"/>
      <c r="F644" s="66"/>
      <c r="G644" s="327"/>
      <c r="H644" s="66"/>
      <c r="I644" s="66"/>
      <c r="J644" s="327"/>
      <c r="K644" s="66"/>
      <c r="L644" s="66"/>
      <c r="M644" s="66"/>
      <c r="N644" s="66"/>
      <c r="O644" s="66"/>
      <c r="P644" s="66"/>
      <c r="Q644" s="66"/>
      <c r="R644" s="66"/>
      <c r="S644" s="66"/>
      <c r="T644" s="66"/>
      <c r="U644" s="66"/>
      <c r="V644" s="66"/>
      <c r="W644" s="66"/>
      <c r="X644" s="66"/>
      <c r="Y644" s="66"/>
      <c r="Z644" s="66"/>
      <c r="AA644" s="66"/>
      <c r="AB644" s="66"/>
      <c r="AC644" s="66"/>
    </row>
    <row r="645">
      <c r="A645" s="327"/>
      <c r="B645" s="66"/>
      <c r="C645" s="66"/>
      <c r="D645" s="327"/>
      <c r="E645" s="66"/>
      <c r="F645" s="66"/>
      <c r="G645" s="327"/>
      <c r="H645" s="66"/>
      <c r="I645" s="66"/>
      <c r="J645" s="327"/>
      <c r="K645" s="66"/>
      <c r="L645" s="66"/>
      <c r="M645" s="66"/>
      <c r="N645" s="66"/>
      <c r="O645" s="66"/>
      <c r="P645" s="66"/>
      <c r="Q645" s="66"/>
      <c r="R645" s="66"/>
      <c r="S645" s="66"/>
      <c r="T645" s="66"/>
      <c r="U645" s="66"/>
      <c r="V645" s="66"/>
      <c r="W645" s="66"/>
      <c r="X645" s="66"/>
      <c r="Y645" s="66"/>
      <c r="Z645" s="66"/>
      <c r="AA645" s="66"/>
      <c r="AB645" s="66"/>
      <c r="AC645" s="66"/>
    </row>
    <row r="646">
      <c r="A646" s="327"/>
      <c r="B646" s="66"/>
      <c r="C646" s="66"/>
      <c r="D646" s="327"/>
      <c r="E646" s="66"/>
      <c r="F646" s="66"/>
      <c r="G646" s="327"/>
      <c r="H646" s="66"/>
      <c r="I646" s="66"/>
      <c r="J646" s="327"/>
      <c r="K646" s="66"/>
      <c r="L646" s="66"/>
      <c r="M646" s="66"/>
      <c r="N646" s="66"/>
      <c r="O646" s="66"/>
      <c r="P646" s="66"/>
      <c r="Q646" s="66"/>
      <c r="R646" s="66"/>
      <c r="S646" s="66"/>
      <c r="T646" s="66"/>
      <c r="U646" s="66"/>
      <c r="V646" s="66"/>
      <c r="W646" s="66"/>
      <c r="X646" s="66"/>
      <c r="Y646" s="66"/>
      <c r="Z646" s="66"/>
      <c r="AA646" s="66"/>
      <c r="AB646" s="66"/>
      <c r="AC646" s="66"/>
    </row>
    <row r="647">
      <c r="A647" s="327"/>
      <c r="B647" s="66"/>
      <c r="C647" s="66"/>
      <c r="D647" s="327"/>
      <c r="E647" s="66"/>
      <c r="F647" s="66"/>
      <c r="G647" s="327"/>
      <c r="H647" s="66"/>
      <c r="I647" s="66"/>
      <c r="J647" s="327"/>
      <c r="K647" s="66"/>
      <c r="L647" s="66"/>
      <c r="M647" s="66"/>
      <c r="N647" s="66"/>
      <c r="O647" s="66"/>
      <c r="P647" s="66"/>
      <c r="Q647" s="66"/>
      <c r="R647" s="66"/>
      <c r="S647" s="66"/>
      <c r="T647" s="66"/>
      <c r="U647" s="66"/>
      <c r="V647" s="66"/>
      <c r="W647" s="66"/>
      <c r="X647" s="66"/>
      <c r="Y647" s="66"/>
      <c r="Z647" s="66"/>
      <c r="AA647" s="66"/>
      <c r="AB647" s="66"/>
      <c r="AC647" s="66"/>
    </row>
    <row r="648">
      <c r="A648" s="327"/>
      <c r="B648" s="66"/>
      <c r="C648" s="66"/>
      <c r="D648" s="327"/>
      <c r="E648" s="66"/>
      <c r="F648" s="66"/>
      <c r="G648" s="327"/>
      <c r="H648" s="66"/>
      <c r="I648" s="66"/>
      <c r="J648" s="327"/>
      <c r="K648" s="66"/>
      <c r="L648" s="66"/>
      <c r="M648" s="66"/>
      <c r="N648" s="66"/>
      <c r="O648" s="66"/>
      <c r="P648" s="66"/>
      <c r="Q648" s="66"/>
      <c r="R648" s="66"/>
      <c r="S648" s="66"/>
      <c r="T648" s="66"/>
      <c r="U648" s="66"/>
      <c r="V648" s="66"/>
      <c r="W648" s="66"/>
      <c r="X648" s="66"/>
      <c r="Y648" s="66"/>
      <c r="Z648" s="66"/>
      <c r="AA648" s="66"/>
      <c r="AB648" s="66"/>
      <c r="AC648" s="66"/>
    </row>
    <row r="649">
      <c r="A649" s="327"/>
      <c r="B649" s="66"/>
      <c r="C649" s="66"/>
      <c r="D649" s="327"/>
      <c r="E649" s="66"/>
      <c r="F649" s="66"/>
      <c r="G649" s="327"/>
      <c r="H649" s="66"/>
      <c r="I649" s="66"/>
      <c r="J649" s="327"/>
      <c r="K649" s="66"/>
      <c r="L649" s="66"/>
      <c r="M649" s="66"/>
      <c r="N649" s="66"/>
      <c r="O649" s="66"/>
      <c r="P649" s="66"/>
      <c r="Q649" s="66"/>
      <c r="R649" s="66"/>
      <c r="S649" s="66"/>
      <c r="T649" s="66"/>
      <c r="U649" s="66"/>
      <c r="V649" s="66"/>
      <c r="W649" s="66"/>
      <c r="X649" s="66"/>
      <c r="Y649" s="66"/>
      <c r="Z649" s="66"/>
      <c r="AA649" s="66"/>
      <c r="AB649" s="66"/>
      <c r="AC649" s="66"/>
    </row>
    <row r="650">
      <c r="A650" s="327"/>
      <c r="B650" s="66"/>
      <c r="C650" s="66"/>
      <c r="D650" s="327"/>
      <c r="E650" s="66"/>
      <c r="F650" s="66"/>
      <c r="G650" s="327"/>
      <c r="H650" s="66"/>
      <c r="I650" s="66"/>
      <c r="J650" s="327"/>
      <c r="K650" s="66"/>
      <c r="L650" s="66"/>
      <c r="M650" s="66"/>
      <c r="N650" s="66"/>
      <c r="O650" s="66"/>
      <c r="P650" s="66"/>
      <c r="Q650" s="66"/>
      <c r="R650" s="66"/>
      <c r="S650" s="66"/>
      <c r="T650" s="66"/>
      <c r="U650" s="66"/>
      <c r="V650" s="66"/>
      <c r="W650" s="66"/>
      <c r="X650" s="66"/>
      <c r="Y650" s="66"/>
      <c r="Z650" s="66"/>
      <c r="AA650" s="66"/>
      <c r="AB650" s="66"/>
      <c r="AC650" s="66"/>
    </row>
    <row r="651">
      <c r="A651" s="327"/>
      <c r="B651" s="66"/>
      <c r="C651" s="66"/>
      <c r="D651" s="327"/>
      <c r="E651" s="66"/>
      <c r="F651" s="66"/>
      <c r="G651" s="327"/>
      <c r="H651" s="66"/>
      <c r="I651" s="66"/>
      <c r="J651" s="327"/>
      <c r="K651" s="66"/>
      <c r="L651" s="66"/>
      <c r="M651" s="66"/>
      <c r="N651" s="66"/>
      <c r="O651" s="66"/>
      <c r="P651" s="66"/>
      <c r="Q651" s="66"/>
      <c r="R651" s="66"/>
      <c r="S651" s="66"/>
      <c r="T651" s="66"/>
      <c r="U651" s="66"/>
      <c r="V651" s="66"/>
      <c r="W651" s="66"/>
      <c r="X651" s="66"/>
      <c r="Y651" s="66"/>
      <c r="Z651" s="66"/>
      <c r="AA651" s="66"/>
      <c r="AB651" s="66"/>
      <c r="AC651" s="66"/>
    </row>
    <row r="652">
      <c r="A652" s="327"/>
      <c r="B652" s="66"/>
      <c r="C652" s="66"/>
      <c r="D652" s="327"/>
      <c r="E652" s="66"/>
      <c r="F652" s="66"/>
      <c r="G652" s="327"/>
      <c r="H652" s="66"/>
      <c r="I652" s="66"/>
      <c r="J652" s="327"/>
      <c r="K652" s="66"/>
      <c r="L652" s="66"/>
      <c r="M652" s="66"/>
      <c r="N652" s="66"/>
      <c r="O652" s="66"/>
      <c r="P652" s="66"/>
      <c r="Q652" s="66"/>
      <c r="R652" s="66"/>
      <c r="S652" s="66"/>
      <c r="T652" s="66"/>
      <c r="U652" s="66"/>
      <c r="V652" s="66"/>
      <c r="W652" s="66"/>
      <c r="X652" s="66"/>
      <c r="Y652" s="66"/>
      <c r="Z652" s="66"/>
      <c r="AA652" s="66"/>
      <c r="AB652" s="66"/>
      <c r="AC652" s="66"/>
    </row>
    <row r="653">
      <c r="A653" s="327"/>
      <c r="B653" s="66"/>
      <c r="C653" s="66"/>
      <c r="D653" s="327"/>
      <c r="E653" s="66"/>
      <c r="F653" s="66"/>
      <c r="G653" s="327"/>
      <c r="H653" s="66"/>
      <c r="I653" s="66"/>
      <c r="J653" s="327"/>
      <c r="K653" s="66"/>
      <c r="L653" s="66"/>
      <c r="M653" s="66"/>
      <c r="N653" s="66"/>
      <c r="O653" s="66"/>
      <c r="P653" s="66"/>
      <c r="Q653" s="66"/>
      <c r="R653" s="66"/>
      <c r="S653" s="66"/>
      <c r="T653" s="66"/>
      <c r="U653" s="66"/>
      <c r="V653" s="66"/>
      <c r="W653" s="66"/>
      <c r="X653" s="66"/>
      <c r="Y653" s="66"/>
      <c r="Z653" s="66"/>
      <c r="AA653" s="66"/>
      <c r="AB653" s="66"/>
      <c r="AC653" s="66"/>
    </row>
    <row r="654">
      <c r="A654" s="327"/>
      <c r="B654" s="66"/>
      <c r="C654" s="66"/>
      <c r="D654" s="327"/>
      <c r="E654" s="66"/>
      <c r="F654" s="66"/>
      <c r="G654" s="327"/>
      <c r="H654" s="66"/>
      <c r="I654" s="66"/>
      <c r="J654" s="327"/>
      <c r="K654" s="66"/>
      <c r="L654" s="66"/>
      <c r="M654" s="66"/>
      <c r="N654" s="66"/>
      <c r="O654" s="66"/>
      <c r="P654" s="66"/>
      <c r="Q654" s="66"/>
      <c r="R654" s="66"/>
      <c r="S654" s="66"/>
      <c r="T654" s="66"/>
      <c r="U654" s="66"/>
      <c r="V654" s="66"/>
      <c r="W654" s="66"/>
      <c r="X654" s="66"/>
      <c r="Y654" s="66"/>
      <c r="Z654" s="66"/>
      <c r="AA654" s="66"/>
      <c r="AB654" s="66"/>
      <c r="AC654" s="66"/>
    </row>
    <row r="655">
      <c r="A655" s="327"/>
      <c r="B655" s="66"/>
      <c r="C655" s="66"/>
      <c r="D655" s="327"/>
      <c r="E655" s="66"/>
      <c r="F655" s="66"/>
      <c r="G655" s="327"/>
      <c r="H655" s="66"/>
      <c r="I655" s="66"/>
      <c r="J655" s="327"/>
      <c r="K655" s="66"/>
      <c r="L655" s="66"/>
      <c r="M655" s="66"/>
      <c r="N655" s="66"/>
      <c r="O655" s="66"/>
      <c r="P655" s="66"/>
      <c r="Q655" s="66"/>
      <c r="R655" s="66"/>
      <c r="S655" s="66"/>
      <c r="T655" s="66"/>
      <c r="U655" s="66"/>
      <c r="V655" s="66"/>
      <c r="W655" s="66"/>
      <c r="X655" s="66"/>
      <c r="Y655" s="66"/>
      <c r="Z655" s="66"/>
      <c r="AA655" s="66"/>
      <c r="AB655" s="66"/>
      <c r="AC655" s="66"/>
    </row>
    <row r="656">
      <c r="A656" s="327"/>
      <c r="B656" s="66"/>
      <c r="C656" s="66"/>
      <c r="D656" s="327"/>
      <c r="E656" s="66"/>
      <c r="F656" s="66"/>
      <c r="G656" s="327"/>
      <c r="H656" s="66"/>
      <c r="I656" s="66"/>
      <c r="J656" s="327"/>
      <c r="K656" s="66"/>
      <c r="L656" s="66"/>
      <c r="M656" s="66"/>
      <c r="N656" s="66"/>
      <c r="O656" s="66"/>
      <c r="P656" s="66"/>
      <c r="Q656" s="66"/>
      <c r="R656" s="66"/>
      <c r="S656" s="66"/>
      <c r="T656" s="66"/>
      <c r="U656" s="66"/>
      <c r="V656" s="66"/>
      <c r="W656" s="66"/>
      <c r="X656" s="66"/>
      <c r="Y656" s="66"/>
      <c r="Z656" s="66"/>
      <c r="AA656" s="66"/>
      <c r="AB656" s="66"/>
      <c r="AC656" s="66"/>
    </row>
    <row r="657">
      <c r="A657" s="327"/>
      <c r="B657" s="66"/>
      <c r="C657" s="66"/>
      <c r="D657" s="327"/>
      <c r="E657" s="66"/>
      <c r="F657" s="66"/>
      <c r="G657" s="327"/>
      <c r="H657" s="66"/>
      <c r="I657" s="66"/>
      <c r="J657" s="327"/>
      <c r="K657" s="66"/>
      <c r="L657" s="66"/>
      <c r="M657" s="66"/>
      <c r="N657" s="66"/>
      <c r="O657" s="66"/>
      <c r="P657" s="66"/>
      <c r="Q657" s="66"/>
      <c r="R657" s="66"/>
      <c r="S657" s="66"/>
      <c r="T657" s="66"/>
      <c r="U657" s="66"/>
      <c r="V657" s="66"/>
      <c r="W657" s="66"/>
      <c r="X657" s="66"/>
      <c r="Y657" s="66"/>
      <c r="Z657" s="66"/>
      <c r="AA657" s="66"/>
      <c r="AB657" s="66"/>
      <c r="AC657" s="66"/>
    </row>
    <row r="658">
      <c r="A658" s="327"/>
      <c r="B658" s="66"/>
      <c r="C658" s="66"/>
      <c r="D658" s="327"/>
      <c r="E658" s="66"/>
      <c r="F658" s="66"/>
      <c r="G658" s="327"/>
      <c r="H658" s="66"/>
      <c r="I658" s="66"/>
      <c r="J658" s="327"/>
      <c r="K658" s="66"/>
      <c r="L658" s="66"/>
      <c r="M658" s="66"/>
      <c r="N658" s="66"/>
      <c r="O658" s="66"/>
      <c r="P658" s="66"/>
      <c r="Q658" s="66"/>
      <c r="R658" s="66"/>
      <c r="S658" s="66"/>
      <c r="T658" s="66"/>
      <c r="U658" s="66"/>
      <c r="V658" s="66"/>
      <c r="W658" s="66"/>
      <c r="X658" s="66"/>
      <c r="Y658" s="66"/>
      <c r="Z658" s="66"/>
      <c r="AA658" s="66"/>
      <c r="AB658" s="66"/>
      <c r="AC658" s="66"/>
    </row>
    <row r="659">
      <c r="A659" s="327"/>
      <c r="B659" s="66"/>
      <c r="C659" s="66"/>
      <c r="D659" s="327"/>
      <c r="E659" s="66"/>
      <c r="F659" s="66"/>
      <c r="G659" s="327"/>
      <c r="H659" s="66"/>
      <c r="I659" s="66"/>
      <c r="J659" s="327"/>
      <c r="K659" s="66"/>
      <c r="L659" s="66"/>
      <c r="M659" s="66"/>
      <c r="N659" s="66"/>
      <c r="O659" s="66"/>
      <c r="P659" s="66"/>
      <c r="Q659" s="66"/>
      <c r="R659" s="66"/>
      <c r="S659" s="66"/>
      <c r="T659" s="66"/>
      <c r="U659" s="66"/>
      <c r="V659" s="66"/>
      <c r="W659" s="66"/>
      <c r="X659" s="66"/>
      <c r="Y659" s="66"/>
      <c r="Z659" s="66"/>
      <c r="AA659" s="66"/>
      <c r="AB659" s="66"/>
      <c r="AC659" s="66"/>
    </row>
    <row r="660">
      <c r="A660" s="327"/>
      <c r="B660" s="66"/>
      <c r="C660" s="66"/>
      <c r="D660" s="327"/>
      <c r="E660" s="66"/>
      <c r="F660" s="66"/>
      <c r="G660" s="327"/>
      <c r="H660" s="66"/>
      <c r="I660" s="66"/>
      <c r="J660" s="327"/>
      <c r="K660" s="66"/>
      <c r="L660" s="66"/>
      <c r="M660" s="66"/>
      <c r="N660" s="66"/>
      <c r="O660" s="66"/>
      <c r="P660" s="66"/>
      <c r="Q660" s="66"/>
      <c r="R660" s="66"/>
      <c r="S660" s="66"/>
      <c r="T660" s="66"/>
      <c r="U660" s="66"/>
      <c r="V660" s="66"/>
      <c r="W660" s="66"/>
      <c r="X660" s="66"/>
      <c r="Y660" s="66"/>
      <c r="Z660" s="66"/>
      <c r="AA660" s="66"/>
      <c r="AB660" s="66"/>
      <c r="AC660" s="66"/>
    </row>
    <row r="661">
      <c r="A661" s="327"/>
      <c r="B661" s="66"/>
      <c r="C661" s="66"/>
      <c r="D661" s="327"/>
      <c r="E661" s="66"/>
      <c r="F661" s="66"/>
      <c r="G661" s="327"/>
      <c r="H661" s="66"/>
      <c r="I661" s="66"/>
      <c r="J661" s="327"/>
      <c r="K661" s="66"/>
      <c r="L661" s="66"/>
      <c r="M661" s="66"/>
      <c r="N661" s="66"/>
      <c r="O661" s="66"/>
      <c r="P661" s="66"/>
      <c r="Q661" s="66"/>
      <c r="R661" s="66"/>
      <c r="S661" s="66"/>
      <c r="T661" s="66"/>
      <c r="U661" s="66"/>
      <c r="V661" s="66"/>
      <c r="W661" s="66"/>
      <c r="X661" s="66"/>
      <c r="Y661" s="66"/>
      <c r="Z661" s="66"/>
      <c r="AA661" s="66"/>
      <c r="AB661" s="66"/>
      <c r="AC661" s="66"/>
    </row>
    <row r="662">
      <c r="A662" s="327"/>
      <c r="B662" s="66"/>
      <c r="C662" s="66"/>
      <c r="D662" s="327"/>
      <c r="E662" s="66"/>
      <c r="F662" s="66"/>
      <c r="G662" s="327"/>
      <c r="H662" s="66"/>
      <c r="I662" s="66"/>
      <c r="J662" s="327"/>
      <c r="K662" s="66"/>
      <c r="L662" s="66"/>
      <c r="M662" s="66"/>
      <c r="N662" s="66"/>
      <c r="O662" s="66"/>
      <c r="P662" s="66"/>
      <c r="Q662" s="66"/>
      <c r="R662" s="66"/>
      <c r="S662" s="66"/>
      <c r="T662" s="66"/>
      <c r="U662" s="66"/>
      <c r="V662" s="66"/>
      <c r="W662" s="66"/>
      <c r="X662" s="66"/>
      <c r="Y662" s="66"/>
      <c r="Z662" s="66"/>
      <c r="AA662" s="66"/>
      <c r="AB662" s="66"/>
      <c r="AC662" s="66"/>
    </row>
    <row r="663">
      <c r="A663" s="327"/>
      <c r="B663" s="66"/>
      <c r="C663" s="66"/>
      <c r="D663" s="327"/>
      <c r="E663" s="66"/>
      <c r="F663" s="66"/>
      <c r="G663" s="327"/>
      <c r="H663" s="66"/>
      <c r="I663" s="66"/>
      <c r="J663" s="327"/>
      <c r="K663" s="66"/>
      <c r="L663" s="66"/>
      <c r="M663" s="66"/>
      <c r="N663" s="66"/>
      <c r="O663" s="66"/>
      <c r="P663" s="66"/>
      <c r="Q663" s="66"/>
      <c r="R663" s="66"/>
      <c r="S663" s="66"/>
      <c r="T663" s="66"/>
      <c r="U663" s="66"/>
      <c r="V663" s="66"/>
      <c r="W663" s="66"/>
      <c r="X663" s="66"/>
      <c r="Y663" s="66"/>
      <c r="Z663" s="66"/>
      <c r="AA663" s="66"/>
      <c r="AB663" s="66"/>
      <c r="AC663" s="66"/>
    </row>
    <row r="664">
      <c r="A664" s="327"/>
      <c r="B664" s="66"/>
      <c r="C664" s="66"/>
      <c r="D664" s="327"/>
      <c r="E664" s="66"/>
      <c r="F664" s="66"/>
      <c r="G664" s="327"/>
      <c r="H664" s="66"/>
      <c r="I664" s="66"/>
      <c r="J664" s="327"/>
      <c r="K664" s="66"/>
      <c r="L664" s="66"/>
      <c r="M664" s="66"/>
      <c r="N664" s="66"/>
      <c r="O664" s="66"/>
      <c r="P664" s="66"/>
      <c r="Q664" s="66"/>
      <c r="R664" s="66"/>
      <c r="S664" s="66"/>
      <c r="T664" s="66"/>
      <c r="U664" s="66"/>
      <c r="V664" s="66"/>
      <c r="W664" s="66"/>
      <c r="X664" s="66"/>
      <c r="Y664" s="66"/>
      <c r="Z664" s="66"/>
      <c r="AA664" s="66"/>
      <c r="AB664" s="66"/>
      <c r="AC664" s="66"/>
    </row>
    <row r="665">
      <c r="A665" s="327"/>
      <c r="B665" s="66"/>
      <c r="C665" s="66"/>
      <c r="D665" s="327"/>
      <c r="E665" s="66"/>
      <c r="F665" s="66"/>
      <c r="G665" s="327"/>
      <c r="H665" s="66"/>
      <c r="I665" s="66"/>
      <c r="J665" s="327"/>
      <c r="K665" s="66"/>
      <c r="L665" s="66"/>
      <c r="M665" s="66"/>
      <c r="N665" s="66"/>
      <c r="O665" s="66"/>
      <c r="P665" s="66"/>
      <c r="Q665" s="66"/>
      <c r="R665" s="66"/>
      <c r="S665" s="66"/>
      <c r="T665" s="66"/>
      <c r="U665" s="66"/>
      <c r="V665" s="66"/>
      <c r="W665" s="66"/>
      <c r="X665" s="66"/>
      <c r="Y665" s="66"/>
      <c r="Z665" s="66"/>
      <c r="AA665" s="66"/>
      <c r="AB665" s="66"/>
      <c r="AC665" s="66"/>
    </row>
    <row r="666">
      <c r="A666" s="327"/>
      <c r="B666" s="66"/>
      <c r="C666" s="66"/>
      <c r="D666" s="327"/>
      <c r="E666" s="66"/>
      <c r="F666" s="66"/>
      <c r="G666" s="327"/>
      <c r="H666" s="66"/>
      <c r="I666" s="66"/>
      <c r="J666" s="327"/>
      <c r="K666" s="66"/>
      <c r="L666" s="66"/>
      <c r="M666" s="66"/>
      <c r="N666" s="66"/>
      <c r="O666" s="66"/>
      <c r="P666" s="66"/>
      <c r="Q666" s="66"/>
      <c r="R666" s="66"/>
      <c r="S666" s="66"/>
      <c r="T666" s="66"/>
      <c r="U666" s="66"/>
      <c r="V666" s="66"/>
      <c r="W666" s="66"/>
      <c r="X666" s="66"/>
      <c r="Y666" s="66"/>
      <c r="Z666" s="66"/>
      <c r="AA666" s="66"/>
      <c r="AB666" s="66"/>
      <c r="AC666" s="66"/>
    </row>
    <row r="667">
      <c r="A667" s="327"/>
      <c r="B667" s="66"/>
      <c r="C667" s="66"/>
      <c r="D667" s="327"/>
      <c r="E667" s="66"/>
      <c r="F667" s="66"/>
      <c r="G667" s="327"/>
      <c r="H667" s="66"/>
      <c r="I667" s="66"/>
      <c r="J667" s="327"/>
      <c r="K667" s="66"/>
      <c r="L667" s="66"/>
      <c r="M667" s="66"/>
      <c r="N667" s="66"/>
      <c r="O667" s="66"/>
      <c r="P667" s="66"/>
      <c r="Q667" s="66"/>
      <c r="R667" s="66"/>
      <c r="S667" s="66"/>
      <c r="T667" s="66"/>
      <c r="U667" s="66"/>
      <c r="V667" s="66"/>
      <c r="W667" s="66"/>
      <c r="X667" s="66"/>
      <c r="Y667" s="66"/>
      <c r="Z667" s="66"/>
      <c r="AA667" s="66"/>
      <c r="AB667" s="66"/>
      <c r="AC667" s="66"/>
    </row>
    <row r="668">
      <c r="A668" s="327"/>
      <c r="B668" s="66"/>
      <c r="C668" s="66"/>
      <c r="D668" s="327"/>
      <c r="E668" s="66"/>
      <c r="F668" s="66"/>
      <c r="G668" s="327"/>
      <c r="H668" s="66"/>
      <c r="I668" s="66"/>
      <c r="J668" s="327"/>
      <c r="K668" s="66"/>
      <c r="L668" s="66"/>
      <c r="M668" s="66"/>
      <c r="N668" s="66"/>
      <c r="O668" s="66"/>
      <c r="P668" s="66"/>
      <c r="Q668" s="66"/>
      <c r="R668" s="66"/>
      <c r="S668" s="66"/>
      <c r="T668" s="66"/>
      <c r="U668" s="66"/>
      <c r="V668" s="66"/>
      <c r="W668" s="66"/>
      <c r="X668" s="66"/>
      <c r="Y668" s="66"/>
      <c r="Z668" s="66"/>
      <c r="AA668" s="66"/>
      <c r="AB668" s="66"/>
      <c r="AC668" s="66"/>
    </row>
    <row r="669">
      <c r="A669" s="327"/>
      <c r="B669" s="66"/>
      <c r="C669" s="66"/>
      <c r="D669" s="327"/>
      <c r="E669" s="66"/>
      <c r="F669" s="66"/>
      <c r="G669" s="327"/>
      <c r="H669" s="66"/>
      <c r="I669" s="66"/>
      <c r="J669" s="327"/>
      <c r="K669" s="66"/>
      <c r="L669" s="66"/>
      <c r="M669" s="66"/>
      <c r="N669" s="66"/>
      <c r="O669" s="66"/>
      <c r="P669" s="66"/>
      <c r="Q669" s="66"/>
      <c r="R669" s="66"/>
      <c r="S669" s="66"/>
      <c r="T669" s="66"/>
      <c r="U669" s="66"/>
      <c r="V669" s="66"/>
      <c r="W669" s="66"/>
      <c r="X669" s="66"/>
      <c r="Y669" s="66"/>
      <c r="Z669" s="66"/>
      <c r="AA669" s="66"/>
      <c r="AB669" s="66"/>
      <c r="AC669" s="66"/>
    </row>
    <row r="670">
      <c r="A670" s="327"/>
      <c r="B670" s="66"/>
      <c r="C670" s="66"/>
      <c r="D670" s="327"/>
      <c r="E670" s="66"/>
      <c r="F670" s="66"/>
      <c r="G670" s="327"/>
      <c r="H670" s="66"/>
      <c r="I670" s="66"/>
      <c r="J670" s="327"/>
      <c r="K670" s="66"/>
      <c r="L670" s="66"/>
      <c r="M670" s="66"/>
      <c r="N670" s="66"/>
      <c r="O670" s="66"/>
      <c r="P670" s="66"/>
      <c r="Q670" s="66"/>
      <c r="R670" s="66"/>
      <c r="S670" s="66"/>
      <c r="T670" s="66"/>
      <c r="U670" s="66"/>
      <c r="V670" s="66"/>
      <c r="W670" s="66"/>
      <c r="X670" s="66"/>
      <c r="Y670" s="66"/>
      <c r="Z670" s="66"/>
      <c r="AA670" s="66"/>
      <c r="AB670" s="66"/>
      <c r="AC670" s="66"/>
    </row>
    <row r="671">
      <c r="A671" s="327"/>
      <c r="B671" s="66"/>
      <c r="C671" s="66"/>
      <c r="D671" s="327"/>
      <c r="E671" s="66"/>
      <c r="F671" s="66"/>
      <c r="G671" s="327"/>
      <c r="H671" s="66"/>
      <c r="I671" s="66"/>
      <c r="J671" s="327"/>
      <c r="K671" s="66"/>
      <c r="L671" s="66"/>
      <c r="M671" s="66"/>
      <c r="N671" s="66"/>
      <c r="O671" s="66"/>
      <c r="P671" s="66"/>
      <c r="Q671" s="66"/>
      <c r="R671" s="66"/>
      <c r="S671" s="66"/>
      <c r="T671" s="66"/>
      <c r="U671" s="66"/>
      <c r="V671" s="66"/>
      <c r="W671" s="66"/>
      <c r="X671" s="66"/>
      <c r="Y671" s="66"/>
      <c r="Z671" s="66"/>
      <c r="AA671" s="66"/>
      <c r="AB671" s="66"/>
      <c r="AC671" s="66"/>
    </row>
    <row r="672">
      <c r="A672" s="327"/>
      <c r="B672" s="66"/>
      <c r="C672" s="66"/>
      <c r="D672" s="327"/>
      <c r="E672" s="66"/>
      <c r="F672" s="66"/>
      <c r="G672" s="327"/>
      <c r="H672" s="66"/>
      <c r="I672" s="66"/>
      <c r="J672" s="327"/>
      <c r="K672" s="66"/>
      <c r="L672" s="66"/>
      <c r="M672" s="66"/>
      <c r="N672" s="66"/>
      <c r="O672" s="66"/>
      <c r="P672" s="66"/>
      <c r="Q672" s="66"/>
      <c r="R672" s="66"/>
      <c r="S672" s="66"/>
      <c r="T672" s="66"/>
      <c r="U672" s="66"/>
      <c r="V672" s="66"/>
      <c r="W672" s="66"/>
      <c r="X672" s="66"/>
      <c r="Y672" s="66"/>
      <c r="Z672" s="66"/>
      <c r="AA672" s="66"/>
      <c r="AB672" s="66"/>
      <c r="AC672" s="66"/>
    </row>
    <row r="673">
      <c r="A673" s="327"/>
      <c r="B673" s="66"/>
      <c r="C673" s="66"/>
      <c r="D673" s="327"/>
      <c r="E673" s="66"/>
      <c r="F673" s="66"/>
      <c r="G673" s="327"/>
      <c r="H673" s="66"/>
      <c r="I673" s="66"/>
      <c r="J673" s="327"/>
      <c r="K673" s="66"/>
      <c r="L673" s="66"/>
      <c r="M673" s="66"/>
      <c r="N673" s="66"/>
      <c r="O673" s="66"/>
      <c r="P673" s="66"/>
      <c r="Q673" s="66"/>
      <c r="R673" s="66"/>
      <c r="S673" s="66"/>
      <c r="T673" s="66"/>
      <c r="U673" s="66"/>
      <c r="V673" s="66"/>
      <c r="W673" s="66"/>
      <c r="X673" s="66"/>
      <c r="Y673" s="66"/>
      <c r="Z673" s="66"/>
      <c r="AA673" s="66"/>
      <c r="AB673" s="66"/>
      <c r="AC673" s="66"/>
    </row>
    <row r="674">
      <c r="A674" s="327"/>
      <c r="B674" s="66"/>
      <c r="C674" s="66"/>
      <c r="D674" s="327"/>
      <c r="E674" s="66"/>
      <c r="F674" s="66"/>
      <c r="G674" s="327"/>
      <c r="H674" s="66"/>
      <c r="I674" s="66"/>
      <c r="J674" s="327"/>
      <c r="K674" s="66"/>
      <c r="L674" s="66"/>
      <c r="M674" s="66"/>
      <c r="N674" s="66"/>
      <c r="O674" s="66"/>
      <c r="P674" s="66"/>
      <c r="Q674" s="66"/>
      <c r="R674" s="66"/>
      <c r="S674" s="66"/>
      <c r="T674" s="66"/>
      <c r="U674" s="66"/>
      <c r="V674" s="66"/>
      <c r="W674" s="66"/>
      <c r="X674" s="66"/>
      <c r="Y674" s="66"/>
      <c r="Z674" s="66"/>
      <c r="AA674" s="66"/>
      <c r="AB674" s="66"/>
      <c r="AC674" s="66"/>
    </row>
    <row r="675">
      <c r="A675" s="327"/>
      <c r="B675" s="66"/>
      <c r="C675" s="66"/>
      <c r="D675" s="327"/>
      <c r="E675" s="66"/>
      <c r="F675" s="66"/>
      <c r="G675" s="327"/>
      <c r="H675" s="66"/>
      <c r="I675" s="66"/>
      <c r="J675" s="327"/>
      <c r="K675" s="66"/>
      <c r="L675" s="66"/>
      <c r="M675" s="66"/>
      <c r="N675" s="66"/>
      <c r="O675" s="66"/>
      <c r="P675" s="66"/>
      <c r="Q675" s="66"/>
      <c r="R675" s="66"/>
      <c r="S675" s="66"/>
      <c r="T675" s="66"/>
      <c r="U675" s="66"/>
      <c r="V675" s="66"/>
      <c r="W675" s="66"/>
      <c r="X675" s="66"/>
      <c r="Y675" s="66"/>
      <c r="Z675" s="66"/>
      <c r="AA675" s="66"/>
      <c r="AB675" s="66"/>
      <c r="AC675" s="66"/>
    </row>
    <row r="676">
      <c r="A676" s="327"/>
      <c r="B676" s="66"/>
      <c r="C676" s="66"/>
      <c r="D676" s="327"/>
      <c r="E676" s="66"/>
      <c r="F676" s="66"/>
      <c r="G676" s="327"/>
      <c r="H676" s="66"/>
      <c r="I676" s="66"/>
      <c r="J676" s="327"/>
      <c r="K676" s="66"/>
      <c r="L676" s="66"/>
      <c r="M676" s="66"/>
      <c r="N676" s="66"/>
      <c r="O676" s="66"/>
      <c r="P676" s="66"/>
      <c r="Q676" s="66"/>
      <c r="R676" s="66"/>
      <c r="S676" s="66"/>
      <c r="T676" s="66"/>
      <c r="U676" s="66"/>
      <c r="V676" s="66"/>
      <c r="W676" s="66"/>
      <c r="X676" s="66"/>
      <c r="Y676" s="66"/>
      <c r="Z676" s="66"/>
      <c r="AA676" s="66"/>
      <c r="AB676" s="66"/>
      <c r="AC676" s="66"/>
    </row>
    <row r="677">
      <c r="A677" s="327"/>
      <c r="B677" s="66"/>
      <c r="C677" s="66"/>
      <c r="D677" s="327"/>
      <c r="E677" s="66"/>
      <c r="F677" s="66"/>
      <c r="G677" s="327"/>
      <c r="H677" s="66"/>
      <c r="I677" s="66"/>
      <c r="J677" s="327"/>
      <c r="K677" s="66"/>
      <c r="L677" s="66"/>
      <c r="M677" s="66"/>
      <c r="N677" s="66"/>
      <c r="O677" s="66"/>
      <c r="P677" s="66"/>
      <c r="Q677" s="66"/>
      <c r="R677" s="66"/>
      <c r="S677" s="66"/>
      <c r="T677" s="66"/>
      <c r="U677" s="66"/>
      <c r="V677" s="66"/>
      <c r="W677" s="66"/>
      <c r="X677" s="66"/>
      <c r="Y677" s="66"/>
      <c r="Z677" s="66"/>
      <c r="AA677" s="66"/>
      <c r="AB677" s="66"/>
      <c r="AC677" s="66"/>
    </row>
    <row r="678">
      <c r="A678" s="327"/>
      <c r="B678" s="66"/>
      <c r="C678" s="66"/>
      <c r="D678" s="327"/>
      <c r="E678" s="66"/>
      <c r="F678" s="66"/>
      <c r="G678" s="327"/>
      <c r="H678" s="66"/>
      <c r="I678" s="66"/>
      <c r="J678" s="327"/>
      <c r="K678" s="66"/>
      <c r="L678" s="66"/>
      <c r="M678" s="66"/>
      <c r="N678" s="66"/>
      <c r="O678" s="66"/>
      <c r="P678" s="66"/>
      <c r="Q678" s="66"/>
      <c r="R678" s="66"/>
      <c r="S678" s="66"/>
      <c r="T678" s="66"/>
      <c r="U678" s="66"/>
      <c r="V678" s="66"/>
      <c r="W678" s="66"/>
      <c r="X678" s="66"/>
      <c r="Y678" s="66"/>
      <c r="Z678" s="66"/>
      <c r="AA678" s="66"/>
      <c r="AB678" s="66"/>
      <c r="AC678" s="66"/>
    </row>
    <row r="679">
      <c r="A679" s="327"/>
      <c r="B679" s="66"/>
      <c r="C679" s="66"/>
      <c r="D679" s="327"/>
      <c r="E679" s="66"/>
      <c r="F679" s="66"/>
      <c r="G679" s="327"/>
      <c r="H679" s="66"/>
      <c r="I679" s="66"/>
      <c r="J679" s="327"/>
      <c r="K679" s="66"/>
      <c r="L679" s="66"/>
      <c r="M679" s="66"/>
      <c r="N679" s="66"/>
      <c r="O679" s="66"/>
      <c r="P679" s="66"/>
      <c r="Q679" s="66"/>
      <c r="R679" s="66"/>
      <c r="S679" s="66"/>
      <c r="T679" s="66"/>
      <c r="U679" s="66"/>
      <c r="V679" s="66"/>
      <c r="W679" s="66"/>
      <c r="X679" s="66"/>
      <c r="Y679" s="66"/>
      <c r="Z679" s="66"/>
      <c r="AA679" s="66"/>
      <c r="AB679" s="66"/>
      <c r="AC679" s="66"/>
    </row>
    <row r="680">
      <c r="A680" s="327"/>
      <c r="B680" s="66"/>
      <c r="C680" s="66"/>
      <c r="D680" s="327"/>
      <c r="E680" s="66"/>
      <c r="F680" s="66"/>
      <c r="G680" s="327"/>
      <c r="H680" s="66"/>
      <c r="I680" s="66"/>
      <c r="J680" s="327"/>
      <c r="K680" s="66"/>
      <c r="L680" s="66"/>
      <c r="M680" s="66"/>
      <c r="N680" s="66"/>
      <c r="O680" s="66"/>
      <c r="P680" s="66"/>
      <c r="Q680" s="66"/>
      <c r="R680" s="66"/>
      <c r="S680" s="66"/>
      <c r="T680" s="66"/>
      <c r="U680" s="66"/>
      <c r="V680" s="66"/>
      <c r="W680" s="66"/>
      <c r="X680" s="66"/>
      <c r="Y680" s="66"/>
      <c r="Z680" s="66"/>
      <c r="AA680" s="66"/>
      <c r="AB680" s="66"/>
      <c r="AC680" s="66"/>
    </row>
    <row r="681">
      <c r="A681" s="327"/>
      <c r="B681" s="66"/>
      <c r="C681" s="66"/>
      <c r="D681" s="327"/>
      <c r="E681" s="66"/>
      <c r="F681" s="66"/>
      <c r="G681" s="327"/>
      <c r="H681" s="66"/>
      <c r="I681" s="66"/>
      <c r="J681" s="327"/>
      <c r="K681" s="66"/>
      <c r="L681" s="66"/>
      <c r="M681" s="66"/>
      <c r="N681" s="66"/>
      <c r="O681" s="66"/>
      <c r="P681" s="66"/>
      <c r="Q681" s="66"/>
      <c r="R681" s="66"/>
      <c r="S681" s="66"/>
      <c r="T681" s="66"/>
      <c r="U681" s="66"/>
      <c r="V681" s="66"/>
      <c r="W681" s="66"/>
      <c r="X681" s="66"/>
      <c r="Y681" s="66"/>
      <c r="Z681" s="66"/>
      <c r="AA681" s="66"/>
      <c r="AB681" s="66"/>
      <c r="AC681" s="66"/>
    </row>
    <row r="682">
      <c r="A682" s="327"/>
      <c r="B682" s="66"/>
      <c r="C682" s="66"/>
      <c r="D682" s="327"/>
      <c r="E682" s="66"/>
      <c r="F682" s="66"/>
      <c r="G682" s="327"/>
      <c r="H682" s="66"/>
      <c r="I682" s="66"/>
      <c r="J682" s="327"/>
      <c r="K682" s="66"/>
      <c r="L682" s="66"/>
      <c r="M682" s="66"/>
      <c r="N682" s="66"/>
      <c r="O682" s="66"/>
      <c r="P682" s="66"/>
      <c r="Q682" s="66"/>
      <c r="R682" s="66"/>
      <c r="S682" s="66"/>
      <c r="T682" s="66"/>
      <c r="U682" s="66"/>
      <c r="V682" s="66"/>
      <c r="W682" s="66"/>
      <c r="X682" s="66"/>
      <c r="Y682" s="66"/>
      <c r="Z682" s="66"/>
      <c r="AA682" s="66"/>
      <c r="AB682" s="66"/>
      <c r="AC682" s="66"/>
    </row>
    <row r="683">
      <c r="A683" s="327"/>
      <c r="B683" s="66"/>
      <c r="C683" s="66"/>
      <c r="D683" s="327"/>
      <c r="E683" s="66"/>
      <c r="F683" s="66"/>
      <c r="G683" s="327"/>
      <c r="H683" s="66"/>
      <c r="I683" s="66"/>
      <c r="J683" s="327"/>
      <c r="K683" s="66"/>
      <c r="L683" s="66"/>
      <c r="M683" s="66"/>
      <c r="N683" s="66"/>
      <c r="O683" s="66"/>
      <c r="P683" s="66"/>
      <c r="Q683" s="66"/>
      <c r="R683" s="66"/>
      <c r="S683" s="66"/>
      <c r="T683" s="66"/>
      <c r="U683" s="66"/>
      <c r="V683" s="66"/>
      <c r="W683" s="66"/>
      <c r="X683" s="66"/>
      <c r="Y683" s="66"/>
      <c r="Z683" s="66"/>
      <c r="AA683" s="66"/>
      <c r="AB683" s="66"/>
      <c r="AC683" s="66"/>
    </row>
    <row r="684">
      <c r="A684" s="327"/>
      <c r="B684" s="66"/>
      <c r="C684" s="66"/>
      <c r="D684" s="327"/>
      <c r="E684" s="66"/>
      <c r="F684" s="66"/>
      <c r="G684" s="327"/>
      <c r="H684" s="66"/>
      <c r="I684" s="66"/>
      <c r="J684" s="327"/>
      <c r="K684" s="66"/>
      <c r="L684" s="66"/>
      <c r="M684" s="66"/>
      <c r="N684" s="66"/>
      <c r="O684" s="66"/>
      <c r="P684" s="66"/>
      <c r="Q684" s="66"/>
      <c r="R684" s="66"/>
      <c r="S684" s="66"/>
      <c r="T684" s="66"/>
      <c r="U684" s="66"/>
      <c r="V684" s="66"/>
      <c r="W684" s="66"/>
      <c r="X684" s="66"/>
      <c r="Y684" s="66"/>
      <c r="Z684" s="66"/>
      <c r="AA684" s="66"/>
      <c r="AB684" s="66"/>
      <c r="AC684" s="66"/>
    </row>
    <row r="685">
      <c r="A685" s="327"/>
      <c r="B685" s="66"/>
      <c r="C685" s="66"/>
      <c r="D685" s="327"/>
      <c r="E685" s="66"/>
      <c r="F685" s="66"/>
      <c r="G685" s="327"/>
      <c r="H685" s="66"/>
      <c r="I685" s="66"/>
      <c r="J685" s="327"/>
      <c r="K685" s="66"/>
      <c r="L685" s="66"/>
      <c r="M685" s="66"/>
      <c r="N685" s="66"/>
      <c r="O685" s="66"/>
      <c r="P685" s="66"/>
      <c r="Q685" s="66"/>
      <c r="R685" s="66"/>
      <c r="S685" s="66"/>
      <c r="T685" s="66"/>
      <c r="U685" s="66"/>
      <c r="V685" s="66"/>
      <c r="W685" s="66"/>
      <c r="X685" s="66"/>
      <c r="Y685" s="66"/>
      <c r="Z685" s="66"/>
      <c r="AA685" s="66"/>
      <c r="AB685" s="66"/>
      <c r="AC685" s="66"/>
    </row>
    <row r="686">
      <c r="A686" s="327"/>
      <c r="B686" s="66"/>
      <c r="C686" s="66"/>
      <c r="D686" s="327"/>
      <c r="E686" s="66"/>
      <c r="F686" s="66"/>
      <c r="G686" s="327"/>
      <c r="H686" s="66"/>
      <c r="I686" s="66"/>
      <c r="J686" s="327"/>
      <c r="K686" s="66"/>
      <c r="L686" s="66"/>
      <c r="M686" s="66"/>
      <c r="N686" s="66"/>
      <c r="O686" s="66"/>
      <c r="P686" s="66"/>
      <c r="Q686" s="66"/>
      <c r="R686" s="66"/>
      <c r="S686" s="66"/>
      <c r="T686" s="66"/>
      <c r="U686" s="66"/>
      <c r="V686" s="66"/>
      <c r="W686" s="66"/>
      <c r="X686" s="66"/>
      <c r="Y686" s="66"/>
      <c r="Z686" s="66"/>
      <c r="AA686" s="66"/>
      <c r="AB686" s="66"/>
      <c r="AC686" s="66"/>
    </row>
    <row r="687">
      <c r="A687" s="327"/>
      <c r="B687" s="66"/>
      <c r="C687" s="66"/>
      <c r="D687" s="327"/>
      <c r="E687" s="66"/>
      <c r="F687" s="66"/>
      <c r="G687" s="327"/>
      <c r="H687" s="66"/>
      <c r="I687" s="66"/>
      <c r="J687" s="327"/>
      <c r="K687" s="66"/>
      <c r="L687" s="66"/>
      <c r="M687" s="66"/>
      <c r="N687" s="66"/>
      <c r="O687" s="66"/>
      <c r="P687" s="66"/>
      <c r="Q687" s="66"/>
      <c r="R687" s="66"/>
      <c r="S687" s="66"/>
      <c r="T687" s="66"/>
      <c r="U687" s="66"/>
      <c r="V687" s="66"/>
      <c r="W687" s="66"/>
      <c r="X687" s="66"/>
      <c r="Y687" s="66"/>
      <c r="Z687" s="66"/>
      <c r="AA687" s="66"/>
      <c r="AB687" s="66"/>
      <c r="AC687" s="66"/>
    </row>
    <row r="688">
      <c r="A688" s="327"/>
      <c r="B688" s="66"/>
      <c r="C688" s="66"/>
      <c r="D688" s="327"/>
      <c r="E688" s="66"/>
      <c r="F688" s="66"/>
      <c r="G688" s="327"/>
      <c r="H688" s="66"/>
      <c r="I688" s="66"/>
      <c r="J688" s="327"/>
      <c r="K688" s="66"/>
      <c r="L688" s="66"/>
      <c r="M688" s="66"/>
      <c r="N688" s="66"/>
      <c r="O688" s="66"/>
      <c r="P688" s="66"/>
      <c r="Q688" s="66"/>
      <c r="R688" s="66"/>
      <c r="S688" s="66"/>
      <c r="T688" s="66"/>
      <c r="U688" s="66"/>
      <c r="V688" s="66"/>
      <c r="W688" s="66"/>
      <c r="X688" s="66"/>
      <c r="Y688" s="66"/>
      <c r="Z688" s="66"/>
      <c r="AA688" s="66"/>
      <c r="AB688" s="66"/>
      <c r="AC688" s="66"/>
    </row>
    <row r="689">
      <c r="A689" s="327"/>
      <c r="B689" s="66"/>
      <c r="C689" s="66"/>
      <c r="D689" s="327"/>
      <c r="E689" s="66"/>
      <c r="F689" s="66"/>
      <c r="G689" s="327"/>
      <c r="H689" s="66"/>
      <c r="I689" s="66"/>
      <c r="J689" s="327"/>
      <c r="K689" s="66"/>
      <c r="L689" s="66"/>
      <c r="M689" s="66"/>
      <c r="N689" s="66"/>
      <c r="O689" s="66"/>
      <c r="P689" s="66"/>
      <c r="Q689" s="66"/>
      <c r="R689" s="66"/>
      <c r="S689" s="66"/>
      <c r="T689" s="66"/>
      <c r="U689" s="66"/>
      <c r="V689" s="66"/>
      <c r="W689" s="66"/>
      <c r="X689" s="66"/>
      <c r="Y689" s="66"/>
      <c r="Z689" s="66"/>
      <c r="AA689" s="66"/>
      <c r="AB689" s="66"/>
      <c r="AC689" s="66"/>
    </row>
    <row r="690">
      <c r="A690" s="327"/>
      <c r="B690" s="66"/>
      <c r="C690" s="66"/>
      <c r="D690" s="327"/>
      <c r="E690" s="66"/>
      <c r="F690" s="66"/>
      <c r="G690" s="327"/>
      <c r="H690" s="66"/>
      <c r="I690" s="66"/>
      <c r="J690" s="327"/>
      <c r="K690" s="66"/>
      <c r="L690" s="66"/>
      <c r="M690" s="66"/>
      <c r="N690" s="66"/>
      <c r="O690" s="66"/>
      <c r="P690" s="66"/>
      <c r="Q690" s="66"/>
      <c r="R690" s="66"/>
      <c r="S690" s="66"/>
      <c r="T690" s="66"/>
      <c r="U690" s="66"/>
      <c r="V690" s="66"/>
      <c r="W690" s="66"/>
      <c r="X690" s="66"/>
      <c r="Y690" s="66"/>
      <c r="Z690" s="66"/>
      <c r="AA690" s="66"/>
      <c r="AB690" s="66"/>
      <c r="AC690" s="66"/>
    </row>
    <row r="691">
      <c r="A691" s="327"/>
      <c r="B691" s="66"/>
      <c r="C691" s="66"/>
      <c r="D691" s="327"/>
      <c r="E691" s="66"/>
      <c r="F691" s="66"/>
      <c r="G691" s="327"/>
      <c r="H691" s="66"/>
      <c r="I691" s="66"/>
      <c r="J691" s="327"/>
      <c r="K691" s="66"/>
      <c r="L691" s="66"/>
      <c r="M691" s="66"/>
      <c r="N691" s="66"/>
      <c r="O691" s="66"/>
      <c r="P691" s="66"/>
      <c r="Q691" s="66"/>
      <c r="R691" s="66"/>
      <c r="S691" s="66"/>
      <c r="T691" s="66"/>
      <c r="U691" s="66"/>
      <c r="V691" s="66"/>
      <c r="W691" s="66"/>
      <c r="X691" s="66"/>
      <c r="Y691" s="66"/>
      <c r="Z691" s="66"/>
      <c r="AA691" s="66"/>
      <c r="AB691" s="66"/>
      <c r="AC691" s="66"/>
    </row>
    <row r="692">
      <c r="A692" s="327"/>
      <c r="B692" s="66"/>
      <c r="C692" s="66"/>
      <c r="D692" s="327"/>
      <c r="E692" s="66"/>
      <c r="F692" s="66"/>
      <c r="G692" s="327"/>
      <c r="H692" s="66"/>
      <c r="I692" s="66"/>
      <c r="J692" s="327"/>
      <c r="K692" s="66"/>
      <c r="L692" s="66"/>
      <c r="M692" s="66"/>
      <c r="N692" s="66"/>
      <c r="O692" s="66"/>
      <c r="P692" s="66"/>
      <c r="Q692" s="66"/>
      <c r="R692" s="66"/>
      <c r="S692" s="66"/>
      <c r="T692" s="66"/>
      <c r="U692" s="66"/>
      <c r="V692" s="66"/>
      <c r="W692" s="66"/>
      <c r="X692" s="66"/>
      <c r="Y692" s="66"/>
      <c r="Z692" s="66"/>
      <c r="AA692" s="66"/>
      <c r="AB692" s="66"/>
      <c r="AC692" s="66"/>
    </row>
    <row r="693">
      <c r="A693" s="327"/>
      <c r="B693" s="66"/>
      <c r="C693" s="66"/>
      <c r="D693" s="327"/>
      <c r="E693" s="66"/>
      <c r="F693" s="66"/>
      <c r="G693" s="327"/>
      <c r="H693" s="66"/>
      <c r="I693" s="66"/>
      <c r="J693" s="327"/>
      <c r="K693" s="66"/>
      <c r="L693" s="66"/>
      <c r="M693" s="66"/>
      <c r="N693" s="66"/>
      <c r="O693" s="66"/>
      <c r="P693" s="66"/>
      <c r="Q693" s="66"/>
      <c r="R693" s="66"/>
      <c r="S693" s="66"/>
      <c r="T693" s="66"/>
      <c r="U693" s="66"/>
      <c r="V693" s="66"/>
      <c r="W693" s="66"/>
      <c r="X693" s="66"/>
      <c r="Y693" s="66"/>
      <c r="Z693" s="66"/>
      <c r="AA693" s="66"/>
      <c r="AB693" s="66"/>
      <c r="AC693" s="66"/>
    </row>
    <row r="694">
      <c r="A694" s="327"/>
      <c r="B694" s="66"/>
      <c r="C694" s="66"/>
      <c r="D694" s="327"/>
      <c r="E694" s="66"/>
      <c r="F694" s="66"/>
      <c r="G694" s="327"/>
      <c r="H694" s="66"/>
      <c r="I694" s="66"/>
      <c r="J694" s="327"/>
      <c r="K694" s="66"/>
      <c r="L694" s="66"/>
      <c r="M694" s="66"/>
      <c r="N694" s="66"/>
      <c r="O694" s="66"/>
      <c r="P694" s="66"/>
      <c r="Q694" s="66"/>
      <c r="R694" s="66"/>
      <c r="S694" s="66"/>
      <c r="T694" s="66"/>
      <c r="U694" s="66"/>
      <c r="V694" s="66"/>
      <c r="W694" s="66"/>
      <c r="X694" s="66"/>
      <c r="Y694" s="66"/>
      <c r="Z694" s="66"/>
      <c r="AA694" s="66"/>
      <c r="AB694" s="66"/>
      <c r="AC694" s="66"/>
    </row>
    <row r="695">
      <c r="A695" s="327"/>
      <c r="B695" s="66"/>
      <c r="C695" s="66"/>
      <c r="D695" s="327"/>
      <c r="E695" s="66"/>
      <c r="F695" s="66"/>
      <c r="G695" s="327"/>
      <c r="H695" s="66"/>
      <c r="I695" s="66"/>
      <c r="J695" s="327"/>
      <c r="K695" s="66"/>
      <c r="L695" s="66"/>
      <c r="M695" s="66"/>
      <c r="N695" s="66"/>
      <c r="O695" s="66"/>
      <c r="P695" s="66"/>
      <c r="Q695" s="66"/>
      <c r="R695" s="66"/>
      <c r="S695" s="66"/>
      <c r="T695" s="66"/>
      <c r="U695" s="66"/>
      <c r="V695" s="66"/>
      <c r="W695" s="66"/>
      <c r="X695" s="66"/>
      <c r="Y695" s="66"/>
      <c r="Z695" s="66"/>
      <c r="AA695" s="66"/>
      <c r="AB695" s="66"/>
      <c r="AC695" s="66"/>
    </row>
    <row r="696">
      <c r="A696" s="327"/>
      <c r="B696" s="66"/>
      <c r="C696" s="66"/>
      <c r="D696" s="327"/>
      <c r="E696" s="66"/>
      <c r="F696" s="66"/>
      <c r="G696" s="327"/>
      <c r="H696" s="66"/>
      <c r="I696" s="66"/>
      <c r="J696" s="327"/>
      <c r="K696" s="66"/>
      <c r="L696" s="66"/>
      <c r="M696" s="66"/>
      <c r="N696" s="66"/>
      <c r="O696" s="66"/>
      <c r="P696" s="66"/>
      <c r="Q696" s="66"/>
      <c r="R696" s="66"/>
      <c r="S696" s="66"/>
      <c r="T696" s="66"/>
      <c r="U696" s="66"/>
      <c r="V696" s="66"/>
      <c r="W696" s="66"/>
      <c r="X696" s="66"/>
      <c r="Y696" s="66"/>
      <c r="Z696" s="66"/>
      <c r="AA696" s="66"/>
      <c r="AB696" s="66"/>
      <c r="AC696" s="66"/>
    </row>
    <row r="697">
      <c r="A697" s="327"/>
      <c r="B697" s="66"/>
      <c r="C697" s="66"/>
      <c r="D697" s="327"/>
      <c r="E697" s="66"/>
      <c r="F697" s="66"/>
      <c r="G697" s="327"/>
      <c r="H697" s="66"/>
      <c r="I697" s="66"/>
      <c r="J697" s="327"/>
      <c r="K697" s="66"/>
      <c r="L697" s="66"/>
      <c r="M697" s="66"/>
      <c r="N697" s="66"/>
      <c r="O697" s="66"/>
      <c r="P697" s="66"/>
      <c r="Q697" s="66"/>
      <c r="R697" s="66"/>
      <c r="S697" s="66"/>
      <c r="T697" s="66"/>
      <c r="U697" s="66"/>
      <c r="V697" s="66"/>
      <c r="W697" s="66"/>
      <c r="X697" s="66"/>
      <c r="Y697" s="66"/>
      <c r="Z697" s="66"/>
      <c r="AA697" s="66"/>
      <c r="AB697" s="66"/>
      <c r="AC697" s="66"/>
    </row>
    <row r="698">
      <c r="A698" s="327"/>
      <c r="B698" s="66"/>
      <c r="C698" s="66"/>
      <c r="D698" s="327"/>
      <c r="E698" s="66"/>
      <c r="F698" s="66"/>
      <c r="G698" s="327"/>
      <c r="H698" s="66"/>
      <c r="I698" s="66"/>
      <c r="J698" s="327"/>
      <c r="K698" s="66"/>
      <c r="L698" s="66"/>
      <c r="M698" s="66"/>
      <c r="N698" s="66"/>
      <c r="O698" s="66"/>
      <c r="P698" s="66"/>
      <c r="Q698" s="66"/>
      <c r="R698" s="66"/>
      <c r="S698" s="66"/>
      <c r="T698" s="66"/>
      <c r="U698" s="66"/>
      <c r="V698" s="66"/>
      <c r="W698" s="66"/>
      <c r="X698" s="66"/>
      <c r="Y698" s="66"/>
      <c r="Z698" s="66"/>
      <c r="AA698" s="66"/>
      <c r="AB698" s="66"/>
      <c r="AC698" s="66"/>
    </row>
    <row r="699">
      <c r="A699" s="327"/>
      <c r="B699" s="66"/>
      <c r="C699" s="66"/>
      <c r="D699" s="327"/>
      <c r="E699" s="66"/>
      <c r="F699" s="66"/>
      <c r="G699" s="327"/>
      <c r="H699" s="66"/>
      <c r="I699" s="66"/>
      <c r="J699" s="327"/>
      <c r="K699" s="66"/>
      <c r="L699" s="66"/>
      <c r="M699" s="66"/>
      <c r="N699" s="66"/>
      <c r="O699" s="66"/>
      <c r="P699" s="66"/>
      <c r="Q699" s="66"/>
      <c r="R699" s="66"/>
      <c r="S699" s="66"/>
      <c r="T699" s="66"/>
      <c r="U699" s="66"/>
      <c r="V699" s="66"/>
      <c r="W699" s="66"/>
      <c r="X699" s="66"/>
      <c r="Y699" s="66"/>
      <c r="Z699" s="66"/>
      <c r="AA699" s="66"/>
      <c r="AB699" s="66"/>
      <c r="AC699" s="66"/>
    </row>
    <row r="700">
      <c r="A700" s="327"/>
      <c r="B700" s="66"/>
      <c r="C700" s="66"/>
      <c r="D700" s="327"/>
      <c r="E700" s="66"/>
      <c r="F700" s="66"/>
      <c r="G700" s="327"/>
      <c r="H700" s="66"/>
      <c r="I700" s="66"/>
      <c r="J700" s="327"/>
      <c r="K700" s="66"/>
      <c r="L700" s="66"/>
      <c r="M700" s="66"/>
      <c r="N700" s="66"/>
      <c r="O700" s="66"/>
      <c r="P700" s="66"/>
      <c r="Q700" s="66"/>
      <c r="R700" s="66"/>
      <c r="S700" s="66"/>
      <c r="T700" s="66"/>
      <c r="U700" s="66"/>
      <c r="V700" s="66"/>
      <c r="W700" s="66"/>
      <c r="X700" s="66"/>
      <c r="Y700" s="66"/>
      <c r="Z700" s="66"/>
      <c r="AA700" s="66"/>
      <c r="AB700" s="66"/>
      <c r="AC700" s="66"/>
    </row>
    <row r="701">
      <c r="A701" s="327"/>
      <c r="B701" s="66"/>
      <c r="C701" s="66"/>
      <c r="D701" s="327"/>
      <c r="E701" s="66"/>
      <c r="F701" s="66"/>
      <c r="G701" s="327"/>
      <c r="H701" s="66"/>
      <c r="I701" s="66"/>
      <c r="J701" s="327"/>
      <c r="K701" s="66"/>
      <c r="L701" s="66"/>
      <c r="M701" s="66"/>
      <c r="N701" s="66"/>
      <c r="O701" s="66"/>
      <c r="P701" s="66"/>
      <c r="Q701" s="66"/>
      <c r="R701" s="66"/>
      <c r="S701" s="66"/>
      <c r="T701" s="66"/>
      <c r="U701" s="66"/>
      <c r="V701" s="66"/>
      <c r="W701" s="66"/>
      <c r="X701" s="66"/>
      <c r="Y701" s="66"/>
      <c r="Z701" s="66"/>
      <c r="AA701" s="66"/>
      <c r="AB701" s="66"/>
      <c r="AC701" s="66"/>
    </row>
    <row r="702">
      <c r="A702" s="327"/>
      <c r="B702" s="66"/>
      <c r="C702" s="66"/>
      <c r="D702" s="327"/>
      <c r="E702" s="66"/>
      <c r="F702" s="66"/>
      <c r="G702" s="327"/>
      <c r="H702" s="66"/>
      <c r="I702" s="66"/>
      <c r="J702" s="327"/>
      <c r="K702" s="66"/>
      <c r="L702" s="66"/>
      <c r="M702" s="66"/>
      <c r="N702" s="66"/>
      <c r="O702" s="66"/>
      <c r="P702" s="66"/>
      <c r="Q702" s="66"/>
      <c r="R702" s="66"/>
      <c r="S702" s="66"/>
      <c r="T702" s="66"/>
      <c r="U702" s="66"/>
      <c r="V702" s="66"/>
      <c r="W702" s="66"/>
      <c r="X702" s="66"/>
      <c r="Y702" s="66"/>
      <c r="Z702" s="66"/>
      <c r="AA702" s="66"/>
      <c r="AB702" s="66"/>
      <c r="AC702" s="66"/>
    </row>
    <row r="703">
      <c r="A703" s="327"/>
      <c r="B703" s="66"/>
      <c r="C703" s="66"/>
      <c r="D703" s="327"/>
      <c r="E703" s="66"/>
      <c r="F703" s="66"/>
      <c r="G703" s="327"/>
      <c r="H703" s="66"/>
      <c r="I703" s="66"/>
      <c r="J703" s="327"/>
      <c r="K703" s="66"/>
      <c r="L703" s="66"/>
      <c r="M703" s="66"/>
      <c r="N703" s="66"/>
      <c r="O703" s="66"/>
      <c r="P703" s="66"/>
      <c r="Q703" s="66"/>
      <c r="R703" s="66"/>
      <c r="S703" s="66"/>
      <c r="T703" s="66"/>
      <c r="U703" s="66"/>
      <c r="V703" s="66"/>
      <c r="W703" s="66"/>
      <c r="X703" s="66"/>
      <c r="Y703" s="66"/>
      <c r="Z703" s="66"/>
      <c r="AA703" s="66"/>
      <c r="AB703" s="66"/>
      <c r="AC703" s="66"/>
    </row>
    <row r="704">
      <c r="A704" s="327"/>
      <c r="B704" s="66"/>
      <c r="C704" s="66"/>
      <c r="D704" s="327"/>
      <c r="E704" s="66"/>
      <c r="F704" s="66"/>
      <c r="G704" s="327"/>
      <c r="H704" s="66"/>
      <c r="I704" s="66"/>
      <c r="J704" s="327"/>
      <c r="K704" s="66"/>
      <c r="L704" s="66"/>
      <c r="M704" s="66"/>
      <c r="N704" s="66"/>
      <c r="O704" s="66"/>
      <c r="P704" s="66"/>
      <c r="Q704" s="66"/>
      <c r="R704" s="66"/>
      <c r="S704" s="66"/>
      <c r="T704" s="66"/>
      <c r="U704" s="66"/>
      <c r="V704" s="66"/>
      <c r="W704" s="66"/>
      <c r="X704" s="66"/>
      <c r="Y704" s="66"/>
      <c r="Z704" s="66"/>
      <c r="AA704" s="66"/>
      <c r="AB704" s="66"/>
      <c r="AC704" s="66"/>
    </row>
    <row r="705">
      <c r="A705" s="327"/>
      <c r="B705" s="66"/>
      <c r="C705" s="66"/>
      <c r="D705" s="327"/>
      <c r="E705" s="66"/>
      <c r="F705" s="66"/>
      <c r="G705" s="327"/>
      <c r="H705" s="66"/>
      <c r="I705" s="66"/>
      <c r="J705" s="327"/>
      <c r="K705" s="66"/>
      <c r="L705" s="66"/>
      <c r="M705" s="66"/>
      <c r="N705" s="66"/>
      <c r="O705" s="66"/>
      <c r="P705" s="66"/>
      <c r="Q705" s="66"/>
      <c r="R705" s="66"/>
      <c r="S705" s="66"/>
      <c r="T705" s="66"/>
      <c r="U705" s="66"/>
      <c r="V705" s="66"/>
      <c r="W705" s="66"/>
      <c r="X705" s="66"/>
      <c r="Y705" s="66"/>
      <c r="Z705" s="66"/>
      <c r="AA705" s="66"/>
      <c r="AB705" s="66"/>
      <c r="AC705" s="66"/>
    </row>
    <row r="706">
      <c r="A706" s="327"/>
      <c r="B706" s="66"/>
      <c r="C706" s="66"/>
      <c r="D706" s="327"/>
      <c r="E706" s="66"/>
      <c r="F706" s="66"/>
      <c r="G706" s="327"/>
      <c r="H706" s="66"/>
      <c r="I706" s="66"/>
      <c r="J706" s="327"/>
      <c r="K706" s="66"/>
      <c r="L706" s="66"/>
      <c r="M706" s="66"/>
      <c r="N706" s="66"/>
      <c r="O706" s="66"/>
      <c r="P706" s="66"/>
      <c r="Q706" s="66"/>
      <c r="R706" s="66"/>
      <c r="S706" s="66"/>
      <c r="T706" s="66"/>
      <c r="U706" s="66"/>
      <c r="V706" s="66"/>
      <c r="W706" s="66"/>
      <c r="X706" s="66"/>
      <c r="Y706" s="66"/>
      <c r="Z706" s="66"/>
      <c r="AA706" s="66"/>
      <c r="AB706" s="66"/>
      <c r="AC706" s="66"/>
    </row>
    <row r="707">
      <c r="A707" s="327"/>
      <c r="B707" s="66"/>
      <c r="C707" s="66"/>
      <c r="D707" s="327"/>
      <c r="E707" s="66"/>
      <c r="F707" s="66"/>
      <c r="G707" s="327"/>
      <c r="H707" s="66"/>
      <c r="I707" s="66"/>
      <c r="J707" s="327"/>
      <c r="K707" s="66"/>
      <c r="L707" s="66"/>
      <c r="M707" s="66"/>
      <c r="N707" s="66"/>
      <c r="O707" s="66"/>
      <c r="P707" s="66"/>
      <c r="Q707" s="66"/>
      <c r="R707" s="66"/>
      <c r="S707" s="66"/>
      <c r="T707" s="66"/>
      <c r="U707" s="66"/>
      <c r="V707" s="66"/>
      <c r="W707" s="66"/>
      <c r="X707" s="66"/>
      <c r="Y707" s="66"/>
      <c r="Z707" s="66"/>
      <c r="AA707" s="66"/>
      <c r="AB707" s="66"/>
      <c r="AC707" s="66"/>
    </row>
    <row r="708">
      <c r="A708" s="327"/>
      <c r="B708" s="66"/>
      <c r="C708" s="66"/>
      <c r="D708" s="327"/>
      <c r="E708" s="66"/>
      <c r="F708" s="66"/>
      <c r="G708" s="327"/>
      <c r="H708" s="66"/>
      <c r="I708" s="66"/>
      <c r="J708" s="327"/>
      <c r="K708" s="66"/>
      <c r="L708" s="66"/>
      <c r="M708" s="66"/>
      <c r="N708" s="66"/>
      <c r="O708" s="66"/>
      <c r="P708" s="66"/>
      <c r="Q708" s="66"/>
      <c r="R708" s="66"/>
      <c r="S708" s="66"/>
      <c r="T708" s="66"/>
      <c r="U708" s="66"/>
      <c r="V708" s="66"/>
      <c r="W708" s="66"/>
      <c r="X708" s="66"/>
      <c r="Y708" s="66"/>
      <c r="Z708" s="66"/>
      <c r="AA708" s="66"/>
      <c r="AB708" s="66"/>
      <c r="AC708" s="66"/>
    </row>
    <row r="709">
      <c r="A709" s="327"/>
      <c r="B709" s="66"/>
      <c r="C709" s="66"/>
      <c r="D709" s="327"/>
      <c r="E709" s="66"/>
      <c r="F709" s="66"/>
      <c r="G709" s="327"/>
      <c r="H709" s="66"/>
      <c r="I709" s="66"/>
      <c r="J709" s="327"/>
      <c r="K709" s="66"/>
      <c r="L709" s="66"/>
      <c r="M709" s="66"/>
      <c r="N709" s="66"/>
      <c r="O709" s="66"/>
      <c r="P709" s="66"/>
      <c r="Q709" s="66"/>
      <c r="R709" s="66"/>
      <c r="S709" s="66"/>
      <c r="T709" s="66"/>
      <c r="U709" s="66"/>
      <c r="V709" s="66"/>
      <c r="W709" s="66"/>
      <c r="X709" s="66"/>
      <c r="Y709" s="66"/>
      <c r="Z709" s="66"/>
      <c r="AA709" s="66"/>
      <c r="AB709" s="66"/>
      <c r="AC709" s="66"/>
    </row>
    <row r="710">
      <c r="A710" s="327"/>
      <c r="B710" s="66"/>
      <c r="C710" s="66"/>
      <c r="D710" s="327"/>
      <c r="E710" s="66"/>
      <c r="F710" s="66"/>
      <c r="G710" s="327"/>
      <c r="H710" s="66"/>
      <c r="I710" s="66"/>
      <c r="J710" s="327"/>
      <c r="K710" s="66"/>
      <c r="L710" s="66"/>
      <c r="M710" s="66"/>
      <c r="N710" s="66"/>
      <c r="O710" s="66"/>
      <c r="P710" s="66"/>
      <c r="Q710" s="66"/>
      <c r="R710" s="66"/>
      <c r="S710" s="66"/>
      <c r="T710" s="66"/>
      <c r="U710" s="66"/>
      <c r="V710" s="66"/>
      <c r="W710" s="66"/>
      <c r="X710" s="66"/>
      <c r="Y710" s="66"/>
      <c r="Z710" s="66"/>
      <c r="AA710" s="66"/>
      <c r="AB710" s="66"/>
      <c r="AC710" s="66"/>
    </row>
    <row r="711">
      <c r="A711" s="327"/>
      <c r="B711" s="66"/>
      <c r="C711" s="66"/>
      <c r="D711" s="327"/>
      <c r="E711" s="66"/>
      <c r="F711" s="66"/>
      <c r="G711" s="327"/>
      <c r="H711" s="66"/>
      <c r="I711" s="66"/>
      <c r="J711" s="327"/>
      <c r="K711" s="66"/>
      <c r="L711" s="66"/>
      <c r="M711" s="66"/>
      <c r="N711" s="66"/>
      <c r="O711" s="66"/>
      <c r="P711" s="66"/>
      <c r="Q711" s="66"/>
      <c r="R711" s="66"/>
      <c r="S711" s="66"/>
      <c r="T711" s="66"/>
      <c r="U711" s="66"/>
      <c r="V711" s="66"/>
      <c r="W711" s="66"/>
      <c r="X711" s="66"/>
      <c r="Y711" s="66"/>
      <c r="Z711" s="66"/>
      <c r="AA711" s="66"/>
      <c r="AB711" s="66"/>
      <c r="AC711" s="66"/>
    </row>
    <row r="712">
      <c r="A712" s="327"/>
      <c r="B712" s="66"/>
      <c r="C712" s="66"/>
      <c r="D712" s="327"/>
      <c r="E712" s="66"/>
      <c r="F712" s="66"/>
      <c r="G712" s="327"/>
      <c r="H712" s="66"/>
      <c r="I712" s="66"/>
      <c r="J712" s="327"/>
      <c r="K712" s="66"/>
      <c r="L712" s="66"/>
      <c r="M712" s="66"/>
      <c r="N712" s="66"/>
      <c r="O712" s="66"/>
      <c r="P712" s="66"/>
      <c r="Q712" s="66"/>
      <c r="R712" s="66"/>
      <c r="S712" s="66"/>
      <c r="T712" s="66"/>
      <c r="U712" s="66"/>
      <c r="V712" s="66"/>
      <c r="W712" s="66"/>
      <c r="X712" s="66"/>
      <c r="Y712" s="66"/>
      <c r="Z712" s="66"/>
      <c r="AA712" s="66"/>
      <c r="AB712" s="66"/>
      <c r="AC712" s="66"/>
    </row>
    <row r="713">
      <c r="A713" s="327"/>
      <c r="B713" s="66"/>
      <c r="C713" s="66"/>
      <c r="D713" s="327"/>
      <c r="E713" s="66"/>
      <c r="F713" s="66"/>
      <c r="G713" s="327"/>
      <c r="H713" s="66"/>
      <c r="I713" s="66"/>
      <c r="J713" s="327"/>
      <c r="K713" s="66"/>
      <c r="L713" s="66"/>
      <c r="M713" s="66"/>
      <c r="N713" s="66"/>
      <c r="O713" s="66"/>
      <c r="P713" s="66"/>
      <c r="Q713" s="66"/>
      <c r="R713" s="66"/>
      <c r="S713" s="66"/>
      <c r="T713" s="66"/>
      <c r="U713" s="66"/>
      <c r="V713" s="66"/>
      <c r="W713" s="66"/>
      <c r="X713" s="66"/>
      <c r="Y713" s="66"/>
      <c r="Z713" s="66"/>
      <c r="AA713" s="66"/>
      <c r="AB713" s="66"/>
      <c r="AC713" s="66"/>
    </row>
    <row r="714">
      <c r="A714" s="327"/>
      <c r="B714" s="66"/>
      <c r="C714" s="66"/>
      <c r="D714" s="327"/>
      <c r="E714" s="66"/>
      <c r="F714" s="66"/>
      <c r="G714" s="327"/>
      <c r="H714" s="66"/>
      <c r="I714" s="66"/>
      <c r="J714" s="327"/>
      <c r="K714" s="66"/>
      <c r="L714" s="66"/>
      <c r="M714" s="66"/>
      <c r="N714" s="66"/>
      <c r="O714" s="66"/>
      <c r="P714" s="66"/>
      <c r="Q714" s="66"/>
      <c r="R714" s="66"/>
      <c r="S714" s="66"/>
      <c r="T714" s="66"/>
      <c r="U714" s="66"/>
      <c r="V714" s="66"/>
      <c r="W714" s="66"/>
      <c r="X714" s="66"/>
      <c r="Y714" s="66"/>
      <c r="Z714" s="66"/>
      <c r="AA714" s="66"/>
      <c r="AB714" s="66"/>
      <c r="AC714" s="66"/>
    </row>
    <row r="715">
      <c r="A715" s="327"/>
      <c r="B715" s="66"/>
      <c r="C715" s="66"/>
      <c r="D715" s="327"/>
      <c r="E715" s="66"/>
      <c r="F715" s="66"/>
      <c r="G715" s="327"/>
      <c r="H715" s="66"/>
      <c r="I715" s="66"/>
      <c r="J715" s="327"/>
      <c r="K715" s="66"/>
      <c r="L715" s="66"/>
      <c r="M715" s="66"/>
      <c r="N715" s="66"/>
      <c r="O715" s="66"/>
      <c r="P715" s="66"/>
      <c r="Q715" s="66"/>
      <c r="R715" s="66"/>
      <c r="S715" s="66"/>
      <c r="T715" s="66"/>
      <c r="U715" s="66"/>
      <c r="V715" s="66"/>
      <c r="W715" s="66"/>
      <c r="X715" s="66"/>
      <c r="Y715" s="66"/>
      <c r="Z715" s="66"/>
      <c r="AA715" s="66"/>
      <c r="AB715" s="66"/>
      <c r="AC715" s="66"/>
    </row>
    <row r="716">
      <c r="A716" s="327"/>
      <c r="B716" s="66"/>
      <c r="C716" s="66"/>
      <c r="D716" s="327"/>
      <c r="E716" s="66"/>
      <c r="F716" s="66"/>
      <c r="G716" s="327"/>
      <c r="H716" s="66"/>
      <c r="I716" s="66"/>
      <c r="J716" s="327"/>
      <c r="K716" s="66"/>
      <c r="L716" s="66"/>
      <c r="M716" s="66"/>
      <c r="N716" s="66"/>
      <c r="O716" s="66"/>
      <c r="P716" s="66"/>
      <c r="Q716" s="66"/>
      <c r="R716" s="66"/>
      <c r="S716" s="66"/>
      <c r="T716" s="66"/>
      <c r="U716" s="66"/>
      <c r="V716" s="66"/>
      <c r="W716" s="66"/>
      <c r="X716" s="66"/>
      <c r="Y716" s="66"/>
      <c r="Z716" s="66"/>
      <c r="AA716" s="66"/>
      <c r="AB716" s="66"/>
      <c r="AC716" s="66"/>
    </row>
    <row r="717">
      <c r="A717" s="327"/>
      <c r="B717" s="66"/>
      <c r="C717" s="66"/>
      <c r="D717" s="327"/>
      <c r="E717" s="66"/>
      <c r="F717" s="66"/>
      <c r="G717" s="327"/>
      <c r="H717" s="66"/>
      <c r="I717" s="66"/>
      <c r="J717" s="327"/>
      <c r="K717" s="66"/>
      <c r="L717" s="66"/>
      <c r="M717" s="66"/>
      <c r="N717" s="66"/>
      <c r="O717" s="66"/>
      <c r="P717" s="66"/>
      <c r="Q717" s="66"/>
      <c r="R717" s="66"/>
      <c r="S717" s="66"/>
      <c r="T717" s="66"/>
      <c r="U717" s="66"/>
      <c r="V717" s="66"/>
      <c r="W717" s="66"/>
      <c r="X717" s="66"/>
      <c r="Y717" s="66"/>
      <c r="Z717" s="66"/>
      <c r="AA717" s="66"/>
      <c r="AB717" s="66"/>
      <c r="AC717" s="66"/>
    </row>
    <row r="718">
      <c r="A718" s="327"/>
      <c r="B718" s="66"/>
      <c r="C718" s="66"/>
      <c r="D718" s="327"/>
      <c r="E718" s="66"/>
      <c r="F718" s="66"/>
      <c r="G718" s="327"/>
      <c r="H718" s="66"/>
      <c r="I718" s="66"/>
      <c r="J718" s="327"/>
      <c r="K718" s="66"/>
      <c r="L718" s="66"/>
      <c r="M718" s="66"/>
      <c r="N718" s="66"/>
      <c r="O718" s="66"/>
      <c r="P718" s="66"/>
      <c r="Q718" s="66"/>
      <c r="R718" s="66"/>
      <c r="S718" s="66"/>
      <c r="T718" s="66"/>
      <c r="U718" s="66"/>
      <c r="V718" s="66"/>
      <c r="W718" s="66"/>
      <c r="X718" s="66"/>
      <c r="Y718" s="66"/>
      <c r="Z718" s="66"/>
      <c r="AA718" s="66"/>
      <c r="AB718" s="66"/>
      <c r="AC718" s="66"/>
    </row>
    <row r="719">
      <c r="A719" s="327"/>
      <c r="B719" s="66"/>
      <c r="C719" s="66"/>
      <c r="D719" s="327"/>
      <c r="E719" s="66"/>
      <c r="F719" s="66"/>
      <c r="G719" s="327"/>
      <c r="H719" s="66"/>
      <c r="I719" s="66"/>
      <c r="J719" s="327"/>
      <c r="K719" s="66"/>
      <c r="L719" s="66"/>
      <c r="M719" s="66"/>
      <c r="N719" s="66"/>
      <c r="O719" s="66"/>
      <c r="P719" s="66"/>
      <c r="Q719" s="66"/>
      <c r="R719" s="66"/>
      <c r="S719" s="66"/>
      <c r="T719" s="66"/>
      <c r="U719" s="66"/>
      <c r="V719" s="66"/>
      <c r="W719" s="66"/>
      <c r="X719" s="66"/>
      <c r="Y719" s="66"/>
      <c r="Z719" s="66"/>
      <c r="AA719" s="66"/>
      <c r="AB719" s="66"/>
      <c r="AC719" s="66"/>
    </row>
    <row r="720">
      <c r="A720" s="327"/>
      <c r="B720" s="66"/>
      <c r="C720" s="66"/>
      <c r="D720" s="327"/>
      <c r="E720" s="66"/>
      <c r="F720" s="66"/>
      <c r="G720" s="327"/>
      <c r="H720" s="66"/>
      <c r="I720" s="66"/>
      <c r="J720" s="327"/>
      <c r="K720" s="66"/>
      <c r="L720" s="66"/>
      <c r="M720" s="66"/>
      <c r="N720" s="66"/>
      <c r="O720" s="66"/>
      <c r="P720" s="66"/>
      <c r="Q720" s="66"/>
      <c r="R720" s="66"/>
      <c r="S720" s="66"/>
      <c r="T720" s="66"/>
      <c r="U720" s="66"/>
      <c r="V720" s="66"/>
      <c r="W720" s="66"/>
      <c r="X720" s="66"/>
      <c r="Y720" s="66"/>
      <c r="Z720" s="66"/>
      <c r="AA720" s="66"/>
      <c r="AB720" s="66"/>
      <c r="AC720" s="66"/>
    </row>
    <row r="721">
      <c r="A721" s="327"/>
      <c r="B721" s="66"/>
      <c r="C721" s="66"/>
      <c r="D721" s="327"/>
      <c r="E721" s="66"/>
      <c r="F721" s="66"/>
      <c r="G721" s="327"/>
      <c r="H721" s="66"/>
      <c r="I721" s="66"/>
      <c r="J721" s="327"/>
      <c r="K721" s="66"/>
      <c r="L721" s="66"/>
      <c r="M721" s="66"/>
      <c r="N721" s="66"/>
      <c r="O721" s="66"/>
      <c r="P721" s="66"/>
      <c r="Q721" s="66"/>
      <c r="R721" s="66"/>
      <c r="S721" s="66"/>
      <c r="T721" s="66"/>
      <c r="U721" s="66"/>
      <c r="V721" s="66"/>
      <c r="W721" s="66"/>
      <c r="X721" s="66"/>
      <c r="Y721" s="66"/>
      <c r="Z721" s="66"/>
      <c r="AA721" s="66"/>
      <c r="AB721" s="66"/>
      <c r="AC721" s="66"/>
    </row>
    <row r="722">
      <c r="A722" s="327"/>
      <c r="B722" s="66"/>
      <c r="C722" s="66"/>
      <c r="D722" s="327"/>
      <c r="E722" s="66"/>
      <c r="F722" s="66"/>
      <c r="G722" s="327"/>
      <c r="H722" s="66"/>
      <c r="I722" s="66"/>
      <c r="J722" s="327"/>
      <c r="K722" s="66"/>
      <c r="L722" s="66"/>
      <c r="M722" s="66"/>
      <c r="N722" s="66"/>
      <c r="O722" s="66"/>
      <c r="P722" s="66"/>
      <c r="Q722" s="66"/>
      <c r="R722" s="66"/>
      <c r="S722" s="66"/>
      <c r="T722" s="66"/>
      <c r="U722" s="66"/>
      <c r="V722" s="66"/>
      <c r="W722" s="66"/>
      <c r="X722" s="66"/>
      <c r="Y722" s="66"/>
      <c r="Z722" s="66"/>
      <c r="AA722" s="66"/>
      <c r="AB722" s="66"/>
      <c r="AC722" s="66"/>
    </row>
    <row r="723">
      <c r="A723" s="327"/>
      <c r="B723" s="66"/>
      <c r="C723" s="66"/>
      <c r="D723" s="327"/>
      <c r="E723" s="66"/>
      <c r="F723" s="66"/>
      <c r="G723" s="327"/>
      <c r="H723" s="66"/>
      <c r="I723" s="66"/>
      <c r="J723" s="327"/>
      <c r="K723" s="66"/>
      <c r="L723" s="66"/>
      <c r="M723" s="66"/>
      <c r="N723" s="66"/>
      <c r="O723" s="66"/>
      <c r="P723" s="66"/>
      <c r="Q723" s="66"/>
      <c r="R723" s="66"/>
      <c r="S723" s="66"/>
      <c r="T723" s="66"/>
      <c r="U723" s="66"/>
      <c r="V723" s="66"/>
      <c r="W723" s="66"/>
      <c r="X723" s="66"/>
      <c r="Y723" s="66"/>
      <c r="Z723" s="66"/>
      <c r="AA723" s="66"/>
      <c r="AB723" s="66"/>
      <c r="AC723" s="66"/>
    </row>
    <row r="724">
      <c r="A724" s="327"/>
      <c r="B724" s="66"/>
      <c r="C724" s="66"/>
      <c r="D724" s="327"/>
      <c r="E724" s="66"/>
      <c r="F724" s="66"/>
      <c r="G724" s="327"/>
      <c r="H724" s="66"/>
      <c r="I724" s="66"/>
      <c r="J724" s="327"/>
      <c r="K724" s="66"/>
      <c r="L724" s="66"/>
      <c r="M724" s="66"/>
      <c r="N724" s="66"/>
      <c r="O724" s="66"/>
      <c r="P724" s="66"/>
      <c r="Q724" s="66"/>
      <c r="R724" s="66"/>
      <c r="S724" s="66"/>
      <c r="T724" s="66"/>
      <c r="U724" s="66"/>
      <c r="V724" s="66"/>
      <c r="W724" s="66"/>
      <c r="X724" s="66"/>
      <c r="Y724" s="66"/>
      <c r="Z724" s="66"/>
      <c r="AA724" s="66"/>
      <c r="AB724" s="66"/>
      <c r="AC724" s="66"/>
    </row>
    <row r="725">
      <c r="A725" s="327"/>
      <c r="B725" s="66"/>
      <c r="C725" s="66"/>
      <c r="D725" s="327"/>
      <c r="E725" s="66"/>
      <c r="F725" s="66"/>
      <c r="G725" s="327"/>
      <c r="H725" s="66"/>
      <c r="I725" s="66"/>
      <c r="J725" s="327"/>
      <c r="K725" s="66"/>
      <c r="L725" s="66"/>
      <c r="M725" s="66"/>
      <c r="N725" s="66"/>
      <c r="O725" s="66"/>
      <c r="P725" s="66"/>
      <c r="Q725" s="66"/>
      <c r="R725" s="66"/>
      <c r="S725" s="66"/>
      <c r="T725" s="66"/>
      <c r="U725" s="66"/>
      <c r="V725" s="66"/>
      <c r="W725" s="66"/>
      <c r="X725" s="66"/>
      <c r="Y725" s="66"/>
      <c r="Z725" s="66"/>
      <c r="AA725" s="66"/>
      <c r="AB725" s="66"/>
      <c r="AC725" s="66"/>
    </row>
    <row r="726">
      <c r="A726" s="327"/>
      <c r="B726" s="66"/>
      <c r="C726" s="66"/>
      <c r="D726" s="327"/>
      <c r="E726" s="66"/>
      <c r="F726" s="66"/>
      <c r="G726" s="327"/>
      <c r="H726" s="66"/>
      <c r="I726" s="66"/>
      <c r="J726" s="327"/>
      <c r="K726" s="66"/>
      <c r="L726" s="66"/>
      <c r="M726" s="66"/>
      <c r="N726" s="66"/>
      <c r="O726" s="66"/>
      <c r="P726" s="66"/>
      <c r="Q726" s="66"/>
      <c r="R726" s="66"/>
      <c r="S726" s="66"/>
      <c r="T726" s="66"/>
      <c r="U726" s="66"/>
      <c r="V726" s="66"/>
      <c r="W726" s="66"/>
      <c r="X726" s="66"/>
      <c r="Y726" s="66"/>
      <c r="Z726" s="66"/>
      <c r="AA726" s="66"/>
      <c r="AB726" s="66"/>
      <c r="AC726" s="66"/>
    </row>
    <row r="727">
      <c r="A727" s="327"/>
      <c r="B727" s="66"/>
      <c r="C727" s="66"/>
      <c r="D727" s="327"/>
      <c r="E727" s="66"/>
      <c r="F727" s="66"/>
      <c r="G727" s="327"/>
      <c r="H727" s="66"/>
      <c r="I727" s="66"/>
      <c r="J727" s="327"/>
      <c r="K727" s="66"/>
      <c r="L727" s="66"/>
      <c r="M727" s="66"/>
      <c r="N727" s="66"/>
      <c r="O727" s="66"/>
      <c r="P727" s="66"/>
      <c r="Q727" s="66"/>
      <c r="R727" s="66"/>
      <c r="S727" s="66"/>
      <c r="T727" s="66"/>
      <c r="U727" s="66"/>
      <c r="V727" s="66"/>
      <c r="W727" s="66"/>
      <c r="X727" s="66"/>
      <c r="Y727" s="66"/>
      <c r="Z727" s="66"/>
      <c r="AA727" s="66"/>
      <c r="AB727" s="66"/>
      <c r="AC727" s="66"/>
    </row>
    <row r="728">
      <c r="A728" s="327"/>
      <c r="B728" s="66"/>
      <c r="C728" s="66"/>
      <c r="D728" s="327"/>
      <c r="E728" s="66"/>
      <c r="F728" s="66"/>
      <c r="G728" s="327"/>
      <c r="H728" s="66"/>
      <c r="I728" s="66"/>
      <c r="J728" s="327"/>
      <c r="K728" s="66"/>
      <c r="L728" s="66"/>
      <c r="M728" s="66"/>
      <c r="N728" s="66"/>
      <c r="O728" s="66"/>
      <c r="P728" s="66"/>
      <c r="Q728" s="66"/>
      <c r="R728" s="66"/>
      <c r="S728" s="66"/>
      <c r="T728" s="66"/>
      <c r="U728" s="66"/>
      <c r="V728" s="66"/>
      <c r="W728" s="66"/>
      <c r="X728" s="66"/>
      <c r="Y728" s="66"/>
      <c r="Z728" s="66"/>
      <c r="AA728" s="66"/>
      <c r="AB728" s="66"/>
      <c r="AC728" s="66"/>
    </row>
    <row r="729">
      <c r="A729" s="327"/>
      <c r="B729" s="66"/>
      <c r="C729" s="66"/>
      <c r="D729" s="327"/>
      <c r="E729" s="66"/>
      <c r="F729" s="66"/>
      <c r="G729" s="327"/>
      <c r="H729" s="66"/>
      <c r="I729" s="66"/>
      <c r="J729" s="327"/>
      <c r="K729" s="66"/>
      <c r="L729" s="66"/>
      <c r="M729" s="66"/>
      <c r="N729" s="66"/>
      <c r="O729" s="66"/>
      <c r="P729" s="66"/>
      <c r="Q729" s="66"/>
      <c r="R729" s="66"/>
      <c r="S729" s="66"/>
      <c r="T729" s="66"/>
      <c r="U729" s="66"/>
      <c r="V729" s="66"/>
      <c r="W729" s="66"/>
      <c r="X729" s="66"/>
      <c r="Y729" s="66"/>
      <c r="Z729" s="66"/>
      <c r="AA729" s="66"/>
      <c r="AB729" s="66"/>
      <c r="AC729" s="66"/>
    </row>
    <row r="730">
      <c r="A730" s="327"/>
      <c r="B730" s="66"/>
      <c r="C730" s="66"/>
      <c r="D730" s="327"/>
      <c r="E730" s="66"/>
      <c r="F730" s="66"/>
      <c r="G730" s="327"/>
      <c r="H730" s="66"/>
      <c r="I730" s="66"/>
      <c r="J730" s="327"/>
      <c r="K730" s="66"/>
      <c r="L730" s="66"/>
      <c r="M730" s="66"/>
      <c r="N730" s="66"/>
      <c r="O730" s="66"/>
      <c r="P730" s="66"/>
      <c r="Q730" s="66"/>
      <c r="R730" s="66"/>
      <c r="S730" s="66"/>
      <c r="T730" s="66"/>
      <c r="U730" s="66"/>
      <c r="V730" s="66"/>
      <c r="W730" s="66"/>
      <c r="X730" s="66"/>
      <c r="Y730" s="66"/>
      <c r="Z730" s="66"/>
      <c r="AA730" s="66"/>
      <c r="AB730" s="66"/>
      <c r="AC730" s="66"/>
    </row>
    <row r="731">
      <c r="A731" s="327"/>
      <c r="B731" s="66"/>
      <c r="C731" s="66"/>
      <c r="D731" s="327"/>
      <c r="E731" s="66"/>
      <c r="F731" s="66"/>
      <c r="G731" s="327"/>
      <c r="H731" s="66"/>
      <c r="I731" s="66"/>
      <c r="J731" s="327"/>
      <c r="K731" s="66"/>
      <c r="L731" s="66"/>
      <c r="M731" s="66"/>
      <c r="N731" s="66"/>
      <c r="O731" s="66"/>
      <c r="P731" s="66"/>
      <c r="Q731" s="66"/>
      <c r="R731" s="66"/>
      <c r="S731" s="66"/>
      <c r="T731" s="66"/>
      <c r="U731" s="66"/>
      <c r="V731" s="66"/>
      <c r="W731" s="66"/>
      <c r="X731" s="66"/>
      <c r="Y731" s="66"/>
      <c r="Z731" s="66"/>
      <c r="AA731" s="66"/>
      <c r="AB731" s="66"/>
      <c r="AC731" s="66"/>
    </row>
    <row r="732">
      <c r="A732" s="327"/>
      <c r="B732" s="66"/>
      <c r="C732" s="66"/>
      <c r="D732" s="327"/>
      <c r="E732" s="66"/>
      <c r="F732" s="66"/>
      <c r="G732" s="327"/>
      <c r="H732" s="66"/>
      <c r="I732" s="66"/>
      <c r="J732" s="327"/>
      <c r="K732" s="66"/>
      <c r="L732" s="66"/>
      <c r="M732" s="66"/>
      <c r="N732" s="66"/>
      <c r="O732" s="66"/>
      <c r="P732" s="66"/>
      <c r="Q732" s="66"/>
      <c r="R732" s="66"/>
      <c r="S732" s="66"/>
      <c r="T732" s="66"/>
      <c r="U732" s="66"/>
      <c r="V732" s="66"/>
      <c r="W732" s="66"/>
      <c r="X732" s="66"/>
      <c r="Y732" s="66"/>
      <c r="Z732" s="66"/>
      <c r="AA732" s="66"/>
      <c r="AB732" s="66"/>
      <c r="AC732" s="66"/>
    </row>
    <row r="733">
      <c r="A733" s="327"/>
      <c r="B733" s="66"/>
      <c r="C733" s="66"/>
      <c r="D733" s="327"/>
      <c r="E733" s="66"/>
      <c r="F733" s="66"/>
      <c r="G733" s="327"/>
      <c r="H733" s="66"/>
      <c r="I733" s="66"/>
      <c r="J733" s="327"/>
      <c r="K733" s="66"/>
      <c r="L733" s="66"/>
      <c r="M733" s="66"/>
      <c r="N733" s="66"/>
      <c r="O733" s="66"/>
      <c r="P733" s="66"/>
      <c r="Q733" s="66"/>
      <c r="R733" s="66"/>
      <c r="S733" s="66"/>
      <c r="T733" s="66"/>
      <c r="U733" s="66"/>
      <c r="V733" s="66"/>
      <c r="W733" s="66"/>
      <c r="X733" s="66"/>
      <c r="Y733" s="66"/>
      <c r="Z733" s="66"/>
      <c r="AA733" s="66"/>
      <c r="AB733" s="66"/>
      <c r="AC733" s="66"/>
    </row>
    <row r="734">
      <c r="A734" s="327"/>
      <c r="B734" s="66"/>
      <c r="C734" s="66"/>
      <c r="D734" s="327"/>
      <c r="E734" s="66"/>
      <c r="F734" s="66"/>
      <c r="G734" s="327"/>
      <c r="H734" s="66"/>
      <c r="I734" s="66"/>
      <c r="J734" s="327"/>
      <c r="K734" s="66"/>
      <c r="L734" s="66"/>
      <c r="M734" s="66"/>
      <c r="N734" s="66"/>
      <c r="O734" s="66"/>
      <c r="P734" s="66"/>
      <c r="Q734" s="66"/>
      <c r="R734" s="66"/>
      <c r="S734" s="66"/>
      <c r="T734" s="66"/>
      <c r="U734" s="66"/>
      <c r="V734" s="66"/>
      <c r="W734" s="66"/>
      <c r="X734" s="66"/>
      <c r="Y734" s="66"/>
      <c r="Z734" s="66"/>
      <c r="AA734" s="66"/>
      <c r="AB734" s="66"/>
      <c r="AC734" s="66"/>
    </row>
    <row r="735">
      <c r="A735" s="327"/>
      <c r="B735" s="66"/>
      <c r="C735" s="66"/>
      <c r="D735" s="327"/>
      <c r="E735" s="66"/>
      <c r="F735" s="66"/>
      <c r="G735" s="327"/>
      <c r="H735" s="66"/>
      <c r="I735" s="66"/>
      <c r="J735" s="327"/>
      <c r="K735" s="66"/>
      <c r="L735" s="66"/>
      <c r="M735" s="66"/>
      <c r="N735" s="66"/>
      <c r="O735" s="66"/>
      <c r="P735" s="66"/>
      <c r="Q735" s="66"/>
      <c r="R735" s="66"/>
      <c r="S735" s="66"/>
      <c r="T735" s="66"/>
      <c r="U735" s="66"/>
      <c r="V735" s="66"/>
      <c r="W735" s="66"/>
      <c r="X735" s="66"/>
      <c r="Y735" s="66"/>
      <c r="Z735" s="66"/>
      <c r="AA735" s="66"/>
      <c r="AB735" s="66"/>
      <c r="AC735" s="66"/>
    </row>
    <row r="736">
      <c r="A736" s="327"/>
      <c r="B736" s="66"/>
      <c r="C736" s="66"/>
      <c r="D736" s="327"/>
      <c r="E736" s="66"/>
      <c r="F736" s="66"/>
      <c r="G736" s="327"/>
      <c r="H736" s="66"/>
      <c r="I736" s="66"/>
      <c r="J736" s="327"/>
      <c r="K736" s="66"/>
      <c r="L736" s="66"/>
      <c r="M736" s="66"/>
      <c r="N736" s="66"/>
      <c r="O736" s="66"/>
      <c r="P736" s="66"/>
      <c r="Q736" s="66"/>
      <c r="R736" s="66"/>
      <c r="S736" s="66"/>
      <c r="T736" s="66"/>
      <c r="U736" s="66"/>
      <c r="V736" s="66"/>
      <c r="W736" s="66"/>
      <c r="X736" s="66"/>
      <c r="Y736" s="66"/>
      <c r="Z736" s="66"/>
      <c r="AA736" s="66"/>
      <c r="AB736" s="66"/>
      <c r="AC736" s="66"/>
    </row>
    <row r="737">
      <c r="A737" s="327"/>
      <c r="B737" s="66"/>
      <c r="C737" s="66"/>
      <c r="D737" s="327"/>
      <c r="E737" s="66"/>
      <c r="F737" s="66"/>
      <c r="G737" s="327"/>
      <c r="H737" s="66"/>
      <c r="I737" s="66"/>
      <c r="J737" s="327"/>
      <c r="K737" s="66"/>
      <c r="L737" s="66"/>
      <c r="M737" s="66"/>
      <c r="N737" s="66"/>
      <c r="O737" s="66"/>
      <c r="P737" s="66"/>
      <c r="Q737" s="66"/>
      <c r="R737" s="66"/>
      <c r="S737" s="66"/>
      <c r="T737" s="66"/>
      <c r="U737" s="66"/>
      <c r="V737" s="66"/>
      <c r="W737" s="66"/>
      <c r="X737" s="66"/>
      <c r="Y737" s="66"/>
      <c r="Z737" s="66"/>
      <c r="AA737" s="66"/>
      <c r="AB737" s="66"/>
      <c r="AC737" s="66"/>
    </row>
    <row r="738">
      <c r="A738" s="327"/>
      <c r="B738" s="66"/>
      <c r="C738" s="66"/>
      <c r="D738" s="327"/>
      <c r="E738" s="66"/>
      <c r="F738" s="66"/>
      <c r="G738" s="327"/>
      <c r="H738" s="66"/>
      <c r="I738" s="66"/>
      <c r="J738" s="327"/>
      <c r="K738" s="66"/>
      <c r="L738" s="66"/>
      <c r="M738" s="66"/>
      <c r="N738" s="66"/>
      <c r="O738" s="66"/>
      <c r="P738" s="66"/>
      <c r="Q738" s="66"/>
      <c r="R738" s="66"/>
      <c r="S738" s="66"/>
      <c r="T738" s="66"/>
      <c r="U738" s="66"/>
      <c r="V738" s="66"/>
      <c r="W738" s="66"/>
      <c r="X738" s="66"/>
      <c r="Y738" s="66"/>
      <c r="Z738" s="66"/>
      <c r="AA738" s="66"/>
      <c r="AB738" s="66"/>
      <c r="AC738" s="66"/>
    </row>
    <row r="739">
      <c r="A739" s="327"/>
      <c r="B739" s="66"/>
      <c r="C739" s="66"/>
      <c r="D739" s="327"/>
      <c r="E739" s="66"/>
      <c r="F739" s="66"/>
      <c r="G739" s="327"/>
      <c r="H739" s="66"/>
      <c r="I739" s="66"/>
      <c r="J739" s="327"/>
      <c r="K739" s="66"/>
      <c r="L739" s="66"/>
      <c r="M739" s="66"/>
      <c r="N739" s="66"/>
      <c r="O739" s="66"/>
      <c r="P739" s="66"/>
      <c r="Q739" s="66"/>
      <c r="R739" s="66"/>
      <c r="S739" s="66"/>
      <c r="T739" s="66"/>
      <c r="U739" s="66"/>
      <c r="V739" s="66"/>
      <c r="W739" s="66"/>
      <c r="X739" s="66"/>
      <c r="Y739" s="66"/>
      <c r="Z739" s="66"/>
      <c r="AA739" s="66"/>
      <c r="AB739" s="66"/>
      <c r="AC739" s="66"/>
    </row>
    <row r="740">
      <c r="A740" s="327"/>
      <c r="B740" s="66"/>
      <c r="C740" s="66"/>
      <c r="D740" s="327"/>
      <c r="E740" s="66"/>
      <c r="F740" s="66"/>
      <c r="G740" s="327"/>
      <c r="H740" s="66"/>
      <c r="I740" s="66"/>
      <c r="J740" s="327"/>
      <c r="K740" s="66"/>
      <c r="L740" s="66"/>
      <c r="M740" s="66"/>
      <c r="N740" s="66"/>
      <c r="O740" s="66"/>
      <c r="P740" s="66"/>
      <c r="Q740" s="66"/>
      <c r="R740" s="66"/>
      <c r="S740" s="66"/>
      <c r="T740" s="66"/>
      <c r="U740" s="66"/>
      <c r="V740" s="66"/>
      <c r="W740" s="66"/>
      <c r="X740" s="66"/>
      <c r="Y740" s="66"/>
      <c r="Z740" s="66"/>
      <c r="AA740" s="66"/>
      <c r="AB740" s="66"/>
      <c r="AC740" s="66"/>
    </row>
    <row r="741">
      <c r="A741" s="327"/>
      <c r="B741" s="66"/>
      <c r="C741" s="66"/>
      <c r="D741" s="327"/>
      <c r="E741" s="66"/>
      <c r="F741" s="66"/>
      <c r="G741" s="327"/>
      <c r="H741" s="66"/>
      <c r="I741" s="66"/>
      <c r="J741" s="327"/>
      <c r="K741" s="66"/>
      <c r="L741" s="66"/>
      <c r="M741" s="66"/>
      <c r="N741" s="66"/>
      <c r="O741" s="66"/>
      <c r="P741" s="66"/>
      <c r="Q741" s="66"/>
      <c r="R741" s="66"/>
      <c r="S741" s="66"/>
      <c r="T741" s="66"/>
      <c r="U741" s="66"/>
      <c r="V741" s="66"/>
      <c r="W741" s="66"/>
      <c r="X741" s="66"/>
      <c r="Y741" s="66"/>
      <c r="Z741" s="66"/>
      <c r="AA741" s="66"/>
      <c r="AB741" s="66"/>
      <c r="AC741" s="66"/>
    </row>
    <row r="742">
      <c r="A742" s="327"/>
      <c r="B742" s="66"/>
      <c r="C742" s="66"/>
      <c r="D742" s="327"/>
      <c r="E742" s="66"/>
      <c r="F742" s="66"/>
      <c r="G742" s="327"/>
      <c r="H742" s="66"/>
      <c r="I742" s="66"/>
      <c r="J742" s="327"/>
      <c r="K742" s="66"/>
      <c r="L742" s="66"/>
      <c r="M742" s="66"/>
      <c r="N742" s="66"/>
      <c r="O742" s="66"/>
      <c r="P742" s="66"/>
      <c r="Q742" s="66"/>
      <c r="R742" s="66"/>
      <c r="S742" s="66"/>
      <c r="T742" s="66"/>
      <c r="U742" s="66"/>
      <c r="V742" s="66"/>
      <c r="W742" s="66"/>
      <c r="X742" s="66"/>
      <c r="Y742" s="66"/>
      <c r="Z742" s="66"/>
      <c r="AA742" s="66"/>
      <c r="AB742" s="66"/>
      <c r="AC742" s="66"/>
    </row>
    <row r="743">
      <c r="A743" s="327"/>
      <c r="B743" s="66"/>
      <c r="C743" s="66"/>
      <c r="D743" s="327"/>
      <c r="E743" s="66"/>
      <c r="F743" s="66"/>
      <c r="G743" s="327"/>
      <c r="H743" s="66"/>
      <c r="I743" s="66"/>
      <c r="J743" s="327"/>
      <c r="K743" s="66"/>
      <c r="L743" s="66"/>
      <c r="M743" s="66"/>
      <c r="N743" s="66"/>
      <c r="O743" s="66"/>
      <c r="P743" s="66"/>
      <c r="Q743" s="66"/>
      <c r="R743" s="66"/>
      <c r="S743" s="66"/>
      <c r="T743" s="66"/>
      <c r="U743" s="66"/>
      <c r="V743" s="66"/>
      <c r="W743" s="66"/>
      <c r="X743" s="66"/>
      <c r="Y743" s="66"/>
      <c r="Z743" s="66"/>
      <c r="AA743" s="66"/>
      <c r="AB743" s="66"/>
      <c r="AC743" s="66"/>
    </row>
    <row r="744">
      <c r="A744" s="327"/>
      <c r="B744" s="66"/>
      <c r="C744" s="66"/>
      <c r="D744" s="327"/>
      <c r="E744" s="66"/>
      <c r="F744" s="66"/>
      <c r="G744" s="327"/>
      <c r="H744" s="66"/>
      <c r="I744" s="66"/>
      <c r="J744" s="327"/>
      <c r="K744" s="66"/>
      <c r="L744" s="66"/>
      <c r="M744" s="66"/>
      <c r="N744" s="66"/>
      <c r="O744" s="66"/>
      <c r="P744" s="66"/>
      <c r="Q744" s="66"/>
      <c r="R744" s="66"/>
      <c r="S744" s="66"/>
      <c r="T744" s="66"/>
      <c r="U744" s="66"/>
      <c r="V744" s="66"/>
      <c r="W744" s="66"/>
      <c r="X744" s="66"/>
      <c r="Y744" s="66"/>
      <c r="Z744" s="66"/>
      <c r="AA744" s="66"/>
      <c r="AB744" s="66"/>
      <c r="AC744" s="66"/>
    </row>
    <row r="745">
      <c r="A745" s="327"/>
      <c r="B745" s="66"/>
      <c r="C745" s="66"/>
      <c r="D745" s="327"/>
      <c r="E745" s="66"/>
      <c r="F745" s="66"/>
      <c r="G745" s="327"/>
      <c r="H745" s="66"/>
      <c r="I745" s="66"/>
      <c r="J745" s="327"/>
      <c r="K745" s="66"/>
      <c r="L745" s="66"/>
      <c r="M745" s="66"/>
      <c r="N745" s="66"/>
      <c r="O745" s="66"/>
      <c r="P745" s="66"/>
      <c r="Q745" s="66"/>
      <c r="R745" s="66"/>
      <c r="S745" s="66"/>
      <c r="T745" s="66"/>
      <c r="U745" s="66"/>
      <c r="V745" s="66"/>
      <c r="W745" s="66"/>
      <c r="X745" s="66"/>
      <c r="Y745" s="66"/>
      <c r="Z745" s="66"/>
      <c r="AA745" s="66"/>
      <c r="AB745" s="66"/>
      <c r="AC745" s="66"/>
    </row>
    <row r="746">
      <c r="A746" s="327"/>
      <c r="B746" s="66"/>
      <c r="C746" s="66"/>
      <c r="D746" s="327"/>
      <c r="E746" s="66"/>
      <c r="F746" s="66"/>
      <c r="G746" s="327"/>
      <c r="H746" s="66"/>
      <c r="I746" s="66"/>
      <c r="J746" s="327"/>
      <c r="K746" s="66"/>
      <c r="L746" s="66"/>
      <c r="M746" s="66"/>
      <c r="N746" s="66"/>
      <c r="O746" s="66"/>
      <c r="P746" s="66"/>
      <c r="Q746" s="66"/>
      <c r="R746" s="66"/>
      <c r="S746" s="66"/>
      <c r="T746" s="66"/>
      <c r="U746" s="66"/>
      <c r="V746" s="66"/>
      <c r="W746" s="66"/>
      <c r="X746" s="66"/>
      <c r="Y746" s="66"/>
      <c r="Z746" s="66"/>
      <c r="AA746" s="66"/>
      <c r="AB746" s="66"/>
      <c r="AC746" s="66"/>
    </row>
    <row r="747">
      <c r="A747" s="327"/>
      <c r="B747" s="66"/>
      <c r="C747" s="66"/>
      <c r="D747" s="327"/>
      <c r="E747" s="66"/>
      <c r="F747" s="66"/>
      <c r="G747" s="327"/>
      <c r="H747" s="66"/>
      <c r="I747" s="66"/>
      <c r="J747" s="327"/>
      <c r="K747" s="66"/>
      <c r="L747" s="66"/>
      <c r="M747" s="66"/>
      <c r="N747" s="66"/>
      <c r="O747" s="66"/>
      <c r="P747" s="66"/>
      <c r="Q747" s="66"/>
      <c r="R747" s="66"/>
      <c r="S747" s="66"/>
      <c r="T747" s="66"/>
      <c r="U747" s="66"/>
      <c r="V747" s="66"/>
      <c r="W747" s="66"/>
      <c r="X747" s="66"/>
      <c r="Y747" s="66"/>
      <c r="Z747" s="66"/>
      <c r="AA747" s="66"/>
      <c r="AB747" s="66"/>
      <c r="AC747" s="66"/>
    </row>
    <row r="748">
      <c r="A748" s="327"/>
      <c r="B748" s="66"/>
      <c r="C748" s="66"/>
      <c r="D748" s="327"/>
      <c r="E748" s="66"/>
      <c r="F748" s="66"/>
      <c r="G748" s="327"/>
      <c r="H748" s="66"/>
      <c r="I748" s="66"/>
      <c r="J748" s="327"/>
      <c r="K748" s="66"/>
      <c r="L748" s="66"/>
      <c r="M748" s="66"/>
      <c r="N748" s="66"/>
      <c r="O748" s="66"/>
      <c r="P748" s="66"/>
      <c r="Q748" s="66"/>
      <c r="R748" s="66"/>
      <c r="S748" s="66"/>
      <c r="T748" s="66"/>
      <c r="U748" s="66"/>
      <c r="V748" s="66"/>
      <c r="W748" s="66"/>
      <c r="X748" s="66"/>
      <c r="Y748" s="66"/>
      <c r="Z748" s="66"/>
      <c r="AA748" s="66"/>
      <c r="AB748" s="66"/>
      <c r="AC748" s="66"/>
    </row>
    <row r="749">
      <c r="A749" s="327"/>
      <c r="B749" s="66"/>
      <c r="C749" s="66"/>
      <c r="D749" s="327"/>
      <c r="E749" s="66"/>
      <c r="F749" s="66"/>
      <c r="G749" s="327"/>
      <c r="H749" s="66"/>
      <c r="I749" s="66"/>
      <c r="J749" s="327"/>
      <c r="K749" s="66"/>
      <c r="L749" s="66"/>
      <c r="M749" s="66"/>
      <c r="N749" s="66"/>
      <c r="O749" s="66"/>
      <c r="P749" s="66"/>
      <c r="Q749" s="66"/>
      <c r="R749" s="66"/>
      <c r="S749" s="66"/>
      <c r="T749" s="66"/>
      <c r="U749" s="66"/>
      <c r="V749" s="66"/>
      <c r="W749" s="66"/>
      <c r="X749" s="66"/>
      <c r="Y749" s="66"/>
      <c r="Z749" s="66"/>
      <c r="AA749" s="66"/>
      <c r="AB749" s="66"/>
      <c r="AC749" s="66"/>
    </row>
    <row r="750">
      <c r="A750" s="327"/>
      <c r="B750" s="66"/>
      <c r="C750" s="66"/>
      <c r="D750" s="327"/>
      <c r="E750" s="66"/>
      <c r="F750" s="66"/>
      <c r="G750" s="327"/>
      <c r="H750" s="66"/>
      <c r="I750" s="66"/>
      <c r="J750" s="327"/>
      <c r="K750" s="66"/>
      <c r="L750" s="66"/>
      <c r="M750" s="66"/>
      <c r="N750" s="66"/>
      <c r="O750" s="66"/>
      <c r="P750" s="66"/>
      <c r="Q750" s="66"/>
      <c r="R750" s="66"/>
      <c r="S750" s="66"/>
      <c r="T750" s="66"/>
      <c r="U750" s="66"/>
      <c r="V750" s="66"/>
      <c r="W750" s="66"/>
      <c r="X750" s="66"/>
      <c r="Y750" s="66"/>
      <c r="Z750" s="66"/>
      <c r="AA750" s="66"/>
      <c r="AB750" s="66"/>
      <c r="AC750" s="66"/>
    </row>
    <row r="751">
      <c r="A751" s="327"/>
      <c r="B751" s="66"/>
      <c r="C751" s="66"/>
      <c r="D751" s="327"/>
      <c r="E751" s="66"/>
      <c r="F751" s="66"/>
      <c r="G751" s="327"/>
      <c r="H751" s="66"/>
      <c r="I751" s="66"/>
      <c r="J751" s="327"/>
      <c r="K751" s="66"/>
      <c r="L751" s="66"/>
      <c r="M751" s="66"/>
      <c r="N751" s="66"/>
      <c r="O751" s="66"/>
      <c r="P751" s="66"/>
      <c r="Q751" s="66"/>
      <c r="R751" s="66"/>
      <c r="S751" s="66"/>
      <c r="T751" s="66"/>
      <c r="U751" s="66"/>
      <c r="V751" s="66"/>
      <c r="W751" s="66"/>
      <c r="X751" s="66"/>
      <c r="Y751" s="66"/>
      <c r="Z751" s="66"/>
      <c r="AA751" s="66"/>
      <c r="AB751" s="66"/>
      <c r="AC751" s="66"/>
    </row>
    <row r="752">
      <c r="A752" s="327"/>
      <c r="B752" s="66"/>
      <c r="C752" s="66"/>
      <c r="D752" s="327"/>
      <c r="E752" s="66"/>
      <c r="F752" s="66"/>
      <c r="G752" s="327"/>
      <c r="H752" s="66"/>
      <c r="I752" s="66"/>
      <c r="J752" s="327"/>
      <c r="K752" s="66"/>
      <c r="L752" s="66"/>
      <c r="M752" s="66"/>
      <c r="N752" s="66"/>
      <c r="O752" s="66"/>
      <c r="P752" s="66"/>
      <c r="Q752" s="66"/>
      <c r="R752" s="66"/>
      <c r="S752" s="66"/>
      <c r="T752" s="66"/>
      <c r="U752" s="66"/>
      <c r="V752" s="66"/>
      <c r="W752" s="66"/>
      <c r="X752" s="66"/>
      <c r="Y752" s="66"/>
      <c r="Z752" s="66"/>
      <c r="AA752" s="66"/>
      <c r="AB752" s="66"/>
      <c r="AC752" s="66"/>
    </row>
    <row r="753">
      <c r="A753" s="327"/>
      <c r="B753" s="66"/>
      <c r="C753" s="66"/>
      <c r="D753" s="327"/>
      <c r="E753" s="66"/>
      <c r="F753" s="66"/>
      <c r="G753" s="327"/>
      <c r="H753" s="66"/>
      <c r="I753" s="66"/>
      <c r="J753" s="327"/>
      <c r="K753" s="66"/>
      <c r="L753" s="66"/>
      <c r="M753" s="66"/>
      <c r="N753" s="66"/>
      <c r="O753" s="66"/>
      <c r="P753" s="66"/>
      <c r="Q753" s="66"/>
      <c r="R753" s="66"/>
      <c r="S753" s="66"/>
      <c r="T753" s="66"/>
      <c r="U753" s="66"/>
      <c r="V753" s="66"/>
      <c r="W753" s="66"/>
      <c r="X753" s="66"/>
      <c r="Y753" s="66"/>
      <c r="Z753" s="66"/>
      <c r="AA753" s="66"/>
      <c r="AB753" s="66"/>
      <c r="AC753" s="66"/>
    </row>
    <row r="754">
      <c r="A754" s="327"/>
      <c r="B754" s="66"/>
      <c r="C754" s="66"/>
      <c r="D754" s="327"/>
      <c r="E754" s="66"/>
      <c r="F754" s="66"/>
      <c r="G754" s="327"/>
      <c r="H754" s="66"/>
      <c r="I754" s="66"/>
      <c r="J754" s="327"/>
      <c r="K754" s="66"/>
      <c r="L754" s="66"/>
      <c r="M754" s="66"/>
      <c r="N754" s="66"/>
      <c r="O754" s="66"/>
      <c r="P754" s="66"/>
      <c r="Q754" s="66"/>
      <c r="R754" s="66"/>
      <c r="S754" s="66"/>
      <c r="T754" s="66"/>
      <c r="U754" s="66"/>
      <c r="V754" s="66"/>
      <c r="W754" s="66"/>
      <c r="X754" s="66"/>
      <c r="Y754" s="66"/>
      <c r="Z754" s="66"/>
      <c r="AA754" s="66"/>
      <c r="AB754" s="66"/>
      <c r="AC754" s="66"/>
    </row>
    <row r="755">
      <c r="A755" s="327"/>
      <c r="B755" s="66"/>
      <c r="C755" s="66"/>
      <c r="D755" s="327"/>
      <c r="E755" s="66"/>
      <c r="F755" s="66"/>
      <c r="G755" s="327"/>
      <c r="H755" s="66"/>
      <c r="I755" s="66"/>
      <c r="J755" s="327"/>
      <c r="K755" s="66"/>
      <c r="L755" s="66"/>
      <c r="M755" s="66"/>
      <c r="N755" s="66"/>
      <c r="O755" s="66"/>
      <c r="P755" s="66"/>
      <c r="Q755" s="66"/>
      <c r="R755" s="66"/>
      <c r="S755" s="66"/>
      <c r="T755" s="66"/>
      <c r="U755" s="66"/>
      <c r="V755" s="66"/>
      <c r="W755" s="66"/>
      <c r="X755" s="66"/>
      <c r="Y755" s="66"/>
      <c r="Z755" s="66"/>
      <c r="AA755" s="66"/>
      <c r="AB755" s="66"/>
      <c r="AC755" s="66"/>
    </row>
    <row r="756">
      <c r="A756" s="327"/>
      <c r="B756" s="66"/>
      <c r="C756" s="66"/>
      <c r="D756" s="327"/>
      <c r="E756" s="66"/>
      <c r="F756" s="66"/>
      <c r="G756" s="327"/>
      <c r="H756" s="66"/>
      <c r="I756" s="66"/>
      <c r="J756" s="327"/>
      <c r="K756" s="66"/>
      <c r="L756" s="66"/>
      <c r="M756" s="66"/>
      <c r="N756" s="66"/>
      <c r="O756" s="66"/>
      <c r="P756" s="66"/>
      <c r="Q756" s="66"/>
      <c r="R756" s="66"/>
      <c r="S756" s="66"/>
      <c r="T756" s="66"/>
      <c r="U756" s="66"/>
      <c r="V756" s="66"/>
      <c r="W756" s="66"/>
      <c r="X756" s="66"/>
      <c r="Y756" s="66"/>
      <c r="Z756" s="66"/>
      <c r="AA756" s="66"/>
      <c r="AB756" s="66"/>
      <c r="AC756" s="66"/>
    </row>
    <row r="757">
      <c r="A757" s="327"/>
      <c r="B757" s="66"/>
      <c r="C757" s="66"/>
      <c r="D757" s="327"/>
      <c r="E757" s="66"/>
      <c r="F757" s="66"/>
      <c r="G757" s="327"/>
      <c r="H757" s="66"/>
      <c r="I757" s="66"/>
      <c r="J757" s="327"/>
      <c r="K757" s="66"/>
      <c r="L757" s="66"/>
      <c r="M757" s="66"/>
      <c r="N757" s="66"/>
      <c r="O757" s="66"/>
      <c r="P757" s="66"/>
      <c r="Q757" s="66"/>
      <c r="R757" s="66"/>
      <c r="S757" s="66"/>
      <c r="T757" s="66"/>
      <c r="U757" s="66"/>
      <c r="V757" s="66"/>
      <c r="W757" s="66"/>
      <c r="X757" s="66"/>
      <c r="Y757" s="66"/>
      <c r="Z757" s="66"/>
      <c r="AA757" s="66"/>
      <c r="AB757" s="66"/>
      <c r="AC757" s="66"/>
    </row>
    <row r="758">
      <c r="A758" s="327"/>
      <c r="B758" s="66"/>
      <c r="C758" s="66"/>
      <c r="D758" s="327"/>
      <c r="E758" s="66"/>
      <c r="F758" s="66"/>
      <c r="G758" s="327"/>
      <c r="H758" s="66"/>
      <c r="I758" s="66"/>
      <c r="J758" s="327"/>
      <c r="K758" s="66"/>
      <c r="L758" s="66"/>
      <c r="M758" s="66"/>
      <c r="N758" s="66"/>
      <c r="O758" s="66"/>
      <c r="P758" s="66"/>
      <c r="Q758" s="66"/>
      <c r="R758" s="66"/>
      <c r="S758" s="66"/>
      <c r="T758" s="66"/>
      <c r="U758" s="66"/>
      <c r="V758" s="66"/>
      <c r="W758" s="66"/>
      <c r="X758" s="66"/>
      <c r="Y758" s="66"/>
      <c r="Z758" s="66"/>
      <c r="AA758" s="66"/>
      <c r="AB758" s="66"/>
      <c r="AC758" s="66"/>
    </row>
    <row r="759">
      <c r="A759" s="327"/>
      <c r="B759" s="66"/>
      <c r="C759" s="66"/>
      <c r="D759" s="327"/>
      <c r="E759" s="66"/>
      <c r="F759" s="66"/>
      <c r="G759" s="327"/>
      <c r="H759" s="66"/>
      <c r="I759" s="66"/>
      <c r="J759" s="327"/>
      <c r="K759" s="66"/>
      <c r="L759" s="66"/>
      <c r="M759" s="66"/>
      <c r="N759" s="66"/>
      <c r="O759" s="66"/>
      <c r="P759" s="66"/>
      <c r="Q759" s="66"/>
      <c r="R759" s="66"/>
      <c r="S759" s="66"/>
      <c r="T759" s="66"/>
      <c r="U759" s="66"/>
      <c r="V759" s="66"/>
      <c r="W759" s="66"/>
      <c r="X759" s="66"/>
      <c r="Y759" s="66"/>
      <c r="Z759" s="66"/>
      <c r="AA759" s="66"/>
      <c r="AB759" s="66"/>
      <c r="AC759" s="66"/>
    </row>
    <row r="760">
      <c r="A760" s="327"/>
      <c r="B760" s="66"/>
      <c r="C760" s="66"/>
      <c r="D760" s="327"/>
      <c r="E760" s="66"/>
      <c r="F760" s="66"/>
      <c r="G760" s="327"/>
      <c r="H760" s="66"/>
      <c r="I760" s="66"/>
      <c r="J760" s="327"/>
      <c r="K760" s="66"/>
      <c r="L760" s="66"/>
      <c r="M760" s="66"/>
      <c r="N760" s="66"/>
      <c r="O760" s="66"/>
      <c r="P760" s="66"/>
      <c r="Q760" s="66"/>
      <c r="R760" s="66"/>
      <c r="S760" s="66"/>
      <c r="T760" s="66"/>
      <c r="U760" s="66"/>
      <c r="V760" s="66"/>
      <c r="W760" s="66"/>
      <c r="X760" s="66"/>
      <c r="Y760" s="66"/>
      <c r="Z760" s="66"/>
      <c r="AA760" s="66"/>
      <c r="AB760" s="66"/>
      <c r="AC760" s="66"/>
    </row>
    <row r="761">
      <c r="A761" s="327"/>
      <c r="B761" s="66"/>
      <c r="C761" s="66"/>
      <c r="D761" s="327"/>
      <c r="E761" s="66"/>
      <c r="F761" s="66"/>
      <c r="G761" s="327"/>
      <c r="H761" s="66"/>
      <c r="I761" s="66"/>
      <c r="J761" s="327"/>
      <c r="K761" s="66"/>
      <c r="L761" s="66"/>
      <c r="M761" s="66"/>
      <c r="N761" s="66"/>
      <c r="O761" s="66"/>
      <c r="P761" s="66"/>
      <c r="Q761" s="66"/>
      <c r="R761" s="66"/>
      <c r="S761" s="66"/>
      <c r="T761" s="66"/>
      <c r="U761" s="66"/>
      <c r="V761" s="66"/>
      <c r="W761" s="66"/>
      <c r="X761" s="66"/>
      <c r="Y761" s="66"/>
      <c r="Z761" s="66"/>
      <c r="AA761" s="66"/>
      <c r="AB761" s="66"/>
      <c r="AC761" s="66"/>
    </row>
    <row r="762">
      <c r="A762" s="327"/>
      <c r="B762" s="66"/>
      <c r="C762" s="66"/>
      <c r="D762" s="327"/>
      <c r="E762" s="66"/>
      <c r="F762" s="66"/>
      <c r="G762" s="327"/>
      <c r="H762" s="66"/>
      <c r="I762" s="66"/>
      <c r="J762" s="327"/>
      <c r="K762" s="66"/>
      <c r="L762" s="66"/>
      <c r="M762" s="66"/>
      <c r="N762" s="66"/>
      <c r="O762" s="66"/>
      <c r="P762" s="66"/>
      <c r="Q762" s="66"/>
      <c r="R762" s="66"/>
      <c r="S762" s="66"/>
      <c r="T762" s="66"/>
      <c r="U762" s="66"/>
      <c r="V762" s="66"/>
      <c r="W762" s="66"/>
      <c r="X762" s="66"/>
      <c r="Y762" s="66"/>
      <c r="Z762" s="66"/>
      <c r="AA762" s="66"/>
      <c r="AB762" s="66"/>
      <c r="AC762" s="66"/>
    </row>
    <row r="763">
      <c r="A763" s="327"/>
      <c r="B763" s="66"/>
      <c r="C763" s="66"/>
      <c r="D763" s="327"/>
      <c r="E763" s="66"/>
      <c r="F763" s="66"/>
      <c r="G763" s="327"/>
      <c r="H763" s="66"/>
      <c r="I763" s="66"/>
      <c r="J763" s="327"/>
      <c r="K763" s="66"/>
      <c r="L763" s="66"/>
      <c r="M763" s="66"/>
      <c r="N763" s="66"/>
      <c r="O763" s="66"/>
      <c r="P763" s="66"/>
      <c r="Q763" s="66"/>
      <c r="R763" s="66"/>
      <c r="S763" s="66"/>
      <c r="T763" s="66"/>
      <c r="U763" s="66"/>
      <c r="V763" s="66"/>
      <c r="W763" s="66"/>
      <c r="X763" s="66"/>
      <c r="Y763" s="66"/>
      <c r="Z763" s="66"/>
      <c r="AA763" s="66"/>
      <c r="AB763" s="66"/>
      <c r="AC763" s="66"/>
    </row>
    <row r="764">
      <c r="A764" s="327"/>
      <c r="B764" s="66"/>
      <c r="C764" s="66"/>
      <c r="D764" s="327"/>
      <c r="E764" s="66"/>
      <c r="F764" s="66"/>
      <c r="G764" s="327"/>
      <c r="H764" s="66"/>
      <c r="I764" s="66"/>
      <c r="J764" s="327"/>
      <c r="K764" s="66"/>
      <c r="L764" s="66"/>
      <c r="M764" s="66"/>
      <c r="N764" s="66"/>
      <c r="O764" s="66"/>
      <c r="P764" s="66"/>
      <c r="Q764" s="66"/>
      <c r="R764" s="66"/>
      <c r="S764" s="66"/>
      <c r="T764" s="66"/>
      <c r="U764" s="66"/>
      <c r="V764" s="66"/>
      <c r="W764" s="66"/>
      <c r="X764" s="66"/>
      <c r="Y764" s="66"/>
      <c r="Z764" s="66"/>
      <c r="AA764" s="66"/>
      <c r="AB764" s="66"/>
      <c r="AC764" s="66"/>
    </row>
    <row r="765">
      <c r="A765" s="327"/>
      <c r="B765" s="66"/>
      <c r="C765" s="66"/>
      <c r="D765" s="327"/>
      <c r="E765" s="66"/>
      <c r="F765" s="66"/>
      <c r="G765" s="327"/>
      <c r="H765" s="66"/>
      <c r="I765" s="66"/>
      <c r="J765" s="327"/>
      <c r="K765" s="66"/>
      <c r="L765" s="66"/>
      <c r="M765" s="66"/>
      <c r="N765" s="66"/>
      <c r="O765" s="66"/>
      <c r="P765" s="66"/>
      <c r="Q765" s="66"/>
      <c r="R765" s="66"/>
      <c r="S765" s="66"/>
      <c r="T765" s="66"/>
      <c r="U765" s="66"/>
      <c r="V765" s="66"/>
      <c r="W765" s="66"/>
      <c r="X765" s="66"/>
      <c r="Y765" s="66"/>
      <c r="Z765" s="66"/>
      <c r="AA765" s="66"/>
      <c r="AB765" s="66"/>
      <c r="AC765" s="66"/>
    </row>
    <row r="766">
      <c r="A766" s="327"/>
      <c r="B766" s="66"/>
      <c r="C766" s="66"/>
      <c r="D766" s="327"/>
      <c r="E766" s="66"/>
      <c r="F766" s="66"/>
      <c r="G766" s="327"/>
      <c r="H766" s="66"/>
      <c r="I766" s="66"/>
      <c r="J766" s="327"/>
      <c r="K766" s="66"/>
      <c r="L766" s="66"/>
      <c r="M766" s="66"/>
      <c r="N766" s="66"/>
      <c r="O766" s="66"/>
      <c r="P766" s="66"/>
      <c r="Q766" s="66"/>
      <c r="R766" s="66"/>
      <c r="S766" s="66"/>
      <c r="T766" s="66"/>
      <c r="U766" s="66"/>
      <c r="V766" s="66"/>
      <c r="W766" s="66"/>
      <c r="X766" s="66"/>
      <c r="Y766" s="66"/>
      <c r="Z766" s="66"/>
      <c r="AA766" s="66"/>
      <c r="AB766" s="66"/>
      <c r="AC766" s="66"/>
    </row>
    <row r="767">
      <c r="A767" s="327"/>
      <c r="B767" s="66"/>
      <c r="C767" s="66"/>
      <c r="D767" s="327"/>
      <c r="E767" s="66"/>
      <c r="F767" s="66"/>
      <c r="G767" s="327"/>
      <c r="H767" s="66"/>
      <c r="I767" s="66"/>
      <c r="J767" s="327"/>
      <c r="K767" s="66"/>
      <c r="L767" s="66"/>
      <c r="M767" s="66"/>
      <c r="N767" s="66"/>
      <c r="O767" s="66"/>
      <c r="P767" s="66"/>
      <c r="Q767" s="66"/>
      <c r="R767" s="66"/>
      <c r="S767" s="66"/>
      <c r="T767" s="66"/>
      <c r="U767" s="66"/>
      <c r="V767" s="66"/>
      <c r="W767" s="66"/>
      <c r="X767" s="66"/>
      <c r="Y767" s="66"/>
      <c r="Z767" s="66"/>
      <c r="AA767" s="66"/>
      <c r="AB767" s="66"/>
      <c r="AC767" s="66"/>
    </row>
    <row r="768">
      <c r="A768" s="327"/>
      <c r="B768" s="66"/>
      <c r="C768" s="66"/>
      <c r="D768" s="327"/>
      <c r="E768" s="66"/>
      <c r="F768" s="66"/>
      <c r="G768" s="327"/>
      <c r="H768" s="66"/>
      <c r="I768" s="66"/>
      <c r="J768" s="327"/>
      <c r="K768" s="66"/>
      <c r="L768" s="66"/>
      <c r="M768" s="66"/>
      <c r="N768" s="66"/>
      <c r="O768" s="66"/>
      <c r="P768" s="66"/>
      <c r="Q768" s="66"/>
      <c r="R768" s="66"/>
      <c r="S768" s="66"/>
      <c r="T768" s="66"/>
      <c r="U768" s="66"/>
      <c r="V768" s="66"/>
      <c r="W768" s="66"/>
      <c r="X768" s="66"/>
      <c r="Y768" s="66"/>
      <c r="Z768" s="66"/>
      <c r="AA768" s="66"/>
      <c r="AB768" s="66"/>
      <c r="AC768" s="66"/>
    </row>
    <row r="769">
      <c r="A769" s="327"/>
      <c r="B769" s="66"/>
      <c r="C769" s="66"/>
      <c r="D769" s="327"/>
      <c r="E769" s="66"/>
      <c r="F769" s="66"/>
      <c r="G769" s="327"/>
      <c r="H769" s="66"/>
      <c r="I769" s="66"/>
      <c r="J769" s="327"/>
      <c r="K769" s="66"/>
      <c r="L769" s="66"/>
      <c r="M769" s="66"/>
      <c r="N769" s="66"/>
      <c r="O769" s="66"/>
      <c r="P769" s="66"/>
      <c r="Q769" s="66"/>
      <c r="R769" s="66"/>
      <c r="S769" s="66"/>
      <c r="T769" s="66"/>
      <c r="U769" s="66"/>
      <c r="V769" s="66"/>
      <c r="W769" s="66"/>
      <c r="X769" s="66"/>
      <c r="Y769" s="66"/>
      <c r="Z769" s="66"/>
      <c r="AA769" s="66"/>
      <c r="AB769" s="66"/>
      <c r="AC769" s="66"/>
    </row>
    <row r="770">
      <c r="A770" s="327"/>
      <c r="B770" s="66"/>
      <c r="C770" s="66"/>
      <c r="D770" s="327"/>
      <c r="E770" s="66"/>
      <c r="F770" s="66"/>
      <c r="G770" s="327"/>
      <c r="H770" s="66"/>
      <c r="I770" s="66"/>
      <c r="J770" s="327"/>
      <c r="K770" s="66"/>
      <c r="L770" s="66"/>
      <c r="M770" s="66"/>
      <c r="N770" s="66"/>
      <c r="O770" s="66"/>
      <c r="P770" s="66"/>
      <c r="Q770" s="66"/>
      <c r="R770" s="66"/>
      <c r="S770" s="66"/>
      <c r="T770" s="66"/>
      <c r="U770" s="66"/>
      <c r="V770" s="66"/>
      <c r="W770" s="66"/>
      <c r="X770" s="66"/>
      <c r="Y770" s="66"/>
      <c r="Z770" s="66"/>
      <c r="AA770" s="66"/>
      <c r="AB770" s="66"/>
      <c r="AC770" s="66"/>
    </row>
    <row r="771">
      <c r="A771" s="327"/>
      <c r="B771" s="66"/>
      <c r="C771" s="66"/>
      <c r="D771" s="327"/>
      <c r="E771" s="66"/>
      <c r="F771" s="66"/>
      <c r="G771" s="327"/>
      <c r="H771" s="66"/>
      <c r="I771" s="66"/>
      <c r="J771" s="327"/>
      <c r="K771" s="66"/>
      <c r="L771" s="66"/>
      <c r="M771" s="66"/>
      <c r="N771" s="66"/>
      <c r="O771" s="66"/>
      <c r="P771" s="66"/>
      <c r="Q771" s="66"/>
      <c r="R771" s="66"/>
      <c r="S771" s="66"/>
      <c r="T771" s="66"/>
      <c r="U771" s="66"/>
      <c r="V771" s="66"/>
      <c r="W771" s="66"/>
      <c r="X771" s="66"/>
      <c r="Y771" s="66"/>
      <c r="Z771" s="66"/>
      <c r="AA771" s="66"/>
      <c r="AB771" s="66"/>
      <c r="AC771" s="66"/>
    </row>
    <row r="772">
      <c r="A772" s="327"/>
      <c r="B772" s="66"/>
      <c r="C772" s="66"/>
      <c r="D772" s="327"/>
      <c r="E772" s="66"/>
      <c r="F772" s="66"/>
      <c r="G772" s="327"/>
      <c r="H772" s="66"/>
      <c r="I772" s="66"/>
      <c r="J772" s="327"/>
      <c r="K772" s="66"/>
      <c r="L772" s="66"/>
      <c r="M772" s="66"/>
      <c r="N772" s="66"/>
      <c r="O772" s="66"/>
      <c r="P772" s="66"/>
      <c r="Q772" s="66"/>
      <c r="R772" s="66"/>
      <c r="S772" s="66"/>
      <c r="T772" s="66"/>
      <c r="U772" s="66"/>
      <c r="V772" s="66"/>
      <c r="W772" s="66"/>
      <c r="X772" s="66"/>
      <c r="Y772" s="66"/>
      <c r="Z772" s="66"/>
      <c r="AA772" s="66"/>
      <c r="AB772" s="66"/>
      <c r="AC772" s="66"/>
    </row>
    <row r="773">
      <c r="A773" s="327"/>
      <c r="B773" s="66"/>
      <c r="C773" s="66"/>
      <c r="D773" s="327"/>
      <c r="E773" s="66"/>
      <c r="F773" s="66"/>
      <c r="G773" s="327"/>
      <c r="H773" s="66"/>
      <c r="I773" s="66"/>
      <c r="J773" s="327"/>
      <c r="K773" s="66"/>
      <c r="L773" s="66"/>
      <c r="M773" s="66"/>
      <c r="N773" s="66"/>
      <c r="O773" s="66"/>
      <c r="P773" s="66"/>
      <c r="Q773" s="66"/>
      <c r="R773" s="66"/>
      <c r="S773" s="66"/>
      <c r="T773" s="66"/>
      <c r="U773" s="66"/>
      <c r="V773" s="66"/>
      <c r="W773" s="66"/>
      <c r="X773" s="66"/>
      <c r="Y773" s="66"/>
      <c r="Z773" s="66"/>
      <c r="AA773" s="66"/>
      <c r="AB773" s="66"/>
      <c r="AC773" s="66"/>
    </row>
    <row r="774">
      <c r="A774" s="327"/>
      <c r="B774" s="66"/>
      <c r="C774" s="66"/>
      <c r="D774" s="327"/>
      <c r="E774" s="66"/>
      <c r="F774" s="66"/>
      <c r="G774" s="327"/>
      <c r="H774" s="66"/>
      <c r="I774" s="66"/>
      <c r="J774" s="327"/>
      <c r="K774" s="66"/>
      <c r="L774" s="66"/>
      <c r="M774" s="66"/>
      <c r="N774" s="66"/>
      <c r="O774" s="66"/>
      <c r="P774" s="66"/>
      <c r="Q774" s="66"/>
      <c r="R774" s="66"/>
      <c r="S774" s="66"/>
      <c r="T774" s="66"/>
      <c r="U774" s="66"/>
      <c r="V774" s="66"/>
      <c r="W774" s="66"/>
      <c r="X774" s="66"/>
      <c r="Y774" s="66"/>
      <c r="Z774" s="66"/>
      <c r="AA774" s="66"/>
      <c r="AB774" s="66"/>
      <c r="AC774" s="66"/>
    </row>
    <row r="775">
      <c r="A775" s="327"/>
      <c r="B775" s="66"/>
      <c r="C775" s="66"/>
      <c r="D775" s="327"/>
      <c r="E775" s="66"/>
      <c r="F775" s="66"/>
      <c r="G775" s="327"/>
      <c r="H775" s="66"/>
      <c r="I775" s="66"/>
      <c r="J775" s="327"/>
      <c r="K775" s="66"/>
      <c r="L775" s="66"/>
      <c r="M775" s="66"/>
      <c r="N775" s="66"/>
      <c r="O775" s="66"/>
      <c r="P775" s="66"/>
      <c r="Q775" s="66"/>
      <c r="R775" s="66"/>
      <c r="S775" s="66"/>
      <c r="T775" s="66"/>
      <c r="U775" s="66"/>
      <c r="V775" s="66"/>
      <c r="W775" s="66"/>
      <c r="X775" s="66"/>
      <c r="Y775" s="66"/>
      <c r="Z775" s="66"/>
      <c r="AA775" s="66"/>
      <c r="AB775" s="66"/>
      <c r="AC775" s="66"/>
    </row>
    <row r="776">
      <c r="A776" s="327"/>
      <c r="B776" s="66"/>
      <c r="C776" s="66"/>
      <c r="D776" s="327"/>
      <c r="E776" s="66"/>
      <c r="F776" s="66"/>
      <c r="G776" s="327"/>
      <c r="H776" s="66"/>
      <c r="I776" s="66"/>
      <c r="J776" s="327"/>
      <c r="K776" s="66"/>
      <c r="L776" s="66"/>
      <c r="M776" s="66"/>
      <c r="N776" s="66"/>
      <c r="O776" s="66"/>
      <c r="P776" s="66"/>
      <c r="Q776" s="66"/>
      <c r="R776" s="66"/>
      <c r="S776" s="66"/>
      <c r="T776" s="66"/>
      <c r="U776" s="66"/>
      <c r="V776" s="66"/>
      <c r="W776" s="66"/>
      <c r="X776" s="66"/>
      <c r="Y776" s="66"/>
      <c r="Z776" s="66"/>
      <c r="AA776" s="66"/>
      <c r="AB776" s="66"/>
      <c r="AC776" s="66"/>
    </row>
    <row r="777">
      <c r="A777" s="327"/>
      <c r="B777" s="66"/>
      <c r="C777" s="66"/>
      <c r="D777" s="327"/>
      <c r="E777" s="66"/>
      <c r="F777" s="66"/>
      <c r="G777" s="327"/>
      <c r="H777" s="66"/>
      <c r="I777" s="66"/>
      <c r="J777" s="327"/>
      <c r="K777" s="66"/>
      <c r="L777" s="66"/>
      <c r="M777" s="66"/>
      <c r="N777" s="66"/>
      <c r="O777" s="66"/>
      <c r="P777" s="66"/>
      <c r="Q777" s="66"/>
      <c r="R777" s="66"/>
      <c r="S777" s="66"/>
      <c r="T777" s="66"/>
      <c r="U777" s="66"/>
      <c r="V777" s="66"/>
      <c r="W777" s="66"/>
      <c r="X777" s="66"/>
      <c r="Y777" s="66"/>
      <c r="Z777" s="66"/>
      <c r="AA777" s="66"/>
      <c r="AB777" s="66"/>
      <c r="AC777" s="66"/>
    </row>
    <row r="778">
      <c r="A778" s="327"/>
      <c r="B778" s="66"/>
      <c r="C778" s="66"/>
      <c r="D778" s="327"/>
      <c r="E778" s="66"/>
      <c r="F778" s="66"/>
      <c r="G778" s="327"/>
      <c r="H778" s="66"/>
      <c r="I778" s="66"/>
      <c r="J778" s="327"/>
      <c r="K778" s="66"/>
      <c r="L778" s="66"/>
      <c r="M778" s="66"/>
      <c r="N778" s="66"/>
      <c r="O778" s="66"/>
      <c r="P778" s="66"/>
      <c r="Q778" s="66"/>
      <c r="R778" s="66"/>
      <c r="S778" s="66"/>
      <c r="T778" s="66"/>
      <c r="U778" s="66"/>
      <c r="V778" s="66"/>
      <c r="W778" s="66"/>
      <c r="X778" s="66"/>
      <c r="Y778" s="66"/>
      <c r="Z778" s="66"/>
      <c r="AA778" s="66"/>
      <c r="AB778" s="66"/>
      <c r="AC778" s="66"/>
    </row>
    <row r="779">
      <c r="A779" s="327"/>
      <c r="B779" s="66"/>
      <c r="C779" s="66"/>
      <c r="D779" s="327"/>
      <c r="E779" s="66"/>
      <c r="F779" s="66"/>
      <c r="G779" s="327"/>
      <c r="H779" s="66"/>
      <c r="I779" s="66"/>
      <c r="J779" s="327"/>
      <c r="K779" s="66"/>
      <c r="L779" s="66"/>
      <c r="M779" s="66"/>
      <c r="N779" s="66"/>
      <c r="O779" s="66"/>
      <c r="P779" s="66"/>
      <c r="Q779" s="66"/>
      <c r="R779" s="66"/>
      <c r="S779" s="66"/>
      <c r="T779" s="66"/>
      <c r="U779" s="66"/>
      <c r="V779" s="66"/>
      <c r="W779" s="66"/>
      <c r="X779" s="66"/>
      <c r="Y779" s="66"/>
      <c r="Z779" s="66"/>
      <c r="AA779" s="66"/>
      <c r="AB779" s="66"/>
      <c r="AC779" s="66"/>
    </row>
    <row r="780">
      <c r="A780" s="327"/>
      <c r="B780" s="66"/>
      <c r="C780" s="66"/>
      <c r="D780" s="327"/>
      <c r="E780" s="66"/>
      <c r="F780" s="66"/>
      <c r="G780" s="327"/>
      <c r="H780" s="66"/>
      <c r="I780" s="66"/>
      <c r="J780" s="327"/>
      <c r="K780" s="66"/>
      <c r="L780" s="66"/>
      <c r="M780" s="66"/>
      <c r="N780" s="66"/>
      <c r="O780" s="66"/>
      <c r="P780" s="66"/>
      <c r="Q780" s="66"/>
      <c r="R780" s="66"/>
      <c r="S780" s="66"/>
      <c r="T780" s="66"/>
      <c r="U780" s="66"/>
      <c r="V780" s="66"/>
      <c r="W780" s="66"/>
      <c r="X780" s="66"/>
      <c r="Y780" s="66"/>
      <c r="Z780" s="66"/>
      <c r="AA780" s="66"/>
      <c r="AB780" s="66"/>
      <c r="AC780" s="66"/>
    </row>
    <row r="781">
      <c r="A781" s="327"/>
      <c r="B781" s="66"/>
      <c r="C781" s="66"/>
      <c r="D781" s="327"/>
      <c r="E781" s="66"/>
      <c r="F781" s="66"/>
      <c r="G781" s="327"/>
      <c r="H781" s="66"/>
      <c r="I781" s="66"/>
      <c r="J781" s="327"/>
      <c r="K781" s="66"/>
      <c r="L781" s="66"/>
      <c r="M781" s="66"/>
      <c r="N781" s="66"/>
      <c r="O781" s="66"/>
      <c r="P781" s="66"/>
      <c r="Q781" s="66"/>
      <c r="R781" s="66"/>
      <c r="S781" s="66"/>
      <c r="T781" s="66"/>
      <c r="U781" s="66"/>
      <c r="V781" s="66"/>
      <c r="W781" s="66"/>
      <c r="X781" s="66"/>
      <c r="Y781" s="66"/>
      <c r="Z781" s="66"/>
      <c r="AA781" s="66"/>
      <c r="AB781" s="66"/>
      <c r="AC781" s="66"/>
    </row>
    <row r="782">
      <c r="A782" s="327"/>
      <c r="B782" s="66"/>
      <c r="C782" s="66"/>
      <c r="D782" s="327"/>
      <c r="E782" s="66"/>
      <c r="F782" s="66"/>
      <c r="G782" s="327"/>
      <c r="H782" s="66"/>
      <c r="I782" s="66"/>
      <c r="J782" s="327"/>
      <c r="K782" s="66"/>
      <c r="L782" s="66"/>
      <c r="M782" s="66"/>
      <c r="N782" s="66"/>
      <c r="O782" s="66"/>
      <c r="P782" s="66"/>
      <c r="Q782" s="66"/>
      <c r="R782" s="66"/>
      <c r="S782" s="66"/>
      <c r="T782" s="66"/>
      <c r="U782" s="66"/>
      <c r="V782" s="66"/>
      <c r="W782" s="66"/>
      <c r="X782" s="66"/>
      <c r="Y782" s="66"/>
      <c r="Z782" s="66"/>
      <c r="AA782" s="66"/>
      <c r="AB782" s="66"/>
      <c r="AC782" s="66"/>
    </row>
    <row r="783">
      <c r="A783" s="327"/>
      <c r="B783" s="66"/>
      <c r="C783" s="66"/>
      <c r="D783" s="327"/>
      <c r="E783" s="66"/>
      <c r="F783" s="66"/>
      <c r="G783" s="327"/>
      <c r="H783" s="66"/>
      <c r="I783" s="66"/>
      <c r="J783" s="327"/>
      <c r="K783" s="66"/>
      <c r="L783" s="66"/>
      <c r="M783" s="66"/>
      <c r="N783" s="66"/>
      <c r="O783" s="66"/>
      <c r="P783" s="66"/>
      <c r="Q783" s="66"/>
      <c r="R783" s="66"/>
      <c r="S783" s="66"/>
      <c r="T783" s="66"/>
      <c r="U783" s="66"/>
      <c r="V783" s="66"/>
      <c r="W783" s="66"/>
      <c r="X783" s="66"/>
      <c r="Y783" s="66"/>
      <c r="Z783" s="66"/>
      <c r="AA783" s="66"/>
      <c r="AB783" s="66"/>
      <c r="AC783" s="66"/>
    </row>
    <row r="784">
      <c r="A784" s="327"/>
      <c r="B784" s="66"/>
      <c r="C784" s="66"/>
      <c r="D784" s="327"/>
      <c r="E784" s="66"/>
      <c r="F784" s="66"/>
      <c r="G784" s="327"/>
      <c r="H784" s="66"/>
      <c r="I784" s="66"/>
      <c r="J784" s="327"/>
      <c r="K784" s="66"/>
      <c r="L784" s="66"/>
      <c r="M784" s="66"/>
      <c r="N784" s="66"/>
      <c r="O784" s="66"/>
      <c r="P784" s="66"/>
      <c r="Q784" s="66"/>
      <c r="R784" s="66"/>
      <c r="S784" s="66"/>
      <c r="T784" s="66"/>
      <c r="U784" s="66"/>
      <c r="V784" s="66"/>
      <c r="W784" s="66"/>
      <c r="X784" s="66"/>
      <c r="Y784" s="66"/>
      <c r="Z784" s="66"/>
      <c r="AA784" s="66"/>
      <c r="AB784" s="66"/>
      <c r="AC784" s="66"/>
    </row>
    <row r="785">
      <c r="A785" s="327"/>
      <c r="B785" s="66"/>
      <c r="C785" s="66"/>
      <c r="D785" s="327"/>
      <c r="E785" s="66"/>
      <c r="F785" s="66"/>
      <c r="G785" s="327"/>
      <c r="H785" s="66"/>
      <c r="I785" s="66"/>
      <c r="J785" s="327"/>
      <c r="K785" s="66"/>
      <c r="L785" s="66"/>
      <c r="M785" s="66"/>
      <c r="N785" s="66"/>
      <c r="O785" s="66"/>
      <c r="P785" s="66"/>
      <c r="Q785" s="66"/>
      <c r="R785" s="66"/>
      <c r="S785" s="66"/>
      <c r="T785" s="66"/>
      <c r="U785" s="66"/>
      <c r="V785" s="66"/>
      <c r="W785" s="66"/>
      <c r="X785" s="66"/>
      <c r="Y785" s="66"/>
      <c r="Z785" s="66"/>
      <c r="AA785" s="66"/>
      <c r="AB785" s="66"/>
      <c r="AC785" s="66"/>
    </row>
    <row r="786">
      <c r="A786" s="327"/>
      <c r="B786" s="66"/>
      <c r="C786" s="66"/>
      <c r="D786" s="327"/>
      <c r="E786" s="66"/>
      <c r="F786" s="66"/>
      <c r="G786" s="327"/>
      <c r="H786" s="66"/>
      <c r="I786" s="66"/>
      <c r="J786" s="327"/>
      <c r="K786" s="66"/>
      <c r="L786" s="66"/>
      <c r="M786" s="66"/>
      <c r="N786" s="66"/>
      <c r="O786" s="66"/>
      <c r="P786" s="66"/>
      <c r="Q786" s="66"/>
      <c r="R786" s="66"/>
      <c r="S786" s="66"/>
      <c r="T786" s="66"/>
      <c r="U786" s="66"/>
      <c r="V786" s="66"/>
      <c r="W786" s="66"/>
      <c r="X786" s="66"/>
      <c r="Y786" s="66"/>
      <c r="Z786" s="66"/>
      <c r="AA786" s="66"/>
      <c r="AB786" s="66"/>
      <c r="AC786" s="66"/>
    </row>
    <row r="787">
      <c r="A787" s="327"/>
      <c r="B787" s="66"/>
      <c r="C787" s="66"/>
      <c r="D787" s="327"/>
      <c r="E787" s="66"/>
      <c r="F787" s="66"/>
      <c r="G787" s="327"/>
      <c r="H787" s="66"/>
      <c r="I787" s="66"/>
      <c r="J787" s="327"/>
      <c r="K787" s="66"/>
      <c r="L787" s="66"/>
      <c r="M787" s="66"/>
      <c r="N787" s="66"/>
      <c r="O787" s="66"/>
      <c r="P787" s="66"/>
      <c r="Q787" s="66"/>
      <c r="R787" s="66"/>
      <c r="S787" s="66"/>
      <c r="T787" s="66"/>
      <c r="U787" s="66"/>
      <c r="V787" s="66"/>
      <c r="W787" s="66"/>
      <c r="X787" s="66"/>
      <c r="Y787" s="66"/>
      <c r="Z787" s="66"/>
      <c r="AA787" s="66"/>
      <c r="AB787" s="66"/>
      <c r="AC787" s="66"/>
    </row>
    <row r="788">
      <c r="A788" s="327"/>
      <c r="B788" s="66"/>
      <c r="C788" s="66"/>
      <c r="D788" s="327"/>
      <c r="E788" s="66"/>
      <c r="F788" s="66"/>
      <c r="G788" s="327"/>
      <c r="H788" s="66"/>
      <c r="I788" s="66"/>
      <c r="J788" s="327"/>
      <c r="K788" s="66"/>
      <c r="L788" s="66"/>
      <c r="M788" s="66"/>
      <c r="N788" s="66"/>
      <c r="O788" s="66"/>
      <c r="P788" s="66"/>
      <c r="Q788" s="66"/>
      <c r="R788" s="66"/>
      <c r="S788" s="66"/>
      <c r="T788" s="66"/>
      <c r="U788" s="66"/>
      <c r="V788" s="66"/>
      <c r="W788" s="66"/>
      <c r="X788" s="66"/>
      <c r="Y788" s="66"/>
      <c r="Z788" s="66"/>
      <c r="AA788" s="66"/>
      <c r="AB788" s="66"/>
      <c r="AC788" s="66"/>
    </row>
    <row r="789">
      <c r="A789" s="327"/>
      <c r="B789" s="66"/>
      <c r="C789" s="66"/>
      <c r="D789" s="327"/>
      <c r="E789" s="66"/>
      <c r="F789" s="66"/>
      <c r="G789" s="327"/>
      <c r="H789" s="66"/>
      <c r="I789" s="66"/>
      <c r="J789" s="327"/>
      <c r="K789" s="66"/>
      <c r="L789" s="66"/>
      <c r="M789" s="66"/>
      <c r="N789" s="66"/>
      <c r="O789" s="66"/>
      <c r="P789" s="66"/>
      <c r="Q789" s="66"/>
      <c r="R789" s="66"/>
      <c r="S789" s="66"/>
      <c r="T789" s="66"/>
      <c r="U789" s="66"/>
      <c r="V789" s="66"/>
      <c r="W789" s="66"/>
      <c r="X789" s="66"/>
      <c r="Y789" s="66"/>
      <c r="Z789" s="66"/>
      <c r="AA789" s="66"/>
      <c r="AB789" s="66"/>
      <c r="AC789" s="66"/>
    </row>
    <row r="790">
      <c r="A790" s="327"/>
      <c r="B790" s="66"/>
      <c r="C790" s="66"/>
      <c r="D790" s="327"/>
      <c r="E790" s="66"/>
      <c r="F790" s="66"/>
      <c r="G790" s="327"/>
      <c r="H790" s="66"/>
      <c r="I790" s="66"/>
      <c r="J790" s="327"/>
      <c r="K790" s="66"/>
      <c r="L790" s="66"/>
      <c r="M790" s="66"/>
      <c r="N790" s="66"/>
      <c r="O790" s="66"/>
      <c r="P790" s="66"/>
      <c r="Q790" s="66"/>
      <c r="R790" s="66"/>
      <c r="S790" s="66"/>
      <c r="T790" s="66"/>
      <c r="U790" s="66"/>
      <c r="V790" s="66"/>
      <c r="W790" s="66"/>
      <c r="X790" s="66"/>
      <c r="Y790" s="66"/>
      <c r="Z790" s="66"/>
      <c r="AA790" s="66"/>
      <c r="AB790" s="66"/>
      <c r="AC790" s="66"/>
    </row>
    <row r="791">
      <c r="A791" s="327"/>
      <c r="B791" s="66"/>
      <c r="C791" s="66"/>
      <c r="D791" s="327"/>
      <c r="E791" s="66"/>
      <c r="F791" s="66"/>
      <c r="G791" s="327"/>
      <c r="H791" s="66"/>
      <c r="I791" s="66"/>
      <c r="J791" s="327"/>
      <c r="K791" s="66"/>
      <c r="L791" s="66"/>
      <c r="M791" s="66"/>
      <c r="N791" s="66"/>
      <c r="O791" s="66"/>
      <c r="P791" s="66"/>
      <c r="Q791" s="66"/>
      <c r="R791" s="66"/>
      <c r="S791" s="66"/>
      <c r="T791" s="66"/>
      <c r="U791" s="66"/>
      <c r="V791" s="66"/>
      <c r="W791" s="66"/>
      <c r="X791" s="66"/>
      <c r="Y791" s="66"/>
      <c r="Z791" s="66"/>
      <c r="AA791" s="66"/>
      <c r="AB791" s="66"/>
      <c r="AC791" s="66"/>
    </row>
    <row r="792">
      <c r="A792" s="327"/>
      <c r="B792" s="66"/>
      <c r="C792" s="66"/>
      <c r="D792" s="327"/>
      <c r="E792" s="66"/>
      <c r="F792" s="66"/>
      <c r="G792" s="327"/>
      <c r="H792" s="66"/>
      <c r="I792" s="66"/>
      <c r="J792" s="327"/>
      <c r="K792" s="66"/>
      <c r="L792" s="66"/>
      <c r="M792" s="66"/>
      <c r="N792" s="66"/>
      <c r="O792" s="66"/>
      <c r="P792" s="66"/>
      <c r="Q792" s="66"/>
      <c r="R792" s="66"/>
      <c r="S792" s="66"/>
      <c r="T792" s="66"/>
      <c r="U792" s="66"/>
      <c r="V792" s="66"/>
      <c r="W792" s="66"/>
      <c r="X792" s="66"/>
      <c r="Y792" s="66"/>
      <c r="Z792" s="66"/>
      <c r="AA792" s="66"/>
      <c r="AB792" s="66"/>
      <c r="AC792" s="66"/>
    </row>
    <row r="793">
      <c r="A793" s="327"/>
      <c r="B793" s="66"/>
      <c r="C793" s="66"/>
      <c r="D793" s="327"/>
      <c r="E793" s="66"/>
      <c r="F793" s="66"/>
      <c r="G793" s="327"/>
      <c r="H793" s="66"/>
      <c r="I793" s="66"/>
      <c r="J793" s="327"/>
      <c r="K793" s="66"/>
      <c r="L793" s="66"/>
      <c r="M793" s="66"/>
      <c r="N793" s="66"/>
      <c r="O793" s="66"/>
      <c r="P793" s="66"/>
      <c r="Q793" s="66"/>
      <c r="R793" s="66"/>
      <c r="S793" s="66"/>
      <c r="T793" s="66"/>
      <c r="U793" s="66"/>
      <c r="V793" s="66"/>
      <c r="W793" s="66"/>
      <c r="X793" s="66"/>
      <c r="Y793" s="66"/>
      <c r="Z793" s="66"/>
      <c r="AA793" s="66"/>
      <c r="AB793" s="66"/>
      <c r="AC793" s="66"/>
    </row>
    <row r="794">
      <c r="A794" s="327"/>
      <c r="B794" s="66"/>
      <c r="C794" s="66"/>
      <c r="D794" s="327"/>
      <c r="E794" s="66"/>
      <c r="F794" s="66"/>
      <c r="G794" s="327"/>
      <c r="H794" s="66"/>
      <c r="I794" s="66"/>
      <c r="J794" s="327"/>
      <c r="K794" s="66"/>
      <c r="L794" s="66"/>
      <c r="M794" s="66"/>
      <c r="N794" s="66"/>
      <c r="O794" s="66"/>
      <c r="P794" s="66"/>
      <c r="Q794" s="66"/>
      <c r="R794" s="66"/>
      <c r="S794" s="66"/>
      <c r="T794" s="66"/>
      <c r="U794" s="66"/>
      <c r="V794" s="66"/>
      <c r="W794" s="66"/>
      <c r="X794" s="66"/>
      <c r="Y794" s="66"/>
      <c r="Z794" s="66"/>
      <c r="AA794" s="66"/>
      <c r="AB794" s="66"/>
      <c r="AC794" s="66"/>
    </row>
    <row r="795">
      <c r="A795" s="327"/>
      <c r="B795" s="66"/>
      <c r="C795" s="66"/>
      <c r="D795" s="327"/>
      <c r="E795" s="66"/>
      <c r="F795" s="66"/>
      <c r="G795" s="327"/>
      <c r="H795" s="66"/>
      <c r="I795" s="66"/>
      <c r="J795" s="327"/>
      <c r="K795" s="66"/>
      <c r="L795" s="66"/>
      <c r="M795" s="66"/>
      <c r="N795" s="66"/>
      <c r="O795" s="66"/>
      <c r="P795" s="66"/>
      <c r="Q795" s="66"/>
      <c r="R795" s="66"/>
      <c r="S795" s="66"/>
      <c r="T795" s="66"/>
      <c r="U795" s="66"/>
      <c r="V795" s="66"/>
      <c r="W795" s="66"/>
      <c r="X795" s="66"/>
      <c r="Y795" s="66"/>
      <c r="Z795" s="66"/>
      <c r="AA795" s="66"/>
      <c r="AB795" s="66"/>
      <c r="AC795" s="66"/>
    </row>
    <row r="796">
      <c r="A796" s="327"/>
      <c r="B796" s="66"/>
      <c r="C796" s="66"/>
      <c r="D796" s="327"/>
      <c r="E796" s="66"/>
      <c r="F796" s="66"/>
      <c r="G796" s="327"/>
      <c r="H796" s="66"/>
      <c r="I796" s="66"/>
      <c r="J796" s="327"/>
      <c r="K796" s="66"/>
      <c r="L796" s="66"/>
      <c r="M796" s="66"/>
      <c r="N796" s="66"/>
      <c r="O796" s="66"/>
      <c r="P796" s="66"/>
      <c r="Q796" s="66"/>
      <c r="R796" s="66"/>
      <c r="S796" s="66"/>
      <c r="T796" s="66"/>
      <c r="U796" s="66"/>
      <c r="V796" s="66"/>
      <c r="W796" s="66"/>
      <c r="X796" s="66"/>
      <c r="Y796" s="66"/>
      <c r="Z796" s="66"/>
      <c r="AA796" s="66"/>
      <c r="AB796" s="66"/>
      <c r="AC796" s="66"/>
    </row>
    <row r="797">
      <c r="A797" s="327"/>
      <c r="B797" s="66"/>
      <c r="C797" s="66"/>
      <c r="D797" s="327"/>
      <c r="E797" s="66"/>
      <c r="F797" s="66"/>
      <c r="G797" s="327"/>
      <c r="H797" s="66"/>
      <c r="I797" s="66"/>
      <c r="J797" s="327"/>
      <c r="K797" s="66"/>
      <c r="L797" s="66"/>
      <c r="M797" s="66"/>
      <c r="N797" s="66"/>
      <c r="O797" s="66"/>
      <c r="P797" s="66"/>
      <c r="Q797" s="66"/>
      <c r="R797" s="66"/>
      <c r="S797" s="66"/>
      <c r="T797" s="66"/>
      <c r="U797" s="66"/>
      <c r="V797" s="66"/>
      <c r="W797" s="66"/>
      <c r="X797" s="66"/>
      <c r="Y797" s="66"/>
      <c r="Z797" s="66"/>
      <c r="AA797" s="66"/>
      <c r="AB797" s="66"/>
      <c r="AC797" s="66"/>
    </row>
    <row r="798">
      <c r="A798" s="327"/>
      <c r="B798" s="66"/>
      <c r="C798" s="66"/>
      <c r="D798" s="327"/>
      <c r="E798" s="66"/>
      <c r="F798" s="66"/>
      <c r="G798" s="327"/>
      <c r="H798" s="66"/>
      <c r="I798" s="66"/>
      <c r="J798" s="327"/>
      <c r="K798" s="66"/>
      <c r="L798" s="66"/>
      <c r="M798" s="66"/>
      <c r="N798" s="66"/>
      <c r="O798" s="66"/>
      <c r="P798" s="66"/>
      <c r="Q798" s="66"/>
      <c r="R798" s="66"/>
      <c r="S798" s="66"/>
      <c r="T798" s="66"/>
      <c r="U798" s="66"/>
      <c r="V798" s="66"/>
      <c r="W798" s="66"/>
      <c r="X798" s="66"/>
      <c r="Y798" s="66"/>
      <c r="Z798" s="66"/>
      <c r="AA798" s="66"/>
      <c r="AB798" s="66"/>
      <c r="AC798" s="66"/>
    </row>
    <row r="799">
      <c r="A799" s="327"/>
      <c r="B799" s="66"/>
      <c r="C799" s="66"/>
      <c r="D799" s="327"/>
      <c r="E799" s="66"/>
      <c r="F799" s="66"/>
      <c r="G799" s="327"/>
      <c r="H799" s="66"/>
      <c r="I799" s="66"/>
      <c r="J799" s="327"/>
      <c r="K799" s="66"/>
      <c r="L799" s="66"/>
      <c r="M799" s="66"/>
      <c r="N799" s="66"/>
      <c r="O799" s="66"/>
      <c r="P799" s="66"/>
      <c r="Q799" s="66"/>
      <c r="R799" s="66"/>
      <c r="S799" s="66"/>
      <c r="T799" s="66"/>
      <c r="U799" s="66"/>
      <c r="V799" s="66"/>
      <c r="W799" s="66"/>
      <c r="X799" s="66"/>
      <c r="Y799" s="66"/>
      <c r="Z799" s="66"/>
      <c r="AA799" s="66"/>
      <c r="AB799" s="66"/>
      <c r="AC799" s="66"/>
    </row>
    <row r="800">
      <c r="A800" s="327"/>
      <c r="B800" s="66"/>
      <c r="C800" s="66"/>
      <c r="D800" s="327"/>
      <c r="E800" s="66"/>
      <c r="F800" s="66"/>
      <c r="G800" s="327"/>
      <c r="H800" s="66"/>
      <c r="I800" s="66"/>
      <c r="J800" s="327"/>
      <c r="K800" s="66"/>
      <c r="L800" s="66"/>
      <c r="M800" s="66"/>
      <c r="N800" s="66"/>
      <c r="O800" s="66"/>
      <c r="P800" s="66"/>
      <c r="Q800" s="66"/>
      <c r="R800" s="66"/>
      <c r="S800" s="66"/>
      <c r="T800" s="66"/>
      <c r="U800" s="66"/>
      <c r="V800" s="66"/>
      <c r="W800" s="66"/>
      <c r="X800" s="66"/>
      <c r="Y800" s="66"/>
      <c r="Z800" s="66"/>
      <c r="AA800" s="66"/>
      <c r="AB800" s="66"/>
      <c r="AC800" s="66"/>
    </row>
    <row r="801">
      <c r="A801" s="327"/>
      <c r="B801" s="66"/>
      <c r="C801" s="66"/>
      <c r="D801" s="327"/>
      <c r="E801" s="66"/>
      <c r="F801" s="66"/>
      <c r="G801" s="327"/>
      <c r="H801" s="66"/>
      <c r="I801" s="66"/>
      <c r="J801" s="327"/>
      <c r="K801" s="66"/>
      <c r="L801" s="66"/>
      <c r="M801" s="66"/>
      <c r="N801" s="66"/>
      <c r="O801" s="66"/>
      <c r="P801" s="66"/>
      <c r="Q801" s="66"/>
      <c r="R801" s="66"/>
      <c r="S801" s="66"/>
      <c r="T801" s="66"/>
      <c r="U801" s="66"/>
      <c r="V801" s="66"/>
      <c r="W801" s="66"/>
      <c r="X801" s="66"/>
      <c r="Y801" s="66"/>
      <c r="Z801" s="66"/>
      <c r="AA801" s="66"/>
      <c r="AB801" s="66"/>
      <c r="AC801" s="66"/>
    </row>
    <row r="802">
      <c r="A802" s="327"/>
      <c r="B802" s="66"/>
      <c r="C802" s="66"/>
      <c r="D802" s="327"/>
      <c r="E802" s="66"/>
      <c r="F802" s="66"/>
      <c r="G802" s="327"/>
      <c r="H802" s="66"/>
      <c r="I802" s="66"/>
      <c r="J802" s="327"/>
      <c r="K802" s="66"/>
      <c r="L802" s="66"/>
      <c r="M802" s="66"/>
      <c r="N802" s="66"/>
      <c r="O802" s="66"/>
      <c r="P802" s="66"/>
      <c r="Q802" s="66"/>
      <c r="R802" s="66"/>
      <c r="S802" s="66"/>
      <c r="T802" s="66"/>
      <c r="U802" s="66"/>
      <c r="V802" s="66"/>
      <c r="W802" s="66"/>
      <c r="X802" s="66"/>
      <c r="Y802" s="66"/>
      <c r="Z802" s="66"/>
      <c r="AA802" s="66"/>
      <c r="AB802" s="66"/>
      <c r="AC802" s="66"/>
    </row>
    <row r="803">
      <c r="A803" s="327"/>
      <c r="B803" s="66"/>
      <c r="C803" s="66"/>
      <c r="D803" s="327"/>
      <c r="E803" s="66"/>
      <c r="F803" s="66"/>
      <c r="G803" s="327"/>
      <c r="H803" s="66"/>
      <c r="I803" s="66"/>
      <c r="J803" s="327"/>
      <c r="K803" s="66"/>
      <c r="L803" s="66"/>
      <c r="M803" s="66"/>
      <c r="N803" s="66"/>
      <c r="O803" s="66"/>
      <c r="P803" s="66"/>
      <c r="Q803" s="66"/>
      <c r="R803" s="66"/>
      <c r="S803" s="66"/>
      <c r="T803" s="66"/>
      <c r="U803" s="66"/>
      <c r="V803" s="66"/>
      <c r="W803" s="66"/>
      <c r="X803" s="66"/>
      <c r="Y803" s="66"/>
      <c r="Z803" s="66"/>
      <c r="AA803" s="66"/>
      <c r="AB803" s="66"/>
      <c r="AC803" s="66"/>
    </row>
    <row r="804">
      <c r="A804" s="327"/>
      <c r="B804" s="66"/>
      <c r="C804" s="66"/>
      <c r="D804" s="327"/>
      <c r="E804" s="66"/>
      <c r="F804" s="66"/>
      <c r="G804" s="327"/>
      <c r="H804" s="66"/>
      <c r="I804" s="66"/>
      <c r="J804" s="327"/>
      <c r="K804" s="66"/>
      <c r="L804" s="66"/>
      <c r="M804" s="66"/>
      <c r="N804" s="66"/>
      <c r="O804" s="66"/>
      <c r="P804" s="66"/>
      <c r="Q804" s="66"/>
      <c r="R804" s="66"/>
      <c r="S804" s="66"/>
      <c r="T804" s="66"/>
      <c r="U804" s="66"/>
      <c r="V804" s="66"/>
      <c r="W804" s="66"/>
      <c r="X804" s="66"/>
      <c r="Y804" s="66"/>
      <c r="Z804" s="66"/>
      <c r="AA804" s="66"/>
      <c r="AB804" s="66"/>
      <c r="AC804" s="66"/>
    </row>
    <row r="805">
      <c r="A805" s="327"/>
      <c r="B805" s="66"/>
      <c r="C805" s="66"/>
      <c r="D805" s="327"/>
      <c r="E805" s="66"/>
      <c r="F805" s="66"/>
      <c r="G805" s="327"/>
      <c r="H805" s="66"/>
      <c r="I805" s="66"/>
      <c r="J805" s="327"/>
      <c r="K805" s="66"/>
      <c r="L805" s="66"/>
      <c r="M805" s="66"/>
      <c r="N805" s="66"/>
      <c r="O805" s="66"/>
      <c r="P805" s="66"/>
      <c r="Q805" s="66"/>
      <c r="R805" s="66"/>
      <c r="S805" s="66"/>
      <c r="T805" s="66"/>
      <c r="U805" s="66"/>
      <c r="V805" s="66"/>
      <c r="W805" s="66"/>
      <c r="X805" s="66"/>
      <c r="Y805" s="66"/>
      <c r="Z805" s="66"/>
      <c r="AA805" s="66"/>
      <c r="AB805" s="66"/>
      <c r="AC805" s="66"/>
    </row>
    <row r="806">
      <c r="A806" s="327"/>
      <c r="B806" s="66"/>
      <c r="C806" s="66"/>
      <c r="D806" s="327"/>
      <c r="E806" s="66"/>
      <c r="F806" s="66"/>
      <c r="G806" s="327"/>
      <c r="H806" s="66"/>
      <c r="I806" s="66"/>
      <c r="J806" s="327"/>
      <c r="K806" s="66"/>
      <c r="L806" s="66"/>
      <c r="M806" s="66"/>
      <c r="N806" s="66"/>
      <c r="O806" s="66"/>
      <c r="P806" s="66"/>
      <c r="Q806" s="66"/>
      <c r="R806" s="66"/>
      <c r="S806" s="66"/>
      <c r="T806" s="66"/>
      <c r="U806" s="66"/>
      <c r="V806" s="66"/>
      <c r="W806" s="66"/>
      <c r="X806" s="66"/>
      <c r="Y806" s="66"/>
      <c r="Z806" s="66"/>
      <c r="AA806" s="66"/>
      <c r="AB806" s="66"/>
      <c r="AC806" s="66"/>
    </row>
    <row r="807">
      <c r="A807" s="327"/>
      <c r="B807" s="66"/>
      <c r="C807" s="66"/>
      <c r="D807" s="327"/>
      <c r="E807" s="66"/>
      <c r="F807" s="66"/>
      <c r="G807" s="327"/>
      <c r="H807" s="66"/>
      <c r="I807" s="66"/>
      <c r="J807" s="327"/>
      <c r="K807" s="66"/>
      <c r="L807" s="66"/>
      <c r="M807" s="66"/>
      <c r="N807" s="66"/>
      <c r="O807" s="66"/>
      <c r="P807" s="66"/>
      <c r="Q807" s="66"/>
      <c r="R807" s="66"/>
      <c r="S807" s="66"/>
      <c r="T807" s="66"/>
      <c r="U807" s="66"/>
      <c r="V807" s="66"/>
      <c r="W807" s="66"/>
      <c r="X807" s="66"/>
      <c r="Y807" s="66"/>
      <c r="Z807" s="66"/>
      <c r="AA807" s="66"/>
      <c r="AB807" s="66"/>
      <c r="AC807" s="66"/>
    </row>
    <row r="808">
      <c r="A808" s="327"/>
      <c r="B808" s="66"/>
      <c r="C808" s="66"/>
      <c r="D808" s="327"/>
      <c r="E808" s="66"/>
      <c r="F808" s="66"/>
      <c r="G808" s="327"/>
      <c r="H808" s="66"/>
      <c r="I808" s="66"/>
      <c r="J808" s="327"/>
      <c r="K808" s="66"/>
      <c r="L808" s="66"/>
      <c r="M808" s="66"/>
      <c r="N808" s="66"/>
      <c r="O808" s="66"/>
      <c r="P808" s="66"/>
      <c r="Q808" s="66"/>
      <c r="R808" s="66"/>
      <c r="S808" s="66"/>
      <c r="T808" s="66"/>
      <c r="U808" s="66"/>
      <c r="V808" s="66"/>
      <c r="W808" s="66"/>
      <c r="X808" s="66"/>
      <c r="Y808" s="66"/>
      <c r="Z808" s="66"/>
      <c r="AA808" s="66"/>
      <c r="AB808" s="66"/>
      <c r="AC808" s="66"/>
    </row>
    <row r="809">
      <c r="A809" s="327"/>
      <c r="B809" s="66"/>
      <c r="C809" s="66"/>
      <c r="D809" s="327"/>
      <c r="E809" s="66"/>
      <c r="F809" s="66"/>
      <c r="G809" s="327"/>
      <c r="H809" s="66"/>
      <c r="I809" s="66"/>
      <c r="J809" s="327"/>
      <c r="K809" s="66"/>
      <c r="L809" s="66"/>
      <c r="M809" s="66"/>
      <c r="N809" s="66"/>
      <c r="O809" s="66"/>
      <c r="P809" s="66"/>
      <c r="Q809" s="66"/>
      <c r="R809" s="66"/>
      <c r="S809" s="66"/>
      <c r="T809" s="66"/>
      <c r="U809" s="66"/>
      <c r="V809" s="66"/>
      <c r="W809" s="66"/>
      <c r="X809" s="66"/>
      <c r="Y809" s="66"/>
      <c r="Z809" s="66"/>
      <c r="AA809" s="66"/>
      <c r="AB809" s="66"/>
      <c r="AC809" s="66"/>
    </row>
    <row r="810">
      <c r="A810" s="327"/>
      <c r="B810" s="66"/>
      <c r="C810" s="66"/>
      <c r="D810" s="327"/>
      <c r="E810" s="66"/>
      <c r="F810" s="66"/>
      <c r="G810" s="327"/>
      <c r="H810" s="66"/>
      <c r="I810" s="66"/>
      <c r="J810" s="327"/>
      <c r="K810" s="66"/>
      <c r="L810" s="66"/>
      <c r="M810" s="66"/>
      <c r="N810" s="66"/>
      <c r="O810" s="66"/>
      <c r="P810" s="66"/>
      <c r="Q810" s="66"/>
      <c r="R810" s="66"/>
      <c r="S810" s="66"/>
      <c r="T810" s="66"/>
      <c r="U810" s="66"/>
      <c r="V810" s="66"/>
      <c r="W810" s="66"/>
      <c r="X810" s="66"/>
      <c r="Y810" s="66"/>
      <c r="Z810" s="66"/>
      <c r="AA810" s="66"/>
      <c r="AB810" s="66"/>
      <c r="AC810" s="66"/>
    </row>
    <row r="811">
      <c r="A811" s="327"/>
      <c r="B811" s="66"/>
      <c r="C811" s="66"/>
      <c r="D811" s="327"/>
      <c r="E811" s="66"/>
      <c r="F811" s="66"/>
      <c r="G811" s="327"/>
      <c r="H811" s="66"/>
      <c r="I811" s="66"/>
      <c r="J811" s="327"/>
      <c r="K811" s="66"/>
      <c r="L811" s="66"/>
      <c r="M811" s="66"/>
      <c r="N811" s="66"/>
      <c r="O811" s="66"/>
      <c r="P811" s="66"/>
      <c r="Q811" s="66"/>
      <c r="R811" s="66"/>
      <c r="S811" s="66"/>
      <c r="T811" s="66"/>
      <c r="U811" s="66"/>
      <c r="V811" s="66"/>
      <c r="W811" s="66"/>
      <c r="X811" s="66"/>
      <c r="Y811" s="66"/>
      <c r="Z811" s="66"/>
      <c r="AA811" s="66"/>
      <c r="AB811" s="66"/>
      <c r="AC811" s="66"/>
    </row>
    <row r="812">
      <c r="A812" s="327"/>
      <c r="B812" s="66"/>
      <c r="C812" s="66"/>
      <c r="D812" s="327"/>
      <c r="E812" s="66"/>
      <c r="F812" s="66"/>
      <c r="G812" s="327"/>
      <c r="H812" s="66"/>
      <c r="I812" s="66"/>
      <c r="J812" s="327"/>
      <c r="K812" s="66"/>
      <c r="L812" s="66"/>
      <c r="M812" s="66"/>
      <c r="N812" s="66"/>
      <c r="O812" s="66"/>
      <c r="P812" s="66"/>
      <c r="Q812" s="66"/>
      <c r="R812" s="66"/>
      <c r="S812" s="66"/>
      <c r="T812" s="66"/>
      <c r="U812" s="66"/>
      <c r="V812" s="66"/>
      <c r="W812" s="66"/>
      <c r="X812" s="66"/>
      <c r="Y812" s="66"/>
      <c r="Z812" s="66"/>
      <c r="AA812" s="66"/>
      <c r="AB812" s="66"/>
      <c r="AC812" s="66"/>
    </row>
    <row r="813">
      <c r="A813" s="327"/>
      <c r="B813" s="66"/>
      <c r="C813" s="66"/>
      <c r="D813" s="327"/>
      <c r="E813" s="66"/>
      <c r="F813" s="66"/>
      <c r="G813" s="327"/>
      <c r="H813" s="66"/>
      <c r="I813" s="66"/>
      <c r="J813" s="327"/>
      <c r="K813" s="66"/>
      <c r="L813" s="66"/>
      <c r="M813" s="66"/>
      <c r="N813" s="66"/>
      <c r="O813" s="66"/>
      <c r="P813" s="66"/>
      <c r="Q813" s="66"/>
      <c r="R813" s="66"/>
      <c r="S813" s="66"/>
      <c r="T813" s="66"/>
      <c r="U813" s="66"/>
      <c r="V813" s="66"/>
      <c r="W813" s="66"/>
      <c r="X813" s="66"/>
      <c r="Y813" s="66"/>
      <c r="Z813" s="66"/>
      <c r="AA813" s="66"/>
      <c r="AB813" s="66"/>
      <c r="AC813" s="66"/>
    </row>
    <row r="814">
      <c r="A814" s="327"/>
      <c r="B814" s="66"/>
      <c r="C814" s="66"/>
      <c r="D814" s="327"/>
      <c r="E814" s="66"/>
      <c r="F814" s="66"/>
      <c r="G814" s="327"/>
      <c r="H814" s="66"/>
      <c r="I814" s="66"/>
      <c r="J814" s="327"/>
      <c r="K814" s="66"/>
      <c r="L814" s="66"/>
      <c r="M814" s="66"/>
      <c r="N814" s="66"/>
      <c r="O814" s="66"/>
      <c r="P814" s="66"/>
      <c r="Q814" s="66"/>
      <c r="R814" s="66"/>
      <c r="S814" s="66"/>
      <c r="T814" s="66"/>
      <c r="U814" s="66"/>
      <c r="V814" s="66"/>
      <c r="W814" s="66"/>
      <c r="X814" s="66"/>
      <c r="Y814" s="66"/>
      <c r="Z814" s="66"/>
      <c r="AA814" s="66"/>
      <c r="AB814" s="66"/>
      <c r="AC814" s="66"/>
    </row>
    <row r="815">
      <c r="A815" s="327"/>
      <c r="B815" s="66"/>
      <c r="C815" s="66"/>
      <c r="D815" s="327"/>
      <c r="E815" s="66"/>
      <c r="F815" s="66"/>
      <c r="G815" s="327"/>
      <c r="H815" s="66"/>
      <c r="I815" s="66"/>
      <c r="J815" s="327"/>
      <c r="K815" s="66"/>
      <c r="L815" s="66"/>
      <c r="M815" s="66"/>
      <c r="N815" s="66"/>
      <c r="O815" s="66"/>
      <c r="P815" s="66"/>
      <c r="Q815" s="66"/>
      <c r="R815" s="66"/>
      <c r="S815" s="66"/>
      <c r="T815" s="66"/>
      <c r="U815" s="66"/>
      <c r="V815" s="66"/>
      <c r="W815" s="66"/>
      <c r="X815" s="66"/>
      <c r="Y815" s="66"/>
      <c r="Z815" s="66"/>
      <c r="AA815" s="66"/>
      <c r="AB815" s="66"/>
      <c r="AC815" s="66"/>
    </row>
    <row r="816">
      <c r="A816" s="327"/>
      <c r="B816" s="66"/>
      <c r="C816" s="66"/>
      <c r="D816" s="327"/>
      <c r="E816" s="66"/>
      <c r="F816" s="66"/>
      <c r="G816" s="327"/>
      <c r="H816" s="66"/>
      <c r="I816" s="66"/>
      <c r="J816" s="327"/>
      <c r="K816" s="66"/>
      <c r="L816" s="66"/>
      <c r="M816" s="66"/>
      <c r="N816" s="66"/>
      <c r="O816" s="66"/>
      <c r="P816" s="66"/>
      <c r="Q816" s="66"/>
      <c r="R816" s="66"/>
      <c r="S816" s="66"/>
      <c r="T816" s="66"/>
      <c r="U816" s="66"/>
      <c r="V816" s="66"/>
      <c r="W816" s="66"/>
      <c r="X816" s="66"/>
      <c r="Y816" s="66"/>
      <c r="Z816" s="66"/>
      <c r="AA816" s="66"/>
      <c r="AB816" s="66"/>
      <c r="AC816" s="66"/>
    </row>
    <row r="817">
      <c r="A817" s="327"/>
      <c r="B817" s="66"/>
      <c r="C817" s="66"/>
      <c r="D817" s="327"/>
      <c r="E817" s="66"/>
      <c r="F817" s="66"/>
      <c r="G817" s="327"/>
      <c r="H817" s="66"/>
      <c r="I817" s="66"/>
      <c r="J817" s="327"/>
      <c r="K817" s="66"/>
      <c r="L817" s="66"/>
      <c r="M817" s="66"/>
      <c r="N817" s="66"/>
      <c r="O817" s="66"/>
      <c r="P817" s="66"/>
      <c r="Q817" s="66"/>
      <c r="R817" s="66"/>
      <c r="S817" s="66"/>
      <c r="T817" s="66"/>
      <c r="U817" s="66"/>
      <c r="V817" s="66"/>
      <c r="W817" s="66"/>
      <c r="X817" s="66"/>
      <c r="Y817" s="66"/>
      <c r="Z817" s="66"/>
      <c r="AA817" s="66"/>
      <c r="AB817" s="66"/>
      <c r="AC817" s="66"/>
    </row>
    <row r="818">
      <c r="A818" s="327"/>
      <c r="B818" s="66"/>
      <c r="C818" s="66"/>
      <c r="D818" s="327"/>
      <c r="E818" s="66"/>
      <c r="F818" s="66"/>
      <c r="G818" s="327"/>
      <c r="H818" s="66"/>
      <c r="I818" s="66"/>
      <c r="J818" s="327"/>
      <c r="K818" s="66"/>
      <c r="L818" s="66"/>
      <c r="M818" s="66"/>
      <c r="N818" s="66"/>
      <c r="O818" s="66"/>
      <c r="P818" s="66"/>
      <c r="Q818" s="66"/>
      <c r="R818" s="66"/>
      <c r="S818" s="66"/>
      <c r="T818" s="66"/>
      <c r="U818" s="66"/>
      <c r="V818" s="66"/>
      <c r="W818" s="66"/>
      <c r="X818" s="66"/>
      <c r="Y818" s="66"/>
      <c r="Z818" s="66"/>
      <c r="AA818" s="66"/>
      <c r="AB818" s="66"/>
      <c r="AC818" s="66"/>
    </row>
    <row r="819">
      <c r="A819" s="327"/>
      <c r="B819" s="66"/>
      <c r="C819" s="66"/>
      <c r="D819" s="327"/>
      <c r="E819" s="66"/>
      <c r="F819" s="66"/>
      <c r="G819" s="327"/>
      <c r="H819" s="66"/>
      <c r="I819" s="66"/>
      <c r="J819" s="327"/>
      <c r="K819" s="66"/>
      <c r="L819" s="66"/>
      <c r="M819" s="66"/>
      <c r="N819" s="66"/>
      <c r="O819" s="66"/>
      <c r="P819" s="66"/>
      <c r="Q819" s="66"/>
      <c r="R819" s="66"/>
      <c r="S819" s="66"/>
      <c r="T819" s="66"/>
      <c r="U819" s="66"/>
      <c r="V819" s="66"/>
      <c r="W819" s="66"/>
      <c r="X819" s="66"/>
      <c r="Y819" s="66"/>
      <c r="Z819" s="66"/>
      <c r="AA819" s="66"/>
      <c r="AB819" s="66"/>
      <c r="AC819" s="66"/>
    </row>
    <row r="820">
      <c r="A820" s="327"/>
      <c r="B820" s="66"/>
      <c r="C820" s="66"/>
      <c r="D820" s="327"/>
      <c r="E820" s="66"/>
      <c r="F820" s="66"/>
      <c r="G820" s="327"/>
      <c r="H820" s="66"/>
      <c r="I820" s="66"/>
      <c r="J820" s="327"/>
      <c r="K820" s="66"/>
      <c r="L820" s="66"/>
      <c r="M820" s="66"/>
      <c r="N820" s="66"/>
      <c r="O820" s="66"/>
      <c r="P820" s="66"/>
      <c r="Q820" s="66"/>
      <c r="R820" s="66"/>
      <c r="S820" s="66"/>
      <c r="T820" s="66"/>
      <c r="U820" s="66"/>
      <c r="V820" s="66"/>
      <c r="W820" s="66"/>
      <c r="X820" s="66"/>
      <c r="Y820" s="66"/>
      <c r="Z820" s="66"/>
      <c r="AA820" s="66"/>
      <c r="AB820" s="66"/>
      <c r="AC820" s="66"/>
    </row>
    <row r="821">
      <c r="A821" s="327"/>
      <c r="B821" s="66"/>
      <c r="C821" s="66"/>
      <c r="D821" s="327"/>
      <c r="E821" s="66"/>
      <c r="F821" s="66"/>
      <c r="G821" s="327"/>
      <c r="H821" s="66"/>
      <c r="I821" s="66"/>
      <c r="J821" s="327"/>
      <c r="K821" s="66"/>
      <c r="L821" s="66"/>
      <c r="M821" s="66"/>
      <c r="N821" s="66"/>
      <c r="O821" s="66"/>
      <c r="P821" s="66"/>
      <c r="Q821" s="66"/>
      <c r="R821" s="66"/>
      <c r="S821" s="66"/>
      <c r="T821" s="66"/>
      <c r="U821" s="66"/>
      <c r="V821" s="66"/>
      <c r="W821" s="66"/>
      <c r="X821" s="66"/>
      <c r="Y821" s="66"/>
      <c r="Z821" s="66"/>
      <c r="AA821" s="66"/>
      <c r="AB821" s="66"/>
      <c r="AC821" s="66"/>
    </row>
    <row r="822">
      <c r="A822" s="327"/>
      <c r="B822" s="66"/>
      <c r="C822" s="66"/>
      <c r="D822" s="327"/>
      <c r="E822" s="66"/>
      <c r="F822" s="66"/>
      <c r="G822" s="327"/>
      <c r="H822" s="66"/>
      <c r="I822" s="66"/>
      <c r="J822" s="327"/>
      <c r="K822" s="66"/>
      <c r="L822" s="66"/>
      <c r="M822" s="66"/>
      <c r="N822" s="66"/>
      <c r="O822" s="66"/>
      <c r="P822" s="66"/>
      <c r="Q822" s="66"/>
      <c r="R822" s="66"/>
      <c r="S822" s="66"/>
      <c r="T822" s="66"/>
      <c r="U822" s="66"/>
      <c r="V822" s="66"/>
      <c r="W822" s="66"/>
      <c r="X822" s="66"/>
      <c r="Y822" s="66"/>
      <c r="Z822" s="66"/>
      <c r="AA822" s="66"/>
      <c r="AB822" s="66"/>
      <c r="AC822" s="66"/>
    </row>
    <row r="823">
      <c r="A823" s="327"/>
      <c r="B823" s="66"/>
      <c r="C823" s="66"/>
      <c r="D823" s="327"/>
      <c r="E823" s="66"/>
      <c r="F823" s="66"/>
      <c r="G823" s="327"/>
      <c r="H823" s="66"/>
      <c r="I823" s="66"/>
      <c r="J823" s="327"/>
      <c r="K823" s="66"/>
      <c r="L823" s="66"/>
      <c r="M823" s="66"/>
      <c r="N823" s="66"/>
      <c r="O823" s="66"/>
      <c r="P823" s="66"/>
      <c r="Q823" s="66"/>
      <c r="R823" s="66"/>
      <c r="S823" s="66"/>
      <c r="T823" s="66"/>
      <c r="U823" s="66"/>
      <c r="V823" s="66"/>
      <c r="W823" s="66"/>
      <c r="X823" s="66"/>
      <c r="Y823" s="66"/>
      <c r="Z823" s="66"/>
      <c r="AA823" s="66"/>
      <c r="AB823" s="66"/>
      <c r="AC823" s="66"/>
    </row>
    <row r="824">
      <c r="A824" s="327"/>
      <c r="B824" s="66"/>
      <c r="C824" s="66"/>
      <c r="D824" s="327"/>
      <c r="E824" s="66"/>
      <c r="F824" s="66"/>
      <c r="G824" s="327"/>
      <c r="H824" s="66"/>
      <c r="I824" s="66"/>
      <c r="J824" s="327"/>
      <c r="K824" s="66"/>
      <c r="L824" s="66"/>
      <c r="M824" s="66"/>
      <c r="N824" s="66"/>
      <c r="O824" s="66"/>
      <c r="P824" s="66"/>
      <c r="Q824" s="66"/>
      <c r="R824" s="66"/>
      <c r="S824" s="66"/>
      <c r="T824" s="66"/>
      <c r="U824" s="66"/>
      <c r="V824" s="66"/>
      <c r="W824" s="66"/>
      <c r="X824" s="66"/>
      <c r="Y824" s="66"/>
      <c r="Z824" s="66"/>
      <c r="AA824" s="66"/>
      <c r="AB824" s="66"/>
      <c r="AC824" s="66"/>
    </row>
    <row r="825">
      <c r="A825" s="327"/>
      <c r="B825" s="66"/>
      <c r="C825" s="66"/>
      <c r="D825" s="327"/>
      <c r="E825" s="66"/>
      <c r="F825" s="66"/>
      <c r="G825" s="327"/>
      <c r="H825" s="66"/>
      <c r="I825" s="66"/>
      <c r="J825" s="327"/>
      <c r="K825" s="66"/>
      <c r="L825" s="66"/>
      <c r="M825" s="66"/>
      <c r="N825" s="66"/>
      <c r="O825" s="66"/>
      <c r="P825" s="66"/>
      <c r="Q825" s="66"/>
      <c r="R825" s="66"/>
      <c r="S825" s="66"/>
      <c r="T825" s="66"/>
      <c r="U825" s="66"/>
      <c r="V825" s="66"/>
      <c r="W825" s="66"/>
      <c r="X825" s="66"/>
      <c r="Y825" s="66"/>
      <c r="Z825" s="66"/>
      <c r="AA825" s="66"/>
      <c r="AB825" s="66"/>
      <c r="AC825" s="66"/>
    </row>
    <row r="826">
      <c r="A826" s="327"/>
      <c r="B826" s="66"/>
      <c r="C826" s="66"/>
      <c r="D826" s="327"/>
      <c r="E826" s="66"/>
      <c r="F826" s="66"/>
      <c r="G826" s="327"/>
      <c r="H826" s="66"/>
      <c r="I826" s="66"/>
      <c r="J826" s="327"/>
      <c r="K826" s="66"/>
      <c r="L826" s="66"/>
      <c r="M826" s="66"/>
      <c r="N826" s="66"/>
      <c r="O826" s="66"/>
      <c r="P826" s="66"/>
      <c r="Q826" s="66"/>
      <c r="R826" s="66"/>
      <c r="S826" s="66"/>
      <c r="T826" s="66"/>
      <c r="U826" s="66"/>
      <c r="V826" s="66"/>
      <c r="W826" s="66"/>
      <c r="X826" s="66"/>
      <c r="Y826" s="66"/>
      <c r="Z826" s="66"/>
      <c r="AA826" s="66"/>
      <c r="AB826" s="66"/>
      <c r="AC826" s="66"/>
    </row>
    <row r="827">
      <c r="A827" s="327"/>
      <c r="B827" s="66"/>
      <c r="C827" s="66"/>
      <c r="D827" s="327"/>
      <c r="E827" s="66"/>
      <c r="F827" s="66"/>
      <c r="G827" s="327"/>
      <c r="H827" s="66"/>
      <c r="I827" s="66"/>
      <c r="J827" s="327"/>
      <c r="K827" s="66"/>
      <c r="L827" s="66"/>
      <c r="M827" s="66"/>
      <c r="N827" s="66"/>
      <c r="O827" s="66"/>
      <c r="P827" s="66"/>
      <c r="Q827" s="66"/>
      <c r="R827" s="66"/>
      <c r="S827" s="66"/>
      <c r="T827" s="66"/>
      <c r="U827" s="66"/>
      <c r="V827" s="66"/>
      <c r="W827" s="66"/>
      <c r="X827" s="66"/>
      <c r="Y827" s="66"/>
      <c r="Z827" s="66"/>
      <c r="AA827" s="66"/>
      <c r="AB827" s="66"/>
      <c r="AC827" s="66"/>
    </row>
    <row r="828">
      <c r="A828" s="327"/>
      <c r="B828" s="66"/>
      <c r="C828" s="66"/>
      <c r="D828" s="327"/>
      <c r="E828" s="66"/>
      <c r="F828" s="66"/>
      <c r="G828" s="327"/>
      <c r="H828" s="66"/>
      <c r="I828" s="66"/>
      <c r="J828" s="327"/>
      <c r="K828" s="66"/>
      <c r="L828" s="66"/>
      <c r="M828" s="66"/>
      <c r="N828" s="66"/>
      <c r="O828" s="66"/>
      <c r="P828" s="66"/>
      <c r="Q828" s="66"/>
      <c r="R828" s="66"/>
      <c r="S828" s="66"/>
      <c r="T828" s="66"/>
      <c r="U828" s="66"/>
      <c r="V828" s="66"/>
      <c r="W828" s="66"/>
      <c r="X828" s="66"/>
      <c r="Y828" s="66"/>
      <c r="Z828" s="66"/>
      <c r="AA828" s="66"/>
      <c r="AB828" s="66"/>
      <c r="AC828" s="66"/>
    </row>
    <row r="829">
      <c r="A829" s="327"/>
      <c r="B829" s="66"/>
      <c r="C829" s="66"/>
      <c r="D829" s="327"/>
      <c r="E829" s="66"/>
      <c r="F829" s="66"/>
      <c r="G829" s="327"/>
      <c r="H829" s="66"/>
      <c r="I829" s="66"/>
      <c r="J829" s="327"/>
      <c r="K829" s="66"/>
      <c r="L829" s="66"/>
      <c r="M829" s="66"/>
      <c r="N829" s="66"/>
      <c r="O829" s="66"/>
      <c r="P829" s="66"/>
      <c r="Q829" s="66"/>
      <c r="R829" s="66"/>
      <c r="S829" s="66"/>
      <c r="T829" s="66"/>
      <c r="U829" s="66"/>
      <c r="V829" s="66"/>
      <c r="W829" s="66"/>
      <c r="X829" s="66"/>
      <c r="Y829" s="66"/>
      <c r="Z829" s="66"/>
      <c r="AA829" s="66"/>
      <c r="AB829" s="66"/>
      <c r="AC829" s="66"/>
    </row>
    <row r="830">
      <c r="A830" s="327"/>
      <c r="B830" s="66"/>
      <c r="C830" s="66"/>
      <c r="D830" s="327"/>
      <c r="E830" s="66"/>
      <c r="F830" s="66"/>
      <c r="G830" s="327"/>
      <c r="H830" s="66"/>
      <c r="I830" s="66"/>
      <c r="J830" s="327"/>
      <c r="K830" s="66"/>
      <c r="L830" s="66"/>
      <c r="M830" s="66"/>
      <c r="N830" s="66"/>
      <c r="O830" s="66"/>
      <c r="P830" s="66"/>
      <c r="Q830" s="66"/>
      <c r="R830" s="66"/>
      <c r="S830" s="66"/>
      <c r="T830" s="66"/>
      <c r="U830" s="66"/>
      <c r="V830" s="66"/>
      <c r="W830" s="66"/>
      <c r="X830" s="66"/>
      <c r="Y830" s="66"/>
      <c r="Z830" s="66"/>
      <c r="AA830" s="66"/>
      <c r="AB830" s="66"/>
      <c r="AC830" s="66"/>
    </row>
    <row r="831">
      <c r="A831" s="327"/>
      <c r="B831" s="66"/>
      <c r="C831" s="66"/>
      <c r="D831" s="327"/>
      <c r="E831" s="66"/>
      <c r="F831" s="66"/>
      <c r="G831" s="327"/>
      <c r="H831" s="66"/>
      <c r="I831" s="66"/>
      <c r="J831" s="327"/>
      <c r="K831" s="66"/>
      <c r="L831" s="66"/>
      <c r="M831" s="66"/>
      <c r="N831" s="66"/>
      <c r="O831" s="66"/>
      <c r="P831" s="66"/>
      <c r="Q831" s="66"/>
      <c r="R831" s="66"/>
      <c r="S831" s="66"/>
      <c r="T831" s="66"/>
      <c r="U831" s="66"/>
      <c r="V831" s="66"/>
      <c r="W831" s="66"/>
      <c r="X831" s="66"/>
      <c r="Y831" s="66"/>
      <c r="Z831" s="66"/>
      <c r="AA831" s="66"/>
      <c r="AB831" s="66"/>
      <c r="AC831" s="66"/>
    </row>
    <row r="832">
      <c r="A832" s="327"/>
      <c r="B832" s="66"/>
      <c r="C832" s="66"/>
      <c r="D832" s="327"/>
      <c r="E832" s="66"/>
      <c r="F832" s="66"/>
      <c r="G832" s="327"/>
      <c r="H832" s="66"/>
      <c r="I832" s="66"/>
      <c r="J832" s="327"/>
      <c r="K832" s="66"/>
      <c r="L832" s="66"/>
      <c r="M832" s="66"/>
      <c r="N832" s="66"/>
      <c r="O832" s="66"/>
      <c r="P832" s="66"/>
      <c r="Q832" s="66"/>
      <c r="R832" s="66"/>
      <c r="S832" s="66"/>
      <c r="T832" s="66"/>
      <c r="U832" s="66"/>
      <c r="V832" s="66"/>
      <c r="W832" s="66"/>
      <c r="X832" s="66"/>
      <c r="Y832" s="66"/>
      <c r="Z832" s="66"/>
      <c r="AA832" s="66"/>
      <c r="AB832" s="66"/>
      <c r="AC832" s="66"/>
    </row>
    <row r="833">
      <c r="A833" s="327"/>
      <c r="B833" s="66"/>
      <c r="C833" s="66"/>
      <c r="D833" s="327"/>
      <c r="E833" s="66"/>
      <c r="F833" s="66"/>
      <c r="G833" s="327"/>
      <c r="H833" s="66"/>
      <c r="I833" s="66"/>
      <c r="J833" s="327"/>
      <c r="K833" s="66"/>
      <c r="L833" s="66"/>
      <c r="M833" s="66"/>
      <c r="N833" s="66"/>
      <c r="O833" s="66"/>
      <c r="P833" s="66"/>
      <c r="Q833" s="66"/>
      <c r="R833" s="66"/>
      <c r="S833" s="66"/>
      <c r="T833" s="66"/>
      <c r="U833" s="66"/>
      <c r="V833" s="66"/>
      <c r="W833" s="66"/>
      <c r="X833" s="66"/>
      <c r="Y833" s="66"/>
      <c r="Z833" s="66"/>
      <c r="AA833" s="66"/>
      <c r="AB833" s="66"/>
      <c r="AC833" s="66"/>
    </row>
    <row r="834">
      <c r="A834" s="327"/>
      <c r="B834" s="66"/>
      <c r="C834" s="66"/>
      <c r="D834" s="327"/>
      <c r="E834" s="66"/>
      <c r="F834" s="66"/>
      <c r="G834" s="327"/>
      <c r="H834" s="66"/>
      <c r="I834" s="66"/>
      <c r="J834" s="327"/>
      <c r="K834" s="66"/>
      <c r="L834" s="66"/>
      <c r="M834" s="66"/>
      <c r="N834" s="66"/>
      <c r="O834" s="66"/>
      <c r="P834" s="66"/>
      <c r="Q834" s="66"/>
      <c r="R834" s="66"/>
      <c r="S834" s="66"/>
      <c r="T834" s="66"/>
      <c r="U834" s="66"/>
      <c r="V834" s="66"/>
      <c r="W834" s="66"/>
      <c r="X834" s="66"/>
      <c r="Y834" s="66"/>
      <c r="Z834" s="66"/>
      <c r="AA834" s="66"/>
      <c r="AB834" s="66"/>
      <c r="AC834" s="66"/>
    </row>
    <row r="835">
      <c r="A835" s="327"/>
      <c r="B835" s="66"/>
      <c r="C835" s="66"/>
      <c r="D835" s="327"/>
      <c r="E835" s="66"/>
      <c r="F835" s="66"/>
      <c r="G835" s="327"/>
      <c r="H835" s="66"/>
      <c r="I835" s="66"/>
      <c r="J835" s="327"/>
      <c r="K835" s="66"/>
      <c r="L835" s="66"/>
      <c r="M835" s="66"/>
      <c r="N835" s="66"/>
      <c r="O835" s="66"/>
      <c r="P835" s="66"/>
      <c r="Q835" s="66"/>
      <c r="R835" s="66"/>
      <c r="S835" s="66"/>
      <c r="T835" s="66"/>
      <c r="U835" s="66"/>
      <c r="V835" s="66"/>
      <c r="W835" s="66"/>
      <c r="X835" s="66"/>
      <c r="Y835" s="66"/>
      <c r="Z835" s="66"/>
      <c r="AA835" s="66"/>
      <c r="AB835" s="66"/>
      <c r="AC835" s="66"/>
    </row>
    <row r="836">
      <c r="A836" s="327"/>
      <c r="B836" s="66"/>
      <c r="C836" s="66"/>
      <c r="D836" s="327"/>
      <c r="E836" s="66"/>
      <c r="F836" s="66"/>
      <c r="G836" s="327"/>
      <c r="H836" s="66"/>
      <c r="I836" s="66"/>
      <c r="J836" s="327"/>
      <c r="K836" s="66"/>
      <c r="L836" s="66"/>
      <c r="M836" s="66"/>
      <c r="N836" s="66"/>
      <c r="O836" s="66"/>
      <c r="P836" s="66"/>
      <c r="Q836" s="66"/>
      <c r="R836" s="66"/>
      <c r="S836" s="66"/>
      <c r="T836" s="66"/>
      <c r="U836" s="66"/>
      <c r="V836" s="66"/>
      <c r="W836" s="66"/>
      <c r="X836" s="66"/>
      <c r="Y836" s="66"/>
      <c r="Z836" s="66"/>
      <c r="AA836" s="66"/>
      <c r="AB836" s="66"/>
      <c r="AC836" s="66"/>
    </row>
    <row r="837">
      <c r="A837" s="327"/>
      <c r="B837" s="66"/>
      <c r="C837" s="66"/>
      <c r="D837" s="327"/>
      <c r="E837" s="66"/>
      <c r="F837" s="66"/>
      <c r="G837" s="327"/>
      <c r="H837" s="66"/>
      <c r="I837" s="66"/>
      <c r="J837" s="327"/>
      <c r="K837" s="66"/>
      <c r="L837" s="66"/>
      <c r="M837" s="66"/>
      <c r="N837" s="66"/>
      <c r="O837" s="66"/>
      <c r="P837" s="66"/>
      <c r="Q837" s="66"/>
      <c r="R837" s="66"/>
      <c r="S837" s="66"/>
      <c r="T837" s="66"/>
      <c r="U837" s="66"/>
      <c r="V837" s="66"/>
      <c r="W837" s="66"/>
      <c r="X837" s="66"/>
      <c r="Y837" s="66"/>
      <c r="Z837" s="66"/>
      <c r="AA837" s="66"/>
      <c r="AB837" s="66"/>
      <c r="AC837" s="66"/>
    </row>
    <row r="838">
      <c r="A838" s="327"/>
      <c r="B838" s="66"/>
      <c r="C838" s="66"/>
      <c r="D838" s="327"/>
      <c r="E838" s="66"/>
      <c r="F838" s="66"/>
      <c r="G838" s="327"/>
      <c r="H838" s="66"/>
      <c r="I838" s="66"/>
      <c r="J838" s="327"/>
      <c r="K838" s="66"/>
      <c r="L838" s="66"/>
      <c r="M838" s="66"/>
      <c r="N838" s="66"/>
      <c r="O838" s="66"/>
      <c r="P838" s="66"/>
      <c r="Q838" s="66"/>
      <c r="R838" s="66"/>
      <c r="S838" s="66"/>
      <c r="T838" s="66"/>
      <c r="U838" s="66"/>
      <c r="V838" s="66"/>
      <c r="W838" s="66"/>
      <c r="X838" s="66"/>
      <c r="Y838" s="66"/>
      <c r="Z838" s="66"/>
      <c r="AA838" s="66"/>
      <c r="AB838" s="66"/>
      <c r="AC838" s="66"/>
    </row>
    <row r="839">
      <c r="A839" s="327"/>
      <c r="B839" s="66"/>
      <c r="C839" s="66"/>
      <c r="D839" s="327"/>
      <c r="E839" s="66"/>
      <c r="F839" s="66"/>
      <c r="G839" s="327"/>
      <c r="H839" s="66"/>
      <c r="I839" s="66"/>
      <c r="J839" s="327"/>
      <c r="K839" s="66"/>
      <c r="L839" s="66"/>
      <c r="M839" s="66"/>
      <c r="N839" s="66"/>
      <c r="O839" s="66"/>
      <c r="P839" s="66"/>
      <c r="Q839" s="66"/>
      <c r="R839" s="66"/>
      <c r="S839" s="66"/>
      <c r="T839" s="66"/>
      <c r="U839" s="66"/>
      <c r="V839" s="66"/>
      <c r="W839" s="66"/>
      <c r="X839" s="66"/>
      <c r="Y839" s="66"/>
      <c r="Z839" s="66"/>
      <c r="AA839" s="66"/>
      <c r="AB839" s="66"/>
      <c r="AC839" s="66"/>
    </row>
    <row r="840">
      <c r="A840" s="327"/>
      <c r="B840" s="66"/>
      <c r="C840" s="66"/>
      <c r="D840" s="327"/>
      <c r="E840" s="66"/>
      <c r="F840" s="66"/>
      <c r="G840" s="327"/>
      <c r="H840" s="66"/>
      <c r="I840" s="66"/>
      <c r="J840" s="327"/>
      <c r="K840" s="66"/>
      <c r="L840" s="66"/>
      <c r="M840" s="66"/>
      <c r="N840" s="66"/>
      <c r="O840" s="66"/>
      <c r="P840" s="66"/>
      <c r="Q840" s="66"/>
      <c r="R840" s="66"/>
      <c r="S840" s="66"/>
      <c r="T840" s="66"/>
      <c r="U840" s="66"/>
      <c r="V840" s="66"/>
      <c r="W840" s="66"/>
      <c r="X840" s="66"/>
      <c r="Y840" s="66"/>
      <c r="Z840" s="66"/>
      <c r="AA840" s="66"/>
      <c r="AB840" s="66"/>
      <c r="AC840" s="66"/>
    </row>
    <row r="841">
      <c r="A841" s="327"/>
      <c r="B841" s="66"/>
      <c r="C841" s="66"/>
      <c r="D841" s="327"/>
      <c r="E841" s="66"/>
      <c r="F841" s="66"/>
      <c r="G841" s="327"/>
      <c r="H841" s="66"/>
      <c r="I841" s="66"/>
      <c r="J841" s="327"/>
      <c r="K841" s="66"/>
      <c r="L841" s="66"/>
      <c r="M841" s="66"/>
      <c r="N841" s="66"/>
      <c r="O841" s="66"/>
      <c r="P841" s="66"/>
      <c r="Q841" s="66"/>
      <c r="R841" s="66"/>
      <c r="S841" s="66"/>
      <c r="T841" s="66"/>
      <c r="U841" s="66"/>
      <c r="V841" s="66"/>
      <c r="W841" s="66"/>
      <c r="X841" s="66"/>
      <c r="Y841" s="66"/>
      <c r="Z841" s="66"/>
      <c r="AA841" s="66"/>
      <c r="AB841" s="66"/>
      <c r="AC841" s="66"/>
    </row>
    <row r="842">
      <c r="A842" s="327"/>
      <c r="B842" s="66"/>
      <c r="C842" s="66"/>
      <c r="D842" s="327"/>
      <c r="E842" s="66"/>
      <c r="F842" s="66"/>
      <c r="G842" s="327"/>
      <c r="H842" s="66"/>
      <c r="I842" s="66"/>
      <c r="J842" s="327"/>
      <c r="K842" s="66"/>
      <c r="L842" s="66"/>
      <c r="M842" s="66"/>
      <c r="N842" s="66"/>
      <c r="O842" s="66"/>
      <c r="P842" s="66"/>
      <c r="Q842" s="66"/>
      <c r="R842" s="66"/>
      <c r="S842" s="66"/>
      <c r="T842" s="66"/>
      <c r="U842" s="66"/>
      <c r="V842" s="66"/>
      <c r="W842" s="66"/>
      <c r="X842" s="66"/>
      <c r="Y842" s="66"/>
      <c r="Z842" s="66"/>
      <c r="AA842" s="66"/>
      <c r="AB842" s="66"/>
      <c r="AC842" s="66"/>
    </row>
    <row r="843">
      <c r="A843" s="327"/>
      <c r="B843" s="66"/>
      <c r="C843" s="66"/>
      <c r="D843" s="327"/>
      <c r="E843" s="66"/>
      <c r="F843" s="66"/>
      <c r="G843" s="327"/>
      <c r="H843" s="66"/>
      <c r="I843" s="66"/>
      <c r="J843" s="327"/>
      <c r="K843" s="66"/>
      <c r="L843" s="66"/>
      <c r="M843" s="66"/>
      <c r="N843" s="66"/>
      <c r="O843" s="66"/>
      <c r="P843" s="66"/>
      <c r="Q843" s="66"/>
      <c r="R843" s="66"/>
      <c r="S843" s="66"/>
      <c r="T843" s="66"/>
      <c r="U843" s="66"/>
      <c r="V843" s="66"/>
      <c r="W843" s="66"/>
      <c r="X843" s="66"/>
      <c r="Y843" s="66"/>
      <c r="Z843" s="66"/>
      <c r="AA843" s="66"/>
      <c r="AB843" s="66"/>
      <c r="AC843" s="66"/>
    </row>
    <row r="844">
      <c r="A844" s="327"/>
      <c r="B844" s="66"/>
      <c r="C844" s="66"/>
      <c r="D844" s="327"/>
      <c r="E844" s="66"/>
      <c r="F844" s="66"/>
      <c r="G844" s="327"/>
      <c r="H844" s="66"/>
      <c r="I844" s="66"/>
      <c r="J844" s="327"/>
      <c r="K844" s="66"/>
      <c r="L844" s="66"/>
      <c r="M844" s="66"/>
      <c r="N844" s="66"/>
      <c r="O844" s="66"/>
      <c r="P844" s="66"/>
      <c r="Q844" s="66"/>
      <c r="R844" s="66"/>
      <c r="S844" s="66"/>
      <c r="T844" s="66"/>
      <c r="U844" s="66"/>
      <c r="V844" s="66"/>
      <c r="W844" s="66"/>
      <c r="X844" s="66"/>
      <c r="Y844" s="66"/>
      <c r="Z844" s="66"/>
      <c r="AA844" s="66"/>
      <c r="AB844" s="66"/>
      <c r="AC844" s="66"/>
    </row>
    <row r="845">
      <c r="A845" s="327"/>
      <c r="B845" s="66"/>
      <c r="C845" s="66"/>
      <c r="D845" s="327"/>
      <c r="E845" s="66"/>
      <c r="F845" s="66"/>
      <c r="G845" s="327"/>
      <c r="H845" s="66"/>
      <c r="I845" s="66"/>
      <c r="J845" s="327"/>
      <c r="K845" s="66"/>
      <c r="L845" s="66"/>
      <c r="M845" s="66"/>
      <c r="N845" s="66"/>
      <c r="O845" s="66"/>
      <c r="P845" s="66"/>
      <c r="Q845" s="66"/>
      <c r="R845" s="66"/>
      <c r="S845" s="66"/>
      <c r="T845" s="66"/>
      <c r="U845" s="66"/>
      <c r="V845" s="66"/>
      <c r="W845" s="66"/>
      <c r="X845" s="66"/>
      <c r="Y845" s="66"/>
      <c r="Z845" s="66"/>
      <c r="AA845" s="66"/>
      <c r="AB845" s="66"/>
      <c r="AC845" s="66"/>
    </row>
    <row r="846">
      <c r="A846" s="327"/>
      <c r="B846" s="66"/>
      <c r="C846" s="66"/>
      <c r="D846" s="327"/>
      <c r="E846" s="66"/>
      <c r="F846" s="66"/>
      <c r="G846" s="327"/>
      <c r="H846" s="66"/>
      <c r="I846" s="66"/>
      <c r="J846" s="327"/>
      <c r="K846" s="66"/>
      <c r="L846" s="66"/>
      <c r="M846" s="66"/>
      <c r="N846" s="66"/>
      <c r="O846" s="66"/>
      <c r="P846" s="66"/>
      <c r="Q846" s="66"/>
      <c r="R846" s="66"/>
      <c r="S846" s="66"/>
      <c r="T846" s="66"/>
      <c r="U846" s="66"/>
      <c r="V846" s="66"/>
      <c r="W846" s="66"/>
      <c r="X846" s="66"/>
      <c r="Y846" s="66"/>
      <c r="Z846" s="66"/>
      <c r="AA846" s="66"/>
      <c r="AB846" s="66"/>
      <c r="AC846" s="66"/>
    </row>
    <row r="847">
      <c r="A847" s="327"/>
      <c r="B847" s="66"/>
      <c r="C847" s="66"/>
      <c r="D847" s="327"/>
      <c r="E847" s="66"/>
      <c r="F847" s="66"/>
      <c r="G847" s="327"/>
      <c r="H847" s="66"/>
      <c r="I847" s="66"/>
      <c r="J847" s="327"/>
      <c r="K847" s="66"/>
      <c r="L847" s="66"/>
      <c r="M847" s="66"/>
      <c r="N847" s="66"/>
      <c r="O847" s="66"/>
      <c r="P847" s="66"/>
      <c r="Q847" s="66"/>
      <c r="R847" s="66"/>
      <c r="S847" s="66"/>
      <c r="T847" s="66"/>
      <c r="U847" s="66"/>
      <c r="V847" s="66"/>
      <c r="W847" s="66"/>
      <c r="X847" s="66"/>
      <c r="Y847" s="66"/>
      <c r="Z847" s="66"/>
      <c r="AA847" s="66"/>
      <c r="AB847" s="66"/>
      <c r="AC847" s="66"/>
    </row>
    <row r="848">
      <c r="A848" s="327"/>
      <c r="B848" s="66"/>
      <c r="C848" s="66"/>
      <c r="D848" s="327"/>
      <c r="E848" s="66"/>
      <c r="F848" s="66"/>
      <c r="G848" s="327"/>
      <c r="H848" s="66"/>
      <c r="I848" s="66"/>
      <c r="J848" s="327"/>
      <c r="K848" s="66"/>
      <c r="L848" s="66"/>
      <c r="M848" s="66"/>
      <c r="N848" s="66"/>
      <c r="O848" s="66"/>
      <c r="P848" s="66"/>
      <c r="Q848" s="66"/>
      <c r="R848" s="66"/>
      <c r="S848" s="66"/>
      <c r="T848" s="66"/>
      <c r="U848" s="66"/>
      <c r="V848" s="66"/>
      <c r="W848" s="66"/>
      <c r="X848" s="66"/>
      <c r="Y848" s="66"/>
      <c r="Z848" s="66"/>
      <c r="AA848" s="66"/>
      <c r="AB848" s="66"/>
      <c r="AC848" s="66"/>
    </row>
    <row r="849">
      <c r="A849" s="327"/>
      <c r="B849" s="66"/>
      <c r="C849" s="66"/>
      <c r="D849" s="327"/>
      <c r="E849" s="66"/>
      <c r="F849" s="66"/>
      <c r="G849" s="327"/>
      <c r="H849" s="66"/>
      <c r="I849" s="66"/>
      <c r="J849" s="327"/>
      <c r="K849" s="66"/>
      <c r="L849" s="66"/>
      <c r="M849" s="66"/>
      <c r="N849" s="66"/>
      <c r="O849" s="66"/>
      <c r="P849" s="66"/>
      <c r="Q849" s="66"/>
      <c r="R849" s="66"/>
      <c r="S849" s="66"/>
      <c r="T849" s="66"/>
      <c r="U849" s="66"/>
      <c r="V849" s="66"/>
      <c r="W849" s="66"/>
      <c r="X849" s="66"/>
      <c r="Y849" s="66"/>
      <c r="Z849" s="66"/>
      <c r="AA849" s="66"/>
      <c r="AB849" s="66"/>
      <c r="AC849" s="66"/>
    </row>
    <row r="850">
      <c r="A850" s="327"/>
      <c r="B850" s="66"/>
      <c r="C850" s="66"/>
      <c r="D850" s="327"/>
      <c r="E850" s="66"/>
      <c r="F850" s="66"/>
      <c r="G850" s="327"/>
      <c r="H850" s="66"/>
      <c r="I850" s="66"/>
      <c r="J850" s="327"/>
      <c r="K850" s="66"/>
      <c r="L850" s="66"/>
      <c r="M850" s="66"/>
      <c r="N850" s="66"/>
      <c r="O850" s="66"/>
      <c r="P850" s="66"/>
      <c r="Q850" s="66"/>
      <c r="R850" s="66"/>
      <c r="S850" s="66"/>
      <c r="T850" s="66"/>
      <c r="U850" s="66"/>
      <c r="V850" s="66"/>
      <c r="W850" s="66"/>
      <c r="X850" s="66"/>
      <c r="Y850" s="66"/>
      <c r="Z850" s="66"/>
      <c r="AA850" s="66"/>
      <c r="AB850" s="66"/>
      <c r="AC850" s="66"/>
    </row>
    <row r="851">
      <c r="A851" s="327"/>
      <c r="B851" s="66"/>
      <c r="C851" s="66"/>
      <c r="D851" s="327"/>
      <c r="E851" s="66"/>
      <c r="F851" s="66"/>
      <c r="G851" s="327"/>
      <c r="H851" s="66"/>
      <c r="I851" s="66"/>
      <c r="J851" s="327"/>
      <c r="K851" s="66"/>
      <c r="L851" s="66"/>
      <c r="M851" s="66"/>
      <c r="N851" s="66"/>
      <c r="O851" s="66"/>
      <c r="P851" s="66"/>
      <c r="Q851" s="66"/>
      <c r="R851" s="66"/>
      <c r="S851" s="66"/>
      <c r="T851" s="66"/>
      <c r="U851" s="66"/>
      <c r="V851" s="66"/>
      <c r="W851" s="66"/>
      <c r="X851" s="66"/>
      <c r="Y851" s="66"/>
      <c r="Z851" s="66"/>
      <c r="AA851" s="66"/>
      <c r="AB851" s="66"/>
      <c r="AC851" s="66"/>
    </row>
    <row r="852">
      <c r="A852" s="327"/>
      <c r="B852" s="66"/>
      <c r="C852" s="66"/>
      <c r="D852" s="327"/>
      <c r="E852" s="66"/>
      <c r="F852" s="66"/>
      <c r="G852" s="327"/>
      <c r="H852" s="66"/>
      <c r="I852" s="66"/>
      <c r="J852" s="327"/>
      <c r="K852" s="66"/>
      <c r="L852" s="66"/>
      <c r="M852" s="66"/>
      <c r="N852" s="66"/>
      <c r="O852" s="66"/>
      <c r="P852" s="66"/>
      <c r="Q852" s="66"/>
      <c r="R852" s="66"/>
      <c r="S852" s="66"/>
      <c r="T852" s="66"/>
      <c r="U852" s="66"/>
      <c r="V852" s="66"/>
      <c r="W852" s="66"/>
      <c r="X852" s="66"/>
      <c r="Y852" s="66"/>
      <c r="Z852" s="66"/>
      <c r="AA852" s="66"/>
      <c r="AB852" s="66"/>
      <c r="AC852" s="66"/>
    </row>
    <row r="853">
      <c r="A853" s="327"/>
      <c r="B853" s="66"/>
      <c r="C853" s="66"/>
      <c r="D853" s="327"/>
      <c r="E853" s="66"/>
      <c r="F853" s="66"/>
      <c r="G853" s="327"/>
      <c r="H853" s="66"/>
      <c r="I853" s="66"/>
      <c r="J853" s="327"/>
      <c r="K853" s="66"/>
      <c r="L853" s="66"/>
      <c r="M853" s="66"/>
      <c r="N853" s="66"/>
      <c r="O853" s="66"/>
      <c r="P853" s="66"/>
      <c r="Q853" s="66"/>
      <c r="R853" s="66"/>
      <c r="S853" s="66"/>
      <c r="T853" s="66"/>
      <c r="U853" s="66"/>
      <c r="V853" s="66"/>
      <c r="W853" s="66"/>
      <c r="X853" s="66"/>
      <c r="Y853" s="66"/>
      <c r="Z853" s="66"/>
      <c r="AA853" s="66"/>
      <c r="AB853" s="66"/>
      <c r="AC853" s="66"/>
    </row>
    <row r="854">
      <c r="A854" s="327"/>
      <c r="B854" s="66"/>
      <c r="C854" s="66"/>
      <c r="D854" s="327"/>
      <c r="E854" s="66"/>
      <c r="F854" s="66"/>
      <c r="G854" s="327"/>
      <c r="H854" s="66"/>
      <c r="I854" s="66"/>
      <c r="J854" s="327"/>
      <c r="K854" s="66"/>
      <c r="L854" s="66"/>
      <c r="M854" s="66"/>
      <c r="N854" s="66"/>
      <c r="O854" s="66"/>
      <c r="P854" s="66"/>
      <c r="Q854" s="66"/>
      <c r="R854" s="66"/>
      <c r="S854" s="66"/>
      <c r="T854" s="66"/>
      <c r="U854" s="66"/>
      <c r="V854" s="66"/>
      <c r="W854" s="66"/>
      <c r="X854" s="66"/>
      <c r="Y854" s="66"/>
      <c r="Z854" s="66"/>
      <c r="AA854" s="66"/>
      <c r="AB854" s="66"/>
      <c r="AC854" s="66"/>
    </row>
    <row r="855">
      <c r="A855" s="327"/>
      <c r="B855" s="66"/>
      <c r="C855" s="66"/>
      <c r="D855" s="327"/>
      <c r="E855" s="66"/>
      <c r="F855" s="66"/>
      <c r="G855" s="327"/>
      <c r="H855" s="66"/>
      <c r="I855" s="66"/>
      <c r="J855" s="327"/>
      <c r="K855" s="66"/>
      <c r="L855" s="66"/>
      <c r="M855" s="66"/>
      <c r="N855" s="66"/>
      <c r="O855" s="66"/>
      <c r="P855" s="66"/>
      <c r="Q855" s="66"/>
      <c r="R855" s="66"/>
      <c r="S855" s="66"/>
      <c r="T855" s="66"/>
      <c r="U855" s="66"/>
      <c r="V855" s="66"/>
      <c r="W855" s="66"/>
      <c r="X855" s="66"/>
      <c r="Y855" s="66"/>
      <c r="Z855" s="66"/>
      <c r="AA855" s="66"/>
      <c r="AB855" s="66"/>
      <c r="AC855" s="66"/>
    </row>
    <row r="856">
      <c r="A856" s="327"/>
      <c r="B856" s="66"/>
      <c r="C856" s="66"/>
      <c r="D856" s="327"/>
      <c r="E856" s="66"/>
      <c r="F856" s="66"/>
      <c r="G856" s="327"/>
      <c r="H856" s="66"/>
      <c r="I856" s="66"/>
      <c r="J856" s="327"/>
      <c r="K856" s="66"/>
      <c r="L856" s="66"/>
      <c r="M856" s="66"/>
      <c r="N856" s="66"/>
      <c r="O856" s="66"/>
      <c r="P856" s="66"/>
      <c r="Q856" s="66"/>
      <c r="R856" s="66"/>
      <c r="S856" s="66"/>
      <c r="T856" s="66"/>
      <c r="U856" s="66"/>
      <c r="V856" s="66"/>
      <c r="W856" s="66"/>
      <c r="X856" s="66"/>
      <c r="Y856" s="66"/>
      <c r="Z856" s="66"/>
      <c r="AA856" s="66"/>
      <c r="AB856" s="66"/>
      <c r="AC856" s="66"/>
    </row>
    <row r="857">
      <c r="A857" s="327"/>
      <c r="B857" s="66"/>
      <c r="C857" s="66"/>
      <c r="D857" s="327"/>
      <c r="E857" s="66"/>
      <c r="F857" s="66"/>
      <c r="G857" s="327"/>
      <c r="H857" s="66"/>
      <c r="I857" s="66"/>
      <c r="J857" s="327"/>
      <c r="K857" s="66"/>
      <c r="L857" s="66"/>
      <c r="M857" s="66"/>
      <c r="N857" s="66"/>
      <c r="O857" s="66"/>
      <c r="P857" s="66"/>
      <c r="Q857" s="66"/>
      <c r="R857" s="66"/>
      <c r="S857" s="66"/>
      <c r="T857" s="66"/>
      <c r="U857" s="66"/>
      <c r="V857" s="66"/>
      <c r="W857" s="66"/>
      <c r="X857" s="66"/>
      <c r="Y857" s="66"/>
      <c r="Z857" s="66"/>
      <c r="AA857" s="66"/>
      <c r="AB857" s="66"/>
      <c r="AC857" s="66"/>
    </row>
    <row r="858">
      <c r="A858" s="327"/>
      <c r="B858" s="66"/>
      <c r="C858" s="66"/>
      <c r="D858" s="327"/>
      <c r="E858" s="66"/>
      <c r="F858" s="66"/>
      <c r="G858" s="327"/>
      <c r="H858" s="66"/>
      <c r="I858" s="66"/>
      <c r="J858" s="327"/>
      <c r="K858" s="66"/>
      <c r="L858" s="66"/>
      <c r="M858" s="66"/>
      <c r="N858" s="66"/>
      <c r="O858" s="66"/>
      <c r="P858" s="66"/>
      <c r="Q858" s="66"/>
      <c r="R858" s="66"/>
      <c r="S858" s="66"/>
      <c r="T858" s="66"/>
      <c r="U858" s="66"/>
      <c r="V858" s="66"/>
      <c r="W858" s="66"/>
      <c r="X858" s="66"/>
      <c r="Y858" s="66"/>
      <c r="Z858" s="66"/>
      <c r="AA858" s="66"/>
      <c r="AB858" s="66"/>
      <c r="AC858" s="66"/>
    </row>
    <row r="859">
      <c r="A859" s="327"/>
      <c r="B859" s="66"/>
      <c r="C859" s="66"/>
      <c r="D859" s="327"/>
      <c r="E859" s="66"/>
      <c r="F859" s="66"/>
      <c r="G859" s="327"/>
      <c r="H859" s="66"/>
      <c r="I859" s="66"/>
      <c r="J859" s="327"/>
      <c r="K859" s="66"/>
      <c r="L859" s="66"/>
      <c r="M859" s="66"/>
      <c r="N859" s="66"/>
      <c r="O859" s="66"/>
      <c r="P859" s="66"/>
      <c r="Q859" s="66"/>
      <c r="R859" s="66"/>
      <c r="S859" s="66"/>
      <c r="T859" s="66"/>
      <c r="U859" s="66"/>
      <c r="V859" s="66"/>
      <c r="W859" s="66"/>
      <c r="X859" s="66"/>
      <c r="Y859" s="66"/>
      <c r="Z859" s="66"/>
      <c r="AA859" s="66"/>
      <c r="AB859" s="66"/>
      <c r="AC859" s="66"/>
    </row>
    <row r="860">
      <c r="A860" s="327"/>
      <c r="B860" s="66"/>
      <c r="C860" s="66"/>
      <c r="D860" s="327"/>
      <c r="E860" s="66"/>
      <c r="F860" s="66"/>
      <c r="G860" s="327"/>
      <c r="H860" s="66"/>
      <c r="I860" s="66"/>
      <c r="J860" s="327"/>
      <c r="K860" s="66"/>
      <c r="L860" s="66"/>
      <c r="M860" s="66"/>
      <c r="N860" s="66"/>
      <c r="O860" s="66"/>
      <c r="P860" s="66"/>
      <c r="Q860" s="66"/>
      <c r="R860" s="66"/>
      <c r="S860" s="66"/>
      <c r="T860" s="66"/>
      <c r="U860" s="66"/>
      <c r="V860" s="66"/>
      <c r="W860" s="66"/>
      <c r="X860" s="66"/>
      <c r="Y860" s="66"/>
      <c r="Z860" s="66"/>
      <c r="AA860" s="66"/>
      <c r="AB860" s="66"/>
      <c r="AC860" s="66"/>
    </row>
    <row r="861">
      <c r="A861" s="327"/>
      <c r="B861" s="66"/>
      <c r="C861" s="66"/>
      <c r="D861" s="327"/>
      <c r="E861" s="66"/>
      <c r="F861" s="66"/>
      <c r="G861" s="327"/>
      <c r="H861" s="66"/>
      <c r="I861" s="66"/>
      <c r="J861" s="327"/>
      <c r="K861" s="66"/>
      <c r="L861" s="66"/>
      <c r="M861" s="66"/>
      <c r="N861" s="66"/>
      <c r="O861" s="66"/>
      <c r="P861" s="66"/>
      <c r="Q861" s="66"/>
      <c r="R861" s="66"/>
      <c r="S861" s="66"/>
      <c r="T861" s="66"/>
      <c r="U861" s="66"/>
      <c r="V861" s="66"/>
      <c r="W861" s="66"/>
      <c r="X861" s="66"/>
      <c r="Y861" s="66"/>
      <c r="Z861" s="66"/>
      <c r="AA861" s="66"/>
      <c r="AB861" s="66"/>
      <c r="AC861" s="66"/>
    </row>
    <row r="862">
      <c r="A862" s="327"/>
      <c r="B862" s="66"/>
      <c r="C862" s="66"/>
      <c r="D862" s="327"/>
      <c r="E862" s="66"/>
      <c r="F862" s="66"/>
      <c r="G862" s="327"/>
      <c r="H862" s="66"/>
      <c r="I862" s="66"/>
      <c r="J862" s="327"/>
      <c r="K862" s="66"/>
      <c r="L862" s="66"/>
      <c r="M862" s="66"/>
      <c r="N862" s="66"/>
      <c r="O862" s="66"/>
      <c r="P862" s="66"/>
      <c r="Q862" s="66"/>
      <c r="R862" s="66"/>
      <c r="S862" s="66"/>
      <c r="T862" s="66"/>
      <c r="U862" s="66"/>
      <c r="V862" s="66"/>
      <c r="W862" s="66"/>
      <c r="X862" s="66"/>
      <c r="Y862" s="66"/>
      <c r="Z862" s="66"/>
      <c r="AA862" s="66"/>
      <c r="AB862" s="66"/>
      <c r="AC862" s="66"/>
    </row>
    <row r="863">
      <c r="A863" s="327"/>
      <c r="B863" s="66"/>
      <c r="C863" s="66"/>
      <c r="D863" s="327"/>
      <c r="E863" s="66"/>
      <c r="F863" s="66"/>
      <c r="G863" s="327"/>
      <c r="H863" s="66"/>
      <c r="I863" s="66"/>
      <c r="J863" s="327"/>
      <c r="K863" s="66"/>
      <c r="L863" s="66"/>
      <c r="M863" s="66"/>
      <c r="N863" s="66"/>
      <c r="O863" s="66"/>
      <c r="P863" s="66"/>
      <c r="Q863" s="66"/>
      <c r="R863" s="66"/>
      <c r="S863" s="66"/>
      <c r="T863" s="66"/>
      <c r="U863" s="66"/>
      <c r="V863" s="66"/>
      <c r="W863" s="66"/>
      <c r="X863" s="66"/>
      <c r="Y863" s="66"/>
      <c r="Z863" s="66"/>
      <c r="AA863" s="66"/>
      <c r="AB863" s="66"/>
      <c r="AC863" s="66"/>
    </row>
    <row r="864">
      <c r="A864" s="327"/>
      <c r="B864" s="66"/>
      <c r="C864" s="66"/>
      <c r="D864" s="327"/>
      <c r="E864" s="66"/>
      <c r="F864" s="66"/>
      <c r="G864" s="327"/>
      <c r="H864" s="66"/>
      <c r="I864" s="66"/>
      <c r="J864" s="327"/>
      <c r="K864" s="66"/>
      <c r="L864" s="66"/>
      <c r="M864" s="66"/>
      <c r="N864" s="66"/>
      <c r="O864" s="66"/>
      <c r="P864" s="66"/>
      <c r="Q864" s="66"/>
      <c r="R864" s="66"/>
      <c r="S864" s="66"/>
      <c r="T864" s="66"/>
      <c r="U864" s="66"/>
      <c r="V864" s="66"/>
      <c r="W864" s="66"/>
      <c r="X864" s="66"/>
      <c r="Y864" s="66"/>
      <c r="Z864" s="66"/>
      <c r="AA864" s="66"/>
      <c r="AB864" s="66"/>
      <c r="AC864" s="66"/>
    </row>
    <row r="865">
      <c r="A865" s="327"/>
      <c r="B865" s="66"/>
      <c r="C865" s="66"/>
      <c r="D865" s="327"/>
      <c r="E865" s="66"/>
      <c r="F865" s="66"/>
      <c r="G865" s="327"/>
      <c r="H865" s="66"/>
      <c r="I865" s="66"/>
      <c r="J865" s="327"/>
      <c r="K865" s="66"/>
      <c r="L865" s="66"/>
      <c r="M865" s="66"/>
      <c r="N865" s="66"/>
      <c r="O865" s="66"/>
      <c r="P865" s="66"/>
      <c r="Q865" s="66"/>
      <c r="R865" s="66"/>
      <c r="S865" s="66"/>
      <c r="T865" s="66"/>
      <c r="U865" s="66"/>
      <c r="V865" s="66"/>
      <c r="W865" s="66"/>
      <c r="X865" s="66"/>
      <c r="Y865" s="66"/>
      <c r="Z865" s="66"/>
      <c r="AA865" s="66"/>
      <c r="AB865" s="66"/>
      <c r="AC865" s="66"/>
    </row>
    <row r="866">
      <c r="A866" s="327"/>
      <c r="B866" s="66"/>
      <c r="C866" s="66"/>
      <c r="D866" s="327"/>
      <c r="E866" s="66"/>
      <c r="F866" s="66"/>
      <c r="G866" s="327"/>
      <c r="H866" s="66"/>
      <c r="I866" s="66"/>
      <c r="J866" s="327"/>
      <c r="K866" s="66"/>
      <c r="L866" s="66"/>
      <c r="M866" s="66"/>
      <c r="N866" s="66"/>
      <c r="O866" s="66"/>
      <c r="P866" s="66"/>
      <c r="Q866" s="66"/>
      <c r="R866" s="66"/>
      <c r="S866" s="66"/>
      <c r="T866" s="66"/>
      <c r="U866" s="66"/>
      <c r="V866" s="66"/>
      <c r="W866" s="66"/>
      <c r="X866" s="66"/>
      <c r="Y866" s="66"/>
      <c r="Z866" s="66"/>
      <c r="AA866" s="66"/>
      <c r="AB866" s="66"/>
      <c r="AC866" s="66"/>
    </row>
    <row r="867">
      <c r="A867" s="327"/>
      <c r="B867" s="66"/>
      <c r="C867" s="66"/>
      <c r="D867" s="327"/>
      <c r="E867" s="66"/>
      <c r="F867" s="66"/>
      <c r="G867" s="327"/>
      <c r="H867" s="66"/>
      <c r="I867" s="66"/>
      <c r="J867" s="327"/>
      <c r="K867" s="66"/>
      <c r="L867" s="66"/>
      <c r="M867" s="66"/>
      <c r="N867" s="66"/>
      <c r="O867" s="66"/>
      <c r="P867" s="66"/>
      <c r="Q867" s="66"/>
      <c r="R867" s="66"/>
      <c r="S867" s="66"/>
      <c r="T867" s="66"/>
      <c r="U867" s="66"/>
      <c r="V867" s="66"/>
      <c r="W867" s="66"/>
      <c r="X867" s="66"/>
      <c r="Y867" s="66"/>
      <c r="Z867" s="66"/>
      <c r="AA867" s="66"/>
      <c r="AB867" s="66"/>
      <c r="AC867" s="66"/>
    </row>
    <row r="868">
      <c r="A868" s="327"/>
      <c r="B868" s="66"/>
      <c r="C868" s="66"/>
      <c r="D868" s="327"/>
      <c r="E868" s="66"/>
      <c r="F868" s="66"/>
      <c r="G868" s="327"/>
      <c r="H868" s="66"/>
      <c r="I868" s="66"/>
      <c r="J868" s="327"/>
      <c r="K868" s="66"/>
      <c r="L868" s="66"/>
      <c r="M868" s="66"/>
      <c r="N868" s="66"/>
      <c r="O868" s="66"/>
      <c r="P868" s="66"/>
      <c r="Q868" s="66"/>
      <c r="R868" s="66"/>
      <c r="S868" s="66"/>
      <c r="T868" s="66"/>
      <c r="U868" s="66"/>
      <c r="V868" s="66"/>
      <c r="W868" s="66"/>
      <c r="X868" s="66"/>
      <c r="Y868" s="66"/>
      <c r="Z868" s="66"/>
      <c r="AA868" s="66"/>
      <c r="AB868" s="66"/>
      <c r="AC868" s="66"/>
    </row>
    <row r="869">
      <c r="A869" s="327"/>
      <c r="B869" s="66"/>
      <c r="C869" s="66"/>
      <c r="D869" s="327"/>
      <c r="E869" s="66"/>
      <c r="F869" s="66"/>
      <c r="G869" s="327"/>
      <c r="H869" s="66"/>
      <c r="I869" s="66"/>
      <c r="J869" s="327"/>
      <c r="K869" s="66"/>
      <c r="L869" s="66"/>
      <c r="M869" s="66"/>
      <c r="N869" s="66"/>
      <c r="O869" s="66"/>
      <c r="P869" s="66"/>
      <c r="Q869" s="66"/>
      <c r="R869" s="66"/>
      <c r="S869" s="66"/>
      <c r="T869" s="66"/>
      <c r="U869" s="66"/>
      <c r="V869" s="66"/>
      <c r="W869" s="66"/>
      <c r="X869" s="66"/>
      <c r="Y869" s="66"/>
      <c r="Z869" s="66"/>
      <c r="AA869" s="66"/>
      <c r="AB869" s="66"/>
      <c r="AC869" s="66"/>
    </row>
    <row r="870">
      <c r="A870" s="327"/>
      <c r="B870" s="66"/>
      <c r="C870" s="66"/>
      <c r="D870" s="327"/>
      <c r="E870" s="66"/>
      <c r="F870" s="66"/>
      <c r="G870" s="327"/>
      <c r="H870" s="66"/>
      <c r="I870" s="66"/>
      <c r="J870" s="327"/>
      <c r="K870" s="66"/>
      <c r="L870" s="66"/>
      <c r="M870" s="66"/>
      <c r="N870" s="66"/>
      <c r="O870" s="66"/>
      <c r="P870" s="66"/>
      <c r="Q870" s="66"/>
      <c r="R870" s="66"/>
      <c r="S870" s="66"/>
      <c r="T870" s="66"/>
      <c r="U870" s="66"/>
      <c r="V870" s="66"/>
      <c r="W870" s="66"/>
      <c r="X870" s="66"/>
      <c r="Y870" s="66"/>
      <c r="Z870" s="66"/>
      <c r="AA870" s="66"/>
      <c r="AB870" s="66"/>
      <c r="AC870" s="66"/>
    </row>
    <row r="871">
      <c r="A871" s="327"/>
      <c r="B871" s="66"/>
      <c r="C871" s="66"/>
      <c r="D871" s="327"/>
      <c r="E871" s="66"/>
      <c r="F871" s="66"/>
      <c r="G871" s="327"/>
      <c r="H871" s="66"/>
      <c r="I871" s="66"/>
      <c r="J871" s="327"/>
      <c r="K871" s="66"/>
      <c r="L871" s="66"/>
      <c r="M871" s="66"/>
      <c r="N871" s="66"/>
      <c r="O871" s="66"/>
      <c r="P871" s="66"/>
      <c r="Q871" s="66"/>
      <c r="R871" s="66"/>
      <c r="S871" s="66"/>
      <c r="T871" s="66"/>
      <c r="U871" s="66"/>
      <c r="V871" s="66"/>
      <c r="W871" s="66"/>
      <c r="X871" s="66"/>
      <c r="Y871" s="66"/>
      <c r="Z871" s="66"/>
      <c r="AA871" s="66"/>
      <c r="AB871" s="66"/>
      <c r="AC871" s="66"/>
    </row>
    <row r="872">
      <c r="A872" s="327"/>
      <c r="B872" s="66"/>
      <c r="C872" s="66"/>
      <c r="D872" s="327"/>
      <c r="E872" s="66"/>
      <c r="F872" s="66"/>
      <c r="G872" s="327"/>
      <c r="H872" s="66"/>
      <c r="I872" s="66"/>
      <c r="J872" s="327"/>
      <c r="K872" s="66"/>
      <c r="L872" s="66"/>
      <c r="M872" s="66"/>
      <c r="N872" s="66"/>
      <c r="O872" s="66"/>
      <c r="P872" s="66"/>
      <c r="Q872" s="66"/>
      <c r="R872" s="66"/>
      <c r="S872" s="66"/>
      <c r="T872" s="66"/>
      <c r="U872" s="66"/>
      <c r="V872" s="66"/>
      <c r="W872" s="66"/>
      <c r="X872" s="66"/>
      <c r="Y872" s="66"/>
      <c r="Z872" s="66"/>
      <c r="AA872" s="66"/>
      <c r="AB872" s="66"/>
      <c r="AC872" s="66"/>
    </row>
    <row r="873">
      <c r="A873" s="327"/>
      <c r="B873" s="66"/>
      <c r="C873" s="66"/>
      <c r="D873" s="327"/>
      <c r="E873" s="66"/>
      <c r="F873" s="66"/>
      <c r="G873" s="327"/>
      <c r="H873" s="66"/>
      <c r="I873" s="66"/>
      <c r="J873" s="327"/>
      <c r="K873" s="66"/>
      <c r="L873" s="66"/>
      <c r="M873" s="66"/>
      <c r="N873" s="66"/>
      <c r="O873" s="66"/>
      <c r="P873" s="66"/>
      <c r="Q873" s="66"/>
      <c r="R873" s="66"/>
      <c r="S873" s="66"/>
      <c r="T873" s="66"/>
      <c r="U873" s="66"/>
      <c r="V873" s="66"/>
      <c r="W873" s="66"/>
      <c r="X873" s="66"/>
      <c r="Y873" s="66"/>
      <c r="Z873" s="66"/>
      <c r="AA873" s="66"/>
      <c r="AB873" s="66"/>
      <c r="AC873" s="66"/>
    </row>
    <row r="874">
      <c r="A874" s="327"/>
      <c r="B874" s="66"/>
      <c r="C874" s="66"/>
      <c r="D874" s="327"/>
      <c r="E874" s="66"/>
      <c r="F874" s="66"/>
      <c r="G874" s="327"/>
      <c r="H874" s="66"/>
      <c r="I874" s="66"/>
      <c r="J874" s="327"/>
      <c r="K874" s="66"/>
      <c r="L874" s="66"/>
      <c r="M874" s="66"/>
      <c r="N874" s="66"/>
      <c r="O874" s="66"/>
      <c r="P874" s="66"/>
      <c r="Q874" s="66"/>
      <c r="R874" s="66"/>
      <c r="S874" s="66"/>
      <c r="T874" s="66"/>
      <c r="U874" s="66"/>
      <c r="V874" s="66"/>
      <c r="W874" s="66"/>
      <c r="X874" s="66"/>
      <c r="Y874" s="66"/>
      <c r="Z874" s="66"/>
      <c r="AA874" s="66"/>
      <c r="AB874" s="66"/>
      <c r="AC874" s="66"/>
    </row>
    <row r="875">
      <c r="A875" s="327"/>
      <c r="B875" s="66"/>
      <c r="C875" s="66"/>
      <c r="D875" s="327"/>
      <c r="E875" s="66"/>
      <c r="F875" s="66"/>
      <c r="G875" s="327"/>
      <c r="H875" s="66"/>
      <c r="I875" s="66"/>
      <c r="J875" s="327"/>
      <c r="K875" s="66"/>
      <c r="L875" s="66"/>
      <c r="M875" s="66"/>
      <c r="N875" s="66"/>
      <c r="O875" s="66"/>
      <c r="P875" s="66"/>
      <c r="Q875" s="66"/>
      <c r="R875" s="66"/>
      <c r="S875" s="66"/>
      <c r="T875" s="66"/>
      <c r="U875" s="66"/>
      <c r="V875" s="66"/>
      <c r="W875" s="66"/>
      <c r="X875" s="66"/>
      <c r="Y875" s="66"/>
      <c r="Z875" s="66"/>
      <c r="AA875" s="66"/>
      <c r="AB875" s="66"/>
      <c r="AC875" s="66"/>
    </row>
    <row r="876">
      <c r="A876" s="327"/>
      <c r="B876" s="66"/>
      <c r="C876" s="66"/>
      <c r="D876" s="327"/>
      <c r="E876" s="66"/>
      <c r="F876" s="66"/>
      <c r="G876" s="327"/>
      <c r="H876" s="66"/>
      <c r="I876" s="66"/>
      <c r="J876" s="327"/>
      <c r="K876" s="66"/>
      <c r="L876" s="66"/>
      <c r="M876" s="66"/>
      <c r="N876" s="66"/>
      <c r="O876" s="66"/>
      <c r="P876" s="66"/>
      <c r="Q876" s="66"/>
      <c r="R876" s="66"/>
      <c r="S876" s="66"/>
      <c r="T876" s="66"/>
      <c r="U876" s="66"/>
      <c r="V876" s="66"/>
      <c r="W876" s="66"/>
      <c r="X876" s="66"/>
      <c r="Y876" s="66"/>
      <c r="Z876" s="66"/>
      <c r="AA876" s="66"/>
      <c r="AB876" s="66"/>
      <c r="AC876" s="66"/>
    </row>
    <row r="877">
      <c r="A877" s="327"/>
      <c r="B877" s="66"/>
      <c r="C877" s="66"/>
      <c r="D877" s="327"/>
      <c r="E877" s="66"/>
      <c r="F877" s="66"/>
      <c r="G877" s="327"/>
      <c r="H877" s="66"/>
      <c r="I877" s="66"/>
      <c r="J877" s="327"/>
      <c r="K877" s="66"/>
      <c r="L877" s="66"/>
      <c r="M877" s="66"/>
      <c r="N877" s="66"/>
      <c r="O877" s="66"/>
      <c r="P877" s="66"/>
      <c r="Q877" s="66"/>
      <c r="R877" s="66"/>
      <c r="S877" s="66"/>
      <c r="T877" s="66"/>
      <c r="U877" s="66"/>
      <c r="V877" s="66"/>
      <c r="W877" s="66"/>
      <c r="X877" s="66"/>
      <c r="Y877" s="66"/>
      <c r="Z877" s="66"/>
      <c r="AA877" s="66"/>
      <c r="AB877" s="66"/>
      <c r="AC877" s="66"/>
    </row>
    <row r="878">
      <c r="A878" s="327"/>
      <c r="B878" s="66"/>
      <c r="C878" s="66"/>
      <c r="D878" s="327"/>
      <c r="E878" s="66"/>
      <c r="F878" s="66"/>
      <c r="G878" s="327"/>
      <c r="H878" s="66"/>
      <c r="I878" s="66"/>
      <c r="J878" s="327"/>
      <c r="K878" s="66"/>
      <c r="L878" s="66"/>
      <c r="M878" s="66"/>
      <c r="N878" s="66"/>
      <c r="O878" s="66"/>
      <c r="P878" s="66"/>
      <c r="Q878" s="66"/>
      <c r="R878" s="66"/>
      <c r="S878" s="66"/>
      <c r="T878" s="66"/>
      <c r="U878" s="66"/>
      <c r="V878" s="66"/>
      <c r="W878" s="66"/>
      <c r="X878" s="66"/>
      <c r="Y878" s="66"/>
      <c r="Z878" s="66"/>
      <c r="AA878" s="66"/>
      <c r="AB878" s="66"/>
      <c r="AC878" s="66"/>
    </row>
    <row r="879">
      <c r="A879" s="327"/>
      <c r="B879" s="66"/>
      <c r="C879" s="66"/>
      <c r="D879" s="327"/>
      <c r="E879" s="66"/>
      <c r="F879" s="66"/>
      <c r="G879" s="327"/>
      <c r="H879" s="66"/>
      <c r="I879" s="66"/>
      <c r="J879" s="327"/>
      <c r="K879" s="66"/>
      <c r="L879" s="66"/>
      <c r="M879" s="66"/>
      <c r="N879" s="66"/>
      <c r="O879" s="66"/>
      <c r="P879" s="66"/>
      <c r="Q879" s="66"/>
      <c r="R879" s="66"/>
      <c r="S879" s="66"/>
      <c r="T879" s="66"/>
      <c r="U879" s="66"/>
      <c r="V879" s="66"/>
      <c r="W879" s="66"/>
      <c r="X879" s="66"/>
      <c r="Y879" s="66"/>
      <c r="Z879" s="66"/>
      <c r="AA879" s="66"/>
      <c r="AB879" s="66"/>
      <c r="AC879" s="66"/>
    </row>
    <row r="880">
      <c r="A880" s="327"/>
      <c r="B880" s="66"/>
      <c r="C880" s="66"/>
      <c r="D880" s="327"/>
      <c r="E880" s="66"/>
      <c r="F880" s="66"/>
      <c r="G880" s="327"/>
      <c r="H880" s="66"/>
      <c r="I880" s="66"/>
      <c r="J880" s="327"/>
      <c r="K880" s="66"/>
      <c r="L880" s="66"/>
      <c r="M880" s="66"/>
      <c r="N880" s="66"/>
      <c r="O880" s="66"/>
      <c r="P880" s="66"/>
      <c r="Q880" s="66"/>
      <c r="R880" s="66"/>
      <c r="S880" s="66"/>
      <c r="T880" s="66"/>
      <c r="U880" s="66"/>
      <c r="V880" s="66"/>
      <c r="W880" s="66"/>
      <c r="X880" s="66"/>
      <c r="Y880" s="66"/>
      <c r="Z880" s="66"/>
      <c r="AA880" s="66"/>
      <c r="AB880" s="66"/>
      <c r="AC880" s="66"/>
    </row>
    <row r="881">
      <c r="A881" s="327"/>
      <c r="B881" s="66"/>
      <c r="C881" s="66"/>
      <c r="D881" s="327"/>
      <c r="E881" s="66"/>
      <c r="F881" s="66"/>
      <c r="G881" s="327"/>
      <c r="H881" s="66"/>
      <c r="I881" s="66"/>
      <c r="J881" s="327"/>
      <c r="K881" s="66"/>
      <c r="L881" s="66"/>
      <c r="M881" s="66"/>
      <c r="N881" s="66"/>
      <c r="O881" s="66"/>
      <c r="P881" s="66"/>
      <c r="Q881" s="66"/>
      <c r="R881" s="66"/>
      <c r="S881" s="66"/>
      <c r="T881" s="66"/>
      <c r="U881" s="66"/>
      <c r="V881" s="66"/>
      <c r="W881" s="66"/>
      <c r="X881" s="66"/>
      <c r="Y881" s="66"/>
      <c r="Z881" s="66"/>
      <c r="AA881" s="66"/>
      <c r="AB881" s="66"/>
      <c r="AC881" s="66"/>
    </row>
    <row r="882">
      <c r="A882" s="327"/>
      <c r="B882" s="66"/>
      <c r="C882" s="66"/>
      <c r="D882" s="327"/>
      <c r="E882" s="66"/>
      <c r="F882" s="66"/>
      <c r="G882" s="327"/>
      <c r="H882" s="66"/>
      <c r="I882" s="66"/>
      <c r="J882" s="327"/>
      <c r="K882" s="66"/>
      <c r="L882" s="66"/>
      <c r="M882" s="66"/>
      <c r="N882" s="66"/>
      <c r="O882" s="66"/>
      <c r="P882" s="66"/>
      <c r="Q882" s="66"/>
      <c r="R882" s="66"/>
      <c r="S882" s="66"/>
      <c r="T882" s="66"/>
      <c r="U882" s="66"/>
      <c r="V882" s="66"/>
      <c r="W882" s="66"/>
      <c r="X882" s="66"/>
      <c r="Y882" s="66"/>
      <c r="Z882" s="66"/>
      <c r="AA882" s="66"/>
      <c r="AB882" s="66"/>
      <c r="AC882" s="66"/>
    </row>
    <row r="883">
      <c r="A883" s="327"/>
      <c r="B883" s="66"/>
      <c r="C883" s="66"/>
      <c r="D883" s="327"/>
      <c r="E883" s="66"/>
      <c r="F883" s="66"/>
      <c r="G883" s="327"/>
      <c r="H883" s="66"/>
      <c r="I883" s="66"/>
      <c r="J883" s="327"/>
      <c r="K883" s="66"/>
      <c r="L883" s="66"/>
      <c r="M883" s="66"/>
      <c r="N883" s="66"/>
      <c r="O883" s="66"/>
      <c r="P883" s="66"/>
      <c r="Q883" s="66"/>
      <c r="R883" s="66"/>
      <c r="S883" s="66"/>
      <c r="T883" s="66"/>
      <c r="U883" s="66"/>
      <c r="V883" s="66"/>
      <c r="W883" s="66"/>
      <c r="X883" s="66"/>
      <c r="Y883" s="66"/>
      <c r="Z883" s="66"/>
      <c r="AA883" s="66"/>
      <c r="AB883" s="66"/>
      <c r="AC883" s="66"/>
    </row>
    <row r="884">
      <c r="A884" s="327"/>
      <c r="B884" s="66"/>
      <c r="C884" s="66"/>
      <c r="D884" s="327"/>
      <c r="E884" s="66"/>
      <c r="F884" s="66"/>
      <c r="G884" s="327"/>
      <c r="H884" s="66"/>
      <c r="I884" s="66"/>
      <c r="J884" s="327"/>
      <c r="K884" s="66"/>
      <c r="L884" s="66"/>
      <c r="M884" s="66"/>
      <c r="N884" s="66"/>
      <c r="O884" s="66"/>
      <c r="P884" s="66"/>
      <c r="Q884" s="66"/>
      <c r="R884" s="66"/>
      <c r="S884" s="66"/>
      <c r="T884" s="66"/>
      <c r="U884" s="66"/>
      <c r="V884" s="66"/>
      <c r="W884" s="66"/>
      <c r="X884" s="66"/>
      <c r="Y884" s="66"/>
      <c r="Z884" s="66"/>
      <c r="AA884" s="66"/>
      <c r="AB884" s="66"/>
      <c r="AC884" s="66"/>
    </row>
    <row r="885">
      <c r="A885" s="327"/>
      <c r="B885" s="66"/>
      <c r="C885" s="66"/>
      <c r="D885" s="327"/>
      <c r="E885" s="66"/>
      <c r="F885" s="66"/>
      <c r="G885" s="327"/>
      <c r="H885" s="66"/>
      <c r="I885" s="66"/>
      <c r="J885" s="327"/>
      <c r="K885" s="66"/>
      <c r="L885" s="66"/>
      <c r="M885" s="66"/>
      <c r="N885" s="66"/>
      <c r="O885" s="66"/>
      <c r="P885" s="66"/>
      <c r="Q885" s="66"/>
      <c r="R885" s="66"/>
      <c r="S885" s="66"/>
      <c r="T885" s="66"/>
      <c r="U885" s="66"/>
      <c r="V885" s="66"/>
      <c r="W885" s="66"/>
      <c r="X885" s="66"/>
      <c r="Y885" s="66"/>
      <c r="Z885" s="66"/>
      <c r="AA885" s="66"/>
      <c r="AB885" s="66"/>
      <c r="AC885" s="66"/>
    </row>
    <row r="886">
      <c r="A886" s="327"/>
      <c r="B886" s="66"/>
      <c r="C886" s="66"/>
      <c r="D886" s="327"/>
      <c r="E886" s="66"/>
      <c r="F886" s="66"/>
      <c r="G886" s="327"/>
      <c r="H886" s="66"/>
      <c r="I886" s="66"/>
      <c r="J886" s="327"/>
      <c r="K886" s="66"/>
      <c r="L886" s="66"/>
      <c r="M886" s="66"/>
      <c r="N886" s="66"/>
      <c r="O886" s="66"/>
      <c r="P886" s="66"/>
      <c r="Q886" s="66"/>
      <c r="R886" s="66"/>
      <c r="S886" s="66"/>
      <c r="T886" s="66"/>
      <c r="U886" s="66"/>
      <c r="V886" s="66"/>
      <c r="W886" s="66"/>
      <c r="X886" s="66"/>
      <c r="Y886" s="66"/>
      <c r="Z886" s="66"/>
      <c r="AA886" s="66"/>
      <c r="AB886" s="66"/>
      <c r="AC886" s="66"/>
    </row>
    <row r="887">
      <c r="A887" s="327"/>
      <c r="B887" s="66"/>
      <c r="C887" s="66"/>
      <c r="D887" s="327"/>
      <c r="E887" s="66"/>
      <c r="F887" s="66"/>
      <c r="G887" s="327"/>
      <c r="H887" s="66"/>
      <c r="I887" s="66"/>
      <c r="J887" s="327"/>
      <c r="K887" s="66"/>
      <c r="L887" s="66"/>
      <c r="M887" s="66"/>
      <c r="N887" s="66"/>
      <c r="O887" s="66"/>
      <c r="P887" s="66"/>
      <c r="Q887" s="66"/>
      <c r="R887" s="66"/>
      <c r="S887" s="66"/>
      <c r="T887" s="66"/>
      <c r="U887" s="66"/>
      <c r="V887" s="66"/>
      <c r="W887" s="66"/>
      <c r="X887" s="66"/>
      <c r="Y887" s="66"/>
      <c r="Z887" s="66"/>
      <c r="AA887" s="66"/>
      <c r="AB887" s="66"/>
      <c r="AC887" s="66"/>
    </row>
    <row r="888">
      <c r="A888" s="327"/>
      <c r="B888" s="66"/>
      <c r="C888" s="66"/>
      <c r="D888" s="327"/>
      <c r="E888" s="66"/>
      <c r="F888" s="66"/>
      <c r="G888" s="327"/>
      <c r="H888" s="66"/>
      <c r="I888" s="66"/>
      <c r="J888" s="327"/>
      <c r="K888" s="66"/>
      <c r="L888" s="66"/>
      <c r="M888" s="66"/>
      <c r="N888" s="66"/>
      <c r="O888" s="66"/>
      <c r="P888" s="66"/>
      <c r="Q888" s="66"/>
      <c r="R888" s="66"/>
      <c r="S888" s="66"/>
      <c r="T888" s="66"/>
      <c r="U888" s="66"/>
      <c r="V888" s="66"/>
      <c r="W888" s="66"/>
      <c r="X888" s="66"/>
      <c r="Y888" s="66"/>
      <c r="Z888" s="66"/>
      <c r="AA888" s="66"/>
      <c r="AB888" s="66"/>
      <c r="AC888" s="66"/>
    </row>
    <row r="889">
      <c r="A889" s="327"/>
      <c r="B889" s="66"/>
      <c r="C889" s="66"/>
      <c r="D889" s="327"/>
      <c r="E889" s="66"/>
      <c r="F889" s="66"/>
      <c r="G889" s="327"/>
      <c r="H889" s="66"/>
      <c r="I889" s="66"/>
      <c r="J889" s="327"/>
      <c r="K889" s="66"/>
      <c r="L889" s="66"/>
      <c r="M889" s="66"/>
      <c r="N889" s="66"/>
      <c r="O889" s="66"/>
      <c r="P889" s="66"/>
      <c r="Q889" s="66"/>
      <c r="R889" s="66"/>
      <c r="S889" s="66"/>
      <c r="T889" s="66"/>
      <c r="U889" s="66"/>
      <c r="V889" s="66"/>
      <c r="W889" s="66"/>
      <c r="X889" s="66"/>
      <c r="Y889" s="66"/>
      <c r="Z889" s="66"/>
      <c r="AA889" s="66"/>
      <c r="AB889" s="66"/>
      <c r="AC889" s="66"/>
    </row>
    <row r="890">
      <c r="A890" s="327"/>
      <c r="B890" s="66"/>
      <c r="C890" s="66"/>
      <c r="D890" s="327"/>
      <c r="E890" s="66"/>
      <c r="F890" s="66"/>
      <c r="G890" s="327"/>
      <c r="H890" s="66"/>
      <c r="I890" s="66"/>
      <c r="J890" s="327"/>
      <c r="K890" s="66"/>
      <c r="L890" s="66"/>
      <c r="M890" s="66"/>
      <c r="N890" s="66"/>
      <c r="O890" s="66"/>
      <c r="P890" s="66"/>
      <c r="Q890" s="66"/>
      <c r="R890" s="66"/>
      <c r="S890" s="66"/>
      <c r="T890" s="66"/>
      <c r="U890" s="66"/>
      <c r="V890" s="66"/>
      <c r="W890" s="66"/>
      <c r="X890" s="66"/>
      <c r="Y890" s="66"/>
      <c r="Z890" s="66"/>
      <c r="AA890" s="66"/>
      <c r="AB890" s="66"/>
      <c r="AC890" s="66"/>
    </row>
    <row r="891">
      <c r="A891" s="327"/>
      <c r="B891" s="66"/>
      <c r="C891" s="66"/>
      <c r="D891" s="327"/>
      <c r="E891" s="66"/>
      <c r="F891" s="66"/>
      <c r="G891" s="327"/>
      <c r="H891" s="66"/>
      <c r="I891" s="66"/>
      <c r="J891" s="327"/>
      <c r="K891" s="66"/>
      <c r="L891" s="66"/>
      <c r="M891" s="66"/>
      <c r="N891" s="66"/>
      <c r="O891" s="66"/>
      <c r="P891" s="66"/>
      <c r="Q891" s="66"/>
      <c r="R891" s="66"/>
      <c r="S891" s="66"/>
      <c r="T891" s="66"/>
      <c r="U891" s="66"/>
      <c r="V891" s="66"/>
      <c r="W891" s="66"/>
      <c r="X891" s="66"/>
      <c r="Y891" s="66"/>
      <c r="Z891" s="66"/>
      <c r="AA891" s="66"/>
      <c r="AB891" s="66"/>
      <c r="AC891" s="66"/>
    </row>
    <row r="892">
      <c r="A892" s="327"/>
      <c r="B892" s="66"/>
      <c r="C892" s="66"/>
      <c r="D892" s="327"/>
      <c r="E892" s="66"/>
      <c r="F892" s="66"/>
      <c r="G892" s="327"/>
      <c r="H892" s="66"/>
      <c r="I892" s="66"/>
      <c r="J892" s="327"/>
      <c r="K892" s="66"/>
      <c r="L892" s="66"/>
      <c r="M892" s="66"/>
      <c r="N892" s="66"/>
      <c r="O892" s="66"/>
      <c r="P892" s="66"/>
      <c r="Q892" s="66"/>
      <c r="R892" s="66"/>
      <c r="S892" s="66"/>
      <c r="T892" s="66"/>
      <c r="U892" s="66"/>
      <c r="V892" s="66"/>
      <c r="W892" s="66"/>
      <c r="X892" s="66"/>
      <c r="Y892" s="66"/>
      <c r="Z892" s="66"/>
      <c r="AA892" s="66"/>
      <c r="AB892" s="66"/>
      <c r="AC892" s="66"/>
    </row>
    <row r="893">
      <c r="A893" s="327"/>
      <c r="B893" s="66"/>
      <c r="C893" s="66"/>
      <c r="D893" s="327"/>
      <c r="E893" s="66"/>
      <c r="F893" s="66"/>
      <c r="G893" s="327"/>
      <c r="H893" s="66"/>
      <c r="I893" s="66"/>
      <c r="J893" s="327"/>
      <c r="K893" s="66"/>
      <c r="L893" s="66"/>
      <c r="M893" s="66"/>
      <c r="N893" s="66"/>
      <c r="O893" s="66"/>
      <c r="P893" s="66"/>
      <c r="Q893" s="66"/>
      <c r="R893" s="66"/>
      <c r="S893" s="66"/>
      <c r="T893" s="66"/>
      <c r="U893" s="66"/>
      <c r="V893" s="66"/>
      <c r="W893" s="66"/>
      <c r="X893" s="66"/>
      <c r="Y893" s="66"/>
      <c r="Z893" s="66"/>
      <c r="AA893" s="66"/>
      <c r="AB893" s="66"/>
      <c r="AC893" s="66"/>
    </row>
    <row r="894">
      <c r="A894" s="327"/>
      <c r="B894" s="66"/>
      <c r="C894" s="66"/>
      <c r="D894" s="327"/>
      <c r="E894" s="66"/>
      <c r="F894" s="66"/>
      <c r="G894" s="327"/>
      <c r="H894" s="66"/>
      <c r="I894" s="66"/>
      <c r="J894" s="327"/>
      <c r="K894" s="66"/>
      <c r="L894" s="66"/>
      <c r="M894" s="66"/>
      <c r="N894" s="66"/>
      <c r="O894" s="66"/>
      <c r="P894" s="66"/>
      <c r="Q894" s="66"/>
      <c r="R894" s="66"/>
      <c r="S894" s="66"/>
      <c r="T894" s="66"/>
      <c r="U894" s="66"/>
      <c r="V894" s="66"/>
      <c r="W894" s="66"/>
      <c r="X894" s="66"/>
      <c r="Y894" s="66"/>
      <c r="Z894" s="66"/>
      <c r="AA894" s="66"/>
      <c r="AB894" s="66"/>
      <c r="AC894" s="66"/>
    </row>
    <row r="895">
      <c r="A895" s="327"/>
      <c r="B895" s="66"/>
      <c r="C895" s="66"/>
      <c r="D895" s="327"/>
      <c r="E895" s="66"/>
      <c r="F895" s="66"/>
      <c r="G895" s="327"/>
      <c r="H895" s="66"/>
      <c r="I895" s="66"/>
      <c r="J895" s="327"/>
      <c r="K895" s="66"/>
      <c r="L895" s="66"/>
      <c r="M895" s="66"/>
      <c r="N895" s="66"/>
      <c r="O895" s="66"/>
      <c r="P895" s="66"/>
      <c r="Q895" s="66"/>
      <c r="R895" s="66"/>
      <c r="S895" s="66"/>
      <c r="T895" s="66"/>
      <c r="U895" s="66"/>
      <c r="V895" s="66"/>
      <c r="W895" s="66"/>
      <c r="X895" s="66"/>
      <c r="Y895" s="66"/>
      <c r="Z895" s="66"/>
      <c r="AA895" s="66"/>
      <c r="AB895" s="66"/>
      <c r="AC895" s="66"/>
    </row>
    <row r="896">
      <c r="A896" s="327"/>
      <c r="B896" s="66"/>
      <c r="C896" s="66"/>
      <c r="D896" s="327"/>
      <c r="E896" s="66"/>
      <c r="F896" s="66"/>
      <c r="G896" s="327"/>
      <c r="H896" s="66"/>
      <c r="I896" s="66"/>
      <c r="J896" s="327"/>
      <c r="K896" s="66"/>
      <c r="L896" s="66"/>
      <c r="M896" s="66"/>
      <c r="N896" s="66"/>
      <c r="O896" s="66"/>
      <c r="P896" s="66"/>
      <c r="Q896" s="66"/>
      <c r="R896" s="66"/>
      <c r="S896" s="66"/>
      <c r="T896" s="66"/>
      <c r="U896" s="66"/>
      <c r="V896" s="66"/>
      <c r="W896" s="66"/>
      <c r="X896" s="66"/>
      <c r="Y896" s="66"/>
      <c r="Z896" s="66"/>
      <c r="AA896" s="66"/>
      <c r="AB896" s="66"/>
      <c r="AC896" s="66"/>
    </row>
    <row r="897">
      <c r="A897" s="327"/>
      <c r="B897" s="66"/>
      <c r="C897" s="66"/>
      <c r="D897" s="327"/>
      <c r="E897" s="66"/>
      <c r="F897" s="66"/>
      <c r="G897" s="327"/>
      <c r="H897" s="66"/>
      <c r="I897" s="66"/>
      <c r="J897" s="327"/>
      <c r="K897" s="66"/>
      <c r="L897" s="66"/>
      <c r="M897" s="66"/>
      <c r="N897" s="66"/>
      <c r="O897" s="66"/>
      <c r="P897" s="66"/>
      <c r="Q897" s="66"/>
      <c r="R897" s="66"/>
      <c r="S897" s="66"/>
      <c r="T897" s="66"/>
      <c r="U897" s="66"/>
      <c r="V897" s="66"/>
      <c r="W897" s="66"/>
      <c r="X897" s="66"/>
      <c r="Y897" s="66"/>
      <c r="Z897" s="66"/>
      <c r="AA897" s="66"/>
      <c r="AB897" s="66"/>
      <c r="AC897" s="66"/>
    </row>
    <row r="898">
      <c r="A898" s="327"/>
      <c r="B898" s="66"/>
      <c r="C898" s="66"/>
      <c r="D898" s="327"/>
      <c r="E898" s="66"/>
      <c r="F898" s="66"/>
      <c r="G898" s="327"/>
      <c r="H898" s="66"/>
      <c r="I898" s="66"/>
      <c r="J898" s="327"/>
      <c r="K898" s="66"/>
      <c r="L898" s="66"/>
      <c r="M898" s="66"/>
      <c r="N898" s="66"/>
      <c r="O898" s="66"/>
      <c r="P898" s="66"/>
      <c r="Q898" s="66"/>
      <c r="R898" s="66"/>
      <c r="S898" s="66"/>
      <c r="T898" s="66"/>
      <c r="U898" s="66"/>
      <c r="V898" s="66"/>
      <c r="W898" s="66"/>
      <c r="X898" s="66"/>
      <c r="Y898" s="66"/>
      <c r="Z898" s="66"/>
      <c r="AA898" s="66"/>
      <c r="AB898" s="66"/>
      <c r="AC898" s="66"/>
    </row>
    <row r="899">
      <c r="A899" s="327"/>
      <c r="B899" s="66"/>
      <c r="C899" s="66"/>
      <c r="D899" s="327"/>
      <c r="E899" s="66"/>
      <c r="F899" s="66"/>
      <c r="G899" s="327"/>
      <c r="H899" s="66"/>
      <c r="I899" s="66"/>
      <c r="J899" s="327"/>
      <c r="K899" s="66"/>
      <c r="L899" s="66"/>
      <c r="M899" s="66"/>
      <c r="N899" s="66"/>
      <c r="O899" s="66"/>
      <c r="P899" s="66"/>
      <c r="Q899" s="66"/>
      <c r="R899" s="66"/>
      <c r="S899" s="66"/>
      <c r="T899" s="66"/>
      <c r="U899" s="66"/>
      <c r="V899" s="66"/>
      <c r="W899" s="66"/>
      <c r="X899" s="66"/>
      <c r="Y899" s="66"/>
      <c r="Z899" s="66"/>
      <c r="AA899" s="66"/>
      <c r="AB899" s="66"/>
      <c r="AC899" s="66"/>
    </row>
    <row r="900">
      <c r="A900" s="327"/>
      <c r="B900" s="66"/>
      <c r="C900" s="66"/>
      <c r="D900" s="327"/>
      <c r="E900" s="66"/>
      <c r="F900" s="66"/>
      <c r="G900" s="327"/>
      <c r="H900" s="66"/>
      <c r="I900" s="66"/>
      <c r="J900" s="327"/>
      <c r="K900" s="66"/>
      <c r="L900" s="66"/>
      <c r="M900" s="66"/>
      <c r="N900" s="66"/>
      <c r="O900" s="66"/>
      <c r="P900" s="66"/>
      <c r="Q900" s="66"/>
      <c r="R900" s="66"/>
      <c r="S900" s="66"/>
      <c r="T900" s="66"/>
      <c r="U900" s="66"/>
      <c r="V900" s="66"/>
      <c r="W900" s="66"/>
      <c r="X900" s="66"/>
      <c r="Y900" s="66"/>
      <c r="Z900" s="66"/>
      <c r="AA900" s="66"/>
      <c r="AB900" s="66"/>
      <c r="AC900" s="66"/>
    </row>
    <row r="901">
      <c r="A901" s="327"/>
      <c r="B901" s="66"/>
      <c r="C901" s="66"/>
      <c r="D901" s="327"/>
      <c r="E901" s="66"/>
      <c r="F901" s="66"/>
      <c r="G901" s="327"/>
      <c r="H901" s="66"/>
      <c r="I901" s="66"/>
      <c r="J901" s="327"/>
      <c r="K901" s="66"/>
      <c r="L901" s="66"/>
      <c r="M901" s="66"/>
      <c r="N901" s="66"/>
      <c r="O901" s="66"/>
      <c r="P901" s="66"/>
      <c r="Q901" s="66"/>
      <c r="R901" s="66"/>
      <c r="S901" s="66"/>
      <c r="T901" s="66"/>
      <c r="U901" s="66"/>
      <c r="V901" s="66"/>
      <c r="W901" s="66"/>
      <c r="X901" s="66"/>
      <c r="Y901" s="66"/>
      <c r="Z901" s="66"/>
      <c r="AA901" s="66"/>
      <c r="AB901" s="66"/>
      <c r="AC901" s="66"/>
    </row>
    <row r="902">
      <c r="A902" s="327"/>
      <c r="B902" s="66"/>
      <c r="C902" s="66"/>
      <c r="D902" s="327"/>
      <c r="E902" s="66"/>
      <c r="F902" s="66"/>
      <c r="G902" s="327"/>
      <c r="H902" s="66"/>
      <c r="I902" s="66"/>
      <c r="J902" s="327"/>
      <c r="K902" s="66"/>
      <c r="L902" s="66"/>
      <c r="M902" s="66"/>
      <c r="N902" s="66"/>
      <c r="O902" s="66"/>
      <c r="P902" s="66"/>
      <c r="Q902" s="66"/>
      <c r="R902" s="66"/>
      <c r="S902" s="66"/>
      <c r="T902" s="66"/>
      <c r="U902" s="66"/>
      <c r="V902" s="66"/>
      <c r="W902" s="66"/>
      <c r="X902" s="66"/>
      <c r="Y902" s="66"/>
      <c r="Z902" s="66"/>
      <c r="AA902" s="66"/>
      <c r="AB902" s="66"/>
      <c r="AC902" s="66"/>
    </row>
    <row r="903">
      <c r="A903" s="327"/>
      <c r="B903" s="66"/>
      <c r="C903" s="66"/>
      <c r="D903" s="327"/>
      <c r="E903" s="66"/>
      <c r="F903" s="66"/>
      <c r="G903" s="327"/>
      <c r="H903" s="66"/>
      <c r="I903" s="66"/>
      <c r="J903" s="327"/>
      <c r="K903" s="66"/>
      <c r="L903" s="66"/>
      <c r="M903" s="66"/>
      <c r="N903" s="66"/>
      <c r="O903" s="66"/>
      <c r="P903" s="66"/>
      <c r="Q903" s="66"/>
      <c r="R903" s="66"/>
      <c r="S903" s="66"/>
      <c r="T903" s="66"/>
      <c r="U903" s="66"/>
      <c r="V903" s="66"/>
      <c r="W903" s="66"/>
      <c r="X903" s="66"/>
      <c r="Y903" s="66"/>
      <c r="Z903" s="66"/>
      <c r="AA903" s="66"/>
      <c r="AB903" s="66"/>
      <c r="AC903" s="66"/>
    </row>
    <row r="904">
      <c r="A904" s="327"/>
      <c r="B904" s="66"/>
      <c r="C904" s="66"/>
      <c r="D904" s="327"/>
      <c r="E904" s="66"/>
      <c r="F904" s="66"/>
      <c r="G904" s="327"/>
      <c r="H904" s="66"/>
      <c r="I904" s="66"/>
      <c r="J904" s="327"/>
      <c r="K904" s="66"/>
      <c r="L904" s="66"/>
      <c r="M904" s="66"/>
      <c r="N904" s="66"/>
      <c r="O904" s="66"/>
      <c r="P904" s="66"/>
      <c r="Q904" s="66"/>
      <c r="R904" s="66"/>
      <c r="S904" s="66"/>
      <c r="T904" s="66"/>
      <c r="U904" s="66"/>
      <c r="V904" s="66"/>
      <c r="W904" s="66"/>
      <c r="X904" s="66"/>
      <c r="Y904" s="66"/>
      <c r="Z904" s="66"/>
      <c r="AA904" s="66"/>
      <c r="AB904" s="66"/>
      <c r="AC904" s="66"/>
    </row>
    <row r="905">
      <c r="A905" s="327"/>
      <c r="B905" s="66"/>
      <c r="C905" s="66"/>
      <c r="D905" s="327"/>
      <c r="E905" s="66"/>
      <c r="F905" s="66"/>
      <c r="G905" s="327"/>
      <c r="H905" s="66"/>
      <c r="I905" s="66"/>
      <c r="J905" s="327"/>
      <c r="K905" s="66"/>
      <c r="L905" s="66"/>
      <c r="M905" s="66"/>
      <c r="N905" s="66"/>
      <c r="O905" s="66"/>
      <c r="P905" s="66"/>
      <c r="Q905" s="66"/>
      <c r="R905" s="66"/>
      <c r="S905" s="66"/>
      <c r="T905" s="66"/>
      <c r="U905" s="66"/>
      <c r="V905" s="66"/>
      <c r="W905" s="66"/>
      <c r="X905" s="66"/>
      <c r="Y905" s="66"/>
      <c r="Z905" s="66"/>
      <c r="AA905" s="66"/>
      <c r="AB905" s="66"/>
      <c r="AC905" s="66"/>
    </row>
    <row r="906">
      <c r="A906" s="327"/>
      <c r="B906" s="66"/>
      <c r="C906" s="66"/>
      <c r="D906" s="327"/>
      <c r="E906" s="66"/>
      <c r="F906" s="66"/>
      <c r="G906" s="327"/>
      <c r="H906" s="66"/>
      <c r="I906" s="66"/>
      <c r="J906" s="327"/>
      <c r="K906" s="66"/>
      <c r="L906" s="66"/>
      <c r="M906" s="66"/>
      <c r="N906" s="66"/>
      <c r="O906" s="66"/>
      <c r="P906" s="66"/>
      <c r="Q906" s="66"/>
      <c r="R906" s="66"/>
      <c r="S906" s="66"/>
      <c r="T906" s="66"/>
      <c r="U906" s="66"/>
      <c r="V906" s="66"/>
      <c r="W906" s="66"/>
      <c r="X906" s="66"/>
      <c r="Y906" s="66"/>
      <c r="Z906" s="66"/>
      <c r="AA906" s="66"/>
      <c r="AB906" s="66"/>
      <c r="AC906" s="66"/>
    </row>
    <row r="907">
      <c r="A907" s="327"/>
      <c r="B907" s="66"/>
      <c r="C907" s="66"/>
      <c r="D907" s="327"/>
      <c r="E907" s="66"/>
      <c r="F907" s="66"/>
      <c r="G907" s="327"/>
      <c r="H907" s="66"/>
      <c r="I907" s="66"/>
      <c r="J907" s="327"/>
      <c r="K907" s="66"/>
      <c r="L907" s="66"/>
      <c r="M907" s="66"/>
      <c r="N907" s="66"/>
      <c r="O907" s="66"/>
      <c r="P907" s="66"/>
      <c r="Q907" s="66"/>
      <c r="R907" s="66"/>
      <c r="S907" s="66"/>
      <c r="T907" s="66"/>
      <c r="U907" s="66"/>
      <c r="V907" s="66"/>
      <c r="W907" s="66"/>
      <c r="X907" s="66"/>
      <c r="Y907" s="66"/>
      <c r="Z907" s="66"/>
      <c r="AA907" s="66"/>
      <c r="AB907" s="66"/>
      <c r="AC907" s="66"/>
    </row>
    <row r="908">
      <c r="A908" s="327"/>
      <c r="B908" s="66"/>
      <c r="C908" s="66"/>
      <c r="D908" s="327"/>
      <c r="E908" s="66"/>
      <c r="F908" s="66"/>
      <c r="G908" s="327"/>
      <c r="H908" s="66"/>
      <c r="I908" s="66"/>
      <c r="J908" s="327"/>
      <c r="K908" s="66"/>
      <c r="L908" s="66"/>
      <c r="M908" s="66"/>
      <c r="N908" s="66"/>
      <c r="O908" s="66"/>
      <c r="P908" s="66"/>
      <c r="Q908" s="66"/>
      <c r="R908" s="66"/>
      <c r="S908" s="66"/>
      <c r="T908" s="66"/>
      <c r="U908" s="66"/>
      <c r="V908" s="66"/>
      <c r="W908" s="66"/>
      <c r="X908" s="66"/>
      <c r="Y908" s="66"/>
      <c r="Z908" s="66"/>
      <c r="AA908" s="66"/>
      <c r="AB908" s="66"/>
      <c r="AC908" s="66"/>
    </row>
    <row r="909">
      <c r="A909" s="327"/>
      <c r="B909" s="66"/>
      <c r="C909" s="66"/>
      <c r="D909" s="327"/>
      <c r="E909" s="66"/>
      <c r="F909" s="66"/>
      <c r="G909" s="327"/>
      <c r="H909" s="66"/>
      <c r="I909" s="66"/>
      <c r="J909" s="327"/>
      <c r="K909" s="66"/>
      <c r="L909" s="66"/>
      <c r="M909" s="66"/>
      <c r="N909" s="66"/>
      <c r="O909" s="66"/>
      <c r="P909" s="66"/>
      <c r="Q909" s="66"/>
      <c r="R909" s="66"/>
      <c r="S909" s="66"/>
      <c r="T909" s="66"/>
      <c r="U909" s="66"/>
      <c r="V909" s="66"/>
      <c r="W909" s="66"/>
      <c r="X909" s="66"/>
      <c r="Y909" s="66"/>
      <c r="Z909" s="66"/>
      <c r="AA909" s="66"/>
      <c r="AB909" s="66"/>
      <c r="AC909" s="66"/>
    </row>
    <row r="910">
      <c r="A910" s="327"/>
      <c r="B910" s="66"/>
      <c r="C910" s="66"/>
      <c r="D910" s="327"/>
      <c r="E910" s="66"/>
      <c r="F910" s="66"/>
      <c r="G910" s="327"/>
      <c r="H910" s="66"/>
      <c r="I910" s="66"/>
      <c r="J910" s="327"/>
      <c r="K910" s="66"/>
      <c r="L910" s="66"/>
      <c r="M910" s="66"/>
      <c r="N910" s="66"/>
      <c r="O910" s="66"/>
      <c r="P910" s="66"/>
      <c r="Q910" s="66"/>
      <c r="R910" s="66"/>
      <c r="S910" s="66"/>
      <c r="T910" s="66"/>
      <c r="U910" s="66"/>
      <c r="V910" s="66"/>
      <c r="W910" s="66"/>
      <c r="X910" s="66"/>
      <c r="Y910" s="66"/>
      <c r="Z910" s="66"/>
      <c r="AA910" s="66"/>
      <c r="AB910" s="66"/>
      <c r="AC910" s="66"/>
    </row>
    <row r="911">
      <c r="A911" s="327"/>
      <c r="B911" s="66"/>
      <c r="C911" s="66"/>
      <c r="D911" s="327"/>
      <c r="E911" s="66"/>
      <c r="F911" s="66"/>
      <c r="G911" s="327"/>
      <c r="H911" s="66"/>
      <c r="I911" s="66"/>
      <c r="J911" s="327"/>
      <c r="K911" s="66"/>
      <c r="L911" s="66"/>
      <c r="M911" s="66"/>
      <c r="N911" s="66"/>
      <c r="O911" s="66"/>
      <c r="P911" s="66"/>
      <c r="Q911" s="66"/>
      <c r="R911" s="66"/>
      <c r="S911" s="66"/>
      <c r="T911" s="66"/>
      <c r="U911" s="66"/>
      <c r="V911" s="66"/>
      <c r="W911" s="66"/>
      <c r="X911" s="66"/>
      <c r="Y911" s="66"/>
      <c r="Z911" s="66"/>
      <c r="AA911" s="66"/>
      <c r="AB911" s="66"/>
      <c r="AC911" s="66"/>
    </row>
    <row r="912">
      <c r="A912" s="327"/>
      <c r="B912" s="66"/>
      <c r="C912" s="66"/>
      <c r="D912" s="327"/>
      <c r="E912" s="66"/>
      <c r="F912" s="66"/>
      <c r="G912" s="327"/>
      <c r="H912" s="66"/>
      <c r="I912" s="66"/>
      <c r="J912" s="327"/>
      <c r="K912" s="66"/>
      <c r="L912" s="66"/>
      <c r="M912" s="66"/>
      <c r="N912" s="66"/>
      <c r="O912" s="66"/>
      <c r="P912" s="66"/>
      <c r="Q912" s="66"/>
      <c r="R912" s="66"/>
      <c r="S912" s="66"/>
      <c r="T912" s="66"/>
      <c r="U912" s="66"/>
      <c r="V912" s="66"/>
      <c r="W912" s="66"/>
      <c r="X912" s="66"/>
      <c r="Y912" s="66"/>
      <c r="Z912" s="66"/>
      <c r="AA912" s="66"/>
      <c r="AB912" s="66"/>
      <c r="AC912" s="66"/>
    </row>
    <row r="913">
      <c r="A913" s="327"/>
      <c r="B913" s="66"/>
      <c r="C913" s="66"/>
      <c r="D913" s="327"/>
      <c r="E913" s="66"/>
      <c r="F913" s="66"/>
      <c r="G913" s="327"/>
      <c r="H913" s="66"/>
      <c r="I913" s="66"/>
      <c r="J913" s="327"/>
      <c r="K913" s="66"/>
      <c r="L913" s="66"/>
      <c r="M913" s="66"/>
      <c r="N913" s="66"/>
      <c r="O913" s="66"/>
      <c r="P913" s="66"/>
      <c r="Q913" s="66"/>
      <c r="R913" s="66"/>
      <c r="S913" s="66"/>
      <c r="T913" s="66"/>
      <c r="U913" s="66"/>
      <c r="V913" s="66"/>
      <c r="W913" s="66"/>
      <c r="X913" s="66"/>
      <c r="Y913" s="66"/>
      <c r="Z913" s="66"/>
      <c r="AA913" s="66"/>
      <c r="AB913" s="66"/>
      <c r="AC913" s="66"/>
    </row>
    <row r="914">
      <c r="A914" s="327"/>
      <c r="B914" s="66"/>
      <c r="C914" s="66"/>
      <c r="D914" s="327"/>
      <c r="E914" s="66"/>
      <c r="F914" s="66"/>
      <c r="G914" s="327"/>
      <c r="H914" s="66"/>
      <c r="I914" s="66"/>
      <c r="J914" s="327"/>
      <c r="K914" s="66"/>
      <c r="L914" s="66"/>
      <c r="M914" s="66"/>
      <c r="N914" s="66"/>
      <c r="O914" s="66"/>
      <c r="P914" s="66"/>
      <c r="Q914" s="66"/>
      <c r="R914" s="66"/>
      <c r="S914" s="66"/>
      <c r="T914" s="66"/>
      <c r="U914" s="66"/>
      <c r="V914" s="66"/>
      <c r="W914" s="66"/>
      <c r="X914" s="66"/>
      <c r="Y914" s="66"/>
      <c r="Z914" s="66"/>
      <c r="AA914" s="66"/>
      <c r="AB914" s="66"/>
      <c r="AC914" s="66"/>
    </row>
    <row r="915">
      <c r="A915" s="327"/>
      <c r="B915" s="66"/>
      <c r="C915" s="66"/>
      <c r="D915" s="327"/>
      <c r="E915" s="66"/>
      <c r="F915" s="66"/>
      <c r="G915" s="327"/>
      <c r="H915" s="66"/>
      <c r="I915" s="66"/>
      <c r="J915" s="327"/>
      <c r="K915" s="66"/>
      <c r="L915" s="66"/>
      <c r="M915" s="66"/>
      <c r="N915" s="66"/>
      <c r="O915" s="66"/>
      <c r="P915" s="66"/>
      <c r="Q915" s="66"/>
      <c r="R915" s="66"/>
      <c r="S915" s="66"/>
      <c r="T915" s="66"/>
      <c r="U915" s="66"/>
      <c r="V915" s="66"/>
      <c r="W915" s="66"/>
      <c r="X915" s="66"/>
      <c r="Y915" s="66"/>
      <c r="Z915" s="66"/>
      <c r="AA915" s="66"/>
      <c r="AB915" s="66"/>
      <c r="AC915" s="66"/>
    </row>
    <row r="916">
      <c r="A916" s="327"/>
      <c r="B916" s="66"/>
      <c r="C916" s="66"/>
      <c r="D916" s="327"/>
      <c r="E916" s="66"/>
      <c r="F916" s="66"/>
      <c r="G916" s="327"/>
      <c r="H916" s="66"/>
      <c r="I916" s="66"/>
      <c r="J916" s="327"/>
      <c r="K916" s="66"/>
      <c r="L916" s="66"/>
      <c r="M916" s="66"/>
      <c r="N916" s="66"/>
      <c r="O916" s="66"/>
      <c r="P916" s="66"/>
      <c r="Q916" s="66"/>
      <c r="R916" s="66"/>
      <c r="S916" s="66"/>
      <c r="T916" s="66"/>
      <c r="U916" s="66"/>
      <c r="V916" s="66"/>
      <c r="W916" s="66"/>
      <c r="X916" s="66"/>
      <c r="Y916" s="66"/>
      <c r="Z916" s="66"/>
      <c r="AA916" s="66"/>
      <c r="AB916" s="66"/>
      <c r="AC916" s="66"/>
    </row>
    <row r="917">
      <c r="A917" s="327"/>
      <c r="B917" s="66"/>
      <c r="C917" s="66"/>
      <c r="D917" s="327"/>
      <c r="E917" s="66"/>
      <c r="F917" s="66"/>
      <c r="G917" s="327"/>
      <c r="H917" s="66"/>
      <c r="I917" s="66"/>
      <c r="J917" s="327"/>
      <c r="K917" s="66"/>
      <c r="L917" s="66"/>
      <c r="M917" s="66"/>
      <c r="N917" s="66"/>
      <c r="O917" s="66"/>
      <c r="P917" s="66"/>
      <c r="Q917" s="66"/>
      <c r="R917" s="66"/>
      <c r="S917" s="66"/>
      <c r="T917" s="66"/>
      <c r="U917" s="66"/>
      <c r="V917" s="66"/>
      <c r="W917" s="66"/>
      <c r="X917" s="66"/>
      <c r="Y917" s="66"/>
      <c r="Z917" s="66"/>
      <c r="AA917" s="66"/>
      <c r="AB917" s="66"/>
      <c r="AC917" s="66"/>
    </row>
    <row r="918">
      <c r="A918" s="327"/>
      <c r="B918" s="66"/>
      <c r="C918" s="66"/>
      <c r="D918" s="327"/>
      <c r="E918" s="66"/>
      <c r="F918" s="66"/>
      <c r="G918" s="327"/>
      <c r="H918" s="66"/>
      <c r="I918" s="66"/>
      <c r="J918" s="327"/>
      <c r="K918" s="66"/>
      <c r="L918" s="66"/>
      <c r="M918" s="66"/>
      <c r="N918" s="66"/>
      <c r="O918" s="66"/>
      <c r="P918" s="66"/>
      <c r="Q918" s="66"/>
      <c r="R918" s="66"/>
      <c r="S918" s="66"/>
      <c r="T918" s="66"/>
      <c r="U918" s="66"/>
      <c r="V918" s="66"/>
      <c r="W918" s="66"/>
      <c r="X918" s="66"/>
      <c r="Y918" s="66"/>
      <c r="Z918" s="66"/>
      <c r="AA918" s="66"/>
      <c r="AB918" s="66"/>
      <c r="AC918" s="66"/>
    </row>
    <row r="919">
      <c r="A919" s="327"/>
      <c r="B919" s="66"/>
      <c r="C919" s="66"/>
      <c r="D919" s="327"/>
      <c r="E919" s="66"/>
      <c r="F919" s="66"/>
      <c r="G919" s="327"/>
      <c r="H919" s="66"/>
      <c r="I919" s="66"/>
      <c r="J919" s="327"/>
      <c r="K919" s="66"/>
      <c r="L919" s="66"/>
      <c r="M919" s="66"/>
      <c r="N919" s="66"/>
      <c r="O919" s="66"/>
      <c r="P919" s="66"/>
      <c r="Q919" s="66"/>
      <c r="R919" s="66"/>
      <c r="S919" s="66"/>
      <c r="T919" s="66"/>
      <c r="U919" s="66"/>
      <c r="V919" s="66"/>
      <c r="W919" s="66"/>
      <c r="X919" s="66"/>
      <c r="Y919" s="66"/>
      <c r="Z919" s="66"/>
      <c r="AA919" s="66"/>
      <c r="AB919" s="66"/>
      <c r="AC919" s="66"/>
    </row>
    <row r="920">
      <c r="A920" s="327"/>
      <c r="B920" s="66"/>
      <c r="C920" s="66"/>
      <c r="D920" s="327"/>
      <c r="E920" s="66"/>
      <c r="F920" s="66"/>
      <c r="G920" s="327"/>
      <c r="H920" s="66"/>
      <c r="I920" s="66"/>
      <c r="J920" s="327"/>
      <c r="K920" s="66"/>
      <c r="L920" s="66"/>
      <c r="M920" s="66"/>
      <c r="N920" s="66"/>
      <c r="O920" s="66"/>
      <c r="P920" s="66"/>
      <c r="Q920" s="66"/>
      <c r="R920" s="66"/>
      <c r="S920" s="66"/>
      <c r="T920" s="66"/>
      <c r="U920" s="66"/>
      <c r="V920" s="66"/>
      <c r="W920" s="66"/>
      <c r="X920" s="66"/>
      <c r="Y920" s="66"/>
      <c r="Z920" s="66"/>
      <c r="AA920" s="66"/>
      <c r="AB920" s="66"/>
      <c r="AC920" s="66"/>
    </row>
    <row r="921">
      <c r="A921" s="327"/>
      <c r="B921" s="66"/>
      <c r="C921" s="66"/>
      <c r="D921" s="327"/>
      <c r="E921" s="66"/>
      <c r="F921" s="66"/>
      <c r="G921" s="327"/>
      <c r="H921" s="66"/>
      <c r="I921" s="66"/>
      <c r="J921" s="327"/>
      <c r="K921" s="66"/>
      <c r="L921" s="66"/>
      <c r="M921" s="66"/>
      <c r="N921" s="66"/>
      <c r="O921" s="66"/>
      <c r="P921" s="66"/>
      <c r="Q921" s="66"/>
      <c r="R921" s="66"/>
      <c r="S921" s="66"/>
      <c r="T921" s="66"/>
      <c r="U921" s="66"/>
      <c r="V921" s="66"/>
      <c r="W921" s="66"/>
      <c r="X921" s="66"/>
      <c r="Y921" s="66"/>
      <c r="Z921" s="66"/>
      <c r="AA921" s="66"/>
      <c r="AB921" s="66"/>
      <c r="AC921" s="66"/>
    </row>
    <row r="922">
      <c r="A922" s="327"/>
      <c r="B922" s="66"/>
      <c r="C922" s="66"/>
      <c r="D922" s="327"/>
      <c r="E922" s="66"/>
      <c r="F922" s="66"/>
      <c r="G922" s="327"/>
      <c r="H922" s="66"/>
      <c r="I922" s="66"/>
      <c r="J922" s="327"/>
      <c r="K922" s="66"/>
      <c r="L922" s="66"/>
      <c r="M922" s="66"/>
      <c r="N922" s="66"/>
      <c r="O922" s="66"/>
      <c r="P922" s="66"/>
      <c r="Q922" s="66"/>
      <c r="R922" s="66"/>
      <c r="S922" s="66"/>
      <c r="T922" s="66"/>
      <c r="U922" s="66"/>
      <c r="V922" s="66"/>
      <c r="W922" s="66"/>
      <c r="X922" s="66"/>
      <c r="Y922" s="66"/>
      <c r="Z922" s="66"/>
      <c r="AA922" s="66"/>
      <c r="AB922" s="66"/>
      <c r="AC922" s="66"/>
    </row>
    <row r="923">
      <c r="A923" s="327"/>
      <c r="B923" s="66"/>
      <c r="C923" s="66"/>
      <c r="D923" s="327"/>
      <c r="E923" s="66"/>
      <c r="F923" s="66"/>
      <c r="G923" s="327"/>
      <c r="H923" s="66"/>
      <c r="I923" s="66"/>
      <c r="J923" s="327"/>
      <c r="K923" s="66"/>
      <c r="L923" s="66"/>
      <c r="M923" s="66"/>
      <c r="N923" s="66"/>
      <c r="O923" s="66"/>
      <c r="P923" s="66"/>
      <c r="Q923" s="66"/>
      <c r="R923" s="66"/>
      <c r="S923" s="66"/>
      <c r="T923" s="66"/>
      <c r="U923" s="66"/>
      <c r="V923" s="66"/>
      <c r="W923" s="66"/>
      <c r="X923" s="66"/>
      <c r="Y923" s="66"/>
      <c r="Z923" s="66"/>
      <c r="AA923" s="66"/>
      <c r="AB923" s="66"/>
      <c r="AC923" s="66"/>
    </row>
    <row r="924">
      <c r="A924" s="327"/>
      <c r="B924" s="66"/>
      <c r="C924" s="66"/>
      <c r="D924" s="327"/>
      <c r="E924" s="66"/>
      <c r="F924" s="66"/>
      <c r="G924" s="327"/>
      <c r="H924" s="66"/>
      <c r="I924" s="66"/>
      <c r="J924" s="327"/>
      <c r="K924" s="66"/>
      <c r="L924" s="66"/>
      <c r="M924" s="66"/>
      <c r="N924" s="66"/>
      <c r="O924" s="66"/>
      <c r="P924" s="66"/>
      <c r="Q924" s="66"/>
      <c r="R924" s="66"/>
      <c r="S924" s="66"/>
      <c r="T924" s="66"/>
      <c r="U924" s="66"/>
      <c r="V924" s="66"/>
      <c r="W924" s="66"/>
      <c r="X924" s="66"/>
      <c r="Y924" s="66"/>
      <c r="Z924" s="66"/>
      <c r="AA924" s="66"/>
      <c r="AB924" s="66"/>
      <c r="AC924" s="66"/>
    </row>
    <row r="925">
      <c r="A925" s="327"/>
      <c r="B925" s="66"/>
      <c r="C925" s="66"/>
      <c r="D925" s="327"/>
      <c r="E925" s="66"/>
      <c r="F925" s="66"/>
      <c r="G925" s="327"/>
      <c r="H925" s="66"/>
      <c r="I925" s="66"/>
      <c r="J925" s="327"/>
      <c r="K925" s="66"/>
      <c r="L925" s="66"/>
      <c r="M925" s="66"/>
      <c r="N925" s="66"/>
      <c r="O925" s="66"/>
      <c r="P925" s="66"/>
      <c r="Q925" s="66"/>
      <c r="R925" s="66"/>
      <c r="S925" s="66"/>
      <c r="T925" s="66"/>
      <c r="U925" s="66"/>
      <c r="V925" s="66"/>
      <c r="W925" s="66"/>
      <c r="X925" s="66"/>
      <c r="Y925" s="66"/>
      <c r="Z925" s="66"/>
      <c r="AA925" s="66"/>
      <c r="AB925" s="66"/>
      <c r="AC925" s="66"/>
    </row>
    <row r="926">
      <c r="A926" s="327"/>
      <c r="B926" s="66"/>
      <c r="C926" s="66"/>
      <c r="D926" s="327"/>
      <c r="E926" s="66"/>
      <c r="F926" s="66"/>
      <c r="G926" s="327"/>
      <c r="H926" s="66"/>
      <c r="I926" s="66"/>
      <c r="J926" s="327"/>
      <c r="K926" s="66"/>
      <c r="L926" s="66"/>
      <c r="M926" s="66"/>
      <c r="N926" s="66"/>
      <c r="O926" s="66"/>
      <c r="P926" s="66"/>
      <c r="Q926" s="66"/>
      <c r="R926" s="66"/>
      <c r="S926" s="66"/>
      <c r="T926" s="66"/>
      <c r="U926" s="66"/>
      <c r="V926" s="66"/>
      <c r="W926" s="66"/>
      <c r="X926" s="66"/>
      <c r="Y926" s="66"/>
      <c r="Z926" s="66"/>
      <c r="AA926" s="66"/>
      <c r="AB926" s="66"/>
      <c r="AC926" s="66"/>
    </row>
    <row r="927">
      <c r="A927" s="327"/>
      <c r="B927" s="66"/>
      <c r="C927" s="66"/>
      <c r="D927" s="327"/>
      <c r="E927" s="66"/>
      <c r="F927" s="66"/>
      <c r="G927" s="327"/>
      <c r="H927" s="66"/>
      <c r="I927" s="66"/>
      <c r="J927" s="327"/>
      <c r="K927" s="66"/>
      <c r="L927" s="66"/>
      <c r="M927" s="66"/>
      <c r="N927" s="66"/>
      <c r="O927" s="66"/>
      <c r="P927" s="66"/>
      <c r="Q927" s="66"/>
      <c r="R927" s="66"/>
      <c r="S927" s="66"/>
      <c r="T927" s="66"/>
      <c r="U927" s="66"/>
      <c r="V927" s="66"/>
      <c r="W927" s="66"/>
      <c r="X927" s="66"/>
      <c r="Y927" s="66"/>
      <c r="Z927" s="66"/>
      <c r="AA927" s="66"/>
      <c r="AB927" s="66"/>
      <c r="AC927" s="66"/>
    </row>
    <row r="928">
      <c r="A928" s="327"/>
      <c r="B928" s="66"/>
      <c r="C928" s="66"/>
      <c r="D928" s="327"/>
      <c r="E928" s="66"/>
      <c r="F928" s="66"/>
      <c r="G928" s="327"/>
      <c r="H928" s="66"/>
      <c r="I928" s="66"/>
      <c r="J928" s="327"/>
      <c r="K928" s="66"/>
      <c r="L928" s="66"/>
      <c r="M928" s="66"/>
      <c r="N928" s="66"/>
      <c r="O928" s="66"/>
      <c r="P928" s="66"/>
      <c r="Q928" s="66"/>
      <c r="R928" s="66"/>
      <c r="S928" s="66"/>
      <c r="T928" s="66"/>
      <c r="U928" s="66"/>
      <c r="V928" s="66"/>
      <c r="W928" s="66"/>
      <c r="X928" s="66"/>
      <c r="Y928" s="66"/>
      <c r="Z928" s="66"/>
      <c r="AA928" s="66"/>
      <c r="AB928" s="66"/>
      <c r="AC928" s="66"/>
    </row>
    <row r="929">
      <c r="A929" s="327"/>
      <c r="B929" s="66"/>
      <c r="C929" s="66"/>
      <c r="D929" s="327"/>
      <c r="E929" s="66"/>
      <c r="F929" s="66"/>
      <c r="G929" s="327"/>
      <c r="H929" s="66"/>
      <c r="I929" s="66"/>
      <c r="J929" s="327"/>
      <c r="K929" s="66"/>
      <c r="L929" s="66"/>
      <c r="M929" s="66"/>
      <c r="N929" s="66"/>
      <c r="O929" s="66"/>
      <c r="P929" s="66"/>
      <c r="Q929" s="66"/>
      <c r="R929" s="66"/>
      <c r="S929" s="66"/>
      <c r="T929" s="66"/>
      <c r="U929" s="66"/>
      <c r="V929" s="66"/>
      <c r="W929" s="66"/>
      <c r="X929" s="66"/>
      <c r="Y929" s="66"/>
      <c r="Z929" s="66"/>
      <c r="AA929" s="66"/>
      <c r="AB929" s="66"/>
      <c r="AC929" s="66"/>
    </row>
    <row r="930">
      <c r="A930" s="327"/>
      <c r="B930" s="66"/>
      <c r="C930" s="66"/>
      <c r="D930" s="327"/>
      <c r="E930" s="66"/>
      <c r="F930" s="66"/>
      <c r="G930" s="327"/>
      <c r="H930" s="66"/>
      <c r="I930" s="66"/>
      <c r="J930" s="327"/>
      <c r="K930" s="66"/>
      <c r="L930" s="66"/>
      <c r="M930" s="66"/>
      <c r="N930" s="66"/>
      <c r="O930" s="66"/>
      <c r="P930" s="66"/>
      <c r="Q930" s="66"/>
      <c r="R930" s="66"/>
      <c r="S930" s="66"/>
      <c r="T930" s="66"/>
      <c r="U930" s="66"/>
      <c r="V930" s="66"/>
      <c r="W930" s="66"/>
      <c r="X930" s="66"/>
      <c r="Y930" s="66"/>
      <c r="Z930" s="66"/>
      <c r="AA930" s="66"/>
      <c r="AB930" s="66"/>
      <c r="AC930" s="66"/>
    </row>
    <row r="931">
      <c r="A931" s="327"/>
      <c r="B931" s="66"/>
      <c r="C931" s="66"/>
      <c r="D931" s="327"/>
      <c r="E931" s="66"/>
      <c r="F931" s="66"/>
      <c r="G931" s="327"/>
      <c r="H931" s="66"/>
      <c r="I931" s="66"/>
      <c r="J931" s="327"/>
      <c r="K931" s="66"/>
      <c r="L931" s="66"/>
      <c r="M931" s="66"/>
      <c r="N931" s="66"/>
      <c r="O931" s="66"/>
      <c r="P931" s="66"/>
      <c r="Q931" s="66"/>
      <c r="R931" s="66"/>
      <c r="S931" s="66"/>
      <c r="T931" s="66"/>
      <c r="U931" s="66"/>
      <c r="V931" s="66"/>
      <c r="W931" s="66"/>
      <c r="X931" s="66"/>
      <c r="Y931" s="66"/>
      <c r="Z931" s="66"/>
      <c r="AA931" s="66"/>
      <c r="AB931" s="66"/>
      <c r="AC931" s="66"/>
    </row>
    <row r="932">
      <c r="A932" s="327"/>
      <c r="B932" s="66"/>
      <c r="C932" s="66"/>
      <c r="D932" s="327"/>
      <c r="E932" s="66"/>
      <c r="F932" s="66"/>
      <c r="G932" s="327"/>
      <c r="H932" s="66"/>
      <c r="I932" s="66"/>
      <c r="J932" s="327"/>
      <c r="K932" s="66"/>
      <c r="L932" s="66"/>
      <c r="M932" s="66"/>
      <c r="N932" s="66"/>
      <c r="O932" s="66"/>
      <c r="P932" s="66"/>
      <c r="Q932" s="66"/>
      <c r="R932" s="66"/>
      <c r="S932" s="66"/>
      <c r="T932" s="66"/>
      <c r="U932" s="66"/>
      <c r="V932" s="66"/>
      <c r="W932" s="66"/>
      <c r="X932" s="66"/>
      <c r="Y932" s="66"/>
      <c r="Z932" s="66"/>
      <c r="AA932" s="66"/>
      <c r="AB932" s="66"/>
      <c r="AC932" s="66"/>
    </row>
    <row r="933">
      <c r="A933" s="327"/>
      <c r="B933" s="66"/>
      <c r="C933" s="66"/>
      <c r="D933" s="327"/>
      <c r="E933" s="66"/>
      <c r="F933" s="66"/>
      <c r="G933" s="327"/>
      <c r="H933" s="66"/>
      <c r="I933" s="66"/>
      <c r="J933" s="327"/>
      <c r="K933" s="66"/>
      <c r="L933" s="66"/>
      <c r="M933" s="66"/>
      <c r="N933" s="66"/>
      <c r="O933" s="66"/>
      <c r="P933" s="66"/>
      <c r="Q933" s="66"/>
      <c r="R933" s="66"/>
      <c r="S933" s="66"/>
      <c r="T933" s="66"/>
      <c r="U933" s="66"/>
      <c r="V933" s="66"/>
      <c r="W933" s="66"/>
      <c r="X933" s="66"/>
      <c r="Y933" s="66"/>
      <c r="Z933" s="66"/>
      <c r="AA933" s="66"/>
      <c r="AB933" s="66"/>
      <c r="AC933" s="66"/>
    </row>
    <row r="934">
      <c r="A934" s="327"/>
      <c r="B934" s="66"/>
      <c r="C934" s="66"/>
      <c r="D934" s="327"/>
      <c r="E934" s="66"/>
      <c r="F934" s="66"/>
      <c r="G934" s="327"/>
      <c r="H934" s="66"/>
      <c r="I934" s="66"/>
      <c r="J934" s="327"/>
      <c r="K934" s="66"/>
      <c r="L934" s="66"/>
      <c r="M934" s="66"/>
      <c r="N934" s="66"/>
      <c r="O934" s="66"/>
      <c r="P934" s="66"/>
      <c r="Q934" s="66"/>
      <c r="R934" s="66"/>
      <c r="S934" s="66"/>
      <c r="T934" s="66"/>
      <c r="U934" s="66"/>
      <c r="V934" s="66"/>
      <c r="W934" s="66"/>
      <c r="X934" s="66"/>
      <c r="Y934" s="66"/>
      <c r="Z934" s="66"/>
      <c r="AA934" s="66"/>
      <c r="AB934" s="66"/>
      <c r="AC934" s="66"/>
    </row>
    <row r="935">
      <c r="A935" s="327"/>
      <c r="B935" s="66"/>
      <c r="C935" s="66"/>
      <c r="D935" s="327"/>
      <c r="E935" s="66"/>
      <c r="F935" s="66"/>
      <c r="G935" s="327"/>
      <c r="H935" s="66"/>
      <c r="I935" s="66"/>
      <c r="J935" s="327"/>
      <c r="K935" s="66"/>
      <c r="L935" s="66"/>
      <c r="M935" s="66"/>
      <c r="N935" s="66"/>
      <c r="O935" s="66"/>
      <c r="P935" s="66"/>
      <c r="Q935" s="66"/>
      <c r="R935" s="66"/>
      <c r="S935" s="66"/>
      <c r="T935" s="66"/>
      <c r="U935" s="66"/>
      <c r="V935" s="66"/>
      <c r="W935" s="66"/>
      <c r="X935" s="66"/>
      <c r="Y935" s="66"/>
      <c r="Z935" s="66"/>
      <c r="AA935" s="66"/>
      <c r="AB935" s="66"/>
      <c r="AC935" s="66"/>
    </row>
    <row r="936">
      <c r="A936" s="327"/>
      <c r="B936" s="66"/>
      <c r="C936" s="66"/>
      <c r="D936" s="327"/>
      <c r="E936" s="66"/>
      <c r="F936" s="66"/>
      <c r="G936" s="327"/>
      <c r="H936" s="66"/>
      <c r="I936" s="66"/>
      <c r="J936" s="327"/>
      <c r="K936" s="66"/>
      <c r="L936" s="66"/>
      <c r="M936" s="66"/>
      <c r="N936" s="66"/>
      <c r="O936" s="66"/>
      <c r="P936" s="66"/>
      <c r="Q936" s="66"/>
      <c r="R936" s="66"/>
      <c r="S936" s="66"/>
      <c r="T936" s="66"/>
      <c r="U936" s="66"/>
      <c r="V936" s="66"/>
      <c r="W936" s="66"/>
      <c r="X936" s="66"/>
      <c r="Y936" s="66"/>
      <c r="Z936" s="66"/>
      <c r="AA936" s="66"/>
      <c r="AB936" s="66"/>
      <c r="AC936" s="66"/>
    </row>
    <row r="937">
      <c r="A937" s="327"/>
      <c r="B937" s="66"/>
      <c r="C937" s="66"/>
      <c r="D937" s="327"/>
      <c r="E937" s="66"/>
      <c r="F937" s="66"/>
      <c r="G937" s="327"/>
      <c r="H937" s="66"/>
      <c r="I937" s="66"/>
      <c r="J937" s="327"/>
      <c r="K937" s="66"/>
      <c r="L937" s="66"/>
      <c r="M937" s="66"/>
      <c r="N937" s="66"/>
      <c r="O937" s="66"/>
      <c r="P937" s="66"/>
      <c r="Q937" s="66"/>
      <c r="R937" s="66"/>
      <c r="S937" s="66"/>
      <c r="T937" s="66"/>
      <c r="U937" s="66"/>
      <c r="V937" s="66"/>
      <c r="W937" s="66"/>
      <c r="X937" s="66"/>
      <c r="Y937" s="66"/>
      <c r="Z937" s="66"/>
      <c r="AA937" s="66"/>
      <c r="AB937" s="66"/>
      <c r="AC937" s="66"/>
    </row>
    <row r="938">
      <c r="A938" s="327"/>
      <c r="B938" s="66"/>
      <c r="C938" s="66"/>
      <c r="D938" s="327"/>
      <c r="E938" s="66"/>
      <c r="F938" s="66"/>
      <c r="G938" s="327"/>
      <c r="H938" s="66"/>
      <c r="I938" s="66"/>
      <c r="J938" s="327"/>
      <c r="K938" s="66"/>
      <c r="L938" s="66"/>
      <c r="M938" s="66"/>
      <c r="N938" s="66"/>
      <c r="O938" s="66"/>
      <c r="P938" s="66"/>
      <c r="Q938" s="66"/>
      <c r="R938" s="66"/>
      <c r="S938" s="66"/>
      <c r="T938" s="66"/>
      <c r="U938" s="66"/>
      <c r="V938" s="66"/>
      <c r="W938" s="66"/>
      <c r="X938" s="66"/>
      <c r="Y938" s="66"/>
      <c r="Z938" s="66"/>
      <c r="AA938" s="66"/>
      <c r="AB938" s="66"/>
      <c r="AC938" s="66"/>
    </row>
    <row r="939">
      <c r="A939" s="327"/>
      <c r="B939" s="66"/>
      <c r="C939" s="66"/>
      <c r="D939" s="327"/>
      <c r="E939" s="66"/>
      <c r="F939" s="66"/>
      <c r="G939" s="327"/>
      <c r="H939" s="66"/>
      <c r="I939" s="66"/>
      <c r="J939" s="327"/>
      <c r="K939" s="66"/>
      <c r="L939" s="66"/>
      <c r="M939" s="66"/>
      <c r="N939" s="66"/>
      <c r="O939" s="66"/>
      <c r="P939" s="66"/>
      <c r="Q939" s="66"/>
      <c r="R939" s="66"/>
      <c r="S939" s="66"/>
      <c r="T939" s="66"/>
      <c r="U939" s="66"/>
      <c r="V939" s="66"/>
      <c r="W939" s="66"/>
      <c r="X939" s="66"/>
      <c r="Y939" s="66"/>
      <c r="Z939" s="66"/>
      <c r="AA939" s="66"/>
      <c r="AB939" s="66"/>
      <c r="AC939" s="66"/>
    </row>
    <row r="940">
      <c r="A940" s="327"/>
      <c r="B940" s="66"/>
      <c r="C940" s="66"/>
      <c r="D940" s="327"/>
      <c r="E940" s="66"/>
      <c r="F940" s="66"/>
      <c r="G940" s="327"/>
      <c r="H940" s="66"/>
      <c r="I940" s="66"/>
      <c r="J940" s="327"/>
      <c r="K940" s="66"/>
      <c r="L940" s="66"/>
      <c r="M940" s="66"/>
      <c r="N940" s="66"/>
      <c r="O940" s="66"/>
      <c r="P940" s="66"/>
      <c r="Q940" s="66"/>
      <c r="R940" s="66"/>
      <c r="S940" s="66"/>
      <c r="T940" s="66"/>
      <c r="U940" s="66"/>
      <c r="V940" s="66"/>
      <c r="W940" s="66"/>
      <c r="X940" s="66"/>
      <c r="Y940" s="66"/>
      <c r="Z940" s="66"/>
      <c r="AA940" s="66"/>
      <c r="AB940" s="66"/>
      <c r="AC940" s="66"/>
    </row>
    <row r="941">
      <c r="A941" s="327"/>
      <c r="B941" s="66"/>
      <c r="C941" s="66"/>
      <c r="D941" s="327"/>
      <c r="E941" s="66"/>
      <c r="F941" s="66"/>
      <c r="G941" s="327"/>
      <c r="H941" s="66"/>
      <c r="I941" s="66"/>
      <c r="J941" s="327"/>
      <c r="K941" s="66"/>
      <c r="L941" s="66"/>
      <c r="M941" s="66"/>
      <c r="N941" s="66"/>
      <c r="O941" s="66"/>
      <c r="P941" s="66"/>
      <c r="Q941" s="66"/>
      <c r="R941" s="66"/>
      <c r="S941" s="66"/>
      <c r="T941" s="66"/>
      <c r="U941" s="66"/>
      <c r="V941" s="66"/>
      <c r="W941" s="66"/>
      <c r="X941" s="66"/>
      <c r="Y941" s="66"/>
      <c r="Z941" s="66"/>
      <c r="AA941" s="66"/>
      <c r="AB941" s="66"/>
      <c r="AC941" s="66"/>
    </row>
    <row r="942">
      <c r="A942" s="327"/>
      <c r="B942" s="66"/>
      <c r="C942" s="66"/>
      <c r="D942" s="327"/>
      <c r="E942" s="66"/>
      <c r="F942" s="66"/>
      <c r="G942" s="327"/>
      <c r="H942" s="66"/>
      <c r="I942" s="66"/>
      <c r="J942" s="327"/>
      <c r="K942" s="66"/>
      <c r="L942" s="66"/>
      <c r="M942" s="66"/>
      <c r="N942" s="66"/>
      <c r="O942" s="66"/>
      <c r="P942" s="66"/>
      <c r="Q942" s="66"/>
      <c r="R942" s="66"/>
      <c r="S942" s="66"/>
      <c r="T942" s="66"/>
      <c r="U942" s="66"/>
      <c r="V942" s="66"/>
      <c r="W942" s="66"/>
      <c r="X942" s="66"/>
      <c r="Y942" s="66"/>
      <c r="Z942" s="66"/>
      <c r="AA942" s="66"/>
      <c r="AB942" s="66"/>
      <c r="AC942" s="66"/>
    </row>
    <row r="943">
      <c r="A943" s="327"/>
      <c r="B943" s="66"/>
      <c r="C943" s="66"/>
      <c r="D943" s="327"/>
      <c r="E943" s="66"/>
      <c r="F943" s="66"/>
      <c r="G943" s="327"/>
      <c r="H943" s="66"/>
      <c r="I943" s="66"/>
      <c r="J943" s="327"/>
      <c r="K943" s="66"/>
      <c r="L943" s="66"/>
      <c r="M943" s="66"/>
      <c r="N943" s="66"/>
      <c r="O943" s="66"/>
      <c r="P943" s="66"/>
      <c r="Q943" s="66"/>
      <c r="R943" s="66"/>
      <c r="S943" s="66"/>
      <c r="T943" s="66"/>
      <c r="U943" s="66"/>
      <c r="V943" s="66"/>
      <c r="W943" s="66"/>
      <c r="X943" s="66"/>
      <c r="Y943" s="66"/>
      <c r="Z943" s="66"/>
      <c r="AA943" s="66"/>
      <c r="AB943" s="66"/>
      <c r="AC943" s="66"/>
    </row>
    <row r="944">
      <c r="A944" s="327"/>
      <c r="B944" s="66"/>
      <c r="C944" s="66"/>
      <c r="D944" s="327"/>
      <c r="E944" s="66"/>
      <c r="F944" s="66"/>
      <c r="G944" s="327"/>
      <c r="H944" s="66"/>
      <c r="I944" s="66"/>
      <c r="J944" s="327"/>
      <c r="K944" s="66"/>
      <c r="L944" s="66"/>
      <c r="M944" s="66"/>
      <c r="N944" s="66"/>
      <c r="O944" s="66"/>
      <c r="P944" s="66"/>
      <c r="Q944" s="66"/>
      <c r="R944" s="66"/>
      <c r="S944" s="66"/>
      <c r="T944" s="66"/>
      <c r="U944" s="66"/>
      <c r="V944" s="66"/>
      <c r="W944" s="66"/>
      <c r="X944" s="66"/>
      <c r="Y944" s="66"/>
      <c r="Z944" s="66"/>
      <c r="AA944" s="66"/>
      <c r="AB944" s="66"/>
      <c r="AC944" s="66"/>
    </row>
    <row r="945">
      <c r="A945" s="327"/>
      <c r="B945" s="66"/>
      <c r="C945" s="66"/>
      <c r="D945" s="327"/>
      <c r="E945" s="66"/>
      <c r="F945" s="66"/>
      <c r="G945" s="327"/>
      <c r="H945" s="66"/>
      <c r="I945" s="66"/>
      <c r="J945" s="327"/>
      <c r="K945" s="66"/>
      <c r="L945" s="66"/>
      <c r="M945" s="66"/>
      <c r="N945" s="66"/>
      <c r="O945" s="66"/>
      <c r="P945" s="66"/>
      <c r="Q945" s="66"/>
      <c r="R945" s="66"/>
      <c r="S945" s="66"/>
      <c r="T945" s="66"/>
      <c r="U945" s="66"/>
      <c r="V945" s="66"/>
      <c r="W945" s="66"/>
      <c r="X945" s="66"/>
      <c r="Y945" s="66"/>
      <c r="Z945" s="66"/>
      <c r="AA945" s="66"/>
      <c r="AB945" s="66"/>
      <c r="AC945" s="66"/>
    </row>
    <row r="946">
      <c r="A946" s="327"/>
      <c r="B946" s="66"/>
      <c r="C946" s="66"/>
      <c r="D946" s="327"/>
      <c r="E946" s="66"/>
      <c r="F946" s="66"/>
      <c r="G946" s="327"/>
      <c r="H946" s="66"/>
      <c r="I946" s="66"/>
      <c r="J946" s="327"/>
      <c r="K946" s="66"/>
      <c r="L946" s="66"/>
      <c r="M946" s="66"/>
      <c r="N946" s="66"/>
      <c r="O946" s="66"/>
      <c r="P946" s="66"/>
      <c r="Q946" s="66"/>
      <c r="R946" s="66"/>
      <c r="S946" s="66"/>
      <c r="T946" s="66"/>
      <c r="U946" s="66"/>
      <c r="V946" s="66"/>
      <c r="W946" s="66"/>
      <c r="X946" s="66"/>
      <c r="Y946" s="66"/>
      <c r="Z946" s="66"/>
      <c r="AA946" s="66"/>
      <c r="AB946" s="66"/>
      <c r="AC946" s="66"/>
    </row>
    <row r="947">
      <c r="A947" s="327"/>
      <c r="B947" s="66"/>
      <c r="C947" s="66"/>
      <c r="D947" s="327"/>
      <c r="E947" s="66"/>
      <c r="F947" s="66"/>
      <c r="G947" s="327"/>
      <c r="H947" s="66"/>
      <c r="I947" s="66"/>
      <c r="J947" s="327"/>
      <c r="K947" s="66"/>
      <c r="L947" s="66"/>
      <c r="M947" s="66"/>
      <c r="N947" s="66"/>
      <c r="O947" s="66"/>
      <c r="P947" s="66"/>
      <c r="Q947" s="66"/>
      <c r="R947" s="66"/>
      <c r="S947" s="66"/>
      <c r="T947" s="66"/>
      <c r="U947" s="66"/>
      <c r="V947" s="66"/>
      <c r="W947" s="66"/>
      <c r="X947" s="66"/>
      <c r="Y947" s="66"/>
      <c r="Z947" s="66"/>
      <c r="AA947" s="66"/>
      <c r="AB947" s="66"/>
      <c r="AC947" s="66"/>
    </row>
    <row r="948">
      <c r="A948" s="327"/>
      <c r="B948" s="66"/>
      <c r="C948" s="66"/>
      <c r="D948" s="327"/>
      <c r="E948" s="66"/>
      <c r="F948" s="66"/>
      <c r="G948" s="327"/>
      <c r="H948" s="66"/>
      <c r="I948" s="66"/>
      <c r="J948" s="327"/>
      <c r="K948" s="66"/>
      <c r="L948" s="66"/>
      <c r="M948" s="66"/>
      <c r="N948" s="66"/>
      <c r="O948" s="66"/>
      <c r="P948" s="66"/>
      <c r="Q948" s="66"/>
      <c r="R948" s="66"/>
      <c r="S948" s="66"/>
      <c r="T948" s="66"/>
      <c r="U948" s="66"/>
      <c r="V948" s="66"/>
      <c r="W948" s="66"/>
      <c r="X948" s="66"/>
      <c r="Y948" s="66"/>
      <c r="Z948" s="66"/>
      <c r="AA948" s="66"/>
      <c r="AB948" s="66"/>
      <c r="AC948" s="66"/>
    </row>
    <row r="949">
      <c r="A949" s="327"/>
      <c r="B949" s="66"/>
      <c r="C949" s="66"/>
      <c r="D949" s="327"/>
      <c r="E949" s="66"/>
      <c r="F949" s="66"/>
      <c r="G949" s="327"/>
      <c r="H949" s="66"/>
      <c r="I949" s="66"/>
      <c r="J949" s="327"/>
      <c r="K949" s="66"/>
      <c r="L949" s="66"/>
      <c r="M949" s="66"/>
      <c r="N949" s="66"/>
      <c r="O949" s="66"/>
      <c r="P949" s="66"/>
      <c r="Q949" s="66"/>
      <c r="R949" s="66"/>
      <c r="S949" s="66"/>
      <c r="T949" s="66"/>
      <c r="U949" s="66"/>
      <c r="V949" s="66"/>
      <c r="W949" s="66"/>
      <c r="X949" s="66"/>
      <c r="Y949" s="66"/>
      <c r="Z949" s="66"/>
      <c r="AA949" s="66"/>
      <c r="AB949" s="66"/>
      <c r="AC949" s="66"/>
    </row>
    <row r="950">
      <c r="A950" s="327"/>
      <c r="B950" s="66"/>
      <c r="C950" s="66"/>
      <c r="D950" s="327"/>
      <c r="E950" s="66"/>
      <c r="F950" s="66"/>
      <c r="G950" s="327"/>
      <c r="H950" s="66"/>
      <c r="I950" s="66"/>
      <c r="J950" s="327"/>
      <c r="K950" s="66"/>
      <c r="L950" s="66"/>
      <c r="M950" s="66"/>
      <c r="N950" s="66"/>
      <c r="O950" s="66"/>
      <c r="P950" s="66"/>
      <c r="Q950" s="66"/>
      <c r="R950" s="66"/>
      <c r="S950" s="66"/>
      <c r="T950" s="66"/>
      <c r="U950" s="66"/>
      <c r="V950" s="66"/>
      <c r="W950" s="66"/>
      <c r="X950" s="66"/>
      <c r="Y950" s="66"/>
      <c r="Z950" s="66"/>
      <c r="AA950" s="66"/>
      <c r="AB950" s="66"/>
      <c r="AC950" s="66"/>
    </row>
    <row r="951">
      <c r="A951" s="327"/>
      <c r="B951" s="66"/>
      <c r="C951" s="66"/>
      <c r="D951" s="327"/>
      <c r="E951" s="66"/>
      <c r="F951" s="66"/>
      <c r="G951" s="327"/>
      <c r="H951" s="66"/>
      <c r="I951" s="66"/>
      <c r="J951" s="327"/>
      <c r="K951" s="66"/>
      <c r="L951" s="66"/>
      <c r="M951" s="66"/>
      <c r="N951" s="66"/>
      <c r="O951" s="66"/>
      <c r="P951" s="66"/>
      <c r="Q951" s="66"/>
      <c r="R951" s="66"/>
      <c r="S951" s="66"/>
      <c r="T951" s="66"/>
      <c r="U951" s="66"/>
      <c r="V951" s="66"/>
      <c r="W951" s="66"/>
      <c r="X951" s="66"/>
      <c r="Y951" s="66"/>
      <c r="Z951" s="66"/>
      <c r="AA951" s="66"/>
      <c r="AB951" s="66"/>
      <c r="AC951" s="66"/>
    </row>
    <row r="952">
      <c r="A952" s="327"/>
      <c r="B952" s="66"/>
      <c r="C952" s="66"/>
      <c r="D952" s="327"/>
      <c r="E952" s="66"/>
      <c r="F952" s="66"/>
      <c r="G952" s="327"/>
      <c r="H952" s="66"/>
      <c r="I952" s="66"/>
      <c r="J952" s="327"/>
      <c r="K952" s="66"/>
      <c r="L952" s="66"/>
      <c r="M952" s="66"/>
      <c r="N952" s="66"/>
      <c r="O952" s="66"/>
      <c r="P952" s="66"/>
      <c r="Q952" s="66"/>
      <c r="R952" s="66"/>
      <c r="S952" s="66"/>
      <c r="T952" s="66"/>
      <c r="U952" s="66"/>
      <c r="V952" s="66"/>
      <c r="W952" s="66"/>
      <c r="X952" s="66"/>
      <c r="Y952" s="66"/>
      <c r="Z952" s="66"/>
      <c r="AA952" s="66"/>
      <c r="AB952" s="66"/>
      <c r="AC952" s="66"/>
    </row>
    <row r="953">
      <c r="A953" s="327"/>
      <c r="B953" s="66"/>
      <c r="C953" s="66"/>
      <c r="D953" s="327"/>
      <c r="E953" s="66"/>
      <c r="F953" s="66"/>
      <c r="G953" s="327"/>
      <c r="H953" s="66"/>
      <c r="I953" s="66"/>
      <c r="J953" s="327"/>
      <c r="K953" s="66"/>
      <c r="L953" s="66"/>
      <c r="M953" s="66"/>
      <c r="N953" s="66"/>
      <c r="O953" s="66"/>
      <c r="P953" s="66"/>
      <c r="Q953" s="66"/>
      <c r="R953" s="66"/>
      <c r="S953" s="66"/>
      <c r="T953" s="66"/>
      <c r="U953" s="66"/>
      <c r="V953" s="66"/>
      <c r="W953" s="66"/>
      <c r="X953" s="66"/>
      <c r="Y953" s="66"/>
      <c r="Z953" s="66"/>
      <c r="AA953" s="66"/>
      <c r="AB953" s="66"/>
      <c r="AC953" s="66"/>
    </row>
    <row r="954">
      <c r="A954" s="327"/>
      <c r="B954" s="66"/>
      <c r="C954" s="66"/>
      <c r="D954" s="327"/>
      <c r="E954" s="66"/>
      <c r="F954" s="66"/>
      <c r="G954" s="327"/>
      <c r="H954" s="66"/>
      <c r="I954" s="66"/>
      <c r="J954" s="327"/>
      <c r="K954" s="66"/>
      <c r="L954" s="66"/>
      <c r="M954" s="66"/>
      <c r="N954" s="66"/>
      <c r="O954" s="66"/>
      <c r="P954" s="66"/>
      <c r="Q954" s="66"/>
      <c r="R954" s="66"/>
      <c r="S954" s="66"/>
      <c r="T954" s="66"/>
      <c r="U954" s="66"/>
      <c r="V954" s="66"/>
      <c r="W954" s="66"/>
      <c r="X954" s="66"/>
      <c r="Y954" s="66"/>
      <c r="Z954" s="66"/>
      <c r="AA954" s="66"/>
      <c r="AB954" s="66"/>
      <c r="AC954" s="66"/>
    </row>
    <row r="955">
      <c r="A955" s="327"/>
      <c r="B955" s="66"/>
      <c r="C955" s="66"/>
      <c r="D955" s="327"/>
      <c r="E955" s="66"/>
      <c r="F955" s="66"/>
      <c r="G955" s="327"/>
      <c r="H955" s="66"/>
      <c r="I955" s="66"/>
      <c r="J955" s="327"/>
      <c r="K955" s="66"/>
      <c r="L955" s="66"/>
      <c r="M955" s="66"/>
      <c r="N955" s="66"/>
      <c r="O955" s="66"/>
      <c r="P955" s="66"/>
      <c r="Q955" s="66"/>
      <c r="R955" s="66"/>
      <c r="S955" s="66"/>
      <c r="T955" s="66"/>
      <c r="U955" s="66"/>
      <c r="V955" s="66"/>
      <c r="W955" s="66"/>
      <c r="X955" s="66"/>
      <c r="Y955" s="66"/>
      <c r="Z955" s="66"/>
      <c r="AA955" s="66"/>
      <c r="AB955" s="66"/>
      <c r="AC955" s="66"/>
    </row>
    <row r="956">
      <c r="A956" s="327"/>
      <c r="B956" s="66"/>
      <c r="C956" s="66"/>
      <c r="D956" s="327"/>
      <c r="E956" s="66"/>
      <c r="F956" s="66"/>
      <c r="G956" s="327"/>
      <c r="H956" s="66"/>
      <c r="I956" s="66"/>
      <c r="J956" s="327"/>
      <c r="K956" s="66"/>
      <c r="L956" s="66"/>
      <c r="M956" s="66"/>
      <c r="N956" s="66"/>
      <c r="O956" s="66"/>
      <c r="P956" s="66"/>
      <c r="Q956" s="66"/>
      <c r="R956" s="66"/>
      <c r="S956" s="66"/>
      <c r="T956" s="66"/>
      <c r="U956" s="66"/>
      <c r="V956" s="66"/>
      <c r="W956" s="66"/>
      <c r="X956" s="66"/>
      <c r="Y956" s="66"/>
      <c r="Z956" s="66"/>
      <c r="AA956" s="66"/>
      <c r="AB956" s="66"/>
      <c r="AC956" s="66"/>
    </row>
    <row r="957">
      <c r="A957" s="327"/>
      <c r="B957" s="66"/>
      <c r="C957" s="66"/>
      <c r="D957" s="327"/>
      <c r="E957" s="66"/>
      <c r="F957" s="66"/>
      <c r="G957" s="327"/>
      <c r="H957" s="66"/>
      <c r="I957" s="66"/>
      <c r="J957" s="327"/>
      <c r="K957" s="66"/>
      <c r="L957" s="66"/>
      <c r="M957" s="66"/>
      <c r="N957" s="66"/>
      <c r="O957" s="66"/>
      <c r="P957" s="66"/>
      <c r="Q957" s="66"/>
      <c r="R957" s="66"/>
      <c r="S957" s="66"/>
      <c r="T957" s="66"/>
      <c r="U957" s="66"/>
      <c r="V957" s="66"/>
      <c r="W957" s="66"/>
      <c r="X957" s="66"/>
      <c r="Y957" s="66"/>
      <c r="Z957" s="66"/>
      <c r="AA957" s="66"/>
      <c r="AB957" s="66"/>
      <c r="AC957" s="66"/>
    </row>
    <row r="958">
      <c r="A958" s="327"/>
      <c r="B958" s="66"/>
      <c r="C958" s="66"/>
      <c r="D958" s="327"/>
      <c r="E958" s="66"/>
      <c r="F958" s="66"/>
      <c r="G958" s="327"/>
      <c r="H958" s="66"/>
      <c r="I958" s="66"/>
      <c r="J958" s="327"/>
      <c r="K958" s="66"/>
      <c r="L958" s="66"/>
      <c r="M958" s="66"/>
      <c r="N958" s="66"/>
      <c r="O958" s="66"/>
      <c r="P958" s="66"/>
      <c r="Q958" s="66"/>
      <c r="R958" s="66"/>
      <c r="S958" s="66"/>
      <c r="T958" s="66"/>
      <c r="U958" s="66"/>
      <c r="V958" s="66"/>
      <c r="W958" s="66"/>
      <c r="X958" s="66"/>
      <c r="Y958" s="66"/>
      <c r="Z958" s="66"/>
      <c r="AA958" s="66"/>
      <c r="AB958" s="66"/>
      <c r="AC958" s="66"/>
    </row>
    <row r="959">
      <c r="A959" s="327"/>
      <c r="B959" s="66"/>
      <c r="C959" s="66"/>
      <c r="D959" s="327"/>
      <c r="E959" s="66"/>
      <c r="F959" s="66"/>
      <c r="G959" s="327"/>
      <c r="H959" s="66"/>
      <c r="I959" s="66"/>
      <c r="J959" s="327"/>
      <c r="K959" s="66"/>
      <c r="L959" s="66"/>
      <c r="M959" s="66"/>
      <c r="N959" s="66"/>
      <c r="O959" s="66"/>
      <c r="P959" s="66"/>
      <c r="Q959" s="66"/>
      <c r="R959" s="66"/>
      <c r="S959" s="66"/>
      <c r="T959" s="66"/>
      <c r="U959" s="66"/>
      <c r="V959" s="66"/>
      <c r="W959" s="66"/>
      <c r="X959" s="66"/>
      <c r="Y959" s="66"/>
      <c r="Z959" s="66"/>
      <c r="AA959" s="66"/>
      <c r="AB959" s="66"/>
      <c r="AC959" s="66"/>
    </row>
    <row r="960">
      <c r="A960" s="327"/>
      <c r="B960" s="66"/>
      <c r="C960" s="66"/>
      <c r="D960" s="327"/>
      <c r="E960" s="66"/>
      <c r="F960" s="66"/>
      <c r="G960" s="327"/>
      <c r="H960" s="66"/>
      <c r="I960" s="66"/>
      <c r="J960" s="327"/>
      <c r="K960" s="66"/>
      <c r="L960" s="66"/>
      <c r="M960" s="66"/>
      <c r="N960" s="66"/>
      <c r="O960" s="66"/>
      <c r="P960" s="66"/>
      <c r="Q960" s="66"/>
      <c r="R960" s="66"/>
      <c r="S960" s="66"/>
      <c r="T960" s="66"/>
      <c r="U960" s="66"/>
      <c r="V960" s="66"/>
      <c r="W960" s="66"/>
      <c r="X960" s="66"/>
      <c r="Y960" s="66"/>
      <c r="Z960" s="66"/>
      <c r="AA960" s="66"/>
      <c r="AB960" s="66"/>
      <c r="AC960" s="66"/>
    </row>
    <row r="961">
      <c r="A961" s="327"/>
      <c r="B961" s="66"/>
      <c r="C961" s="66"/>
      <c r="D961" s="327"/>
      <c r="E961" s="66"/>
      <c r="F961" s="66"/>
      <c r="G961" s="327"/>
      <c r="H961" s="66"/>
      <c r="I961" s="66"/>
      <c r="J961" s="327"/>
      <c r="K961" s="66"/>
      <c r="L961" s="66"/>
      <c r="M961" s="66"/>
      <c r="N961" s="66"/>
      <c r="O961" s="66"/>
      <c r="P961" s="66"/>
      <c r="Q961" s="66"/>
      <c r="R961" s="66"/>
      <c r="S961" s="66"/>
      <c r="T961" s="66"/>
      <c r="U961" s="66"/>
      <c r="V961" s="66"/>
      <c r="W961" s="66"/>
      <c r="X961" s="66"/>
      <c r="Y961" s="66"/>
      <c r="Z961" s="66"/>
      <c r="AA961" s="66"/>
      <c r="AB961" s="66"/>
      <c r="AC961" s="66"/>
    </row>
    <row r="962">
      <c r="A962" s="327"/>
      <c r="B962" s="66"/>
      <c r="C962" s="66"/>
      <c r="D962" s="327"/>
      <c r="E962" s="66"/>
      <c r="F962" s="66"/>
      <c r="G962" s="327"/>
      <c r="H962" s="66"/>
      <c r="I962" s="66"/>
      <c r="J962" s="327"/>
      <c r="K962" s="66"/>
      <c r="L962" s="66"/>
      <c r="M962" s="66"/>
      <c r="N962" s="66"/>
      <c r="O962" s="66"/>
      <c r="P962" s="66"/>
      <c r="Q962" s="66"/>
      <c r="R962" s="66"/>
      <c r="S962" s="66"/>
      <c r="T962" s="66"/>
      <c r="U962" s="66"/>
      <c r="V962" s="66"/>
      <c r="W962" s="66"/>
      <c r="X962" s="66"/>
      <c r="Y962" s="66"/>
      <c r="Z962" s="66"/>
      <c r="AA962" s="66"/>
      <c r="AB962" s="66"/>
      <c r="AC962" s="66"/>
    </row>
    <row r="963">
      <c r="A963" s="327"/>
      <c r="B963" s="66"/>
      <c r="C963" s="66"/>
      <c r="D963" s="327"/>
      <c r="E963" s="66"/>
      <c r="F963" s="66"/>
      <c r="G963" s="327"/>
      <c r="H963" s="66"/>
      <c r="I963" s="66"/>
      <c r="J963" s="327"/>
      <c r="K963" s="66"/>
      <c r="L963" s="66"/>
      <c r="M963" s="66"/>
      <c r="N963" s="66"/>
      <c r="O963" s="66"/>
      <c r="P963" s="66"/>
      <c r="Q963" s="66"/>
      <c r="R963" s="66"/>
      <c r="S963" s="66"/>
      <c r="T963" s="66"/>
      <c r="U963" s="66"/>
      <c r="V963" s="66"/>
      <c r="W963" s="66"/>
      <c r="X963" s="66"/>
      <c r="Y963" s="66"/>
      <c r="Z963" s="66"/>
      <c r="AA963" s="66"/>
      <c r="AB963" s="66"/>
      <c r="AC963" s="66"/>
    </row>
    <row r="964">
      <c r="A964" s="327"/>
      <c r="B964" s="66"/>
      <c r="C964" s="66"/>
      <c r="D964" s="327"/>
      <c r="E964" s="66"/>
      <c r="F964" s="66"/>
      <c r="G964" s="327"/>
      <c r="H964" s="66"/>
      <c r="I964" s="66"/>
      <c r="J964" s="327"/>
      <c r="K964" s="66"/>
      <c r="L964" s="66"/>
      <c r="M964" s="66"/>
      <c r="N964" s="66"/>
      <c r="O964" s="66"/>
      <c r="P964" s="66"/>
      <c r="Q964" s="66"/>
      <c r="R964" s="66"/>
      <c r="S964" s="66"/>
      <c r="T964" s="66"/>
      <c r="U964" s="66"/>
      <c r="V964" s="66"/>
      <c r="W964" s="66"/>
      <c r="X964" s="66"/>
      <c r="Y964" s="66"/>
      <c r="Z964" s="66"/>
      <c r="AA964" s="66"/>
      <c r="AB964" s="66"/>
      <c r="AC964" s="66"/>
    </row>
    <row r="965">
      <c r="A965" s="327"/>
      <c r="B965" s="66"/>
      <c r="C965" s="66"/>
      <c r="D965" s="327"/>
      <c r="E965" s="66"/>
      <c r="F965" s="66"/>
      <c r="G965" s="327"/>
      <c r="H965" s="66"/>
      <c r="I965" s="66"/>
      <c r="J965" s="327"/>
      <c r="K965" s="66"/>
      <c r="L965" s="66"/>
      <c r="M965" s="66"/>
      <c r="N965" s="66"/>
      <c r="O965" s="66"/>
      <c r="P965" s="66"/>
      <c r="Q965" s="66"/>
      <c r="R965" s="66"/>
      <c r="S965" s="66"/>
      <c r="T965" s="66"/>
      <c r="U965" s="66"/>
      <c r="V965" s="66"/>
      <c r="W965" s="66"/>
      <c r="X965" s="66"/>
      <c r="Y965" s="66"/>
      <c r="Z965" s="66"/>
      <c r="AA965" s="66"/>
      <c r="AB965" s="66"/>
      <c r="AC965" s="66"/>
    </row>
    <row r="966">
      <c r="A966" s="327"/>
      <c r="B966" s="66"/>
      <c r="C966" s="66"/>
      <c r="D966" s="327"/>
      <c r="E966" s="66"/>
      <c r="F966" s="66"/>
      <c r="G966" s="327"/>
      <c r="H966" s="66"/>
      <c r="I966" s="66"/>
      <c r="J966" s="327"/>
      <c r="K966" s="66"/>
      <c r="L966" s="66"/>
      <c r="M966" s="66"/>
      <c r="N966" s="66"/>
      <c r="O966" s="66"/>
      <c r="P966" s="66"/>
      <c r="Q966" s="66"/>
      <c r="R966" s="66"/>
      <c r="S966" s="66"/>
      <c r="T966" s="66"/>
      <c r="U966" s="66"/>
      <c r="V966" s="66"/>
      <c r="W966" s="66"/>
      <c r="X966" s="66"/>
      <c r="Y966" s="66"/>
      <c r="Z966" s="66"/>
      <c r="AA966" s="66"/>
      <c r="AB966" s="66"/>
      <c r="AC966" s="66"/>
    </row>
    <row r="967">
      <c r="A967" s="327"/>
      <c r="B967" s="66"/>
      <c r="C967" s="66"/>
      <c r="D967" s="327"/>
      <c r="E967" s="66"/>
      <c r="F967" s="66"/>
      <c r="G967" s="327"/>
      <c r="H967" s="66"/>
      <c r="I967" s="66"/>
      <c r="J967" s="327"/>
      <c r="K967" s="66"/>
      <c r="L967" s="66"/>
      <c r="M967" s="66"/>
      <c r="N967" s="66"/>
      <c r="O967" s="66"/>
      <c r="P967" s="66"/>
      <c r="Q967" s="66"/>
      <c r="R967" s="66"/>
      <c r="S967" s="66"/>
      <c r="T967" s="66"/>
      <c r="U967" s="66"/>
      <c r="V967" s="66"/>
      <c r="W967" s="66"/>
      <c r="X967" s="66"/>
      <c r="Y967" s="66"/>
      <c r="Z967" s="66"/>
      <c r="AA967" s="66"/>
      <c r="AB967" s="66"/>
      <c r="AC967" s="66"/>
    </row>
    <row r="968">
      <c r="A968" s="327"/>
      <c r="B968" s="66"/>
      <c r="C968" s="66"/>
      <c r="D968" s="327"/>
      <c r="E968" s="66"/>
      <c r="F968" s="66"/>
      <c r="G968" s="327"/>
      <c r="H968" s="66"/>
      <c r="I968" s="66"/>
      <c r="J968" s="327"/>
      <c r="K968" s="66"/>
      <c r="L968" s="66"/>
      <c r="M968" s="66"/>
      <c r="N968" s="66"/>
      <c r="O968" s="66"/>
      <c r="P968" s="66"/>
      <c r="Q968" s="66"/>
      <c r="R968" s="66"/>
      <c r="S968" s="66"/>
      <c r="T968" s="66"/>
      <c r="U968" s="66"/>
      <c r="V968" s="66"/>
      <c r="W968" s="66"/>
      <c r="X968" s="66"/>
      <c r="Y968" s="66"/>
      <c r="Z968" s="66"/>
      <c r="AA968" s="66"/>
      <c r="AB968" s="66"/>
      <c r="AC968" s="66"/>
    </row>
    <row r="969">
      <c r="A969" s="327"/>
      <c r="B969" s="66"/>
      <c r="C969" s="66"/>
      <c r="D969" s="327"/>
      <c r="E969" s="66"/>
      <c r="F969" s="66"/>
      <c r="G969" s="327"/>
      <c r="H969" s="66"/>
      <c r="I969" s="66"/>
      <c r="J969" s="327"/>
      <c r="K969" s="66"/>
      <c r="L969" s="66"/>
      <c r="M969" s="66"/>
      <c r="N969" s="66"/>
      <c r="O969" s="66"/>
      <c r="P969" s="66"/>
      <c r="Q969" s="66"/>
      <c r="R969" s="66"/>
      <c r="S969" s="66"/>
      <c r="T969" s="66"/>
      <c r="U969" s="66"/>
      <c r="V969" s="66"/>
      <c r="W969" s="66"/>
      <c r="X969" s="66"/>
      <c r="Y969" s="66"/>
      <c r="Z969" s="66"/>
      <c r="AA969" s="66"/>
      <c r="AB969" s="66"/>
      <c r="AC969" s="66"/>
    </row>
    <row r="970">
      <c r="A970" s="327"/>
      <c r="B970" s="66"/>
      <c r="C970" s="66"/>
      <c r="D970" s="327"/>
      <c r="E970" s="66"/>
      <c r="F970" s="66"/>
      <c r="G970" s="327"/>
      <c r="H970" s="66"/>
      <c r="I970" s="66"/>
      <c r="J970" s="327"/>
      <c r="K970" s="66"/>
      <c r="L970" s="66"/>
      <c r="M970" s="66"/>
      <c r="N970" s="66"/>
      <c r="O970" s="66"/>
      <c r="P970" s="66"/>
      <c r="Q970" s="66"/>
      <c r="R970" s="66"/>
      <c r="S970" s="66"/>
      <c r="T970" s="66"/>
      <c r="U970" s="66"/>
      <c r="V970" s="66"/>
      <c r="W970" s="66"/>
      <c r="X970" s="66"/>
      <c r="Y970" s="66"/>
      <c r="Z970" s="66"/>
      <c r="AA970" s="66"/>
      <c r="AB970" s="66"/>
      <c r="AC970" s="66"/>
    </row>
    <row r="971">
      <c r="A971" s="327"/>
      <c r="B971" s="66"/>
      <c r="C971" s="66"/>
      <c r="D971" s="327"/>
      <c r="E971" s="66"/>
      <c r="F971" s="66"/>
      <c r="G971" s="327"/>
      <c r="H971" s="66"/>
      <c r="I971" s="66"/>
      <c r="J971" s="327"/>
      <c r="K971" s="66"/>
      <c r="L971" s="66"/>
      <c r="M971" s="66"/>
      <c r="N971" s="66"/>
      <c r="O971" s="66"/>
      <c r="P971" s="66"/>
      <c r="Q971" s="66"/>
      <c r="R971" s="66"/>
      <c r="S971" s="66"/>
      <c r="T971" s="66"/>
      <c r="U971" s="66"/>
      <c r="V971" s="66"/>
      <c r="W971" s="66"/>
      <c r="X971" s="66"/>
      <c r="Y971" s="66"/>
      <c r="Z971" s="66"/>
      <c r="AA971" s="66"/>
      <c r="AB971" s="66"/>
      <c r="AC971" s="66"/>
    </row>
    <row r="972">
      <c r="A972" s="327"/>
      <c r="B972" s="66"/>
      <c r="C972" s="66"/>
      <c r="D972" s="327"/>
      <c r="E972" s="66"/>
      <c r="F972" s="66"/>
      <c r="G972" s="327"/>
      <c r="H972" s="66"/>
      <c r="I972" s="66"/>
      <c r="J972" s="327"/>
      <c r="K972" s="66"/>
      <c r="L972" s="66"/>
      <c r="M972" s="66"/>
      <c r="N972" s="66"/>
      <c r="O972" s="66"/>
      <c r="P972" s="66"/>
      <c r="Q972" s="66"/>
      <c r="R972" s="66"/>
      <c r="S972" s="66"/>
      <c r="T972" s="66"/>
      <c r="U972" s="66"/>
      <c r="V972" s="66"/>
      <c r="W972" s="66"/>
      <c r="X972" s="66"/>
      <c r="Y972" s="66"/>
      <c r="Z972" s="66"/>
      <c r="AA972" s="66"/>
      <c r="AB972" s="66"/>
      <c r="AC972" s="66"/>
    </row>
    <row r="973">
      <c r="A973" s="327"/>
      <c r="B973" s="66"/>
      <c r="C973" s="66"/>
      <c r="D973" s="327"/>
      <c r="E973" s="66"/>
      <c r="F973" s="66"/>
      <c r="G973" s="327"/>
      <c r="H973" s="66"/>
      <c r="I973" s="66"/>
      <c r="J973" s="327"/>
      <c r="K973" s="66"/>
      <c r="L973" s="66"/>
      <c r="M973" s="66"/>
      <c r="N973" s="66"/>
      <c r="O973" s="66"/>
      <c r="P973" s="66"/>
      <c r="Q973" s="66"/>
      <c r="R973" s="66"/>
      <c r="S973" s="66"/>
      <c r="T973" s="66"/>
      <c r="U973" s="66"/>
      <c r="V973" s="66"/>
      <c r="W973" s="66"/>
      <c r="X973" s="66"/>
      <c r="Y973" s="66"/>
      <c r="Z973" s="66"/>
      <c r="AA973" s="66"/>
      <c r="AB973" s="66"/>
      <c r="AC973" s="66"/>
    </row>
    <row r="974">
      <c r="A974" s="327"/>
      <c r="B974" s="66"/>
      <c r="C974" s="66"/>
      <c r="D974" s="327"/>
      <c r="E974" s="66"/>
      <c r="F974" s="66"/>
      <c r="G974" s="327"/>
      <c r="H974" s="66"/>
      <c r="I974" s="66"/>
      <c r="J974" s="327"/>
      <c r="K974" s="66"/>
      <c r="L974" s="66"/>
      <c r="M974" s="66"/>
      <c r="N974" s="66"/>
      <c r="O974" s="66"/>
      <c r="P974" s="66"/>
      <c r="Q974" s="66"/>
      <c r="R974" s="66"/>
      <c r="S974" s="66"/>
      <c r="T974" s="66"/>
      <c r="U974" s="66"/>
      <c r="V974" s="66"/>
      <c r="W974" s="66"/>
      <c r="X974" s="66"/>
      <c r="Y974" s="66"/>
      <c r="Z974" s="66"/>
      <c r="AA974" s="66"/>
      <c r="AB974" s="66"/>
      <c r="AC974" s="66"/>
    </row>
    <row r="975">
      <c r="A975" s="327"/>
      <c r="B975" s="66"/>
      <c r="C975" s="66"/>
      <c r="D975" s="327"/>
      <c r="E975" s="66"/>
      <c r="F975" s="66"/>
      <c r="G975" s="327"/>
      <c r="H975" s="66"/>
      <c r="I975" s="66"/>
      <c r="J975" s="327"/>
      <c r="K975" s="66"/>
      <c r="L975" s="66"/>
      <c r="M975" s="66"/>
      <c r="N975" s="66"/>
      <c r="O975" s="66"/>
      <c r="P975" s="66"/>
      <c r="Q975" s="66"/>
      <c r="R975" s="66"/>
      <c r="S975" s="66"/>
      <c r="T975" s="66"/>
      <c r="U975" s="66"/>
      <c r="V975" s="66"/>
      <c r="W975" s="66"/>
      <c r="X975" s="66"/>
      <c r="Y975" s="66"/>
      <c r="Z975" s="66"/>
      <c r="AA975" s="66"/>
      <c r="AB975" s="66"/>
      <c r="AC975" s="66"/>
    </row>
    <row r="976">
      <c r="A976" s="327"/>
      <c r="B976" s="66"/>
      <c r="C976" s="66"/>
      <c r="D976" s="327"/>
      <c r="E976" s="66"/>
      <c r="F976" s="66"/>
      <c r="G976" s="327"/>
      <c r="H976" s="66"/>
      <c r="I976" s="66"/>
      <c r="J976" s="327"/>
      <c r="K976" s="66"/>
      <c r="L976" s="66"/>
      <c r="M976" s="66"/>
      <c r="N976" s="66"/>
      <c r="O976" s="66"/>
      <c r="P976" s="66"/>
      <c r="Q976" s="66"/>
      <c r="R976" s="66"/>
      <c r="S976" s="66"/>
      <c r="T976" s="66"/>
      <c r="U976" s="66"/>
      <c r="V976" s="66"/>
      <c r="W976" s="66"/>
      <c r="X976" s="66"/>
      <c r="Y976" s="66"/>
      <c r="Z976" s="66"/>
      <c r="AA976" s="66"/>
      <c r="AB976" s="66"/>
      <c r="AC976" s="66"/>
    </row>
    <row r="977">
      <c r="A977" s="327"/>
      <c r="B977" s="66"/>
      <c r="C977" s="66"/>
      <c r="D977" s="327"/>
      <c r="E977" s="66"/>
      <c r="F977" s="66"/>
      <c r="G977" s="327"/>
      <c r="H977" s="66"/>
      <c r="I977" s="66"/>
      <c r="J977" s="327"/>
      <c r="K977" s="66"/>
      <c r="L977" s="66"/>
      <c r="M977" s="66"/>
      <c r="N977" s="66"/>
      <c r="O977" s="66"/>
      <c r="P977" s="66"/>
      <c r="Q977" s="66"/>
      <c r="R977" s="66"/>
      <c r="S977" s="66"/>
      <c r="T977" s="66"/>
      <c r="U977" s="66"/>
      <c r="V977" s="66"/>
      <c r="W977" s="66"/>
      <c r="X977" s="66"/>
      <c r="Y977" s="66"/>
      <c r="Z977" s="66"/>
      <c r="AA977" s="66"/>
      <c r="AB977" s="66"/>
      <c r="AC977" s="66"/>
    </row>
    <row r="978">
      <c r="A978" s="327"/>
      <c r="B978" s="66"/>
      <c r="C978" s="66"/>
      <c r="D978" s="327"/>
      <c r="E978" s="66"/>
      <c r="F978" s="66"/>
      <c r="G978" s="327"/>
      <c r="H978" s="66"/>
      <c r="I978" s="66"/>
      <c r="J978" s="327"/>
      <c r="K978" s="66"/>
      <c r="L978" s="66"/>
      <c r="M978" s="66"/>
      <c r="N978" s="66"/>
      <c r="O978" s="66"/>
      <c r="P978" s="66"/>
      <c r="Q978" s="66"/>
      <c r="R978" s="66"/>
      <c r="S978" s="66"/>
      <c r="T978" s="66"/>
      <c r="U978" s="66"/>
      <c r="V978" s="66"/>
      <c r="W978" s="66"/>
      <c r="X978" s="66"/>
      <c r="Y978" s="66"/>
      <c r="Z978" s="66"/>
      <c r="AA978" s="66"/>
      <c r="AB978" s="66"/>
      <c r="AC978" s="66"/>
    </row>
    <row r="979">
      <c r="A979" s="327"/>
      <c r="B979" s="66"/>
      <c r="C979" s="66"/>
      <c r="D979" s="327"/>
      <c r="E979" s="66"/>
      <c r="F979" s="66"/>
      <c r="G979" s="327"/>
      <c r="H979" s="66"/>
      <c r="I979" s="66"/>
      <c r="J979" s="327"/>
      <c r="K979" s="66"/>
      <c r="L979" s="66"/>
      <c r="M979" s="66"/>
      <c r="N979" s="66"/>
      <c r="O979" s="66"/>
      <c r="P979" s="66"/>
      <c r="Q979" s="66"/>
      <c r="R979" s="66"/>
      <c r="S979" s="66"/>
      <c r="T979" s="66"/>
      <c r="U979" s="66"/>
      <c r="V979" s="66"/>
      <c r="W979" s="66"/>
      <c r="X979" s="66"/>
      <c r="Y979" s="66"/>
      <c r="Z979" s="66"/>
      <c r="AA979" s="66"/>
      <c r="AB979" s="66"/>
      <c r="AC979" s="66"/>
    </row>
    <row r="980">
      <c r="A980" s="327"/>
      <c r="B980" s="66"/>
      <c r="C980" s="66"/>
      <c r="D980" s="327"/>
      <c r="E980" s="66"/>
      <c r="F980" s="66"/>
      <c r="G980" s="327"/>
      <c r="H980" s="66"/>
      <c r="I980" s="66"/>
      <c r="J980" s="327"/>
      <c r="K980" s="66"/>
      <c r="L980" s="66"/>
      <c r="M980" s="66"/>
      <c r="N980" s="66"/>
      <c r="O980" s="66"/>
      <c r="P980" s="66"/>
      <c r="Q980" s="66"/>
      <c r="R980" s="66"/>
      <c r="S980" s="66"/>
      <c r="T980" s="66"/>
      <c r="U980" s="66"/>
      <c r="V980" s="66"/>
      <c r="W980" s="66"/>
      <c r="X980" s="66"/>
      <c r="Y980" s="66"/>
      <c r="Z980" s="66"/>
      <c r="AA980" s="66"/>
      <c r="AB980" s="66"/>
      <c r="AC980" s="66"/>
    </row>
    <row r="981">
      <c r="A981" s="327"/>
      <c r="B981" s="66"/>
      <c r="C981" s="66"/>
      <c r="D981" s="327"/>
      <c r="E981" s="66"/>
      <c r="F981" s="66"/>
      <c r="G981" s="327"/>
      <c r="H981" s="66"/>
      <c r="I981" s="66"/>
      <c r="J981" s="327"/>
      <c r="K981" s="66"/>
      <c r="L981" s="66"/>
      <c r="M981" s="66"/>
      <c r="N981" s="66"/>
      <c r="O981" s="66"/>
      <c r="P981" s="66"/>
      <c r="Q981" s="66"/>
      <c r="R981" s="66"/>
      <c r="S981" s="66"/>
      <c r="T981" s="66"/>
      <c r="U981" s="66"/>
      <c r="V981" s="66"/>
      <c r="W981" s="66"/>
      <c r="X981" s="66"/>
      <c r="Y981" s="66"/>
      <c r="Z981" s="66"/>
      <c r="AA981" s="66"/>
      <c r="AB981" s="66"/>
      <c r="AC981" s="66"/>
    </row>
    <row r="982">
      <c r="A982" s="327"/>
      <c r="B982" s="66"/>
      <c r="C982" s="66"/>
      <c r="D982" s="327"/>
      <c r="E982" s="66"/>
      <c r="F982" s="66"/>
      <c r="G982" s="327"/>
      <c r="H982" s="66"/>
      <c r="I982" s="66"/>
      <c r="J982" s="327"/>
      <c r="K982" s="66"/>
      <c r="L982" s="66"/>
      <c r="M982" s="66"/>
      <c r="N982" s="66"/>
      <c r="O982" s="66"/>
      <c r="P982" s="66"/>
      <c r="Q982" s="66"/>
      <c r="R982" s="66"/>
      <c r="S982" s="66"/>
      <c r="T982" s="66"/>
      <c r="U982" s="66"/>
      <c r="V982" s="66"/>
      <c r="W982" s="66"/>
      <c r="X982" s="66"/>
      <c r="Y982" s="66"/>
      <c r="Z982" s="66"/>
      <c r="AA982" s="66"/>
      <c r="AB982" s="66"/>
      <c r="AC982" s="66"/>
    </row>
    <row r="983">
      <c r="A983" s="327"/>
      <c r="B983" s="66"/>
      <c r="C983" s="66"/>
      <c r="D983" s="327"/>
      <c r="E983" s="66"/>
      <c r="F983" s="66"/>
      <c r="G983" s="327"/>
      <c r="H983" s="66"/>
      <c r="I983" s="66"/>
      <c r="J983" s="327"/>
      <c r="K983" s="66"/>
      <c r="L983" s="66"/>
      <c r="M983" s="66"/>
      <c r="N983" s="66"/>
      <c r="O983" s="66"/>
      <c r="P983" s="66"/>
      <c r="Q983" s="66"/>
      <c r="R983" s="66"/>
      <c r="S983" s="66"/>
      <c r="T983" s="66"/>
      <c r="U983" s="66"/>
      <c r="V983" s="66"/>
      <c r="W983" s="66"/>
      <c r="X983" s="66"/>
      <c r="Y983" s="66"/>
      <c r="Z983" s="66"/>
      <c r="AA983" s="66"/>
      <c r="AB983" s="66"/>
      <c r="AC983" s="66"/>
    </row>
    <row r="984">
      <c r="A984" s="327"/>
      <c r="B984" s="66"/>
      <c r="C984" s="66"/>
      <c r="D984" s="327"/>
      <c r="E984" s="66"/>
      <c r="F984" s="66"/>
      <c r="G984" s="327"/>
      <c r="H984" s="66"/>
      <c r="I984" s="66"/>
      <c r="J984" s="327"/>
      <c r="K984" s="66"/>
      <c r="L984" s="66"/>
      <c r="M984" s="66"/>
      <c r="N984" s="66"/>
      <c r="O984" s="66"/>
      <c r="P984" s="66"/>
      <c r="Q984" s="66"/>
      <c r="R984" s="66"/>
      <c r="S984" s="66"/>
      <c r="T984" s="66"/>
      <c r="U984" s="66"/>
      <c r="V984" s="66"/>
      <c r="W984" s="66"/>
      <c r="X984" s="66"/>
      <c r="Y984" s="66"/>
      <c r="Z984" s="66"/>
      <c r="AA984" s="66"/>
      <c r="AB984" s="66"/>
      <c r="AC984" s="66"/>
    </row>
    <row r="985">
      <c r="A985" s="327"/>
      <c r="B985" s="66"/>
      <c r="C985" s="66"/>
      <c r="D985" s="327"/>
      <c r="E985" s="66"/>
      <c r="F985" s="66"/>
      <c r="G985" s="327"/>
      <c r="H985" s="66"/>
      <c r="I985" s="66"/>
      <c r="J985" s="327"/>
      <c r="K985" s="66"/>
      <c r="L985" s="66"/>
      <c r="M985" s="66"/>
      <c r="N985" s="66"/>
      <c r="O985" s="66"/>
      <c r="P985" s="66"/>
      <c r="Q985" s="66"/>
      <c r="R985" s="66"/>
      <c r="S985" s="66"/>
      <c r="T985" s="66"/>
      <c r="U985" s="66"/>
      <c r="V985" s="66"/>
      <c r="W985" s="66"/>
      <c r="X985" s="66"/>
      <c r="Y985" s="66"/>
      <c r="Z985" s="66"/>
      <c r="AA985" s="66"/>
      <c r="AB985" s="66"/>
      <c r="AC985" s="66"/>
    </row>
    <row r="986">
      <c r="A986" s="327"/>
      <c r="B986" s="66"/>
      <c r="C986" s="66"/>
      <c r="D986" s="327"/>
      <c r="E986" s="66"/>
      <c r="F986" s="66"/>
      <c r="G986" s="327"/>
      <c r="H986" s="66"/>
      <c r="I986" s="66"/>
      <c r="J986" s="327"/>
      <c r="K986" s="66"/>
      <c r="L986" s="66"/>
      <c r="M986" s="66"/>
      <c r="N986" s="66"/>
      <c r="O986" s="66"/>
      <c r="P986" s="66"/>
      <c r="Q986" s="66"/>
      <c r="R986" s="66"/>
      <c r="S986" s="66"/>
      <c r="T986" s="66"/>
      <c r="U986" s="66"/>
      <c r="V986" s="66"/>
      <c r="W986" s="66"/>
      <c r="X986" s="66"/>
      <c r="Y986" s="66"/>
      <c r="Z986" s="66"/>
      <c r="AA986" s="66"/>
      <c r="AB986" s="66"/>
      <c r="AC986" s="66"/>
    </row>
    <row r="987">
      <c r="A987" s="327"/>
      <c r="B987" s="66"/>
      <c r="C987" s="66"/>
      <c r="D987" s="327"/>
      <c r="E987" s="66"/>
      <c r="F987" s="66"/>
      <c r="G987" s="327"/>
      <c r="H987" s="66"/>
      <c r="I987" s="66"/>
      <c r="J987" s="327"/>
      <c r="K987" s="66"/>
      <c r="L987" s="66"/>
      <c r="M987" s="66"/>
      <c r="N987" s="66"/>
      <c r="O987" s="66"/>
      <c r="P987" s="66"/>
      <c r="Q987" s="66"/>
      <c r="R987" s="66"/>
      <c r="S987" s="66"/>
      <c r="T987" s="66"/>
      <c r="U987" s="66"/>
      <c r="V987" s="66"/>
      <c r="W987" s="66"/>
      <c r="X987" s="66"/>
      <c r="Y987" s="66"/>
      <c r="Z987" s="66"/>
      <c r="AA987" s="66"/>
      <c r="AB987" s="66"/>
      <c r="AC987" s="66"/>
    </row>
    <row r="988">
      <c r="A988" s="327"/>
      <c r="B988" s="66"/>
      <c r="C988" s="66"/>
      <c r="D988" s="327"/>
      <c r="E988" s="66"/>
      <c r="F988" s="66"/>
      <c r="G988" s="327"/>
      <c r="H988" s="66"/>
      <c r="I988" s="66"/>
      <c r="J988" s="327"/>
      <c r="K988" s="66"/>
      <c r="L988" s="66"/>
      <c r="M988" s="66"/>
      <c r="N988" s="66"/>
      <c r="O988" s="66"/>
      <c r="P988" s="66"/>
      <c r="Q988" s="66"/>
      <c r="R988" s="66"/>
      <c r="S988" s="66"/>
      <c r="T988" s="66"/>
      <c r="U988" s="66"/>
      <c r="V988" s="66"/>
      <c r="W988" s="66"/>
      <c r="X988" s="66"/>
      <c r="Y988" s="66"/>
      <c r="Z988" s="66"/>
      <c r="AA988" s="66"/>
      <c r="AB988" s="66"/>
      <c r="AC988" s="66"/>
    </row>
    <row r="989">
      <c r="A989" s="327"/>
      <c r="B989" s="66"/>
      <c r="C989" s="66"/>
      <c r="D989" s="327"/>
      <c r="E989" s="66"/>
      <c r="F989" s="66"/>
      <c r="G989" s="327"/>
      <c r="H989" s="66"/>
      <c r="I989" s="66"/>
      <c r="J989" s="327"/>
      <c r="K989" s="66"/>
      <c r="L989" s="66"/>
      <c r="M989" s="66"/>
      <c r="N989" s="66"/>
      <c r="O989" s="66"/>
      <c r="P989" s="66"/>
      <c r="Q989" s="66"/>
      <c r="R989" s="66"/>
      <c r="S989" s="66"/>
      <c r="T989" s="66"/>
      <c r="U989" s="66"/>
      <c r="V989" s="66"/>
      <c r="W989" s="66"/>
      <c r="X989" s="66"/>
      <c r="Y989" s="66"/>
      <c r="Z989" s="66"/>
      <c r="AA989" s="66"/>
      <c r="AB989" s="66"/>
      <c r="AC989" s="66"/>
    </row>
    <row r="990">
      <c r="A990" s="327"/>
      <c r="B990" s="66"/>
      <c r="C990" s="66"/>
      <c r="D990" s="327"/>
      <c r="E990" s="66"/>
      <c r="F990" s="66"/>
      <c r="G990" s="327"/>
      <c r="H990" s="66"/>
      <c r="I990" s="66"/>
      <c r="J990" s="327"/>
      <c r="K990" s="66"/>
      <c r="L990" s="66"/>
      <c r="M990" s="66"/>
      <c r="N990" s="66"/>
      <c r="O990" s="66"/>
      <c r="P990" s="66"/>
      <c r="Q990" s="66"/>
      <c r="R990" s="66"/>
      <c r="S990" s="66"/>
      <c r="T990" s="66"/>
      <c r="U990" s="66"/>
      <c r="V990" s="66"/>
      <c r="W990" s="66"/>
      <c r="X990" s="66"/>
      <c r="Y990" s="66"/>
      <c r="Z990" s="66"/>
      <c r="AA990" s="66"/>
      <c r="AB990" s="66"/>
      <c r="AC990" s="66"/>
    </row>
    <row r="991">
      <c r="A991" s="327"/>
      <c r="B991" s="66"/>
      <c r="C991" s="66"/>
      <c r="D991" s="327"/>
      <c r="E991" s="66"/>
      <c r="F991" s="66"/>
      <c r="G991" s="327"/>
      <c r="H991" s="66"/>
      <c r="I991" s="66"/>
      <c r="J991" s="327"/>
      <c r="K991" s="66"/>
      <c r="L991" s="66"/>
      <c r="M991" s="66"/>
      <c r="N991" s="66"/>
      <c r="O991" s="66"/>
      <c r="P991" s="66"/>
      <c r="Q991" s="66"/>
      <c r="R991" s="66"/>
      <c r="S991" s="66"/>
      <c r="T991" s="66"/>
      <c r="U991" s="66"/>
      <c r="V991" s="66"/>
      <c r="W991" s="66"/>
      <c r="X991" s="66"/>
      <c r="Y991" s="66"/>
      <c r="Z991" s="66"/>
      <c r="AA991" s="66"/>
      <c r="AB991" s="66"/>
      <c r="AC991" s="66"/>
    </row>
    <row r="992">
      <c r="A992" s="327"/>
      <c r="B992" s="66"/>
      <c r="C992" s="66"/>
      <c r="D992" s="327"/>
      <c r="E992" s="66"/>
      <c r="F992" s="66"/>
      <c r="G992" s="327"/>
      <c r="H992" s="66"/>
      <c r="I992" s="66"/>
      <c r="J992" s="327"/>
      <c r="K992" s="66"/>
      <c r="L992" s="66"/>
      <c r="M992" s="66"/>
      <c r="N992" s="66"/>
      <c r="O992" s="66"/>
      <c r="P992" s="66"/>
      <c r="Q992" s="66"/>
      <c r="R992" s="66"/>
      <c r="S992" s="66"/>
      <c r="T992" s="66"/>
      <c r="U992" s="66"/>
      <c r="V992" s="66"/>
      <c r="W992" s="66"/>
      <c r="X992" s="66"/>
      <c r="Y992" s="66"/>
      <c r="Z992" s="66"/>
      <c r="AA992" s="66"/>
      <c r="AB992" s="66"/>
      <c r="AC992" s="66"/>
    </row>
    <row r="993">
      <c r="A993" s="327"/>
      <c r="B993" s="66"/>
      <c r="C993" s="66"/>
      <c r="D993" s="327"/>
      <c r="E993" s="66"/>
      <c r="F993" s="66"/>
      <c r="G993" s="327"/>
      <c r="H993" s="66"/>
      <c r="I993" s="66"/>
      <c r="J993" s="327"/>
      <c r="K993" s="66"/>
      <c r="L993" s="66"/>
      <c r="M993" s="66"/>
      <c r="N993" s="66"/>
      <c r="O993" s="66"/>
      <c r="P993" s="66"/>
      <c r="Q993" s="66"/>
      <c r="R993" s="66"/>
      <c r="S993" s="66"/>
      <c r="T993" s="66"/>
      <c r="U993" s="66"/>
      <c r="V993" s="66"/>
      <c r="W993" s="66"/>
      <c r="X993" s="66"/>
      <c r="Y993" s="66"/>
      <c r="Z993" s="66"/>
      <c r="AA993" s="66"/>
      <c r="AB993" s="66"/>
      <c r="AC993" s="66"/>
    </row>
    <row r="994">
      <c r="A994" s="327"/>
      <c r="B994" s="66"/>
      <c r="C994" s="66"/>
      <c r="D994" s="327"/>
      <c r="E994" s="66"/>
      <c r="F994" s="66"/>
      <c r="G994" s="327"/>
      <c r="H994" s="66"/>
      <c r="I994" s="66"/>
      <c r="J994" s="327"/>
      <c r="K994" s="66"/>
      <c r="L994" s="66"/>
      <c r="M994" s="66"/>
      <c r="N994" s="66"/>
      <c r="O994" s="66"/>
      <c r="P994" s="66"/>
      <c r="Q994" s="66"/>
      <c r="R994" s="66"/>
      <c r="S994" s="66"/>
      <c r="T994" s="66"/>
      <c r="U994" s="66"/>
      <c r="V994" s="66"/>
      <c r="W994" s="66"/>
      <c r="X994" s="66"/>
      <c r="Y994" s="66"/>
      <c r="Z994" s="66"/>
      <c r="AA994" s="66"/>
      <c r="AB994" s="66"/>
      <c r="AC994" s="66"/>
    </row>
    <row r="995">
      <c r="A995" s="327"/>
      <c r="B995" s="66"/>
      <c r="C995" s="66"/>
      <c r="D995" s="327"/>
      <c r="E995" s="66"/>
      <c r="F995" s="66"/>
      <c r="G995" s="327"/>
      <c r="H995" s="66"/>
      <c r="I995" s="66"/>
      <c r="J995" s="327"/>
      <c r="K995" s="66"/>
      <c r="L995" s="66"/>
      <c r="M995" s="66"/>
      <c r="N995" s="66"/>
      <c r="O995" s="66"/>
      <c r="P995" s="66"/>
      <c r="Q995" s="66"/>
      <c r="R995" s="66"/>
      <c r="S995" s="66"/>
      <c r="T995" s="66"/>
      <c r="U995" s="66"/>
      <c r="V995" s="66"/>
      <c r="W995" s="66"/>
      <c r="X995" s="66"/>
      <c r="Y995" s="66"/>
      <c r="Z995" s="66"/>
      <c r="AA995" s="66"/>
      <c r="AB995" s="66"/>
      <c r="AC995" s="66"/>
    </row>
    <row r="996">
      <c r="A996" s="327"/>
      <c r="B996" s="66"/>
      <c r="C996" s="66"/>
      <c r="D996" s="327"/>
      <c r="E996" s="66"/>
      <c r="F996" s="66"/>
      <c r="G996" s="327"/>
      <c r="H996" s="66"/>
      <c r="I996" s="66"/>
      <c r="J996" s="327"/>
      <c r="K996" s="66"/>
      <c r="L996" s="66"/>
      <c r="M996" s="66"/>
      <c r="N996" s="66"/>
      <c r="O996" s="66"/>
      <c r="P996" s="66"/>
      <c r="Q996" s="66"/>
      <c r="R996" s="66"/>
      <c r="S996" s="66"/>
      <c r="T996" s="66"/>
      <c r="U996" s="66"/>
      <c r="V996" s="66"/>
      <c r="W996" s="66"/>
      <c r="X996" s="66"/>
      <c r="Y996" s="66"/>
      <c r="Z996" s="66"/>
      <c r="AA996" s="66"/>
      <c r="AB996" s="66"/>
      <c r="AC996" s="66"/>
    </row>
  </sheetData>
  <conditionalFormatting sqref="B1:J996">
    <cfRule type="containsBlanks" dxfId="0" priority="1">
      <formula>LEN(TRIM(B1))=0</formula>
    </cfRule>
  </conditionalFormatting>
  <conditionalFormatting sqref="B1:J996">
    <cfRule type="notContainsBlanks" dxfId="1" priority="2">
      <formula>LEN(TRIM(B1))&gt;0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3" max="3" width="13.38"/>
    <col customWidth="1" min="4" max="4" width="14.13"/>
    <col customWidth="1" min="5" max="5" width="14.63"/>
    <col customWidth="1" min="10" max="10" width="26.38"/>
    <col customWidth="1" min="11" max="11" width="21.0"/>
    <col customWidth="1" min="12" max="12" width="24.88"/>
  </cols>
  <sheetData>
    <row r="1">
      <c r="A1" s="3" t="s">
        <v>7</v>
      </c>
      <c r="B1" s="3" t="s">
        <v>4005</v>
      </c>
      <c r="C1" s="3" t="s">
        <v>4006</v>
      </c>
      <c r="D1" s="3" t="s">
        <v>4007</v>
      </c>
      <c r="E1" s="3" t="s">
        <v>4008</v>
      </c>
      <c r="F1" s="3" t="s">
        <v>4009</v>
      </c>
      <c r="G1" s="3" t="s">
        <v>4010</v>
      </c>
      <c r="H1" s="3" t="s">
        <v>4011</v>
      </c>
      <c r="I1" s="4"/>
      <c r="J1" s="3" t="s">
        <v>4013</v>
      </c>
      <c r="K1" s="3" t="s">
        <v>4014</v>
      </c>
      <c r="L1" s="3" t="s">
        <v>4016</v>
      </c>
      <c r="M1" s="3" t="s">
        <v>4017</v>
      </c>
      <c r="N1" s="3" t="s">
        <v>4018</v>
      </c>
      <c r="O1" s="3" t="s">
        <v>4019</v>
      </c>
      <c r="P1" s="3"/>
      <c r="Q1" s="4"/>
      <c r="R1" s="4"/>
      <c r="S1" s="4"/>
      <c r="T1" s="4"/>
      <c r="U1" s="4"/>
      <c r="V1" s="4"/>
      <c r="W1" s="4"/>
      <c r="X1" s="4"/>
      <c r="Y1" s="4"/>
      <c r="Z1" s="4"/>
      <c r="AA1" s="4"/>
      <c r="AB1" s="4"/>
    </row>
    <row r="2">
      <c r="A2" s="20">
        <v>43719.0</v>
      </c>
      <c r="B2" s="357">
        <v>204.0</v>
      </c>
      <c r="C2" s="357">
        <v>32.0</v>
      </c>
      <c r="D2" s="357">
        <v>12.0</v>
      </c>
      <c r="E2" s="357">
        <v>160.0</v>
      </c>
      <c r="J2" s="358">
        <f t="shared" ref="J2:J150" si="1">E2/B2</f>
        <v>0.7843137255</v>
      </c>
      <c r="K2" s="358">
        <f t="shared" ref="K2:K150" si="2">C2/B2</f>
        <v>0.1568627451</v>
      </c>
      <c r="L2" s="358">
        <f t="shared" ref="L2:L150" si="3">D2/B2</f>
        <v>0.05882352941</v>
      </c>
    </row>
    <row r="3">
      <c r="A3" s="20">
        <v>43720.0</v>
      </c>
      <c r="B3" s="357">
        <v>197.0</v>
      </c>
      <c r="C3" s="357">
        <v>32.0</v>
      </c>
      <c r="D3" s="357">
        <v>13.0</v>
      </c>
      <c r="E3" s="357">
        <v>152.0</v>
      </c>
      <c r="J3" s="358">
        <f t="shared" si="1"/>
        <v>0.7715736041</v>
      </c>
      <c r="K3" s="358">
        <f t="shared" si="2"/>
        <v>0.1624365482</v>
      </c>
      <c r="L3" s="358">
        <f t="shared" si="3"/>
        <v>0.06598984772</v>
      </c>
    </row>
    <row r="4" hidden="1">
      <c r="A4" s="20">
        <v>43721.0</v>
      </c>
      <c r="B4" s="359"/>
      <c r="C4" s="359"/>
      <c r="D4" s="359"/>
      <c r="E4" s="359"/>
      <c r="J4" s="358" t="str">
        <f t="shared" si="1"/>
        <v>#DIV/0!</v>
      </c>
      <c r="K4" s="358" t="str">
        <f t="shared" si="2"/>
        <v>#DIV/0!</v>
      </c>
      <c r="L4" s="358" t="str">
        <f t="shared" si="3"/>
        <v>#DIV/0!</v>
      </c>
    </row>
    <row r="5" hidden="1">
      <c r="A5" s="20">
        <v>43722.0</v>
      </c>
      <c r="B5" s="359"/>
      <c r="C5" s="359"/>
      <c r="D5" s="359"/>
      <c r="E5" s="359"/>
      <c r="J5" s="358" t="str">
        <f t="shared" si="1"/>
        <v>#DIV/0!</v>
      </c>
      <c r="K5" s="358" t="str">
        <f t="shared" si="2"/>
        <v>#DIV/0!</v>
      </c>
      <c r="L5" s="358" t="str">
        <f t="shared" si="3"/>
        <v>#DIV/0!</v>
      </c>
    </row>
    <row r="6" hidden="1">
      <c r="A6" s="20">
        <v>43723.0</v>
      </c>
      <c r="B6" s="359"/>
      <c r="C6" s="359"/>
      <c r="D6" s="359"/>
      <c r="E6" s="359"/>
      <c r="J6" s="358" t="str">
        <f t="shared" si="1"/>
        <v>#DIV/0!</v>
      </c>
      <c r="K6" s="358" t="str">
        <f t="shared" si="2"/>
        <v>#DIV/0!</v>
      </c>
      <c r="L6" s="358" t="str">
        <f t="shared" si="3"/>
        <v>#DIV/0!</v>
      </c>
    </row>
    <row r="7" hidden="1">
      <c r="A7" s="20">
        <v>43724.0</v>
      </c>
      <c r="B7" s="359"/>
      <c r="C7" s="359"/>
      <c r="D7" s="359"/>
      <c r="E7" s="359"/>
      <c r="J7" s="358" t="str">
        <f t="shared" si="1"/>
        <v>#DIV/0!</v>
      </c>
      <c r="K7" s="358" t="str">
        <f t="shared" si="2"/>
        <v>#DIV/0!</v>
      </c>
      <c r="L7" s="358" t="str">
        <f t="shared" si="3"/>
        <v>#DIV/0!</v>
      </c>
    </row>
    <row r="8" hidden="1">
      <c r="A8" s="20">
        <v>43725.0</v>
      </c>
      <c r="B8" s="359"/>
      <c r="C8" s="359"/>
      <c r="D8" s="359"/>
      <c r="E8" s="359"/>
      <c r="J8" s="358" t="str">
        <f t="shared" si="1"/>
        <v>#DIV/0!</v>
      </c>
      <c r="K8" s="358" t="str">
        <f t="shared" si="2"/>
        <v>#DIV/0!</v>
      </c>
      <c r="L8" s="358" t="str">
        <f t="shared" si="3"/>
        <v>#DIV/0!</v>
      </c>
    </row>
    <row r="9" hidden="1">
      <c r="A9" s="20">
        <v>43726.0</v>
      </c>
      <c r="B9" s="359"/>
      <c r="C9" s="359"/>
      <c r="D9" s="359"/>
      <c r="E9" s="359"/>
      <c r="J9" s="358" t="str">
        <f t="shared" si="1"/>
        <v>#DIV/0!</v>
      </c>
      <c r="K9" s="358" t="str">
        <f t="shared" si="2"/>
        <v>#DIV/0!</v>
      </c>
      <c r="L9" s="358" t="str">
        <f t="shared" si="3"/>
        <v>#DIV/0!</v>
      </c>
    </row>
    <row r="10" hidden="1">
      <c r="A10" s="20">
        <v>43727.0</v>
      </c>
      <c r="B10" s="359"/>
      <c r="C10" s="359"/>
      <c r="D10" s="359"/>
      <c r="E10" s="359"/>
      <c r="J10" s="358" t="str">
        <f t="shared" si="1"/>
        <v>#DIV/0!</v>
      </c>
      <c r="K10" s="358" t="str">
        <f t="shared" si="2"/>
        <v>#DIV/0!</v>
      </c>
      <c r="L10" s="358" t="str">
        <f t="shared" si="3"/>
        <v>#DIV/0!</v>
      </c>
    </row>
    <row r="11" hidden="1">
      <c r="A11" s="20">
        <v>43728.0</v>
      </c>
      <c r="B11" s="359"/>
      <c r="C11" s="359"/>
      <c r="D11" s="359"/>
      <c r="E11" s="359"/>
      <c r="J11" s="358" t="str">
        <f t="shared" si="1"/>
        <v>#DIV/0!</v>
      </c>
      <c r="K11" s="358" t="str">
        <f t="shared" si="2"/>
        <v>#DIV/0!</v>
      </c>
      <c r="L11" s="358" t="str">
        <f t="shared" si="3"/>
        <v>#DIV/0!</v>
      </c>
    </row>
    <row r="12" hidden="1">
      <c r="A12" s="20">
        <v>43729.0</v>
      </c>
      <c r="B12" s="359"/>
      <c r="C12" s="359"/>
      <c r="D12" s="359"/>
      <c r="E12" s="359"/>
      <c r="J12" s="358" t="str">
        <f t="shared" si="1"/>
        <v>#DIV/0!</v>
      </c>
      <c r="K12" s="358" t="str">
        <f t="shared" si="2"/>
        <v>#DIV/0!</v>
      </c>
      <c r="L12" s="358" t="str">
        <f t="shared" si="3"/>
        <v>#DIV/0!</v>
      </c>
    </row>
    <row r="13" hidden="1">
      <c r="A13" s="20">
        <v>43730.0</v>
      </c>
      <c r="B13" s="359"/>
      <c r="C13" s="359"/>
      <c r="D13" s="359"/>
      <c r="E13" s="359"/>
      <c r="J13" s="358" t="str">
        <f t="shared" si="1"/>
        <v>#DIV/0!</v>
      </c>
      <c r="K13" s="358" t="str">
        <f t="shared" si="2"/>
        <v>#DIV/0!</v>
      </c>
      <c r="L13" s="358" t="str">
        <f t="shared" si="3"/>
        <v>#DIV/0!</v>
      </c>
    </row>
    <row r="14" hidden="1">
      <c r="A14" s="20">
        <v>43731.0</v>
      </c>
      <c r="B14" s="359"/>
      <c r="C14" s="359"/>
      <c r="D14" s="359"/>
      <c r="E14" s="359"/>
      <c r="J14" s="358" t="str">
        <f t="shared" si="1"/>
        <v>#DIV/0!</v>
      </c>
      <c r="K14" s="358" t="str">
        <f t="shared" si="2"/>
        <v>#DIV/0!</v>
      </c>
      <c r="L14" s="358" t="str">
        <f t="shared" si="3"/>
        <v>#DIV/0!</v>
      </c>
    </row>
    <row r="15" hidden="1">
      <c r="A15" s="20">
        <v>43732.0</v>
      </c>
      <c r="B15" s="359"/>
      <c r="C15" s="359"/>
      <c r="D15" s="359"/>
      <c r="E15" s="359"/>
      <c r="J15" s="358" t="str">
        <f t="shared" si="1"/>
        <v>#DIV/0!</v>
      </c>
      <c r="K15" s="358" t="str">
        <f t="shared" si="2"/>
        <v>#DIV/0!</v>
      </c>
      <c r="L15" s="358" t="str">
        <f t="shared" si="3"/>
        <v>#DIV/0!</v>
      </c>
    </row>
    <row r="16" hidden="1">
      <c r="A16" s="20">
        <v>43733.0</v>
      </c>
      <c r="B16" s="359"/>
      <c r="C16" s="359"/>
      <c r="D16" s="359"/>
      <c r="E16" s="359"/>
      <c r="J16" s="358" t="str">
        <f t="shared" si="1"/>
        <v>#DIV/0!</v>
      </c>
      <c r="K16" s="358" t="str">
        <f t="shared" si="2"/>
        <v>#DIV/0!</v>
      </c>
      <c r="L16" s="358" t="str">
        <f t="shared" si="3"/>
        <v>#DIV/0!</v>
      </c>
    </row>
    <row r="17" hidden="1">
      <c r="A17" s="20">
        <v>43734.0</v>
      </c>
      <c r="B17" s="359"/>
      <c r="C17" s="359"/>
      <c r="D17" s="359"/>
      <c r="E17" s="359"/>
      <c r="J17" s="358" t="str">
        <f t="shared" si="1"/>
        <v>#DIV/0!</v>
      </c>
      <c r="K17" s="358" t="str">
        <f t="shared" si="2"/>
        <v>#DIV/0!</v>
      </c>
      <c r="L17" s="358" t="str">
        <f t="shared" si="3"/>
        <v>#DIV/0!</v>
      </c>
    </row>
    <row r="18" hidden="1">
      <c r="A18" s="20">
        <v>43735.0</v>
      </c>
      <c r="B18" s="359"/>
      <c r="C18" s="359"/>
      <c r="D18" s="359"/>
      <c r="E18" s="359"/>
      <c r="J18" s="358" t="str">
        <f t="shared" si="1"/>
        <v>#DIV/0!</v>
      </c>
      <c r="K18" s="358" t="str">
        <f t="shared" si="2"/>
        <v>#DIV/0!</v>
      </c>
      <c r="L18" s="358" t="str">
        <f t="shared" si="3"/>
        <v>#DIV/0!</v>
      </c>
    </row>
    <row r="19" hidden="1">
      <c r="A19" s="20">
        <v>43736.0</v>
      </c>
      <c r="B19" s="359"/>
      <c r="C19" s="359"/>
      <c r="D19" s="359"/>
      <c r="E19" s="359"/>
      <c r="J19" s="358" t="str">
        <f t="shared" si="1"/>
        <v>#DIV/0!</v>
      </c>
      <c r="K19" s="358" t="str">
        <f t="shared" si="2"/>
        <v>#DIV/0!</v>
      </c>
      <c r="L19" s="358" t="str">
        <f t="shared" si="3"/>
        <v>#DIV/0!</v>
      </c>
    </row>
    <row r="20" hidden="1">
      <c r="A20" s="20">
        <v>43737.0</v>
      </c>
      <c r="B20" s="359"/>
      <c r="C20" s="359"/>
      <c r="D20" s="359"/>
      <c r="E20" s="359"/>
      <c r="J20" s="358" t="str">
        <f t="shared" si="1"/>
        <v>#DIV/0!</v>
      </c>
      <c r="K20" s="358" t="str">
        <f t="shared" si="2"/>
        <v>#DIV/0!</v>
      </c>
      <c r="L20" s="358" t="str">
        <f t="shared" si="3"/>
        <v>#DIV/0!</v>
      </c>
    </row>
    <row r="21" hidden="1">
      <c r="A21" s="20">
        <v>43738.0</v>
      </c>
      <c r="B21" s="359"/>
      <c r="C21" s="359"/>
      <c r="D21" s="359"/>
      <c r="E21" s="359"/>
      <c r="J21" s="358" t="str">
        <f t="shared" si="1"/>
        <v>#DIV/0!</v>
      </c>
      <c r="K21" s="358" t="str">
        <f t="shared" si="2"/>
        <v>#DIV/0!</v>
      </c>
      <c r="L21" s="358" t="str">
        <f t="shared" si="3"/>
        <v>#DIV/0!</v>
      </c>
    </row>
    <row r="22" hidden="1">
      <c r="A22" s="20">
        <v>43739.0</v>
      </c>
      <c r="B22" s="359"/>
      <c r="C22" s="359"/>
      <c r="D22" s="359"/>
      <c r="E22" s="359"/>
      <c r="J22" s="358" t="str">
        <f t="shared" si="1"/>
        <v>#DIV/0!</v>
      </c>
      <c r="K22" s="358" t="str">
        <f t="shared" si="2"/>
        <v>#DIV/0!</v>
      </c>
      <c r="L22" s="358" t="str">
        <f t="shared" si="3"/>
        <v>#DIV/0!</v>
      </c>
    </row>
    <row r="23" hidden="1">
      <c r="A23" s="20">
        <v>43740.0</v>
      </c>
      <c r="B23" s="359"/>
      <c r="C23" s="359"/>
      <c r="D23" s="359"/>
      <c r="E23" s="359"/>
      <c r="J23" s="358" t="str">
        <f t="shared" si="1"/>
        <v>#DIV/0!</v>
      </c>
      <c r="K23" s="358" t="str">
        <f t="shared" si="2"/>
        <v>#DIV/0!</v>
      </c>
      <c r="L23" s="358" t="str">
        <f t="shared" si="3"/>
        <v>#DIV/0!</v>
      </c>
    </row>
    <row r="24" hidden="1">
      <c r="A24" s="20">
        <v>43741.0</v>
      </c>
      <c r="B24" s="359"/>
      <c r="C24" s="359"/>
      <c r="D24" s="359"/>
      <c r="E24" s="359"/>
      <c r="J24" s="358" t="str">
        <f t="shared" si="1"/>
        <v>#DIV/0!</v>
      </c>
      <c r="K24" s="358" t="str">
        <f t="shared" si="2"/>
        <v>#DIV/0!</v>
      </c>
      <c r="L24" s="358" t="str">
        <f t="shared" si="3"/>
        <v>#DIV/0!</v>
      </c>
    </row>
    <row r="25" hidden="1">
      <c r="A25" s="20">
        <v>43742.0</v>
      </c>
      <c r="B25" s="359"/>
      <c r="C25" s="359"/>
      <c r="D25" s="359"/>
      <c r="E25" s="359"/>
      <c r="J25" s="358" t="str">
        <f t="shared" si="1"/>
        <v>#DIV/0!</v>
      </c>
      <c r="K25" s="358" t="str">
        <f t="shared" si="2"/>
        <v>#DIV/0!</v>
      </c>
      <c r="L25" s="358" t="str">
        <f t="shared" si="3"/>
        <v>#DIV/0!</v>
      </c>
    </row>
    <row r="26" hidden="1">
      <c r="A26" s="20">
        <v>43743.0</v>
      </c>
      <c r="B26" s="359"/>
      <c r="C26" s="359"/>
      <c r="D26" s="359"/>
      <c r="E26" s="359"/>
      <c r="J26" s="358" t="str">
        <f t="shared" si="1"/>
        <v>#DIV/0!</v>
      </c>
      <c r="K26" s="358" t="str">
        <f t="shared" si="2"/>
        <v>#DIV/0!</v>
      </c>
      <c r="L26" s="358" t="str">
        <f t="shared" si="3"/>
        <v>#DIV/0!</v>
      </c>
    </row>
    <row r="27" hidden="1">
      <c r="A27" s="20">
        <v>43744.0</v>
      </c>
      <c r="B27" s="359"/>
      <c r="C27" s="359"/>
      <c r="D27" s="359"/>
      <c r="E27" s="359"/>
      <c r="J27" s="358" t="str">
        <f t="shared" si="1"/>
        <v>#DIV/0!</v>
      </c>
      <c r="K27" s="358" t="str">
        <f t="shared" si="2"/>
        <v>#DIV/0!</v>
      </c>
      <c r="L27" s="358" t="str">
        <f t="shared" si="3"/>
        <v>#DIV/0!</v>
      </c>
    </row>
    <row r="28" hidden="1">
      <c r="A28" s="20">
        <v>43745.0</v>
      </c>
      <c r="B28" s="359"/>
      <c r="C28" s="359"/>
      <c r="D28" s="359"/>
      <c r="E28" s="359"/>
      <c r="J28" s="358" t="str">
        <f t="shared" si="1"/>
        <v>#DIV/0!</v>
      </c>
      <c r="K28" s="358" t="str">
        <f t="shared" si="2"/>
        <v>#DIV/0!</v>
      </c>
      <c r="L28" s="358" t="str">
        <f t="shared" si="3"/>
        <v>#DIV/0!</v>
      </c>
    </row>
    <row r="29">
      <c r="A29" s="20">
        <v>43746.0</v>
      </c>
      <c r="B29" s="357">
        <v>230.0</v>
      </c>
      <c r="C29" s="357">
        <v>43.0</v>
      </c>
      <c r="D29" s="357">
        <v>5.0</v>
      </c>
      <c r="E29" s="357">
        <v>182.0</v>
      </c>
      <c r="J29" s="358">
        <f t="shared" si="1"/>
        <v>0.7913043478</v>
      </c>
      <c r="K29" s="358">
        <f t="shared" si="2"/>
        <v>0.1869565217</v>
      </c>
      <c r="L29" s="358">
        <f t="shared" si="3"/>
        <v>0.02173913043</v>
      </c>
    </row>
    <row r="30" hidden="1">
      <c r="A30" s="20">
        <v>43747.0</v>
      </c>
      <c r="B30" s="359"/>
      <c r="C30" s="359"/>
      <c r="D30" s="359"/>
      <c r="E30" s="359"/>
      <c r="J30" s="358" t="str">
        <f t="shared" si="1"/>
        <v>#DIV/0!</v>
      </c>
      <c r="K30" s="358" t="str">
        <f t="shared" si="2"/>
        <v>#DIV/0!</v>
      </c>
      <c r="L30" s="358" t="str">
        <f t="shared" si="3"/>
        <v>#DIV/0!</v>
      </c>
    </row>
    <row r="31" hidden="1">
      <c r="A31" s="20">
        <v>43748.0</v>
      </c>
      <c r="B31" s="359"/>
      <c r="C31" s="359"/>
      <c r="D31" s="359"/>
      <c r="E31" s="359"/>
      <c r="J31" s="358" t="str">
        <f t="shared" si="1"/>
        <v>#DIV/0!</v>
      </c>
      <c r="K31" s="358" t="str">
        <f t="shared" si="2"/>
        <v>#DIV/0!</v>
      </c>
      <c r="L31" s="358" t="str">
        <f t="shared" si="3"/>
        <v>#DIV/0!</v>
      </c>
    </row>
    <row r="32" hidden="1">
      <c r="A32" s="20">
        <v>43749.0</v>
      </c>
      <c r="B32" s="359"/>
      <c r="C32" s="359"/>
      <c r="D32" s="359"/>
      <c r="E32" s="359"/>
      <c r="J32" s="358" t="str">
        <f t="shared" si="1"/>
        <v>#DIV/0!</v>
      </c>
      <c r="K32" s="358" t="str">
        <f t="shared" si="2"/>
        <v>#DIV/0!</v>
      </c>
      <c r="L32" s="358" t="str">
        <f t="shared" si="3"/>
        <v>#DIV/0!</v>
      </c>
    </row>
    <row r="33" hidden="1">
      <c r="A33" s="20">
        <v>43750.0</v>
      </c>
      <c r="B33" s="359"/>
      <c r="C33" s="359"/>
      <c r="D33" s="359"/>
      <c r="E33" s="359"/>
      <c r="J33" s="358" t="str">
        <f t="shared" si="1"/>
        <v>#DIV/0!</v>
      </c>
      <c r="K33" s="358" t="str">
        <f t="shared" si="2"/>
        <v>#DIV/0!</v>
      </c>
      <c r="L33" s="358" t="str">
        <f t="shared" si="3"/>
        <v>#DIV/0!</v>
      </c>
    </row>
    <row r="34" hidden="1">
      <c r="A34" s="20">
        <v>43751.0</v>
      </c>
      <c r="B34" s="359"/>
      <c r="C34" s="359"/>
      <c r="D34" s="359"/>
      <c r="E34" s="359"/>
      <c r="J34" s="358" t="str">
        <f t="shared" si="1"/>
        <v>#DIV/0!</v>
      </c>
      <c r="K34" s="358" t="str">
        <f t="shared" si="2"/>
        <v>#DIV/0!</v>
      </c>
      <c r="L34" s="358" t="str">
        <f t="shared" si="3"/>
        <v>#DIV/0!</v>
      </c>
    </row>
    <row r="35" hidden="1">
      <c r="A35" s="20">
        <v>43752.0</v>
      </c>
      <c r="B35" s="359"/>
      <c r="C35" s="359"/>
      <c r="D35" s="359"/>
      <c r="E35" s="359"/>
      <c r="J35" s="358" t="str">
        <f t="shared" si="1"/>
        <v>#DIV/0!</v>
      </c>
      <c r="K35" s="358" t="str">
        <f t="shared" si="2"/>
        <v>#DIV/0!</v>
      </c>
      <c r="L35" s="358" t="str">
        <f t="shared" si="3"/>
        <v>#DIV/0!</v>
      </c>
    </row>
    <row r="36" hidden="1">
      <c r="A36" s="20">
        <v>43753.0</v>
      </c>
      <c r="B36" s="359"/>
      <c r="C36" s="359"/>
      <c r="D36" s="359"/>
      <c r="E36" s="359"/>
      <c r="J36" s="358" t="str">
        <f t="shared" si="1"/>
        <v>#DIV/0!</v>
      </c>
      <c r="K36" s="358" t="str">
        <f t="shared" si="2"/>
        <v>#DIV/0!</v>
      </c>
      <c r="L36" s="358" t="str">
        <f t="shared" si="3"/>
        <v>#DIV/0!</v>
      </c>
    </row>
    <row r="37">
      <c r="A37" s="20">
        <v>43754.0</v>
      </c>
      <c r="B37" s="357">
        <v>173.0</v>
      </c>
      <c r="C37" s="357">
        <v>31.0</v>
      </c>
      <c r="D37" s="357">
        <v>11.0</v>
      </c>
      <c r="E37" s="357">
        <v>131.0</v>
      </c>
      <c r="J37" s="358">
        <f t="shared" si="1"/>
        <v>0.7572254335</v>
      </c>
      <c r="K37" s="358">
        <f t="shared" si="2"/>
        <v>0.1791907514</v>
      </c>
      <c r="L37" s="358">
        <f t="shared" si="3"/>
        <v>0.06358381503</v>
      </c>
    </row>
    <row r="38" hidden="1">
      <c r="A38" s="20">
        <v>43755.0</v>
      </c>
      <c r="B38" s="359"/>
      <c r="C38" s="359"/>
      <c r="D38" s="359"/>
      <c r="E38" s="359"/>
      <c r="J38" s="358" t="str">
        <f t="shared" si="1"/>
        <v>#DIV/0!</v>
      </c>
      <c r="K38" s="358" t="str">
        <f t="shared" si="2"/>
        <v>#DIV/0!</v>
      </c>
      <c r="L38" s="358" t="str">
        <f t="shared" si="3"/>
        <v>#DIV/0!</v>
      </c>
    </row>
    <row r="39" hidden="1">
      <c r="A39" s="20">
        <v>43756.0</v>
      </c>
      <c r="B39" s="359"/>
      <c r="C39" s="359"/>
      <c r="D39" s="359"/>
      <c r="E39" s="359"/>
      <c r="J39" s="358" t="str">
        <f t="shared" si="1"/>
        <v>#DIV/0!</v>
      </c>
      <c r="K39" s="358" t="str">
        <f t="shared" si="2"/>
        <v>#DIV/0!</v>
      </c>
      <c r="L39" s="358" t="str">
        <f t="shared" si="3"/>
        <v>#DIV/0!</v>
      </c>
    </row>
    <row r="40" hidden="1">
      <c r="A40" s="20">
        <v>43757.0</v>
      </c>
      <c r="B40" s="359"/>
      <c r="C40" s="359"/>
      <c r="D40" s="359"/>
      <c r="E40" s="359"/>
      <c r="J40" s="358" t="str">
        <f t="shared" si="1"/>
        <v>#DIV/0!</v>
      </c>
      <c r="K40" s="358" t="str">
        <f t="shared" si="2"/>
        <v>#DIV/0!</v>
      </c>
      <c r="L40" s="358" t="str">
        <f t="shared" si="3"/>
        <v>#DIV/0!</v>
      </c>
    </row>
    <row r="41" hidden="1">
      <c r="A41" s="20">
        <v>43758.0</v>
      </c>
      <c r="B41" s="359"/>
      <c r="C41" s="359"/>
      <c r="D41" s="359"/>
      <c r="E41" s="359"/>
      <c r="J41" s="358" t="str">
        <f t="shared" si="1"/>
        <v>#DIV/0!</v>
      </c>
      <c r="K41" s="358" t="str">
        <f t="shared" si="2"/>
        <v>#DIV/0!</v>
      </c>
      <c r="L41" s="358" t="str">
        <f t="shared" si="3"/>
        <v>#DIV/0!</v>
      </c>
    </row>
    <row r="42" hidden="1">
      <c r="A42" s="20">
        <v>43759.0</v>
      </c>
      <c r="B42" s="359"/>
      <c r="C42" s="359"/>
      <c r="D42" s="359"/>
      <c r="E42" s="359"/>
      <c r="J42" s="358" t="str">
        <f t="shared" si="1"/>
        <v>#DIV/0!</v>
      </c>
      <c r="K42" s="358" t="str">
        <f t="shared" si="2"/>
        <v>#DIV/0!</v>
      </c>
      <c r="L42" s="358" t="str">
        <f t="shared" si="3"/>
        <v>#DIV/0!</v>
      </c>
    </row>
    <row r="43" hidden="1">
      <c r="A43" s="20">
        <v>43760.0</v>
      </c>
      <c r="B43" s="359"/>
      <c r="C43" s="359"/>
      <c r="D43" s="359"/>
      <c r="E43" s="359"/>
      <c r="J43" s="358" t="str">
        <f t="shared" si="1"/>
        <v>#DIV/0!</v>
      </c>
      <c r="K43" s="358" t="str">
        <f t="shared" si="2"/>
        <v>#DIV/0!</v>
      </c>
      <c r="L43" s="358" t="str">
        <f t="shared" si="3"/>
        <v>#DIV/0!</v>
      </c>
    </row>
    <row r="44" hidden="1">
      <c r="A44" s="20">
        <v>43761.0</v>
      </c>
      <c r="B44" s="359"/>
      <c r="C44" s="359"/>
      <c r="D44" s="359"/>
      <c r="E44" s="359"/>
      <c r="J44" s="358" t="str">
        <f t="shared" si="1"/>
        <v>#DIV/0!</v>
      </c>
      <c r="K44" s="358" t="str">
        <f t="shared" si="2"/>
        <v>#DIV/0!</v>
      </c>
      <c r="L44" s="358" t="str">
        <f t="shared" si="3"/>
        <v>#DIV/0!</v>
      </c>
    </row>
    <row r="45">
      <c r="A45" s="20">
        <v>43762.0</v>
      </c>
      <c r="B45" s="357">
        <v>175.0</v>
      </c>
      <c r="C45" s="357">
        <v>25.0</v>
      </c>
      <c r="D45" s="357">
        <v>8.0</v>
      </c>
      <c r="E45" s="357">
        <v>142.0</v>
      </c>
      <c r="J45" s="358">
        <f t="shared" si="1"/>
        <v>0.8114285714</v>
      </c>
      <c r="K45" s="358">
        <f t="shared" si="2"/>
        <v>0.1428571429</v>
      </c>
      <c r="L45" s="358">
        <f t="shared" si="3"/>
        <v>0.04571428571</v>
      </c>
    </row>
    <row r="46">
      <c r="A46" s="20">
        <v>43763.0</v>
      </c>
      <c r="B46" s="357">
        <v>165.0</v>
      </c>
      <c r="C46" s="357">
        <v>27.0</v>
      </c>
      <c r="D46" s="357">
        <v>7.0</v>
      </c>
      <c r="E46" s="357">
        <v>131.0</v>
      </c>
      <c r="J46" s="358">
        <f t="shared" si="1"/>
        <v>0.7939393939</v>
      </c>
      <c r="K46" s="358">
        <f t="shared" si="2"/>
        <v>0.1636363636</v>
      </c>
      <c r="L46" s="358">
        <f t="shared" si="3"/>
        <v>0.04242424242</v>
      </c>
    </row>
    <row r="47" hidden="1">
      <c r="A47" s="20">
        <v>43764.0</v>
      </c>
      <c r="B47" s="359"/>
      <c r="C47" s="359"/>
      <c r="D47" s="359"/>
      <c r="E47" s="359"/>
      <c r="J47" s="358" t="str">
        <f t="shared" si="1"/>
        <v>#DIV/0!</v>
      </c>
      <c r="K47" s="358" t="str">
        <f t="shared" si="2"/>
        <v>#DIV/0!</v>
      </c>
      <c r="L47" s="358" t="str">
        <f t="shared" si="3"/>
        <v>#DIV/0!</v>
      </c>
    </row>
    <row r="48" hidden="1">
      <c r="A48" s="20">
        <v>43765.0</v>
      </c>
      <c r="B48" s="359"/>
      <c r="C48" s="359"/>
      <c r="D48" s="359"/>
      <c r="E48" s="359"/>
      <c r="J48" s="358" t="str">
        <f t="shared" si="1"/>
        <v>#DIV/0!</v>
      </c>
      <c r="K48" s="358" t="str">
        <f t="shared" si="2"/>
        <v>#DIV/0!</v>
      </c>
      <c r="L48" s="358" t="str">
        <f t="shared" si="3"/>
        <v>#DIV/0!</v>
      </c>
    </row>
    <row r="49" hidden="1">
      <c r="A49" s="20">
        <v>43766.0</v>
      </c>
      <c r="B49" s="359"/>
      <c r="C49" s="359"/>
      <c r="D49" s="359"/>
      <c r="E49" s="359"/>
      <c r="J49" s="358" t="str">
        <f t="shared" si="1"/>
        <v>#DIV/0!</v>
      </c>
      <c r="K49" s="358" t="str">
        <f t="shared" si="2"/>
        <v>#DIV/0!</v>
      </c>
      <c r="L49" s="358" t="str">
        <f t="shared" si="3"/>
        <v>#DIV/0!</v>
      </c>
    </row>
    <row r="50" hidden="1">
      <c r="A50" s="20">
        <v>43767.0</v>
      </c>
      <c r="B50" s="359"/>
      <c r="C50" s="359"/>
      <c r="D50" s="359"/>
      <c r="E50" s="359"/>
      <c r="J50" s="358" t="str">
        <f t="shared" si="1"/>
        <v>#DIV/0!</v>
      </c>
      <c r="K50" s="358" t="str">
        <f t="shared" si="2"/>
        <v>#DIV/0!</v>
      </c>
      <c r="L50" s="358" t="str">
        <f t="shared" si="3"/>
        <v>#DIV/0!</v>
      </c>
    </row>
    <row r="51" hidden="1">
      <c r="A51" s="20">
        <v>43768.0</v>
      </c>
      <c r="B51" s="359"/>
      <c r="C51" s="359"/>
      <c r="D51" s="359"/>
      <c r="E51" s="359"/>
      <c r="J51" s="358" t="str">
        <f t="shared" si="1"/>
        <v>#DIV/0!</v>
      </c>
      <c r="K51" s="358" t="str">
        <f t="shared" si="2"/>
        <v>#DIV/0!</v>
      </c>
      <c r="L51" s="358" t="str">
        <f t="shared" si="3"/>
        <v>#DIV/0!</v>
      </c>
    </row>
    <row r="52" hidden="1">
      <c r="A52" s="20">
        <v>43769.0</v>
      </c>
      <c r="B52" s="359"/>
      <c r="C52" s="359"/>
      <c r="D52" s="359"/>
      <c r="E52" s="359"/>
      <c r="J52" s="358" t="str">
        <f t="shared" si="1"/>
        <v>#DIV/0!</v>
      </c>
      <c r="K52" s="358" t="str">
        <f t="shared" si="2"/>
        <v>#DIV/0!</v>
      </c>
      <c r="L52" s="358" t="str">
        <f t="shared" si="3"/>
        <v>#DIV/0!</v>
      </c>
    </row>
    <row r="53" hidden="1">
      <c r="A53" s="20">
        <v>43770.0</v>
      </c>
      <c r="B53" s="359"/>
      <c r="C53" s="359"/>
      <c r="D53" s="359"/>
      <c r="E53" s="359"/>
      <c r="J53" s="358" t="str">
        <f t="shared" si="1"/>
        <v>#DIV/0!</v>
      </c>
      <c r="K53" s="358" t="str">
        <f t="shared" si="2"/>
        <v>#DIV/0!</v>
      </c>
      <c r="L53" s="358" t="str">
        <f t="shared" si="3"/>
        <v>#DIV/0!</v>
      </c>
    </row>
    <row r="54" hidden="1">
      <c r="A54" s="20">
        <v>43771.0</v>
      </c>
      <c r="B54" s="359"/>
      <c r="C54" s="359"/>
      <c r="D54" s="359"/>
      <c r="E54" s="359"/>
      <c r="J54" s="358" t="str">
        <f t="shared" si="1"/>
        <v>#DIV/0!</v>
      </c>
      <c r="K54" s="358" t="str">
        <f t="shared" si="2"/>
        <v>#DIV/0!</v>
      </c>
      <c r="L54" s="358" t="str">
        <f t="shared" si="3"/>
        <v>#DIV/0!</v>
      </c>
    </row>
    <row r="55" hidden="1">
      <c r="A55" s="20">
        <v>43772.0</v>
      </c>
      <c r="B55" s="359"/>
      <c r="C55" s="359"/>
      <c r="D55" s="359"/>
      <c r="E55" s="359"/>
      <c r="J55" s="358" t="str">
        <f t="shared" si="1"/>
        <v>#DIV/0!</v>
      </c>
      <c r="K55" s="358" t="str">
        <f t="shared" si="2"/>
        <v>#DIV/0!</v>
      </c>
      <c r="L55" s="358" t="str">
        <f t="shared" si="3"/>
        <v>#DIV/0!</v>
      </c>
    </row>
    <row r="56">
      <c r="A56" s="20">
        <v>43773.0</v>
      </c>
      <c r="B56" s="357">
        <v>95.0</v>
      </c>
      <c r="C56" s="357">
        <v>20.0</v>
      </c>
      <c r="D56" s="357">
        <v>6.0</v>
      </c>
      <c r="E56" s="357">
        <v>69.0</v>
      </c>
      <c r="J56" s="358">
        <f t="shared" si="1"/>
        <v>0.7263157895</v>
      </c>
      <c r="K56" s="358">
        <f t="shared" si="2"/>
        <v>0.2105263158</v>
      </c>
      <c r="L56" s="358">
        <f t="shared" si="3"/>
        <v>0.06315789474</v>
      </c>
    </row>
    <row r="57" hidden="1">
      <c r="A57" s="20">
        <v>43774.0</v>
      </c>
      <c r="B57" s="359"/>
      <c r="C57" s="359"/>
      <c r="D57" s="359"/>
      <c r="E57" s="359"/>
      <c r="J57" s="358" t="str">
        <f t="shared" si="1"/>
        <v>#DIV/0!</v>
      </c>
      <c r="K57" s="358" t="str">
        <f t="shared" si="2"/>
        <v>#DIV/0!</v>
      </c>
      <c r="L57" s="358" t="str">
        <f t="shared" si="3"/>
        <v>#DIV/0!</v>
      </c>
    </row>
    <row r="58" hidden="1">
      <c r="A58" s="20">
        <v>43775.0</v>
      </c>
      <c r="B58" s="359"/>
      <c r="C58" s="359"/>
      <c r="D58" s="359"/>
      <c r="E58" s="359"/>
      <c r="J58" s="358" t="str">
        <f t="shared" si="1"/>
        <v>#DIV/0!</v>
      </c>
      <c r="K58" s="358" t="str">
        <f t="shared" si="2"/>
        <v>#DIV/0!</v>
      </c>
      <c r="L58" s="358" t="str">
        <f t="shared" si="3"/>
        <v>#DIV/0!</v>
      </c>
    </row>
    <row r="59" hidden="1">
      <c r="A59" s="20">
        <v>43776.0</v>
      </c>
      <c r="B59" s="359"/>
      <c r="C59" s="359"/>
      <c r="D59" s="359"/>
      <c r="E59" s="359"/>
      <c r="J59" s="358" t="str">
        <f t="shared" si="1"/>
        <v>#DIV/0!</v>
      </c>
      <c r="K59" s="358" t="str">
        <f t="shared" si="2"/>
        <v>#DIV/0!</v>
      </c>
      <c r="L59" s="358" t="str">
        <f t="shared" si="3"/>
        <v>#DIV/0!</v>
      </c>
    </row>
    <row r="60" hidden="1">
      <c r="A60" s="20">
        <v>43777.0</v>
      </c>
      <c r="B60" s="359"/>
      <c r="C60" s="359"/>
      <c r="D60" s="359"/>
      <c r="E60" s="359"/>
      <c r="J60" s="358" t="str">
        <f t="shared" si="1"/>
        <v>#DIV/0!</v>
      </c>
      <c r="K60" s="358" t="str">
        <f t="shared" si="2"/>
        <v>#DIV/0!</v>
      </c>
      <c r="L60" s="358" t="str">
        <f t="shared" si="3"/>
        <v>#DIV/0!</v>
      </c>
    </row>
    <row r="61" hidden="1">
      <c r="A61" s="20">
        <v>43778.0</v>
      </c>
      <c r="B61" s="359"/>
      <c r="C61" s="359"/>
      <c r="D61" s="359"/>
      <c r="E61" s="359"/>
      <c r="J61" s="358" t="str">
        <f t="shared" si="1"/>
        <v>#DIV/0!</v>
      </c>
      <c r="K61" s="358" t="str">
        <f t="shared" si="2"/>
        <v>#DIV/0!</v>
      </c>
      <c r="L61" s="358" t="str">
        <f t="shared" si="3"/>
        <v>#DIV/0!</v>
      </c>
    </row>
    <row r="62" hidden="1">
      <c r="A62" s="20">
        <v>43779.0</v>
      </c>
      <c r="B62" s="359"/>
      <c r="C62" s="359"/>
      <c r="D62" s="359"/>
      <c r="E62" s="359"/>
      <c r="J62" s="358" t="str">
        <f t="shared" si="1"/>
        <v>#DIV/0!</v>
      </c>
      <c r="K62" s="358" t="str">
        <f t="shared" si="2"/>
        <v>#DIV/0!</v>
      </c>
      <c r="L62" s="358" t="str">
        <f t="shared" si="3"/>
        <v>#DIV/0!</v>
      </c>
    </row>
    <row r="63" hidden="1">
      <c r="A63" s="20">
        <v>43780.0</v>
      </c>
      <c r="B63" s="359"/>
      <c r="C63" s="359"/>
      <c r="D63" s="359"/>
      <c r="E63" s="359"/>
      <c r="J63" s="358" t="str">
        <f t="shared" si="1"/>
        <v>#DIV/0!</v>
      </c>
      <c r="K63" s="358" t="str">
        <f t="shared" si="2"/>
        <v>#DIV/0!</v>
      </c>
      <c r="L63" s="358" t="str">
        <f t="shared" si="3"/>
        <v>#DIV/0!</v>
      </c>
    </row>
    <row r="64" hidden="1">
      <c r="A64" s="20">
        <v>43781.0</v>
      </c>
      <c r="B64" s="359"/>
      <c r="C64" s="359"/>
      <c r="D64" s="359"/>
      <c r="E64" s="359"/>
      <c r="J64" s="358" t="str">
        <f t="shared" si="1"/>
        <v>#DIV/0!</v>
      </c>
      <c r="K64" s="358" t="str">
        <f t="shared" si="2"/>
        <v>#DIV/0!</v>
      </c>
      <c r="L64" s="358" t="str">
        <f t="shared" si="3"/>
        <v>#DIV/0!</v>
      </c>
    </row>
    <row r="65">
      <c r="A65" s="20">
        <v>43782.0</v>
      </c>
      <c r="B65" s="357">
        <v>140.0</v>
      </c>
      <c r="C65" s="357">
        <v>18.0</v>
      </c>
      <c r="D65" s="357">
        <v>3.0</v>
      </c>
      <c r="E65" s="357">
        <v>119.0</v>
      </c>
      <c r="J65" s="358">
        <f t="shared" si="1"/>
        <v>0.85</v>
      </c>
      <c r="K65" s="358">
        <f t="shared" si="2"/>
        <v>0.1285714286</v>
      </c>
      <c r="L65" s="358">
        <f t="shared" si="3"/>
        <v>0.02142857143</v>
      </c>
    </row>
    <row r="66" hidden="1">
      <c r="A66" s="20">
        <v>43783.0</v>
      </c>
      <c r="B66" s="359"/>
      <c r="C66" s="359"/>
      <c r="D66" s="359"/>
      <c r="E66" s="359"/>
      <c r="J66" s="358" t="str">
        <f t="shared" si="1"/>
        <v>#DIV/0!</v>
      </c>
      <c r="K66" s="358" t="str">
        <f t="shared" si="2"/>
        <v>#DIV/0!</v>
      </c>
      <c r="L66" s="358" t="str">
        <f t="shared" si="3"/>
        <v>#DIV/0!</v>
      </c>
    </row>
    <row r="67" hidden="1">
      <c r="A67" s="20">
        <v>43784.0</v>
      </c>
      <c r="B67" s="359"/>
      <c r="C67" s="359"/>
      <c r="D67" s="359"/>
      <c r="E67" s="359"/>
      <c r="J67" s="358" t="str">
        <f t="shared" si="1"/>
        <v>#DIV/0!</v>
      </c>
      <c r="K67" s="358" t="str">
        <f t="shared" si="2"/>
        <v>#DIV/0!</v>
      </c>
      <c r="L67" s="358" t="str">
        <f t="shared" si="3"/>
        <v>#DIV/0!</v>
      </c>
    </row>
    <row r="68" hidden="1">
      <c r="A68" s="20">
        <v>43785.0</v>
      </c>
      <c r="B68" s="359"/>
      <c r="C68" s="359"/>
      <c r="D68" s="359"/>
      <c r="E68" s="359"/>
      <c r="J68" s="358" t="str">
        <f t="shared" si="1"/>
        <v>#DIV/0!</v>
      </c>
      <c r="K68" s="358" t="str">
        <f t="shared" si="2"/>
        <v>#DIV/0!</v>
      </c>
      <c r="L68" s="358" t="str">
        <f t="shared" si="3"/>
        <v>#DIV/0!</v>
      </c>
    </row>
    <row r="69" hidden="1">
      <c r="A69" s="20">
        <v>43786.0</v>
      </c>
      <c r="B69" s="359"/>
      <c r="C69" s="359"/>
      <c r="D69" s="359"/>
      <c r="E69" s="359"/>
      <c r="J69" s="358" t="str">
        <f t="shared" si="1"/>
        <v>#DIV/0!</v>
      </c>
      <c r="K69" s="358" t="str">
        <f t="shared" si="2"/>
        <v>#DIV/0!</v>
      </c>
      <c r="L69" s="358" t="str">
        <f t="shared" si="3"/>
        <v>#DIV/0!</v>
      </c>
    </row>
    <row r="70" hidden="1">
      <c r="A70" s="20">
        <v>43787.0</v>
      </c>
      <c r="B70" s="359"/>
      <c r="C70" s="359"/>
      <c r="D70" s="359"/>
      <c r="E70" s="359"/>
      <c r="J70" s="358" t="str">
        <f t="shared" si="1"/>
        <v>#DIV/0!</v>
      </c>
      <c r="K70" s="358" t="str">
        <f t="shared" si="2"/>
        <v>#DIV/0!</v>
      </c>
      <c r="L70" s="358" t="str">
        <f t="shared" si="3"/>
        <v>#DIV/0!</v>
      </c>
    </row>
    <row r="71" hidden="1">
      <c r="A71" s="20">
        <v>43788.0</v>
      </c>
      <c r="B71" s="359"/>
      <c r="C71" s="359"/>
      <c r="D71" s="359"/>
      <c r="E71" s="359"/>
      <c r="J71" s="358" t="str">
        <f t="shared" si="1"/>
        <v>#DIV/0!</v>
      </c>
      <c r="K71" s="358" t="str">
        <f t="shared" si="2"/>
        <v>#DIV/0!</v>
      </c>
      <c r="L71" s="358" t="str">
        <f t="shared" si="3"/>
        <v>#DIV/0!</v>
      </c>
    </row>
    <row r="72" hidden="1">
      <c r="A72" s="20">
        <v>43789.0</v>
      </c>
      <c r="B72" s="359"/>
      <c r="C72" s="359"/>
      <c r="D72" s="359"/>
      <c r="E72" s="359"/>
      <c r="J72" s="358" t="str">
        <f t="shared" si="1"/>
        <v>#DIV/0!</v>
      </c>
      <c r="K72" s="358" t="str">
        <f t="shared" si="2"/>
        <v>#DIV/0!</v>
      </c>
      <c r="L72" s="358" t="str">
        <f t="shared" si="3"/>
        <v>#DIV/0!</v>
      </c>
    </row>
    <row r="73" hidden="1">
      <c r="A73" s="20">
        <v>43790.0</v>
      </c>
      <c r="B73" s="359"/>
      <c r="C73" s="359"/>
      <c r="D73" s="359"/>
      <c r="E73" s="359"/>
      <c r="J73" s="358" t="str">
        <f t="shared" si="1"/>
        <v>#DIV/0!</v>
      </c>
      <c r="K73" s="358" t="str">
        <f t="shared" si="2"/>
        <v>#DIV/0!</v>
      </c>
      <c r="L73" s="358" t="str">
        <f t="shared" si="3"/>
        <v>#DIV/0!</v>
      </c>
    </row>
    <row r="74">
      <c r="A74" s="20">
        <v>43791.0</v>
      </c>
      <c r="B74" s="357">
        <v>145.0</v>
      </c>
      <c r="C74" s="357">
        <v>16.0</v>
      </c>
      <c r="D74" s="357">
        <v>11.0</v>
      </c>
      <c r="E74" s="357">
        <v>118.0</v>
      </c>
      <c r="J74" s="358">
        <f t="shared" si="1"/>
        <v>0.8137931034</v>
      </c>
      <c r="K74" s="358">
        <f t="shared" si="2"/>
        <v>0.1103448276</v>
      </c>
      <c r="L74" s="358">
        <f t="shared" si="3"/>
        <v>0.07586206897</v>
      </c>
    </row>
    <row r="75" hidden="1">
      <c r="A75" s="20">
        <v>43792.0</v>
      </c>
      <c r="B75" s="359"/>
      <c r="C75" s="359"/>
      <c r="D75" s="359"/>
      <c r="E75" s="359"/>
      <c r="J75" s="358" t="str">
        <f t="shared" si="1"/>
        <v>#DIV/0!</v>
      </c>
      <c r="K75" s="358" t="str">
        <f t="shared" si="2"/>
        <v>#DIV/0!</v>
      </c>
      <c r="L75" s="358" t="str">
        <f t="shared" si="3"/>
        <v>#DIV/0!</v>
      </c>
    </row>
    <row r="76" hidden="1">
      <c r="A76" s="20">
        <v>43793.0</v>
      </c>
      <c r="B76" s="359"/>
      <c r="C76" s="359"/>
      <c r="D76" s="359"/>
      <c r="E76" s="359"/>
      <c r="J76" s="358" t="str">
        <f t="shared" si="1"/>
        <v>#DIV/0!</v>
      </c>
      <c r="K76" s="358" t="str">
        <f t="shared" si="2"/>
        <v>#DIV/0!</v>
      </c>
      <c r="L76" s="358" t="str">
        <f t="shared" si="3"/>
        <v>#DIV/0!</v>
      </c>
    </row>
    <row r="77" hidden="1">
      <c r="A77" s="20">
        <v>43794.0</v>
      </c>
      <c r="B77" s="359"/>
      <c r="C77" s="359"/>
      <c r="D77" s="359"/>
      <c r="E77" s="359"/>
      <c r="J77" s="358" t="str">
        <f t="shared" si="1"/>
        <v>#DIV/0!</v>
      </c>
      <c r="K77" s="358" t="str">
        <f t="shared" si="2"/>
        <v>#DIV/0!</v>
      </c>
      <c r="L77" s="358" t="str">
        <f t="shared" si="3"/>
        <v>#DIV/0!</v>
      </c>
    </row>
    <row r="78" hidden="1">
      <c r="A78" s="20">
        <v>43795.0</v>
      </c>
      <c r="B78" s="359"/>
      <c r="C78" s="359"/>
      <c r="D78" s="359"/>
      <c r="E78" s="359"/>
      <c r="J78" s="358" t="str">
        <f t="shared" si="1"/>
        <v>#DIV/0!</v>
      </c>
      <c r="K78" s="358" t="str">
        <f t="shared" si="2"/>
        <v>#DIV/0!</v>
      </c>
      <c r="L78" s="358" t="str">
        <f t="shared" si="3"/>
        <v>#DIV/0!</v>
      </c>
    </row>
    <row r="79" hidden="1">
      <c r="A79" s="20">
        <v>43796.0</v>
      </c>
      <c r="B79" s="359"/>
      <c r="C79" s="359"/>
      <c r="D79" s="359"/>
      <c r="E79" s="359"/>
      <c r="J79" s="358" t="str">
        <f t="shared" si="1"/>
        <v>#DIV/0!</v>
      </c>
      <c r="K79" s="358" t="str">
        <f t="shared" si="2"/>
        <v>#DIV/0!</v>
      </c>
      <c r="L79" s="358" t="str">
        <f t="shared" si="3"/>
        <v>#DIV/0!</v>
      </c>
    </row>
    <row r="80" hidden="1">
      <c r="A80" s="20">
        <v>43797.0</v>
      </c>
      <c r="B80" s="359"/>
      <c r="C80" s="359"/>
      <c r="D80" s="359"/>
      <c r="E80" s="359"/>
      <c r="J80" s="358" t="str">
        <f t="shared" si="1"/>
        <v>#DIV/0!</v>
      </c>
      <c r="K80" s="358" t="str">
        <f t="shared" si="2"/>
        <v>#DIV/0!</v>
      </c>
      <c r="L80" s="358" t="str">
        <f t="shared" si="3"/>
        <v>#DIV/0!</v>
      </c>
    </row>
    <row r="81">
      <c r="A81" s="20">
        <v>43798.0</v>
      </c>
      <c r="B81" s="357">
        <v>158.0</v>
      </c>
      <c r="C81" s="357">
        <v>17.0</v>
      </c>
      <c r="D81" s="357">
        <v>10.0</v>
      </c>
      <c r="E81" s="357">
        <v>131.0</v>
      </c>
      <c r="J81" s="358">
        <f t="shared" si="1"/>
        <v>0.8291139241</v>
      </c>
      <c r="K81" s="358">
        <f t="shared" si="2"/>
        <v>0.1075949367</v>
      </c>
      <c r="L81" s="358">
        <f t="shared" si="3"/>
        <v>0.06329113924</v>
      </c>
    </row>
    <row r="82" hidden="1">
      <c r="A82" s="20">
        <v>43799.0</v>
      </c>
      <c r="B82" s="359"/>
      <c r="C82" s="359"/>
      <c r="D82" s="359"/>
      <c r="E82" s="359"/>
      <c r="J82" s="358" t="str">
        <f t="shared" si="1"/>
        <v>#DIV/0!</v>
      </c>
      <c r="K82" s="358" t="str">
        <f t="shared" si="2"/>
        <v>#DIV/0!</v>
      </c>
      <c r="L82" s="358" t="str">
        <f t="shared" si="3"/>
        <v>#DIV/0!</v>
      </c>
    </row>
    <row r="83" hidden="1">
      <c r="A83" s="20">
        <v>43800.0</v>
      </c>
      <c r="B83" s="359"/>
      <c r="C83" s="359"/>
      <c r="D83" s="359"/>
      <c r="E83" s="359"/>
      <c r="J83" s="358" t="str">
        <f t="shared" si="1"/>
        <v>#DIV/0!</v>
      </c>
      <c r="K83" s="358" t="str">
        <f t="shared" si="2"/>
        <v>#DIV/0!</v>
      </c>
      <c r="L83" s="358" t="str">
        <f t="shared" si="3"/>
        <v>#DIV/0!</v>
      </c>
    </row>
    <row r="84" hidden="1">
      <c r="A84" s="20">
        <v>43801.0</v>
      </c>
      <c r="B84" s="359"/>
      <c r="C84" s="359"/>
      <c r="D84" s="359"/>
      <c r="E84" s="359"/>
      <c r="J84" s="358" t="str">
        <f t="shared" si="1"/>
        <v>#DIV/0!</v>
      </c>
      <c r="K84" s="358" t="str">
        <f t="shared" si="2"/>
        <v>#DIV/0!</v>
      </c>
      <c r="L84" s="358" t="str">
        <f t="shared" si="3"/>
        <v>#DIV/0!</v>
      </c>
    </row>
    <row r="85" hidden="1">
      <c r="A85" s="20">
        <v>43802.0</v>
      </c>
      <c r="B85" s="359"/>
      <c r="C85" s="359"/>
      <c r="D85" s="359"/>
      <c r="E85" s="359"/>
      <c r="J85" s="358" t="str">
        <f t="shared" si="1"/>
        <v>#DIV/0!</v>
      </c>
      <c r="K85" s="358" t="str">
        <f t="shared" si="2"/>
        <v>#DIV/0!</v>
      </c>
      <c r="L85" s="358" t="str">
        <f t="shared" si="3"/>
        <v>#DIV/0!</v>
      </c>
    </row>
    <row r="86" hidden="1">
      <c r="A86" s="20">
        <v>43803.0</v>
      </c>
      <c r="B86" s="359"/>
      <c r="C86" s="359"/>
      <c r="D86" s="359"/>
      <c r="E86" s="359"/>
      <c r="J86" s="358" t="str">
        <f t="shared" si="1"/>
        <v>#DIV/0!</v>
      </c>
      <c r="K86" s="358" t="str">
        <f t="shared" si="2"/>
        <v>#DIV/0!</v>
      </c>
      <c r="L86" s="358" t="str">
        <f t="shared" si="3"/>
        <v>#DIV/0!</v>
      </c>
    </row>
    <row r="87" hidden="1">
      <c r="A87" s="20">
        <v>43804.0</v>
      </c>
      <c r="B87" s="359"/>
      <c r="C87" s="359"/>
      <c r="D87" s="359"/>
      <c r="E87" s="359"/>
      <c r="J87" s="358" t="str">
        <f t="shared" si="1"/>
        <v>#DIV/0!</v>
      </c>
      <c r="K87" s="358" t="str">
        <f t="shared" si="2"/>
        <v>#DIV/0!</v>
      </c>
      <c r="L87" s="358" t="str">
        <f t="shared" si="3"/>
        <v>#DIV/0!</v>
      </c>
    </row>
    <row r="88" hidden="1">
      <c r="A88" s="20">
        <v>43805.0</v>
      </c>
      <c r="B88" s="359"/>
      <c r="C88" s="359"/>
      <c r="D88" s="359"/>
      <c r="E88" s="359"/>
      <c r="J88" s="358" t="str">
        <f t="shared" si="1"/>
        <v>#DIV/0!</v>
      </c>
      <c r="K88" s="358" t="str">
        <f t="shared" si="2"/>
        <v>#DIV/0!</v>
      </c>
      <c r="L88" s="358" t="str">
        <f t="shared" si="3"/>
        <v>#DIV/0!</v>
      </c>
    </row>
    <row r="89" hidden="1">
      <c r="A89" s="20">
        <v>43806.0</v>
      </c>
      <c r="B89" s="359"/>
      <c r="C89" s="359"/>
      <c r="D89" s="359"/>
      <c r="E89" s="359"/>
      <c r="J89" s="358" t="str">
        <f t="shared" si="1"/>
        <v>#DIV/0!</v>
      </c>
      <c r="K89" s="358" t="str">
        <f t="shared" si="2"/>
        <v>#DIV/0!</v>
      </c>
      <c r="L89" s="358" t="str">
        <f t="shared" si="3"/>
        <v>#DIV/0!</v>
      </c>
    </row>
    <row r="90" hidden="1">
      <c r="A90" s="20">
        <v>43807.0</v>
      </c>
      <c r="B90" s="359"/>
      <c r="C90" s="359"/>
      <c r="D90" s="359"/>
      <c r="E90" s="359"/>
      <c r="J90" s="358" t="str">
        <f t="shared" si="1"/>
        <v>#DIV/0!</v>
      </c>
      <c r="K90" s="358" t="str">
        <f t="shared" si="2"/>
        <v>#DIV/0!</v>
      </c>
      <c r="L90" s="358" t="str">
        <f t="shared" si="3"/>
        <v>#DIV/0!</v>
      </c>
    </row>
    <row r="91" hidden="1">
      <c r="A91" s="20">
        <v>43808.0</v>
      </c>
      <c r="B91" s="359"/>
      <c r="C91" s="359"/>
      <c r="D91" s="359"/>
      <c r="E91" s="359"/>
      <c r="J91" s="358" t="str">
        <f t="shared" si="1"/>
        <v>#DIV/0!</v>
      </c>
      <c r="K91" s="358" t="str">
        <f t="shared" si="2"/>
        <v>#DIV/0!</v>
      </c>
      <c r="L91" s="358" t="str">
        <f t="shared" si="3"/>
        <v>#DIV/0!</v>
      </c>
    </row>
    <row r="92" hidden="1">
      <c r="A92" s="20">
        <v>43809.0</v>
      </c>
      <c r="B92" s="359"/>
      <c r="C92" s="359"/>
      <c r="D92" s="359"/>
      <c r="E92" s="359"/>
      <c r="J92" s="358" t="str">
        <f t="shared" si="1"/>
        <v>#DIV/0!</v>
      </c>
      <c r="K92" s="358" t="str">
        <f t="shared" si="2"/>
        <v>#DIV/0!</v>
      </c>
      <c r="L92" s="358" t="str">
        <f t="shared" si="3"/>
        <v>#DIV/0!</v>
      </c>
    </row>
    <row r="93" hidden="1">
      <c r="A93" s="20">
        <v>43810.0</v>
      </c>
      <c r="B93" s="359"/>
      <c r="C93" s="359"/>
      <c r="D93" s="359"/>
      <c r="E93" s="359"/>
      <c r="J93" s="358" t="str">
        <f t="shared" si="1"/>
        <v>#DIV/0!</v>
      </c>
      <c r="K93" s="358" t="str">
        <f t="shared" si="2"/>
        <v>#DIV/0!</v>
      </c>
      <c r="L93" s="358" t="str">
        <f t="shared" si="3"/>
        <v>#DIV/0!</v>
      </c>
    </row>
    <row r="94" hidden="1">
      <c r="A94" s="20">
        <v>43811.0</v>
      </c>
      <c r="B94" s="359"/>
      <c r="C94" s="359"/>
      <c r="D94" s="359"/>
      <c r="E94" s="359"/>
      <c r="J94" s="358" t="str">
        <f t="shared" si="1"/>
        <v>#DIV/0!</v>
      </c>
      <c r="K94" s="358" t="str">
        <f t="shared" si="2"/>
        <v>#DIV/0!</v>
      </c>
      <c r="L94" s="358" t="str">
        <f t="shared" si="3"/>
        <v>#DIV/0!</v>
      </c>
    </row>
    <row r="95" hidden="1">
      <c r="A95" s="20">
        <v>43812.0</v>
      </c>
      <c r="B95" s="359"/>
      <c r="C95" s="359"/>
      <c r="D95" s="359"/>
      <c r="E95" s="359"/>
      <c r="J95" s="358" t="str">
        <f t="shared" si="1"/>
        <v>#DIV/0!</v>
      </c>
      <c r="K95" s="358" t="str">
        <f t="shared" si="2"/>
        <v>#DIV/0!</v>
      </c>
      <c r="L95" s="358" t="str">
        <f t="shared" si="3"/>
        <v>#DIV/0!</v>
      </c>
    </row>
    <row r="96" hidden="1">
      <c r="A96" s="20">
        <v>43813.0</v>
      </c>
      <c r="B96" s="359"/>
      <c r="C96" s="359"/>
      <c r="D96" s="359"/>
      <c r="E96" s="359"/>
      <c r="J96" s="358" t="str">
        <f t="shared" si="1"/>
        <v>#DIV/0!</v>
      </c>
      <c r="K96" s="358" t="str">
        <f t="shared" si="2"/>
        <v>#DIV/0!</v>
      </c>
      <c r="L96" s="358" t="str">
        <f t="shared" si="3"/>
        <v>#DIV/0!</v>
      </c>
    </row>
    <row r="97" hidden="1">
      <c r="A97" s="20">
        <v>43814.0</v>
      </c>
      <c r="B97" s="359"/>
      <c r="C97" s="359"/>
      <c r="D97" s="359"/>
      <c r="E97" s="359"/>
      <c r="J97" s="358" t="str">
        <f t="shared" si="1"/>
        <v>#DIV/0!</v>
      </c>
      <c r="K97" s="358" t="str">
        <f t="shared" si="2"/>
        <v>#DIV/0!</v>
      </c>
      <c r="L97" s="358" t="str">
        <f t="shared" si="3"/>
        <v>#DIV/0!</v>
      </c>
    </row>
    <row r="98" hidden="1">
      <c r="A98" s="20">
        <v>43815.0</v>
      </c>
      <c r="B98" s="359"/>
      <c r="C98" s="359"/>
      <c r="D98" s="359"/>
      <c r="E98" s="359"/>
      <c r="J98" s="358" t="str">
        <f t="shared" si="1"/>
        <v>#DIV/0!</v>
      </c>
      <c r="K98" s="358" t="str">
        <f t="shared" si="2"/>
        <v>#DIV/0!</v>
      </c>
      <c r="L98" s="358" t="str">
        <f t="shared" si="3"/>
        <v>#DIV/0!</v>
      </c>
    </row>
    <row r="99" hidden="1">
      <c r="A99" s="20">
        <v>43816.0</v>
      </c>
      <c r="B99" s="359"/>
      <c r="C99" s="359"/>
      <c r="D99" s="359"/>
      <c r="E99" s="359"/>
      <c r="J99" s="358" t="str">
        <f t="shared" si="1"/>
        <v>#DIV/0!</v>
      </c>
      <c r="K99" s="358" t="str">
        <f t="shared" si="2"/>
        <v>#DIV/0!</v>
      </c>
      <c r="L99" s="358" t="str">
        <f t="shared" si="3"/>
        <v>#DIV/0!</v>
      </c>
    </row>
    <row r="100" hidden="1">
      <c r="A100" s="20">
        <v>43817.0</v>
      </c>
      <c r="B100" s="359"/>
      <c r="C100" s="359"/>
      <c r="D100" s="359"/>
      <c r="E100" s="359"/>
      <c r="J100" s="358" t="str">
        <f t="shared" si="1"/>
        <v>#DIV/0!</v>
      </c>
      <c r="K100" s="358" t="str">
        <f t="shared" si="2"/>
        <v>#DIV/0!</v>
      </c>
      <c r="L100" s="358" t="str">
        <f t="shared" si="3"/>
        <v>#DIV/0!</v>
      </c>
    </row>
    <row r="101" hidden="1">
      <c r="A101" s="20">
        <v>43818.0</v>
      </c>
      <c r="B101" s="359"/>
      <c r="C101" s="359"/>
      <c r="D101" s="359"/>
      <c r="E101" s="359"/>
      <c r="J101" s="358" t="str">
        <f t="shared" si="1"/>
        <v>#DIV/0!</v>
      </c>
      <c r="K101" s="358" t="str">
        <f t="shared" si="2"/>
        <v>#DIV/0!</v>
      </c>
      <c r="L101" s="358" t="str">
        <f t="shared" si="3"/>
        <v>#DIV/0!</v>
      </c>
    </row>
    <row r="102" hidden="1">
      <c r="A102" s="20">
        <v>43819.0</v>
      </c>
      <c r="B102" s="359"/>
      <c r="C102" s="359"/>
      <c r="D102" s="359"/>
      <c r="E102" s="359"/>
      <c r="J102" s="358" t="str">
        <f t="shared" si="1"/>
        <v>#DIV/0!</v>
      </c>
      <c r="K102" s="358" t="str">
        <f t="shared" si="2"/>
        <v>#DIV/0!</v>
      </c>
      <c r="L102" s="358" t="str">
        <f t="shared" si="3"/>
        <v>#DIV/0!</v>
      </c>
    </row>
    <row r="103" hidden="1">
      <c r="A103" s="20">
        <v>43820.0</v>
      </c>
      <c r="B103" s="359"/>
      <c r="C103" s="359"/>
      <c r="D103" s="359"/>
      <c r="E103" s="359"/>
      <c r="J103" s="358" t="str">
        <f t="shared" si="1"/>
        <v>#DIV/0!</v>
      </c>
      <c r="K103" s="358" t="str">
        <f t="shared" si="2"/>
        <v>#DIV/0!</v>
      </c>
      <c r="L103" s="358" t="str">
        <f t="shared" si="3"/>
        <v>#DIV/0!</v>
      </c>
    </row>
    <row r="104" hidden="1">
      <c r="A104" s="20">
        <v>43821.0</v>
      </c>
      <c r="B104" s="359"/>
      <c r="C104" s="359"/>
      <c r="D104" s="359"/>
      <c r="E104" s="359"/>
      <c r="J104" s="358" t="str">
        <f t="shared" si="1"/>
        <v>#DIV/0!</v>
      </c>
      <c r="K104" s="358" t="str">
        <f t="shared" si="2"/>
        <v>#DIV/0!</v>
      </c>
      <c r="L104" s="358" t="str">
        <f t="shared" si="3"/>
        <v>#DIV/0!</v>
      </c>
    </row>
    <row r="105" hidden="1">
      <c r="A105" s="20">
        <v>43822.0</v>
      </c>
      <c r="B105" s="359"/>
      <c r="C105" s="359"/>
      <c r="D105" s="359"/>
      <c r="E105" s="359"/>
      <c r="J105" s="358" t="str">
        <f t="shared" si="1"/>
        <v>#DIV/0!</v>
      </c>
      <c r="K105" s="358" t="str">
        <f t="shared" si="2"/>
        <v>#DIV/0!</v>
      </c>
      <c r="L105" s="358" t="str">
        <f t="shared" si="3"/>
        <v>#DIV/0!</v>
      </c>
    </row>
    <row r="106" hidden="1">
      <c r="A106" s="20">
        <v>43823.0</v>
      </c>
      <c r="B106" s="359"/>
      <c r="C106" s="359"/>
      <c r="D106" s="359"/>
      <c r="E106" s="359"/>
      <c r="J106" s="358" t="str">
        <f t="shared" si="1"/>
        <v>#DIV/0!</v>
      </c>
      <c r="K106" s="358" t="str">
        <f t="shared" si="2"/>
        <v>#DIV/0!</v>
      </c>
      <c r="L106" s="358" t="str">
        <f t="shared" si="3"/>
        <v>#DIV/0!</v>
      </c>
    </row>
    <row r="107" hidden="1">
      <c r="A107" s="20">
        <v>43824.0</v>
      </c>
      <c r="B107" s="359"/>
      <c r="C107" s="359"/>
      <c r="D107" s="359"/>
      <c r="E107" s="359"/>
      <c r="J107" s="358" t="str">
        <f t="shared" si="1"/>
        <v>#DIV/0!</v>
      </c>
      <c r="K107" s="358" t="str">
        <f t="shared" si="2"/>
        <v>#DIV/0!</v>
      </c>
      <c r="L107" s="358" t="str">
        <f t="shared" si="3"/>
        <v>#DIV/0!</v>
      </c>
    </row>
    <row r="108" hidden="1">
      <c r="A108" s="20">
        <v>43825.0</v>
      </c>
      <c r="B108" s="359"/>
      <c r="C108" s="359"/>
      <c r="D108" s="359"/>
      <c r="E108" s="359"/>
      <c r="J108" s="358" t="str">
        <f t="shared" si="1"/>
        <v>#DIV/0!</v>
      </c>
      <c r="K108" s="358" t="str">
        <f t="shared" si="2"/>
        <v>#DIV/0!</v>
      </c>
      <c r="L108" s="358" t="str">
        <f t="shared" si="3"/>
        <v>#DIV/0!</v>
      </c>
    </row>
    <row r="109" hidden="1">
      <c r="A109" s="20">
        <v>43826.0</v>
      </c>
      <c r="B109" s="359"/>
      <c r="C109" s="359"/>
      <c r="D109" s="359"/>
      <c r="E109" s="359"/>
      <c r="J109" s="358" t="str">
        <f t="shared" si="1"/>
        <v>#DIV/0!</v>
      </c>
      <c r="K109" s="358" t="str">
        <f t="shared" si="2"/>
        <v>#DIV/0!</v>
      </c>
      <c r="L109" s="358" t="str">
        <f t="shared" si="3"/>
        <v>#DIV/0!</v>
      </c>
    </row>
    <row r="110" hidden="1">
      <c r="A110" s="20">
        <v>43827.0</v>
      </c>
      <c r="B110" s="359"/>
      <c r="C110" s="359"/>
      <c r="D110" s="359"/>
      <c r="E110" s="359"/>
      <c r="J110" s="358" t="str">
        <f t="shared" si="1"/>
        <v>#DIV/0!</v>
      </c>
      <c r="K110" s="358" t="str">
        <f t="shared" si="2"/>
        <v>#DIV/0!</v>
      </c>
      <c r="L110" s="358" t="str">
        <f t="shared" si="3"/>
        <v>#DIV/0!</v>
      </c>
    </row>
    <row r="111" hidden="1">
      <c r="A111" s="20">
        <v>43828.0</v>
      </c>
      <c r="B111" s="359"/>
      <c r="C111" s="359"/>
      <c r="D111" s="359"/>
      <c r="E111" s="359"/>
      <c r="J111" s="358" t="str">
        <f t="shared" si="1"/>
        <v>#DIV/0!</v>
      </c>
      <c r="K111" s="358" t="str">
        <f t="shared" si="2"/>
        <v>#DIV/0!</v>
      </c>
      <c r="L111" s="358" t="str">
        <f t="shared" si="3"/>
        <v>#DIV/0!</v>
      </c>
    </row>
    <row r="112" hidden="1">
      <c r="A112" s="20">
        <v>43829.0</v>
      </c>
      <c r="B112" s="359"/>
      <c r="C112" s="359"/>
      <c r="D112" s="359"/>
      <c r="E112" s="359"/>
      <c r="J112" s="358" t="str">
        <f t="shared" si="1"/>
        <v>#DIV/0!</v>
      </c>
      <c r="K112" s="358" t="str">
        <f t="shared" si="2"/>
        <v>#DIV/0!</v>
      </c>
      <c r="L112" s="358" t="str">
        <f t="shared" si="3"/>
        <v>#DIV/0!</v>
      </c>
    </row>
    <row r="113" hidden="1">
      <c r="A113" s="20">
        <v>43830.0</v>
      </c>
      <c r="B113" s="359"/>
      <c r="C113" s="359"/>
      <c r="D113" s="359"/>
      <c r="E113" s="359"/>
      <c r="J113" s="358" t="str">
        <f t="shared" si="1"/>
        <v>#DIV/0!</v>
      </c>
      <c r="K113" s="358" t="str">
        <f t="shared" si="2"/>
        <v>#DIV/0!</v>
      </c>
      <c r="L113" s="358" t="str">
        <f t="shared" si="3"/>
        <v>#DIV/0!</v>
      </c>
    </row>
    <row r="114" hidden="1">
      <c r="A114" s="20">
        <v>43831.0</v>
      </c>
      <c r="B114" s="359"/>
      <c r="C114" s="359"/>
      <c r="D114" s="359"/>
      <c r="E114" s="359"/>
      <c r="J114" s="358" t="str">
        <f t="shared" si="1"/>
        <v>#DIV/0!</v>
      </c>
      <c r="K114" s="358" t="str">
        <f t="shared" si="2"/>
        <v>#DIV/0!</v>
      </c>
      <c r="L114" s="358" t="str">
        <f t="shared" si="3"/>
        <v>#DIV/0!</v>
      </c>
    </row>
    <row r="115" hidden="1">
      <c r="A115" s="20">
        <v>43832.0</v>
      </c>
      <c r="B115" s="359"/>
      <c r="C115" s="359"/>
      <c r="D115" s="359"/>
      <c r="E115" s="359"/>
      <c r="J115" s="358" t="str">
        <f t="shared" si="1"/>
        <v>#DIV/0!</v>
      </c>
      <c r="K115" s="358" t="str">
        <f t="shared" si="2"/>
        <v>#DIV/0!</v>
      </c>
      <c r="L115" s="358" t="str">
        <f t="shared" si="3"/>
        <v>#DIV/0!</v>
      </c>
    </row>
    <row r="116" hidden="1">
      <c r="A116" s="20">
        <v>43833.0</v>
      </c>
      <c r="B116" s="359"/>
      <c r="C116" s="359"/>
      <c r="D116" s="359"/>
      <c r="E116" s="359"/>
      <c r="J116" s="358" t="str">
        <f t="shared" si="1"/>
        <v>#DIV/0!</v>
      </c>
      <c r="K116" s="358" t="str">
        <f t="shared" si="2"/>
        <v>#DIV/0!</v>
      </c>
      <c r="L116" s="358" t="str">
        <f t="shared" si="3"/>
        <v>#DIV/0!</v>
      </c>
    </row>
    <row r="117" hidden="1">
      <c r="A117" s="20">
        <v>43834.0</v>
      </c>
      <c r="B117" s="359"/>
      <c r="C117" s="359"/>
      <c r="D117" s="359"/>
      <c r="E117" s="359"/>
      <c r="J117" s="358" t="str">
        <f t="shared" si="1"/>
        <v>#DIV/0!</v>
      </c>
      <c r="K117" s="358" t="str">
        <f t="shared" si="2"/>
        <v>#DIV/0!</v>
      </c>
      <c r="L117" s="358" t="str">
        <f t="shared" si="3"/>
        <v>#DIV/0!</v>
      </c>
    </row>
    <row r="118" hidden="1">
      <c r="A118" s="20">
        <v>43835.0</v>
      </c>
      <c r="B118" s="359"/>
      <c r="C118" s="359"/>
      <c r="D118" s="359"/>
      <c r="E118" s="359"/>
      <c r="J118" s="358" t="str">
        <f t="shared" si="1"/>
        <v>#DIV/0!</v>
      </c>
      <c r="K118" s="358" t="str">
        <f t="shared" si="2"/>
        <v>#DIV/0!</v>
      </c>
      <c r="L118" s="358" t="str">
        <f t="shared" si="3"/>
        <v>#DIV/0!</v>
      </c>
    </row>
    <row r="119" hidden="1">
      <c r="A119" s="20">
        <v>43836.0</v>
      </c>
      <c r="B119" s="359"/>
      <c r="C119" s="359"/>
      <c r="D119" s="359"/>
      <c r="E119" s="359"/>
      <c r="J119" s="358" t="str">
        <f t="shared" si="1"/>
        <v>#DIV/0!</v>
      </c>
      <c r="K119" s="358" t="str">
        <f t="shared" si="2"/>
        <v>#DIV/0!</v>
      </c>
      <c r="L119" s="358" t="str">
        <f t="shared" si="3"/>
        <v>#DIV/0!</v>
      </c>
    </row>
    <row r="120" hidden="1">
      <c r="A120" s="20">
        <v>43837.0</v>
      </c>
      <c r="B120" s="359"/>
      <c r="C120" s="359"/>
      <c r="D120" s="359"/>
      <c r="E120" s="359"/>
      <c r="J120" s="358" t="str">
        <f t="shared" si="1"/>
        <v>#DIV/0!</v>
      </c>
      <c r="K120" s="358" t="str">
        <f t="shared" si="2"/>
        <v>#DIV/0!</v>
      </c>
      <c r="L120" s="358" t="str">
        <f t="shared" si="3"/>
        <v>#DIV/0!</v>
      </c>
    </row>
    <row r="121" hidden="1">
      <c r="A121" s="20">
        <v>43838.0</v>
      </c>
      <c r="B121" s="359"/>
      <c r="C121" s="359"/>
      <c r="D121" s="359"/>
      <c r="E121" s="359"/>
      <c r="J121" s="358" t="str">
        <f t="shared" si="1"/>
        <v>#DIV/0!</v>
      </c>
      <c r="K121" s="358" t="str">
        <f t="shared" si="2"/>
        <v>#DIV/0!</v>
      </c>
      <c r="L121" s="358" t="str">
        <f t="shared" si="3"/>
        <v>#DIV/0!</v>
      </c>
    </row>
    <row r="122" hidden="1">
      <c r="A122" s="20">
        <v>43839.0</v>
      </c>
      <c r="B122" s="359"/>
      <c r="C122" s="359"/>
      <c r="D122" s="359"/>
      <c r="E122" s="359"/>
      <c r="J122" s="358" t="str">
        <f t="shared" si="1"/>
        <v>#DIV/0!</v>
      </c>
      <c r="K122" s="358" t="str">
        <f t="shared" si="2"/>
        <v>#DIV/0!</v>
      </c>
      <c r="L122" s="358" t="str">
        <f t="shared" si="3"/>
        <v>#DIV/0!</v>
      </c>
    </row>
    <row r="123" hidden="1">
      <c r="A123" s="20">
        <v>43840.0</v>
      </c>
      <c r="B123" s="359"/>
      <c r="C123" s="359"/>
      <c r="D123" s="359"/>
      <c r="E123" s="359"/>
      <c r="J123" s="358" t="str">
        <f t="shared" si="1"/>
        <v>#DIV/0!</v>
      </c>
      <c r="K123" s="358" t="str">
        <f t="shared" si="2"/>
        <v>#DIV/0!</v>
      </c>
      <c r="L123" s="358" t="str">
        <f t="shared" si="3"/>
        <v>#DIV/0!</v>
      </c>
    </row>
    <row r="124" hidden="1">
      <c r="A124" s="20">
        <v>43841.0</v>
      </c>
      <c r="B124" s="359"/>
      <c r="C124" s="359"/>
      <c r="D124" s="359"/>
      <c r="E124" s="359"/>
      <c r="J124" s="358" t="str">
        <f t="shared" si="1"/>
        <v>#DIV/0!</v>
      </c>
      <c r="K124" s="358" t="str">
        <f t="shared" si="2"/>
        <v>#DIV/0!</v>
      </c>
      <c r="L124" s="358" t="str">
        <f t="shared" si="3"/>
        <v>#DIV/0!</v>
      </c>
    </row>
    <row r="125" hidden="1">
      <c r="A125" s="20">
        <v>43842.0</v>
      </c>
      <c r="B125" s="359"/>
      <c r="C125" s="359"/>
      <c r="D125" s="359"/>
      <c r="E125" s="359"/>
      <c r="J125" s="358" t="str">
        <f t="shared" si="1"/>
        <v>#DIV/0!</v>
      </c>
      <c r="K125" s="358" t="str">
        <f t="shared" si="2"/>
        <v>#DIV/0!</v>
      </c>
      <c r="L125" s="358" t="str">
        <f t="shared" si="3"/>
        <v>#DIV/0!</v>
      </c>
    </row>
    <row r="126">
      <c r="A126" s="20">
        <v>43843.0</v>
      </c>
      <c r="B126" s="357">
        <v>112.0</v>
      </c>
      <c r="C126" s="357">
        <v>19.0</v>
      </c>
      <c r="D126" s="357">
        <v>7.0</v>
      </c>
      <c r="E126" s="357">
        <v>86.0</v>
      </c>
      <c r="J126" s="358">
        <f t="shared" si="1"/>
        <v>0.7678571429</v>
      </c>
      <c r="K126" s="358">
        <f t="shared" si="2"/>
        <v>0.1696428571</v>
      </c>
      <c r="L126" s="358">
        <f t="shared" si="3"/>
        <v>0.0625</v>
      </c>
    </row>
    <row r="127" hidden="1">
      <c r="A127" s="20">
        <v>43844.0</v>
      </c>
      <c r="J127" s="358" t="str">
        <f t="shared" si="1"/>
        <v>#DIV/0!</v>
      </c>
      <c r="K127" s="358" t="str">
        <f t="shared" si="2"/>
        <v>#DIV/0!</v>
      </c>
      <c r="L127" s="358" t="str">
        <f t="shared" si="3"/>
        <v>#DIV/0!</v>
      </c>
    </row>
    <row r="128" hidden="1">
      <c r="A128" s="20">
        <v>43845.0</v>
      </c>
      <c r="B128" s="359"/>
      <c r="C128" s="359"/>
      <c r="D128" s="359"/>
      <c r="E128" s="359"/>
      <c r="J128" s="358" t="str">
        <f t="shared" si="1"/>
        <v>#DIV/0!</v>
      </c>
      <c r="K128" s="358" t="str">
        <f t="shared" si="2"/>
        <v>#DIV/0!</v>
      </c>
      <c r="L128" s="358" t="str">
        <f t="shared" si="3"/>
        <v>#DIV/0!</v>
      </c>
    </row>
    <row r="129" hidden="1">
      <c r="A129" s="20">
        <v>43846.0</v>
      </c>
      <c r="B129" s="359"/>
      <c r="C129" s="359"/>
      <c r="D129" s="359"/>
      <c r="E129" s="359"/>
      <c r="J129" s="358" t="str">
        <f t="shared" si="1"/>
        <v>#DIV/0!</v>
      </c>
      <c r="K129" s="358" t="str">
        <f t="shared" si="2"/>
        <v>#DIV/0!</v>
      </c>
      <c r="L129" s="358" t="str">
        <f t="shared" si="3"/>
        <v>#DIV/0!</v>
      </c>
    </row>
    <row r="130" hidden="1">
      <c r="A130" s="20">
        <v>43847.0</v>
      </c>
      <c r="B130" s="359"/>
      <c r="C130" s="359"/>
      <c r="D130" s="359"/>
      <c r="E130" s="359"/>
      <c r="J130" s="358" t="str">
        <f t="shared" si="1"/>
        <v>#DIV/0!</v>
      </c>
      <c r="K130" s="358" t="str">
        <f t="shared" si="2"/>
        <v>#DIV/0!</v>
      </c>
      <c r="L130" s="358" t="str">
        <f t="shared" si="3"/>
        <v>#DIV/0!</v>
      </c>
    </row>
    <row r="131" hidden="1">
      <c r="A131" s="20">
        <v>43848.0</v>
      </c>
      <c r="B131" s="359"/>
      <c r="C131" s="359"/>
      <c r="D131" s="359"/>
      <c r="E131" s="359"/>
      <c r="J131" s="358" t="str">
        <f t="shared" si="1"/>
        <v>#DIV/0!</v>
      </c>
      <c r="K131" s="358" t="str">
        <f t="shared" si="2"/>
        <v>#DIV/0!</v>
      </c>
      <c r="L131" s="358" t="str">
        <f t="shared" si="3"/>
        <v>#DIV/0!</v>
      </c>
    </row>
    <row r="132" hidden="1">
      <c r="A132" s="20">
        <v>43849.0</v>
      </c>
      <c r="B132" s="359"/>
      <c r="C132" s="359"/>
      <c r="D132" s="359"/>
      <c r="E132" s="359"/>
      <c r="J132" s="358" t="str">
        <f t="shared" si="1"/>
        <v>#DIV/0!</v>
      </c>
      <c r="K132" s="358" t="str">
        <f t="shared" si="2"/>
        <v>#DIV/0!</v>
      </c>
      <c r="L132" s="358" t="str">
        <f t="shared" si="3"/>
        <v>#DIV/0!</v>
      </c>
    </row>
    <row r="133" hidden="1">
      <c r="A133" s="20">
        <v>43850.0</v>
      </c>
      <c r="B133" s="359"/>
      <c r="C133" s="359"/>
      <c r="D133" s="359"/>
      <c r="E133" s="359"/>
      <c r="J133" s="358" t="str">
        <f t="shared" si="1"/>
        <v>#DIV/0!</v>
      </c>
      <c r="K133" s="358" t="str">
        <f t="shared" si="2"/>
        <v>#DIV/0!</v>
      </c>
      <c r="L133" s="358" t="str">
        <f t="shared" si="3"/>
        <v>#DIV/0!</v>
      </c>
    </row>
    <row r="134" hidden="1">
      <c r="A134" s="20">
        <v>43851.0</v>
      </c>
      <c r="B134" s="359"/>
      <c r="C134" s="359"/>
      <c r="D134" s="359"/>
      <c r="E134" s="359"/>
      <c r="J134" s="358" t="str">
        <f t="shared" si="1"/>
        <v>#DIV/0!</v>
      </c>
      <c r="K134" s="358" t="str">
        <f t="shared" si="2"/>
        <v>#DIV/0!</v>
      </c>
      <c r="L134" s="358" t="str">
        <f t="shared" si="3"/>
        <v>#DIV/0!</v>
      </c>
    </row>
    <row r="135" hidden="1">
      <c r="A135" s="20">
        <v>43852.0</v>
      </c>
      <c r="B135" s="359"/>
      <c r="C135" s="359"/>
      <c r="D135" s="359"/>
      <c r="E135" s="359"/>
      <c r="J135" s="358" t="str">
        <f t="shared" si="1"/>
        <v>#DIV/0!</v>
      </c>
      <c r="K135" s="358" t="str">
        <f t="shared" si="2"/>
        <v>#DIV/0!</v>
      </c>
      <c r="L135" s="358" t="str">
        <f t="shared" si="3"/>
        <v>#DIV/0!</v>
      </c>
    </row>
    <row r="136" hidden="1">
      <c r="A136" s="20">
        <v>43853.0</v>
      </c>
      <c r="B136" s="359"/>
      <c r="C136" s="359"/>
      <c r="D136" s="359"/>
      <c r="E136" s="359"/>
      <c r="J136" s="358" t="str">
        <f t="shared" si="1"/>
        <v>#DIV/0!</v>
      </c>
      <c r="K136" s="358" t="str">
        <f t="shared" si="2"/>
        <v>#DIV/0!</v>
      </c>
      <c r="L136" s="358" t="str">
        <f t="shared" si="3"/>
        <v>#DIV/0!</v>
      </c>
    </row>
    <row r="137" hidden="1">
      <c r="A137" s="20">
        <v>43854.0</v>
      </c>
      <c r="B137" s="359"/>
      <c r="C137" s="359"/>
      <c r="D137" s="359"/>
      <c r="E137" s="359"/>
      <c r="J137" s="358" t="str">
        <f t="shared" si="1"/>
        <v>#DIV/0!</v>
      </c>
      <c r="K137" s="358" t="str">
        <f t="shared" si="2"/>
        <v>#DIV/0!</v>
      </c>
      <c r="L137" s="358" t="str">
        <f t="shared" si="3"/>
        <v>#DIV/0!</v>
      </c>
    </row>
    <row r="138" hidden="1">
      <c r="A138" s="20">
        <v>43855.0</v>
      </c>
      <c r="B138" s="359"/>
      <c r="C138" s="359"/>
      <c r="D138" s="359"/>
      <c r="E138" s="359"/>
      <c r="J138" s="358" t="str">
        <f t="shared" si="1"/>
        <v>#DIV/0!</v>
      </c>
      <c r="K138" s="358" t="str">
        <f t="shared" si="2"/>
        <v>#DIV/0!</v>
      </c>
      <c r="L138" s="358" t="str">
        <f t="shared" si="3"/>
        <v>#DIV/0!</v>
      </c>
    </row>
    <row r="139" hidden="1">
      <c r="A139" s="20">
        <v>43856.0</v>
      </c>
      <c r="B139" s="359"/>
      <c r="C139" s="359"/>
      <c r="D139" s="359"/>
      <c r="E139" s="359"/>
      <c r="J139" s="358" t="str">
        <f t="shared" si="1"/>
        <v>#DIV/0!</v>
      </c>
      <c r="K139" s="358" t="str">
        <f t="shared" si="2"/>
        <v>#DIV/0!</v>
      </c>
      <c r="L139" s="358" t="str">
        <f t="shared" si="3"/>
        <v>#DIV/0!</v>
      </c>
    </row>
    <row r="140" hidden="1">
      <c r="A140" s="20">
        <v>43857.0</v>
      </c>
      <c r="B140" s="359"/>
      <c r="C140" s="359"/>
      <c r="D140" s="359"/>
      <c r="E140" s="359"/>
      <c r="J140" s="358" t="str">
        <f t="shared" si="1"/>
        <v>#DIV/0!</v>
      </c>
      <c r="K140" s="358" t="str">
        <f t="shared" si="2"/>
        <v>#DIV/0!</v>
      </c>
      <c r="L140" s="358" t="str">
        <f t="shared" si="3"/>
        <v>#DIV/0!</v>
      </c>
    </row>
    <row r="141" hidden="1">
      <c r="A141" s="20">
        <v>43858.0</v>
      </c>
      <c r="B141" s="359"/>
      <c r="C141" s="359"/>
      <c r="D141" s="359"/>
      <c r="E141" s="359"/>
      <c r="J141" s="358" t="str">
        <f t="shared" si="1"/>
        <v>#DIV/0!</v>
      </c>
      <c r="K141" s="358" t="str">
        <f t="shared" si="2"/>
        <v>#DIV/0!</v>
      </c>
      <c r="L141" s="358" t="str">
        <f t="shared" si="3"/>
        <v>#DIV/0!</v>
      </c>
    </row>
    <row r="142" hidden="1">
      <c r="A142" s="20">
        <v>43859.0</v>
      </c>
      <c r="B142" s="359"/>
      <c r="C142" s="359"/>
      <c r="D142" s="359"/>
      <c r="E142" s="359"/>
      <c r="J142" s="358" t="str">
        <f t="shared" si="1"/>
        <v>#DIV/0!</v>
      </c>
      <c r="K142" s="358" t="str">
        <f t="shared" si="2"/>
        <v>#DIV/0!</v>
      </c>
      <c r="L142" s="358" t="str">
        <f t="shared" si="3"/>
        <v>#DIV/0!</v>
      </c>
    </row>
    <row r="143" hidden="1">
      <c r="A143" s="20">
        <v>43860.0</v>
      </c>
      <c r="B143" s="359"/>
      <c r="C143" s="359"/>
      <c r="D143" s="359"/>
      <c r="E143" s="359"/>
      <c r="J143" s="358" t="str">
        <f t="shared" si="1"/>
        <v>#DIV/0!</v>
      </c>
      <c r="K143" s="358" t="str">
        <f t="shared" si="2"/>
        <v>#DIV/0!</v>
      </c>
      <c r="L143" s="358" t="str">
        <f t="shared" si="3"/>
        <v>#DIV/0!</v>
      </c>
    </row>
    <row r="144" hidden="1">
      <c r="A144" s="20">
        <v>43861.0</v>
      </c>
      <c r="B144" s="359"/>
      <c r="C144" s="359"/>
      <c r="D144" s="359"/>
      <c r="E144" s="359"/>
      <c r="J144" s="358" t="str">
        <f t="shared" si="1"/>
        <v>#DIV/0!</v>
      </c>
      <c r="K144" s="358" t="str">
        <f t="shared" si="2"/>
        <v>#DIV/0!</v>
      </c>
      <c r="L144" s="358" t="str">
        <f t="shared" si="3"/>
        <v>#DIV/0!</v>
      </c>
    </row>
    <row r="145" hidden="1">
      <c r="A145" s="20">
        <v>43862.0</v>
      </c>
      <c r="B145" s="359"/>
      <c r="C145" s="359"/>
      <c r="D145" s="359"/>
      <c r="E145" s="359"/>
      <c r="J145" s="358" t="str">
        <f t="shared" si="1"/>
        <v>#DIV/0!</v>
      </c>
      <c r="K145" s="358" t="str">
        <f t="shared" si="2"/>
        <v>#DIV/0!</v>
      </c>
      <c r="L145" s="358" t="str">
        <f t="shared" si="3"/>
        <v>#DIV/0!</v>
      </c>
    </row>
    <row r="146" hidden="1">
      <c r="A146" s="20">
        <v>43863.0</v>
      </c>
      <c r="B146" s="359"/>
      <c r="C146" s="359"/>
      <c r="D146" s="359"/>
      <c r="E146" s="359"/>
      <c r="J146" s="358" t="str">
        <f t="shared" si="1"/>
        <v>#DIV/0!</v>
      </c>
      <c r="K146" s="358" t="str">
        <f t="shared" si="2"/>
        <v>#DIV/0!</v>
      </c>
      <c r="L146" s="358" t="str">
        <f t="shared" si="3"/>
        <v>#DIV/0!</v>
      </c>
    </row>
    <row r="147" hidden="1">
      <c r="A147" s="20">
        <v>43864.0</v>
      </c>
      <c r="B147" s="359"/>
      <c r="C147" s="359"/>
      <c r="D147" s="359"/>
      <c r="E147" s="359"/>
      <c r="J147" s="358" t="str">
        <f t="shared" si="1"/>
        <v>#DIV/0!</v>
      </c>
      <c r="K147" s="358" t="str">
        <f t="shared" si="2"/>
        <v>#DIV/0!</v>
      </c>
      <c r="L147" s="358" t="str">
        <f t="shared" si="3"/>
        <v>#DIV/0!</v>
      </c>
    </row>
    <row r="148" hidden="1">
      <c r="A148" s="20">
        <v>43865.0</v>
      </c>
      <c r="B148" s="359"/>
      <c r="C148" s="359"/>
      <c r="D148" s="359"/>
      <c r="E148" s="359"/>
      <c r="J148" s="358" t="str">
        <f t="shared" si="1"/>
        <v>#DIV/0!</v>
      </c>
      <c r="K148" s="358" t="str">
        <f t="shared" si="2"/>
        <v>#DIV/0!</v>
      </c>
      <c r="L148" s="358" t="str">
        <f t="shared" si="3"/>
        <v>#DIV/0!</v>
      </c>
    </row>
    <row r="149" hidden="1">
      <c r="A149" s="20">
        <v>43866.0</v>
      </c>
      <c r="B149" s="359"/>
      <c r="C149" s="359"/>
      <c r="D149" s="359"/>
      <c r="E149" s="359"/>
      <c r="J149" s="358" t="str">
        <f t="shared" si="1"/>
        <v>#DIV/0!</v>
      </c>
      <c r="K149" s="358" t="str">
        <f t="shared" si="2"/>
        <v>#DIV/0!</v>
      </c>
      <c r="L149" s="358" t="str">
        <f t="shared" si="3"/>
        <v>#DIV/0!</v>
      </c>
    </row>
    <row r="150" hidden="1">
      <c r="A150" s="20">
        <v>43867.0</v>
      </c>
      <c r="B150" s="359"/>
      <c r="C150" s="359"/>
      <c r="D150" s="359"/>
      <c r="E150" s="359"/>
      <c r="J150" s="358" t="str">
        <f t="shared" si="1"/>
        <v>#DIV/0!</v>
      </c>
      <c r="K150" s="358" t="str">
        <f t="shared" si="2"/>
        <v>#DIV/0!</v>
      </c>
      <c r="L150" s="358" t="str">
        <f t="shared" si="3"/>
        <v>#DIV/0!</v>
      </c>
    </row>
    <row r="151">
      <c r="A151" s="20">
        <v>43868.0</v>
      </c>
      <c r="B151" s="357">
        <v>184.0</v>
      </c>
      <c r="C151" s="357">
        <v>23.0</v>
      </c>
      <c r="D151" s="357">
        <v>6.0</v>
      </c>
      <c r="E151" s="357">
        <v>155.0</v>
      </c>
      <c r="J151" s="358">
        <f t="shared" ref="J151:J1001" si="4">IFERROR(E151/B151,"")</f>
        <v>0.8423913043</v>
      </c>
      <c r="K151" s="358">
        <f t="shared" ref="K151:K1001" si="5">IFERROR(C151/B151,"")</f>
        <v>0.125</v>
      </c>
      <c r="L151" s="358">
        <f t="shared" ref="L151:L1001" si="6">IFERROR(D151/B151,"")</f>
        <v>0.03260869565</v>
      </c>
    </row>
    <row r="152" hidden="1">
      <c r="A152" s="20">
        <v>43869.0</v>
      </c>
      <c r="B152" s="359"/>
      <c r="C152" s="359"/>
      <c r="D152" s="359"/>
      <c r="E152" s="359"/>
      <c r="J152" s="358" t="str">
        <f t="shared" si="4"/>
        <v/>
      </c>
      <c r="K152" s="358" t="str">
        <f t="shared" si="5"/>
        <v/>
      </c>
      <c r="L152" s="358" t="str">
        <f t="shared" si="6"/>
        <v/>
      </c>
    </row>
    <row r="153" hidden="1">
      <c r="A153" s="20">
        <v>43870.0</v>
      </c>
      <c r="B153" s="359"/>
      <c r="C153" s="359"/>
      <c r="D153" s="359"/>
      <c r="E153" s="359"/>
      <c r="J153" s="358" t="str">
        <f t="shared" si="4"/>
        <v/>
      </c>
      <c r="K153" s="358" t="str">
        <f t="shared" si="5"/>
        <v/>
      </c>
      <c r="L153" s="358" t="str">
        <f t="shared" si="6"/>
        <v/>
      </c>
    </row>
    <row r="154" hidden="1">
      <c r="A154" s="20">
        <v>43871.0</v>
      </c>
      <c r="B154" s="359"/>
      <c r="C154" s="359"/>
      <c r="D154" s="359"/>
      <c r="E154" s="359"/>
      <c r="J154" s="358" t="str">
        <f t="shared" si="4"/>
        <v/>
      </c>
      <c r="K154" s="358" t="str">
        <f t="shared" si="5"/>
        <v/>
      </c>
      <c r="L154" s="358" t="str">
        <f t="shared" si="6"/>
        <v/>
      </c>
    </row>
    <row r="155" hidden="1">
      <c r="A155" s="20">
        <v>43872.0</v>
      </c>
      <c r="B155" s="359"/>
      <c r="C155" s="359"/>
      <c r="D155" s="359"/>
      <c r="E155" s="359"/>
      <c r="J155" s="358" t="str">
        <f t="shared" si="4"/>
        <v/>
      </c>
      <c r="K155" s="358" t="str">
        <f t="shared" si="5"/>
        <v/>
      </c>
      <c r="L155" s="358" t="str">
        <f t="shared" si="6"/>
        <v/>
      </c>
    </row>
    <row r="156" hidden="1">
      <c r="A156" s="20">
        <v>43873.0</v>
      </c>
      <c r="B156" s="359"/>
      <c r="C156" s="359"/>
      <c r="D156" s="359"/>
      <c r="E156" s="359"/>
      <c r="J156" s="358" t="str">
        <f t="shared" si="4"/>
        <v/>
      </c>
      <c r="K156" s="358" t="str">
        <f t="shared" si="5"/>
        <v/>
      </c>
      <c r="L156" s="358" t="str">
        <f t="shared" si="6"/>
        <v/>
      </c>
    </row>
    <row r="157" hidden="1">
      <c r="A157" s="20">
        <v>43874.0</v>
      </c>
      <c r="B157" s="359"/>
      <c r="C157" s="359"/>
      <c r="D157" s="359"/>
      <c r="E157" s="359"/>
      <c r="J157" s="358" t="str">
        <f t="shared" si="4"/>
        <v/>
      </c>
      <c r="K157" s="358" t="str">
        <f t="shared" si="5"/>
        <v/>
      </c>
      <c r="L157" s="358" t="str">
        <f t="shared" si="6"/>
        <v/>
      </c>
    </row>
    <row r="158">
      <c r="A158" s="20">
        <v>43875.0</v>
      </c>
      <c r="B158" s="357">
        <v>244.0</v>
      </c>
      <c r="C158" s="357">
        <v>37.0</v>
      </c>
      <c r="D158" s="357">
        <v>25.0</v>
      </c>
      <c r="E158" s="357">
        <v>182.0</v>
      </c>
      <c r="J158" s="358">
        <f t="shared" si="4"/>
        <v>0.7459016393</v>
      </c>
      <c r="K158" s="358">
        <f t="shared" si="5"/>
        <v>0.1516393443</v>
      </c>
      <c r="L158" s="358">
        <f t="shared" si="6"/>
        <v>0.1024590164</v>
      </c>
    </row>
    <row r="159" hidden="1">
      <c r="A159" s="20">
        <v>43876.0</v>
      </c>
      <c r="B159" s="359"/>
      <c r="C159" s="359"/>
      <c r="D159" s="359"/>
      <c r="E159" s="359"/>
      <c r="J159" s="358" t="str">
        <f t="shared" si="4"/>
        <v/>
      </c>
      <c r="K159" s="358" t="str">
        <f t="shared" si="5"/>
        <v/>
      </c>
      <c r="L159" s="358" t="str">
        <f t="shared" si="6"/>
        <v/>
      </c>
    </row>
    <row r="160" hidden="1">
      <c r="A160" s="20">
        <v>43877.0</v>
      </c>
      <c r="B160" s="359"/>
      <c r="C160" s="359"/>
      <c r="D160" s="359"/>
      <c r="E160" s="359"/>
      <c r="J160" s="358" t="str">
        <f t="shared" si="4"/>
        <v/>
      </c>
      <c r="K160" s="358" t="str">
        <f t="shared" si="5"/>
        <v/>
      </c>
      <c r="L160" s="358" t="str">
        <f t="shared" si="6"/>
        <v/>
      </c>
    </row>
    <row r="161" hidden="1">
      <c r="A161" s="20">
        <v>43878.0</v>
      </c>
      <c r="B161" s="359"/>
      <c r="C161" s="359"/>
      <c r="D161" s="359"/>
      <c r="E161" s="359"/>
      <c r="J161" s="358" t="str">
        <f t="shared" si="4"/>
        <v/>
      </c>
      <c r="K161" s="358" t="str">
        <f t="shared" si="5"/>
        <v/>
      </c>
      <c r="L161" s="358" t="str">
        <f t="shared" si="6"/>
        <v/>
      </c>
    </row>
    <row r="162" hidden="1">
      <c r="A162" s="20">
        <v>43879.0</v>
      </c>
      <c r="B162" s="359"/>
      <c r="C162" s="359"/>
      <c r="D162" s="359"/>
      <c r="E162" s="359"/>
      <c r="J162" s="358" t="str">
        <f t="shared" si="4"/>
        <v/>
      </c>
      <c r="K162" s="358" t="str">
        <f t="shared" si="5"/>
        <v/>
      </c>
      <c r="L162" s="358" t="str">
        <f t="shared" si="6"/>
        <v/>
      </c>
    </row>
    <row r="163">
      <c r="A163" s="20">
        <v>43880.0</v>
      </c>
      <c r="B163" s="357">
        <v>244.0</v>
      </c>
      <c r="C163" s="357">
        <v>38.0</v>
      </c>
      <c r="D163" s="357">
        <v>22.0</v>
      </c>
      <c r="E163" s="357">
        <v>184.0</v>
      </c>
      <c r="J163" s="358">
        <f t="shared" si="4"/>
        <v>0.7540983607</v>
      </c>
      <c r="K163" s="358">
        <f t="shared" si="5"/>
        <v>0.1557377049</v>
      </c>
      <c r="L163" s="358">
        <f t="shared" si="6"/>
        <v>0.09016393443</v>
      </c>
    </row>
    <row r="164" hidden="1">
      <c r="A164" s="20">
        <v>43881.0</v>
      </c>
      <c r="B164" s="359"/>
      <c r="C164" s="359"/>
      <c r="D164" s="359"/>
      <c r="E164" s="359"/>
      <c r="J164" s="358" t="str">
        <f t="shared" si="4"/>
        <v/>
      </c>
      <c r="K164" s="358" t="str">
        <f t="shared" si="5"/>
        <v/>
      </c>
      <c r="L164" s="358" t="str">
        <f t="shared" si="6"/>
        <v/>
      </c>
    </row>
    <row r="165" hidden="1">
      <c r="A165" s="20">
        <v>43882.0</v>
      </c>
      <c r="B165" s="359"/>
      <c r="C165" s="359"/>
      <c r="D165" s="359"/>
      <c r="E165" s="359"/>
      <c r="J165" s="358" t="str">
        <f t="shared" si="4"/>
        <v/>
      </c>
      <c r="K165" s="358" t="str">
        <f t="shared" si="5"/>
        <v/>
      </c>
      <c r="L165" s="358" t="str">
        <f t="shared" si="6"/>
        <v/>
      </c>
    </row>
    <row r="166" hidden="1">
      <c r="A166" s="20">
        <v>43883.0</v>
      </c>
      <c r="B166" s="359"/>
      <c r="C166" s="359"/>
      <c r="D166" s="359"/>
      <c r="E166" s="359"/>
      <c r="J166" s="358" t="str">
        <f t="shared" si="4"/>
        <v/>
      </c>
      <c r="K166" s="358" t="str">
        <f t="shared" si="5"/>
        <v/>
      </c>
      <c r="L166" s="358" t="str">
        <f t="shared" si="6"/>
        <v/>
      </c>
    </row>
    <row r="167" hidden="1">
      <c r="A167" s="20">
        <v>43884.0</v>
      </c>
      <c r="B167" s="359"/>
      <c r="C167" s="359"/>
      <c r="D167" s="359"/>
      <c r="E167" s="359"/>
      <c r="J167" s="358" t="str">
        <f t="shared" si="4"/>
        <v/>
      </c>
      <c r="K167" s="358" t="str">
        <f t="shared" si="5"/>
        <v/>
      </c>
      <c r="L167" s="358" t="str">
        <f t="shared" si="6"/>
        <v/>
      </c>
    </row>
    <row r="168" hidden="1">
      <c r="A168" s="20">
        <v>43885.0</v>
      </c>
      <c r="B168" s="359"/>
      <c r="C168" s="359"/>
      <c r="D168" s="359"/>
      <c r="E168" s="359"/>
      <c r="J168" s="358" t="str">
        <f t="shared" si="4"/>
        <v/>
      </c>
      <c r="K168" s="358" t="str">
        <f t="shared" si="5"/>
        <v/>
      </c>
      <c r="L168" s="358" t="str">
        <f t="shared" si="6"/>
        <v/>
      </c>
    </row>
    <row r="169" hidden="1">
      <c r="A169" s="20">
        <v>43886.0</v>
      </c>
      <c r="B169" s="359"/>
      <c r="C169" s="359"/>
      <c r="D169" s="359"/>
      <c r="E169" s="359"/>
      <c r="J169" s="358" t="str">
        <f t="shared" si="4"/>
        <v/>
      </c>
      <c r="K169" s="358" t="str">
        <f t="shared" si="5"/>
        <v/>
      </c>
      <c r="L169" s="358" t="str">
        <f t="shared" si="6"/>
        <v/>
      </c>
    </row>
    <row r="170" hidden="1">
      <c r="A170" s="20">
        <v>43887.0</v>
      </c>
      <c r="B170" s="359"/>
      <c r="C170" s="359"/>
      <c r="D170" s="359"/>
      <c r="E170" s="359"/>
      <c r="J170" s="358" t="str">
        <f t="shared" si="4"/>
        <v/>
      </c>
      <c r="K170" s="358" t="str">
        <f t="shared" si="5"/>
        <v/>
      </c>
      <c r="L170" s="358" t="str">
        <f t="shared" si="6"/>
        <v/>
      </c>
    </row>
    <row r="171" hidden="1">
      <c r="A171" s="20">
        <v>43888.0</v>
      </c>
      <c r="B171" s="359"/>
      <c r="C171" s="359"/>
      <c r="D171" s="359"/>
      <c r="E171" s="359"/>
      <c r="J171" s="358" t="str">
        <f t="shared" si="4"/>
        <v/>
      </c>
      <c r="K171" s="358" t="str">
        <f t="shared" si="5"/>
        <v/>
      </c>
      <c r="L171" s="358" t="str">
        <f t="shared" si="6"/>
        <v/>
      </c>
    </row>
    <row r="172" hidden="1">
      <c r="A172" s="20">
        <v>43889.0</v>
      </c>
      <c r="B172" s="359"/>
      <c r="C172" s="359"/>
      <c r="D172" s="359"/>
      <c r="E172" s="359"/>
      <c r="J172" s="358" t="str">
        <f t="shared" si="4"/>
        <v/>
      </c>
      <c r="K172" s="358" t="str">
        <f t="shared" si="5"/>
        <v/>
      </c>
      <c r="L172" s="358" t="str">
        <f t="shared" si="6"/>
        <v/>
      </c>
    </row>
    <row r="173" hidden="1">
      <c r="A173" s="20">
        <v>43890.0</v>
      </c>
      <c r="B173" s="359"/>
      <c r="C173" s="359"/>
      <c r="D173" s="359"/>
      <c r="E173" s="359"/>
      <c r="J173" s="358" t="str">
        <f t="shared" si="4"/>
        <v/>
      </c>
      <c r="K173" s="358" t="str">
        <f t="shared" si="5"/>
        <v/>
      </c>
      <c r="L173" s="358" t="str">
        <f t="shared" si="6"/>
        <v/>
      </c>
    </row>
    <row r="174" hidden="1">
      <c r="A174" s="20">
        <v>43891.0</v>
      </c>
      <c r="B174" s="359"/>
      <c r="C174" s="359"/>
      <c r="D174" s="359"/>
      <c r="E174" s="359"/>
      <c r="J174" s="358" t="str">
        <f t="shared" si="4"/>
        <v/>
      </c>
      <c r="K174" s="358" t="str">
        <f t="shared" si="5"/>
        <v/>
      </c>
      <c r="L174" s="358" t="str">
        <f t="shared" si="6"/>
        <v/>
      </c>
    </row>
    <row r="175" hidden="1">
      <c r="A175" s="20">
        <v>43892.0</v>
      </c>
      <c r="B175" s="359"/>
      <c r="C175" s="359"/>
      <c r="D175" s="359"/>
      <c r="E175" s="359"/>
      <c r="J175" s="358" t="str">
        <f t="shared" si="4"/>
        <v/>
      </c>
      <c r="K175" s="358" t="str">
        <f t="shared" si="5"/>
        <v/>
      </c>
      <c r="L175" s="358" t="str">
        <f t="shared" si="6"/>
        <v/>
      </c>
    </row>
    <row r="176">
      <c r="A176" s="20">
        <v>43893.0</v>
      </c>
      <c r="B176" s="357">
        <v>171.0</v>
      </c>
      <c r="C176" s="357">
        <v>28.0</v>
      </c>
      <c r="D176" s="357">
        <v>7.0</v>
      </c>
      <c r="E176" s="357">
        <v>136.0</v>
      </c>
      <c r="J176" s="358">
        <f t="shared" si="4"/>
        <v>0.7953216374</v>
      </c>
      <c r="K176" s="358">
        <f t="shared" si="5"/>
        <v>0.1637426901</v>
      </c>
      <c r="L176" s="358">
        <f t="shared" si="6"/>
        <v>0.04093567251</v>
      </c>
    </row>
    <row r="177" hidden="1">
      <c r="A177" s="20">
        <v>43894.0</v>
      </c>
      <c r="B177" s="359"/>
      <c r="C177" s="359"/>
      <c r="D177" s="359"/>
      <c r="E177" s="359"/>
      <c r="J177" s="358" t="str">
        <f t="shared" si="4"/>
        <v/>
      </c>
      <c r="K177" s="358" t="str">
        <f t="shared" si="5"/>
        <v/>
      </c>
      <c r="L177" s="358" t="str">
        <f t="shared" si="6"/>
        <v/>
      </c>
    </row>
    <row r="178" hidden="1">
      <c r="A178" s="20">
        <v>43895.0</v>
      </c>
      <c r="B178" s="359"/>
      <c r="C178" s="359"/>
      <c r="D178" s="359"/>
      <c r="E178" s="359"/>
      <c r="J178" s="358" t="str">
        <f t="shared" si="4"/>
        <v/>
      </c>
      <c r="K178" s="358" t="str">
        <f t="shared" si="5"/>
        <v/>
      </c>
      <c r="L178" s="358" t="str">
        <f t="shared" si="6"/>
        <v/>
      </c>
    </row>
    <row r="179" hidden="1">
      <c r="A179" s="20">
        <v>43896.0</v>
      </c>
      <c r="B179" s="359"/>
      <c r="C179" s="359"/>
      <c r="D179" s="359"/>
      <c r="E179" s="359"/>
      <c r="J179" s="358" t="str">
        <f t="shared" si="4"/>
        <v/>
      </c>
      <c r="K179" s="358" t="str">
        <f t="shared" si="5"/>
        <v/>
      </c>
      <c r="L179" s="358" t="str">
        <f t="shared" si="6"/>
        <v/>
      </c>
    </row>
    <row r="180" hidden="1">
      <c r="A180" s="20">
        <v>43897.0</v>
      </c>
      <c r="B180" s="359"/>
      <c r="C180" s="359"/>
      <c r="D180" s="359"/>
      <c r="E180" s="359"/>
      <c r="J180" s="358" t="str">
        <f t="shared" si="4"/>
        <v/>
      </c>
      <c r="K180" s="358" t="str">
        <f t="shared" si="5"/>
        <v/>
      </c>
      <c r="L180" s="358" t="str">
        <f t="shared" si="6"/>
        <v/>
      </c>
    </row>
    <row r="181" hidden="1">
      <c r="A181" s="20">
        <v>43898.0</v>
      </c>
      <c r="B181" s="359"/>
      <c r="C181" s="359"/>
      <c r="D181" s="359"/>
      <c r="E181" s="359"/>
      <c r="J181" s="358" t="str">
        <f t="shared" si="4"/>
        <v/>
      </c>
      <c r="K181" s="358" t="str">
        <f t="shared" si="5"/>
        <v/>
      </c>
      <c r="L181" s="358" t="str">
        <f t="shared" si="6"/>
        <v/>
      </c>
    </row>
    <row r="182" hidden="1">
      <c r="A182" s="20">
        <v>43899.0</v>
      </c>
      <c r="B182" s="359"/>
      <c r="C182" s="359"/>
      <c r="D182" s="359"/>
      <c r="E182" s="359"/>
      <c r="J182" s="358" t="str">
        <f t="shared" si="4"/>
        <v/>
      </c>
      <c r="K182" s="358" t="str">
        <f t="shared" si="5"/>
        <v/>
      </c>
      <c r="L182" s="358" t="str">
        <f t="shared" si="6"/>
        <v/>
      </c>
    </row>
    <row r="183" hidden="1">
      <c r="A183" s="20">
        <v>43900.0</v>
      </c>
      <c r="B183" s="359"/>
      <c r="C183" s="359"/>
      <c r="D183" s="359"/>
      <c r="E183" s="359"/>
      <c r="J183" s="358" t="str">
        <f t="shared" si="4"/>
        <v/>
      </c>
      <c r="K183" s="358" t="str">
        <f t="shared" si="5"/>
        <v/>
      </c>
      <c r="L183" s="358" t="str">
        <f t="shared" si="6"/>
        <v/>
      </c>
    </row>
    <row r="184" hidden="1">
      <c r="A184" s="20">
        <v>43901.0</v>
      </c>
      <c r="B184" s="359"/>
      <c r="C184" s="359"/>
      <c r="D184" s="359"/>
      <c r="E184" s="359"/>
      <c r="J184" s="358" t="str">
        <f t="shared" si="4"/>
        <v/>
      </c>
      <c r="K184" s="358" t="str">
        <f t="shared" si="5"/>
        <v/>
      </c>
      <c r="L184" s="358" t="str">
        <f t="shared" si="6"/>
        <v/>
      </c>
    </row>
    <row r="185" hidden="1">
      <c r="A185" s="20">
        <v>43902.0</v>
      </c>
      <c r="B185" s="359"/>
      <c r="C185" s="359"/>
      <c r="D185" s="359"/>
      <c r="E185" s="359"/>
      <c r="J185" s="358" t="str">
        <f t="shared" si="4"/>
        <v/>
      </c>
      <c r="K185" s="358" t="str">
        <f t="shared" si="5"/>
        <v/>
      </c>
      <c r="L185" s="358" t="str">
        <f t="shared" si="6"/>
        <v/>
      </c>
    </row>
    <row r="186" hidden="1">
      <c r="A186" s="20">
        <v>43903.0</v>
      </c>
      <c r="B186" s="359"/>
      <c r="C186" s="359"/>
      <c r="D186" s="359"/>
      <c r="E186" s="359"/>
      <c r="J186" s="358" t="str">
        <f t="shared" si="4"/>
        <v/>
      </c>
      <c r="K186" s="358" t="str">
        <f t="shared" si="5"/>
        <v/>
      </c>
      <c r="L186" s="358" t="str">
        <f t="shared" si="6"/>
        <v/>
      </c>
    </row>
    <row r="187" hidden="1">
      <c r="A187" s="20">
        <v>43904.0</v>
      </c>
      <c r="B187" s="359"/>
      <c r="C187" s="359"/>
      <c r="D187" s="359"/>
      <c r="E187" s="359"/>
      <c r="J187" s="358" t="str">
        <f t="shared" si="4"/>
        <v/>
      </c>
      <c r="K187" s="358" t="str">
        <f t="shared" si="5"/>
        <v/>
      </c>
      <c r="L187" s="358" t="str">
        <f t="shared" si="6"/>
        <v/>
      </c>
    </row>
    <row r="188" hidden="1">
      <c r="A188" s="20">
        <v>43905.0</v>
      </c>
      <c r="B188" s="359"/>
      <c r="C188" s="359"/>
      <c r="D188" s="359"/>
      <c r="E188" s="359"/>
      <c r="J188" s="358" t="str">
        <f t="shared" si="4"/>
        <v/>
      </c>
      <c r="K188" s="358" t="str">
        <f t="shared" si="5"/>
        <v/>
      </c>
      <c r="L188" s="358" t="str">
        <f t="shared" si="6"/>
        <v/>
      </c>
    </row>
    <row r="189" hidden="1">
      <c r="A189" s="20">
        <v>43906.0</v>
      </c>
      <c r="B189" s="359"/>
      <c r="C189" s="359"/>
      <c r="D189" s="359"/>
      <c r="E189" s="359"/>
      <c r="J189" s="358" t="str">
        <f t="shared" si="4"/>
        <v/>
      </c>
      <c r="K189" s="358" t="str">
        <f t="shared" si="5"/>
        <v/>
      </c>
      <c r="L189" s="358" t="str">
        <f t="shared" si="6"/>
        <v/>
      </c>
    </row>
    <row r="190" hidden="1">
      <c r="A190" s="20">
        <v>43907.0</v>
      </c>
      <c r="B190" s="359"/>
      <c r="C190" s="359"/>
      <c r="D190" s="359"/>
      <c r="E190" s="359"/>
      <c r="J190" s="358" t="str">
        <f t="shared" si="4"/>
        <v/>
      </c>
      <c r="K190" s="358" t="str">
        <f t="shared" si="5"/>
        <v/>
      </c>
      <c r="L190" s="358" t="str">
        <f t="shared" si="6"/>
        <v/>
      </c>
    </row>
    <row r="191" hidden="1">
      <c r="A191" s="20">
        <v>43908.0</v>
      </c>
      <c r="B191" s="359"/>
      <c r="C191" s="359"/>
      <c r="D191" s="359"/>
      <c r="E191" s="359"/>
      <c r="J191" s="358" t="str">
        <f t="shared" si="4"/>
        <v/>
      </c>
      <c r="K191" s="358" t="str">
        <f t="shared" si="5"/>
        <v/>
      </c>
      <c r="L191" s="358" t="str">
        <f t="shared" si="6"/>
        <v/>
      </c>
    </row>
    <row r="192" hidden="1">
      <c r="A192" s="20">
        <v>43909.0</v>
      </c>
      <c r="B192" s="359"/>
      <c r="C192" s="359"/>
      <c r="D192" s="359"/>
      <c r="E192" s="359"/>
      <c r="J192" s="358" t="str">
        <f t="shared" si="4"/>
        <v/>
      </c>
      <c r="K192" s="358" t="str">
        <f t="shared" si="5"/>
        <v/>
      </c>
      <c r="L192" s="358" t="str">
        <f t="shared" si="6"/>
        <v/>
      </c>
    </row>
    <row r="193" hidden="1">
      <c r="A193" s="20">
        <v>43910.0</v>
      </c>
      <c r="B193" s="359"/>
      <c r="C193" s="359"/>
      <c r="D193" s="359"/>
      <c r="E193" s="359"/>
      <c r="J193" s="358" t="str">
        <f t="shared" si="4"/>
        <v/>
      </c>
      <c r="K193" s="358" t="str">
        <f t="shared" si="5"/>
        <v/>
      </c>
      <c r="L193" s="358" t="str">
        <f t="shared" si="6"/>
        <v/>
      </c>
    </row>
    <row r="194" hidden="1">
      <c r="A194" s="20">
        <v>43911.0</v>
      </c>
      <c r="B194" s="359"/>
      <c r="C194" s="359"/>
      <c r="D194" s="359"/>
      <c r="E194" s="359"/>
      <c r="J194" s="358" t="str">
        <f t="shared" si="4"/>
        <v/>
      </c>
      <c r="K194" s="358" t="str">
        <f t="shared" si="5"/>
        <v/>
      </c>
      <c r="L194" s="358" t="str">
        <f t="shared" si="6"/>
        <v/>
      </c>
    </row>
    <row r="195" hidden="1">
      <c r="A195" s="20">
        <v>43912.0</v>
      </c>
      <c r="B195" s="359"/>
      <c r="C195" s="359"/>
      <c r="D195" s="359"/>
      <c r="E195" s="359"/>
      <c r="J195" s="358" t="str">
        <f t="shared" si="4"/>
        <v/>
      </c>
      <c r="K195" s="358" t="str">
        <f t="shared" si="5"/>
        <v/>
      </c>
      <c r="L195" s="358" t="str">
        <f t="shared" si="6"/>
        <v/>
      </c>
    </row>
    <row r="196" hidden="1">
      <c r="A196" s="20">
        <v>43913.0</v>
      </c>
      <c r="B196" s="359"/>
      <c r="C196" s="359"/>
      <c r="D196" s="359"/>
      <c r="E196" s="359"/>
      <c r="J196" s="358" t="str">
        <f t="shared" si="4"/>
        <v/>
      </c>
      <c r="K196" s="358" t="str">
        <f t="shared" si="5"/>
        <v/>
      </c>
      <c r="L196" s="358" t="str">
        <f t="shared" si="6"/>
        <v/>
      </c>
    </row>
    <row r="197" hidden="1">
      <c r="A197" s="20">
        <v>43914.0</v>
      </c>
      <c r="B197" s="359"/>
      <c r="C197" s="359"/>
      <c r="D197" s="359"/>
      <c r="E197" s="359"/>
      <c r="J197" s="358" t="str">
        <f t="shared" si="4"/>
        <v/>
      </c>
      <c r="K197" s="358" t="str">
        <f t="shared" si="5"/>
        <v/>
      </c>
      <c r="L197" s="358" t="str">
        <f t="shared" si="6"/>
        <v/>
      </c>
    </row>
    <row r="198" hidden="1">
      <c r="A198" s="20">
        <v>43915.0</v>
      </c>
      <c r="B198" s="359"/>
      <c r="C198" s="359"/>
      <c r="D198" s="359"/>
      <c r="E198" s="359"/>
      <c r="J198" s="358" t="str">
        <f t="shared" si="4"/>
        <v/>
      </c>
      <c r="K198" s="358" t="str">
        <f t="shared" si="5"/>
        <v/>
      </c>
      <c r="L198" s="358" t="str">
        <f t="shared" si="6"/>
        <v/>
      </c>
    </row>
    <row r="199" hidden="1">
      <c r="A199" s="20">
        <v>43916.0</v>
      </c>
      <c r="B199" s="359"/>
      <c r="C199" s="359"/>
      <c r="D199" s="359"/>
      <c r="E199" s="359"/>
      <c r="J199" s="358" t="str">
        <f t="shared" si="4"/>
        <v/>
      </c>
      <c r="K199" s="358" t="str">
        <f t="shared" si="5"/>
        <v/>
      </c>
      <c r="L199" s="358" t="str">
        <f t="shared" si="6"/>
        <v/>
      </c>
    </row>
    <row r="200" hidden="1">
      <c r="A200" s="20">
        <v>43917.0</v>
      </c>
      <c r="B200" s="359"/>
      <c r="C200" s="359"/>
      <c r="D200" s="359"/>
      <c r="E200" s="359"/>
      <c r="J200" s="358" t="str">
        <f t="shared" si="4"/>
        <v/>
      </c>
      <c r="K200" s="358" t="str">
        <f t="shared" si="5"/>
        <v/>
      </c>
      <c r="L200" s="358" t="str">
        <f t="shared" si="6"/>
        <v/>
      </c>
    </row>
    <row r="201" hidden="1">
      <c r="A201" s="20">
        <v>43918.0</v>
      </c>
      <c r="B201" s="359"/>
      <c r="C201" s="359"/>
      <c r="D201" s="359"/>
      <c r="E201" s="359"/>
      <c r="J201" s="358" t="str">
        <f t="shared" si="4"/>
        <v/>
      </c>
      <c r="K201" s="358" t="str">
        <f t="shared" si="5"/>
        <v/>
      </c>
      <c r="L201" s="358" t="str">
        <f t="shared" si="6"/>
        <v/>
      </c>
    </row>
    <row r="202" hidden="1">
      <c r="A202" s="20">
        <v>43919.0</v>
      </c>
      <c r="B202" s="359"/>
      <c r="C202" s="359"/>
      <c r="D202" s="359"/>
      <c r="E202" s="359"/>
      <c r="J202" s="358" t="str">
        <f t="shared" si="4"/>
        <v/>
      </c>
      <c r="K202" s="358" t="str">
        <f t="shared" si="5"/>
        <v/>
      </c>
      <c r="L202" s="358" t="str">
        <f t="shared" si="6"/>
        <v/>
      </c>
    </row>
    <row r="203" hidden="1">
      <c r="A203" s="20">
        <v>43920.0</v>
      </c>
      <c r="B203" s="359"/>
      <c r="C203" s="359"/>
      <c r="D203" s="359"/>
      <c r="E203" s="359"/>
      <c r="J203" s="358" t="str">
        <f t="shared" si="4"/>
        <v/>
      </c>
      <c r="K203" s="358" t="str">
        <f t="shared" si="5"/>
        <v/>
      </c>
      <c r="L203" s="358" t="str">
        <f t="shared" si="6"/>
        <v/>
      </c>
    </row>
    <row r="204" hidden="1">
      <c r="A204" s="20">
        <v>43921.0</v>
      </c>
      <c r="B204" s="359"/>
      <c r="C204" s="359"/>
      <c r="D204" s="359"/>
      <c r="E204" s="359"/>
      <c r="J204" s="358" t="str">
        <f t="shared" si="4"/>
        <v/>
      </c>
      <c r="K204" s="358" t="str">
        <f t="shared" si="5"/>
        <v/>
      </c>
      <c r="L204" s="358" t="str">
        <f t="shared" si="6"/>
        <v/>
      </c>
    </row>
    <row r="205" hidden="1">
      <c r="A205" s="20">
        <v>43922.0</v>
      </c>
      <c r="B205" s="359"/>
      <c r="C205" s="359"/>
      <c r="D205" s="359"/>
      <c r="E205" s="359"/>
      <c r="J205" s="358" t="str">
        <f t="shared" si="4"/>
        <v/>
      </c>
      <c r="K205" s="358" t="str">
        <f t="shared" si="5"/>
        <v/>
      </c>
      <c r="L205" s="358" t="str">
        <f t="shared" si="6"/>
        <v/>
      </c>
    </row>
    <row r="206" hidden="1">
      <c r="A206" s="20">
        <v>43923.0</v>
      </c>
      <c r="B206" s="359"/>
      <c r="C206" s="359"/>
      <c r="D206" s="359"/>
      <c r="E206" s="359"/>
      <c r="J206" s="358" t="str">
        <f t="shared" si="4"/>
        <v/>
      </c>
      <c r="K206" s="358" t="str">
        <f t="shared" si="5"/>
        <v/>
      </c>
      <c r="L206" s="358" t="str">
        <f t="shared" si="6"/>
        <v/>
      </c>
    </row>
    <row r="207" hidden="1">
      <c r="A207" s="20">
        <v>43924.0</v>
      </c>
      <c r="B207" s="359"/>
      <c r="C207" s="359"/>
      <c r="D207" s="359"/>
      <c r="E207" s="359"/>
      <c r="J207" s="358" t="str">
        <f t="shared" si="4"/>
        <v/>
      </c>
      <c r="K207" s="358" t="str">
        <f t="shared" si="5"/>
        <v/>
      </c>
      <c r="L207" s="358" t="str">
        <f t="shared" si="6"/>
        <v/>
      </c>
    </row>
    <row r="208" hidden="1">
      <c r="A208" s="20">
        <v>43925.0</v>
      </c>
      <c r="B208" s="359"/>
      <c r="C208" s="359"/>
      <c r="D208" s="359"/>
      <c r="E208" s="359"/>
      <c r="J208" s="358" t="str">
        <f t="shared" si="4"/>
        <v/>
      </c>
      <c r="K208" s="358" t="str">
        <f t="shared" si="5"/>
        <v/>
      </c>
      <c r="L208" s="358" t="str">
        <f t="shared" si="6"/>
        <v/>
      </c>
    </row>
    <row r="209" hidden="1">
      <c r="A209" s="20">
        <v>43926.0</v>
      </c>
      <c r="B209" s="359"/>
      <c r="C209" s="359"/>
      <c r="D209" s="359"/>
      <c r="E209" s="359"/>
      <c r="J209" s="358" t="str">
        <f t="shared" si="4"/>
        <v/>
      </c>
      <c r="K209" s="358" t="str">
        <f t="shared" si="5"/>
        <v/>
      </c>
      <c r="L209" s="358" t="str">
        <f t="shared" si="6"/>
        <v/>
      </c>
    </row>
    <row r="210">
      <c r="A210" s="20">
        <v>43927.0</v>
      </c>
      <c r="B210" s="357">
        <v>168.0</v>
      </c>
      <c r="C210" s="357">
        <v>29.0</v>
      </c>
      <c r="D210" s="357">
        <v>17.0</v>
      </c>
      <c r="E210" s="357">
        <v>122.0</v>
      </c>
      <c r="J210" s="358">
        <f t="shared" si="4"/>
        <v>0.7261904762</v>
      </c>
      <c r="K210" s="358">
        <f t="shared" si="5"/>
        <v>0.1726190476</v>
      </c>
      <c r="L210" s="358">
        <f t="shared" si="6"/>
        <v>0.1011904762</v>
      </c>
    </row>
    <row r="211" hidden="1">
      <c r="A211" s="20">
        <v>43928.0</v>
      </c>
      <c r="B211" s="359"/>
      <c r="C211" s="359"/>
      <c r="D211" s="359"/>
      <c r="E211" s="359"/>
      <c r="J211" s="358" t="str">
        <f t="shared" si="4"/>
        <v/>
      </c>
      <c r="K211" s="358" t="str">
        <f t="shared" si="5"/>
        <v/>
      </c>
      <c r="L211" s="358" t="str">
        <f t="shared" si="6"/>
        <v/>
      </c>
    </row>
    <row r="212" hidden="1">
      <c r="A212" s="20">
        <v>43929.0</v>
      </c>
      <c r="B212" s="359"/>
      <c r="C212" s="359"/>
      <c r="D212" s="359"/>
      <c r="E212" s="359"/>
      <c r="J212" s="358" t="str">
        <f t="shared" si="4"/>
        <v/>
      </c>
      <c r="K212" s="358" t="str">
        <f t="shared" si="5"/>
        <v/>
      </c>
      <c r="L212" s="358" t="str">
        <f t="shared" si="6"/>
        <v/>
      </c>
    </row>
    <row r="213" hidden="1">
      <c r="A213" s="20">
        <v>43930.0</v>
      </c>
      <c r="B213" s="359"/>
      <c r="C213" s="359"/>
      <c r="D213" s="359"/>
      <c r="E213" s="359"/>
      <c r="J213" s="358" t="str">
        <f t="shared" si="4"/>
        <v/>
      </c>
      <c r="K213" s="358" t="str">
        <f t="shared" si="5"/>
        <v/>
      </c>
      <c r="L213" s="358" t="str">
        <f t="shared" si="6"/>
        <v/>
      </c>
    </row>
    <row r="214" hidden="1">
      <c r="A214" s="20">
        <v>43931.0</v>
      </c>
      <c r="B214" s="359"/>
      <c r="C214" s="359"/>
      <c r="D214" s="359"/>
      <c r="E214" s="359"/>
      <c r="J214" s="358" t="str">
        <f t="shared" si="4"/>
        <v/>
      </c>
      <c r="K214" s="358" t="str">
        <f t="shared" si="5"/>
        <v/>
      </c>
      <c r="L214" s="358" t="str">
        <f t="shared" si="6"/>
        <v/>
      </c>
    </row>
    <row r="215" hidden="1">
      <c r="A215" s="20">
        <v>43932.0</v>
      </c>
      <c r="B215" s="359"/>
      <c r="C215" s="359"/>
      <c r="D215" s="359"/>
      <c r="E215" s="359"/>
      <c r="J215" s="358" t="str">
        <f t="shared" si="4"/>
        <v/>
      </c>
      <c r="K215" s="358" t="str">
        <f t="shared" si="5"/>
        <v/>
      </c>
      <c r="L215" s="358" t="str">
        <f t="shared" si="6"/>
        <v/>
      </c>
    </row>
    <row r="216" hidden="1">
      <c r="A216" s="20">
        <v>43933.0</v>
      </c>
      <c r="B216" s="359"/>
      <c r="C216" s="359"/>
      <c r="D216" s="359"/>
      <c r="E216" s="359"/>
      <c r="J216" s="358" t="str">
        <f t="shared" si="4"/>
        <v/>
      </c>
      <c r="K216" s="358" t="str">
        <f t="shared" si="5"/>
        <v/>
      </c>
      <c r="L216" s="358" t="str">
        <f t="shared" si="6"/>
        <v/>
      </c>
    </row>
    <row r="217" hidden="1">
      <c r="A217" s="20">
        <v>43934.0</v>
      </c>
      <c r="B217" s="359"/>
      <c r="C217" s="359"/>
      <c r="D217" s="359"/>
      <c r="E217" s="359"/>
      <c r="J217" s="358" t="str">
        <f t="shared" si="4"/>
        <v/>
      </c>
      <c r="K217" s="358" t="str">
        <f t="shared" si="5"/>
        <v/>
      </c>
      <c r="L217" s="358" t="str">
        <f t="shared" si="6"/>
        <v/>
      </c>
    </row>
    <row r="218" hidden="1">
      <c r="A218" s="20">
        <v>43935.0</v>
      </c>
      <c r="B218" s="359"/>
      <c r="C218" s="359"/>
      <c r="D218" s="359"/>
      <c r="E218" s="359"/>
      <c r="J218" s="358" t="str">
        <f t="shared" si="4"/>
        <v/>
      </c>
      <c r="K218" s="358" t="str">
        <f t="shared" si="5"/>
        <v/>
      </c>
      <c r="L218" s="358" t="str">
        <f t="shared" si="6"/>
        <v/>
      </c>
    </row>
    <row r="219" hidden="1">
      <c r="A219" s="20">
        <v>43936.0</v>
      </c>
      <c r="B219" s="359"/>
      <c r="C219" s="359"/>
      <c r="D219" s="359"/>
      <c r="E219" s="359"/>
      <c r="J219" s="358" t="str">
        <f t="shared" si="4"/>
        <v/>
      </c>
      <c r="K219" s="358" t="str">
        <f t="shared" si="5"/>
        <v/>
      </c>
      <c r="L219" s="358" t="str">
        <f t="shared" si="6"/>
        <v/>
      </c>
    </row>
    <row r="220" hidden="1">
      <c r="A220" s="20">
        <v>43937.0</v>
      </c>
      <c r="B220" s="359"/>
      <c r="C220" s="359"/>
      <c r="D220" s="359"/>
      <c r="E220" s="359"/>
      <c r="J220" s="358" t="str">
        <f t="shared" si="4"/>
        <v/>
      </c>
      <c r="K220" s="358" t="str">
        <f t="shared" si="5"/>
        <v/>
      </c>
      <c r="L220" s="358" t="str">
        <f t="shared" si="6"/>
        <v/>
      </c>
    </row>
    <row r="221" hidden="1">
      <c r="A221" s="20">
        <v>43938.0</v>
      </c>
      <c r="B221" s="359"/>
      <c r="C221" s="359"/>
      <c r="D221" s="359"/>
      <c r="E221" s="359"/>
      <c r="J221" s="358" t="str">
        <f t="shared" si="4"/>
        <v/>
      </c>
      <c r="K221" s="358" t="str">
        <f t="shared" si="5"/>
        <v/>
      </c>
      <c r="L221" s="358" t="str">
        <f t="shared" si="6"/>
        <v/>
      </c>
    </row>
    <row r="222" hidden="1">
      <c r="A222" s="20">
        <v>43939.0</v>
      </c>
      <c r="B222" s="359"/>
      <c r="C222" s="359"/>
      <c r="D222" s="359"/>
      <c r="E222" s="359"/>
      <c r="J222" s="358" t="str">
        <f t="shared" si="4"/>
        <v/>
      </c>
      <c r="K222" s="358" t="str">
        <f t="shared" si="5"/>
        <v/>
      </c>
      <c r="L222" s="358" t="str">
        <f t="shared" si="6"/>
        <v/>
      </c>
    </row>
    <row r="223" hidden="1">
      <c r="A223" s="20">
        <v>43940.0</v>
      </c>
      <c r="B223" s="359"/>
      <c r="C223" s="359"/>
      <c r="D223" s="359"/>
      <c r="E223" s="359"/>
      <c r="J223" s="358" t="str">
        <f t="shared" si="4"/>
        <v/>
      </c>
      <c r="K223" s="358" t="str">
        <f t="shared" si="5"/>
        <v/>
      </c>
      <c r="L223" s="358" t="str">
        <f t="shared" si="6"/>
        <v/>
      </c>
    </row>
    <row r="224" hidden="1">
      <c r="A224" s="20">
        <v>43941.0</v>
      </c>
      <c r="B224" s="359"/>
      <c r="C224" s="359"/>
      <c r="D224" s="359"/>
      <c r="E224" s="359"/>
      <c r="J224" s="358" t="str">
        <f t="shared" si="4"/>
        <v/>
      </c>
      <c r="K224" s="358" t="str">
        <f t="shared" si="5"/>
        <v/>
      </c>
      <c r="L224" s="358" t="str">
        <f t="shared" si="6"/>
        <v/>
      </c>
    </row>
    <row r="225" hidden="1">
      <c r="A225" s="20">
        <v>43942.0</v>
      </c>
      <c r="B225" s="359"/>
      <c r="C225" s="359"/>
      <c r="D225" s="359"/>
      <c r="E225" s="359"/>
      <c r="J225" s="358" t="str">
        <f t="shared" si="4"/>
        <v/>
      </c>
      <c r="K225" s="358" t="str">
        <f t="shared" si="5"/>
        <v/>
      </c>
      <c r="L225" s="358" t="str">
        <f t="shared" si="6"/>
        <v/>
      </c>
    </row>
    <row r="226" hidden="1">
      <c r="A226" s="20">
        <v>43943.0</v>
      </c>
      <c r="B226" s="359"/>
      <c r="C226" s="359"/>
      <c r="D226" s="359"/>
      <c r="E226" s="359"/>
      <c r="J226" s="358" t="str">
        <f t="shared" si="4"/>
        <v/>
      </c>
      <c r="K226" s="358" t="str">
        <f t="shared" si="5"/>
        <v/>
      </c>
      <c r="L226" s="358" t="str">
        <f t="shared" si="6"/>
        <v/>
      </c>
    </row>
    <row r="227" hidden="1">
      <c r="A227" s="20">
        <v>43944.0</v>
      </c>
      <c r="B227" s="359"/>
      <c r="C227" s="359"/>
      <c r="D227" s="359"/>
      <c r="E227" s="359"/>
      <c r="J227" s="358" t="str">
        <f t="shared" si="4"/>
        <v/>
      </c>
      <c r="K227" s="358" t="str">
        <f t="shared" si="5"/>
        <v/>
      </c>
      <c r="L227" s="358" t="str">
        <f t="shared" si="6"/>
        <v/>
      </c>
    </row>
    <row r="228">
      <c r="A228" s="20">
        <v>43945.0</v>
      </c>
      <c r="B228" s="357">
        <v>328.0</v>
      </c>
      <c r="C228" s="357">
        <v>43.0</v>
      </c>
      <c r="D228" s="357">
        <v>16.0</v>
      </c>
      <c r="E228" s="357">
        <v>269.0</v>
      </c>
      <c r="J228" s="358">
        <f t="shared" si="4"/>
        <v>0.8201219512</v>
      </c>
      <c r="K228" s="358">
        <f t="shared" si="5"/>
        <v>0.131097561</v>
      </c>
      <c r="L228" s="358">
        <f t="shared" si="6"/>
        <v>0.0487804878</v>
      </c>
    </row>
    <row r="229" hidden="1">
      <c r="A229" s="20">
        <v>43946.0</v>
      </c>
      <c r="B229" s="359"/>
      <c r="C229" s="359"/>
      <c r="D229" s="359"/>
      <c r="E229" s="359"/>
      <c r="J229" s="358" t="str">
        <f t="shared" si="4"/>
        <v/>
      </c>
      <c r="K229" s="358" t="str">
        <f t="shared" si="5"/>
        <v/>
      </c>
      <c r="L229" s="358" t="str">
        <f t="shared" si="6"/>
        <v/>
      </c>
    </row>
    <row r="230" hidden="1">
      <c r="A230" s="20">
        <v>43947.0</v>
      </c>
      <c r="B230" s="359"/>
      <c r="C230" s="359"/>
      <c r="D230" s="359"/>
      <c r="E230" s="359"/>
      <c r="J230" s="358" t="str">
        <f t="shared" si="4"/>
        <v/>
      </c>
      <c r="K230" s="358" t="str">
        <f t="shared" si="5"/>
        <v/>
      </c>
      <c r="L230" s="358" t="str">
        <f t="shared" si="6"/>
        <v/>
      </c>
    </row>
    <row r="231">
      <c r="A231" s="20">
        <v>43948.0</v>
      </c>
      <c r="B231" s="357">
        <v>226.0</v>
      </c>
      <c r="C231" s="357">
        <v>30.0</v>
      </c>
      <c r="D231" s="357">
        <v>14.0</v>
      </c>
      <c r="E231" s="357">
        <v>182.0</v>
      </c>
      <c r="F231" s="6">
        <v>30.0</v>
      </c>
      <c r="G231" s="6">
        <v>16.0</v>
      </c>
      <c r="H231" s="6">
        <v>9.0</v>
      </c>
      <c r="J231" s="358">
        <f t="shared" si="4"/>
        <v>0.8053097345</v>
      </c>
      <c r="K231" s="358">
        <f t="shared" si="5"/>
        <v>0.1327433628</v>
      </c>
      <c r="L231" s="358">
        <f t="shared" si="6"/>
        <v>0.06194690265</v>
      </c>
      <c r="M231" s="358">
        <f t="shared" ref="M231:M1001" si="7">IFERROR(F231/(F231+G231),"")</f>
        <v>0.652173913</v>
      </c>
      <c r="N231" s="358">
        <f t="shared" ref="N231:N1001" si="8">IFERROR(G231/(F231+G231),"")</f>
        <v>0.347826087</v>
      </c>
      <c r="O231" s="358">
        <f t="shared" ref="O231:O1001" si="9">IFERROR(H231/F231,"")</f>
        <v>0.3</v>
      </c>
    </row>
    <row r="232">
      <c r="A232" s="20">
        <v>43949.0</v>
      </c>
      <c r="B232" s="357">
        <v>253.0</v>
      </c>
      <c r="C232" s="357">
        <v>36.0</v>
      </c>
      <c r="D232" s="357">
        <v>14.0</v>
      </c>
      <c r="E232" s="357">
        <v>203.0</v>
      </c>
      <c r="F232" s="6">
        <v>20.0</v>
      </c>
      <c r="G232" s="6">
        <v>6.0</v>
      </c>
      <c r="H232" s="6">
        <v>6.0</v>
      </c>
      <c r="J232" s="358">
        <f t="shared" si="4"/>
        <v>0.8023715415</v>
      </c>
      <c r="K232" s="358">
        <f t="shared" si="5"/>
        <v>0.1422924901</v>
      </c>
      <c r="L232" s="358">
        <f t="shared" si="6"/>
        <v>0.05533596838</v>
      </c>
      <c r="M232" s="358">
        <f t="shared" si="7"/>
        <v>0.7692307692</v>
      </c>
      <c r="N232" s="358">
        <f t="shared" si="8"/>
        <v>0.2307692308</v>
      </c>
      <c r="O232" s="358">
        <f t="shared" si="9"/>
        <v>0.3</v>
      </c>
    </row>
    <row r="233" hidden="1">
      <c r="A233" s="20">
        <v>43950.0</v>
      </c>
      <c r="B233" s="359"/>
      <c r="C233" s="359"/>
      <c r="D233" s="359"/>
      <c r="E233" s="359"/>
      <c r="J233" s="358" t="str">
        <f t="shared" si="4"/>
        <v/>
      </c>
      <c r="K233" s="358" t="str">
        <f t="shared" si="5"/>
        <v/>
      </c>
      <c r="L233" s="358" t="str">
        <f t="shared" si="6"/>
        <v/>
      </c>
      <c r="M233" s="358" t="str">
        <f t="shared" si="7"/>
        <v/>
      </c>
      <c r="N233" s="358" t="str">
        <f t="shared" si="8"/>
        <v/>
      </c>
      <c r="O233" s="358" t="str">
        <f t="shared" si="9"/>
        <v/>
      </c>
    </row>
    <row r="234" hidden="1">
      <c r="A234" s="20">
        <v>43951.0</v>
      </c>
      <c r="B234" s="359"/>
      <c r="C234" s="359"/>
      <c r="D234" s="359"/>
      <c r="E234" s="359"/>
      <c r="J234" s="358" t="str">
        <f t="shared" si="4"/>
        <v/>
      </c>
      <c r="K234" s="358" t="str">
        <f t="shared" si="5"/>
        <v/>
      </c>
      <c r="L234" s="358" t="str">
        <f t="shared" si="6"/>
        <v/>
      </c>
      <c r="M234" s="358" t="str">
        <f t="shared" si="7"/>
        <v/>
      </c>
      <c r="N234" s="358" t="str">
        <f t="shared" si="8"/>
        <v/>
      </c>
      <c r="O234" s="358" t="str">
        <f t="shared" si="9"/>
        <v/>
      </c>
    </row>
    <row r="235" hidden="1">
      <c r="A235" s="20">
        <v>43952.0</v>
      </c>
      <c r="B235" s="359"/>
      <c r="C235" s="359"/>
      <c r="D235" s="359"/>
      <c r="E235" s="359"/>
      <c r="J235" s="358" t="str">
        <f t="shared" si="4"/>
        <v/>
      </c>
      <c r="K235" s="358" t="str">
        <f t="shared" si="5"/>
        <v/>
      </c>
      <c r="L235" s="358" t="str">
        <f t="shared" si="6"/>
        <v/>
      </c>
      <c r="M235" s="358" t="str">
        <f t="shared" si="7"/>
        <v/>
      </c>
      <c r="N235" s="358" t="str">
        <f t="shared" si="8"/>
        <v/>
      </c>
      <c r="O235" s="358" t="str">
        <f t="shared" si="9"/>
        <v/>
      </c>
    </row>
    <row r="236" hidden="1">
      <c r="A236" s="20">
        <v>43953.0</v>
      </c>
      <c r="B236" s="359"/>
      <c r="C236" s="359"/>
      <c r="D236" s="359"/>
      <c r="E236" s="359"/>
      <c r="J236" s="358" t="str">
        <f t="shared" si="4"/>
        <v/>
      </c>
      <c r="K236" s="358" t="str">
        <f t="shared" si="5"/>
        <v/>
      </c>
      <c r="L236" s="358" t="str">
        <f t="shared" si="6"/>
        <v/>
      </c>
      <c r="M236" s="358" t="str">
        <f t="shared" si="7"/>
        <v/>
      </c>
      <c r="N236" s="358" t="str">
        <f t="shared" si="8"/>
        <v/>
      </c>
      <c r="O236" s="358" t="str">
        <f t="shared" si="9"/>
        <v/>
      </c>
    </row>
    <row r="237" hidden="1">
      <c r="A237" s="20">
        <v>43954.0</v>
      </c>
      <c r="B237" s="359"/>
      <c r="C237" s="359"/>
      <c r="D237" s="359"/>
      <c r="E237" s="359"/>
      <c r="J237" s="358" t="str">
        <f t="shared" si="4"/>
        <v/>
      </c>
      <c r="K237" s="358" t="str">
        <f t="shared" si="5"/>
        <v/>
      </c>
      <c r="L237" s="358" t="str">
        <f t="shared" si="6"/>
        <v/>
      </c>
      <c r="M237" s="358" t="str">
        <f t="shared" si="7"/>
        <v/>
      </c>
      <c r="N237" s="358" t="str">
        <f t="shared" si="8"/>
        <v/>
      </c>
      <c r="O237" s="358" t="str">
        <f t="shared" si="9"/>
        <v/>
      </c>
    </row>
    <row r="238">
      <c r="A238" s="20">
        <v>43955.0</v>
      </c>
      <c r="B238" s="357">
        <v>227.0</v>
      </c>
      <c r="C238" s="357">
        <v>37.0</v>
      </c>
      <c r="D238" s="357">
        <v>26.0</v>
      </c>
      <c r="E238" s="357">
        <v>164.0</v>
      </c>
      <c r="F238" s="6">
        <v>33.0</v>
      </c>
      <c r="G238" s="6">
        <v>7.0</v>
      </c>
      <c r="H238" s="6">
        <v>10.0</v>
      </c>
      <c r="J238" s="358">
        <f t="shared" si="4"/>
        <v>0.7224669604</v>
      </c>
      <c r="K238" s="358">
        <f t="shared" si="5"/>
        <v>0.1629955947</v>
      </c>
      <c r="L238" s="358">
        <f t="shared" si="6"/>
        <v>0.1145374449</v>
      </c>
      <c r="M238" s="358">
        <f t="shared" si="7"/>
        <v>0.825</v>
      </c>
      <c r="N238" s="358">
        <f t="shared" si="8"/>
        <v>0.175</v>
      </c>
      <c r="O238" s="358">
        <f t="shared" si="9"/>
        <v>0.303030303</v>
      </c>
    </row>
    <row r="239" hidden="1">
      <c r="A239" s="20">
        <v>43956.0</v>
      </c>
      <c r="B239" s="359"/>
      <c r="C239" s="359"/>
      <c r="D239" s="359"/>
      <c r="E239" s="359"/>
      <c r="J239" s="358" t="str">
        <f t="shared" si="4"/>
        <v/>
      </c>
      <c r="K239" s="358" t="str">
        <f t="shared" si="5"/>
        <v/>
      </c>
      <c r="L239" s="358" t="str">
        <f t="shared" si="6"/>
        <v/>
      </c>
      <c r="M239" s="358" t="str">
        <f t="shared" si="7"/>
        <v/>
      </c>
      <c r="N239" s="358" t="str">
        <f t="shared" si="8"/>
        <v/>
      </c>
      <c r="O239" s="358" t="str">
        <f t="shared" si="9"/>
        <v/>
      </c>
    </row>
    <row r="240" hidden="1">
      <c r="A240" s="20">
        <v>43957.0</v>
      </c>
      <c r="B240" s="359"/>
      <c r="C240" s="359"/>
      <c r="D240" s="359"/>
      <c r="E240" s="359"/>
      <c r="J240" s="358" t="str">
        <f t="shared" si="4"/>
        <v/>
      </c>
      <c r="K240" s="358" t="str">
        <f t="shared" si="5"/>
        <v/>
      </c>
      <c r="L240" s="358" t="str">
        <f t="shared" si="6"/>
        <v/>
      </c>
      <c r="M240" s="358" t="str">
        <f t="shared" si="7"/>
        <v/>
      </c>
      <c r="N240" s="358" t="str">
        <f t="shared" si="8"/>
        <v/>
      </c>
      <c r="O240" s="358" t="str">
        <f t="shared" si="9"/>
        <v/>
      </c>
    </row>
    <row r="241">
      <c r="A241" s="20">
        <v>43958.0</v>
      </c>
      <c r="B241" s="357">
        <v>338.0</v>
      </c>
      <c r="C241" s="357">
        <v>60.0</v>
      </c>
      <c r="D241" s="357">
        <v>59.0</v>
      </c>
      <c r="E241" s="357">
        <v>219.0</v>
      </c>
      <c r="J241" s="358">
        <f t="shared" si="4"/>
        <v>0.6479289941</v>
      </c>
      <c r="K241" s="358">
        <f t="shared" si="5"/>
        <v>0.1775147929</v>
      </c>
      <c r="L241" s="358">
        <f t="shared" si="6"/>
        <v>0.174556213</v>
      </c>
      <c r="M241" s="358" t="str">
        <f t="shared" si="7"/>
        <v/>
      </c>
      <c r="N241" s="358" t="str">
        <f t="shared" si="8"/>
        <v/>
      </c>
      <c r="O241" s="358" t="str">
        <f t="shared" si="9"/>
        <v/>
      </c>
    </row>
    <row r="242">
      <c r="A242" s="20">
        <v>43959.0</v>
      </c>
      <c r="B242" s="359"/>
      <c r="C242" s="359"/>
      <c r="D242" s="359"/>
      <c r="E242" s="359"/>
      <c r="J242" s="358" t="str">
        <f t="shared" si="4"/>
        <v/>
      </c>
      <c r="K242" s="358" t="str">
        <f t="shared" si="5"/>
        <v/>
      </c>
      <c r="L242" s="358" t="str">
        <f t="shared" si="6"/>
        <v/>
      </c>
      <c r="M242" s="358" t="str">
        <f t="shared" si="7"/>
        <v/>
      </c>
      <c r="N242" s="358" t="str">
        <f t="shared" si="8"/>
        <v/>
      </c>
      <c r="O242" s="358" t="str">
        <f t="shared" si="9"/>
        <v/>
      </c>
    </row>
    <row r="243">
      <c r="A243" s="20">
        <v>43960.0</v>
      </c>
      <c r="B243" s="359"/>
      <c r="C243" s="359"/>
      <c r="D243" s="359"/>
      <c r="E243" s="359"/>
      <c r="J243" s="358" t="str">
        <f t="shared" si="4"/>
        <v/>
      </c>
      <c r="K243" s="358" t="str">
        <f t="shared" si="5"/>
        <v/>
      </c>
      <c r="L243" s="358" t="str">
        <f t="shared" si="6"/>
        <v/>
      </c>
      <c r="M243" s="358" t="str">
        <f t="shared" si="7"/>
        <v/>
      </c>
      <c r="N243" s="358" t="str">
        <f t="shared" si="8"/>
        <v/>
      </c>
      <c r="O243" s="358" t="str">
        <f t="shared" si="9"/>
        <v/>
      </c>
    </row>
    <row r="244">
      <c r="A244" s="20">
        <v>43961.0</v>
      </c>
      <c r="B244" s="359"/>
      <c r="C244" s="359"/>
      <c r="D244" s="359"/>
      <c r="E244" s="359"/>
      <c r="J244" s="358" t="str">
        <f t="shared" si="4"/>
        <v/>
      </c>
      <c r="K244" s="358" t="str">
        <f t="shared" si="5"/>
        <v/>
      </c>
      <c r="L244" s="358" t="str">
        <f t="shared" si="6"/>
        <v/>
      </c>
      <c r="M244" s="358" t="str">
        <f t="shared" si="7"/>
        <v/>
      </c>
      <c r="N244" s="358" t="str">
        <f t="shared" si="8"/>
        <v/>
      </c>
      <c r="O244" s="358" t="str">
        <f t="shared" si="9"/>
        <v/>
      </c>
    </row>
    <row r="245">
      <c r="A245" s="20">
        <v>43962.0</v>
      </c>
      <c r="B245" s="359"/>
      <c r="C245" s="359"/>
      <c r="D245" s="359"/>
      <c r="E245" s="359"/>
      <c r="J245" s="358" t="str">
        <f t="shared" si="4"/>
        <v/>
      </c>
      <c r="K245" s="358" t="str">
        <f t="shared" si="5"/>
        <v/>
      </c>
      <c r="L245" s="358" t="str">
        <f t="shared" si="6"/>
        <v/>
      </c>
      <c r="M245" s="358" t="str">
        <f t="shared" si="7"/>
        <v/>
      </c>
      <c r="N245" s="358" t="str">
        <f t="shared" si="8"/>
        <v/>
      </c>
      <c r="O245" s="358" t="str">
        <f t="shared" si="9"/>
        <v/>
      </c>
    </row>
    <row r="246">
      <c r="A246" s="20">
        <v>43963.0</v>
      </c>
      <c r="B246" s="359"/>
      <c r="C246" s="359"/>
      <c r="D246" s="359"/>
      <c r="E246" s="359"/>
      <c r="J246" s="358" t="str">
        <f t="shared" si="4"/>
        <v/>
      </c>
      <c r="K246" s="358" t="str">
        <f t="shared" si="5"/>
        <v/>
      </c>
      <c r="L246" s="358" t="str">
        <f t="shared" si="6"/>
        <v/>
      </c>
      <c r="M246" s="358" t="str">
        <f t="shared" si="7"/>
        <v/>
      </c>
      <c r="N246" s="358" t="str">
        <f t="shared" si="8"/>
        <v/>
      </c>
      <c r="O246" s="358" t="str">
        <f t="shared" si="9"/>
        <v/>
      </c>
    </row>
    <row r="247">
      <c r="A247" s="20">
        <v>43964.0</v>
      </c>
      <c r="B247" s="359"/>
      <c r="C247" s="359"/>
      <c r="D247" s="359"/>
      <c r="E247" s="359"/>
      <c r="J247" s="358" t="str">
        <f t="shared" si="4"/>
        <v/>
      </c>
      <c r="K247" s="358" t="str">
        <f t="shared" si="5"/>
        <v/>
      </c>
      <c r="L247" s="358" t="str">
        <f t="shared" si="6"/>
        <v/>
      </c>
      <c r="M247" s="358" t="str">
        <f t="shared" si="7"/>
        <v/>
      </c>
      <c r="N247" s="358" t="str">
        <f t="shared" si="8"/>
        <v/>
      </c>
      <c r="O247" s="358" t="str">
        <f t="shared" si="9"/>
        <v/>
      </c>
    </row>
    <row r="248">
      <c r="A248" s="20">
        <v>43965.0</v>
      </c>
      <c r="B248" s="359"/>
      <c r="C248" s="359"/>
      <c r="D248" s="359"/>
      <c r="E248" s="359"/>
      <c r="J248" s="358" t="str">
        <f t="shared" si="4"/>
        <v/>
      </c>
      <c r="K248" s="358" t="str">
        <f t="shared" si="5"/>
        <v/>
      </c>
      <c r="L248" s="358" t="str">
        <f t="shared" si="6"/>
        <v/>
      </c>
      <c r="M248" s="358" t="str">
        <f t="shared" si="7"/>
        <v/>
      </c>
      <c r="N248" s="358" t="str">
        <f t="shared" si="8"/>
        <v/>
      </c>
      <c r="O248" s="358" t="str">
        <f t="shared" si="9"/>
        <v/>
      </c>
    </row>
    <row r="249">
      <c r="A249" s="20">
        <v>43966.0</v>
      </c>
      <c r="B249" s="359"/>
      <c r="C249" s="359"/>
      <c r="D249" s="359"/>
      <c r="E249" s="359"/>
      <c r="J249" s="358" t="str">
        <f t="shared" si="4"/>
        <v/>
      </c>
      <c r="K249" s="358" t="str">
        <f t="shared" si="5"/>
        <v/>
      </c>
      <c r="L249" s="358" t="str">
        <f t="shared" si="6"/>
        <v/>
      </c>
      <c r="M249" s="358" t="str">
        <f t="shared" si="7"/>
        <v/>
      </c>
      <c r="N249" s="358" t="str">
        <f t="shared" si="8"/>
        <v/>
      </c>
      <c r="O249" s="358" t="str">
        <f t="shared" si="9"/>
        <v/>
      </c>
    </row>
    <row r="250">
      <c r="A250" s="20">
        <v>43967.0</v>
      </c>
      <c r="B250" s="359"/>
      <c r="C250" s="359"/>
      <c r="D250" s="359"/>
      <c r="E250" s="359"/>
      <c r="J250" s="358" t="str">
        <f t="shared" si="4"/>
        <v/>
      </c>
      <c r="K250" s="358" t="str">
        <f t="shared" si="5"/>
        <v/>
      </c>
      <c r="L250" s="358" t="str">
        <f t="shared" si="6"/>
        <v/>
      </c>
      <c r="M250" s="358" t="str">
        <f t="shared" si="7"/>
        <v/>
      </c>
      <c r="N250" s="358" t="str">
        <f t="shared" si="8"/>
        <v/>
      </c>
      <c r="O250" s="358" t="str">
        <f t="shared" si="9"/>
        <v/>
      </c>
    </row>
    <row r="251">
      <c r="A251" s="20">
        <v>43968.0</v>
      </c>
      <c r="B251" s="359"/>
      <c r="C251" s="359"/>
      <c r="D251" s="359"/>
      <c r="E251" s="359"/>
      <c r="J251" s="358" t="str">
        <f t="shared" si="4"/>
        <v/>
      </c>
      <c r="K251" s="358" t="str">
        <f t="shared" si="5"/>
        <v/>
      </c>
      <c r="L251" s="358" t="str">
        <f t="shared" si="6"/>
        <v/>
      </c>
      <c r="M251" s="358" t="str">
        <f t="shared" si="7"/>
        <v/>
      </c>
      <c r="N251" s="358" t="str">
        <f t="shared" si="8"/>
        <v/>
      </c>
      <c r="O251" s="358" t="str">
        <f t="shared" si="9"/>
        <v/>
      </c>
    </row>
    <row r="252">
      <c r="A252" s="20">
        <v>43969.0</v>
      </c>
      <c r="B252" s="359"/>
      <c r="C252" s="359"/>
      <c r="D252" s="359"/>
      <c r="E252" s="359"/>
      <c r="J252" s="358" t="str">
        <f t="shared" si="4"/>
        <v/>
      </c>
      <c r="K252" s="358" t="str">
        <f t="shared" si="5"/>
        <v/>
      </c>
      <c r="L252" s="358" t="str">
        <f t="shared" si="6"/>
        <v/>
      </c>
      <c r="M252" s="358" t="str">
        <f t="shared" si="7"/>
        <v/>
      </c>
      <c r="N252" s="358" t="str">
        <f t="shared" si="8"/>
        <v/>
      </c>
      <c r="O252" s="358" t="str">
        <f t="shared" si="9"/>
        <v/>
      </c>
    </row>
    <row r="253">
      <c r="A253" s="20">
        <v>43970.0</v>
      </c>
      <c r="B253" s="359"/>
      <c r="C253" s="359"/>
      <c r="D253" s="359"/>
      <c r="E253" s="359"/>
      <c r="J253" s="358" t="str">
        <f t="shared" si="4"/>
        <v/>
      </c>
      <c r="K253" s="358" t="str">
        <f t="shared" si="5"/>
        <v/>
      </c>
      <c r="L253" s="358" t="str">
        <f t="shared" si="6"/>
        <v/>
      </c>
      <c r="M253" s="358" t="str">
        <f t="shared" si="7"/>
        <v/>
      </c>
      <c r="N253" s="358" t="str">
        <f t="shared" si="8"/>
        <v/>
      </c>
      <c r="O253" s="358" t="str">
        <f t="shared" si="9"/>
        <v/>
      </c>
    </row>
    <row r="254">
      <c r="A254" s="20">
        <v>43971.0</v>
      </c>
      <c r="B254" s="359"/>
      <c r="C254" s="359"/>
      <c r="D254" s="359"/>
      <c r="E254" s="359"/>
      <c r="J254" s="358" t="str">
        <f t="shared" si="4"/>
        <v/>
      </c>
      <c r="K254" s="358" t="str">
        <f t="shared" si="5"/>
        <v/>
      </c>
      <c r="L254" s="358" t="str">
        <f t="shared" si="6"/>
        <v/>
      </c>
      <c r="M254" s="358" t="str">
        <f t="shared" si="7"/>
        <v/>
      </c>
      <c r="N254" s="358" t="str">
        <f t="shared" si="8"/>
        <v/>
      </c>
      <c r="O254" s="358" t="str">
        <f t="shared" si="9"/>
        <v/>
      </c>
    </row>
    <row r="255">
      <c r="A255" s="20">
        <v>43972.0</v>
      </c>
      <c r="B255" s="359"/>
      <c r="C255" s="359"/>
      <c r="D255" s="359"/>
      <c r="E255" s="359"/>
      <c r="J255" s="358" t="str">
        <f t="shared" si="4"/>
        <v/>
      </c>
      <c r="K255" s="358" t="str">
        <f t="shared" si="5"/>
        <v/>
      </c>
      <c r="L255" s="358" t="str">
        <f t="shared" si="6"/>
        <v/>
      </c>
      <c r="M255" s="358" t="str">
        <f t="shared" si="7"/>
        <v/>
      </c>
      <c r="N255" s="358" t="str">
        <f t="shared" si="8"/>
        <v/>
      </c>
      <c r="O255" s="358" t="str">
        <f t="shared" si="9"/>
        <v/>
      </c>
    </row>
    <row r="256">
      <c r="A256" s="20">
        <v>43973.0</v>
      </c>
      <c r="B256" s="359"/>
      <c r="C256" s="359"/>
      <c r="D256" s="359"/>
      <c r="E256" s="359"/>
      <c r="J256" s="358" t="str">
        <f t="shared" si="4"/>
        <v/>
      </c>
      <c r="K256" s="358" t="str">
        <f t="shared" si="5"/>
        <v/>
      </c>
      <c r="L256" s="358" t="str">
        <f t="shared" si="6"/>
        <v/>
      </c>
      <c r="M256" s="358" t="str">
        <f t="shared" si="7"/>
        <v/>
      </c>
      <c r="N256" s="358" t="str">
        <f t="shared" si="8"/>
        <v/>
      </c>
      <c r="O256" s="358" t="str">
        <f t="shared" si="9"/>
        <v/>
      </c>
    </row>
    <row r="257">
      <c r="A257" s="20">
        <v>43974.0</v>
      </c>
      <c r="B257" s="359"/>
      <c r="C257" s="359"/>
      <c r="D257" s="359"/>
      <c r="E257" s="359"/>
      <c r="J257" s="358" t="str">
        <f t="shared" si="4"/>
        <v/>
      </c>
      <c r="K257" s="358" t="str">
        <f t="shared" si="5"/>
        <v/>
      </c>
      <c r="L257" s="358" t="str">
        <f t="shared" si="6"/>
        <v/>
      </c>
      <c r="M257" s="358" t="str">
        <f t="shared" si="7"/>
        <v/>
      </c>
      <c r="N257" s="358" t="str">
        <f t="shared" si="8"/>
        <v/>
      </c>
      <c r="O257" s="358" t="str">
        <f t="shared" si="9"/>
        <v/>
      </c>
    </row>
    <row r="258">
      <c r="A258" s="20">
        <v>43975.0</v>
      </c>
      <c r="B258" s="359"/>
      <c r="C258" s="359"/>
      <c r="D258" s="359"/>
      <c r="E258" s="359"/>
      <c r="J258" s="358" t="str">
        <f t="shared" si="4"/>
        <v/>
      </c>
      <c r="K258" s="358" t="str">
        <f t="shared" si="5"/>
        <v/>
      </c>
      <c r="L258" s="358" t="str">
        <f t="shared" si="6"/>
        <v/>
      </c>
      <c r="M258" s="358" t="str">
        <f t="shared" si="7"/>
        <v/>
      </c>
      <c r="N258" s="358" t="str">
        <f t="shared" si="8"/>
        <v/>
      </c>
      <c r="O258" s="358" t="str">
        <f t="shared" si="9"/>
        <v/>
      </c>
    </row>
    <row r="259">
      <c r="A259" s="20">
        <v>43976.0</v>
      </c>
      <c r="B259" s="359"/>
      <c r="C259" s="359"/>
      <c r="D259" s="359"/>
      <c r="E259" s="359"/>
      <c r="J259" s="358" t="str">
        <f t="shared" si="4"/>
        <v/>
      </c>
      <c r="K259" s="358" t="str">
        <f t="shared" si="5"/>
        <v/>
      </c>
      <c r="L259" s="358" t="str">
        <f t="shared" si="6"/>
        <v/>
      </c>
      <c r="M259" s="358" t="str">
        <f t="shared" si="7"/>
        <v/>
      </c>
      <c r="N259" s="358" t="str">
        <f t="shared" si="8"/>
        <v/>
      </c>
      <c r="O259" s="358" t="str">
        <f t="shared" si="9"/>
        <v/>
      </c>
    </row>
    <row r="260">
      <c r="A260" s="20">
        <v>43977.0</v>
      </c>
      <c r="B260" s="359"/>
      <c r="C260" s="359"/>
      <c r="D260" s="359"/>
      <c r="E260" s="359"/>
      <c r="J260" s="358" t="str">
        <f t="shared" si="4"/>
        <v/>
      </c>
      <c r="K260" s="358" t="str">
        <f t="shared" si="5"/>
        <v/>
      </c>
      <c r="L260" s="358" t="str">
        <f t="shared" si="6"/>
        <v/>
      </c>
      <c r="M260" s="358" t="str">
        <f t="shared" si="7"/>
        <v/>
      </c>
      <c r="N260" s="358" t="str">
        <f t="shared" si="8"/>
        <v/>
      </c>
      <c r="O260" s="358" t="str">
        <f t="shared" si="9"/>
        <v/>
      </c>
    </row>
    <row r="261">
      <c r="A261" s="20">
        <v>43978.0</v>
      </c>
      <c r="B261" s="359"/>
      <c r="C261" s="359"/>
      <c r="D261" s="359"/>
      <c r="E261" s="359"/>
      <c r="J261" s="358" t="str">
        <f t="shared" si="4"/>
        <v/>
      </c>
      <c r="K261" s="358" t="str">
        <f t="shared" si="5"/>
        <v/>
      </c>
      <c r="L261" s="358" t="str">
        <f t="shared" si="6"/>
        <v/>
      </c>
      <c r="M261" s="358" t="str">
        <f t="shared" si="7"/>
        <v/>
      </c>
      <c r="N261" s="358" t="str">
        <f t="shared" si="8"/>
        <v/>
      </c>
      <c r="O261" s="358" t="str">
        <f t="shared" si="9"/>
        <v/>
      </c>
    </row>
    <row r="262">
      <c r="A262" s="20">
        <v>43979.0</v>
      </c>
      <c r="B262" s="359"/>
      <c r="C262" s="359"/>
      <c r="D262" s="359"/>
      <c r="E262" s="359"/>
      <c r="J262" s="358" t="str">
        <f t="shared" si="4"/>
        <v/>
      </c>
      <c r="K262" s="358" t="str">
        <f t="shared" si="5"/>
        <v/>
      </c>
      <c r="L262" s="358" t="str">
        <f t="shared" si="6"/>
        <v/>
      </c>
      <c r="M262" s="358" t="str">
        <f t="shared" si="7"/>
        <v/>
      </c>
      <c r="N262" s="358" t="str">
        <f t="shared" si="8"/>
        <v/>
      </c>
      <c r="O262" s="358" t="str">
        <f t="shared" si="9"/>
        <v/>
      </c>
    </row>
    <row r="263">
      <c r="A263" s="20">
        <v>43980.0</v>
      </c>
      <c r="B263" s="359"/>
      <c r="C263" s="359"/>
      <c r="D263" s="359"/>
      <c r="E263" s="359"/>
      <c r="J263" s="358" t="str">
        <f t="shared" si="4"/>
        <v/>
      </c>
      <c r="K263" s="358" t="str">
        <f t="shared" si="5"/>
        <v/>
      </c>
      <c r="L263" s="358" t="str">
        <f t="shared" si="6"/>
        <v/>
      </c>
      <c r="M263" s="358" t="str">
        <f t="shared" si="7"/>
        <v/>
      </c>
      <c r="N263" s="358" t="str">
        <f t="shared" si="8"/>
        <v/>
      </c>
      <c r="O263" s="358" t="str">
        <f t="shared" si="9"/>
        <v/>
      </c>
    </row>
    <row r="264">
      <c r="A264" s="20">
        <v>43981.0</v>
      </c>
      <c r="B264" s="359"/>
      <c r="C264" s="359"/>
      <c r="D264" s="359"/>
      <c r="E264" s="359"/>
      <c r="J264" s="358" t="str">
        <f t="shared" si="4"/>
        <v/>
      </c>
      <c r="K264" s="358" t="str">
        <f t="shared" si="5"/>
        <v/>
      </c>
      <c r="L264" s="358" t="str">
        <f t="shared" si="6"/>
        <v/>
      </c>
      <c r="M264" s="358" t="str">
        <f t="shared" si="7"/>
        <v/>
      </c>
      <c r="N264" s="358" t="str">
        <f t="shared" si="8"/>
        <v/>
      </c>
      <c r="O264" s="358" t="str">
        <f t="shared" si="9"/>
        <v/>
      </c>
    </row>
    <row r="265">
      <c r="A265" s="20">
        <v>43982.0</v>
      </c>
      <c r="B265" s="359"/>
      <c r="C265" s="359"/>
      <c r="D265" s="359"/>
      <c r="E265" s="359"/>
      <c r="J265" s="358" t="str">
        <f t="shared" si="4"/>
        <v/>
      </c>
      <c r="K265" s="358" t="str">
        <f t="shared" si="5"/>
        <v/>
      </c>
      <c r="L265" s="358" t="str">
        <f t="shared" si="6"/>
        <v/>
      </c>
      <c r="M265" s="358" t="str">
        <f t="shared" si="7"/>
        <v/>
      </c>
      <c r="N265" s="358" t="str">
        <f t="shared" si="8"/>
        <v/>
      </c>
      <c r="O265" s="358" t="str">
        <f t="shared" si="9"/>
        <v/>
      </c>
    </row>
    <row r="266">
      <c r="A266" s="20">
        <v>43983.0</v>
      </c>
      <c r="B266" s="359"/>
      <c r="C266" s="359"/>
      <c r="D266" s="359"/>
      <c r="E266" s="359"/>
      <c r="J266" s="358" t="str">
        <f t="shared" si="4"/>
        <v/>
      </c>
      <c r="K266" s="358" t="str">
        <f t="shared" si="5"/>
        <v/>
      </c>
      <c r="L266" s="358" t="str">
        <f t="shared" si="6"/>
        <v/>
      </c>
      <c r="M266" s="358" t="str">
        <f t="shared" si="7"/>
        <v/>
      </c>
      <c r="N266" s="358" t="str">
        <f t="shared" si="8"/>
        <v/>
      </c>
      <c r="O266" s="358" t="str">
        <f t="shared" si="9"/>
        <v/>
      </c>
    </row>
    <row r="267">
      <c r="A267" s="20">
        <v>43984.0</v>
      </c>
      <c r="B267" s="359"/>
      <c r="C267" s="359"/>
      <c r="D267" s="359"/>
      <c r="E267" s="359"/>
      <c r="J267" s="358" t="str">
        <f t="shared" si="4"/>
        <v/>
      </c>
      <c r="K267" s="358" t="str">
        <f t="shared" si="5"/>
        <v/>
      </c>
      <c r="L267" s="358" t="str">
        <f t="shared" si="6"/>
        <v/>
      </c>
      <c r="M267" s="358" t="str">
        <f t="shared" si="7"/>
        <v/>
      </c>
      <c r="N267" s="358" t="str">
        <f t="shared" si="8"/>
        <v/>
      </c>
      <c r="O267" s="358" t="str">
        <f t="shared" si="9"/>
        <v/>
      </c>
    </row>
    <row r="268">
      <c r="A268" s="20">
        <v>43985.0</v>
      </c>
      <c r="B268" s="359"/>
      <c r="C268" s="359"/>
      <c r="D268" s="359"/>
      <c r="E268" s="359"/>
      <c r="J268" s="358" t="str">
        <f t="shared" si="4"/>
        <v/>
      </c>
      <c r="K268" s="358" t="str">
        <f t="shared" si="5"/>
        <v/>
      </c>
      <c r="L268" s="358" t="str">
        <f t="shared" si="6"/>
        <v/>
      </c>
      <c r="M268" s="358" t="str">
        <f t="shared" si="7"/>
        <v/>
      </c>
      <c r="N268" s="358" t="str">
        <f t="shared" si="8"/>
        <v/>
      </c>
      <c r="O268" s="358" t="str">
        <f t="shared" si="9"/>
        <v/>
      </c>
    </row>
    <row r="269">
      <c r="A269" s="20">
        <v>43986.0</v>
      </c>
      <c r="B269" s="359"/>
      <c r="C269" s="359"/>
      <c r="D269" s="359"/>
      <c r="E269" s="359"/>
      <c r="J269" s="358" t="str">
        <f t="shared" si="4"/>
        <v/>
      </c>
      <c r="K269" s="358" t="str">
        <f t="shared" si="5"/>
        <v/>
      </c>
      <c r="L269" s="358" t="str">
        <f t="shared" si="6"/>
        <v/>
      </c>
      <c r="M269" s="358" t="str">
        <f t="shared" si="7"/>
        <v/>
      </c>
      <c r="N269" s="358" t="str">
        <f t="shared" si="8"/>
        <v/>
      </c>
      <c r="O269" s="358" t="str">
        <f t="shared" si="9"/>
        <v/>
      </c>
    </row>
    <row r="270">
      <c r="A270" s="20">
        <v>43987.0</v>
      </c>
      <c r="B270" s="359"/>
      <c r="C270" s="359"/>
      <c r="D270" s="359"/>
      <c r="E270" s="359"/>
      <c r="J270" s="358" t="str">
        <f t="shared" si="4"/>
        <v/>
      </c>
      <c r="K270" s="358" t="str">
        <f t="shared" si="5"/>
        <v/>
      </c>
      <c r="L270" s="358" t="str">
        <f t="shared" si="6"/>
        <v/>
      </c>
      <c r="M270" s="358" t="str">
        <f t="shared" si="7"/>
        <v/>
      </c>
      <c r="N270" s="358" t="str">
        <f t="shared" si="8"/>
        <v/>
      </c>
      <c r="O270" s="358" t="str">
        <f t="shared" si="9"/>
        <v/>
      </c>
    </row>
    <row r="271">
      <c r="A271" s="20">
        <v>43988.0</v>
      </c>
      <c r="B271" s="359"/>
      <c r="C271" s="359"/>
      <c r="D271" s="359"/>
      <c r="E271" s="359"/>
      <c r="J271" s="358" t="str">
        <f t="shared" si="4"/>
        <v/>
      </c>
      <c r="K271" s="358" t="str">
        <f t="shared" si="5"/>
        <v/>
      </c>
      <c r="L271" s="358" t="str">
        <f t="shared" si="6"/>
        <v/>
      </c>
      <c r="M271" s="358" t="str">
        <f t="shared" si="7"/>
        <v/>
      </c>
      <c r="N271" s="358" t="str">
        <f t="shared" si="8"/>
        <v/>
      </c>
      <c r="O271" s="358" t="str">
        <f t="shared" si="9"/>
        <v/>
      </c>
    </row>
    <row r="272">
      <c r="A272" s="20">
        <v>43989.0</v>
      </c>
      <c r="B272" s="359"/>
      <c r="C272" s="359"/>
      <c r="D272" s="359"/>
      <c r="E272" s="359"/>
      <c r="J272" s="358" t="str">
        <f t="shared" si="4"/>
        <v/>
      </c>
      <c r="K272" s="358" t="str">
        <f t="shared" si="5"/>
        <v/>
      </c>
      <c r="L272" s="358" t="str">
        <f t="shared" si="6"/>
        <v/>
      </c>
      <c r="M272" s="358" t="str">
        <f t="shared" si="7"/>
        <v/>
      </c>
      <c r="N272" s="358" t="str">
        <f t="shared" si="8"/>
        <v/>
      </c>
      <c r="O272" s="358" t="str">
        <f t="shared" si="9"/>
        <v/>
      </c>
    </row>
    <row r="273">
      <c r="A273" s="20">
        <v>43990.0</v>
      </c>
      <c r="B273" s="359"/>
      <c r="C273" s="359"/>
      <c r="D273" s="359"/>
      <c r="E273" s="359"/>
      <c r="J273" s="358" t="str">
        <f t="shared" si="4"/>
        <v/>
      </c>
      <c r="K273" s="358" t="str">
        <f t="shared" si="5"/>
        <v/>
      </c>
      <c r="L273" s="358" t="str">
        <f t="shared" si="6"/>
        <v/>
      </c>
      <c r="M273" s="358" t="str">
        <f t="shared" si="7"/>
        <v/>
      </c>
      <c r="N273" s="358" t="str">
        <f t="shared" si="8"/>
        <v/>
      </c>
      <c r="O273" s="358" t="str">
        <f t="shared" si="9"/>
        <v/>
      </c>
    </row>
    <row r="274">
      <c r="A274" s="20">
        <v>43991.0</v>
      </c>
      <c r="B274" s="359"/>
      <c r="C274" s="359"/>
      <c r="D274" s="359"/>
      <c r="E274" s="359"/>
      <c r="J274" s="358" t="str">
        <f t="shared" si="4"/>
        <v/>
      </c>
      <c r="K274" s="358" t="str">
        <f t="shared" si="5"/>
        <v/>
      </c>
      <c r="L274" s="358" t="str">
        <f t="shared" si="6"/>
        <v/>
      </c>
      <c r="M274" s="358" t="str">
        <f t="shared" si="7"/>
        <v/>
      </c>
      <c r="N274" s="358" t="str">
        <f t="shared" si="8"/>
        <v/>
      </c>
      <c r="O274" s="358" t="str">
        <f t="shared" si="9"/>
        <v/>
      </c>
    </row>
    <row r="275">
      <c r="A275" s="20">
        <v>43992.0</v>
      </c>
      <c r="B275" s="359"/>
      <c r="C275" s="359"/>
      <c r="D275" s="359"/>
      <c r="E275" s="359"/>
      <c r="J275" s="358" t="str">
        <f t="shared" si="4"/>
        <v/>
      </c>
      <c r="K275" s="358" t="str">
        <f t="shared" si="5"/>
        <v/>
      </c>
      <c r="L275" s="358" t="str">
        <f t="shared" si="6"/>
        <v/>
      </c>
      <c r="M275" s="358" t="str">
        <f t="shared" si="7"/>
        <v/>
      </c>
      <c r="N275" s="358" t="str">
        <f t="shared" si="8"/>
        <v/>
      </c>
      <c r="O275" s="358" t="str">
        <f t="shared" si="9"/>
        <v/>
      </c>
    </row>
    <row r="276">
      <c r="A276" s="20">
        <v>43993.0</v>
      </c>
      <c r="B276" s="359"/>
      <c r="C276" s="359"/>
      <c r="D276" s="359"/>
      <c r="E276" s="359"/>
      <c r="J276" s="358" t="str">
        <f t="shared" si="4"/>
        <v/>
      </c>
      <c r="K276" s="358" t="str">
        <f t="shared" si="5"/>
        <v/>
      </c>
      <c r="L276" s="358" t="str">
        <f t="shared" si="6"/>
        <v/>
      </c>
      <c r="M276" s="358" t="str">
        <f t="shared" si="7"/>
        <v/>
      </c>
      <c r="N276" s="358" t="str">
        <f t="shared" si="8"/>
        <v/>
      </c>
      <c r="O276" s="358" t="str">
        <f t="shared" si="9"/>
        <v/>
      </c>
    </row>
    <row r="277">
      <c r="A277" s="20">
        <v>43994.0</v>
      </c>
      <c r="B277" s="359"/>
      <c r="C277" s="359"/>
      <c r="D277" s="359"/>
      <c r="E277" s="359"/>
      <c r="J277" s="358" t="str">
        <f t="shared" si="4"/>
        <v/>
      </c>
      <c r="K277" s="358" t="str">
        <f t="shared" si="5"/>
        <v/>
      </c>
      <c r="L277" s="358" t="str">
        <f t="shared" si="6"/>
        <v/>
      </c>
      <c r="M277" s="358" t="str">
        <f t="shared" si="7"/>
        <v/>
      </c>
      <c r="N277" s="358" t="str">
        <f t="shared" si="8"/>
        <v/>
      </c>
      <c r="O277" s="358" t="str">
        <f t="shared" si="9"/>
        <v/>
      </c>
    </row>
    <row r="278">
      <c r="A278" s="20">
        <v>43995.0</v>
      </c>
      <c r="B278" s="359"/>
      <c r="C278" s="359"/>
      <c r="D278" s="359"/>
      <c r="E278" s="359"/>
      <c r="J278" s="358" t="str">
        <f t="shared" si="4"/>
        <v/>
      </c>
      <c r="K278" s="358" t="str">
        <f t="shared" si="5"/>
        <v/>
      </c>
      <c r="L278" s="358" t="str">
        <f t="shared" si="6"/>
        <v/>
      </c>
      <c r="M278" s="358" t="str">
        <f t="shared" si="7"/>
        <v/>
      </c>
      <c r="N278" s="358" t="str">
        <f t="shared" si="8"/>
        <v/>
      </c>
      <c r="O278" s="358" t="str">
        <f t="shared" si="9"/>
        <v/>
      </c>
    </row>
    <row r="279">
      <c r="A279" s="20">
        <v>43996.0</v>
      </c>
      <c r="B279" s="359"/>
      <c r="C279" s="359"/>
      <c r="D279" s="359"/>
      <c r="E279" s="359"/>
      <c r="J279" s="358" t="str">
        <f t="shared" si="4"/>
        <v/>
      </c>
      <c r="K279" s="358" t="str">
        <f t="shared" si="5"/>
        <v/>
      </c>
      <c r="L279" s="358" t="str">
        <f t="shared" si="6"/>
        <v/>
      </c>
      <c r="M279" s="358" t="str">
        <f t="shared" si="7"/>
        <v/>
      </c>
      <c r="N279" s="358" t="str">
        <f t="shared" si="8"/>
        <v/>
      </c>
      <c r="O279" s="358" t="str">
        <f t="shared" si="9"/>
        <v/>
      </c>
    </row>
    <row r="280">
      <c r="A280" s="20">
        <v>43997.0</v>
      </c>
      <c r="B280" s="359"/>
      <c r="C280" s="359"/>
      <c r="D280" s="359"/>
      <c r="E280" s="359"/>
      <c r="J280" s="358" t="str">
        <f t="shared" si="4"/>
        <v/>
      </c>
      <c r="K280" s="358" t="str">
        <f t="shared" si="5"/>
        <v/>
      </c>
      <c r="L280" s="358" t="str">
        <f t="shared" si="6"/>
        <v/>
      </c>
      <c r="M280" s="358" t="str">
        <f t="shared" si="7"/>
        <v/>
      </c>
      <c r="N280" s="358" t="str">
        <f t="shared" si="8"/>
        <v/>
      </c>
      <c r="O280" s="358" t="str">
        <f t="shared" si="9"/>
        <v/>
      </c>
    </row>
    <row r="281">
      <c r="A281" s="20">
        <v>43998.0</v>
      </c>
      <c r="B281" s="359"/>
      <c r="C281" s="359"/>
      <c r="D281" s="359"/>
      <c r="E281" s="359"/>
      <c r="J281" s="358" t="str">
        <f t="shared" si="4"/>
        <v/>
      </c>
      <c r="K281" s="358" t="str">
        <f t="shared" si="5"/>
        <v/>
      </c>
      <c r="L281" s="358" t="str">
        <f t="shared" si="6"/>
        <v/>
      </c>
      <c r="M281" s="358" t="str">
        <f t="shared" si="7"/>
        <v/>
      </c>
      <c r="N281" s="358" t="str">
        <f t="shared" si="8"/>
        <v/>
      </c>
      <c r="O281" s="358" t="str">
        <f t="shared" si="9"/>
        <v/>
      </c>
    </row>
    <row r="282">
      <c r="A282" s="20">
        <v>43999.0</v>
      </c>
      <c r="B282" s="359"/>
      <c r="C282" s="359"/>
      <c r="D282" s="359"/>
      <c r="E282" s="359"/>
      <c r="J282" s="358" t="str">
        <f t="shared" si="4"/>
        <v/>
      </c>
      <c r="K282" s="358" t="str">
        <f t="shared" si="5"/>
        <v/>
      </c>
      <c r="L282" s="358" t="str">
        <f t="shared" si="6"/>
        <v/>
      </c>
      <c r="M282" s="358" t="str">
        <f t="shared" si="7"/>
        <v/>
      </c>
      <c r="N282" s="358" t="str">
        <f t="shared" si="8"/>
        <v/>
      </c>
      <c r="O282" s="358" t="str">
        <f t="shared" si="9"/>
        <v/>
      </c>
    </row>
    <row r="283">
      <c r="A283" s="20">
        <v>44000.0</v>
      </c>
      <c r="B283" s="359"/>
      <c r="C283" s="359"/>
      <c r="D283" s="359"/>
      <c r="E283" s="359"/>
      <c r="J283" s="358" t="str">
        <f t="shared" si="4"/>
        <v/>
      </c>
      <c r="K283" s="358" t="str">
        <f t="shared" si="5"/>
        <v/>
      </c>
      <c r="L283" s="358" t="str">
        <f t="shared" si="6"/>
        <v/>
      </c>
      <c r="M283" s="358" t="str">
        <f t="shared" si="7"/>
        <v/>
      </c>
      <c r="N283" s="358" t="str">
        <f t="shared" si="8"/>
        <v/>
      </c>
      <c r="O283" s="358" t="str">
        <f t="shared" si="9"/>
        <v/>
      </c>
    </row>
    <row r="284">
      <c r="A284" s="20">
        <v>44001.0</v>
      </c>
      <c r="B284" s="359"/>
      <c r="C284" s="359"/>
      <c r="D284" s="359"/>
      <c r="E284" s="359"/>
      <c r="J284" s="358" t="str">
        <f t="shared" si="4"/>
        <v/>
      </c>
      <c r="K284" s="358" t="str">
        <f t="shared" si="5"/>
        <v/>
      </c>
      <c r="L284" s="358" t="str">
        <f t="shared" si="6"/>
        <v/>
      </c>
      <c r="M284" s="358" t="str">
        <f t="shared" si="7"/>
        <v/>
      </c>
      <c r="N284" s="358" t="str">
        <f t="shared" si="8"/>
        <v/>
      </c>
      <c r="O284" s="358" t="str">
        <f t="shared" si="9"/>
        <v/>
      </c>
    </row>
    <row r="285">
      <c r="A285" s="20">
        <v>44002.0</v>
      </c>
      <c r="B285" s="359"/>
      <c r="C285" s="359"/>
      <c r="D285" s="359"/>
      <c r="E285" s="359"/>
      <c r="J285" s="358" t="str">
        <f t="shared" si="4"/>
        <v/>
      </c>
      <c r="K285" s="358" t="str">
        <f t="shared" si="5"/>
        <v/>
      </c>
      <c r="L285" s="358" t="str">
        <f t="shared" si="6"/>
        <v/>
      </c>
      <c r="M285" s="358" t="str">
        <f t="shared" si="7"/>
        <v/>
      </c>
      <c r="N285" s="358" t="str">
        <f t="shared" si="8"/>
        <v/>
      </c>
      <c r="O285" s="358" t="str">
        <f t="shared" si="9"/>
        <v/>
      </c>
    </row>
    <row r="286">
      <c r="A286" s="20">
        <v>44003.0</v>
      </c>
      <c r="B286" s="359"/>
      <c r="C286" s="359"/>
      <c r="D286" s="359"/>
      <c r="E286" s="359"/>
      <c r="J286" s="358" t="str">
        <f t="shared" si="4"/>
        <v/>
      </c>
      <c r="K286" s="358" t="str">
        <f t="shared" si="5"/>
        <v/>
      </c>
      <c r="L286" s="358" t="str">
        <f t="shared" si="6"/>
        <v/>
      </c>
      <c r="M286" s="358" t="str">
        <f t="shared" si="7"/>
        <v/>
      </c>
      <c r="N286" s="358" t="str">
        <f t="shared" si="8"/>
        <v/>
      </c>
      <c r="O286" s="358" t="str">
        <f t="shared" si="9"/>
        <v/>
      </c>
    </row>
    <row r="287">
      <c r="A287" s="20">
        <v>44004.0</v>
      </c>
      <c r="B287" s="359"/>
      <c r="C287" s="359"/>
      <c r="D287" s="359"/>
      <c r="E287" s="359"/>
      <c r="J287" s="358" t="str">
        <f t="shared" si="4"/>
        <v/>
      </c>
      <c r="K287" s="358" t="str">
        <f t="shared" si="5"/>
        <v/>
      </c>
      <c r="L287" s="358" t="str">
        <f t="shared" si="6"/>
        <v/>
      </c>
      <c r="M287" s="358" t="str">
        <f t="shared" si="7"/>
        <v/>
      </c>
      <c r="N287" s="358" t="str">
        <f t="shared" si="8"/>
        <v/>
      </c>
      <c r="O287" s="358" t="str">
        <f t="shared" si="9"/>
        <v/>
      </c>
    </row>
    <row r="288">
      <c r="A288" s="20">
        <v>44005.0</v>
      </c>
      <c r="B288" s="359"/>
      <c r="C288" s="359"/>
      <c r="D288" s="359"/>
      <c r="E288" s="359"/>
      <c r="J288" s="358" t="str">
        <f t="shared" si="4"/>
        <v/>
      </c>
      <c r="K288" s="358" t="str">
        <f t="shared" si="5"/>
        <v/>
      </c>
      <c r="L288" s="358" t="str">
        <f t="shared" si="6"/>
        <v/>
      </c>
      <c r="M288" s="358" t="str">
        <f t="shared" si="7"/>
        <v/>
      </c>
      <c r="N288" s="358" t="str">
        <f t="shared" si="8"/>
        <v/>
      </c>
      <c r="O288" s="358" t="str">
        <f t="shared" si="9"/>
        <v/>
      </c>
    </row>
    <row r="289">
      <c r="A289" s="20">
        <v>44006.0</v>
      </c>
      <c r="B289" s="359"/>
      <c r="C289" s="359"/>
      <c r="D289" s="359"/>
      <c r="E289" s="359"/>
      <c r="J289" s="358" t="str">
        <f t="shared" si="4"/>
        <v/>
      </c>
      <c r="K289" s="358" t="str">
        <f t="shared" si="5"/>
        <v/>
      </c>
      <c r="L289" s="358" t="str">
        <f t="shared" si="6"/>
        <v/>
      </c>
      <c r="M289" s="358" t="str">
        <f t="shared" si="7"/>
        <v/>
      </c>
      <c r="N289" s="358" t="str">
        <f t="shared" si="8"/>
        <v/>
      </c>
      <c r="O289" s="358" t="str">
        <f t="shared" si="9"/>
        <v/>
      </c>
    </row>
    <row r="290">
      <c r="A290" s="20">
        <v>44007.0</v>
      </c>
      <c r="B290" s="359"/>
      <c r="C290" s="359"/>
      <c r="D290" s="359"/>
      <c r="E290" s="359"/>
      <c r="J290" s="358" t="str">
        <f t="shared" si="4"/>
        <v/>
      </c>
      <c r="K290" s="358" t="str">
        <f t="shared" si="5"/>
        <v/>
      </c>
      <c r="L290" s="358" t="str">
        <f t="shared" si="6"/>
        <v/>
      </c>
      <c r="M290" s="358" t="str">
        <f t="shared" si="7"/>
        <v/>
      </c>
      <c r="N290" s="358" t="str">
        <f t="shared" si="8"/>
        <v/>
      </c>
      <c r="O290" s="358" t="str">
        <f t="shared" si="9"/>
        <v/>
      </c>
    </row>
    <row r="291">
      <c r="A291" s="20">
        <v>44008.0</v>
      </c>
      <c r="B291" s="359"/>
      <c r="C291" s="359"/>
      <c r="D291" s="359"/>
      <c r="E291" s="359"/>
      <c r="J291" s="358" t="str">
        <f t="shared" si="4"/>
        <v/>
      </c>
      <c r="K291" s="358" t="str">
        <f t="shared" si="5"/>
        <v/>
      </c>
      <c r="L291" s="358" t="str">
        <f t="shared" si="6"/>
        <v/>
      </c>
      <c r="M291" s="358" t="str">
        <f t="shared" si="7"/>
        <v/>
      </c>
      <c r="N291" s="358" t="str">
        <f t="shared" si="8"/>
        <v/>
      </c>
      <c r="O291" s="358" t="str">
        <f t="shared" si="9"/>
        <v/>
      </c>
    </row>
    <row r="292">
      <c r="A292" s="20">
        <v>44009.0</v>
      </c>
      <c r="B292" s="359"/>
      <c r="C292" s="359"/>
      <c r="D292" s="359"/>
      <c r="E292" s="359"/>
      <c r="J292" s="358" t="str">
        <f t="shared" si="4"/>
        <v/>
      </c>
      <c r="K292" s="358" t="str">
        <f t="shared" si="5"/>
        <v/>
      </c>
      <c r="L292" s="358" t="str">
        <f t="shared" si="6"/>
        <v/>
      </c>
      <c r="M292" s="358" t="str">
        <f t="shared" si="7"/>
        <v/>
      </c>
      <c r="N292" s="358" t="str">
        <f t="shared" si="8"/>
        <v/>
      </c>
      <c r="O292" s="358" t="str">
        <f t="shared" si="9"/>
        <v/>
      </c>
    </row>
    <row r="293">
      <c r="A293" s="20">
        <v>44010.0</v>
      </c>
      <c r="B293" s="359"/>
      <c r="C293" s="359"/>
      <c r="D293" s="359"/>
      <c r="E293" s="359"/>
      <c r="J293" s="358" t="str">
        <f t="shared" si="4"/>
        <v/>
      </c>
      <c r="K293" s="358" t="str">
        <f t="shared" si="5"/>
        <v/>
      </c>
      <c r="L293" s="358" t="str">
        <f t="shared" si="6"/>
        <v/>
      </c>
      <c r="M293" s="358" t="str">
        <f t="shared" si="7"/>
        <v/>
      </c>
      <c r="N293" s="358" t="str">
        <f t="shared" si="8"/>
        <v/>
      </c>
      <c r="O293" s="358" t="str">
        <f t="shared" si="9"/>
        <v/>
      </c>
    </row>
    <row r="294">
      <c r="A294" s="20">
        <v>44011.0</v>
      </c>
      <c r="B294" s="359"/>
      <c r="C294" s="359"/>
      <c r="D294" s="359"/>
      <c r="E294" s="359"/>
      <c r="J294" s="358" t="str">
        <f t="shared" si="4"/>
        <v/>
      </c>
      <c r="K294" s="358" t="str">
        <f t="shared" si="5"/>
        <v/>
      </c>
      <c r="L294" s="358" t="str">
        <f t="shared" si="6"/>
        <v/>
      </c>
      <c r="M294" s="358" t="str">
        <f t="shared" si="7"/>
        <v/>
      </c>
      <c r="N294" s="358" t="str">
        <f t="shared" si="8"/>
        <v/>
      </c>
      <c r="O294" s="358" t="str">
        <f t="shared" si="9"/>
        <v/>
      </c>
    </row>
    <row r="295">
      <c r="A295" s="20">
        <v>44012.0</v>
      </c>
      <c r="B295" s="359"/>
      <c r="C295" s="359"/>
      <c r="D295" s="359"/>
      <c r="E295" s="359"/>
      <c r="J295" s="358" t="str">
        <f t="shared" si="4"/>
        <v/>
      </c>
      <c r="K295" s="358" t="str">
        <f t="shared" si="5"/>
        <v/>
      </c>
      <c r="L295" s="358" t="str">
        <f t="shared" si="6"/>
        <v/>
      </c>
      <c r="M295" s="358" t="str">
        <f t="shared" si="7"/>
        <v/>
      </c>
      <c r="N295" s="358" t="str">
        <f t="shared" si="8"/>
        <v/>
      </c>
      <c r="O295" s="358" t="str">
        <f t="shared" si="9"/>
        <v/>
      </c>
    </row>
    <row r="296">
      <c r="A296" s="20">
        <v>44013.0</v>
      </c>
      <c r="B296" s="359"/>
      <c r="C296" s="359"/>
      <c r="D296" s="359"/>
      <c r="E296" s="359"/>
      <c r="J296" s="358" t="str">
        <f t="shared" si="4"/>
        <v/>
      </c>
      <c r="K296" s="358" t="str">
        <f t="shared" si="5"/>
        <v/>
      </c>
      <c r="L296" s="358" t="str">
        <f t="shared" si="6"/>
        <v/>
      </c>
      <c r="M296" s="358" t="str">
        <f t="shared" si="7"/>
        <v/>
      </c>
      <c r="N296" s="358" t="str">
        <f t="shared" si="8"/>
        <v/>
      </c>
      <c r="O296" s="358" t="str">
        <f t="shared" si="9"/>
        <v/>
      </c>
    </row>
    <row r="297">
      <c r="A297" s="20">
        <v>44014.0</v>
      </c>
      <c r="B297" s="359"/>
      <c r="C297" s="359"/>
      <c r="D297" s="359"/>
      <c r="E297" s="359"/>
      <c r="J297" s="358" t="str">
        <f t="shared" si="4"/>
        <v/>
      </c>
      <c r="K297" s="358" t="str">
        <f t="shared" si="5"/>
        <v/>
      </c>
      <c r="L297" s="358" t="str">
        <f t="shared" si="6"/>
        <v/>
      </c>
      <c r="M297" s="358" t="str">
        <f t="shared" si="7"/>
        <v/>
      </c>
      <c r="N297" s="358" t="str">
        <f t="shared" si="8"/>
        <v/>
      </c>
      <c r="O297" s="358" t="str">
        <f t="shared" si="9"/>
        <v/>
      </c>
    </row>
    <row r="298">
      <c r="A298" s="20">
        <v>44015.0</v>
      </c>
      <c r="B298" s="359"/>
      <c r="C298" s="359"/>
      <c r="D298" s="359"/>
      <c r="E298" s="359"/>
      <c r="J298" s="358" t="str">
        <f t="shared" si="4"/>
        <v/>
      </c>
      <c r="K298" s="358" t="str">
        <f t="shared" si="5"/>
        <v/>
      </c>
      <c r="L298" s="358" t="str">
        <f t="shared" si="6"/>
        <v/>
      </c>
      <c r="M298" s="358" t="str">
        <f t="shared" si="7"/>
        <v/>
      </c>
      <c r="N298" s="358" t="str">
        <f t="shared" si="8"/>
        <v/>
      </c>
      <c r="O298" s="358" t="str">
        <f t="shared" si="9"/>
        <v/>
      </c>
    </row>
    <row r="299">
      <c r="A299" s="20">
        <v>44016.0</v>
      </c>
      <c r="B299" s="359"/>
      <c r="C299" s="359"/>
      <c r="D299" s="359"/>
      <c r="E299" s="359"/>
      <c r="J299" s="358" t="str">
        <f t="shared" si="4"/>
        <v/>
      </c>
      <c r="K299" s="358" t="str">
        <f t="shared" si="5"/>
        <v/>
      </c>
      <c r="L299" s="358" t="str">
        <f t="shared" si="6"/>
        <v/>
      </c>
      <c r="M299" s="358" t="str">
        <f t="shared" si="7"/>
        <v/>
      </c>
      <c r="N299" s="358" t="str">
        <f t="shared" si="8"/>
        <v/>
      </c>
      <c r="O299" s="358" t="str">
        <f t="shared" si="9"/>
        <v/>
      </c>
    </row>
    <row r="300">
      <c r="A300" s="20">
        <v>44017.0</v>
      </c>
      <c r="B300" s="359"/>
      <c r="C300" s="359"/>
      <c r="D300" s="359"/>
      <c r="E300" s="359"/>
      <c r="J300" s="358" t="str">
        <f t="shared" si="4"/>
        <v/>
      </c>
      <c r="K300" s="358" t="str">
        <f t="shared" si="5"/>
        <v/>
      </c>
      <c r="L300" s="358" t="str">
        <f t="shared" si="6"/>
        <v/>
      </c>
      <c r="M300" s="358" t="str">
        <f t="shared" si="7"/>
        <v/>
      </c>
      <c r="N300" s="358" t="str">
        <f t="shared" si="8"/>
        <v/>
      </c>
      <c r="O300" s="358" t="str">
        <f t="shared" si="9"/>
        <v/>
      </c>
    </row>
    <row r="301">
      <c r="A301" s="20">
        <v>44018.0</v>
      </c>
      <c r="B301" s="359"/>
      <c r="C301" s="359"/>
      <c r="D301" s="359"/>
      <c r="E301" s="359"/>
      <c r="J301" s="358" t="str">
        <f t="shared" si="4"/>
        <v/>
      </c>
      <c r="K301" s="358" t="str">
        <f t="shared" si="5"/>
        <v/>
      </c>
      <c r="L301" s="358" t="str">
        <f t="shared" si="6"/>
        <v/>
      </c>
      <c r="M301" s="358" t="str">
        <f t="shared" si="7"/>
        <v/>
      </c>
      <c r="N301" s="358" t="str">
        <f t="shared" si="8"/>
        <v/>
      </c>
      <c r="O301" s="358" t="str">
        <f t="shared" si="9"/>
        <v/>
      </c>
    </row>
    <row r="302">
      <c r="A302" s="20">
        <v>44019.0</v>
      </c>
      <c r="B302" s="359"/>
      <c r="C302" s="359"/>
      <c r="D302" s="359"/>
      <c r="E302" s="359"/>
      <c r="J302" s="358" t="str">
        <f t="shared" si="4"/>
        <v/>
      </c>
      <c r="K302" s="358" t="str">
        <f t="shared" si="5"/>
        <v/>
      </c>
      <c r="L302" s="358" t="str">
        <f t="shared" si="6"/>
        <v/>
      </c>
      <c r="M302" s="358" t="str">
        <f t="shared" si="7"/>
        <v/>
      </c>
      <c r="N302" s="358" t="str">
        <f t="shared" si="8"/>
        <v/>
      </c>
      <c r="O302" s="358" t="str">
        <f t="shared" si="9"/>
        <v/>
      </c>
    </row>
    <row r="303">
      <c r="A303" s="20">
        <v>44020.0</v>
      </c>
      <c r="B303" s="359"/>
      <c r="C303" s="359"/>
      <c r="D303" s="359"/>
      <c r="E303" s="359"/>
      <c r="J303" s="358" t="str">
        <f t="shared" si="4"/>
        <v/>
      </c>
      <c r="K303" s="358" t="str">
        <f t="shared" si="5"/>
        <v/>
      </c>
      <c r="L303" s="358" t="str">
        <f t="shared" si="6"/>
        <v/>
      </c>
      <c r="M303" s="358" t="str">
        <f t="shared" si="7"/>
        <v/>
      </c>
      <c r="N303" s="358" t="str">
        <f t="shared" si="8"/>
        <v/>
      </c>
      <c r="O303" s="358" t="str">
        <f t="shared" si="9"/>
        <v/>
      </c>
    </row>
    <row r="304">
      <c r="A304" s="20">
        <v>44021.0</v>
      </c>
      <c r="B304" s="359"/>
      <c r="C304" s="359"/>
      <c r="D304" s="359"/>
      <c r="E304" s="359"/>
      <c r="J304" s="358" t="str">
        <f t="shared" si="4"/>
        <v/>
      </c>
      <c r="K304" s="358" t="str">
        <f t="shared" si="5"/>
        <v/>
      </c>
      <c r="L304" s="358" t="str">
        <f t="shared" si="6"/>
        <v/>
      </c>
      <c r="M304" s="358" t="str">
        <f t="shared" si="7"/>
        <v/>
      </c>
      <c r="N304" s="358" t="str">
        <f t="shared" si="8"/>
        <v/>
      </c>
      <c r="O304" s="358" t="str">
        <f t="shared" si="9"/>
        <v/>
      </c>
    </row>
    <row r="305">
      <c r="A305" s="20">
        <v>44022.0</v>
      </c>
      <c r="B305" s="359"/>
      <c r="C305" s="359"/>
      <c r="D305" s="359"/>
      <c r="E305" s="359"/>
      <c r="J305" s="358" t="str">
        <f t="shared" si="4"/>
        <v/>
      </c>
      <c r="K305" s="358" t="str">
        <f t="shared" si="5"/>
        <v/>
      </c>
      <c r="L305" s="358" t="str">
        <f t="shared" si="6"/>
        <v/>
      </c>
      <c r="M305" s="358" t="str">
        <f t="shared" si="7"/>
        <v/>
      </c>
      <c r="N305" s="358" t="str">
        <f t="shared" si="8"/>
        <v/>
      </c>
      <c r="O305" s="358" t="str">
        <f t="shared" si="9"/>
        <v/>
      </c>
    </row>
    <row r="306">
      <c r="A306" s="20">
        <v>44023.0</v>
      </c>
      <c r="B306" s="359"/>
      <c r="C306" s="359"/>
      <c r="D306" s="359"/>
      <c r="E306" s="359"/>
      <c r="J306" s="358" t="str">
        <f t="shared" si="4"/>
        <v/>
      </c>
      <c r="K306" s="358" t="str">
        <f t="shared" si="5"/>
        <v/>
      </c>
      <c r="L306" s="358" t="str">
        <f t="shared" si="6"/>
        <v/>
      </c>
      <c r="M306" s="358" t="str">
        <f t="shared" si="7"/>
        <v/>
      </c>
      <c r="N306" s="358" t="str">
        <f t="shared" si="8"/>
        <v/>
      </c>
      <c r="O306" s="358" t="str">
        <f t="shared" si="9"/>
        <v/>
      </c>
    </row>
    <row r="307">
      <c r="A307" s="20">
        <v>44024.0</v>
      </c>
      <c r="B307" s="359"/>
      <c r="C307" s="359"/>
      <c r="D307" s="359"/>
      <c r="E307" s="359"/>
      <c r="J307" s="358" t="str">
        <f t="shared" si="4"/>
        <v/>
      </c>
      <c r="K307" s="358" t="str">
        <f t="shared" si="5"/>
        <v/>
      </c>
      <c r="L307" s="358" t="str">
        <f t="shared" si="6"/>
        <v/>
      </c>
      <c r="M307" s="358" t="str">
        <f t="shared" si="7"/>
        <v/>
      </c>
      <c r="N307" s="358" t="str">
        <f t="shared" si="8"/>
        <v/>
      </c>
      <c r="O307" s="358" t="str">
        <f t="shared" si="9"/>
        <v/>
      </c>
    </row>
    <row r="308">
      <c r="A308" s="20">
        <v>44025.0</v>
      </c>
      <c r="B308" s="359"/>
      <c r="C308" s="359"/>
      <c r="D308" s="359"/>
      <c r="E308" s="359"/>
      <c r="J308" s="358" t="str">
        <f t="shared" si="4"/>
        <v/>
      </c>
      <c r="K308" s="358" t="str">
        <f t="shared" si="5"/>
        <v/>
      </c>
      <c r="L308" s="358" t="str">
        <f t="shared" si="6"/>
        <v/>
      </c>
      <c r="M308" s="358" t="str">
        <f t="shared" si="7"/>
        <v/>
      </c>
      <c r="N308" s="358" t="str">
        <f t="shared" si="8"/>
        <v/>
      </c>
      <c r="O308" s="358" t="str">
        <f t="shared" si="9"/>
        <v/>
      </c>
    </row>
    <row r="309">
      <c r="A309" s="20">
        <v>44026.0</v>
      </c>
      <c r="B309" s="359"/>
      <c r="C309" s="359"/>
      <c r="D309" s="359"/>
      <c r="E309" s="359"/>
      <c r="J309" s="358" t="str">
        <f t="shared" si="4"/>
        <v/>
      </c>
      <c r="K309" s="358" t="str">
        <f t="shared" si="5"/>
        <v/>
      </c>
      <c r="L309" s="358" t="str">
        <f t="shared" si="6"/>
        <v/>
      </c>
      <c r="M309" s="358" t="str">
        <f t="shared" si="7"/>
        <v/>
      </c>
      <c r="N309" s="358" t="str">
        <f t="shared" si="8"/>
        <v/>
      </c>
      <c r="O309" s="358" t="str">
        <f t="shared" si="9"/>
        <v/>
      </c>
    </row>
    <row r="310">
      <c r="A310" s="20">
        <v>44027.0</v>
      </c>
      <c r="B310" s="359"/>
      <c r="C310" s="359"/>
      <c r="D310" s="359"/>
      <c r="E310" s="359"/>
      <c r="J310" s="358" t="str">
        <f t="shared" si="4"/>
        <v/>
      </c>
      <c r="K310" s="358" t="str">
        <f t="shared" si="5"/>
        <v/>
      </c>
      <c r="L310" s="358" t="str">
        <f t="shared" si="6"/>
        <v/>
      </c>
      <c r="M310" s="358" t="str">
        <f t="shared" si="7"/>
        <v/>
      </c>
      <c r="N310" s="358" t="str">
        <f t="shared" si="8"/>
        <v/>
      </c>
      <c r="O310" s="358" t="str">
        <f t="shared" si="9"/>
        <v/>
      </c>
    </row>
    <row r="311">
      <c r="A311" s="20">
        <v>44028.0</v>
      </c>
      <c r="B311" s="359"/>
      <c r="C311" s="359"/>
      <c r="D311" s="359"/>
      <c r="E311" s="359"/>
      <c r="J311" s="358" t="str">
        <f t="shared" si="4"/>
        <v/>
      </c>
      <c r="K311" s="358" t="str">
        <f t="shared" si="5"/>
        <v/>
      </c>
      <c r="L311" s="358" t="str">
        <f t="shared" si="6"/>
        <v/>
      </c>
      <c r="M311" s="358" t="str">
        <f t="shared" si="7"/>
        <v/>
      </c>
      <c r="N311" s="358" t="str">
        <f t="shared" si="8"/>
        <v/>
      </c>
      <c r="O311" s="358" t="str">
        <f t="shared" si="9"/>
        <v/>
      </c>
    </row>
    <row r="312">
      <c r="A312" s="20">
        <v>44029.0</v>
      </c>
      <c r="B312" s="359"/>
      <c r="C312" s="359"/>
      <c r="D312" s="359"/>
      <c r="E312" s="359"/>
      <c r="J312" s="358" t="str">
        <f t="shared" si="4"/>
        <v/>
      </c>
      <c r="K312" s="358" t="str">
        <f t="shared" si="5"/>
        <v/>
      </c>
      <c r="L312" s="358" t="str">
        <f t="shared" si="6"/>
        <v/>
      </c>
      <c r="M312" s="358" t="str">
        <f t="shared" si="7"/>
        <v/>
      </c>
      <c r="N312" s="358" t="str">
        <f t="shared" si="8"/>
        <v/>
      </c>
      <c r="O312" s="358" t="str">
        <f t="shared" si="9"/>
        <v/>
      </c>
    </row>
    <row r="313">
      <c r="A313" s="20">
        <v>44030.0</v>
      </c>
      <c r="B313" s="359"/>
      <c r="C313" s="359"/>
      <c r="D313" s="359"/>
      <c r="E313" s="359"/>
      <c r="J313" s="358" t="str">
        <f t="shared" si="4"/>
        <v/>
      </c>
      <c r="K313" s="358" t="str">
        <f t="shared" si="5"/>
        <v/>
      </c>
      <c r="L313" s="358" t="str">
        <f t="shared" si="6"/>
        <v/>
      </c>
      <c r="M313" s="358" t="str">
        <f t="shared" si="7"/>
        <v/>
      </c>
      <c r="N313" s="358" t="str">
        <f t="shared" si="8"/>
        <v/>
      </c>
      <c r="O313" s="358" t="str">
        <f t="shared" si="9"/>
        <v/>
      </c>
    </row>
    <row r="314">
      <c r="A314" s="20">
        <v>44031.0</v>
      </c>
      <c r="B314" s="359"/>
      <c r="C314" s="359"/>
      <c r="D314" s="359"/>
      <c r="E314" s="359"/>
      <c r="J314" s="358" t="str">
        <f t="shared" si="4"/>
        <v/>
      </c>
      <c r="K314" s="358" t="str">
        <f t="shared" si="5"/>
        <v/>
      </c>
      <c r="L314" s="358" t="str">
        <f t="shared" si="6"/>
        <v/>
      </c>
      <c r="M314" s="358" t="str">
        <f t="shared" si="7"/>
        <v/>
      </c>
      <c r="N314" s="358" t="str">
        <f t="shared" si="8"/>
        <v/>
      </c>
      <c r="O314" s="358" t="str">
        <f t="shared" si="9"/>
        <v/>
      </c>
    </row>
    <row r="315">
      <c r="A315" s="20">
        <v>44032.0</v>
      </c>
      <c r="B315" s="359"/>
      <c r="C315" s="359"/>
      <c r="D315" s="359"/>
      <c r="E315" s="359"/>
      <c r="J315" s="358" t="str">
        <f t="shared" si="4"/>
        <v/>
      </c>
      <c r="K315" s="358" t="str">
        <f t="shared" si="5"/>
        <v/>
      </c>
      <c r="L315" s="358" t="str">
        <f t="shared" si="6"/>
        <v/>
      </c>
      <c r="M315" s="358" t="str">
        <f t="shared" si="7"/>
        <v/>
      </c>
      <c r="N315" s="358" t="str">
        <f t="shared" si="8"/>
        <v/>
      </c>
      <c r="O315" s="358" t="str">
        <f t="shared" si="9"/>
        <v/>
      </c>
    </row>
    <row r="316">
      <c r="A316" s="20">
        <v>44033.0</v>
      </c>
      <c r="B316" s="359"/>
      <c r="C316" s="359"/>
      <c r="D316" s="359"/>
      <c r="E316" s="359"/>
      <c r="J316" s="358" t="str">
        <f t="shared" si="4"/>
        <v/>
      </c>
      <c r="K316" s="358" t="str">
        <f t="shared" si="5"/>
        <v/>
      </c>
      <c r="L316" s="358" t="str">
        <f t="shared" si="6"/>
        <v/>
      </c>
      <c r="M316" s="358" t="str">
        <f t="shared" si="7"/>
        <v/>
      </c>
      <c r="N316" s="358" t="str">
        <f t="shared" si="8"/>
        <v/>
      </c>
      <c r="O316" s="358" t="str">
        <f t="shared" si="9"/>
        <v/>
      </c>
    </row>
    <row r="317">
      <c r="A317" s="20">
        <v>44034.0</v>
      </c>
      <c r="B317" s="359"/>
      <c r="C317" s="359"/>
      <c r="D317" s="359"/>
      <c r="E317" s="359"/>
      <c r="J317" s="358" t="str">
        <f t="shared" si="4"/>
        <v/>
      </c>
      <c r="K317" s="358" t="str">
        <f t="shared" si="5"/>
        <v/>
      </c>
      <c r="L317" s="358" t="str">
        <f t="shared" si="6"/>
        <v/>
      </c>
      <c r="M317" s="358" t="str">
        <f t="shared" si="7"/>
        <v/>
      </c>
      <c r="N317" s="358" t="str">
        <f t="shared" si="8"/>
        <v/>
      </c>
      <c r="O317" s="358" t="str">
        <f t="shared" si="9"/>
        <v/>
      </c>
    </row>
    <row r="318">
      <c r="A318" s="20">
        <v>44035.0</v>
      </c>
      <c r="B318" s="359"/>
      <c r="C318" s="359"/>
      <c r="D318" s="359"/>
      <c r="E318" s="359"/>
      <c r="J318" s="358" t="str">
        <f t="shared" si="4"/>
        <v/>
      </c>
      <c r="K318" s="358" t="str">
        <f t="shared" si="5"/>
        <v/>
      </c>
      <c r="L318" s="358" t="str">
        <f t="shared" si="6"/>
        <v/>
      </c>
      <c r="M318" s="358" t="str">
        <f t="shared" si="7"/>
        <v/>
      </c>
      <c r="N318" s="358" t="str">
        <f t="shared" si="8"/>
        <v/>
      </c>
      <c r="O318" s="358" t="str">
        <f t="shared" si="9"/>
        <v/>
      </c>
    </row>
    <row r="319">
      <c r="A319" s="20">
        <v>44036.0</v>
      </c>
      <c r="B319" s="359"/>
      <c r="C319" s="359"/>
      <c r="D319" s="359"/>
      <c r="E319" s="359"/>
      <c r="J319" s="358" t="str">
        <f t="shared" si="4"/>
        <v/>
      </c>
      <c r="K319" s="358" t="str">
        <f t="shared" si="5"/>
        <v/>
      </c>
      <c r="L319" s="358" t="str">
        <f t="shared" si="6"/>
        <v/>
      </c>
      <c r="M319" s="358" t="str">
        <f t="shared" si="7"/>
        <v/>
      </c>
      <c r="N319" s="358" t="str">
        <f t="shared" si="8"/>
        <v/>
      </c>
      <c r="O319" s="358" t="str">
        <f t="shared" si="9"/>
        <v/>
      </c>
    </row>
    <row r="320">
      <c r="A320" s="20">
        <v>44037.0</v>
      </c>
      <c r="B320" s="359"/>
      <c r="C320" s="359"/>
      <c r="D320" s="359"/>
      <c r="E320" s="359"/>
      <c r="J320" s="358" t="str">
        <f t="shared" si="4"/>
        <v/>
      </c>
      <c r="K320" s="358" t="str">
        <f t="shared" si="5"/>
        <v/>
      </c>
      <c r="L320" s="358" t="str">
        <f t="shared" si="6"/>
        <v/>
      </c>
      <c r="M320" s="358" t="str">
        <f t="shared" si="7"/>
        <v/>
      </c>
      <c r="N320" s="358" t="str">
        <f t="shared" si="8"/>
        <v/>
      </c>
      <c r="O320" s="358" t="str">
        <f t="shared" si="9"/>
        <v/>
      </c>
    </row>
    <row r="321">
      <c r="A321" s="20">
        <v>44038.0</v>
      </c>
      <c r="B321" s="359"/>
      <c r="C321" s="359"/>
      <c r="D321" s="359"/>
      <c r="E321" s="359"/>
      <c r="J321" s="358" t="str">
        <f t="shared" si="4"/>
        <v/>
      </c>
      <c r="K321" s="358" t="str">
        <f t="shared" si="5"/>
        <v/>
      </c>
      <c r="L321" s="358" t="str">
        <f t="shared" si="6"/>
        <v/>
      </c>
      <c r="M321" s="358" t="str">
        <f t="shared" si="7"/>
        <v/>
      </c>
      <c r="N321" s="358" t="str">
        <f t="shared" si="8"/>
        <v/>
      </c>
      <c r="O321" s="358" t="str">
        <f t="shared" si="9"/>
        <v/>
      </c>
    </row>
    <row r="322">
      <c r="A322" s="20">
        <v>44039.0</v>
      </c>
      <c r="B322" s="359"/>
      <c r="C322" s="359"/>
      <c r="D322" s="359"/>
      <c r="E322" s="359"/>
      <c r="J322" s="358" t="str">
        <f t="shared" si="4"/>
        <v/>
      </c>
      <c r="K322" s="358" t="str">
        <f t="shared" si="5"/>
        <v/>
      </c>
      <c r="L322" s="358" t="str">
        <f t="shared" si="6"/>
        <v/>
      </c>
      <c r="M322" s="358" t="str">
        <f t="shared" si="7"/>
        <v/>
      </c>
      <c r="N322" s="358" t="str">
        <f t="shared" si="8"/>
        <v/>
      </c>
      <c r="O322" s="358" t="str">
        <f t="shared" si="9"/>
        <v/>
      </c>
    </row>
    <row r="323">
      <c r="A323" s="20">
        <v>44040.0</v>
      </c>
      <c r="B323" s="359"/>
      <c r="C323" s="359"/>
      <c r="D323" s="359"/>
      <c r="E323" s="359"/>
      <c r="J323" s="358" t="str">
        <f t="shared" si="4"/>
        <v/>
      </c>
      <c r="K323" s="358" t="str">
        <f t="shared" si="5"/>
        <v/>
      </c>
      <c r="L323" s="358" t="str">
        <f t="shared" si="6"/>
        <v/>
      </c>
      <c r="M323" s="358" t="str">
        <f t="shared" si="7"/>
        <v/>
      </c>
      <c r="N323" s="358" t="str">
        <f t="shared" si="8"/>
        <v/>
      </c>
      <c r="O323" s="358" t="str">
        <f t="shared" si="9"/>
        <v/>
      </c>
    </row>
    <row r="324">
      <c r="A324" s="20">
        <v>44041.0</v>
      </c>
      <c r="B324" s="359"/>
      <c r="C324" s="359"/>
      <c r="D324" s="359"/>
      <c r="E324" s="359"/>
      <c r="J324" s="358" t="str">
        <f t="shared" si="4"/>
        <v/>
      </c>
      <c r="K324" s="358" t="str">
        <f t="shared" si="5"/>
        <v/>
      </c>
      <c r="L324" s="358" t="str">
        <f t="shared" si="6"/>
        <v/>
      </c>
      <c r="M324" s="358" t="str">
        <f t="shared" si="7"/>
        <v/>
      </c>
      <c r="N324" s="358" t="str">
        <f t="shared" si="8"/>
        <v/>
      </c>
      <c r="O324" s="358" t="str">
        <f t="shared" si="9"/>
        <v/>
      </c>
    </row>
    <row r="325">
      <c r="A325" s="20">
        <v>44042.0</v>
      </c>
      <c r="B325" s="359"/>
      <c r="C325" s="359"/>
      <c r="D325" s="359"/>
      <c r="E325" s="359"/>
      <c r="J325" s="358" t="str">
        <f t="shared" si="4"/>
        <v/>
      </c>
      <c r="K325" s="358" t="str">
        <f t="shared" si="5"/>
        <v/>
      </c>
      <c r="L325" s="358" t="str">
        <f t="shared" si="6"/>
        <v/>
      </c>
      <c r="M325" s="358" t="str">
        <f t="shared" si="7"/>
        <v/>
      </c>
      <c r="N325" s="358" t="str">
        <f t="shared" si="8"/>
        <v/>
      </c>
      <c r="O325" s="358" t="str">
        <f t="shared" si="9"/>
        <v/>
      </c>
    </row>
    <row r="326">
      <c r="A326" s="20">
        <v>44043.0</v>
      </c>
      <c r="B326" s="359"/>
      <c r="C326" s="359"/>
      <c r="D326" s="359"/>
      <c r="E326" s="359"/>
      <c r="J326" s="358" t="str">
        <f t="shared" si="4"/>
        <v/>
      </c>
      <c r="K326" s="358" t="str">
        <f t="shared" si="5"/>
        <v/>
      </c>
      <c r="L326" s="358" t="str">
        <f t="shared" si="6"/>
        <v/>
      </c>
      <c r="M326" s="358" t="str">
        <f t="shared" si="7"/>
        <v/>
      </c>
      <c r="N326" s="358" t="str">
        <f t="shared" si="8"/>
        <v/>
      </c>
      <c r="O326" s="358" t="str">
        <f t="shared" si="9"/>
        <v/>
      </c>
    </row>
    <row r="327">
      <c r="A327" s="20">
        <v>44044.0</v>
      </c>
      <c r="B327" s="359"/>
      <c r="C327" s="359"/>
      <c r="D327" s="359"/>
      <c r="E327" s="359"/>
      <c r="J327" s="358" t="str">
        <f t="shared" si="4"/>
        <v/>
      </c>
      <c r="K327" s="358" t="str">
        <f t="shared" si="5"/>
        <v/>
      </c>
      <c r="L327" s="358" t="str">
        <f t="shared" si="6"/>
        <v/>
      </c>
      <c r="M327" s="358" t="str">
        <f t="shared" si="7"/>
        <v/>
      </c>
      <c r="N327" s="358" t="str">
        <f t="shared" si="8"/>
        <v/>
      </c>
      <c r="O327" s="358" t="str">
        <f t="shared" si="9"/>
        <v/>
      </c>
    </row>
    <row r="328">
      <c r="A328" s="20">
        <v>44045.0</v>
      </c>
      <c r="B328" s="359"/>
      <c r="C328" s="359"/>
      <c r="D328" s="359"/>
      <c r="E328" s="359"/>
      <c r="J328" s="358" t="str">
        <f t="shared" si="4"/>
        <v/>
      </c>
      <c r="K328" s="358" t="str">
        <f t="shared" si="5"/>
        <v/>
      </c>
      <c r="L328" s="358" t="str">
        <f t="shared" si="6"/>
        <v/>
      </c>
      <c r="M328" s="358" t="str">
        <f t="shared" si="7"/>
        <v/>
      </c>
      <c r="N328" s="358" t="str">
        <f t="shared" si="8"/>
        <v/>
      </c>
      <c r="O328" s="358" t="str">
        <f t="shared" si="9"/>
        <v/>
      </c>
    </row>
    <row r="329">
      <c r="A329" s="20">
        <v>44046.0</v>
      </c>
      <c r="B329" s="359"/>
      <c r="C329" s="359"/>
      <c r="D329" s="359"/>
      <c r="E329" s="359"/>
      <c r="J329" s="358" t="str">
        <f t="shared" si="4"/>
        <v/>
      </c>
      <c r="K329" s="358" t="str">
        <f t="shared" si="5"/>
        <v/>
      </c>
      <c r="L329" s="358" t="str">
        <f t="shared" si="6"/>
        <v/>
      </c>
      <c r="M329" s="358" t="str">
        <f t="shared" si="7"/>
        <v/>
      </c>
      <c r="N329" s="358" t="str">
        <f t="shared" si="8"/>
        <v/>
      </c>
      <c r="O329" s="358" t="str">
        <f t="shared" si="9"/>
        <v/>
      </c>
    </row>
    <row r="330">
      <c r="A330" s="20">
        <v>44047.0</v>
      </c>
      <c r="B330" s="359"/>
      <c r="C330" s="359"/>
      <c r="D330" s="359"/>
      <c r="E330" s="359"/>
      <c r="J330" s="358" t="str">
        <f t="shared" si="4"/>
        <v/>
      </c>
      <c r="K330" s="358" t="str">
        <f t="shared" si="5"/>
        <v/>
      </c>
      <c r="L330" s="358" t="str">
        <f t="shared" si="6"/>
        <v/>
      </c>
      <c r="M330" s="358" t="str">
        <f t="shared" si="7"/>
        <v/>
      </c>
      <c r="N330" s="358" t="str">
        <f t="shared" si="8"/>
        <v/>
      </c>
      <c r="O330" s="358" t="str">
        <f t="shared" si="9"/>
        <v/>
      </c>
    </row>
    <row r="331">
      <c r="A331" s="20">
        <v>44048.0</v>
      </c>
      <c r="B331" s="359"/>
      <c r="C331" s="359"/>
      <c r="D331" s="359"/>
      <c r="E331" s="359"/>
      <c r="J331" s="358" t="str">
        <f t="shared" si="4"/>
        <v/>
      </c>
      <c r="K331" s="358" t="str">
        <f t="shared" si="5"/>
        <v/>
      </c>
      <c r="L331" s="358" t="str">
        <f t="shared" si="6"/>
        <v/>
      </c>
      <c r="M331" s="358" t="str">
        <f t="shared" si="7"/>
        <v/>
      </c>
      <c r="N331" s="358" t="str">
        <f t="shared" si="8"/>
        <v/>
      </c>
      <c r="O331" s="358" t="str">
        <f t="shared" si="9"/>
        <v/>
      </c>
    </row>
    <row r="332">
      <c r="A332" s="20">
        <v>44049.0</v>
      </c>
      <c r="B332" s="359"/>
      <c r="C332" s="359"/>
      <c r="D332" s="359"/>
      <c r="E332" s="359"/>
      <c r="J332" s="358" t="str">
        <f t="shared" si="4"/>
        <v/>
      </c>
      <c r="K332" s="358" t="str">
        <f t="shared" si="5"/>
        <v/>
      </c>
      <c r="L332" s="358" t="str">
        <f t="shared" si="6"/>
        <v/>
      </c>
      <c r="M332" s="358" t="str">
        <f t="shared" si="7"/>
        <v/>
      </c>
      <c r="N332" s="358" t="str">
        <f t="shared" si="8"/>
        <v/>
      </c>
      <c r="O332" s="358" t="str">
        <f t="shared" si="9"/>
        <v/>
      </c>
    </row>
    <row r="333">
      <c r="A333" s="20">
        <v>44050.0</v>
      </c>
      <c r="B333" s="359"/>
      <c r="C333" s="359"/>
      <c r="D333" s="359"/>
      <c r="E333" s="359"/>
      <c r="J333" s="358" t="str">
        <f t="shared" si="4"/>
        <v/>
      </c>
      <c r="K333" s="358" t="str">
        <f t="shared" si="5"/>
        <v/>
      </c>
      <c r="L333" s="358" t="str">
        <f t="shared" si="6"/>
        <v/>
      </c>
      <c r="M333" s="358" t="str">
        <f t="shared" si="7"/>
        <v/>
      </c>
      <c r="N333" s="358" t="str">
        <f t="shared" si="8"/>
        <v/>
      </c>
      <c r="O333" s="358" t="str">
        <f t="shared" si="9"/>
        <v/>
      </c>
    </row>
    <row r="334">
      <c r="A334" s="20">
        <v>44051.0</v>
      </c>
      <c r="B334" s="359"/>
      <c r="C334" s="359"/>
      <c r="D334" s="359"/>
      <c r="E334" s="359"/>
      <c r="J334" s="358" t="str">
        <f t="shared" si="4"/>
        <v/>
      </c>
      <c r="K334" s="358" t="str">
        <f t="shared" si="5"/>
        <v/>
      </c>
      <c r="L334" s="358" t="str">
        <f t="shared" si="6"/>
        <v/>
      </c>
      <c r="M334" s="358" t="str">
        <f t="shared" si="7"/>
        <v/>
      </c>
      <c r="N334" s="358" t="str">
        <f t="shared" si="8"/>
        <v/>
      </c>
      <c r="O334" s="358" t="str">
        <f t="shared" si="9"/>
        <v/>
      </c>
    </row>
    <row r="335">
      <c r="A335" s="20">
        <v>44052.0</v>
      </c>
      <c r="B335" s="359"/>
      <c r="C335" s="359"/>
      <c r="D335" s="359"/>
      <c r="E335" s="359"/>
      <c r="J335" s="358" t="str">
        <f t="shared" si="4"/>
        <v/>
      </c>
      <c r="K335" s="358" t="str">
        <f t="shared" si="5"/>
        <v/>
      </c>
      <c r="L335" s="358" t="str">
        <f t="shared" si="6"/>
        <v/>
      </c>
      <c r="M335" s="358" t="str">
        <f t="shared" si="7"/>
        <v/>
      </c>
      <c r="N335" s="358" t="str">
        <f t="shared" si="8"/>
        <v/>
      </c>
      <c r="O335" s="358" t="str">
        <f t="shared" si="9"/>
        <v/>
      </c>
    </row>
    <row r="336">
      <c r="A336" s="20">
        <v>44053.0</v>
      </c>
      <c r="B336" s="359"/>
      <c r="C336" s="359"/>
      <c r="D336" s="359"/>
      <c r="E336" s="359"/>
      <c r="J336" s="358" t="str">
        <f t="shared" si="4"/>
        <v/>
      </c>
      <c r="K336" s="358" t="str">
        <f t="shared" si="5"/>
        <v/>
      </c>
      <c r="L336" s="358" t="str">
        <f t="shared" si="6"/>
        <v/>
      </c>
      <c r="M336" s="358" t="str">
        <f t="shared" si="7"/>
        <v/>
      </c>
      <c r="N336" s="358" t="str">
        <f t="shared" si="8"/>
        <v/>
      </c>
      <c r="O336" s="358" t="str">
        <f t="shared" si="9"/>
        <v/>
      </c>
    </row>
    <row r="337">
      <c r="A337" s="20">
        <v>44054.0</v>
      </c>
      <c r="B337" s="359"/>
      <c r="C337" s="359"/>
      <c r="D337" s="359"/>
      <c r="E337" s="359"/>
      <c r="J337" s="358" t="str">
        <f t="shared" si="4"/>
        <v/>
      </c>
      <c r="K337" s="358" t="str">
        <f t="shared" si="5"/>
        <v/>
      </c>
      <c r="L337" s="358" t="str">
        <f t="shared" si="6"/>
        <v/>
      </c>
      <c r="M337" s="358" t="str">
        <f t="shared" si="7"/>
        <v/>
      </c>
      <c r="N337" s="358" t="str">
        <f t="shared" si="8"/>
        <v/>
      </c>
      <c r="O337" s="358" t="str">
        <f t="shared" si="9"/>
        <v/>
      </c>
    </row>
    <row r="338">
      <c r="A338" s="20">
        <v>44055.0</v>
      </c>
      <c r="B338" s="359"/>
      <c r="C338" s="359"/>
      <c r="D338" s="359"/>
      <c r="E338" s="359"/>
      <c r="J338" s="358" t="str">
        <f t="shared" si="4"/>
        <v/>
      </c>
      <c r="K338" s="358" t="str">
        <f t="shared" si="5"/>
        <v/>
      </c>
      <c r="L338" s="358" t="str">
        <f t="shared" si="6"/>
        <v/>
      </c>
      <c r="M338" s="358" t="str">
        <f t="shared" si="7"/>
        <v/>
      </c>
      <c r="N338" s="358" t="str">
        <f t="shared" si="8"/>
        <v/>
      </c>
      <c r="O338" s="358" t="str">
        <f t="shared" si="9"/>
        <v/>
      </c>
    </row>
    <row r="339">
      <c r="A339" s="20">
        <v>44056.0</v>
      </c>
      <c r="B339" s="359"/>
      <c r="C339" s="359"/>
      <c r="D339" s="359"/>
      <c r="E339" s="359"/>
      <c r="J339" s="358" t="str">
        <f t="shared" si="4"/>
        <v/>
      </c>
      <c r="K339" s="358" t="str">
        <f t="shared" si="5"/>
        <v/>
      </c>
      <c r="L339" s="358" t="str">
        <f t="shared" si="6"/>
        <v/>
      </c>
      <c r="M339" s="358" t="str">
        <f t="shared" si="7"/>
        <v/>
      </c>
      <c r="N339" s="358" t="str">
        <f t="shared" si="8"/>
        <v/>
      </c>
      <c r="O339" s="358" t="str">
        <f t="shared" si="9"/>
        <v/>
      </c>
    </row>
    <row r="340">
      <c r="A340" s="20">
        <v>44057.0</v>
      </c>
      <c r="B340" s="359"/>
      <c r="C340" s="359"/>
      <c r="D340" s="359"/>
      <c r="E340" s="359"/>
      <c r="J340" s="358" t="str">
        <f t="shared" si="4"/>
        <v/>
      </c>
      <c r="K340" s="358" t="str">
        <f t="shared" si="5"/>
        <v/>
      </c>
      <c r="L340" s="358" t="str">
        <f t="shared" si="6"/>
        <v/>
      </c>
      <c r="M340" s="358" t="str">
        <f t="shared" si="7"/>
        <v/>
      </c>
      <c r="N340" s="358" t="str">
        <f t="shared" si="8"/>
        <v/>
      </c>
      <c r="O340" s="358" t="str">
        <f t="shared" si="9"/>
        <v/>
      </c>
    </row>
    <row r="341">
      <c r="A341" s="20">
        <v>44058.0</v>
      </c>
      <c r="B341" s="359"/>
      <c r="C341" s="359"/>
      <c r="D341" s="359"/>
      <c r="E341" s="359"/>
      <c r="J341" s="358" t="str">
        <f t="shared" si="4"/>
        <v/>
      </c>
      <c r="K341" s="358" t="str">
        <f t="shared" si="5"/>
        <v/>
      </c>
      <c r="L341" s="358" t="str">
        <f t="shared" si="6"/>
        <v/>
      </c>
      <c r="M341" s="358" t="str">
        <f t="shared" si="7"/>
        <v/>
      </c>
      <c r="N341" s="358" t="str">
        <f t="shared" si="8"/>
        <v/>
      </c>
      <c r="O341" s="358" t="str">
        <f t="shared" si="9"/>
        <v/>
      </c>
    </row>
    <row r="342">
      <c r="A342" s="20">
        <v>44059.0</v>
      </c>
      <c r="B342" s="359"/>
      <c r="C342" s="359"/>
      <c r="D342" s="359"/>
      <c r="E342" s="359"/>
      <c r="J342" s="358" t="str">
        <f t="shared" si="4"/>
        <v/>
      </c>
      <c r="K342" s="358" t="str">
        <f t="shared" si="5"/>
        <v/>
      </c>
      <c r="L342" s="358" t="str">
        <f t="shared" si="6"/>
        <v/>
      </c>
      <c r="M342" s="358" t="str">
        <f t="shared" si="7"/>
        <v/>
      </c>
      <c r="N342" s="358" t="str">
        <f t="shared" si="8"/>
        <v/>
      </c>
      <c r="O342" s="358" t="str">
        <f t="shared" si="9"/>
        <v/>
      </c>
    </row>
    <row r="343">
      <c r="A343" s="20">
        <v>44060.0</v>
      </c>
      <c r="B343" s="359"/>
      <c r="C343" s="359"/>
      <c r="D343" s="359"/>
      <c r="E343" s="359"/>
      <c r="J343" s="358" t="str">
        <f t="shared" si="4"/>
        <v/>
      </c>
      <c r="K343" s="358" t="str">
        <f t="shared" si="5"/>
        <v/>
      </c>
      <c r="L343" s="358" t="str">
        <f t="shared" si="6"/>
        <v/>
      </c>
      <c r="M343" s="358" t="str">
        <f t="shared" si="7"/>
        <v/>
      </c>
      <c r="N343" s="358" t="str">
        <f t="shared" si="8"/>
        <v/>
      </c>
      <c r="O343" s="358" t="str">
        <f t="shared" si="9"/>
        <v/>
      </c>
    </row>
    <row r="344">
      <c r="A344" s="20">
        <v>44061.0</v>
      </c>
      <c r="B344" s="359"/>
      <c r="C344" s="359"/>
      <c r="D344" s="359"/>
      <c r="E344" s="359"/>
      <c r="J344" s="358" t="str">
        <f t="shared" si="4"/>
        <v/>
      </c>
      <c r="K344" s="358" t="str">
        <f t="shared" si="5"/>
        <v/>
      </c>
      <c r="L344" s="358" t="str">
        <f t="shared" si="6"/>
        <v/>
      </c>
      <c r="M344" s="358" t="str">
        <f t="shared" si="7"/>
        <v/>
      </c>
      <c r="N344" s="358" t="str">
        <f t="shared" si="8"/>
        <v/>
      </c>
      <c r="O344" s="358" t="str">
        <f t="shared" si="9"/>
        <v/>
      </c>
    </row>
    <row r="345">
      <c r="A345" s="20">
        <v>44062.0</v>
      </c>
      <c r="B345" s="359"/>
      <c r="C345" s="359"/>
      <c r="D345" s="359"/>
      <c r="E345" s="359"/>
      <c r="J345" s="358" t="str">
        <f t="shared" si="4"/>
        <v/>
      </c>
      <c r="K345" s="358" t="str">
        <f t="shared" si="5"/>
        <v/>
      </c>
      <c r="L345" s="358" t="str">
        <f t="shared" si="6"/>
        <v/>
      </c>
      <c r="M345" s="358" t="str">
        <f t="shared" si="7"/>
        <v/>
      </c>
      <c r="N345" s="358" t="str">
        <f t="shared" si="8"/>
        <v/>
      </c>
      <c r="O345" s="358" t="str">
        <f t="shared" si="9"/>
        <v/>
      </c>
    </row>
    <row r="346">
      <c r="A346" s="20">
        <v>44063.0</v>
      </c>
      <c r="B346" s="359"/>
      <c r="C346" s="359"/>
      <c r="D346" s="359"/>
      <c r="E346" s="359"/>
      <c r="J346" s="358" t="str">
        <f t="shared" si="4"/>
        <v/>
      </c>
      <c r="K346" s="358" t="str">
        <f t="shared" si="5"/>
        <v/>
      </c>
      <c r="L346" s="358" t="str">
        <f t="shared" si="6"/>
        <v/>
      </c>
      <c r="M346" s="358" t="str">
        <f t="shared" si="7"/>
        <v/>
      </c>
      <c r="N346" s="358" t="str">
        <f t="shared" si="8"/>
        <v/>
      </c>
      <c r="O346" s="358" t="str">
        <f t="shared" si="9"/>
        <v/>
      </c>
    </row>
    <row r="347">
      <c r="A347" s="20">
        <v>44064.0</v>
      </c>
      <c r="B347" s="359"/>
      <c r="C347" s="359"/>
      <c r="D347" s="359"/>
      <c r="E347" s="359"/>
      <c r="J347" s="358" t="str">
        <f t="shared" si="4"/>
        <v/>
      </c>
      <c r="K347" s="358" t="str">
        <f t="shared" si="5"/>
        <v/>
      </c>
      <c r="L347" s="358" t="str">
        <f t="shared" si="6"/>
        <v/>
      </c>
      <c r="M347" s="358" t="str">
        <f t="shared" si="7"/>
        <v/>
      </c>
      <c r="N347" s="358" t="str">
        <f t="shared" si="8"/>
        <v/>
      </c>
      <c r="O347" s="358" t="str">
        <f t="shared" si="9"/>
        <v/>
      </c>
    </row>
    <row r="348">
      <c r="A348" s="20">
        <v>44065.0</v>
      </c>
      <c r="B348" s="359"/>
      <c r="C348" s="359"/>
      <c r="D348" s="359"/>
      <c r="E348" s="359"/>
      <c r="J348" s="358" t="str">
        <f t="shared" si="4"/>
        <v/>
      </c>
      <c r="K348" s="358" t="str">
        <f t="shared" si="5"/>
        <v/>
      </c>
      <c r="L348" s="358" t="str">
        <f t="shared" si="6"/>
        <v/>
      </c>
      <c r="M348" s="358" t="str">
        <f t="shared" si="7"/>
        <v/>
      </c>
      <c r="N348" s="358" t="str">
        <f t="shared" si="8"/>
        <v/>
      </c>
      <c r="O348" s="358" t="str">
        <f t="shared" si="9"/>
        <v/>
      </c>
    </row>
    <row r="349">
      <c r="A349" s="20">
        <v>44066.0</v>
      </c>
      <c r="B349" s="359"/>
      <c r="C349" s="359"/>
      <c r="D349" s="359"/>
      <c r="E349" s="359"/>
      <c r="J349" s="358" t="str">
        <f t="shared" si="4"/>
        <v/>
      </c>
      <c r="K349" s="358" t="str">
        <f t="shared" si="5"/>
        <v/>
      </c>
      <c r="L349" s="358" t="str">
        <f t="shared" si="6"/>
        <v/>
      </c>
      <c r="M349" s="358" t="str">
        <f t="shared" si="7"/>
        <v/>
      </c>
      <c r="N349" s="358" t="str">
        <f t="shared" si="8"/>
        <v/>
      </c>
      <c r="O349" s="358" t="str">
        <f t="shared" si="9"/>
        <v/>
      </c>
    </row>
    <row r="350">
      <c r="A350" s="20">
        <v>44067.0</v>
      </c>
      <c r="B350" s="359"/>
      <c r="C350" s="359"/>
      <c r="D350" s="359"/>
      <c r="E350" s="359"/>
      <c r="J350" s="358" t="str">
        <f t="shared" si="4"/>
        <v/>
      </c>
      <c r="K350" s="358" t="str">
        <f t="shared" si="5"/>
        <v/>
      </c>
      <c r="L350" s="358" t="str">
        <f t="shared" si="6"/>
        <v/>
      </c>
      <c r="M350" s="358" t="str">
        <f t="shared" si="7"/>
        <v/>
      </c>
      <c r="N350" s="358" t="str">
        <f t="shared" si="8"/>
        <v/>
      </c>
      <c r="O350" s="358" t="str">
        <f t="shared" si="9"/>
        <v/>
      </c>
    </row>
    <row r="351">
      <c r="A351" s="20">
        <v>44068.0</v>
      </c>
      <c r="B351" s="359"/>
      <c r="C351" s="359"/>
      <c r="D351" s="359"/>
      <c r="E351" s="359"/>
      <c r="J351" s="358" t="str">
        <f t="shared" si="4"/>
        <v/>
      </c>
      <c r="K351" s="358" t="str">
        <f t="shared" si="5"/>
        <v/>
      </c>
      <c r="L351" s="358" t="str">
        <f t="shared" si="6"/>
        <v/>
      </c>
      <c r="M351" s="358" t="str">
        <f t="shared" si="7"/>
        <v/>
      </c>
      <c r="N351" s="358" t="str">
        <f t="shared" si="8"/>
        <v/>
      </c>
      <c r="O351" s="358" t="str">
        <f t="shared" si="9"/>
        <v/>
      </c>
    </row>
    <row r="352">
      <c r="A352" s="20">
        <v>44069.0</v>
      </c>
      <c r="B352" s="359"/>
      <c r="C352" s="359"/>
      <c r="D352" s="359"/>
      <c r="E352" s="359"/>
      <c r="J352" s="358" t="str">
        <f t="shared" si="4"/>
        <v/>
      </c>
      <c r="K352" s="358" t="str">
        <f t="shared" si="5"/>
        <v/>
      </c>
      <c r="L352" s="358" t="str">
        <f t="shared" si="6"/>
        <v/>
      </c>
      <c r="M352" s="358" t="str">
        <f t="shared" si="7"/>
        <v/>
      </c>
      <c r="N352" s="358" t="str">
        <f t="shared" si="8"/>
        <v/>
      </c>
      <c r="O352" s="358" t="str">
        <f t="shared" si="9"/>
        <v/>
      </c>
    </row>
    <row r="353">
      <c r="A353" s="20">
        <v>44070.0</v>
      </c>
      <c r="B353" s="359"/>
      <c r="C353" s="359"/>
      <c r="D353" s="359"/>
      <c r="E353" s="359"/>
      <c r="J353" s="358" t="str">
        <f t="shared" si="4"/>
        <v/>
      </c>
      <c r="K353" s="358" t="str">
        <f t="shared" si="5"/>
        <v/>
      </c>
      <c r="L353" s="358" t="str">
        <f t="shared" si="6"/>
        <v/>
      </c>
      <c r="M353" s="358" t="str">
        <f t="shared" si="7"/>
        <v/>
      </c>
      <c r="N353" s="358" t="str">
        <f t="shared" si="8"/>
        <v/>
      </c>
      <c r="O353" s="358" t="str">
        <f t="shared" si="9"/>
        <v/>
      </c>
    </row>
    <row r="354">
      <c r="A354" s="20">
        <v>44071.0</v>
      </c>
      <c r="B354" s="359"/>
      <c r="C354" s="359"/>
      <c r="D354" s="359"/>
      <c r="E354" s="359"/>
      <c r="J354" s="358" t="str">
        <f t="shared" si="4"/>
        <v/>
      </c>
      <c r="K354" s="358" t="str">
        <f t="shared" si="5"/>
        <v/>
      </c>
      <c r="L354" s="358" t="str">
        <f t="shared" si="6"/>
        <v/>
      </c>
      <c r="M354" s="358" t="str">
        <f t="shared" si="7"/>
        <v/>
      </c>
      <c r="N354" s="358" t="str">
        <f t="shared" si="8"/>
        <v/>
      </c>
      <c r="O354" s="358" t="str">
        <f t="shared" si="9"/>
        <v/>
      </c>
    </row>
    <row r="355">
      <c r="A355" s="20">
        <v>44072.0</v>
      </c>
      <c r="B355" s="359"/>
      <c r="C355" s="359"/>
      <c r="D355" s="359"/>
      <c r="E355" s="359"/>
      <c r="J355" s="358" t="str">
        <f t="shared" si="4"/>
        <v/>
      </c>
      <c r="K355" s="358" t="str">
        <f t="shared" si="5"/>
        <v/>
      </c>
      <c r="L355" s="358" t="str">
        <f t="shared" si="6"/>
        <v/>
      </c>
      <c r="M355" s="358" t="str">
        <f t="shared" si="7"/>
        <v/>
      </c>
      <c r="N355" s="358" t="str">
        <f t="shared" si="8"/>
        <v/>
      </c>
      <c r="O355" s="358" t="str">
        <f t="shared" si="9"/>
        <v/>
      </c>
    </row>
    <row r="356">
      <c r="A356" s="20">
        <v>44073.0</v>
      </c>
      <c r="B356" s="359"/>
      <c r="C356" s="359"/>
      <c r="D356" s="359"/>
      <c r="E356" s="359"/>
      <c r="J356" s="358" t="str">
        <f t="shared" si="4"/>
        <v/>
      </c>
      <c r="K356" s="358" t="str">
        <f t="shared" si="5"/>
        <v/>
      </c>
      <c r="L356" s="358" t="str">
        <f t="shared" si="6"/>
        <v/>
      </c>
      <c r="M356" s="358" t="str">
        <f t="shared" si="7"/>
        <v/>
      </c>
      <c r="N356" s="358" t="str">
        <f t="shared" si="8"/>
        <v/>
      </c>
      <c r="O356" s="358" t="str">
        <f t="shared" si="9"/>
        <v/>
      </c>
    </row>
    <row r="357">
      <c r="A357" s="20">
        <v>44074.0</v>
      </c>
      <c r="B357" s="359"/>
      <c r="C357" s="359"/>
      <c r="D357" s="359"/>
      <c r="E357" s="359"/>
      <c r="J357" s="358" t="str">
        <f t="shared" si="4"/>
        <v/>
      </c>
      <c r="K357" s="358" t="str">
        <f t="shared" si="5"/>
        <v/>
      </c>
      <c r="L357" s="358" t="str">
        <f t="shared" si="6"/>
        <v/>
      </c>
      <c r="M357" s="358" t="str">
        <f t="shared" si="7"/>
        <v/>
      </c>
      <c r="N357" s="358" t="str">
        <f t="shared" si="8"/>
        <v/>
      </c>
      <c r="O357" s="358" t="str">
        <f t="shared" si="9"/>
        <v/>
      </c>
    </row>
    <row r="358">
      <c r="A358" s="20">
        <v>44075.0</v>
      </c>
      <c r="B358" s="359"/>
      <c r="C358" s="359"/>
      <c r="D358" s="359"/>
      <c r="E358" s="359"/>
      <c r="J358" s="358" t="str">
        <f t="shared" si="4"/>
        <v/>
      </c>
      <c r="K358" s="358" t="str">
        <f t="shared" si="5"/>
        <v/>
      </c>
      <c r="L358" s="358" t="str">
        <f t="shared" si="6"/>
        <v/>
      </c>
      <c r="M358" s="358" t="str">
        <f t="shared" si="7"/>
        <v/>
      </c>
      <c r="N358" s="358" t="str">
        <f t="shared" si="8"/>
        <v/>
      </c>
      <c r="O358" s="358" t="str">
        <f t="shared" si="9"/>
        <v/>
      </c>
    </row>
    <row r="359">
      <c r="A359" s="20">
        <v>44076.0</v>
      </c>
      <c r="B359" s="359"/>
      <c r="C359" s="359"/>
      <c r="D359" s="359"/>
      <c r="E359" s="359"/>
      <c r="J359" s="358" t="str">
        <f t="shared" si="4"/>
        <v/>
      </c>
      <c r="K359" s="358" t="str">
        <f t="shared" si="5"/>
        <v/>
      </c>
      <c r="L359" s="358" t="str">
        <f t="shared" si="6"/>
        <v/>
      </c>
      <c r="M359" s="358" t="str">
        <f t="shared" si="7"/>
        <v/>
      </c>
      <c r="N359" s="358" t="str">
        <f t="shared" si="8"/>
        <v/>
      </c>
      <c r="O359" s="358" t="str">
        <f t="shared" si="9"/>
        <v/>
      </c>
    </row>
    <row r="360">
      <c r="A360" s="20">
        <v>44077.0</v>
      </c>
      <c r="B360" s="359"/>
      <c r="C360" s="359"/>
      <c r="D360" s="359"/>
      <c r="E360" s="359"/>
      <c r="J360" s="358" t="str">
        <f t="shared" si="4"/>
        <v/>
      </c>
      <c r="K360" s="358" t="str">
        <f t="shared" si="5"/>
        <v/>
      </c>
      <c r="L360" s="358" t="str">
        <f t="shared" si="6"/>
        <v/>
      </c>
      <c r="M360" s="358" t="str">
        <f t="shared" si="7"/>
        <v/>
      </c>
      <c r="N360" s="358" t="str">
        <f t="shared" si="8"/>
        <v/>
      </c>
      <c r="O360" s="358" t="str">
        <f t="shared" si="9"/>
        <v/>
      </c>
    </row>
    <row r="361">
      <c r="A361" s="20">
        <v>44078.0</v>
      </c>
      <c r="B361" s="359"/>
      <c r="C361" s="359"/>
      <c r="D361" s="359"/>
      <c r="E361" s="359"/>
      <c r="J361" s="358" t="str">
        <f t="shared" si="4"/>
        <v/>
      </c>
      <c r="K361" s="358" t="str">
        <f t="shared" si="5"/>
        <v/>
      </c>
      <c r="L361" s="358" t="str">
        <f t="shared" si="6"/>
        <v/>
      </c>
      <c r="M361" s="358" t="str">
        <f t="shared" si="7"/>
        <v/>
      </c>
      <c r="N361" s="358" t="str">
        <f t="shared" si="8"/>
        <v/>
      </c>
      <c r="O361" s="358" t="str">
        <f t="shared" si="9"/>
        <v/>
      </c>
    </row>
    <row r="362">
      <c r="A362" s="20">
        <v>44079.0</v>
      </c>
      <c r="B362" s="359"/>
      <c r="C362" s="359"/>
      <c r="D362" s="359"/>
      <c r="E362" s="359"/>
      <c r="J362" s="358" t="str">
        <f t="shared" si="4"/>
        <v/>
      </c>
      <c r="K362" s="358" t="str">
        <f t="shared" si="5"/>
        <v/>
      </c>
      <c r="L362" s="358" t="str">
        <f t="shared" si="6"/>
        <v/>
      </c>
      <c r="M362" s="358" t="str">
        <f t="shared" si="7"/>
        <v/>
      </c>
      <c r="N362" s="358" t="str">
        <f t="shared" si="8"/>
        <v/>
      </c>
      <c r="O362" s="358" t="str">
        <f t="shared" si="9"/>
        <v/>
      </c>
    </row>
    <row r="363">
      <c r="A363" s="20">
        <v>44080.0</v>
      </c>
      <c r="B363" s="359"/>
      <c r="C363" s="359"/>
      <c r="D363" s="359"/>
      <c r="E363" s="359"/>
      <c r="J363" s="358" t="str">
        <f t="shared" si="4"/>
        <v/>
      </c>
      <c r="K363" s="358" t="str">
        <f t="shared" si="5"/>
        <v/>
      </c>
      <c r="L363" s="358" t="str">
        <f t="shared" si="6"/>
        <v/>
      </c>
      <c r="M363" s="358" t="str">
        <f t="shared" si="7"/>
        <v/>
      </c>
      <c r="N363" s="358" t="str">
        <f t="shared" si="8"/>
        <v/>
      </c>
      <c r="O363" s="358" t="str">
        <f t="shared" si="9"/>
        <v/>
      </c>
    </row>
    <row r="364">
      <c r="A364" s="20">
        <v>44081.0</v>
      </c>
      <c r="B364" s="359"/>
      <c r="C364" s="359"/>
      <c r="D364" s="359"/>
      <c r="E364" s="359"/>
      <c r="J364" s="358" t="str">
        <f t="shared" si="4"/>
        <v/>
      </c>
      <c r="K364" s="358" t="str">
        <f t="shared" si="5"/>
        <v/>
      </c>
      <c r="L364" s="358" t="str">
        <f t="shared" si="6"/>
        <v/>
      </c>
      <c r="M364" s="358" t="str">
        <f t="shared" si="7"/>
        <v/>
      </c>
      <c r="N364" s="358" t="str">
        <f t="shared" si="8"/>
        <v/>
      </c>
      <c r="O364" s="358" t="str">
        <f t="shared" si="9"/>
        <v/>
      </c>
    </row>
    <row r="365">
      <c r="A365" s="20">
        <v>44082.0</v>
      </c>
      <c r="B365" s="359"/>
      <c r="C365" s="359"/>
      <c r="D365" s="359"/>
      <c r="E365" s="359"/>
      <c r="J365" s="358" t="str">
        <f t="shared" si="4"/>
        <v/>
      </c>
      <c r="K365" s="358" t="str">
        <f t="shared" si="5"/>
        <v/>
      </c>
      <c r="L365" s="358" t="str">
        <f t="shared" si="6"/>
        <v/>
      </c>
      <c r="M365" s="358" t="str">
        <f t="shared" si="7"/>
        <v/>
      </c>
      <c r="N365" s="358" t="str">
        <f t="shared" si="8"/>
        <v/>
      </c>
      <c r="O365" s="358" t="str">
        <f t="shared" si="9"/>
        <v/>
      </c>
    </row>
    <row r="366">
      <c r="A366" s="20">
        <v>44083.0</v>
      </c>
      <c r="B366" s="359"/>
      <c r="C366" s="359"/>
      <c r="D366" s="359"/>
      <c r="E366" s="359"/>
      <c r="J366" s="358" t="str">
        <f t="shared" si="4"/>
        <v/>
      </c>
      <c r="K366" s="358" t="str">
        <f t="shared" si="5"/>
        <v/>
      </c>
      <c r="L366" s="358" t="str">
        <f t="shared" si="6"/>
        <v/>
      </c>
      <c r="M366" s="358" t="str">
        <f t="shared" si="7"/>
        <v/>
      </c>
      <c r="N366" s="358" t="str">
        <f t="shared" si="8"/>
        <v/>
      </c>
      <c r="O366" s="358" t="str">
        <f t="shared" si="9"/>
        <v/>
      </c>
    </row>
    <row r="367">
      <c r="A367" s="20">
        <v>44084.0</v>
      </c>
      <c r="B367" s="359"/>
      <c r="C367" s="359"/>
      <c r="D367" s="359"/>
      <c r="E367" s="359"/>
      <c r="J367" s="358" t="str">
        <f t="shared" si="4"/>
        <v/>
      </c>
      <c r="K367" s="358" t="str">
        <f t="shared" si="5"/>
        <v/>
      </c>
      <c r="L367" s="358" t="str">
        <f t="shared" si="6"/>
        <v/>
      </c>
      <c r="M367" s="358" t="str">
        <f t="shared" si="7"/>
        <v/>
      </c>
      <c r="N367" s="358" t="str">
        <f t="shared" si="8"/>
        <v/>
      </c>
      <c r="O367" s="358" t="str">
        <f t="shared" si="9"/>
        <v/>
      </c>
    </row>
    <row r="368">
      <c r="A368" s="20">
        <v>44085.0</v>
      </c>
      <c r="B368" s="359"/>
      <c r="C368" s="359"/>
      <c r="D368" s="359"/>
      <c r="E368" s="359"/>
      <c r="J368" s="358" t="str">
        <f t="shared" si="4"/>
        <v/>
      </c>
      <c r="K368" s="358" t="str">
        <f t="shared" si="5"/>
        <v/>
      </c>
      <c r="L368" s="358" t="str">
        <f t="shared" si="6"/>
        <v/>
      </c>
      <c r="M368" s="358" t="str">
        <f t="shared" si="7"/>
        <v/>
      </c>
      <c r="N368" s="358" t="str">
        <f t="shared" si="8"/>
        <v/>
      </c>
      <c r="O368" s="358" t="str">
        <f t="shared" si="9"/>
        <v/>
      </c>
    </row>
    <row r="369">
      <c r="A369" s="20">
        <v>44086.0</v>
      </c>
      <c r="B369" s="359"/>
      <c r="C369" s="359"/>
      <c r="D369" s="359"/>
      <c r="E369" s="359"/>
      <c r="J369" s="358" t="str">
        <f t="shared" si="4"/>
        <v/>
      </c>
      <c r="K369" s="358" t="str">
        <f t="shared" si="5"/>
        <v/>
      </c>
      <c r="L369" s="358" t="str">
        <f t="shared" si="6"/>
        <v/>
      </c>
      <c r="M369" s="358" t="str">
        <f t="shared" si="7"/>
        <v/>
      </c>
      <c r="N369" s="358" t="str">
        <f t="shared" si="8"/>
        <v/>
      </c>
      <c r="O369" s="358" t="str">
        <f t="shared" si="9"/>
        <v/>
      </c>
    </row>
    <row r="370">
      <c r="A370" s="20">
        <v>44087.0</v>
      </c>
      <c r="B370" s="359"/>
      <c r="C370" s="359"/>
      <c r="D370" s="359"/>
      <c r="E370" s="359"/>
      <c r="J370" s="358" t="str">
        <f t="shared" si="4"/>
        <v/>
      </c>
      <c r="K370" s="358" t="str">
        <f t="shared" si="5"/>
        <v/>
      </c>
      <c r="L370" s="358" t="str">
        <f t="shared" si="6"/>
        <v/>
      </c>
      <c r="M370" s="358" t="str">
        <f t="shared" si="7"/>
        <v/>
      </c>
      <c r="N370" s="358" t="str">
        <f t="shared" si="8"/>
        <v/>
      </c>
      <c r="O370" s="358" t="str">
        <f t="shared" si="9"/>
        <v/>
      </c>
    </row>
    <row r="371">
      <c r="A371" s="20">
        <v>44088.0</v>
      </c>
      <c r="B371" s="359"/>
      <c r="C371" s="359"/>
      <c r="D371" s="359"/>
      <c r="E371" s="359"/>
      <c r="J371" s="358" t="str">
        <f t="shared" si="4"/>
        <v/>
      </c>
      <c r="K371" s="358" t="str">
        <f t="shared" si="5"/>
        <v/>
      </c>
      <c r="L371" s="358" t="str">
        <f t="shared" si="6"/>
        <v/>
      </c>
      <c r="M371" s="358" t="str">
        <f t="shared" si="7"/>
        <v/>
      </c>
      <c r="N371" s="358" t="str">
        <f t="shared" si="8"/>
        <v/>
      </c>
      <c r="O371" s="358" t="str">
        <f t="shared" si="9"/>
        <v/>
      </c>
    </row>
    <row r="372">
      <c r="A372" s="20">
        <v>44089.0</v>
      </c>
      <c r="B372" s="359"/>
      <c r="C372" s="359"/>
      <c r="D372" s="359"/>
      <c r="E372" s="359"/>
      <c r="J372" s="358" t="str">
        <f t="shared" si="4"/>
        <v/>
      </c>
      <c r="K372" s="358" t="str">
        <f t="shared" si="5"/>
        <v/>
      </c>
      <c r="L372" s="358" t="str">
        <f t="shared" si="6"/>
        <v/>
      </c>
      <c r="M372" s="358" t="str">
        <f t="shared" si="7"/>
        <v/>
      </c>
      <c r="N372" s="358" t="str">
        <f t="shared" si="8"/>
        <v/>
      </c>
      <c r="O372" s="358" t="str">
        <f t="shared" si="9"/>
        <v/>
      </c>
    </row>
    <row r="373">
      <c r="A373" s="20">
        <v>44090.0</v>
      </c>
      <c r="B373" s="359"/>
      <c r="C373" s="359"/>
      <c r="D373" s="359"/>
      <c r="E373" s="359"/>
      <c r="J373" s="358" t="str">
        <f t="shared" si="4"/>
        <v/>
      </c>
      <c r="K373" s="358" t="str">
        <f t="shared" si="5"/>
        <v/>
      </c>
      <c r="L373" s="358" t="str">
        <f t="shared" si="6"/>
        <v/>
      </c>
      <c r="M373" s="358" t="str">
        <f t="shared" si="7"/>
        <v/>
      </c>
      <c r="N373" s="358" t="str">
        <f t="shared" si="8"/>
        <v/>
      </c>
      <c r="O373" s="358" t="str">
        <f t="shared" si="9"/>
        <v/>
      </c>
    </row>
    <row r="374">
      <c r="A374" s="20">
        <v>44091.0</v>
      </c>
      <c r="B374" s="359"/>
      <c r="C374" s="359"/>
      <c r="D374" s="359"/>
      <c r="E374" s="359"/>
      <c r="J374" s="358" t="str">
        <f t="shared" si="4"/>
        <v/>
      </c>
      <c r="K374" s="358" t="str">
        <f t="shared" si="5"/>
        <v/>
      </c>
      <c r="L374" s="358" t="str">
        <f t="shared" si="6"/>
        <v/>
      </c>
      <c r="M374" s="358" t="str">
        <f t="shared" si="7"/>
        <v/>
      </c>
      <c r="N374" s="358" t="str">
        <f t="shared" si="8"/>
        <v/>
      </c>
      <c r="O374" s="358" t="str">
        <f t="shared" si="9"/>
        <v/>
      </c>
    </row>
    <row r="375">
      <c r="A375" s="20">
        <v>44092.0</v>
      </c>
      <c r="B375" s="359"/>
      <c r="C375" s="359"/>
      <c r="D375" s="359"/>
      <c r="E375" s="359"/>
      <c r="J375" s="358" t="str">
        <f t="shared" si="4"/>
        <v/>
      </c>
      <c r="K375" s="358" t="str">
        <f t="shared" si="5"/>
        <v/>
      </c>
      <c r="L375" s="358" t="str">
        <f t="shared" si="6"/>
        <v/>
      </c>
      <c r="M375" s="358" t="str">
        <f t="shared" si="7"/>
        <v/>
      </c>
      <c r="N375" s="358" t="str">
        <f t="shared" si="8"/>
        <v/>
      </c>
      <c r="O375" s="358" t="str">
        <f t="shared" si="9"/>
        <v/>
      </c>
    </row>
    <row r="376">
      <c r="A376" s="20">
        <v>44093.0</v>
      </c>
      <c r="B376" s="359"/>
      <c r="C376" s="359"/>
      <c r="D376" s="359"/>
      <c r="E376" s="359"/>
      <c r="J376" s="358" t="str">
        <f t="shared" si="4"/>
        <v/>
      </c>
      <c r="K376" s="358" t="str">
        <f t="shared" si="5"/>
        <v/>
      </c>
      <c r="L376" s="358" t="str">
        <f t="shared" si="6"/>
        <v/>
      </c>
      <c r="M376" s="358" t="str">
        <f t="shared" si="7"/>
        <v/>
      </c>
      <c r="N376" s="358" t="str">
        <f t="shared" si="8"/>
        <v/>
      </c>
      <c r="O376" s="358" t="str">
        <f t="shared" si="9"/>
        <v/>
      </c>
    </row>
    <row r="377">
      <c r="A377" s="20">
        <v>44094.0</v>
      </c>
      <c r="B377" s="359"/>
      <c r="C377" s="359"/>
      <c r="D377" s="359"/>
      <c r="E377" s="359"/>
      <c r="J377" s="358" t="str">
        <f t="shared" si="4"/>
        <v/>
      </c>
      <c r="K377" s="358" t="str">
        <f t="shared" si="5"/>
        <v/>
      </c>
      <c r="L377" s="358" t="str">
        <f t="shared" si="6"/>
        <v/>
      </c>
      <c r="M377" s="358" t="str">
        <f t="shared" si="7"/>
        <v/>
      </c>
      <c r="N377" s="358" t="str">
        <f t="shared" si="8"/>
        <v/>
      </c>
      <c r="O377" s="358" t="str">
        <f t="shared" si="9"/>
        <v/>
      </c>
    </row>
    <row r="378">
      <c r="A378" s="20">
        <v>44095.0</v>
      </c>
      <c r="B378" s="359"/>
      <c r="C378" s="359"/>
      <c r="D378" s="359"/>
      <c r="E378" s="359"/>
      <c r="J378" s="358" t="str">
        <f t="shared" si="4"/>
        <v/>
      </c>
      <c r="K378" s="358" t="str">
        <f t="shared" si="5"/>
        <v/>
      </c>
      <c r="L378" s="358" t="str">
        <f t="shared" si="6"/>
        <v/>
      </c>
      <c r="M378" s="358" t="str">
        <f t="shared" si="7"/>
        <v/>
      </c>
      <c r="N378" s="358" t="str">
        <f t="shared" si="8"/>
        <v/>
      </c>
      <c r="O378" s="358" t="str">
        <f t="shared" si="9"/>
        <v/>
      </c>
    </row>
    <row r="379">
      <c r="A379" s="20">
        <v>44096.0</v>
      </c>
      <c r="B379" s="359"/>
      <c r="C379" s="359"/>
      <c r="D379" s="359"/>
      <c r="E379" s="359"/>
      <c r="J379" s="358" t="str">
        <f t="shared" si="4"/>
        <v/>
      </c>
      <c r="K379" s="358" t="str">
        <f t="shared" si="5"/>
        <v/>
      </c>
      <c r="L379" s="358" t="str">
        <f t="shared" si="6"/>
        <v/>
      </c>
      <c r="M379" s="358" t="str">
        <f t="shared" si="7"/>
        <v/>
      </c>
      <c r="N379" s="358" t="str">
        <f t="shared" si="8"/>
        <v/>
      </c>
      <c r="O379" s="358" t="str">
        <f t="shared" si="9"/>
        <v/>
      </c>
    </row>
    <row r="380">
      <c r="A380" s="20">
        <v>44097.0</v>
      </c>
      <c r="B380" s="359"/>
      <c r="C380" s="359"/>
      <c r="D380" s="359"/>
      <c r="E380" s="359"/>
      <c r="J380" s="358" t="str">
        <f t="shared" si="4"/>
        <v/>
      </c>
      <c r="K380" s="358" t="str">
        <f t="shared" si="5"/>
        <v/>
      </c>
      <c r="L380" s="358" t="str">
        <f t="shared" si="6"/>
        <v/>
      </c>
      <c r="M380" s="358" t="str">
        <f t="shared" si="7"/>
        <v/>
      </c>
      <c r="N380" s="358" t="str">
        <f t="shared" si="8"/>
        <v/>
      </c>
      <c r="O380" s="358" t="str">
        <f t="shared" si="9"/>
        <v/>
      </c>
    </row>
    <row r="381">
      <c r="A381" s="20">
        <v>44098.0</v>
      </c>
      <c r="B381" s="359"/>
      <c r="C381" s="359"/>
      <c r="D381" s="359"/>
      <c r="E381" s="359"/>
      <c r="J381" s="358" t="str">
        <f t="shared" si="4"/>
        <v/>
      </c>
      <c r="K381" s="358" t="str">
        <f t="shared" si="5"/>
        <v/>
      </c>
      <c r="L381" s="358" t="str">
        <f t="shared" si="6"/>
        <v/>
      </c>
      <c r="M381" s="358" t="str">
        <f t="shared" si="7"/>
        <v/>
      </c>
      <c r="N381" s="358" t="str">
        <f t="shared" si="8"/>
        <v/>
      </c>
      <c r="O381" s="358" t="str">
        <f t="shared" si="9"/>
        <v/>
      </c>
    </row>
    <row r="382">
      <c r="A382" s="20">
        <v>44099.0</v>
      </c>
      <c r="B382" s="359"/>
      <c r="C382" s="359"/>
      <c r="D382" s="359"/>
      <c r="E382" s="359"/>
      <c r="J382" s="358" t="str">
        <f t="shared" si="4"/>
        <v/>
      </c>
      <c r="K382" s="358" t="str">
        <f t="shared" si="5"/>
        <v/>
      </c>
      <c r="L382" s="358" t="str">
        <f t="shared" si="6"/>
        <v/>
      </c>
      <c r="M382" s="358" t="str">
        <f t="shared" si="7"/>
        <v/>
      </c>
      <c r="N382" s="358" t="str">
        <f t="shared" si="8"/>
        <v/>
      </c>
      <c r="O382" s="358" t="str">
        <f t="shared" si="9"/>
        <v/>
      </c>
    </row>
    <row r="383">
      <c r="A383" s="20">
        <v>44100.0</v>
      </c>
      <c r="B383" s="359"/>
      <c r="C383" s="359"/>
      <c r="D383" s="359"/>
      <c r="E383" s="359"/>
      <c r="J383" s="358" t="str">
        <f t="shared" si="4"/>
        <v/>
      </c>
      <c r="K383" s="358" t="str">
        <f t="shared" si="5"/>
        <v/>
      </c>
      <c r="L383" s="358" t="str">
        <f t="shared" si="6"/>
        <v/>
      </c>
      <c r="M383" s="358" t="str">
        <f t="shared" si="7"/>
        <v/>
      </c>
      <c r="N383" s="358" t="str">
        <f t="shared" si="8"/>
        <v/>
      </c>
      <c r="O383" s="358" t="str">
        <f t="shared" si="9"/>
        <v/>
      </c>
    </row>
    <row r="384">
      <c r="A384" s="20">
        <v>44101.0</v>
      </c>
      <c r="B384" s="359"/>
      <c r="C384" s="359"/>
      <c r="D384" s="359"/>
      <c r="E384" s="359"/>
      <c r="J384" s="358" t="str">
        <f t="shared" si="4"/>
        <v/>
      </c>
      <c r="K384" s="358" t="str">
        <f t="shared" si="5"/>
        <v/>
      </c>
      <c r="L384" s="358" t="str">
        <f t="shared" si="6"/>
        <v/>
      </c>
      <c r="M384" s="358" t="str">
        <f t="shared" si="7"/>
        <v/>
      </c>
      <c r="N384" s="358" t="str">
        <f t="shared" si="8"/>
        <v/>
      </c>
      <c r="O384" s="358" t="str">
        <f t="shared" si="9"/>
        <v/>
      </c>
    </row>
    <row r="385">
      <c r="A385" s="20">
        <v>44102.0</v>
      </c>
      <c r="B385" s="359"/>
      <c r="C385" s="359"/>
      <c r="D385" s="359"/>
      <c r="E385" s="359"/>
      <c r="J385" s="358" t="str">
        <f t="shared" si="4"/>
        <v/>
      </c>
      <c r="K385" s="358" t="str">
        <f t="shared" si="5"/>
        <v/>
      </c>
      <c r="L385" s="358" t="str">
        <f t="shared" si="6"/>
        <v/>
      </c>
      <c r="M385" s="358" t="str">
        <f t="shared" si="7"/>
        <v/>
      </c>
      <c r="N385" s="358" t="str">
        <f t="shared" si="8"/>
        <v/>
      </c>
      <c r="O385" s="358" t="str">
        <f t="shared" si="9"/>
        <v/>
      </c>
    </row>
    <row r="386">
      <c r="A386" s="20">
        <v>44103.0</v>
      </c>
      <c r="B386" s="359"/>
      <c r="C386" s="359"/>
      <c r="D386" s="359"/>
      <c r="E386" s="359"/>
      <c r="J386" s="358" t="str">
        <f t="shared" si="4"/>
        <v/>
      </c>
      <c r="K386" s="358" t="str">
        <f t="shared" si="5"/>
        <v/>
      </c>
      <c r="L386" s="358" t="str">
        <f t="shared" si="6"/>
        <v/>
      </c>
      <c r="M386" s="358" t="str">
        <f t="shared" si="7"/>
        <v/>
      </c>
      <c r="N386" s="358" t="str">
        <f t="shared" si="8"/>
        <v/>
      </c>
      <c r="O386" s="358" t="str">
        <f t="shared" si="9"/>
        <v/>
      </c>
    </row>
    <row r="387">
      <c r="A387" s="20">
        <v>44104.0</v>
      </c>
      <c r="B387" s="359"/>
      <c r="C387" s="359"/>
      <c r="D387" s="359"/>
      <c r="E387" s="359"/>
      <c r="J387" s="358" t="str">
        <f t="shared" si="4"/>
        <v/>
      </c>
      <c r="K387" s="358" t="str">
        <f t="shared" si="5"/>
        <v/>
      </c>
      <c r="L387" s="358" t="str">
        <f t="shared" si="6"/>
        <v/>
      </c>
      <c r="M387" s="358" t="str">
        <f t="shared" si="7"/>
        <v/>
      </c>
      <c r="N387" s="358" t="str">
        <f t="shared" si="8"/>
        <v/>
      </c>
      <c r="O387" s="358" t="str">
        <f t="shared" si="9"/>
        <v/>
      </c>
    </row>
    <row r="388">
      <c r="A388" s="20">
        <v>44105.0</v>
      </c>
      <c r="B388" s="359"/>
      <c r="C388" s="359"/>
      <c r="D388" s="359"/>
      <c r="E388" s="359"/>
      <c r="J388" s="358" t="str">
        <f t="shared" si="4"/>
        <v/>
      </c>
      <c r="K388" s="358" t="str">
        <f t="shared" si="5"/>
        <v/>
      </c>
      <c r="L388" s="358" t="str">
        <f t="shared" si="6"/>
        <v/>
      </c>
      <c r="M388" s="358" t="str">
        <f t="shared" si="7"/>
        <v/>
      </c>
      <c r="N388" s="358" t="str">
        <f t="shared" si="8"/>
        <v/>
      </c>
      <c r="O388" s="358" t="str">
        <f t="shared" si="9"/>
        <v/>
      </c>
    </row>
    <row r="389">
      <c r="A389" s="20">
        <v>44106.0</v>
      </c>
      <c r="B389" s="359"/>
      <c r="C389" s="359"/>
      <c r="D389" s="359"/>
      <c r="E389" s="359"/>
      <c r="J389" s="358" t="str">
        <f t="shared" si="4"/>
        <v/>
      </c>
      <c r="K389" s="358" t="str">
        <f t="shared" si="5"/>
        <v/>
      </c>
      <c r="L389" s="358" t="str">
        <f t="shared" si="6"/>
        <v/>
      </c>
      <c r="M389" s="358" t="str">
        <f t="shared" si="7"/>
        <v/>
      </c>
      <c r="N389" s="358" t="str">
        <f t="shared" si="8"/>
        <v/>
      </c>
      <c r="O389" s="358" t="str">
        <f t="shared" si="9"/>
        <v/>
      </c>
    </row>
    <row r="390">
      <c r="A390" s="20">
        <v>44107.0</v>
      </c>
      <c r="B390" s="359"/>
      <c r="C390" s="359"/>
      <c r="D390" s="359"/>
      <c r="E390" s="359"/>
      <c r="J390" s="358" t="str">
        <f t="shared" si="4"/>
        <v/>
      </c>
      <c r="K390" s="358" t="str">
        <f t="shared" si="5"/>
        <v/>
      </c>
      <c r="L390" s="358" t="str">
        <f t="shared" si="6"/>
        <v/>
      </c>
      <c r="M390" s="358" t="str">
        <f t="shared" si="7"/>
        <v/>
      </c>
      <c r="N390" s="358" t="str">
        <f t="shared" si="8"/>
        <v/>
      </c>
      <c r="O390" s="358" t="str">
        <f t="shared" si="9"/>
        <v/>
      </c>
    </row>
    <row r="391">
      <c r="A391" s="20">
        <v>44108.0</v>
      </c>
      <c r="B391" s="359"/>
      <c r="C391" s="359"/>
      <c r="D391" s="359"/>
      <c r="E391" s="359"/>
      <c r="J391" s="358" t="str">
        <f t="shared" si="4"/>
        <v/>
      </c>
      <c r="K391" s="358" t="str">
        <f t="shared" si="5"/>
        <v/>
      </c>
      <c r="L391" s="358" t="str">
        <f t="shared" si="6"/>
        <v/>
      </c>
      <c r="M391" s="358" t="str">
        <f t="shared" si="7"/>
        <v/>
      </c>
      <c r="N391" s="358" t="str">
        <f t="shared" si="8"/>
        <v/>
      </c>
      <c r="O391" s="358" t="str">
        <f t="shared" si="9"/>
        <v/>
      </c>
    </row>
    <row r="392">
      <c r="A392" s="20">
        <v>44109.0</v>
      </c>
      <c r="B392" s="359"/>
      <c r="C392" s="359"/>
      <c r="D392" s="359"/>
      <c r="E392" s="359"/>
      <c r="J392" s="358" t="str">
        <f t="shared" si="4"/>
        <v/>
      </c>
      <c r="K392" s="358" t="str">
        <f t="shared" si="5"/>
        <v/>
      </c>
      <c r="L392" s="358" t="str">
        <f t="shared" si="6"/>
        <v/>
      </c>
      <c r="M392" s="358" t="str">
        <f t="shared" si="7"/>
        <v/>
      </c>
      <c r="N392" s="358" t="str">
        <f t="shared" si="8"/>
        <v/>
      </c>
      <c r="O392" s="358" t="str">
        <f t="shared" si="9"/>
        <v/>
      </c>
    </row>
    <row r="393">
      <c r="A393" s="20">
        <v>44110.0</v>
      </c>
      <c r="B393" s="359"/>
      <c r="C393" s="359"/>
      <c r="D393" s="359"/>
      <c r="E393" s="359"/>
      <c r="J393" s="358" t="str">
        <f t="shared" si="4"/>
        <v/>
      </c>
      <c r="K393" s="358" t="str">
        <f t="shared" si="5"/>
        <v/>
      </c>
      <c r="L393" s="358" t="str">
        <f t="shared" si="6"/>
        <v/>
      </c>
      <c r="M393" s="358" t="str">
        <f t="shared" si="7"/>
        <v/>
      </c>
      <c r="N393" s="358" t="str">
        <f t="shared" si="8"/>
        <v/>
      </c>
      <c r="O393" s="358" t="str">
        <f t="shared" si="9"/>
        <v/>
      </c>
    </row>
    <row r="394">
      <c r="A394" s="20">
        <v>44111.0</v>
      </c>
      <c r="B394" s="359"/>
      <c r="C394" s="359"/>
      <c r="D394" s="359"/>
      <c r="E394" s="359"/>
      <c r="J394" s="358" t="str">
        <f t="shared" si="4"/>
        <v/>
      </c>
      <c r="K394" s="358" t="str">
        <f t="shared" si="5"/>
        <v/>
      </c>
      <c r="L394" s="358" t="str">
        <f t="shared" si="6"/>
        <v/>
      </c>
      <c r="M394" s="358" t="str">
        <f t="shared" si="7"/>
        <v/>
      </c>
      <c r="N394" s="358" t="str">
        <f t="shared" si="8"/>
        <v/>
      </c>
      <c r="O394" s="358" t="str">
        <f t="shared" si="9"/>
        <v/>
      </c>
    </row>
    <row r="395">
      <c r="A395" s="20">
        <v>44112.0</v>
      </c>
      <c r="B395" s="359"/>
      <c r="C395" s="359"/>
      <c r="D395" s="359"/>
      <c r="E395" s="359"/>
      <c r="J395" s="358" t="str">
        <f t="shared" si="4"/>
        <v/>
      </c>
      <c r="K395" s="358" t="str">
        <f t="shared" si="5"/>
        <v/>
      </c>
      <c r="L395" s="358" t="str">
        <f t="shared" si="6"/>
        <v/>
      </c>
      <c r="M395" s="358" t="str">
        <f t="shared" si="7"/>
        <v/>
      </c>
      <c r="N395" s="358" t="str">
        <f t="shared" si="8"/>
        <v/>
      </c>
      <c r="O395" s="358" t="str">
        <f t="shared" si="9"/>
        <v/>
      </c>
    </row>
    <row r="396">
      <c r="A396" s="20">
        <v>44113.0</v>
      </c>
      <c r="B396" s="359"/>
      <c r="C396" s="359"/>
      <c r="D396" s="359"/>
      <c r="E396" s="359"/>
      <c r="J396" s="358" t="str">
        <f t="shared" si="4"/>
        <v/>
      </c>
      <c r="K396" s="358" t="str">
        <f t="shared" si="5"/>
        <v/>
      </c>
      <c r="L396" s="358" t="str">
        <f t="shared" si="6"/>
        <v/>
      </c>
      <c r="M396" s="358" t="str">
        <f t="shared" si="7"/>
        <v/>
      </c>
      <c r="N396" s="358" t="str">
        <f t="shared" si="8"/>
        <v/>
      </c>
      <c r="O396" s="358" t="str">
        <f t="shared" si="9"/>
        <v/>
      </c>
    </row>
    <row r="397">
      <c r="A397" s="20">
        <v>44114.0</v>
      </c>
      <c r="B397" s="359"/>
      <c r="C397" s="359"/>
      <c r="D397" s="359"/>
      <c r="E397" s="359"/>
      <c r="J397" s="358" t="str">
        <f t="shared" si="4"/>
        <v/>
      </c>
      <c r="K397" s="358" t="str">
        <f t="shared" si="5"/>
        <v/>
      </c>
      <c r="L397" s="358" t="str">
        <f t="shared" si="6"/>
        <v/>
      </c>
      <c r="M397" s="358" t="str">
        <f t="shared" si="7"/>
        <v/>
      </c>
      <c r="N397" s="358" t="str">
        <f t="shared" si="8"/>
        <v/>
      </c>
      <c r="O397" s="358" t="str">
        <f t="shared" si="9"/>
        <v/>
      </c>
    </row>
    <row r="398">
      <c r="A398" s="20">
        <v>44115.0</v>
      </c>
      <c r="B398" s="359"/>
      <c r="C398" s="359"/>
      <c r="D398" s="359"/>
      <c r="E398" s="359"/>
      <c r="J398" s="358" t="str">
        <f t="shared" si="4"/>
        <v/>
      </c>
      <c r="K398" s="358" t="str">
        <f t="shared" si="5"/>
        <v/>
      </c>
      <c r="L398" s="358" t="str">
        <f t="shared" si="6"/>
        <v/>
      </c>
      <c r="M398" s="358" t="str">
        <f t="shared" si="7"/>
        <v/>
      </c>
      <c r="N398" s="358" t="str">
        <f t="shared" si="8"/>
        <v/>
      </c>
      <c r="O398" s="358" t="str">
        <f t="shared" si="9"/>
        <v/>
      </c>
    </row>
    <row r="399">
      <c r="A399" s="20">
        <v>44116.0</v>
      </c>
      <c r="B399" s="359"/>
      <c r="C399" s="359"/>
      <c r="D399" s="359"/>
      <c r="E399" s="359"/>
      <c r="J399" s="358" t="str">
        <f t="shared" si="4"/>
        <v/>
      </c>
      <c r="K399" s="358" t="str">
        <f t="shared" si="5"/>
        <v/>
      </c>
      <c r="L399" s="358" t="str">
        <f t="shared" si="6"/>
        <v/>
      </c>
      <c r="M399" s="358" t="str">
        <f t="shared" si="7"/>
        <v/>
      </c>
      <c r="N399" s="358" t="str">
        <f t="shared" si="8"/>
        <v/>
      </c>
      <c r="O399" s="358" t="str">
        <f t="shared" si="9"/>
        <v/>
      </c>
    </row>
    <row r="400">
      <c r="A400" s="20">
        <v>44117.0</v>
      </c>
      <c r="B400" s="359"/>
      <c r="C400" s="359"/>
      <c r="D400" s="359"/>
      <c r="E400" s="359"/>
      <c r="J400" s="358" t="str">
        <f t="shared" si="4"/>
        <v/>
      </c>
      <c r="K400" s="358" t="str">
        <f t="shared" si="5"/>
        <v/>
      </c>
      <c r="L400" s="358" t="str">
        <f t="shared" si="6"/>
        <v/>
      </c>
      <c r="M400" s="358" t="str">
        <f t="shared" si="7"/>
        <v/>
      </c>
      <c r="N400" s="358" t="str">
        <f t="shared" si="8"/>
        <v/>
      </c>
      <c r="O400" s="358" t="str">
        <f t="shared" si="9"/>
        <v/>
      </c>
    </row>
    <row r="401">
      <c r="A401" s="20">
        <v>44118.0</v>
      </c>
      <c r="B401" s="359"/>
      <c r="C401" s="359"/>
      <c r="D401" s="359"/>
      <c r="E401" s="359"/>
      <c r="J401" s="358" t="str">
        <f t="shared" si="4"/>
        <v/>
      </c>
      <c r="K401" s="358" t="str">
        <f t="shared" si="5"/>
        <v/>
      </c>
      <c r="L401" s="358" t="str">
        <f t="shared" si="6"/>
        <v/>
      </c>
      <c r="M401" s="358" t="str">
        <f t="shared" si="7"/>
        <v/>
      </c>
      <c r="N401" s="358" t="str">
        <f t="shared" si="8"/>
        <v/>
      </c>
      <c r="O401" s="358" t="str">
        <f t="shared" si="9"/>
        <v/>
      </c>
    </row>
    <row r="402">
      <c r="A402" s="20">
        <v>44119.0</v>
      </c>
      <c r="B402" s="359"/>
      <c r="C402" s="359"/>
      <c r="D402" s="359"/>
      <c r="E402" s="359"/>
      <c r="J402" s="358" t="str">
        <f t="shared" si="4"/>
        <v/>
      </c>
      <c r="K402" s="358" t="str">
        <f t="shared" si="5"/>
        <v/>
      </c>
      <c r="L402" s="358" t="str">
        <f t="shared" si="6"/>
        <v/>
      </c>
      <c r="M402" s="358" t="str">
        <f t="shared" si="7"/>
        <v/>
      </c>
      <c r="N402" s="358" t="str">
        <f t="shared" si="8"/>
        <v/>
      </c>
      <c r="O402" s="358" t="str">
        <f t="shared" si="9"/>
        <v/>
      </c>
    </row>
    <row r="403">
      <c r="A403" s="20">
        <v>44120.0</v>
      </c>
      <c r="B403" s="359"/>
      <c r="C403" s="359"/>
      <c r="D403" s="359"/>
      <c r="E403" s="359"/>
      <c r="J403" s="358" t="str">
        <f t="shared" si="4"/>
        <v/>
      </c>
      <c r="K403" s="358" t="str">
        <f t="shared" si="5"/>
        <v/>
      </c>
      <c r="L403" s="358" t="str">
        <f t="shared" si="6"/>
        <v/>
      </c>
      <c r="M403" s="358" t="str">
        <f t="shared" si="7"/>
        <v/>
      </c>
      <c r="N403" s="358" t="str">
        <f t="shared" si="8"/>
        <v/>
      </c>
      <c r="O403" s="358" t="str">
        <f t="shared" si="9"/>
        <v/>
      </c>
    </row>
    <row r="404">
      <c r="A404" s="20">
        <v>44121.0</v>
      </c>
      <c r="B404" s="359"/>
      <c r="C404" s="359"/>
      <c r="D404" s="359"/>
      <c r="E404" s="359"/>
      <c r="J404" s="358" t="str">
        <f t="shared" si="4"/>
        <v/>
      </c>
      <c r="K404" s="358" t="str">
        <f t="shared" si="5"/>
        <v/>
      </c>
      <c r="L404" s="358" t="str">
        <f t="shared" si="6"/>
        <v/>
      </c>
      <c r="M404" s="358" t="str">
        <f t="shared" si="7"/>
        <v/>
      </c>
      <c r="N404" s="358" t="str">
        <f t="shared" si="8"/>
        <v/>
      </c>
      <c r="O404" s="358" t="str">
        <f t="shared" si="9"/>
        <v/>
      </c>
    </row>
    <row r="405">
      <c r="A405" s="20">
        <v>44122.0</v>
      </c>
      <c r="B405" s="359"/>
      <c r="C405" s="359"/>
      <c r="D405" s="359"/>
      <c r="E405" s="359"/>
      <c r="J405" s="358" t="str">
        <f t="shared" si="4"/>
        <v/>
      </c>
      <c r="K405" s="358" t="str">
        <f t="shared" si="5"/>
        <v/>
      </c>
      <c r="L405" s="358" t="str">
        <f t="shared" si="6"/>
        <v/>
      </c>
      <c r="M405" s="358" t="str">
        <f t="shared" si="7"/>
        <v/>
      </c>
      <c r="N405" s="358" t="str">
        <f t="shared" si="8"/>
        <v/>
      </c>
      <c r="O405" s="358" t="str">
        <f t="shared" si="9"/>
        <v/>
      </c>
    </row>
    <row r="406">
      <c r="A406" s="20">
        <v>44123.0</v>
      </c>
      <c r="B406" s="359"/>
      <c r="C406" s="359"/>
      <c r="D406" s="359"/>
      <c r="E406" s="359"/>
      <c r="J406" s="358" t="str">
        <f t="shared" si="4"/>
        <v/>
      </c>
      <c r="K406" s="358" t="str">
        <f t="shared" si="5"/>
        <v/>
      </c>
      <c r="L406" s="358" t="str">
        <f t="shared" si="6"/>
        <v/>
      </c>
      <c r="M406" s="358" t="str">
        <f t="shared" si="7"/>
        <v/>
      </c>
      <c r="N406" s="358" t="str">
        <f t="shared" si="8"/>
        <v/>
      </c>
      <c r="O406" s="358" t="str">
        <f t="shared" si="9"/>
        <v/>
      </c>
    </row>
    <row r="407">
      <c r="A407" s="20">
        <v>44124.0</v>
      </c>
      <c r="B407" s="359"/>
      <c r="C407" s="359"/>
      <c r="D407" s="359"/>
      <c r="E407" s="359"/>
      <c r="J407" s="358" t="str">
        <f t="shared" si="4"/>
        <v/>
      </c>
      <c r="K407" s="358" t="str">
        <f t="shared" si="5"/>
        <v/>
      </c>
      <c r="L407" s="358" t="str">
        <f t="shared" si="6"/>
        <v/>
      </c>
      <c r="M407" s="358" t="str">
        <f t="shared" si="7"/>
        <v/>
      </c>
      <c r="N407" s="358" t="str">
        <f t="shared" si="8"/>
        <v/>
      </c>
      <c r="O407" s="358" t="str">
        <f t="shared" si="9"/>
        <v/>
      </c>
    </row>
    <row r="408">
      <c r="A408" s="20">
        <v>44125.0</v>
      </c>
      <c r="B408" s="359"/>
      <c r="C408" s="359"/>
      <c r="D408" s="359"/>
      <c r="E408" s="359"/>
      <c r="J408" s="358" t="str">
        <f t="shared" si="4"/>
        <v/>
      </c>
      <c r="K408" s="358" t="str">
        <f t="shared" si="5"/>
        <v/>
      </c>
      <c r="L408" s="358" t="str">
        <f t="shared" si="6"/>
        <v/>
      </c>
      <c r="M408" s="358" t="str">
        <f t="shared" si="7"/>
        <v/>
      </c>
      <c r="N408" s="358" t="str">
        <f t="shared" si="8"/>
        <v/>
      </c>
      <c r="O408" s="358" t="str">
        <f t="shared" si="9"/>
        <v/>
      </c>
    </row>
    <row r="409">
      <c r="A409" s="20">
        <v>44126.0</v>
      </c>
      <c r="B409" s="359"/>
      <c r="C409" s="359"/>
      <c r="D409" s="359"/>
      <c r="E409" s="359"/>
      <c r="J409" s="358" t="str">
        <f t="shared" si="4"/>
        <v/>
      </c>
      <c r="K409" s="358" t="str">
        <f t="shared" si="5"/>
        <v/>
      </c>
      <c r="L409" s="358" t="str">
        <f t="shared" si="6"/>
        <v/>
      </c>
      <c r="M409" s="358" t="str">
        <f t="shared" si="7"/>
        <v/>
      </c>
      <c r="N409" s="358" t="str">
        <f t="shared" si="8"/>
        <v/>
      </c>
      <c r="O409" s="358" t="str">
        <f t="shared" si="9"/>
        <v/>
      </c>
    </row>
    <row r="410">
      <c r="A410" s="20">
        <v>44127.0</v>
      </c>
      <c r="B410" s="359"/>
      <c r="C410" s="359"/>
      <c r="D410" s="359"/>
      <c r="E410" s="359"/>
      <c r="J410" s="358" t="str">
        <f t="shared" si="4"/>
        <v/>
      </c>
      <c r="K410" s="358" t="str">
        <f t="shared" si="5"/>
        <v/>
      </c>
      <c r="L410" s="358" t="str">
        <f t="shared" si="6"/>
        <v/>
      </c>
      <c r="M410" s="358" t="str">
        <f t="shared" si="7"/>
        <v/>
      </c>
      <c r="N410" s="358" t="str">
        <f t="shared" si="8"/>
        <v/>
      </c>
      <c r="O410" s="358" t="str">
        <f t="shared" si="9"/>
        <v/>
      </c>
    </row>
    <row r="411">
      <c r="A411" s="20">
        <v>44128.0</v>
      </c>
      <c r="B411" s="359"/>
      <c r="C411" s="359"/>
      <c r="D411" s="359"/>
      <c r="E411" s="359"/>
      <c r="J411" s="358" t="str">
        <f t="shared" si="4"/>
        <v/>
      </c>
      <c r="K411" s="358" t="str">
        <f t="shared" si="5"/>
        <v/>
      </c>
      <c r="L411" s="358" t="str">
        <f t="shared" si="6"/>
        <v/>
      </c>
      <c r="M411" s="358" t="str">
        <f t="shared" si="7"/>
        <v/>
      </c>
      <c r="N411" s="358" t="str">
        <f t="shared" si="8"/>
        <v/>
      </c>
      <c r="O411" s="358" t="str">
        <f t="shared" si="9"/>
        <v/>
      </c>
    </row>
    <row r="412">
      <c r="A412" s="20">
        <v>44129.0</v>
      </c>
      <c r="B412" s="359"/>
      <c r="C412" s="359"/>
      <c r="D412" s="359"/>
      <c r="E412" s="359"/>
      <c r="J412" s="358" t="str">
        <f t="shared" si="4"/>
        <v/>
      </c>
      <c r="K412" s="358" t="str">
        <f t="shared" si="5"/>
        <v/>
      </c>
      <c r="L412" s="358" t="str">
        <f t="shared" si="6"/>
        <v/>
      </c>
      <c r="M412" s="358" t="str">
        <f t="shared" si="7"/>
        <v/>
      </c>
      <c r="N412" s="358" t="str">
        <f t="shared" si="8"/>
        <v/>
      </c>
      <c r="O412" s="358" t="str">
        <f t="shared" si="9"/>
        <v/>
      </c>
    </row>
    <row r="413">
      <c r="A413" s="20">
        <v>44130.0</v>
      </c>
      <c r="B413" s="359"/>
      <c r="C413" s="359"/>
      <c r="D413" s="359"/>
      <c r="E413" s="359"/>
      <c r="J413" s="358" t="str">
        <f t="shared" si="4"/>
        <v/>
      </c>
      <c r="K413" s="358" t="str">
        <f t="shared" si="5"/>
        <v/>
      </c>
      <c r="L413" s="358" t="str">
        <f t="shared" si="6"/>
        <v/>
      </c>
      <c r="M413" s="358" t="str">
        <f t="shared" si="7"/>
        <v/>
      </c>
      <c r="N413" s="358" t="str">
        <f t="shared" si="8"/>
        <v/>
      </c>
      <c r="O413" s="358" t="str">
        <f t="shared" si="9"/>
        <v/>
      </c>
    </row>
    <row r="414">
      <c r="A414" s="20">
        <v>44131.0</v>
      </c>
      <c r="B414" s="359"/>
      <c r="C414" s="359"/>
      <c r="D414" s="359"/>
      <c r="E414" s="359"/>
      <c r="J414" s="358" t="str">
        <f t="shared" si="4"/>
        <v/>
      </c>
      <c r="K414" s="358" t="str">
        <f t="shared" si="5"/>
        <v/>
      </c>
      <c r="L414" s="358" t="str">
        <f t="shared" si="6"/>
        <v/>
      </c>
      <c r="M414" s="358" t="str">
        <f t="shared" si="7"/>
        <v/>
      </c>
      <c r="N414" s="358" t="str">
        <f t="shared" si="8"/>
        <v/>
      </c>
      <c r="O414" s="358" t="str">
        <f t="shared" si="9"/>
        <v/>
      </c>
    </row>
    <row r="415">
      <c r="A415" s="20">
        <v>44132.0</v>
      </c>
      <c r="B415" s="359"/>
      <c r="C415" s="359"/>
      <c r="D415" s="359"/>
      <c r="E415" s="359"/>
      <c r="J415" s="358" t="str">
        <f t="shared" si="4"/>
        <v/>
      </c>
      <c r="K415" s="358" t="str">
        <f t="shared" si="5"/>
        <v/>
      </c>
      <c r="L415" s="358" t="str">
        <f t="shared" si="6"/>
        <v/>
      </c>
      <c r="M415" s="358" t="str">
        <f t="shared" si="7"/>
        <v/>
      </c>
      <c r="N415" s="358" t="str">
        <f t="shared" si="8"/>
        <v/>
      </c>
      <c r="O415" s="358" t="str">
        <f t="shared" si="9"/>
        <v/>
      </c>
    </row>
    <row r="416">
      <c r="A416" s="20">
        <v>44133.0</v>
      </c>
      <c r="B416" s="359"/>
      <c r="C416" s="359"/>
      <c r="D416" s="359"/>
      <c r="E416" s="359"/>
      <c r="J416" s="358" t="str">
        <f t="shared" si="4"/>
        <v/>
      </c>
      <c r="K416" s="358" t="str">
        <f t="shared" si="5"/>
        <v/>
      </c>
      <c r="L416" s="358" t="str">
        <f t="shared" si="6"/>
        <v/>
      </c>
      <c r="M416" s="358" t="str">
        <f t="shared" si="7"/>
        <v/>
      </c>
      <c r="N416" s="358" t="str">
        <f t="shared" si="8"/>
        <v/>
      </c>
      <c r="O416" s="358" t="str">
        <f t="shared" si="9"/>
        <v/>
      </c>
    </row>
    <row r="417">
      <c r="A417" s="20">
        <v>44134.0</v>
      </c>
      <c r="B417" s="359"/>
      <c r="C417" s="359"/>
      <c r="D417" s="359"/>
      <c r="E417" s="359"/>
      <c r="J417" s="358" t="str">
        <f t="shared" si="4"/>
        <v/>
      </c>
      <c r="K417" s="358" t="str">
        <f t="shared" si="5"/>
        <v/>
      </c>
      <c r="L417" s="358" t="str">
        <f t="shared" si="6"/>
        <v/>
      </c>
      <c r="M417" s="358" t="str">
        <f t="shared" si="7"/>
        <v/>
      </c>
      <c r="N417" s="358" t="str">
        <f t="shared" si="8"/>
        <v/>
      </c>
      <c r="O417" s="358" t="str">
        <f t="shared" si="9"/>
        <v/>
      </c>
    </row>
    <row r="418">
      <c r="A418" s="20">
        <v>44135.0</v>
      </c>
      <c r="B418" s="359"/>
      <c r="C418" s="359"/>
      <c r="D418" s="359"/>
      <c r="E418" s="359"/>
      <c r="J418" s="358" t="str">
        <f t="shared" si="4"/>
        <v/>
      </c>
      <c r="K418" s="358" t="str">
        <f t="shared" si="5"/>
        <v/>
      </c>
      <c r="L418" s="358" t="str">
        <f t="shared" si="6"/>
        <v/>
      </c>
      <c r="M418" s="358" t="str">
        <f t="shared" si="7"/>
        <v/>
      </c>
      <c r="N418" s="358" t="str">
        <f t="shared" si="8"/>
        <v/>
      </c>
      <c r="O418" s="358" t="str">
        <f t="shared" si="9"/>
        <v/>
      </c>
    </row>
    <row r="419">
      <c r="A419" s="20">
        <v>44136.0</v>
      </c>
      <c r="B419" s="359"/>
      <c r="C419" s="359"/>
      <c r="D419" s="359"/>
      <c r="E419" s="359"/>
      <c r="J419" s="358" t="str">
        <f t="shared" si="4"/>
        <v/>
      </c>
      <c r="K419" s="358" t="str">
        <f t="shared" si="5"/>
        <v/>
      </c>
      <c r="L419" s="358" t="str">
        <f t="shared" si="6"/>
        <v/>
      </c>
      <c r="M419" s="358" t="str">
        <f t="shared" si="7"/>
        <v/>
      </c>
      <c r="N419" s="358" t="str">
        <f t="shared" si="8"/>
        <v/>
      </c>
      <c r="O419" s="358" t="str">
        <f t="shared" si="9"/>
        <v/>
      </c>
    </row>
    <row r="420">
      <c r="A420" s="20">
        <v>44137.0</v>
      </c>
      <c r="B420" s="359"/>
      <c r="C420" s="359"/>
      <c r="D420" s="359"/>
      <c r="E420" s="359"/>
      <c r="J420" s="358" t="str">
        <f t="shared" si="4"/>
        <v/>
      </c>
      <c r="K420" s="358" t="str">
        <f t="shared" si="5"/>
        <v/>
      </c>
      <c r="L420" s="358" t="str">
        <f t="shared" si="6"/>
        <v/>
      </c>
      <c r="M420" s="358" t="str">
        <f t="shared" si="7"/>
        <v/>
      </c>
      <c r="N420" s="358" t="str">
        <f t="shared" si="8"/>
        <v/>
      </c>
      <c r="O420" s="358" t="str">
        <f t="shared" si="9"/>
        <v/>
      </c>
    </row>
    <row r="421">
      <c r="A421" s="20">
        <v>44138.0</v>
      </c>
      <c r="B421" s="359"/>
      <c r="C421" s="359"/>
      <c r="D421" s="359"/>
      <c r="E421" s="359"/>
      <c r="J421" s="358" t="str">
        <f t="shared" si="4"/>
        <v/>
      </c>
      <c r="K421" s="358" t="str">
        <f t="shared" si="5"/>
        <v/>
      </c>
      <c r="L421" s="358" t="str">
        <f t="shared" si="6"/>
        <v/>
      </c>
      <c r="M421" s="358" t="str">
        <f t="shared" si="7"/>
        <v/>
      </c>
      <c r="N421" s="358" t="str">
        <f t="shared" si="8"/>
        <v/>
      </c>
      <c r="O421" s="358" t="str">
        <f t="shared" si="9"/>
        <v/>
      </c>
    </row>
    <row r="422">
      <c r="A422" s="20">
        <v>44139.0</v>
      </c>
      <c r="B422" s="359"/>
      <c r="C422" s="359"/>
      <c r="D422" s="359"/>
      <c r="E422" s="359"/>
      <c r="J422" s="358" t="str">
        <f t="shared" si="4"/>
        <v/>
      </c>
      <c r="K422" s="358" t="str">
        <f t="shared" si="5"/>
        <v/>
      </c>
      <c r="L422" s="358" t="str">
        <f t="shared" si="6"/>
        <v/>
      </c>
      <c r="M422" s="358" t="str">
        <f t="shared" si="7"/>
        <v/>
      </c>
      <c r="N422" s="358" t="str">
        <f t="shared" si="8"/>
        <v/>
      </c>
      <c r="O422" s="358" t="str">
        <f t="shared" si="9"/>
        <v/>
      </c>
    </row>
    <row r="423">
      <c r="A423" s="20">
        <v>44140.0</v>
      </c>
      <c r="B423" s="359"/>
      <c r="C423" s="359"/>
      <c r="D423" s="359"/>
      <c r="E423" s="359"/>
      <c r="J423" s="358" t="str">
        <f t="shared" si="4"/>
        <v/>
      </c>
      <c r="K423" s="358" t="str">
        <f t="shared" si="5"/>
        <v/>
      </c>
      <c r="L423" s="358" t="str">
        <f t="shared" si="6"/>
        <v/>
      </c>
      <c r="M423" s="358" t="str">
        <f t="shared" si="7"/>
        <v/>
      </c>
      <c r="N423" s="358" t="str">
        <f t="shared" si="8"/>
        <v/>
      </c>
      <c r="O423" s="358" t="str">
        <f t="shared" si="9"/>
        <v/>
      </c>
    </row>
    <row r="424">
      <c r="A424" s="20">
        <v>44141.0</v>
      </c>
      <c r="B424" s="359"/>
      <c r="C424" s="359"/>
      <c r="D424" s="359"/>
      <c r="E424" s="359"/>
      <c r="J424" s="358" t="str">
        <f t="shared" si="4"/>
        <v/>
      </c>
      <c r="K424" s="358" t="str">
        <f t="shared" si="5"/>
        <v/>
      </c>
      <c r="L424" s="358" t="str">
        <f t="shared" si="6"/>
        <v/>
      </c>
      <c r="M424" s="358" t="str">
        <f t="shared" si="7"/>
        <v/>
      </c>
      <c r="N424" s="358" t="str">
        <f t="shared" si="8"/>
        <v/>
      </c>
      <c r="O424" s="358" t="str">
        <f t="shared" si="9"/>
        <v/>
      </c>
    </row>
    <row r="425">
      <c r="A425" s="20">
        <v>44142.0</v>
      </c>
      <c r="B425" s="359"/>
      <c r="C425" s="359"/>
      <c r="D425" s="359"/>
      <c r="E425" s="359"/>
      <c r="J425" s="358" t="str">
        <f t="shared" si="4"/>
        <v/>
      </c>
      <c r="K425" s="358" t="str">
        <f t="shared" si="5"/>
        <v/>
      </c>
      <c r="L425" s="358" t="str">
        <f t="shared" si="6"/>
        <v/>
      </c>
      <c r="M425" s="358" t="str">
        <f t="shared" si="7"/>
        <v/>
      </c>
      <c r="N425" s="358" t="str">
        <f t="shared" si="8"/>
        <v/>
      </c>
      <c r="O425" s="358" t="str">
        <f t="shared" si="9"/>
        <v/>
      </c>
    </row>
    <row r="426">
      <c r="A426" s="20">
        <v>44143.0</v>
      </c>
      <c r="B426" s="359"/>
      <c r="C426" s="359"/>
      <c r="D426" s="359"/>
      <c r="E426" s="359"/>
      <c r="J426" s="358" t="str">
        <f t="shared" si="4"/>
        <v/>
      </c>
      <c r="K426" s="358" t="str">
        <f t="shared" si="5"/>
        <v/>
      </c>
      <c r="L426" s="358" t="str">
        <f t="shared" si="6"/>
        <v/>
      </c>
      <c r="M426" s="358" t="str">
        <f t="shared" si="7"/>
        <v/>
      </c>
      <c r="N426" s="358" t="str">
        <f t="shared" si="8"/>
        <v/>
      </c>
      <c r="O426" s="358" t="str">
        <f t="shared" si="9"/>
        <v/>
      </c>
    </row>
    <row r="427">
      <c r="A427" s="20">
        <v>44144.0</v>
      </c>
      <c r="B427" s="359"/>
      <c r="C427" s="359"/>
      <c r="D427" s="359"/>
      <c r="E427" s="359"/>
      <c r="J427" s="358" t="str">
        <f t="shared" si="4"/>
        <v/>
      </c>
      <c r="K427" s="358" t="str">
        <f t="shared" si="5"/>
        <v/>
      </c>
      <c r="L427" s="358" t="str">
        <f t="shared" si="6"/>
        <v/>
      </c>
      <c r="M427" s="358" t="str">
        <f t="shared" si="7"/>
        <v/>
      </c>
      <c r="N427" s="358" t="str">
        <f t="shared" si="8"/>
        <v/>
      </c>
      <c r="O427" s="358" t="str">
        <f t="shared" si="9"/>
        <v/>
      </c>
    </row>
    <row r="428">
      <c r="A428" s="20">
        <v>44145.0</v>
      </c>
      <c r="B428" s="359"/>
      <c r="C428" s="359"/>
      <c r="D428" s="359"/>
      <c r="E428" s="359"/>
      <c r="J428" s="358" t="str">
        <f t="shared" si="4"/>
        <v/>
      </c>
      <c r="K428" s="358" t="str">
        <f t="shared" si="5"/>
        <v/>
      </c>
      <c r="L428" s="358" t="str">
        <f t="shared" si="6"/>
        <v/>
      </c>
      <c r="M428" s="358" t="str">
        <f t="shared" si="7"/>
        <v/>
      </c>
      <c r="N428" s="358" t="str">
        <f t="shared" si="8"/>
        <v/>
      </c>
      <c r="O428" s="358" t="str">
        <f t="shared" si="9"/>
        <v/>
      </c>
    </row>
    <row r="429">
      <c r="A429" s="20">
        <v>44146.0</v>
      </c>
      <c r="B429" s="359"/>
      <c r="C429" s="359"/>
      <c r="D429" s="359"/>
      <c r="E429" s="359"/>
      <c r="J429" s="358" t="str">
        <f t="shared" si="4"/>
        <v/>
      </c>
      <c r="K429" s="358" t="str">
        <f t="shared" si="5"/>
        <v/>
      </c>
      <c r="L429" s="358" t="str">
        <f t="shared" si="6"/>
        <v/>
      </c>
      <c r="M429" s="358" t="str">
        <f t="shared" si="7"/>
        <v/>
      </c>
      <c r="N429" s="358" t="str">
        <f t="shared" si="8"/>
        <v/>
      </c>
      <c r="O429" s="358" t="str">
        <f t="shared" si="9"/>
        <v/>
      </c>
    </row>
    <row r="430">
      <c r="A430" s="20">
        <v>44147.0</v>
      </c>
      <c r="B430" s="359"/>
      <c r="C430" s="359"/>
      <c r="D430" s="359"/>
      <c r="E430" s="359"/>
      <c r="J430" s="358" t="str">
        <f t="shared" si="4"/>
        <v/>
      </c>
      <c r="K430" s="358" t="str">
        <f t="shared" si="5"/>
        <v/>
      </c>
      <c r="L430" s="358" t="str">
        <f t="shared" si="6"/>
        <v/>
      </c>
      <c r="M430" s="358" t="str">
        <f t="shared" si="7"/>
        <v/>
      </c>
      <c r="N430" s="358" t="str">
        <f t="shared" si="8"/>
        <v/>
      </c>
      <c r="O430" s="358" t="str">
        <f t="shared" si="9"/>
        <v/>
      </c>
    </row>
    <row r="431">
      <c r="A431" s="20">
        <v>44148.0</v>
      </c>
      <c r="B431" s="359"/>
      <c r="C431" s="359"/>
      <c r="D431" s="359"/>
      <c r="E431" s="359"/>
      <c r="J431" s="358" t="str">
        <f t="shared" si="4"/>
        <v/>
      </c>
      <c r="K431" s="358" t="str">
        <f t="shared" si="5"/>
        <v/>
      </c>
      <c r="L431" s="358" t="str">
        <f t="shared" si="6"/>
        <v/>
      </c>
      <c r="M431" s="358" t="str">
        <f t="shared" si="7"/>
        <v/>
      </c>
      <c r="N431" s="358" t="str">
        <f t="shared" si="8"/>
        <v/>
      </c>
      <c r="O431" s="358" t="str">
        <f t="shared" si="9"/>
        <v/>
      </c>
    </row>
    <row r="432">
      <c r="A432" s="20">
        <v>44149.0</v>
      </c>
      <c r="B432" s="359"/>
      <c r="C432" s="359"/>
      <c r="D432" s="359"/>
      <c r="E432" s="359"/>
      <c r="J432" s="358" t="str">
        <f t="shared" si="4"/>
        <v/>
      </c>
      <c r="K432" s="358" t="str">
        <f t="shared" si="5"/>
        <v/>
      </c>
      <c r="L432" s="358" t="str">
        <f t="shared" si="6"/>
        <v/>
      </c>
      <c r="M432" s="358" t="str">
        <f t="shared" si="7"/>
        <v/>
      </c>
      <c r="N432" s="358" t="str">
        <f t="shared" si="8"/>
        <v/>
      </c>
      <c r="O432" s="358" t="str">
        <f t="shared" si="9"/>
        <v/>
      </c>
    </row>
    <row r="433">
      <c r="A433" s="20">
        <v>44150.0</v>
      </c>
      <c r="B433" s="359"/>
      <c r="C433" s="359"/>
      <c r="D433" s="359"/>
      <c r="E433" s="359"/>
      <c r="J433" s="358" t="str">
        <f t="shared" si="4"/>
        <v/>
      </c>
      <c r="K433" s="358" t="str">
        <f t="shared" si="5"/>
        <v/>
      </c>
      <c r="L433" s="358" t="str">
        <f t="shared" si="6"/>
        <v/>
      </c>
      <c r="M433" s="358" t="str">
        <f t="shared" si="7"/>
        <v/>
      </c>
      <c r="N433" s="358" t="str">
        <f t="shared" si="8"/>
        <v/>
      </c>
      <c r="O433" s="358" t="str">
        <f t="shared" si="9"/>
        <v/>
      </c>
    </row>
    <row r="434">
      <c r="A434" s="20">
        <v>44151.0</v>
      </c>
      <c r="B434" s="359"/>
      <c r="C434" s="359"/>
      <c r="D434" s="359"/>
      <c r="E434" s="359"/>
      <c r="J434" s="358" t="str">
        <f t="shared" si="4"/>
        <v/>
      </c>
      <c r="K434" s="358" t="str">
        <f t="shared" si="5"/>
        <v/>
      </c>
      <c r="L434" s="358" t="str">
        <f t="shared" si="6"/>
        <v/>
      </c>
      <c r="M434" s="358" t="str">
        <f t="shared" si="7"/>
        <v/>
      </c>
      <c r="N434" s="358" t="str">
        <f t="shared" si="8"/>
        <v/>
      </c>
      <c r="O434" s="358" t="str">
        <f t="shared" si="9"/>
        <v/>
      </c>
    </row>
    <row r="435">
      <c r="A435" s="20">
        <v>44152.0</v>
      </c>
      <c r="B435" s="359"/>
      <c r="C435" s="359"/>
      <c r="D435" s="359"/>
      <c r="E435" s="359"/>
      <c r="J435" s="358" t="str">
        <f t="shared" si="4"/>
        <v/>
      </c>
      <c r="K435" s="358" t="str">
        <f t="shared" si="5"/>
        <v/>
      </c>
      <c r="L435" s="358" t="str">
        <f t="shared" si="6"/>
        <v/>
      </c>
      <c r="M435" s="358" t="str">
        <f t="shared" si="7"/>
        <v/>
      </c>
      <c r="N435" s="358" t="str">
        <f t="shared" si="8"/>
        <v/>
      </c>
      <c r="O435" s="358" t="str">
        <f t="shared" si="9"/>
        <v/>
      </c>
    </row>
    <row r="436">
      <c r="A436" s="20">
        <v>44153.0</v>
      </c>
      <c r="B436" s="359"/>
      <c r="C436" s="359"/>
      <c r="D436" s="359"/>
      <c r="E436" s="359"/>
      <c r="J436" s="358" t="str">
        <f t="shared" si="4"/>
        <v/>
      </c>
      <c r="K436" s="358" t="str">
        <f t="shared" si="5"/>
        <v/>
      </c>
      <c r="L436" s="358" t="str">
        <f t="shared" si="6"/>
        <v/>
      </c>
      <c r="M436" s="358" t="str">
        <f t="shared" si="7"/>
        <v/>
      </c>
      <c r="N436" s="358" t="str">
        <f t="shared" si="8"/>
        <v/>
      </c>
      <c r="O436" s="358" t="str">
        <f t="shared" si="9"/>
        <v/>
      </c>
    </row>
    <row r="437">
      <c r="A437" s="20">
        <v>44154.0</v>
      </c>
      <c r="B437" s="359"/>
      <c r="C437" s="359"/>
      <c r="D437" s="359"/>
      <c r="E437" s="359"/>
      <c r="J437" s="358" t="str">
        <f t="shared" si="4"/>
        <v/>
      </c>
      <c r="K437" s="358" t="str">
        <f t="shared" si="5"/>
        <v/>
      </c>
      <c r="L437" s="358" t="str">
        <f t="shared" si="6"/>
        <v/>
      </c>
      <c r="M437" s="358" t="str">
        <f t="shared" si="7"/>
        <v/>
      </c>
      <c r="N437" s="358" t="str">
        <f t="shared" si="8"/>
        <v/>
      </c>
      <c r="O437" s="358" t="str">
        <f t="shared" si="9"/>
        <v/>
      </c>
    </row>
    <row r="438">
      <c r="A438" s="20">
        <v>44155.0</v>
      </c>
      <c r="B438" s="359"/>
      <c r="C438" s="359"/>
      <c r="D438" s="359"/>
      <c r="E438" s="359"/>
      <c r="J438" s="358" t="str">
        <f t="shared" si="4"/>
        <v/>
      </c>
      <c r="K438" s="358" t="str">
        <f t="shared" si="5"/>
        <v/>
      </c>
      <c r="L438" s="358" t="str">
        <f t="shared" si="6"/>
        <v/>
      </c>
      <c r="M438" s="358" t="str">
        <f t="shared" si="7"/>
        <v/>
      </c>
      <c r="N438" s="358" t="str">
        <f t="shared" si="8"/>
        <v/>
      </c>
      <c r="O438" s="358" t="str">
        <f t="shared" si="9"/>
        <v/>
      </c>
    </row>
    <row r="439">
      <c r="A439" s="20">
        <v>44156.0</v>
      </c>
      <c r="B439" s="359"/>
      <c r="C439" s="359"/>
      <c r="D439" s="359"/>
      <c r="E439" s="359"/>
      <c r="J439" s="358" t="str">
        <f t="shared" si="4"/>
        <v/>
      </c>
      <c r="K439" s="358" t="str">
        <f t="shared" si="5"/>
        <v/>
      </c>
      <c r="L439" s="358" t="str">
        <f t="shared" si="6"/>
        <v/>
      </c>
      <c r="M439" s="358" t="str">
        <f t="shared" si="7"/>
        <v/>
      </c>
      <c r="N439" s="358" t="str">
        <f t="shared" si="8"/>
        <v/>
      </c>
      <c r="O439" s="358" t="str">
        <f t="shared" si="9"/>
        <v/>
      </c>
    </row>
    <row r="440">
      <c r="A440" s="20">
        <v>44157.0</v>
      </c>
      <c r="B440" s="359"/>
      <c r="C440" s="359"/>
      <c r="D440" s="359"/>
      <c r="E440" s="359"/>
      <c r="J440" s="358" t="str">
        <f t="shared" si="4"/>
        <v/>
      </c>
      <c r="K440" s="358" t="str">
        <f t="shared" si="5"/>
        <v/>
      </c>
      <c r="L440" s="358" t="str">
        <f t="shared" si="6"/>
        <v/>
      </c>
      <c r="M440" s="358" t="str">
        <f t="shared" si="7"/>
        <v/>
      </c>
      <c r="N440" s="358" t="str">
        <f t="shared" si="8"/>
        <v/>
      </c>
      <c r="O440" s="358" t="str">
        <f t="shared" si="9"/>
        <v/>
      </c>
    </row>
    <row r="441">
      <c r="A441" s="20">
        <v>44158.0</v>
      </c>
      <c r="B441" s="359"/>
      <c r="C441" s="359"/>
      <c r="D441" s="359"/>
      <c r="E441" s="359"/>
      <c r="J441" s="358" t="str">
        <f t="shared" si="4"/>
        <v/>
      </c>
      <c r="K441" s="358" t="str">
        <f t="shared" si="5"/>
        <v/>
      </c>
      <c r="L441" s="358" t="str">
        <f t="shared" si="6"/>
        <v/>
      </c>
      <c r="M441" s="358" t="str">
        <f t="shared" si="7"/>
        <v/>
      </c>
      <c r="N441" s="358" t="str">
        <f t="shared" si="8"/>
        <v/>
      </c>
      <c r="O441" s="358" t="str">
        <f t="shared" si="9"/>
        <v/>
      </c>
    </row>
    <row r="442">
      <c r="A442" s="20">
        <v>44159.0</v>
      </c>
      <c r="B442" s="359"/>
      <c r="C442" s="359"/>
      <c r="D442" s="359"/>
      <c r="E442" s="359"/>
      <c r="J442" s="358" t="str">
        <f t="shared" si="4"/>
        <v/>
      </c>
      <c r="K442" s="358" t="str">
        <f t="shared" si="5"/>
        <v/>
      </c>
      <c r="L442" s="358" t="str">
        <f t="shared" si="6"/>
        <v/>
      </c>
      <c r="M442" s="358" t="str">
        <f t="shared" si="7"/>
        <v/>
      </c>
      <c r="N442" s="358" t="str">
        <f t="shared" si="8"/>
        <v/>
      </c>
      <c r="O442" s="358" t="str">
        <f t="shared" si="9"/>
        <v/>
      </c>
    </row>
    <row r="443">
      <c r="A443" s="20">
        <v>44160.0</v>
      </c>
      <c r="B443" s="359"/>
      <c r="C443" s="359"/>
      <c r="D443" s="359"/>
      <c r="E443" s="359"/>
      <c r="J443" s="358" t="str">
        <f t="shared" si="4"/>
        <v/>
      </c>
      <c r="K443" s="358" t="str">
        <f t="shared" si="5"/>
        <v/>
      </c>
      <c r="L443" s="358" t="str">
        <f t="shared" si="6"/>
        <v/>
      </c>
      <c r="M443" s="358" t="str">
        <f t="shared" si="7"/>
        <v/>
      </c>
      <c r="N443" s="358" t="str">
        <f t="shared" si="8"/>
        <v/>
      </c>
      <c r="O443" s="358" t="str">
        <f t="shared" si="9"/>
        <v/>
      </c>
    </row>
    <row r="444">
      <c r="A444" s="20">
        <v>44161.0</v>
      </c>
      <c r="B444" s="359"/>
      <c r="C444" s="359"/>
      <c r="D444" s="359"/>
      <c r="E444" s="359"/>
      <c r="J444" s="358" t="str">
        <f t="shared" si="4"/>
        <v/>
      </c>
      <c r="K444" s="358" t="str">
        <f t="shared" si="5"/>
        <v/>
      </c>
      <c r="L444" s="358" t="str">
        <f t="shared" si="6"/>
        <v/>
      </c>
      <c r="M444" s="358" t="str">
        <f t="shared" si="7"/>
        <v/>
      </c>
      <c r="N444" s="358" t="str">
        <f t="shared" si="8"/>
        <v/>
      </c>
      <c r="O444" s="358" t="str">
        <f t="shared" si="9"/>
        <v/>
      </c>
    </row>
    <row r="445">
      <c r="A445" s="20">
        <v>44162.0</v>
      </c>
      <c r="B445" s="359"/>
      <c r="C445" s="359"/>
      <c r="D445" s="359"/>
      <c r="E445" s="359"/>
      <c r="J445" s="358" t="str">
        <f t="shared" si="4"/>
        <v/>
      </c>
      <c r="K445" s="358" t="str">
        <f t="shared" si="5"/>
        <v/>
      </c>
      <c r="L445" s="358" t="str">
        <f t="shared" si="6"/>
        <v/>
      </c>
      <c r="M445" s="358" t="str">
        <f t="shared" si="7"/>
        <v/>
      </c>
      <c r="N445" s="358" t="str">
        <f t="shared" si="8"/>
        <v/>
      </c>
      <c r="O445" s="358" t="str">
        <f t="shared" si="9"/>
        <v/>
      </c>
    </row>
    <row r="446">
      <c r="A446" s="20">
        <v>44163.0</v>
      </c>
      <c r="B446" s="359"/>
      <c r="C446" s="359"/>
      <c r="D446" s="359"/>
      <c r="E446" s="359"/>
      <c r="J446" s="358" t="str">
        <f t="shared" si="4"/>
        <v/>
      </c>
      <c r="K446" s="358" t="str">
        <f t="shared" si="5"/>
        <v/>
      </c>
      <c r="L446" s="358" t="str">
        <f t="shared" si="6"/>
        <v/>
      </c>
      <c r="M446" s="358" t="str">
        <f t="shared" si="7"/>
        <v/>
      </c>
      <c r="N446" s="358" t="str">
        <f t="shared" si="8"/>
        <v/>
      </c>
      <c r="O446" s="358" t="str">
        <f t="shared" si="9"/>
        <v/>
      </c>
    </row>
    <row r="447">
      <c r="A447" s="20">
        <v>44164.0</v>
      </c>
      <c r="B447" s="359"/>
      <c r="C447" s="359"/>
      <c r="D447" s="359"/>
      <c r="E447" s="359"/>
      <c r="J447" s="358" t="str">
        <f t="shared" si="4"/>
        <v/>
      </c>
      <c r="K447" s="358" t="str">
        <f t="shared" si="5"/>
        <v/>
      </c>
      <c r="L447" s="358" t="str">
        <f t="shared" si="6"/>
        <v/>
      </c>
      <c r="M447" s="358" t="str">
        <f t="shared" si="7"/>
        <v/>
      </c>
      <c r="N447" s="358" t="str">
        <f t="shared" si="8"/>
        <v/>
      </c>
      <c r="O447" s="358" t="str">
        <f t="shared" si="9"/>
        <v/>
      </c>
    </row>
    <row r="448">
      <c r="A448" s="20">
        <v>44165.0</v>
      </c>
      <c r="B448" s="359"/>
      <c r="C448" s="359"/>
      <c r="D448" s="359"/>
      <c r="E448" s="359"/>
      <c r="J448" s="358" t="str">
        <f t="shared" si="4"/>
        <v/>
      </c>
      <c r="K448" s="358" t="str">
        <f t="shared" si="5"/>
        <v/>
      </c>
      <c r="L448" s="358" t="str">
        <f t="shared" si="6"/>
        <v/>
      </c>
      <c r="M448" s="358" t="str">
        <f t="shared" si="7"/>
        <v/>
      </c>
      <c r="N448" s="358" t="str">
        <f t="shared" si="8"/>
        <v/>
      </c>
      <c r="O448" s="358" t="str">
        <f t="shared" si="9"/>
        <v/>
      </c>
    </row>
    <row r="449">
      <c r="A449" s="20">
        <v>44166.0</v>
      </c>
      <c r="B449" s="359"/>
      <c r="C449" s="359"/>
      <c r="D449" s="359"/>
      <c r="E449" s="359"/>
      <c r="J449" s="358" t="str">
        <f t="shared" si="4"/>
        <v/>
      </c>
      <c r="K449" s="358" t="str">
        <f t="shared" si="5"/>
        <v/>
      </c>
      <c r="L449" s="358" t="str">
        <f t="shared" si="6"/>
        <v/>
      </c>
      <c r="M449" s="358" t="str">
        <f t="shared" si="7"/>
        <v/>
      </c>
      <c r="N449" s="358" t="str">
        <f t="shared" si="8"/>
        <v/>
      </c>
      <c r="O449" s="358" t="str">
        <f t="shared" si="9"/>
        <v/>
      </c>
    </row>
    <row r="450">
      <c r="A450" s="20">
        <v>44167.0</v>
      </c>
      <c r="B450" s="359"/>
      <c r="C450" s="359"/>
      <c r="D450" s="359"/>
      <c r="E450" s="359"/>
      <c r="J450" s="358" t="str">
        <f t="shared" si="4"/>
        <v/>
      </c>
      <c r="K450" s="358" t="str">
        <f t="shared" si="5"/>
        <v/>
      </c>
      <c r="L450" s="358" t="str">
        <f t="shared" si="6"/>
        <v/>
      </c>
      <c r="M450" s="358" t="str">
        <f t="shared" si="7"/>
        <v/>
      </c>
      <c r="N450" s="358" t="str">
        <f t="shared" si="8"/>
        <v/>
      </c>
      <c r="O450" s="358" t="str">
        <f t="shared" si="9"/>
        <v/>
      </c>
    </row>
    <row r="451">
      <c r="A451" s="20">
        <v>44168.0</v>
      </c>
      <c r="B451" s="359"/>
      <c r="C451" s="359"/>
      <c r="D451" s="359"/>
      <c r="E451" s="359"/>
      <c r="J451" s="358" t="str">
        <f t="shared" si="4"/>
        <v/>
      </c>
      <c r="K451" s="358" t="str">
        <f t="shared" si="5"/>
        <v/>
      </c>
      <c r="L451" s="358" t="str">
        <f t="shared" si="6"/>
        <v/>
      </c>
      <c r="M451" s="358" t="str">
        <f t="shared" si="7"/>
        <v/>
      </c>
      <c r="N451" s="358" t="str">
        <f t="shared" si="8"/>
        <v/>
      </c>
      <c r="O451" s="358" t="str">
        <f t="shared" si="9"/>
        <v/>
      </c>
    </row>
    <row r="452">
      <c r="A452" s="20">
        <v>44169.0</v>
      </c>
      <c r="B452" s="359"/>
      <c r="C452" s="359"/>
      <c r="D452" s="359"/>
      <c r="E452" s="359"/>
      <c r="J452" s="358" t="str">
        <f t="shared" si="4"/>
        <v/>
      </c>
      <c r="K452" s="358" t="str">
        <f t="shared" si="5"/>
        <v/>
      </c>
      <c r="L452" s="358" t="str">
        <f t="shared" si="6"/>
        <v/>
      </c>
      <c r="M452" s="358" t="str">
        <f t="shared" si="7"/>
        <v/>
      </c>
      <c r="N452" s="358" t="str">
        <f t="shared" si="8"/>
        <v/>
      </c>
      <c r="O452" s="358" t="str">
        <f t="shared" si="9"/>
        <v/>
      </c>
    </row>
    <row r="453">
      <c r="A453" s="20">
        <v>44170.0</v>
      </c>
      <c r="B453" s="359"/>
      <c r="C453" s="359"/>
      <c r="D453" s="359"/>
      <c r="E453" s="359"/>
      <c r="J453" s="358" t="str">
        <f t="shared" si="4"/>
        <v/>
      </c>
      <c r="K453" s="358" t="str">
        <f t="shared" si="5"/>
        <v/>
      </c>
      <c r="L453" s="358" t="str">
        <f t="shared" si="6"/>
        <v/>
      </c>
      <c r="M453" s="358" t="str">
        <f t="shared" si="7"/>
        <v/>
      </c>
      <c r="N453" s="358" t="str">
        <f t="shared" si="8"/>
        <v/>
      </c>
      <c r="O453" s="358" t="str">
        <f t="shared" si="9"/>
        <v/>
      </c>
    </row>
    <row r="454">
      <c r="A454" s="20">
        <v>44171.0</v>
      </c>
      <c r="B454" s="359"/>
      <c r="C454" s="359"/>
      <c r="D454" s="359"/>
      <c r="E454" s="359"/>
      <c r="J454" s="358" t="str">
        <f t="shared" si="4"/>
        <v/>
      </c>
      <c r="K454" s="358" t="str">
        <f t="shared" si="5"/>
        <v/>
      </c>
      <c r="L454" s="358" t="str">
        <f t="shared" si="6"/>
        <v/>
      </c>
      <c r="M454" s="358" t="str">
        <f t="shared" si="7"/>
        <v/>
      </c>
      <c r="N454" s="358" t="str">
        <f t="shared" si="8"/>
        <v/>
      </c>
      <c r="O454" s="358" t="str">
        <f t="shared" si="9"/>
        <v/>
      </c>
    </row>
    <row r="455">
      <c r="A455" s="20">
        <v>44172.0</v>
      </c>
      <c r="B455" s="359"/>
      <c r="C455" s="359"/>
      <c r="D455" s="359"/>
      <c r="E455" s="359"/>
      <c r="J455" s="358" t="str">
        <f t="shared" si="4"/>
        <v/>
      </c>
      <c r="K455" s="358" t="str">
        <f t="shared" si="5"/>
        <v/>
      </c>
      <c r="L455" s="358" t="str">
        <f t="shared" si="6"/>
        <v/>
      </c>
      <c r="M455" s="358" t="str">
        <f t="shared" si="7"/>
        <v/>
      </c>
      <c r="N455" s="358" t="str">
        <f t="shared" si="8"/>
        <v/>
      </c>
      <c r="O455" s="358" t="str">
        <f t="shared" si="9"/>
        <v/>
      </c>
    </row>
    <row r="456">
      <c r="A456" s="20">
        <v>44173.0</v>
      </c>
      <c r="B456" s="359"/>
      <c r="C456" s="359"/>
      <c r="D456" s="359"/>
      <c r="E456" s="359"/>
      <c r="J456" s="358" t="str">
        <f t="shared" si="4"/>
        <v/>
      </c>
      <c r="K456" s="358" t="str">
        <f t="shared" si="5"/>
        <v/>
      </c>
      <c r="L456" s="358" t="str">
        <f t="shared" si="6"/>
        <v/>
      </c>
      <c r="M456" s="358" t="str">
        <f t="shared" si="7"/>
        <v/>
      </c>
      <c r="N456" s="358" t="str">
        <f t="shared" si="8"/>
        <v/>
      </c>
      <c r="O456" s="358" t="str">
        <f t="shared" si="9"/>
        <v/>
      </c>
    </row>
    <row r="457">
      <c r="A457" s="20">
        <v>44174.0</v>
      </c>
      <c r="B457" s="359"/>
      <c r="C457" s="359"/>
      <c r="D457" s="359"/>
      <c r="E457" s="359"/>
      <c r="J457" s="358" t="str">
        <f t="shared" si="4"/>
        <v/>
      </c>
      <c r="K457" s="358" t="str">
        <f t="shared" si="5"/>
        <v/>
      </c>
      <c r="L457" s="358" t="str">
        <f t="shared" si="6"/>
        <v/>
      </c>
      <c r="M457" s="358" t="str">
        <f t="shared" si="7"/>
        <v/>
      </c>
      <c r="N457" s="358" t="str">
        <f t="shared" si="8"/>
        <v/>
      </c>
      <c r="O457" s="358" t="str">
        <f t="shared" si="9"/>
        <v/>
      </c>
    </row>
    <row r="458">
      <c r="A458" s="20">
        <v>44175.0</v>
      </c>
      <c r="B458" s="359"/>
      <c r="C458" s="359"/>
      <c r="D458" s="359"/>
      <c r="E458" s="359"/>
      <c r="J458" s="358" t="str">
        <f t="shared" si="4"/>
        <v/>
      </c>
      <c r="K458" s="358" t="str">
        <f t="shared" si="5"/>
        <v/>
      </c>
      <c r="L458" s="358" t="str">
        <f t="shared" si="6"/>
        <v/>
      </c>
      <c r="M458" s="358" t="str">
        <f t="shared" si="7"/>
        <v/>
      </c>
      <c r="N458" s="358" t="str">
        <f t="shared" si="8"/>
        <v/>
      </c>
      <c r="O458" s="358" t="str">
        <f t="shared" si="9"/>
        <v/>
      </c>
    </row>
    <row r="459">
      <c r="A459" s="20">
        <v>44176.0</v>
      </c>
      <c r="B459" s="359"/>
      <c r="C459" s="359"/>
      <c r="D459" s="359"/>
      <c r="E459" s="359"/>
      <c r="J459" s="358" t="str">
        <f t="shared" si="4"/>
        <v/>
      </c>
      <c r="K459" s="358" t="str">
        <f t="shared" si="5"/>
        <v/>
      </c>
      <c r="L459" s="358" t="str">
        <f t="shared" si="6"/>
        <v/>
      </c>
      <c r="M459" s="358" t="str">
        <f t="shared" si="7"/>
        <v/>
      </c>
      <c r="N459" s="358" t="str">
        <f t="shared" si="8"/>
        <v/>
      </c>
      <c r="O459" s="358" t="str">
        <f t="shared" si="9"/>
        <v/>
      </c>
    </row>
    <row r="460">
      <c r="A460" s="20">
        <v>44177.0</v>
      </c>
      <c r="B460" s="359"/>
      <c r="C460" s="359"/>
      <c r="D460" s="359"/>
      <c r="E460" s="359"/>
      <c r="J460" s="358" t="str">
        <f t="shared" si="4"/>
        <v/>
      </c>
      <c r="K460" s="358" t="str">
        <f t="shared" si="5"/>
        <v/>
      </c>
      <c r="L460" s="358" t="str">
        <f t="shared" si="6"/>
        <v/>
      </c>
      <c r="M460" s="358" t="str">
        <f t="shared" si="7"/>
        <v/>
      </c>
      <c r="N460" s="358" t="str">
        <f t="shared" si="8"/>
        <v/>
      </c>
      <c r="O460" s="358" t="str">
        <f t="shared" si="9"/>
        <v/>
      </c>
    </row>
    <row r="461">
      <c r="A461" s="20">
        <v>44178.0</v>
      </c>
      <c r="B461" s="359"/>
      <c r="C461" s="359"/>
      <c r="D461" s="359"/>
      <c r="E461" s="359"/>
      <c r="J461" s="358" t="str">
        <f t="shared" si="4"/>
        <v/>
      </c>
      <c r="K461" s="358" t="str">
        <f t="shared" si="5"/>
        <v/>
      </c>
      <c r="L461" s="358" t="str">
        <f t="shared" si="6"/>
        <v/>
      </c>
      <c r="M461" s="358" t="str">
        <f t="shared" si="7"/>
        <v/>
      </c>
      <c r="N461" s="358" t="str">
        <f t="shared" si="8"/>
        <v/>
      </c>
      <c r="O461" s="358" t="str">
        <f t="shared" si="9"/>
        <v/>
      </c>
    </row>
    <row r="462">
      <c r="A462" s="20">
        <v>44179.0</v>
      </c>
      <c r="B462" s="359"/>
      <c r="C462" s="359"/>
      <c r="D462" s="359"/>
      <c r="E462" s="359"/>
      <c r="J462" s="358" t="str">
        <f t="shared" si="4"/>
        <v/>
      </c>
      <c r="K462" s="358" t="str">
        <f t="shared" si="5"/>
        <v/>
      </c>
      <c r="L462" s="358" t="str">
        <f t="shared" si="6"/>
        <v/>
      </c>
      <c r="M462" s="358" t="str">
        <f t="shared" si="7"/>
        <v/>
      </c>
      <c r="N462" s="358" t="str">
        <f t="shared" si="8"/>
        <v/>
      </c>
      <c r="O462" s="358" t="str">
        <f t="shared" si="9"/>
        <v/>
      </c>
    </row>
    <row r="463">
      <c r="A463" s="20">
        <v>44180.0</v>
      </c>
      <c r="B463" s="359"/>
      <c r="C463" s="359"/>
      <c r="D463" s="359"/>
      <c r="E463" s="359"/>
      <c r="J463" s="358" t="str">
        <f t="shared" si="4"/>
        <v/>
      </c>
      <c r="K463" s="358" t="str">
        <f t="shared" si="5"/>
        <v/>
      </c>
      <c r="L463" s="358" t="str">
        <f t="shared" si="6"/>
        <v/>
      </c>
      <c r="M463" s="358" t="str">
        <f t="shared" si="7"/>
        <v/>
      </c>
      <c r="N463" s="358" t="str">
        <f t="shared" si="8"/>
        <v/>
      </c>
      <c r="O463" s="358" t="str">
        <f t="shared" si="9"/>
        <v/>
      </c>
    </row>
    <row r="464">
      <c r="A464" s="20">
        <v>44181.0</v>
      </c>
      <c r="B464" s="359"/>
      <c r="C464" s="359"/>
      <c r="D464" s="359"/>
      <c r="E464" s="359"/>
      <c r="J464" s="358" t="str">
        <f t="shared" si="4"/>
        <v/>
      </c>
      <c r="K464" s="358" t="str">
        <f t="shared" si="5"/>
        <v/>
      </c>
      <c r="L464" s="358" t="str">
        <f t="shared" si="6"/>
        <v/>
      </c>
      <c r="M464" s="358" t="str">
        <f t="shared" si="7"/>
        <v/>
      </c>
      <c r="N464" s="358" t="str">
        <f t="shared" si="8"/>
        <v/>
      </c>
      <c r="O464" s="358" t="str">
        <f t="shared" si="9"/>
        <v/>
      </c>
    </row>
    <row r="465">
      <c r="A465" s="20">
        <v>44182.0</v>
      </c>
      <c r="B465" s="359"/>
      <c r="C465" s="359"/>
      <c r="D465" s="359"/>
      <c r="E465" s="359"/>
      <c r="J465" s="358" t="str">
        <f t="shared" si="4"/>
        <v/>
      </c>
      <c r="K465" s="358" t="str">
        <f t="shared" si="5"/>
        <v/>
      </c>
      <c r="L465" s="358" t="str">
        <f t="shared" si="6"/>
        <v/>
      </c>
      <c r="M465" s="358" t="str">
        <f t="shared" si="7"/>
        <v/>
      </c>
      <c r="N465" s="358" t="str">
        <f t="shared" si="8"/>
        <v/>
      </c>
      <c r="O465" s="358" t="str">
        <f t="shared" si="9"/>
        <v/>
      </c>
    </row>
    <row r="466">
      <c r="A466" s="20">
        <v>44183.0</v>
      </c>
      <c r="B466" s="359"/>
      <c r="C466" s="359"/>
      <c r="D466" s="359"/>
      <c r="E466" s="359"/>
      <c r="J466" s="358" t="str">
        <f t="shared" si="4"/>
        <v/>
      </c>
      <c r="K466" s="358" t="str">
        <f t="shared" si="5"/>
        <v/>
      </c>
      <c r="L466" s="358" t="str">
        <f t="shared" si="6"/>
        <v/>
      </c>
      <c r="M466" s="358" t="str">
        <f t="shared" si="7"/>
        <v/>
      </c>
      <c r="N466" s="358" t="str">
        <f t="shared" si="8"/>
        <v/>
      </c>
      <c r="O466" s="358" t="str">
        <f t="shared" si="9"/>
        <v/>
      </c>
    </row>
    <row r="467">
      <c r="A467" s="20">
        <v>44184.0</v>
      </c>
      <c r="B467" s="359"/>
      <c r="C467" s="359"/>
      <c r="D467" s="359"/>
      <c r="E467" s="359"/>
      <c r="J467" s="358" t="str">
        <f t="shared" si="4"/>
        <v/>
      </c>
      <c r="K467" s="358" t="str">
        <f t="shared" si="5"/>
        <v/>
      </c>
      <c r="L467" s="358" t="str">
        <f t="shared" si="6"/>
        <v/>
      </c>
      <c r="M467" s="358" t="str">
        <f t="shared" si="7"/>
        <v/>
      </c>
      <c r="N467" s="358" t="str">
        <f t="shared" si="8"/>
        <v/>
      </c>
      <c r="O467" s="358" t="str">
        <f t="shared" si="9"/>
        <v/>
      </c>
    </row>
    <row r="468">
      <c r="A468" s="20">
        <v>44185.0</v>
      </c>
      <c r="B468" s="359"/>
      <c r="C468" s="359"/>
      <c r="D468" s="359"/>
      <c r="E468" s="359"/>
      <c r="J468" s="358" t="str">
        <f t="shared" si="4"/>
        <v/>
      </c>
      <c r="K468" s="358" t="str">
        <f t="shared" si="5"/>
        <v/>
      </c>
      <c r="L468" s="358" t="str">
        <f t="shared" si="6"/>
        <v/>
      </c>
      <c r="M468" s="358" t="str">
        <f t="shared" si="7"/>
        <v/>
      </c>
      <c r="N468" s="358" t="str">
        <f t="shared" si="8"/>
        <v/>
      </c>
      <c r="O468" s="358" t="str">
        <f t="shared" si="9"/>
        <v/>
      </c>
    </row>
    <row r="469">
      <c r="A469" s="20">
        <v>44186.0</v>
      </c>
      <c r="B469" s="359"/>
      <c r="C469" s="359"/>
      <c r="D469" s="359"/>
      <c r="E469" s="359"/>
      <c r="J469" s="358" t="str">
        <f t="shared" si="4"/>
        <v/>
      </c>
      <c r="K469" s="358" t="str">
        <f t="shared" si="5"/>
        <v/>
      </c>
      <c r="L469" s="358" t="str">
        <f t="shared" si="6"/>
        <v/>
      </c>
      <c r="M469" s="358" t="str">
        <f t="shared" si="7"/>
        <v/>
      </c>
      <c r="N469" s="358" t="str">
        <f t="shared" si="8"/>
        <v/>
      </c>
      <c r="O469" s="358" t="str">
        <f t="shared" si="9"/>
        <v/>
      </c>
    </row>
    <row r="470">
      <c r="A470" s="20">
        <v>44187.0</v>
      </c>
      <c r="B470" s="359"/>
      <c r="C470" s="359"/>
      <c r="D470" s="359"/>
      <c r="E470" s="359"/>
      <c r="J470" s="358" t="str">
        <f t="shared" si="4"/>
        <v/>
      </c>
      <c r="K470" s="358" t="str">
        <f t="shared" si="5"/>
        <v/>
      </c>
      <c r="L470" s="358" t="str">
        <f t="shared" si="6"/>
        <v/>
      </c>
      <c r="M470" s="358" t="str">
        <f t="shared" si="7"/>
        <v/>
      </c>
      <c r="N470" s="358" t="str">
        <f t="shared" si="8"/>
        <v/>
      </c>
      <c r="O470" s="358" t="str">
        <f t="shared" si="9"/>
        <v/>
      </c>
    </row>
    <row r="471">
      <c r="A471" s="20">
        <v>44188.0</v>
      </c>
      <c r="B471" s="359"/>
      <c r="C471" s="359"/>
      <c r="D471" s="359"/>
      <c r="E471" s="359"/>
      <c r="J471" s="358" t="str">
        <f t="shared" si="4"/>
        <v/>
      </c>
      <c r="K471" s="358" t="str">
        <f t="shared" si="5"/>
        <v/>
      </c>
      <c r="L471" s="358" t="str">
        <f t="shared" si="6"/>
        <v/>
      </c>
      <c r="M471" s="358" t="str">
        <f t="shared" si="7"/>
        <v/>
      </c>
      <c r="N471" s="358" t="str">
        <f t="shared" si="8"/>
        <v/>
      </c>
      <c r="O471" s="358" t="str">
        <f t="shared" si="9"/>
        <v/>
      </c>
    </row>
    <row r="472">
      <c r="A472" s="20">
        <v>44189.0</v>
      </c>
      <c r="B472" s="359"/>
      <c r="C472" s="359"/>
      <c r="D472" s="359"/>
      <c r="E472" s="359"/>
      <c r="J472" s="358" t="str">
        <f t="shared" si="4"/>
        <v/>
      </c>
      <c r="K472" s="358" t="str">
        <f t="shared" si="5"/>
        <v/>
      </c>
      <c r="L472" s="358" t="str">
        <f t="shared" si="6"/>
        <v/>
      </c>
      <c r="M472" s="358" t="str">
        <f t="shared" si="7"/>
        <v/>
      </c>
      <c r="N472" s="358" t="str">
        <f t="shared" si="8"/>
        <v/>
      </c>
      <c r="O472" s="358" t="str">
        <f t="shared" si="9"/>
        <v/>
      </c>
    </row>
    <row r="473">
      <c r="A473" s="20">
        <v>44190.0</v>
      </c>
      <c r="B473" s="359"/>
      <c r="C473" s="359"/>
      <c r="D473" s="359"/>
      <c r="E473" s="359"/>
      <c r="J473" s="358" t="str">
        <f t="shared" si="4"/>
        <v/>
      </c>
      <c r="K473" s="358" t="str">
        <f t="shared" si="5"/>
        <v/>
      </c>
      <c r="L473" s="358" t="str">
        <f t="shared" si="6"/>
        <v/>
      </c>
      <c r="M473" s="358" t="str">
        <f t="shared" si="7"/>
        <v/>
      </c>
      <c r="N473" s="358" t="str">
        <f t="shared" si="8"/>
        <v/>
      </c>
      <c r="O473" s="358" t="str">
        <f t="shared" si="9"/>
        <v/>
      </c>
    </row>
    <row r="474">
      <c r="A474" s="20">
        <v>44191.0</v>
      </c>
      <c r="B474" s="359"/>
      <c r="C474" s="359"/>
      <c r="D474" s="359"/>
      <c r="E474" s="359"/>
      <c r="J474" s="358" t="str">
        <f t="shared" si="4"/>
        <v/>
      </c>
      <c r="K474" s="358" t="str">
        <f t="shared" si="5"/>
        <v/>
      </c>
      <c r="L474" s="358" t="str">
        <f t="shared" si="6"/>
        <v/>
      </c>
      <c r="M474" s="358" t="str">
        <f t="shared" si="7"/>
        <v/>
      </c>
      <c r="N474" s="358" t="str">
        <f t="shared" si="8"/>
        <v/>
      </c>
      <c r="O474" s="358" t="str">
        <f t="shared" si="9"/>
        <v/>
      </c>
    </row>
    <row r="475">
      <c r="A475" s="20">
        <v>44192.0</v>
      </c>
      <c r="B475" s="359"/>
      <c r="C475" s="359"/>
      <c r="D475" s="359"/>
      <c r="E475" s="359"/>
      <c r="J475" s="358" t="str">
        <f t="shared" si="4"/>
        <v/>
      </c>
      <c r="K475" s="358" t="str">
        <f t="shared" si="5"/>
        <v/>
      </c>
      <c r="L475" s="358" t="str">
        <f t="shared" si="6"/>
        <v/>
      </c>
      <c r="M475" s="358" t="str">
        <f t="shared" si="7"/>
        <v/>
      </c>
      <c r="N475" s="358" t="str">
        <f t="shared" si="8"/>
        <v/>
      </c>
      <c r="O475" s="358" t="str">
        <f t="shared" si="9"/>
        <v/>
      </c>
    </row>
    <row r="476">
      <c r="A476" s="20">
        <v>44193.0</v>
      </c>
      <c r="B476" s="359"/>
      <c r="C476" s="359"/>
      <c r="D476" s="359"/>
      <c r="E476" s="359"/>
      <c r="J476" s="358" t="str">
        <f t="shared" si="4"/>
        <v/>
      </c>
      <c r="K476" s="358" t="str">
        <f t="shared" si="5"/>
        <v/>
      </c>
      <c r="L476" s="358" t="str">
        <f t="shared" si="6"/>
        <v/>
      </c>
      <c r="M476" s="358" t="str">
        <f t="shared" si="7"/>
        <v/>
      </c>
      <c r="N476" s="358" t="str">
        <f t="shared" si="8"/>
        <v/>
      </c>
      <c r="O476" s="358" t="str">
        <f t="shared" si="9"/>
        <v/>
      </c>
    </row>
    <row r="477">
      <c r="A477" s="20">
        <v>44194.0</v>
      </c>
      <c r="B477" s="359"/>
      <c r="C477" s="359"/>
      <c r="D477" s="359"/>
      <c r="E477" s="359"/>
      <c r="J477" s="358" t="str">
        <f t="shared" si="4"/>
        <v/>
      </c>
      <c r="K477" s="358" t="str">
        <f t="shared" si="5"/>
        <v/>
      </c>
      <c r="L477" s="358" t="str">
        <f t="shared" si="6"/>
        <v/>
      </c>
      <c r="M477" s="358" t="str">
        <f t="shared" si="7"/>
        <v/>
      </c>
      <c r="N477" s="358" t="str">
        <f t="shared" si="8"/>
        <v/>
      </c>
      <c r="O477" s="358" t="str">
        <f t="shared" si="9"/>
        <v/>
      </c>
    </row>
    <row r="478">
      <c r="A478" s="20">
        <v>44195.0</v>
      </c>
      <c r="B478" s="359"/>
      <c r="C478" s="359"/>
      <c r="D478" s="359"/>
      <c r="E478" s="359"/>
      <c r="J478" s="358" t="str">
        <f t="shared" si="4"/>
        <v/>
      </c>
      <c r="K478" s="358" t="str">
        <f t="shared" si="5"/>
        <v/>
      </c>
      <c r="L478" s="358" t="str">
        <f t="shared" si="6"/>
        <v/>
      </c>
      <c r="M478" s="358" t="str">
        <f t="shared" si="7"/>
        <v/>
      </c>
      <c r="N478" s="358" t="str">
        <f t="shared" si="8"/>
        <v/>
      </c>
      <c r="O478" s="358" t="str">
        <f t="shared" si="9"/>
        <v/>
      </c>
    </row>
    <row r="479">
      <c r="A479" s="20">
        <v>44196.0</v>
      </c>
      <c r="B479" s="359"/>
      <c r="C479" s="359"/>
      <c r="D479" s="359"/>
      <c r="E479" s="359"/>
      <c r="J479" s="358" t="str">
        <f t="shared" si="4"/>
        <v/>
      </c>
      <c r="K479" s="358" t="str">
        <f t="shared" si="5"/>
        <v/>
      </c>
      <c r="L479" s="358" t="str">
        <f t="shared" si="6"/>
        <v/>
      </c>
      <c r="M479" s="358" t="str">
        <f t="shared" si="7"/>
        <v/>
      </c>
      <c r="N479" s="358" t="str">
        <f t="shared" si="8"/>
        <v/>
      </c>
      <c r="O479" s="358" t="str">
        <f t="shared" si="9"/>
        <v/>
      </c>
    </row>
    <row r="480">
      <c r="A480" s="20">
        <v>44197.0</v>
      </c>
      <c r="B480" s="359"/>
      <c r="C480" s="359"/>
      <c r="D480" s="359"/>
      <c r="E480" s="359"/>
      <c r="J480" s="358" t="str">
        <f t="shared" si="4"/>
        <v/>
      </c>
      <c r="K480" s="358" t="str">
        <f t="shared" si="5"/>
        <v/>
      </c>
      <c r="L480" s="358" t="str">
        <f t="shared" si="6"/>
        <v/>
      </c>
      <c r="M480" s="358" t="str">
        <f t="shared" si="7"/>
        <v/>
      </c>
      <c r="N480" s="358" t="str">
        <f t="shared" si="8"/>
        <v/>
      </c>
      <c r="O480" s="358" t="str">
        <f t="shared" si="9"/>
        <v/>
      </c>
    </row>
    <row r="481">
      <c r="A481" s="20">
        <v>44198.0</v>
      </c>
      <c r="B481" s="359"/>
      <c r="C481" s="359"/>
      <c r="D481" s="359"/>
      <c r="E481" s="359"/>
      <c r="J481" s="358" t="str">
        <f t="shared" si="4"/>
        <v/>
      </c>
      <c r="K481" s="358" t="str">
        <f t="shared" si="5"/>
        <v/>
      </c>
      <c r="L481" s="358" t="str">
        <f t="shared" si="6"/>
        <v/>
      </c>
      <c r="M481" s="358" t="str">
        <f t="shared" si="7"/>
        <v/>
      </c>
      <c r="N481" s="358" t="str">
        <f t="shared" si="8"/>
        <v/>
      </c>
      <c r="O481" s="358" t="str">
        <f t="shared" si="9"/>
        <v/>
      </c>
    </row>
    <row r="482">
      <c r="A482" s="20">
        <v>44199.0</v>
      </c>
      <c r="B482" s="359"/>
      <c r="C482" s="359"/>
      <c r="D482" s="359"/>
      <c r="E482" s="359"/>
      <c r="J482" s="358" t="str">
        <f t="shared" si="4"/>
        <v/>
      </c>
      <c r="K482" s="358" t="str">
        <f t="shared" si="5"/>
        <v/>
      </c>
      <c r="L482" s="358" t="str">
        <f t="shared" si="6"/>
        <v/>
      </c>
      <c r="M482" s="358" t="str">
        <f t="shared" si="7"/>
        <v/>
      </c>
      <c r="N482" s="358" t="str">
        <f t="shared" si="8"/>
        <v/>
      </c>
      <c r="O482" s="358" t="str">
        <f t="shared" si="9"/>
        <v/>
      </c>
    </row>
    <row r="483">
      <c r="A483" s="20">
        <v>44200.0</v>
      </c>
      <c r="B483" s="359"/>
      <c r="C483" s="359"/>
      <c r="D483" s="359"/>
      <c r="E483" s="359"/>
      <c r="J483" s="358" t="str">
        <f t="shared" si="4"/>
        <v/>
      </c>
      <c r="K483" s="358" t="str">
        <f t="shared" si="5"/>
        <v/>
      </c>
      <c r="L483" s="358" t="str">
        <f t="shared" si="6"/>
        <v/>
      </c>
      <c r="M483" s="358" t="str">
        <f t="shared" si="7"/>
        <v/>
      </c>
      <c r="N483" s="358" t="str">
        <f t="shared" si="8"/>
        <v/>
      </c>
      <c r="O483" s="358" t="str">
        <f t="shared" si="9"/>
        <v/>
      </c>
    </row>
    <row r="484">
      <c r="A484" s="20">
        <v>44201.0</v>
      </c>
      <c r="B484" s="359"/>
      <c r="C484" s="359"/>
      <c r="D484" s="359"/>
      <c r="E484" s="359"/>
      <c r="J484" s="358" t="str">
        <f t="shared" si="4"/>
        <v/>
      </c>
      <c r="K484" s="358" t="str">
        <f t="shared" si="5"/>
        <v/>
      </c>
      <c r="L484" s="358" t="str">
        <f t="shared" si="6"/>
        <v/>
      </c>
      <c r="M484" s="358" t="str">
        <f t="shared" si="7"/>
        <v/>
      </c>
      <c r="N484" s="358" t="str">
        <f t="shared" si="8"/>
        <v/>
      </c>
      <c r="O484" s="358" t="str">
        <f t="shared" si="9"/>
        <v/>
      </c>
    </row>
    <row r="485">
      <c r="A485" s="20">
        <v>44202.0</v>
      </c>
      <c r="B485" s="359"/>
      <c r="C485" s="359"/>
      <c r="D485" s="359"/>
      <c r="E485" s="359"/>
      <c r="J485" s="358" t="str">
        <f t="shared" si="4"/>
        <v/>
      </c>
      <c r="K485" s="358" t="str">
        <f t="shared" si="5"/>
        <v/>
      </c>
      <c r="L485" s="358" t="str">
        <f t="shared" si="6"/>
        <v/>
      </c>
      <c r="M485" s="358" t="str">
        <f t="shared" si="7"/>
        <v/>
      </c>
      <c r="N485" s="358" t="str">
        <f t="shared" si="8"/>
        <v/>
      </c>
      <c r="O485" s="358" t="str">
        <f t="shared" si="9"/>
        <v/>
      </c>
    </row>
    <row r="486">
      <c r="A486" s="20">
        <v>44203.0</v>
      </c>
      <c r="B486" s="359"/>
      <c r="C486" s="359"/>
      <c r="D486" s="359"/>
      <c r="E486" s="359"/>
      <c r="J486" s="358" t="str">
        <f t="shared" si="4"/>
        <v/>
      </c>
      <c r="K486" s="358" t="str">
        <f t="shared" si="5"/>
        <v/>
      </c>
      <c r="L486" s="358" t="str">
        <f t="shared" si="6"/>
        <v/>
      </c>
      <c r="M486" s="358" t="str">
        <f t="shared" si="7"/>
        <v/>
      </c>
      <c r="N486" s="358" t="str">
        <f t="shared" si="8"/>
        <v/>
      </c>
      <c r="O486" s="358" t="str">
        <f t="shared" si="9"/>
        <v/>
      </c>
    </row>
    <row r="487">
      <c r="A487" s="20">
        <v>44204.0</v>
      </c>
      <c r="B487" s="359"/>
      <c r="C487" s="359"/>
      <c r="D487" s="359"/>
      <c r="E487" s="359"/>
      <c r="J487" s="358" t="str">
        <f t="shared" si="4"/>
        <v/>
      </c>
      <c r="K487" s="358" t="str">
        <f t="shared" si="5"/>
        <v/>
      </c>
      <c r="L487" s="358" t="str">
        <f t="shared" si="6"/>
        <v/>
      </c>
      <c r="M487" s="358" t="str">
        <f t="shared" si="7"/>
        <v/>
      </c>
      <c r="N487" s="358" t="str">
        <f t="shared" si="8"/>
        <v/>
      </c>
      <c r="O487" s="358" t="str">
        <f t="shared" si="9"/>
        <v/>
      </c>
    </row>
    <row r="488">
      <c r="A488" s="20">
        <v>44205.0</v>
      </c>
      <c r="B488" s="359"/>
      <c r="C488" s="359"/>
      <c r="D488" s="359"/>
      <c r="E488" s="359"/>
      <c r="J488" s="358" t="str">
        <f t="shared" si="4"/>
        <v/>
      </c>
      <c r="K488" s="358" t="str">
        <f t="shared" si="5"/>
        <v/>
      </c>
      <c r="L488" s="358" t="str">
        <f t="shared" si="6"/>
        <v/>
      </c>
      <c r="M488" s="358" t="str">
        <f t="shared" si="7"/>
        <v/>
      </c>
      <c r="N488" s="358" t="str">
        <f t="shared" si="8"/>
        <v/>
      </c>
      <c r="O488" s="358" t="str">
        <f t="shared" si="9"/>
        <v/>
      </c>
    </row>
    <row r="489">
      <c r="A489" s="20">
        <v>44206.0</v>
      </c>
      <c r="B489" s="359"/>
      <c r="C489" s="359"/>
      <c r="D489" s="359"/>
      <c r="E489" s="359"/>
      <c r="J489" s="358" t="str">
        <f t="shared" si="4"/>
        <v/>
      </c>
      <c r="K489" s="358" t="str">
        <f t="shared" si="5"/>
        <v/>
      </c>
      <c r="L489" s="358" t="str">
        <f t="shared" si="6"/>
        <v/>
      </c>
      <c r="M489" s="358" t="str">
        <f t="shared" si="7"/>
        <v/>
      </c>
      <c r="N489" s="358" t="str">
        <f t="shared" si="8"/>
        <v/>
      </c>
      <c r="O489" s="358" t="str">
        <f t="shared" si="9"/>
        <v/>
      </c>
    </row>
    <row r="490">
      <c r="A490" s="20">
        <v>44207.0</v>
      </c>
      <c r="B490" s="359"/>
      <c r="C490" s="359"/>
      <c r="D490" s="359"/>
      <c r="E490" s="359"/>
      <c r="J490" s="358" t="str">
        <f t="shared" si="4"/>
        <v/>
      </c>
      <c r="K490" s="358" t="str">
        <f t="shared" si="5"/>
        <v/>
      </c>
      <c r="L490" s="358" t="str">
        <f t="shared" si="6"/>
        <v/>
      </c>
      <c r="M490" s="358" t="str">
        <f t="shared" si="7"/>
        <v/>
      </c>
      <c r="N490" s="358" t="str">
        <f t="shared" si="8"/>
        <v/>
      </c>
      <c r="O490" s="358" t="str">
        <f t="shared" si="9"/>
        <v/>
      </c>
    </row>
    <row r="491">
      <c r="A491" s="20">
        <v>44208.0</v>
      </c>
      <c r="B491" s="359"/>
      <c r="C491" s="359"/>
      <c r="D491" s="359"/>
      <c r="E491" s="359"/>
      <c r="J491" s="358" t="str">
        <f t="shared" si="4"/>
        <v/>
      </c>
      <c r="K491" s="358" t="str">
        <f t="shared" si="5"/>
        <v/>
      </c>
      <c r="L491" s="358" t="str">
        <f t="shared" si="6"/>
        <v/>
      </c>
      <c r="M491" s="358" t="str">
        <f t="shared" si="7"/>
        <v/>
      </c>
      <c r="N491" s="358" t="str">
        <f t="shared" si="8"/>
        <v/>
      </c>
      <c r="O491" s="358" t="str">
        <f t="shared" si="9"/>
        <v/>
      </c>
    </row>
    <row r="492">
      <c r="A492" s="20">
        <v>44209.0</v>
      </c>
      <c r="B492" s="359"/>
      <c r="C492" s="359"/>
      <c r="D492" s="359"/>
      <c r="E492" s="359"/>
      <c r="J492" s="358" t="str">
        <f t="shared" si="4"/>
        <v/>
      </c>
      <c r="K492" s="358" t="str">
        <f t="shared" si="5"/>
        <v/>
      </c>
      <c r="L492" s="358" t="str">
        <f t="shared" si="6"/>
        <v/>
      </c>
      <c r="M492" s="358" t="str">
        <f t="shared" si="7"/>
        <v/>
      </c>
      <c r="N492" s="358" t="str">
        <f t="shared" si="8"/>
        <v/>
      </c>
      <c r="O492" s="358" t="str">
        <f t="shared" si="9"/>
        <v/>
      </c>
    </row>
    <row r="493">
      <c r="A493" s="20">
        <v>44210.0</v>
      </c>
      <c r="B493" s="359"/>
      <c r="C493" s="359"/>
      <c r="D493" s="359"/>
      <c r="E493" s="359"/>
      <c r="J493" s="358" t="str">
        <f t="shared" si="4"/>
        <v/>
      </c>
      <c r="K493" s="358" t="str">
        <f t="shared" si="5"/>
        <v/>
      </c>
      <c r="L493" s="358" t="str">
        <f t="shared" si="6"/>
        <v/>
      </c>
      <c r="M493" s="358" t="str">
        <f t="shared" si="7"/>
        <v/>
      </c>
      <c r="N493" s="358" t="str">
        <f t="shared" si="8"/>
        <v/>
      </c>
      <c r="O493" s="358" t="str">
        <f t="shared" si="9"/>
        <v/>
      </c>
    </row>
    <row r="494">
      <c r="A494" s="20">
        <v>44211.0</v>
      </c>
      <c r="B494" s="359"/>
      <c r="C494" s="359"/>
      <c r="D494" s="359"/>
      <c r="E494" s="359"/>
      <c r="J494" s="358" t="str">
        <f t="shared" si="4"/>
        <v/>
      </c>
      <c r="K494" s="358" t="str">
        <f t="shared" si="5"/>
        <v/>
      </c>
      <c r="L494" s="358" t="str">
        <f t="shared" si="6"/>
        <v/>
      </c>
      <c r="M494" s="358" t="str">
        <f t="shared" si="7"/>
        <v/>
      </c>
      <c r="N494" s="358" t="str">
        <f t="shared" si="8"/>
        <v/>
      </c>
      <c r="O494" s="358" t="str">
        <f t="shared" si="9"/>
        <v/>
      </c>
    </row>
    <row r="495">
      <c r="A495" s="20">
        <v>44212.0</v>
      </c>
      <c r="B495" s="359"/>
      <c r="C495" s="359"/>
      <c r="D495" s="359"/>
      <c r="E495" s="359"/>
      <c r="J495" s="358" t="str">
        <f t="shared" si="4"/>
        <v/>
      </c>
      <c r="K495" s="358" t="str">
        <f t="shared" si="5"/>
        <v/>
      </c>
      <c r="L495" s="358" t="str">
        <f t="shared" si="6"/>
        <v/>
      </c>
      <c r="M495" s="358" t="str">
        <f t="shared" si="7"/>
        <v/>
      </c>
      <c r="N495" s="358" t="str">
        <f t="shared" si="8"/>
        <v/>
      </c>
      <c r="O495" s="358" t="str">
        <f t="shared" si="9"/>
        <v/>
      </c>
    </row>
    <row r="496">
      <c r="A496" s="20">
        <v>44213.0</v>
      </c>
      <c r="B496" s="359"/>
      <c r="C496" s="359"/>
      <c r="D496" s="359"/>
      <c r="E496" s="359"/>
      <c r="J496" s="358" t="str">
        <f t="shared" si="4"/>
        <v/>
      </c>
      <c r="K496" s="358" t="str">
        <f t="shared" si="5"/>
        <v/>
      </c>
      <c r="L496" s="358" t="str">
        <f t="shared" si="6"/>
        <v/>
      </c>
      <c r="M496" s="358" t="str">
        <f t="shared" si="7"/>
        <v/>
      </c>
      <c r="N496" s="358" t="str">
        <f t="shared" si="8"/>
        <v/>
      </c>
      <c r="O496" s="358" t="str">
        <f t="shared" si="9"/>
        <v/>
      </c>
    </row>
    <row r="497">
      <c r="A497" s="20">
        <v>44214.0</v>
      </c>
      <c r="B497" s="359"/>
      <c r="C497" s="359"/>
      <c r="D497" s="359"/>
      <c r="E497" s="359"/>
      <c r="J497" s="358" t="str">
        <f t="shared" si="4"/>
        <v/>
      </c>
      <c r="K497" s="358" t="str">
        <f t="shared" si="5"/>
        <v/>
      </c>
      <c r="L497" s="358" t="str">
        <f t="shared" si="6"/>
        <v/>
      </c>
      <c r="M497" s="358" t="str">
        <f t="shared" si="7"/>
        <v/>
      </c>
      <c r="N497" s="358" t="str">
        <f t="shared" si="8"/>
        <v/>
      </c>
      <c r="O497" s="358" t="str">
        <f t="shared" si="9"/>
        <v/>
      </c>
    </row>
    <row r="498">
      <c r="A498" s="20">
        <v>44215.0</v>
      </c>
      <c r="B498" s="359"/>
      <c r="C498" s="359"/>
      <c r="D498" s="359"/>
      <c r="E498" s="359"/>
      <c r="J498" s="358" t="str">
        <f t="shared" si="4"/>
        <v/>
      </c>
      <c r="K498" s="358" t="str">
        <f t="shared" si="5"/>
        <v/>
      </c>
      <c r="L498" s="358" t="str">
        <f t="shared" si="6"/>
        <v/>
      </c>
      <c r="M498" s="358" t="str">
        <f t="shared" si="7"/>
        <v/>
      </c>
      <c r="N498" s="358" t="str">
        <f t="shared" si="8"/>
        <v/>
      </c>
      <c r="O498" s="358" t="str">
        <f t="shared" si="9"/>
        <v/>
      </c>
    </row>
    <row r="499">
      <c r="A499" s="20">
        <v>44216.0</v>
      </c>
      <c r="B499" s="359"/>
      <c r="C499" s="359"/>
      <c r="D499" s="359"/>
      <c r="E499" s="359"/>
      <c r="J499" s="358" t="str">
        <f t="shared" si="4"/>
        <v/>
      </c>
      <c r="K499" s="358" t="str">
        <f t="shared" si="5"/>
        <v/>
      </c>
      <c r="L499" s="358" t="str">
        <f t="shared" si="6"/>
        <v/>
      </c>
      <c r="M499" s="358" t="str">
        <f t="shared" si="7"/>
        <v/>
      </c>
      <c r="N499" s="358" t="str">
        <f t="shared" si="8"/>
        <v/>
      </c>
      <c r="O499" s="358" t="str">
        <f t="shared" si="9"/>
        <v/>
      </c>
    </row>
    <row r="500">
      <c r="A500" s="20">
        <v>44217.0</v>
      </c>
      <c r="B500" s="359"/>
      <c r="C500" s="359"/>
      <c r="D500" s="359"/>
      <c r="E500" s="359"/>
      <c r="J500" s="358" t="str">
        <f t="shared" si="4"/>
        <v/>
      </c>
      <c r="K500" s="358" t="str">
        <f t="shared" si="5"/>
        <v/>
      </c>
      <c r="L500" s="358" t="str">
        <f t="shared" si="6"/>
        <v/>
      </c>
      <c r="M500" s="358" t="str">
        <f t="shared" si="7"/>
        <v/>
      </c>
      <c r="N500" s="358" t="str">
        <f t="shared" si="8"/>
        <v/>
      </c>
      <c r="O500" s="358" t="str">
        <f t="shared" si="9"/>
        <v/>
      </c>
    </row>
    <row r="501">
      <c r="A501" s="20">
        <v>44218.0</v>
      </c>
      <c r="B501" s="359"/>
      <c r="C501" s="359"/>
      <c r="D501" s="359"/>
      <c r="E501" s="359"/>
      <c r="J501" s="358" t="str">
        <f t="shared" si="4"/>
        <v/>
      </c>
      <c r="K501" s="358" t="str">
        <f t="shared" si="5"/>
        <v/>
      </c>
      <c r="L501" s="358" t="str">
        <f t="shared" si="6"/>
        <v/>
      </c>
      <c r="M501" s="358" t="str">
        <f t="shared" si="7"/>
        <v/>
      </c>
      <c r="N501" s="358" t="str">
        <f t="shared" si="8"/>
        <v/>
      </c>
      <c r="O501" s="358" t="str">
        <f t="shared" si="9"/>
        <v/>
      </c>
    </row>
    <row r="502">
      <c r="A502" s="20">
        <v>44219.0</v>
      </c>
      <c r="B502" s="359"/>
      <c r="C502" s="359"/>
      <c r="D502" s="359"/>
      <c r="E502" s="359"/>
      <c r="J502" s="358" t="str">
        <f t="shared" si="4"/>
        <v/>
      </c>
      <c r="K502" s="358" t="str">
        <f t="shared" si="5"/>
        <v/>
      </c>
      <c r="L502" s="358" t="str">
        <f t="shared" si="6"/>
        <v/>
      </c>
      <c r="M502" s="358" t="str">
        <f t="shared" si="7"/>
        <v/>
      </c>
      <c r="N502" s="358" t="str">
        <f t="shared" si="8"/>
        <v/>
      </c>
      <c r="O502" s="358" t="str">
        <f t="shared" si="9"/>
        <v/>
      </c>
    </row>
    <row r="503">
      <c r="A503" s="20">
        <v>44220.0</v>
      </c>
      <c r="B503" s="359"/>
      <c r="C503" s="359"/>
      <c r="D503" s="359"/>
      <c r="E503" s="359"/>
      <c r="J503" s="358" t="str">
        <f t="shared" si="4"/>
        <v/>
      </c>
      <c r="K503" s="358" t="str">
        <f t="shared" si="5"/>
        <v/>
      </c>
      <c r="L503" s="358" t="str">
        <f t="shared" si="6"/>
        <v/>
      </c>
      <c r="M503" s="358" t="str">
        <f t="shared" si="7"/>
        <v/>
      </c>
      <c r="N503" s="358" t="str">
        <f t="shared" si="8"/>
        <v/>
      </c>
      <c r="O503" s="358" t="str">
        <f t="shared" si="9"/>
        <v/>
      </c>
    </row>
    <row r="504">
      <c r="A504" s="20">
        <v>44221.0</v>
      </c>
      <c r="B504" s="359"/>
      <c r="C504" s="359"/>
      <c r="D504" s="359"/>
      <c r="E504" s="359"/>
      <c r="J504" s="358" t="str">
        <f t="shared" si="4"/>
        <v/>
      </c>
      <c r="K504" s="358" t="str">
        <f t="shared" si="5"/>
        <v/>
      </c>
      <c r="L504" s="358" t="str">
        <f t="shared" si="6"/>
        <v/>
      </c>
      <c r="M504" s="358" t="str">
        <f t="shared" si="7"/>
        <v/>
      </c>
      <c r="N504" s="358" t="str">
        <f t="shared" si="8"/>
        <v/>
      </c>
      <c r="O504" s="358" t="str">
        <f t="shared" si="9"/>
        <v/>
      </c>
    </row>
    <row r="505">
      <c r="A505" s="20">
        <v>44222.0</v>
      </c>
      <c r="B505" s="359"/>
      <c r="C505" s="359"/>
      <c r="D505" s="359"/>
      <c r="E505" s="359"/>
      <c r="J505" s="358" t="str">
        <f t="shared" si="4"/>
        <v/>
      </c>
      <c r="K505" s="358" t="str">
        <f t="shared" si="5"/>
        <v/>
      </c>
      <c r="L505" s="358" t="str">
        <f t="shared" si="6"/>
        <v/>
      </c>
      <c r="M505" s="358" t="str">
        <f t="shared" si="7"/>
        <v/>
      </c>
      <c r="N505" s="358" t="str">
        <f t="shared" si="8"/>
        <v/>
      </c>
      <c r="O505" s="358" t="str">
        <f t="shared" si="9"/>
        <v/>
      </c>
    </row>
    <row r="506">
      <c r="A506" s="20">
        <v>44223.0</v>
      </c>
      <c r="B506" s="359"/>
      <c r="C506" s="359"/>
      <c r="D506" s="359"/>
      <c r="E506" s="359"/>
      <c r="J506" s="358" t="str">
        <f t="shared" si="4"/>
        <v/>
      </c>
      <c r="K506" s="358" t="str">
        <f t="shared" si="5"/>
        <v/>
      </c>
      <c r="L506" s="358" t="str">
        <f t="shared" si="6"/>
        <v/>
      </c>
      <c r="M506" s="358" t="str">
        <f t="shared" si="7"/>
        <v/>
      </c>
      <c r="N506" s="358" t="str">
        <f t="shared" si="8"/>
        <v/>
      </c>
      <c r="O506" s="358" t="str">
        <f t="shared" si="9"/>
        <v/>
      </c>
    </row>
    <row r="507">
      <c r="A507" s="20">
        <v>44224.0</v>
      </c>
      <c r="B507" s="359"/>
      <c r="C507" s="359"/>
      <c r="D507" s="359"/>
      <c r="E507" s="359"/>
      <c r="J507" s="358" t="str">
        <f t="shared" si="4"/>
        <v/>
      </c>
      <c r="K507" s="358" t="str">
        <f t="shared" si="5"/>
        <v/>
      </c>
      <c r="L507" s="358" t="str">
        <f t="shared" si="6"/>
        <v/>
      </c>
      <c r="M507" s="358" t="str">
        <f t="shared" si="7"/>
        <v/>
      </c>
      <c r="N507" s="358" t="str">
        <f t="shared" si="8"/>
        <v/>
      </c>
      <c r="O507" s="358" t="str">
        <f t="shared" si="9"/>
        <v/>
      </c>
    </row>
    <row r="508">
      <c r="A508" s="20">
        <v>44225.0</v>
      </c>
      <c r="B508" s="359"/>
      <c r="C508" s="359"/>
      <c r="D508" s="359"/>
      <c r="E508" s="359"/>
      <c r="J508" s="358" t="str">
        <f t="shared" si="4"/>
        <v/>
      </c>
      <c r="K508" s="358" t="str">
        <f t="shared" si="5"/>
        <v/>
      </c>
      <c r="L508" s="358" t="str">
        <f t="shared" si="6"/>
        <v/>
      </c>
      <c r="M508" s="358" t="str">
        <f t="shared" si="7"/>
        <v/>
      </c>
      <c r="N508" s="358" t="str">
        <f t="shared" si="8"/>
        <v/>
      </c>
      <c r="O508" s="358" t="str">
        <f t="shared" si="9"/>
        <v/>
      </c>
    </row>
    <row r="509">
      <c r="A509" s="20">
        <v>44226.0</v>
      </c>
      <c r="B509" s="359"/>
      <c r="C509" s="359"/>
      <c r="D509" s="359"/>
      <c r="E509" s="359"/>
      <c r="J509" s="358" t="str">
        <f t="shared" si="4"/>
        <v/>
      </c>
      <c r="K509" s="358" t="str">
        <f t="shared" si="5"/>
        <v/>
      </c>
      <c r="L509" s="358" t="str">
        <f t="shared" si="6"/>
        <v/>
      </c>
      <c r="M509" s="358" t="str">
        <f t="shared" si="7"/>
        <v/>
      </c>
      <c r="N509" s="358" t="str">
        <f t="shared" si="8"/>
        <v/>
      </c>
      <c r="O509" s="358" t="str">
        <f t="shared" si="9"/>
        <v/>
      </c>
    </row>
    <row r="510">
      <c r="A510" s="20">
        <v>44227.0</v>
      </c>
      <c r="B510" s="359"/>
      <c r="C510" s="359"/>
      <c r="D510" s="359"/>
      <c r="E510" s="359"/>
      <c r="J510" s="358" t="str">
        <f t="shared" si="4"/>
        <v/>
      </c>
      <c r="K510" s="358" t="str">
        <f t="shared" si="5"/>
        <v/>
      </c>
      <c r="L510" s="358" t="str">
        <f t="shared" si="6"/>
        <v/>
      </c>
      <c r="M510" s="358" t="str">
        <f t="shared" si="7"/>
        <v/>
      </c>
      <c r="N510" s="358" t="str">
        <f t="shared" si="8"/>
        <v/>
      </c>
      <c r="O510" s="358" t="str">
        <f t="shared" si="9"/>
        <v/>
      </c>
    </row>
    <row r="511">
      <c r="A511" s="20">
        <v>44228.0</v>
      </c>
      <c r="B511" s="359"/>
      <c r="C511" s="359"/>
      <c r="D511" s="359"/>
      <c r="E511" s="359"/>
      <c r="J511" s="358" t="str">
        <f t="shared" si="4"/>
        <v/>
      </c>
      <c r="K511" s="358" t="str">
        <f t="shared" si="5"/>
        <v/>
      </c>
      <c r="L511" s="358" t="str">
        <f t="shared" si="6"/>
        <v/>
      </c>
      <c r="M511" s="358" t="str">
        <f t="shared" si="7"/>
        <v/>
      </c>
      <c r="N511" s="358" t="str">
        <f t="shared" si="8"/>
        <v/>
      </c>
      <c r="O511" s="358" t="str">
        <f t="shared" si="9"/>
        <v/>
      </c>
    </row>
    <row r="512">
      <c r="A512" s="20">
        <v>44229.0</v>
      </c>
      <c r="B512" s="359"/>
      <c r="C512" s="359"/>
      <c r="D512" s="359"/>
      <c r="E512" s="359"/>
      <c r="J512" s="358" t="str">
        <f t="shared" si="4"/>
        <v/>
      </c>
      <c r="K512" s="358" t="str">
        <f t="shared" si="5"/>
        <v/>
      </c>
      <c r="L512" s="358" t="str">
        <f t="shared" si="6"/>
        <v/>
      </c>
      <c r="M512" s="358" t="str">
        <f t="shared" si="7"/>
        <v/>
      </c>
      <c r="N512" s="358" t="str">
        <f t="shared" si="8"/>
        <v/>
      </c>
      <c r="O512" s="358" t="str">
        <f t="shared" si="9"/>
        <v/>
      </c>
    </row>
    <row r="513">
      <c r="A513" s="20">
        <v>44230.0</v>
      </c>
      <c r="B513" s="359"/>
      <c r="C513" s="359"/>
      <c r="D513" s="359"/>
      <c r="E513" s="359"/>
      <c r="J513" s="358" t="str">
        <f t="shared" si="4"/>
        <v/>
      </c>
      <c r="K513" s="358" t="str">
        <f t="shared" si="5"/>
        <v/>
      </c>
      <c r="L513" s="358" t="str">
        <f t="shared" si="6"/>
        <v/>
      </c>
      <c r="M513" s="358" t="str">
        <f t="shared" si="7"/>
        <v/>
      </c>
      <c r="N513" s="358" t="str">
        <f t="shared" si="8"/>
        <v/>
      </c>
      <c r="O513" s="358" t="str">
        <f t="shared" si="9"/>
        <v/>
      </c>
    </row>
    <row r="514">
      <c r="A514" s="20">
        <v>44231.0</v>
      </c>
      <c r="B514" s="359"/>
      <c r="C514" s="359"/>
      <c r="D514" s="359"/>
      <c r="E514" s="359"/>
      <c r="J514" s="358" t="str">
        <f t="shared" si="4"/>
        <v/>
      </c>
      <c r="K514" s="358" t="str">
        <f t="shared" si="5"/>
        <v/>
      </c>
      <c r="L514" s="358" t="str">
        <f t="shared" si="6"/>
        <v/>
      </c>
      <c r="M514" s="358" t="str">
        <f t="shared" si="7"/>
        <v/>
      </c>
      <c r="N514" s="358" t="str">
        <f t="shared" si="8"/>
        <v/>
      </c>
      <c r="O514" s="358" t="str">
        <f t="shared" si="9"/>
        <v/>
      </c>
    </row>
    <row r="515">
      <c r="A515" s="20">
        <v>44232.0</v>
      </c>
      <c r="B515" s="359"/>
      <c r="C515" s="359"/>
      <c r="D515" s="359"/>
      <c r="E515" s="359"/>
      <c r="J515" s="358" t="str">
        <f t="shared" si="4"/>
        <v/>
      </c>
      <c r="K515" s="358" t="str">
        <f t="shared" si="5"/>
        <v/>
      </c>
      <c r="L515" s="358" t="str">
        <f t="shared" si="6"/>
        <v/>
      </c>
      <c r="M515" s="358" t="str">
        <f t="shared" si="7"/>
        <v/>
      </c>
      <c r="N515" s="358" t="str">
        <f t="shared" si="8"/>
        <v/>
      </c>
      <c r="O515" s="358" t="str">
        <f t="shared" si="9"/>
        <v/>
      </c>
    </row>
    <row r="516">
      <c r="A516" s="20">
        <v>44233.0</v>
      </c>
      <c r="B516" s="359"/>
      <c r="C516" s="359"/>
      <c r="D516" s="359"/>
      <c r="E516" s="359"/>
      <c r="J516" s="358" t="str">
        <f t="shared" si="4"/>
        <v/>
      </c>
      <c r="K516" s="358" t="str">
        <f t="shared" si="5"/>
        <v/>
      </c>
      <c r="L516" s="358" t="str">
        <f t="shared" si="6"/>
        <v/>
      </c>
      <c r="M516" s="358" t="str">
        <f t="shared" si="7"/>
        <v/>
      </c>
      <c r="N516" s="358" t="str">
        <f t="shared" si="8"/>
        <v/>
      </c>
      <c r="O516" s="358" t="str">
        <f t="shared" si="9"/>
        <v/>
      </c>
    </row>
    <row r="517">
      <c r="A517" s="20">
        <v>44234.0</v>
      </c>
      <c r="B517" s="359"/>
      <c r="C517" s="359"/>
      <c r="D517" s="359"/>
      <c r="E517" s="359"/>
      <c r="J517" s="358" t="str">
        <f t="shared" si="4"/>
        <v/>
      </c>
      <c r="K517" s="358" t="str">
        <f t="shared" si="5"/>
        <v/>
      </c>
      <c r="L517" s="358" t="str">
        <f t="shared" si="6"/>
        <v/>
      </c>
      <c r="M517" s="358" t="str">
        <f t="shared" si="7"/>
        <v/>
      </c>
      <c r="N517" s="358" t="str">
        <f t="shared" si="8"/>
        <v/>
      </c>
      <c r="O517" s="358" t="str">
        <f t="shared" si="9"/>
        <v/>
      </c>
    </row>
    <row r="518">
      <c r="A518" s="20">
        <v>44235.0</v>
      </c>
      <c r="B518" s="359"/>
      <c r="C518" s="359"/>
      <c r="D518" s="359"/>
      <c r="E518" s="359"/>
      <c r="J518" s="358" t="str">
        <f t="shared" si="4"/>
        <v/>
      </c>
      <c r="K518" s="358" t="str">
        <f t="shared" si="5"/>
        <v/>
      </c>
      <c r="L518" s="358" t="str">
        <f t="shared" si="6"/>
        <v/>
      </c>
      <c r="M518" s="358" t="str">
        <f t="shared" si="7"/>
        <v/>
      </c>
      <c r="N518" s="358" t="str">
        <f t="shared" si="8"/>
        <v/>
      </c>
      <c r="O518" s="358" t="str">
        <f t="shared" si="9"/>
        <v/>
      </c>
    </row>
    <row r="519">
      <c r="A519" s="20">
        <v>44236.0</v>
      </c>
      <c r="B519" s="359"/>
      <c r="C519" s="359"/>
      <c r="D519" s="359"/>
      <c r="E519" s="359"/>
      <c r="J519" s="358" t="str">
        <f t="shared" si="4"/>
        <v/>
      </c>
      <c r="K519" s="358" t="str">
        <f t="shared" si="5"/>
        <v/>
      </c>
      <c r="L519" s="358" t="str">
        <f t="shared" si="6"/>
        <v/>
      </c>
      <c r="M519" s="358" t="str">
        <f t="shared" si="7"/>
        <v/>
      </c>
      <c r="N519" s="358" t="str">
        <f t="shared" si="8"/>
        <v/>
      </c>
      <c r="O519" s="358" t="str">
        <f t="shared" si="9"/>
        <v/>
      </c>
    </row>
    <row r="520">
      <c r="A520" s="20">
        <v>44237.0</v>
      </c>
      <c r="B520" s="359"/>
      <c r="C520" s="359"/>
      <c r="D520" s="359"/>
      <c r="E520" s="359"/>
      <c r="J520" s="358" t="str">
        <f t="shared" si="4"/>
        <v/>
      </c>
      <c r="K520" s="358" t="str">
        <f t="shared" si="5"/>
        <v/>
      </c>
      <c r="L520" s="358" t="str">
        <f t="shared" si="6"/>
        <v/>
      </c>
      <c r="M520" s="358" t="str">
        <f t="shared" si="7"/>
        <v/>
      </c>
      <c r="N520" s="358" t="str">
        <f t="shared" si="8"/>
        <v/>
      </c>
      <c r="O520" s="358" t="str">
        <f t="shared" si="9"/>
        <v/>
      </c>
    </row>
    <row r="521">
      <c r="A521" s="20">
        <v>44238.0</v>
      </c>
      <c r="B521" s="359"/>
      <c r="C521" s="359"/>
      <c r="D521" s="359"/>
      <c r="E521" s="359"/>
      <c r="J521" s="358" t="str">
        <f t="shared" si="4"/>
        <v/>
      </c>
      <c r="K521" s="358" t="str">
        <f t="shared" si="5"/>
        <v/>
      </c>
      <c r="L521" s="358" t="str">
        <f t="shared" si="6"/>
        <v/>
      </c>
      <c r="M521" s="358" t="str">
        <f t="shared" si="7"/>
        <v/>
      </c>
      <c r="N521" s="358" t="str">
        <f t="shared" si="8"/>
        <v/>
      </c>
      <c r="O521" s="358" t="str">
        <f t="shared" si="9"/>
        <v/>
      </c>
    </row>
    <row r="522">
      <c r="A522" s="20">
        <v>44239.0</v>
      </c>
      <c r="B522" s="359"/>
      <c r="C522" s="359"/>
      <c r="D522" s="359"/>
      <c r="E522" s="359"/>
      <c r="J522" s="358" t="str">
        <f t="shared" si="4"/>
        <v/>
      </c>
      <c r="K522" s="358" t="str">
        <f t="shared" si="5"/>
        <v/>
      </c>
      <c r="L522" s="358" t="str">
        <f t="shared" si="6"/>
        <v/>
      </c>
      <c r="M522" s="358" t="str">
        <f t="shared" si="7"/>
        <v/>
      </c>
      <c r="N522" s="358" t="str">
        <f t="shared" si="8"/>
        <v/>
      </c>
      <c r="O522" s="358" t="str">
        <f t="shared" si="9"/>
        <v/>
      </c>
    </row>
    <row r="523">
      <c r="A523" s="20">
        <v>44240.0</v>
      </c>
      <c r="B523" s="359"/>
      <c r="C523" s="359"/>
      <c r="D523" s="359"/>
      <c r="E523" s="359"/>
      <c r="J523" s="358" t="str">
        <f t="shared" si="4"/>
        <v/>
      </c>
      <c r="K523" s="358" t="str">
        <f t="shared" si="5"/>
        <v/>
      </c>
      <c r="L523" s="358" t="str">
        <f t="shared" si="6"/>
        <v/>
      </c>
      <c r="M523" s="358" t="str">
        <f t="shared" si="7"/>
        <v/>
      </c>
      <c r="N523" s="358" t="str">
        <f t="shared" si="8"/>
        <v/>
      </c>
      <c r="O523" s="358" t="str">
        <f t="shared" si="9"/>
        <v/>
      </c>
    </row>
    <row r="524">
      <c r="A524" s="20">
        <v>44241.0</v>
      </c>
      <c r="B524" s="359"/>
      <c r="C524" s="359"/>
      <c r="D524" s="359"/>
      <c r="E524" s="359"/>
      <c r="J524" s="358" t="str">
        <f t="shared" si="4"/>
        <v/>
      </c>
      <c r="K524" s="358" t="str">
        <f t="shared" si="5"/>
        <v/>
      </c>
      <c r="L524" s="358" t="str">
        <f t="shared" si="6"/>
        <v/>
      </c>
      <c r="M524" s="358" t="str">
        <f t="shared" si="7"/>
        <v/>
      </c>
      <c r="N524" s="358" t="str">
        <f t="shared" si="8"/>
        <v/>
      </c>
      <c r="O524" s="358" t="str">
        <f t="shared" si="9"/>
        <v/>
      </c>
    </row>
    <row r="525">
      <c r="A525" s="20">
        <v>44242.0</v>
      </c>
      <c r="B525" s="359"/>
      <c r="C525" s="359"/>
      <c r="D525" s="359"/>
      <c r="E525" s="359"/>
      <c r="J525" s="358" t="str">
        <f t="shared" si="4"/>
        <v/>
      </c>
      <c r="K525" s="358" t="str">
        <f t="shared" si="5"/>
        <v/>
      </c>
      <c r="L525" s="358" t="str">
        <f t="shared" si="6"/>
        <v/>
      </c>
      <c r="M525" s="358" t="str">
        <f t="shared" si="7"/>
        <v/>
      </c>
      <c r="N525" s="358" t="str">
        <f t="shared" si="8"/>
        <v/>
      </c>
      <c r="O525" s="358" t="str">
        <f t="shared" si="9"/>
        <v/>
      </c>
    </row>
    <row r="526">
      <c r="A526" s="20">
        <v>44243.0</v>
      </c>
      <c r="B526" s="359"/>
      <c r="C526" s="359"/>
      <c r="D526" s="359"/>
      <c r="E526" s="359"/>
      <c r="J526" s="358" t="str">
        <f t="shared" si="4"/>
        <v/>
      </c>
      <c r="K526" s="358" t="str">
        <f t="shared" si="5"/>
        <v/>
      </c>
      <c r="L526" s="358" t="str">
        <f t="shared" si="6"/>
        <v/>
      </c>
      <c r="M526" s="358" t="str">
        <f t="shared" si="7"/>
        <v/>
      </c>
      <c r="N526" s="358" t="str">
        <f t="shared" si="8"/>
        <v/>
      </c>
      <c r="O526" s="358" t="str">
        <f t="shared" si="9"/>
        <v/>
      </c>
    </row>
    <row r="527">
      <c r="A527" s="20">
        <v>44244.0</v>
      </c>
      <c r="B527" s="359"/>
      <c r="C527" s="359"/>
      <c r="D527" s="359"/>
      <c r="E527" s="359"/>
      <c r="J527" s="358" t="str">
        <f t="shared" si="4"/>
        <v/>
      </c>
      <c r="K527" s="358" t="str">
        <f t="shared" si="5"/>
        <v/>
      </c>
      <c r="L527" s="358" t="str">
        <f t="shared" si="6"/>
        <v/>
      </c>
      <c r="M527" s="358" t="str">
        <f t="shared" si="7"/>
        <v/>
      </c>
      <c r="N527" s="358" t="str">
        <f t="shared" si="8"/>
        <v/>
      </c>
      <c r="O527" s="358" t="str">
        <f t="shared" si="9"/>
        <v/>
      </c>
    </row>
    <row r="528">
      <c r="A528" s="20">
        <v>44245.0</v>
      </c>
      <c r="B528" s="359"/>
      <c r="C528" s="359"/>
      <c r="D528" s="359"/>
      <c r="E528" s="359"/>
      <c r="J528" s="358" t="str">
        <f t="shared" si="4"/>
        <v/>
      </c>
      <c r="K528" s="358" t="str">
        <f t="shared" si="5"/>
        <v/>
      </c>
      <c r="L528" s="358" t="str">
        <f t="shared" si="6"/>
        <v/>
      </c>
      <c r="M528" s="358" t="str">
        <f t="shared" si="7"/>
        <v/>
      </c>
      <c r="N528" s="358" t="str">
        <f t="shared" si="8"/>
        <v/>
      </c>
      <c r="O528" s="358" t="str">
        <f t="shared" si="9"/>
        <v/>
      </c>
    </row>
    <row r="529">
      <c r="A529" s="20">
        <v>44246.0</v>
      </c>
      <c r="B529" s="359"/>
      <c r="C529" s="359"/>
      <c r="D529" s="359"/>
      <c r="E529" s="359"/>
      <c r="J529" s="358" t="str">
        <f t="shared" si="4"/>
        <v/>
      </c>
      <c r="K529" s="358" t="str">
        <f t="shared" si="5"/>
        <v/>
      </c>
      <c r="L529" s="358" t="str">
        <f t="shared" si="6"/>
        <v/>
      </c>
      <c r="M529" s="358" t="str">
        <f t="shared" si="7"/>
        <v/>
      </c>
      <c r="N529" s="358" t="str">
        <f t="shared" si="8"/>
        <v/>
      </c>
      <c r="O529" s="358" t="str">
        <f t="shared" si="9"/>
        <v/>
      </c>
    </row>
    <row r="530">
      <c r="A530" s="20">
        <v>44247.0</v>
      </c>
      <c r="B530" s="359"/>
      <c r="C530" s="359"/>
      <c r="D530" s="359"/>
      <c r="E530" s="359"/>
      <c r="J530" s="358" t="str">
        <f t="shared" si="4"/>
        <v/>
      </c>
      <c r="K530" s="358" t="str">
        <f t="shared" si="5"/>
        <v/>
      </c>
      <c r="L530" s="358" t="str">
        <f t="shared" si="6"/>
        <v/>
      </c>
      <c r="M530" s="358" t="str">
        <f t="shared" si="7"/>
        <v/>
      </c>
      <c r="N530" s="358" t="str">
        <f t="shared" si="8"/>
        <v/>
      </c>
      <c r="O530" s="358" t="str">
        <f t="shared" si="9"/>
        <v/>
      </c>
    </row>
    <row r="531">
      <c r="A531" s="20">
        <v>44248.0</v>
      </c>
      <c r="B531" s="359"/>
      <c r="C531" s="359"/>
      <c r="D531" s="359"/>
      <c r="E531" s="359"/>
      <c r="J531" s="358" t="str">
        <f t="shared" si="4"/>
        <v/>
      </c>
      <c r="K531" s="358" t="str">
        <f t="shared" si="5"/>
        <v/>
      </c>
      <c r="L531" s="358" t="str">
        <f t="shared" si="6"/>
        <v/>
      </c>
      <c r="M531" s="358" t="str">
        <f t="shared" si="7"/>
        <v/>
      </c>
      <c r="N531" s="358" t="str">
        <f t="shared" si="8"/>
        <v/>
      </c>
      <c r="O531" s="358" t="str">
        <f t="shared" si="9"/>
        <v/>
      </c>
    </row>
    <row r="532">
      <c r="A532" s="20">
        <v>44249.0</v>
      </c>
      <c r="B532" s="359"/>
      <c r="C532" s="359"/>
      <c r="D532" s="359"/>
      <c r="E532" s="359"/>
      <c r="J532" s="358" t="str">
        <f t="shared" si="4"/>
        <v/>
      </c>
      <c r="K532" s="358" t="str">
        <f t="shared" si="5"/>
        <v/>
      </c>
      <c r="L532" s="358" t="str">
        <f t="shared" si="6"/>
        <v/>
      </c>
      <c r="M532" s="358" t="str">
        <f t="shared" si="7"/>
        <v/>
      </c>
      <c r="N532" s="358" t="str">
        <f t="shared" si="8"/>
        <v/>
      </c>
      <c r="O532" s="358" t="str">
        <f t="shared" si="9"/>
        <v/>
      </c>
    </row>
    <row r="533">
      <c r="A533" s="20">
        <v>44250.0</v>
      </c>
      <c r="B533" s="359"/>
      <c r="C533" s="359"/>
      <c r="D533" s="359"/>
      <c r="E533" s="359"/>
      <c r="J533" s="358" t="str">
        <f t="shared" si="4"/>
        <v/>
      </c>
      <c r="K533" s="358" t="str">
        <f t="shared" si="5"/>
        <v/>
      </c>
      <c r="L533" s="358" t="str">
        <f t="shared" si="6"/>
        <v/>
      </c>
      <c r="M533" s="358" t="str">
        <f t="shared" si="7"/>
        <v/>
      </c>
      <c r="N533" s="358" t="str">
        <f t="shared" si="8"/>
        <v/>
      </c>
      <c r="O533" s="358" t="str">
        <f t="shared" si="9"/>
        <v/>
      </c>
    </row>
    <row r="534">
      <c r="A534" s="20">
        <v>44251.0</v>
      </c>
      <c r="B534" s="359"/>
      <c r="C534" s="359"/>
      <c r="D534" s="359"/>
      <c r="E534" s="359"/>
      <c r="J534" s="358" t="str">
        <f t="shared" si="4"/>
        <v/>
      </c>
      <c r="K534" s="358" t="str">
        <f t="shared" si="5"/>
        <v/>
      </c>
      <c r="L534" s="358" t="str">
        <f t="shared" si="6"/>
        <v/>
      </c>
      <c r="M534" s="358" t="str">
        <f t="shared" si="7"/>
        <v/>
      </c>
      <c r="N534" s="358" t="str">
        <f t="shared" si="8"/>
        <v/>
      </c>
      <c r="O534" s="358" t="str">
        <f t="shared" si="9"/>
        <v/>
      </c>
    </row>
    <row r="535">
      <c r="A535" s="20">
        <v>44252.0</v>
      </c>
      <c r="B535" s="359"/>
      <c r="C535" s="359"/>
      <c r="D535" s="359"/>
      <c r="E535" s="359"/>
      <c r="J535" s="358" t="str">
        <f t="shared" si="4"/>
        <v/>
      </c>
      <c r="K535" s="358" t="str">
        <f t="shared" si="5"/>
        <v/>
      </c>
      <c r="L535" s="358" t="str">
        <f t="shared" si="6"/>
        <v/>
      </c>
      <c r="M535" s="358" t="str">
        <f t="shared" si="7"/>
        <v/>
      </c>
      <c r="N535" s="358" t="str">
        <f t="shared" si="8"/>
        <v/>
      </c>
      <c r="O535" s="358" t="str">
        <f t="shared" si="9"/>
        <v/>
      </c>
    </row>
    <row r="536">
      <c r="A536" s="20">
        <v>44253.0</v>
      </c>
      <c r="B536" s="359"/>
      <c r="C536" s="359"/>
      <c r="D536" s="359"/>
      <c r="E536" s="359"/>
      <c r="J536" s="358" t="str">
        <f t="shared" si="4"/>
        <v/>
      </c>
      <c r="K536" s="358" t="str">
        <f t="shared" si="5"/>
        <v/>
      </c>
      <c r="L536" s="358" t="str">
        <f t="shared" si="6"/>
        <v/>
      </c>
      <c r="M536" s="358" t="str">
        <f t="shared" si="7"/>
        <v/>
      </c>
      <c r="N536" s="358" t="str">
        <f t="shared" si="8"/>
        <v/>
      </c>
      <c r="O536" s="358" t="str">
        <f t="shared" si="9"/>
        <v/>
      </c>
    </row>
    <row r="537">
      <c r="A537" s="20">
        <v>44254.0</v>
      </c>
      <c r="B537" s="359"/>
      <c r="C537" s="359"/>
      <c r="D537" s="359"/>
      <c r="E537" s="359"/>
      <c r="J537" s="358" t="str">
        <f t="shared" si="4"/>
        <v/>
      </c>
      <c r="K537" s="358" t="str">
        <f t="shared" si="5"/>
        <v/>
      </c>
      <c r="L537" s="358" t="str">
        <f t="shared" si="6"/>
        <v/>
      </c>
      <c r="M537" s="358" t="str">
        <f t="shared" si="7"/>
        <v/>
      </c>
      <c r="N537" s="358" t="str">
        <f t="shared" si="8"/>
        <v/>
      </c>
      <c r="O537" s="358" t="str">
        <f t="shared" si="9"/>
        <v/>
      </c>
    </row>
    <row r="538">
      <c r="A538" s="20">
        <v>44255.0</v>
      </c>
      <c r="B538" s="359"/>
      <c r="C538" s="359"/>
      <c r="D538" s="359"/>
      <c r="E538" s="359"/>
      <c r="J538" s="358" t="str">
        <f t="shared" si="4"/>
        <v/>
      </c>
      <c r="K538" s="358" t="str">
        <f t="shared" si="5"/>
        <v/>
      </c>
      <c r="L538" s="358" t="str">
        <f t="shared" si="6"/>
        <v/>
      </c>
      <c r="M538" s="358" t="str">
        <f t="shared" si="7"/>
        <v/>
      </c>
      <c r="N538" s="358" t="str">
        <f t="shared" si="8"/>
        <v/>
      </c>
      <c r="O538" s="358" t="str">
        <f t="shared" si="9"/>
        <v/>
      </c>
    </row>
    <row r="539">
      <c r="A539" s="20">
        <v>44256.0</v>
      </c>
      <c r="B539" s="359"/>
      <c r="C539" s="359"/>
      <c r="D539" s="359"/>
      <c r="E539" s="359"/>
      <c r="J539" s="358" t="str">
        <f t="shared" si="4"/>
        <v/>
      </c>
      <c r="K539" s="358" t="str">
        <f t="shared" si="5"/>
        <v/>
      </c>
      <c r="L539" s="358" t="str">
        <f t="shared" si="6"/>
        <v/>
      </c>
      <c r="M539" s="358" t="str">
        <f t="shared" si="7"/>
        <v/>
      </c>
      <c r="N539" s="358" t="str">
        <f t="shared" si="8"/>
        <v/>
      </c>
      <c r="O539" s="358" t="str">
        <f t="shared" si="9"/>
        <v/>
      </c>
    </row>
    <row r="540">
      <c r="A540" s="20">
        <v>44257.0</v>
      </c>
      <c r="B540" s="359"/>
      <c r="C540" s="359"/>
      <c r="D540" s="359"/>
      <c r="E540" s="359"/>
      <c r="J540" s="358" t="str">
        <f t="shared" si="4"/>
        <v/>
      </c>
      <c r="K540" s="358" t="str">
        <f t="shared" si="5"/>
        <v/>
      </c>
      <c r="L540" s="358" t="str">
        <f t="shared" si="6"/>
        <v/>
      </c>
      <c r="M540" s="358" t="str">
        <f t="shared" si="7"/>
        <v/>
      </c>
      <c r="N540" s="358" t="str">
        <f t="shared" si="8"/>
        <v/>
      </c>
      <c r="O540" s="358" t="str">
        <f t="shared" si="9"/>
        <v/>
      </c>
    </row>
    <row r="541">
      <c r="A541" s="20">
        <v>44258.0</v>
      </c>
      <c r="B541" s="359"/>
      <c r="C541" s="359"/>
      <c r="D541" s="359"/>
      <c r="E541" s="359"/>
      <c r="J541" s="358" t="str">
        <f t="shared" si="4"/>
        <v/>
      </c>
      <c r="K541" s="358" t="str">
        <f t="shared" si="5"/>
        <v/>
      </c>
      <c r="L541" s="358" t="str">
        <f t="shared" si="6"/>
        <v/>
      </c>
      <c r="M541" s="358" t="str">
        <f t="shared" si="7"/>
        <v/>
      </c>
      <c r="N541" s="358" t="str">
        <f t="shared" si="8"/>
        <v/>
      </c>
      <c r="O541" s="358" t="str">
        <f t="shared" si="9"/>
        <v/>
      </c>
    </row>
    <row r="542">
      <c r="A542" s="20">
        <v>44259.0</v>
      </c>
      <c r="B542" s="359"/>
      <c r="C542" s="359"/>
      <c r="D542" s="359"/>
      <c r="E542" s="359"/>
      <c r="J542" s="358" t="str">
        <f t="shared" si="4"/>
        <v/>
      </c>
      <c r="K542" s="358" t="str">
        <f t="shared" si="5"/>
        <v/>
      </c>
      <c r="L542" s="358" t="str">
        <f t="shared" si="6"/>
        <v/>
      </c>
      <c r="M542" s="358" t="str">
        <f t="shared" si="7"/>
        <v/>
      </c>
      <c r="N542" s="358" t="str">
        <f t="shared" si="8"/>
        <v/>
      </c>
      <c r="O542" s="358" t="str">
        <f t="shared" si="9"/>
        <v/>
      </c>
    </row>
    <row r="543">
      <c r="A543" s="20">
        <v>44260.0</v>
      </c>
      <c r="B543" s="359"/>
      <c r="C543" s="359"/>
      <c r="D543" s="359"/>
      <c r="E543" s="359"/>
      <c r="J543" s="358" t="str">
        <f t="shared" si="4"/>
        <v/>
      </c>
      <c r="K543" s="358" t="str">
        <f t="shared" si="5"/>
        <v/>
      </c>
      <c r="L543" s="358" t="str">
        <f t="shared" si="6"/>
        <v/>
      </c>
      <c r="M543" s="358" t="str">
        <f t="shared" si="7"/>
        <v/>
      </c>
      <c r="N543" s="358" t="str">
        <f t="shared" si="8"/>
        <v/>
      </c>
      <c r="O543" s="358" t="str">
        <f t="shared" si="9"/>
        <v/>
      </c>
    </row>
    <row r="544">
      <c r="A544" s="20">
        <v>44261.0</v>
      </c>
      <c r="B544" s="359"/>
      <c r="C544" s="359"/>
      <c r="D544" s="359"/>
      <c r="E544" s="359"/>
      <c r="J544" s="358" t="str">
        <f t="shared" si="4"/>
        <v/>
      </c>
      <c r="K544" s="358" t="str">
        <f t="shared" si="5"/>
        <v/>
      </c>
      <c r="L544" s="358" t="str">
        <f t="shared" si="6"/>
        <v/>
      </c>
      <c r="M544" s="358" t="str">
        <f t="shared" si="7"/>
        <v/>
      </c>
      <c r="N544" s="358" t="str">
        <f t="shared" si="8"/>
        <v/>
      </c>
      <c r="O544" s="358" t="str">
        <f t="shared" si="9"/>
        <v/>
      </c>
    </row>
    <row r="545">
      <c r="A545" s="20">
        <v>44262.0</v>
      </c>
      <c r="B545" s="359"/>
      <c r="C545" s="359"/>
      <c r="D545" s="359"/>
      <c r="E545" s="359"/>
      <c r="J545" s="358" t="str">
        <f t="shared" si="4"/>
        <v/>
      </c>
      <c r="K545" s="358" t="str">
        <f t="shared" si="5"/>
        <v/>
      </c>
      <c r="L545" s="358" t="str">
        <f t="shared" si="6"/>
        <v/>
      </c>
      <c r="M545" s="358" t="str">
        <f t="shared" si="7"/>
        <v/>
      </c>
      <c r="N545" s="358" t="str">
        <f t="shared" si="8"/>
        <v/>
      </c>
      <c r="O545" s="358" t="str">
        <f t="shared" si="9"/>
        <v/>
      </c>
    </row>
    <row r="546">
      <c r="A546" s="20">
        <v>44263.0</v>
      </c>
      <c r="B546" s="359"/>
      <c r="C546" s="359"/>
      <c r="D546" s="359"/>
      <c r="E546" s="359"/>
      <c r="J546" s="358" t="str">
        <f t="shared" si="4"/>
        <v/>
      </c>
      <c r="K546" s="358" t="str">
        <f t="shared" si="5"/>
        <v/>
      </c>
      <c r="L546" s="358" t="str">
        <f t="shared" si="6"/>
        <v/>
      </c>
      <c r="M546" s="358" t="str">
        <f t="shared" si="7"/>
        <v/>
      </c>
      <c r="N546" s="358" t="str">
        <f t="shared" si="8"/>
        <v/>
      </c>
      <c r="O546" s="358" t="str">
        <f t="shared" si="9"/>
        <v/>
      </c>
    </row>
    <row r="547">
      <c r="A547" s="20">
        <v>44264.0</v>
      </c>
      <c r="B547" s="359"/>
      <c r="C547" s="359"/>
      <c r="D547" s="359"/>
      <c r="E547" s="359"/>
      <c r="J547" s="358" t="str">
        <f t="shared" si="4"/>
        <v/>
      </c>
      <c r="K547" s="358" t="str">
        <f t="shared" si="5"/>
        <v/>
      </c>
      <c r="L547" s="358" t="str">
        <f t="shared" si="6"/>
        <v/>
      </c>
      <c r="M547" s="358" t="str">
        <f t="shared" si="7"/>
        <v/>
      </c>
      <c r="N547" s="358" t="str">
        <f t="shared" si="8"/>
        <v/>
      </c>
      <c r="O547" s="358" t="str">
        <f t="shared" si="9"/>
        <v/>
      </c>
    </row>
    <row r="548">
      <c r="A548" s="20">
        <v>44265.0</v>
      </c>
      <c r="B548" s="359"/>
      <c r="C548" s="359"/>
      <c r="D548" s="359"/>
      <c r="E548" s="359"/>
      <c r="J548" s="358" t="str">
        <f t="shared" si="4"/>
        <v/>
      </c>
      <c r="K548" s="358" t="str">
        <f t="shared" si="5"/>
        <v/>
      </c>
      <c r="L548" s="358" t="str">
        <f t="shared" si="6"/>
        <v/>
      </c>
      <c r="M548" s="358" t="str">
        <f t="shared" si="7"/>
        <v/>
      </c>
      <c r="N548" s="358" t="str">
        <f t="shared" si="8"/>
        <v/>
      </c>
      <c r="O548" s="358" t="str">
        <f t="shared" si="9"/>
        <v/>
      </c>
    </row>
    <row r="549">
      <c r="A549" s="20">
        <v>44266.0</v>
      </c>
      <c r="B549" s="359"/>
      <c r="C549" s="359"/>
      <c r="D549" s="359"/>
      <c r="E549" s="359"/>
      <c r="J549" s="358" t="str">
        <f t="shared" si="4"/>
        <v/>
      </c>
      <c r="K549" s="358" t="str">
        <f t="shared" si="5"/>
        <v/>
      </c>
      <c r="L549" s="358" t="str">
        <f t="shared" si="6"/>
        <v/>
      </c>
      <c r="M549" s="358" t="str">
        <f t="shared" si="7"/>
        <v/>
      </c>
      <c r="N549" s="358" t="str">
        <f t="shared" si="8"/>
        <v/>
      </c>
      <c r="O549" s="358" t="str">
        <f t="shared" si="9"/>
        <v/>
      </c>
    </row>
    <row r="550">
      <c r="A550" s="20">
        <v>44267.0</v>
      </c>
      <c r="B550" s="359"/>
      <c r="C550" s="359"/>
      <c r="D550" s="359"/>
      <c r="E550" s="359"/>
      <c r="J550" s="358" t="str">
        <f t="shared" si="4"/>
        <v/>
      </c>
      <c r="K550" s="358" t="str">
        <f t="shared" si="5"/>
        <v/>
      </c>
      <c r="L550" s="358" t="str">
        <f t="shared" si="6"/>
        <v/>
      </c>
      <c r="M550" s="358" t="str">
        <f t="shared" si="7"/>
        <v/>
      </c>
      <c r="N550" s="358" t="str">
        <f t="shared" si="8"/>
        <v/>
      </c>
      <c r="O550" s="358" t="str">
        <f t="shared" si="9"/>
        <v/>
      </c>
    </row>
    <row r="551">
      <c r="A551" s="20">
        <v>44268.0</v>
      </c>
      <c r="B551" s="359"/>
      <c r="C551" s="359"/>
      <c r="D551" s="359"/>
      <c r="E551" s="359"/>
      <c r="J551" s="358" t="str">
        <f t="shared" si="4"/>
        <v/>
      </c>
      <c r="K551" s="358" t="str">
        <f t="shared" si="5"/>
        <v/>
      </c>
      <c r="L551" s="358" t="str">
        <f t="shared" si="6"/>
        <v/>
      </c>
      <c r="M551" s="358" t="str">
        <f t="shared" si="7"/>
        <v/>
      </c>
      <c r="N551" s="358" t="str">
        <f t="shared" si="8"/>
        <v/>
      </c>
      <c r="O551" s="358" t="str">
        <f t="shared" si="9"/>
        <v/>
      </c>
    </row>
    <row r="552">
      <c r="A552" s="20">
        <v>44269.0</v>
      </c>
      <c r="B552" s="359"/>
      <c r="C552" s="359"/>
      <c r="D552" s="359"/>
      <c r="E552" s="359"/>
      <c r="J552" s="358" t="str">
        <f t="shared" si="4"/>
        <v/>
      </c>
      <c r="K552" s="358" t="str">
        <f t="shared" si="5"/>
        <v/>
      </c>
      <c r="L552" s="358" t="str">
        <f t="shared" si="6"/>
        <v/>
      </c>
      <c r="M552" s="358" t="str">
        <f t="shared" si="7"/>
        <v/>
      </c>
      <c r="N552" s="358" t="str">
        <f t="shared" si="8"/>
        <v/>
      </c>
      <c r="O552" s="358" t="str">
        <f t="shared" si="9"/>
        <v/>
      </c>
    </row>
    <row r="553">
      <c r="A553" s="20">
        <v>44270.0</v>
      </c>
      <c r="B553" s="359"/>
      <c r="C553" s="359"/>
      <c r="D553" s="359"/>
      <c r="E553" s="359"/>
      <c r="J553" s="358" t="str">
        <f t="shared" si="4"/>
        <v/>
      </c>
      <c r="K553" s="358" t="str">
        <f t="shared" si="5"/>
        <v/>
      </c>
      <c r="L553" s="358" t="str">
        <f t="shared" si="6"/>
        <v/>
      </c>
      <c r="M553" s="358" t="str">
        <f t="shared" si="7"/>
        <v/>
      </c>
      <c r="N553" s="358" t="str">
        <f t="shared" si="8"/>
        <v/>
      </c>
      <c r="O553" s="358" t="str">
        <f t="shared" si="9"/>
        <v/>
      </c>
    </row>
    <row r="554">
      <c r="A554" s="20">
        <v>44271.0</v>
      </c>
      <c r="B554" s="359"/>
      <c r="C554" s="359"/>
      <c r="D554" s="359"/>
      <c r="E554" s="359"/>
      <c r="J554" s="358" t="str">
        <f t="shared" si="4"/>
        <v/>
      </c>
      <c r="K554" s="358" t="str">
        <f t="shared" si="5"/>
        <v/>
      </c>
      <c r="L554" s="358" t="str">
        <f t="shared" si="6"/>
        <v/>
      </c>
      <c r="M554" s="358" t="str">
        <f t="shared" si="7"/>
        <v/>
      </c>
      <c r="N554" s="358" t="str">
        <f t="shared" si="8"/>
        <v/>
      </c>
      <c r="O554" s="358" t="str">
        <f t="shared" si="9"/>
        <v/>
      </c>
    </row>
    <row r="555">
      <c r="A555" s="20">
        <v>44272.0</v>
      </c>
      <c r="B555" s="359"/>
      <c r="C555" s="359"/>
      <c r="D555" s="359"/>
      <c r="E555" s="359"/>
      <c r="J555" s="358" t="str">
        <f t="shared" si="4"/>
        <v/>
      </c>
      <c r="K555" s="358" t="str">
        <f t="shared" si="5"/>
        <v/>
      </c>
      <c r="L555" s="358" t="str">
        <f t="shared" si="6"/>
        <v/>
      </c>
      <c r="M555" s="358" t="str">
        <f t="shared" si="7"/>
        <v/>
      </c>
      <c r="N555" s="358" t="str">
        <f t="shared" si="8"/>
        <v/>
      </c>
      <c r="O555" s="358" t="str">
        <f t="shared" si="9"/>
        <v/>
      </c>
    </row>
    <row r="556">
      <c r="A556" s="20">
        <v>44273.0</v>
      </c>
      <c r="B556" s="359"/>
      <c r="C556" s="359"/>
      <c r="D556" s="359"/>
      <c r="E556" s="359"/>
      <c r="J556" s="358" t="str">
        <f t="shared" si="4"/>
        <v/>
      </c>
      <c r="K556" s="358" t="str">
        <f t="shared" si="5"/>
        <v/>
      </c>
      <c r="L556" s="358" t="str">
        <f t="shared" si="6"/>
        <v/>
      </c>
      <c r="M556" s="358" t="str">
        <f t="shared" si="7"/>
        <v/>
      </c>
      <c r="N556" s="358" t="str">
        <f t="shared" si="8"/>
        <v/>
      </c>
      <c r="O556" s="358" t="str">
        <f t="shared" si="9"/>
        <v/>
      </c>
    </row>
    <row r="557">
      <c r="A557" s="20">
        <v>44274.0</v>
      </c>
      <c r="B557" s="359"/>
      <c r="C557" s="359"/>
      <c r="D557" s="359"/>
      <c r="E557" s="359"/>
      <c r="J557" s="358" t="str">
        <f t="shared" si="4"/>
        <v/>
      </c>
      <c r="K557" s="358" t="str">
        <f t="shared" si="5"/>
        <v/>
      </c>
      <c r="L557" s="358" t="str">
        <f t="shared" si="6"/>
        <v/>
      </c>
      <c r="M557" s="358" t="str">
        <f t="shared" si="7"/>
        <v/>
      </c>
      <c r="N557" s="358" t="str">
        <f t="shared" si="8"/>
        <v/>
      </c>
      <c r="O557" s="358" t="str">
        <f t="shared" si="9"/>
        <v/>
      </c>
    </row>
    <row r="558">
      <c r="A558" s="20">
        <v>44275.0</v>
      </c>
      <c r="B558" s="359"/>
      <c r="C558" s="359"/>
      <c r="D558" s="359"/>
      <c r="E558" s="359"/>
      <c r="J558" s="358" t="str">
        <f t="shared" si="4"/>
        <v/>
      </c>
      <c r="K558" s="358" t="str">
        <f t="shared" si="5"/>
        <v/>
      </c>
      <c r="L558" s="358" t="str">
        <f t="shared" si="6"/>
        <v/>
      </c>
      <c r="M558" s="358" t="str">
        <f t="shared" si="7"/>
        <v/>
      </c>
      <c r="N558" s="358" t="str">
        <f t="shared" si="8"/>
        <v/>
      </c>
      <c r="O558" s="358" t="str">
        <f t="shared" si="9"/>
        <v/>
      </c>
    </row>
    <row r="559">
      <c r="A559" s="20">
        <v>44276.0</v>
      </c>
      <c r="B559" s="359"/>
      <c r="C559" s="359"/>
      <c r="D559" s="359"/>
      <c r="E559" s="359"/>
      <c r="J559" s="358" t="str">
        <f t="shared" si="4"/>
        <v/>
      </c>
      <c r="K559" s="358" t="str">
        <f t="shared" si="5"/>
        <v/>
      </c>
      <c r="L559" s="358" t="str">
        <f t="shared" si="6"/>
        <v/>
      </c>
      <c r="M559" s="358" t="str">
        <f t="shared" si="7"/>
        <v/>
      </c>
      <c r="N559" s="358" t="str">
        <f t="shared" si="8"/>
        <v/>
      </c>
      <c r="O559" s="358" t="str">
        <f t="shared" si="9"/>
        <v/>
      </c>
    </row>
    <row r="560">
      <c r="A560" s="20">
        <v>44277.0</v>
      </c>
      <c r="B560" s="359"/>
      <c r="C560" s="359"/>
      <c r="D560" s="359"/>
      <c r="E560" s="359"/>
      <c r="J560" s="358" t="str">
        <f t="shared" si="4"/>
        <v/>
      </c>
      <c r="K560" s="358" t="str">
        <f t="shared" si="5"/>
        <v/>
      </c>
      <c r="L560" s="358" t="str">
        <f t="shared" si="6"/>
        <v/>
      </c>
      <c r="M560" s="358" t="str">
        <f t="shared" si="7"/>
        <v/>
      </c>
      <c r="N560" s="358" t="str">
        <f t="shared" si="8"/>
        <v/>
      </c>
      <c r="O560" s="358" t="str">
        <f t="shared" si="9"/>
        <v/>
      </c>
    </row>
    <row r="561">
      <c r="A561" s="20">
        <v>44278.0</v>
      </c>
      <c r="B561" s="359"/>
      <c r="C561" s="359"/>
      <c r="D561" s="359"/>
      <c r="E561" s="359"/>
      <c r="J561" s="358" t="str">
        <f t="shared" si="4"/>
        <v/>
      </c>
      <c r="K561" s="358" t="str">
        <f t="shared" si="5"/>
        <v/>
      </c>
      <c r="L561" s="358" t="str">
        <f t="shared" si="6"/>
        <v/>
      </c>
      <c r="M561" s="358" t="str">
        <f t="shared" si="7"/>
        <v/>
      </c>
      <c r="N561" s="358" t="str">
        <f t="shared" si="8"/>
        <v/>
      </c>
      <c r="O561" s="358" t="str">
        <f t="shared" si="9"/>
        <v/>
      </c>
    </row>
    <row r="562">
      <c r="A562" s="20">
        <v>44279.0</v>
      </c>
      <c r="B562" s="359"/>
      <c r="C562" s="359"/>
      <c r="D562" s="359"/>
      <c r="E562" s="359"/>
      <c r="J562" s="358" t="str">
        <f t="shared" si="4"/>
        <v/>
      </c>
      <c r="K562" s="358" t="str">
        <f t="shared" si="5"/>
        <v/>
      </c>
      <c r="L562" s="358" t="str">
        <f t="shared" si="6"/>
        <v/>
      </c>
      <c r="M562" s="358" t="str">
        <f t="shared" si="7"/>
        <v/>
      </c>
      <c r="N562" s="358" t="str">
        <f t="shared" si="8"/>
        <v/>
      </c>
      <c r="O562" s="358" t="str">
        <f t="shared" si="9"/>
        <v/>
      </c>
    </row>
    <row r="563">
      <c r="A563" s="20">
        <v>44280.0</v>
      </c>
      <c r="B563" s="359"/>
      <c r="C563" s="359"/>
      <c r="D563" s="359"/>
      <c r="E563" s="359"/>
      <c r="J563" s="358" t="str">
        <f t="shared" si="4"/>
        <v/>
      </c>
      <c r="K563" s="358" t="str">
        <f t="shared" si="5"/>
        <v/>
      </c>
      <c r="L563" s="358" t="str">
        <f t="shared" si="6"/>
        <v/>
      </c>
      <c r="M563" s="358" t="str">
        <f t="shared" si="7"/>
        <v/>
      </c>
      <c r="N563" s="358" t="str">
        <f t="shared" si="8"/>
        <v/>
      </c>
      <c r="O563" s="358" t="str">
        <f t="shared" si="9"/>
        <v/>
      </c>
    </row>
    <row r="564">
      <c r="A564" s="20">
        <v>44281.0</v>
      </c>
      <c r="B564" s="359"/>
      <c r="C564" s="359"/>
      <c r="D564" s="359"/>
      <c r="E564" s="359"/>
      <c r="J564" s="358" t="str">
        <f t="shared" si="4"/>
        <v/>
      </c>
      <c r="K564" s="358" t="str">
        <f t="shared" si="5"/>
        <v/>
      </c>
      <c r="L564" s="358" t="str">
        <f t="shared" si="6"/>
        <v/>
      </c>
      <c r="M564" s="358" t="str">
        <f t="shared" si="7"/>
        <v/>
      </c>
      <c r="N564" s="358" t="str">
        <f t="shared" si="8"/>
        <v/>
      </c>
      <c r="O564" s="358" t="str">
        <f t="shared" si="9"/>
        <v/>
      </c>
    </row>
    <row r="565">
      <c r="A565" s="20">
        <v>44282.0</v>
      </c>
      <c r="B565" s="359"/>
      <c r="C565" s="359"/>
      <c r="D565" s="359"/>
      <c r="E565" s="359"/>
      <c r="J565" s="358" t="str">
        <f t="shared" si="4"/>
        <v/>
      </c>
      <c r="K565" s="358" t="str">
        <f t="shared" si="5"/>
        <v/>
      </c>
      <c r="L565" s="358" t="str">
        <f t="shared" si="6"/>
        <v/>
      </c>
      <c r="M565" s="358" t="str">
        <f t="shared" si="7"/>
        <v/>
      </c>
      <c r="N565" s="358" t="str">
        <f t="shared" si="8"/>
        <v/>
      </c>
      <c r="O565" s="358" t="str">
        <f t="shared" si="9"/>
        <v/>
      </c>
    </row>
    <row r="566">
      <c r="A566" s="20">
        <v>44283.0</v>
      </c>
      <c r="B566" s="359"/>
      <c r="C566" s="359"/>
      <c r="D566" s="359"/>
      <c r="E566" s="359"/>
      <c r="J566" s="358" t="str">
        <f t="shared" si="4"/>
        <v/>
      </c>
      <c r="K566" s="358" t="str">
        <f t="shared" si="5"/>
        <v/>
      </c>
      <c r="L566" s="358" t="str">
        <f t="shared" si="6"/>
        <v/>
      </c>
      <c r="M566" s="358" t="str">
        <f t="shared" si="7"/>
        <v/>
      </c>
      <c r="N566" s="358" t="str">
        <f t="shared" si="8"/>
        <v/>
      </c>
      <c r="O566" s="358" t="str">
        <f t="shared" si="9"/>
        <v/>
      </c>
    </row>
    <row r="567">
      <c r="A567" s="20">
        <v>44284.0</v>
      </c>
      <c r="B567" s="359"/>
      <c r="C567" s="359"/>
      <c r="D567" s="359"/>
      <c r="E567" s="359"/>
      <c r="J567" s="358" t="str">
        <f t="shared" si="4"/>
        <v/>
      </c>
      <c r="K567" s="358" t="str">
        <f t="shared" si="5"/>
        <v/>
      </c>
      <c r="L567" s="358" t="str">
        <f t="shared" si="6"/>
        <v/>
      </c>
      <c r="M567" s="358" t="str">
        <f t="shared" si="7"/>
        <v/>
      </c>
      <c r="N567" s="358" t="str">
        <f t="shared" si="8"/>
        <v/>
      </c>
      <c r="O567" s="358" t="str">
        <f t="shared" si="9"/>
        <v/>
      </c>
    </row>
    <row r="568">
      <c r="A568" s="20">
        <v>44285.0</v>
      </c>
      <c r="B568" s="359"/>
      <c r="C568" s="359"/>
      <c r="D568" s="359"/>
      <c r="E568" s="359"/>
      <c r="J568" s="358" t="str">
        <f t="shared" si="4"/>
        <v/>
      </c>
      <c r="K568" s="358" t="str">
        <f t="shared" si="5"/>
        <v/>
      </c>
      <c r="L568" s="358" t="str">
        <f t="shared" si="6"/>
        <v/>
      </c>
      <c r="M568" s="358" t="str">
        <f t="shared" si="7"/>
        <v/>
      </c>
      <c r="N568" s="358" t="str">
        <f t="shared" si="8"/>
        <v/>
      </c>
      <c r="O568" s="358" t="str">
        <f t="shared" si="9"/>
        <v/>
      </c>
    </row>
    <row r="569">
      <c r="A569" s="20">
        <v>44286.0</v>
      </c>
      <c r="B569" s="359"/>
      <c r="C569" s="359"/>
      <c r="D569" s="359"/>
      <c r="E569" s="359"/>
      <c r="J569" s="358" t="str">
        <f t="shared" si="4"/>
        <v/>
      </c>
      <c r="K569" s="358" t="str">
        <f t="shared" si="5"/>
        <v/>
      </c>
      <c r="L569" s="358" t="str">
        <f t="shared" si="6"/>
        <v/>
      </c>
      <c r="M569" s="358" t="str">
        <f t="shared" si="7"/>
        <v/>
      </c>
      <c r="N569" s="358" t="str">
        <f t="shared" si="8"/>
        <v/>
      </c>
      <c r="O569" s="358" t="str">
        <f t="shared" si="9"/>
        <v/>
      </c>
    </row>
    <row r="570">
      <c r="A570" s="20">
        <v>44287.0</v>
      </c>
      <c r="B570" s="359"/>
      <c r="C570" s="359"/>
      <c r="D570" s="359"/>
      <c r="E570" s="359"/>
      <c r="J570" s="358" t="str">
        <f t="shared" si="4"/>
        <v/>
      </c>
      <c r="K570" s="358" t="str">
        <f t="shared" si="5"/>
        <v/>
      </c>
      <c r="L570" s="358" t="str">
        <f t="shared" si="6"/>
        <v/>
      </c>
      <c r="M570" s="358" t="str">
        <f t="shared" si="7"/>
        <v/>
      </c>
      <c r="N570" s="358" t="str">
        <f t="shared" si="8"/>
        <v/>
      </c>
      <c r="O570" s="358" t="str">
        <f t="shared" si="9"/>
        <v/>
      </c>
    </row>
    <row r="571">
      <c r="A571" s="20">
        <v>44288.0</v>
      </c>
      <c r="B571" s="359"/>
      <c r="C571" s="359"/>
      <c r="D571" s="359"/>
      <c r="E571" s="359"/>
      <c r="J571" s="358" t="str">
        <f t="shared" si="4"/>
        <v/>
      </c>
      <c r="K571" s="358" t="str">
        <f t="shared" si="5"/>
        <v/>
      </c>
      <c r="L571" s="358" t="str">
        <f t="shared" si="6"/>
        <v/>
      </c>
      <c r="M571" s="358" t="str">
        <f t="shared" si="7"/>
        <v/>
      </c>
      <c r="N571" s="358" t="str">
        <f t="shared" si="8"/>
        <v/>
      </c>
      <c r="O571" s="358" t="str">
        <f t="shared" si="9"/>
        <v/>
      </c>
    </row>
    <row r="572">
      <c r="A572" s="20">
        <v>44289.0</v>
      </c>
      <c r="B572" s="359"/>
      <c r="C572" s="359"/>
      <c r="D572" s="359"/>
      <c r="E572" s="359"/>
      <c r="J572" s="358" t="str">
        <f t="shared" si="4"/>
        <v/>
      </c>
      <c r="K572" s="358" t="str">
        <f t="shared" si="5"/>
        <v/>
      </c>
      <c r="L572" s="358" t="str">
        <f t="shared" si="6"/>
        <v/>
      </c>
      <c r="M572" s="358" t="str">
        <f t="shared" si="7"/>
        <v/>
      </c>
      <c r="N572" s="358" t="str">
        <f t="shared" si="8"/>
        <v/>
      </c>
      <c r="O572" s="358" t="str">
        <f t="shared" si="9"/>
        <v/>
      </c>
    </row>
    <row r="573">
      <c r="A573" s="20">
        <v>44290.0</v>
      </c>
      <c r="B573" s="359"/>
      <c r="C573" s="359"/>
      <c r="D573" s="359"/>
      <c r="E573" s="359"/>
      <c r="J573" s="358" t="str">
        <f t="shared" si="4"/>
        <v/>
      </c>
      <c r="K573" s="358" t="str">
        <f t="shared" si="5"/>
        <v/>
      </c>
      <c r="L573" s="358" t="str">
        <f t="shared" si="6"/>
        <v/>
      </c>
      <c r="M573" s="358" t="str">
        <f t="shared" si="7"/>
        <v/>
      </c>
      <c r="N573" s="358" t="str">
        <f t="shared" si="8"/>
        <v/>
      </c>
      <c r="O573" s="358" t="str">
        <f t="shared" si="9"/>
        <v/>
      </c>
    </row>
    <row r="574">
      <c r="A574" s="20">
        <v>44291.0</v>
      </c>
      <c r="B574" s="359"/>
      <c r="C574" s="359"/>
      <c r="D574" s="359"/>
      <c r="E574" s="359"/>
      <c r="J574" s="358" t="str">
        <f t="shared" si="4"/>
        <v/>
      </c>
      <c r="K574" s="358" t="str">
        <f t="shared" si="5"/>
        <v/>
      </c>
      <c r="L574" s="358" t="str">
        <f t="shared" si="6"/>
        <v/>
      </c>
      <c r="M574" s="358" t="str">
        <f t="shared" si="7"/>
        <v/>
      </c>
      <c r="N574" s="358" t="str">
        <f t="shared" si="8"/>
        <v/>
      </c>
      <c r="O574" s="358" t="str">
        <f t="shared" si="9"/>
        <v/>
      </c>
    </row>
    <row r="575">
      <c r="A575" s="20">
        <v>44292.0</v>
      </c>
      <c r="B575" s="359"/>
      <c r="C575" s="359"/>
      <c r="D575" s="359"/>
      <c r="E575" s="359"/>
      <c r="J575" s="358" t="str">
        <f t="shared" si="4"/>
        <v/>
      </c>
      <c r="K575" s="358" t="str">
        <f t="shared" si="5"/>
        <v/>
      </c>
      <c r="L575" s="358" t="str">
        <f t="shared" si="6"/>
        <v/>
      </c>
      <c r="M575" s="358" t="str">
        <f t="shared" si="7"/>
        <v/>
      </c>
      <c r="N575" s="358" t="str">
        <f t="shared" si="8"/>
        <v/>
      </c>
      <c r="O575" s="358" t="str">
        <f t="shared" si="9"/>
        <v/>
      </c>
    </row>
    <row r="576">
      <c r="A576" s="20">
        <v>44293.0</v>
      </c>
      <c r="B576" s="359"/>
      <c r="C576" s="359"/>
      <c r="D576" s="359"/>
      <c r="E576" s="359"/>
      <c r="J576" s="358" t="str">
        <f t="shared" si="4"/>
        <v/>
      </c>
      <c r="K576" s="358" t="str">
        <f t="shared" si="5"/>
        <v/>
      </c>
      <c r="L576" s="358" t="str">
        <f t="shared" si="6"/>
        <v/>
      </c>
      <c r="M576" s="358" t="str">
        <f t="shared" si="7"/>
        <v/>
      </c>
      <c r="N576" s="358" t="str">
        <f t="shared" si="8"/>
        <v/>
      </c>
      <c r="O576" s="358" t="str">
        <f t="shared" si="9"/>
        <v/>
      </c>
    </row>
    <row r="577">
      <c r="A577" s="20">
        <v>44294.0</v>
      </c>
      <c r="B577" s="359"/>
      <c r="C577" s="359"/>
      <c r="D577" s="359"/>
      <c r="E577" s="359"/>
      <c r="J577" s="358" t="str">
        <f t="shared" si="4"/>
        <v/>
      </c>
      <c r="K577" s="358" t="str">
        <f t="shared" si="5"/>
        <v/>
      </c>
      <c r="L577" s="358" t="str">
        <f t="shared" si="6"/>
        <v/>
      </c>
      <c r="M577" s="358" t="str">
        <f t="shared" si="7"/>
        <v/>
      </c>
      <c r="N577" s="358" t="str">
        <f t="shared" si="8"/>
        <v/>
      </c>
      <c r="O577" s="358" t="str">
        <f t="shared" si="9"/>
        <v/>
      </c>
    </row>
    <row r="578">
      <c r="A578" s="20">
        <v>44295.0</v>
      </c>
      <c r="B578" s="359"/>
      <c r="C578" s="359"/>
      <c r="D578" s="359"/>
      <c r="E578" s="359"/>
      <c r="J578" s="358" t="str">
        <f t="shared" si="4"/>
        <v/>
      </c>
      <c r="K578" s="358" t="str">
        <f t="shared" si="5"/>
        <v/>
      </c>
      <c r="L578" s="358" t="str">
        <f t="shared" si="6"/>
        <v/>
      </c>
      <c r="M578" s="358" t="str">
        <f t="shared" si="7"/>
        <v/>
      </c>
      <c r="N578" s="358" t="str">
        <f t="shared" si="8"/>
        <v/>
      </c>
      <c r="O578" s="358" t="str">
        <f t="shared" si="9"/>
        <v/>
      </c>
    </row>
    <row r="579">
      <c r="A579" s="20">
        <v>44296.0</v>
      </c>
      <c r="B579" s="359"/>
      <c r="C579" s="359"/>
      <c r="D579" s="359"/>
      <c r="E579" s="359"/>
      <c r="J579" s="358" t="str">
        <f t="shared" si="4"/>
        <v/>
      </c>
      <c r="K579" s="358" t="str">
        <f t="shared" si="5"/>
        <v/>
      </c>
      <c r="L579" s="358" t="str">
        <f t="shared" si="6"/>
        <v/>
      </c>
      <c r="M579" s="358" t="str">
        <f t="shared" si="7"/>
        <v/>
      </c>
      <c r="N579" s="358" t="str">
        <f t="shared" si="8"/>
        <v/>
      </c>
      <c r="O579" s="358" t="str">
        <f t="shared" si="9"/>
        <v/>
      </c>
    </row>
    <row r="580">
      <c r="A580" s="20">
        <v>44297.0</v>
      </c>
      <c r="B580" s="359"/>
      <c r="C580" s="359"/>
      <c r="D580" s="359"/>
      <c r="E580" s="359"/>
      <c r="J580" s="358" t="str">
        <f t="shared" si="4"/>
        <v/>
      </c>
      <c r="K580" s="358" t="str">
        <f t="shared" si="5"/>
        <v/>
      </c>
      <c r="L580" s="358" t="str">
        <f t="shared" si="6"/>
        <v/>
      </c>
      <c r="M580" s="358" t="str">
        <f t="shared" si="7"/>
        <v/>
      </c>
      <c r="N580" s="358" t="str">
        <f t="shared" si="8"/>
        <v/>
      </c>
      <c r="O580" s="358" t="str">
        <f t="shared" si="9"/>
        <v/>
      </c>
    </row>
    <row r="581">
      <c r="A581" s="20">
        <v>44298.0</v>
      </c>
      <c r="B581" s="359"/>
      <c r="C581" s="359"/>
      <c r="D581" s="359"/>
      <c r="E581" s="359"/>
      <c r="J581" s="358" t="str">
        <f t="shared" si="4"/>
        <v/>
      </c>
      <c r="K581" s="358" t="str">
        <f t="shared" si="5"/>
        <v/>
      </c>
      <c r="L581" s="358" t="str">
        <f t="shared" si="6"/>
        <v/>
      </c>
      <c r="M581" s="358" t="str">
        <f t="shared" si="7"/>
        <v/>
      </c>
      <c r="N581" s="358" t="str">
        <f t="shared" si="8"/>
        <v/>
      </c>
      <c r="O581" s="358" t="str">
        <f t="shared" si="9"/>
        <v/>
      </c>
    </row>
    <row r="582">
      <c r="A582" s="20">
        <v>44299.0</v>
      </c>
      <c r="B582" s="359"/>
      <c r="C582" s="359"/>
      <c r="D582" s="359"/>
      <c r="E582" s="359"/>
      <c r="J582" s="358" t="str">
        <f t="shared" si="4"/>
        <v/>
      </c>
      <c r="K582" s="358" t="str">
        <f t="shared" si="5"/>
        <v/>
      </c>
      <c r="L582" s="358" t="str">
        <f t="shared" si="6"/>
        <v/>
      </c>
      <c r="M582" s="358" t="str">
        <f t="shared" si="7"/>
        <v/>
      </c>
      <c r="N582" s="358" t="str">
        <f t="shared" si="8"/>
        <v/>
      </c>
      <c r="O582" s="358" t="str">
        <f t="shared" si="9"/>
        <v/>
      </c>
    </row>
    <row r="583">
      <c r="A583" s="20">
        <v>44300.0</v>
      </c>
      <c r="B583" s="359"/>
      <c r="C583" s="359"/>
      <c r="D583" s="359"/>
      <c r="E583" s="359"/>
      <c r="J583" s="358" t="str">
        <f t="shared" si="4"/>
        <v/>
      </c>
      <c r="K583" s="358" t="str">
        <f t="shared" si="5"/>
        <v/>
      </c>
      <c r="L583" s="358" t="str">
        <f t="shared" si="6"/>
        <v/>
      </c>
      <c r="M583" s="358" t="str">
        <f t="shared" si="7"/>
        <v/>
      </c>
      <c r="N583" s="358" t="str">
        <f t="shared" si="8"/>
        <v/>
      </c>
      <c r="O583" s="358" t="str">
        <f t="shared" si="9"/>
        <v/>
      </c>
    </row>
    <row r="584">
      <c r="A584" s="20">
        <v>44301.0</v>
      </c>
      <c r="B584" s="359"/>
      <c r="C584" s="359"/>
      <c r="D584" s="359"/>
      <c r="E584" s="359"/>
      <c r="J584" s="358" t="str">
        <f t="shared" si="4"/>
        <v/>
      </c>
      <c r="K584" s="358" t="str">
        <f t="shared" si="5"/>
        <v/>
      </c>
      <c r="L584" s="358" t="str">
        <f t="shared" si="6"/>
        <v/>
      </c>
      <c r="M584" s="358" t="str">
        <f t="shared" si="7"/>
        <v/>
      </c>
      <c r="N584" s="358" t="str">
        <f t="shared" si="8"/>
        <v/>
      </c>
      <c r="O584" s="358" t="str">
        <f t="shared" si="9"/>
        <v/>
      </c>
    </row>
    <row r="585">
      <c r="A585" s="20">
        <v>44302.0</v>
      </c>
      <c r="B585" s="359"/>
      <c r="C585" s="359"/>
      <c r="D585" s="359"/>
      <c r="E585" s="359"/>
      <c r="J585" s="358" t="str">
        <f t="shared" si="4"/>
        <v/>
      </c>
      <c r="K585" s="358" t="str">
        <f t="shared" si="5"/>
        <v/>
      </c>
      <c r="L585" s="358" t="str">
        <f t="shared" si="6"/>
        <v/>
      </c>
      <c r="M585" s="358" t="str">
        <f t="shared" si="7"/>
        <v/>
      </c>
      <c r="N585" s="358" t="str">
        <f t="shared" si="8"/>
        <v/>
      </c>
      <c r="O585" s="358" t="str">
        <f t="shared" si="9"/>
        <v/>
      </c>
    </row>
    <row r="586">
      <c r="A586" s="20">
        <v>44303.0</v>
      </c>
      <c r="B586" s="359"/>
      <c r="C586" s="359"/>
      <c r="D586" s="359"/>
      <c r="E586" s="359"/>
      <c r="J586" s="358" t="str">
        <f t="shared" si="4"/>
        <v/>
      </c>
      <c r="K586" s="358" t="str">
        <f t="shared" si="5"/>
        <v/>
      </c>
      <c r="L586" s="358" t="str">
        <f t="shared" si="6"/>
        <v/>
      </c>
      <c r="M586" s="358" t="str">
        <f t="shared" si="7"/>
        <v/>
      </c>
      <c r="N586" s="358" t="str">
        <f t="shared" si="8"/>
        <v/>
      </c>
      <c r="O586" s="358" t="str">
        <f t="shared" si="9"/>
        <v/>
      </c>
    </row>
    <row r="587">
      <c r="A587" s="20">
        <v>44304.0</v>
      </c>
      <c r="B587" s="359"/>
      <c r="C587" s="359"/>
      <c r="D587" s="359"/>
      <c r="E587" s="359"/>
      <c r="J587" s="358" t="str">
        <f t="shared" si="4"/>
        <v/>
      </c>
      <c r="K587" s="358" t="str">
        <f t="shared" si="5"/>
        <v/>
      </c>
      <c r="L587" s="358" t="str">
        <f t="shared" si="6"/>
        <v/>
      </c>
      <c r="M587" s="358" t="str">
        <f t="shared" si="7"/>
        <v/>
      </c>
      <c r="N587" s="358" t="str">
        <f t="shared" si="8"/>
        <v/>
      </c>
      <c r="O587" s="358" t="str">
        <f t="shared" si="9"/>
        <v/>
      </c>
    </row>
    <row r="588">
      <c r="A588" s="20">
        <v>44305.0</v>
      </c>
      <c r="B588" s="359"/>
      <c r="C588" s="359"/>
      <c r="D588" s="359"/>
      <c r="E588" s="359"/>
      <c r="J588" s="358" t="str">
        <f t="shared" si="4"/>
        <v/>
      </c>
      <c r="K588" s="358" t="str">
        <f t="shared" si="5"/>
        <v/>
      </c>
      <c r="L588" s="358" t="str">
        <f t="shared" si="6"/>
        <v/>
      </c>
      <c r="M588" s="358" t="str">
        <f t="shared" si="7"/>
        <v/>
      </c>
      <c r="N588" s="358" t="str">
        <f t="shared" si="8"/>
        <v/>
      </c>
      <c r="O588" s="358" t="str">
        <f t="shared" si="9"/>
        <v/>
      </c>
    </row>
    <row r="589">
      <c r="A589" s="20">
        <v>44306.0</v>
      </c>
      <c r="B589" s="359"/>
      <c r="C589" s="359"/>
      <c r="D589" s="359"/>
      <c r="E589" s="359"/>
      <c r="J589" s="358" t="str">
        <f t="shared" si="4"/>
        <v/>
      </c>
      <c r="K589" s="358" t="str">
        <f t="shared" si="5"/>
        <v/>
      </c>
      <c r="L589" s="358" t="str">
        <f t="shared" si="6"/>
        <v/>
      </c>
      <c r="M589" s="358" t="str">
        <f t="shared" si="7"/>
        <v/>
      </c>
      <c r="N589" s="358" t="str">
        <f t="shared" si="8"/>
        <v/>
      </c>
      <c r="O589" s="358" t="str">
        <f t="shared" si="9"/>
        <v/>
      </c>
    </row>
    <row r="590">
      <c r="A590" s="20">
        <v>44307.0</v>
      </c>
      <c r="B590" s="359"/>
      <c r="C590" s="359"/>
      <c r="D590" s="359"/>
      <c r="E590" s="359"/>
      <c r="J590" s="358" t="str">
        <f t="shared" si="4"/>
        <v/>
      </c>
      <c r="K590" s="358" t="str">
        <f t="shared" si="5"/>
        <v/>
      </c>
      <c r="L590" s="358" t="str">
        <f t="shared" si="6"/>
        <v/>
      </c>
      <c r="M590" s="358" t="str">
        <f t="shared" si="7"/>
        <v/>
      </c>
      <c r="N590" s="358" t="str">
        <f t="shared" si="8"/>
        <v/>
      </c>
      <c r="O590" s="358" t="str">
        <f t="shared" si="9"/>
        <v/>
      </c>
    </row>
    <row r="591">
      <c r="A591" s="20">
        <v>44308.0</v>
      </c>
      <c r="B591" s="359"/>
      <c r="C591" s="359"/>
      <c r="D591" s="359"/>
      <c r="E591" s="359"/>
      <c r="J591" s="358" t="str">
        <f t="shared" si="4"/>
        <v/>
      </c>
      <c r="K591" s="358" t="str">
        <f t="shared" si="5"/>
        <v/>
      </c>
      <c r="L591" s="358" t="str">
        <f t="shared" si="6"/>
        <v/>
      </c>
      <c r="M591" s="358" t="str">
        <f t="shared" si="7"/>
        <v/>
      </c>
      <c r="N591" s="358" t="str">
        <f t="shared" si="8"/>
        <v/>
      </c>
      <c r="O591" s="358" t="str">
        <f t="shared" si="9"/>
        <v/>
      </c>
    </row>
    <row r="592">
      <c r="A592" s="20">
        <v>44309.0</v>
      </c>
      <c r="B592" s="359"/>
      <c r="C592" s="359"/>
      <c r="D592" s="359"/>
      <c r="E592" s="359"/>
      <c r="J592" s="358" t="str">
        <f t="shared" si="4"/>
        <v/>
      </c>
      <c r="K592" s="358" t="str">
        <f t="shared" si="5"/>
        <v/>
      </c>
      <c r="L592" s="358" t="str">
        <f t="shared" si="6"/>
        <v/>
      </c>
      <c r="M592" s="358" t="str">
        <f t="shared" si="7"/>
        <v/>
      </c>
      <c r="N592" s="358" t="str">
        <f t="shared" si="8"/>
        <v/>
      </c>
      <c r="O592" s="358" t="str">
        <f t="shared" si="9"/>
        <v/>
      </c>
    </row>
    <row r="593">
      <c r="A593" s="20">
        <v>44310.0</v>
      </c>
      <c r="B593" s="359"/>
      <c r="C593" s="359"/>
      <c r="D593" s="359"/>
      <c r="E593" s="359"/>
      <c r="J593" s="358" t="str">
        <f t="shared" si="4"/>
        <v/>
      </c>
      <c r="K593" s="358" t="str">
        <f t="shared" si="5"/>
        <v/>
      </c>
      <c r="L593" s="358" t="str">
        <f t="shared" si="6"/>
        <v/>
      </c>
      <c r="M593" s="358" t="str">
        <f t="shared" si="7"/>
        <v/>
      </c>
      <c r="N593" s="358" t="str">
        <f t="shared" si="8"/>
        <v/>
      </c>
      <c r="O593" s="358" t="str">
        <f t="shared" si="9"/>
        <v/>
      </c>
    </row>
    <row r="594">
      <c r="A594" s="20">
        <v>44311.0</v>
      </c>
      <c r="B594" s="359"/>
      <c r="C594" s="359"/>
      <c r="D594" s="359"/>
      <c r="E594" s="359"/>
      <c r="J594" s="358" t="str">
        <f t="shared" si="4"/>
        <v/>
      </c>
      <c r="K594" s="358" t="str">
        <f t="shared" si="5"/>
        <v/>
      </c>
      <c r="L594" s="358" t="str">
        <f t="shared" si="6"/>
        <v/>
      </c>
      <c r="M594" s="358" t="str">
        <f t="shared" si="7"/>
        <v/>
      </c>
      <c r="N594" s="358" t="str">
        <f t="shared" si="8"/>
        <v/>
      </c>
      <c r="O594" s="358" t="str">
        <f t="shared" si="9"/>
        <v/>
      </c>
    </row>
    <row r="595">
      <c r="A595" s="20">
        <v>44312.0</v>
      </c>
      <c r="B595" s="359"/>
      <c r="C595" s="359"/>
      <c r="D595" s="359"/>
      <c r="E595" s="359"/>
      <c r="J595" s="358" t="str">
        <f t="shared" si="4"/>
        <v/>
      </c>
      <c r="K595" s="358" t="str">
        <f t="shared" si="5"/>
        <v/>
      </c>
      <c r="L595" s="358" t="str">
        <f t="shared" si="6"/>
        <v/>
      </c>
      <c r="M595" s="358" t="str">
        <f t="shared" si="7"/>
        <v/>
      </c>
      <c r="N595" s="358" t="str">
        <f t="shared" si="8"/>
        <v/>
      </c>
      <c r="O595" s="358" t="str">
        <f t="shared" si="9"/>
        <v/>
      </c>
    </row>
    <row r="596">
      <c r="A596" s="20">
        <v>44313.0</v>
      </c>
      <c r="B596" s="359"/>
      <c r="C596" s="359"/>
      <c r="D596" s="359"/>
      <c r="E596" s="359"/>
      <c r="J596" s="358" t="str">
        <f t="shared" si="4"/>
        <v/>
      </c>
      <c r="K596" s="358" t="str">
        <f t="shared" si="5"/>
        <v/>
      </c>
      <c r="L596" s="358" t="str">
        <f t="shared" si="6"/>
        <v/>
      </c>
      <c r="M596" s="358" t="str">
        <f t="shared" si="7"/>
        <v/>
      </c>
      <c r="N596" s="358" t="str">
        <f t="shared" si="8"/>
        <v/>
      </c>
      <c r="O596" s="358" t="str">
        <f t="shared" si="9"/>
        <v/>
      </c>
    </row>
    <row r="597">
      <c r="A597" s="20">
        <v>44314.0</v>
      </c>
      <c r="B597" s="359"/>
      <c r="C597" s="359"/>
      <c r="D597" s="359"/>
      <c r="E597" s="359"/>
      <c r="J597" s="358" t="str">
        <f t="shared" si="4"/>
        <v/>
      </c>
      <c r="K597" s="358" t="str">
        <f t="shared" si="5"/>
        <v/>
      </c>
      <c r="L597" s="358" t="str">
        <f t="shared" si="6"/>
        <v/>
      </c>
      <c r="M597" s="358" t="str">
        <f t="shared" si="7"/>
        <v/>
      </c>
      <c r="N597" s="358" t="str">
        <f t="shared" si="8"/>
        <v/>
      </c>
      <c r="O597" s="358" t="str">
        <f t="shared" si="9"/>
        <v/>
      </c>
    </row>
    <row r="598">
      <c r="A598" s="20">
        <v>44315.0</v>
      </c>
      <c r="B598" s="359"/>
      <c r="C598" s="359"/>
      <c r="D598" s="359"/>
      <c r="E598" s="359"/>
      <c r="J598" s="358" t="str">
        <f t="shared" si="4"/>
        <v/>
      </c>
      <c r="K598" s="358" t="str">
        <f t="shared" si="5"/>
        <v/>
      </c>
      <c r="L598" s="358" t="str">
        <f t="shared" si="6"/>
        <v/>
      </c>
      <c r="M598" s="358" t="str">
        <f t="shared" si="7"/>
        <v/>
      </c>
      <c r="N598" s="358" t="str">
        <f t="shared" si="8"/>
        <v/>
      </c>
      <c r="O598" s="358" t="str">
        <f t="shared" si="9"/>
        <v/>
      </c>
    </row>
    <row r="599">
      <c r="A599" s="20">
        <v>44316.0</v>
      </c>
      <c r="B599" s="359"/>
      <c r="C599" s="359"/>
      <c r="D599" s="359"/>
      <c r="E599" s="359"/>
      <c r="J599" s="358" t="str">
        <f t="shared" si="4"/>
        <v/>
      </c>
      <c r="K599" s="358" t="str">
        <f t="shared" si="5"/>
        <v/>
      </c>
      <c r="L599" s="358" t="str">
        <f t="shared" si="6"/>
        <v/>
      </c>
      <c r="M599" s="358" t="str">
        <f t="shared" si="7"/>
        <v/>
      </c>
      <c r="N599" s="358" t="str">
        <f t="shared" si="8"/>
        <v/>
      </c>
      <c r="O599" s="358" t="str">
        <f t="shared" si="9"/>
        <v/>
      </c>
    </row>
    <row r="600">
      <c r="A600" s="20">
        <v>44317.0</v>
      </c>
      <c r="B600" s="359"/>
      <c r="C600" s="359"/>
      <c r="D600" s="359"/>
      <c r="E600" s="359"/>
      <c r="J600" s="358" t="str">
        <f t="shared" si="4"/>
        <v/>
      </c>
      <c r="K600" s="358" t="str">
        <f t="shared" si="5"/>
        <v/>
      </c>
      <c r="L600" s="358" t="str">
        <f t="shared" si="6"/>
        <v/>
      </c>
      <c r="M600" s="358" t="str">
        <f t="shared" si="7"/>
        <v/>
      </c>
      <c r="N600" s="358" t="str">
        <f t="shared" si="8"/>
        <v/>
      </c>
      <c r="O600" s="358" t="str">
        <f t="shared" si="9"/>
        <v/>
      </c>
    </row>
    <row r="601">
      <c r="A601" s="20">
        <v>44318.0</v>
      </c>
      <c r="B601" s="359"/>
      <c r="C601" s="359"/>
      <c r="D601" s="359"/>
      <c r="E601" s="359"/>
      <c r="J601" s="358" t="str">
        <f t="shared" si="4"/>
        <v/>
      </c>
      <c r="K601" s="358" t="str">
        <f t="shared" si="5"/>
        <v/>
      </c>
      <c r="L601" s="358" t="str">
        <f t="shared" si="6"/>
        <v/>
      </c>
      <c r="M601" s="358" t="str">
        <f t="shared" si="7"/>
        <v/>
      </c>
      <c r="N601" s="358" t="str">
        <f t="shared" si="8"/>
        <v/>
      </c>
      <c r="O601" s="358" t="str">
        <f t="shared" si="9"/>
        <v/>
      </c>
    </row>
    <row r="602">
      <c r="A602" s="20">
        <v>44319.0</v>
      </c>
      <c r="B602" s="359"/>
      <c r="C602" s="359"/>
      <c r="D602" s="359"/>
      <c r="E602" s="359"/>
      <c r="J602" s="358" t="str">
        <f t="shared" si="4"/>
        <v/>
      </c>
      <c r="K602" s="358" t="str">
        <f t="shared" si="5"/>
        <v/>
      </c>
      <c r="L602" s="358" t="str">
        <f t="shared" si="6"/>
        <v/>
      </c>
      <c r="M602" s="358" t="str">
        <f t="shared" si="7"/>
        <v/>
      </c>
      <c r="N602" s="358" t="str">
        <f t="shared" si="8"/>
        <v/>
      </c>
      <c r="O602" s="358" t="str">
        <f t="shared" si="9"/>
        <v/>
      </c>
    </row>
    <row r="603">
      <c r="A603" s="20">
        <v>44320.0</v>
      </c>
      <c r="B603" s="359"/>
      <c r="C603" s="359"/>
      <c r="D603" s="359"/>
      <c r="E603" s="359"/>
      <c r="J603" s="358" t="str">
        <f t="shared" si="4"/>
        <v/>
      </c>
      <c r="K603" s="358" t="str">
        <f t="shared" si="5"/>
        <v/>
      </c>
      <c r="L603" s="358" t="str">
        <f t="shared" si="6"/>
        <v/>
      </c>
      <c r="M603" s="358" t="str">
        <f t="shared" si="7"/>
        <v/>
      </c>
      <c r="N603" s="358" t="str">
        <f t="shared" si="8"/>
        <v/>
      </c>
      <c r="O603" s="358" t="str">
        <f t="shared" si="9"/>
        <v/>
      </c>
    </row>
    <row r="604">
      <c r="A604" s="20">
        <v>44321.0</v>
      </c>
      <c r="B604" s="359"/>
      <c r="C604" s="359"/>
      <c r="D604" s="359"/>
      <c r="E604" s="359"/>
      <c r="J604" s="358" t="str">
        <f t="shared" si="4"/>
        <v/>
      </c>
      <c r="K604" s="358" t="str">
        <f t="shared" si="5"/>
        <v/>
      </c>
      <c r="L604" s="358" t="str">
        <f t="shared" si="6"/>
        <v/>
      </c>
      <c r="M604" s="358" t="str">
        <f t="shared" si="7"/>
        <v/>
      </c>
      <c r="N604" s="358" t="str">
        <f t="shared" si="8"/>
        <v/>
      </c>
      <c r="O604" s="358" t="str">
        <f t="shared" si="9"/>
        <v/>
      </c>
    </row>
    <row r="605">
      <c r="A605" s="20">
        <v>44322.0</v>
      </c>
      <c r="B605" s="359"/>
      <c r="C605" s="359"/>
      <c r="D605" s="359"/>
      <c r="E605" s="359"/>
      <c r="J605" s="358" t="str">
        <f t="shared" si="4"/>
        <v/>
      </c>
      <c r="K605" s="358" t="str">
        <f t="shared" si="5"/>
        <v/>
      </c>
      <c r="L605" s="358" t="str">
        <f t="shared" si="6"/>
        <v/>
      </c>
      <c r="M605" s="358" t="str">
        <f t="shared" si="7"/>
        <v/>
      </c>
      <c r="N605" s="358" t="str">
        <f t="shared" si="8"/>
        <v/>
      </c>
      <c r="O605" s="358" t="str">
        <f t="shared" si="9"/>
        <v/>
      </c>
    </row>
    <row r="606">
      <c r="A606" s="20">
        <v>44323.0</v>
      </c>
      <c r="B606" s="359"/>
      <c r="C606" s="359"/>
      <c r="D606" s="359"/>
      <c r="E606" s="359"/>
      <c r="J606" s="358" t="str">
        <f t="shared" si="4"/>
        <v/>
      </c>
      <c r="K606" s="358" t="str">
        <f t="shared" si="5"/>
        <v/>
      </c>
      <c r="L606" s="358" t="str">
        <f t="shared" si="6"/>
        <v/>
      </c>
      <c r="M606" s="358" t="str">
        <f t="shared" si="7"/>
        <v/>
      </c>
      <c r="N606" s="358" t="str">
        <f t="shared" si="8"/>
        <v/>
      </c>
      <c r="O606" s="358" t="str">
        <f t="shared" si="9"/>
        <v/>
      </c>
    </row>
    <row r="607">
      <c r="A607" s="20">
        <v>44324.0</v>
      </c>
      <c r="B607" s="359"/>
      <c r="C607" s="359"/>
      <c r="D607" s="359"/>
      <c r="E607" s="359"/>
      <c r="J607" s="358" t="str">
        <f t="shared" si="4"/>
        <v/>
      </c>
      <c r="K607" s="358" t="str">
        <f t="shared" si="5"/>
        <v/>
      </c>
      <c r="L607" s="358" t="str">
        <f t="shared" si="6"/>
        <v/>
      </c>
      <c r="M607" s="358" t="str">
        <f t="shared" si="7"/>
        <v/>
      </c>
      <c r="N607" s="358" t="str">
        <f t="shared" si="8"/>
        <v/>
      </c>
      <c r="O607" s="358" t="str">
        <f t="shared" si="9"/>
        <v/>
      </c>
    </row>
    <row r="608">
      <c r="A608" s="20">
        <v>44325.0</v>
      </c>
      <c r="B608" s="359"/>
      <c r="C608" s="359"/>
      <c r="D608" s="359"/>
      <c r="E608" s="359"/>
      <c r="J608" s="358" t="str">
        <f t="shared" si="4"/>
        <v/>
      </c>
      <c r="K608" s="358" t="str">
        <f t="shared" si="5"/>
        <v/>
      </c>
      <c r="L608" s="358" t="str">
        <f t="shared" si="6"/>
        <v/>
      </c>
      <c r="M608" s="358" t="str">
        <f t="shared" si="7"/>
        <v/>
      </c>
      <c r="N608" s="358" t="str">
        <f t="shared" si="8"/>
        <v/>
      </c>
      <c r="O608" s="358" t="str">
        <f t="shared" si="9"/>
        <v/>
      </c>
    </row>
    <row r="609">
      <c r="A609" s="20">
        <v>44326.0</v>
      </c>
      <c r="B609" s="359"/>
      <c r="C609" s="359"/>
      <c r="D609" s="359"/>
      <c r="E609" s="359"/>
      <c r="J609" s="358" t="str">
        <f t="shared" si="4"/>
        <v/>
      </c>
      <c r="K609" s="358" t="str">
        <f t="shared" si="5"/>
        <v/>
      </c>
      <c r="L609" s="358" t="str">
        <f t="shared" si="6"/>
        <v/>
      </c>
      <c r="M609" s="358" t="str">
        <f t="shared" si="7"/>
        <v/>
      </c>
      <c r="N609" s="358" t="str">
        <f t="shared" si="8"/>
        <v/>
      </c>
      <c r="O609" s="358" t="str">
        <f t="shared" si="9"/>
        <v/>
      </c>
    </row>
    <row r="610">
      <c r="A610" s="20">
        <v>44327.0</v>
      </c>
      <c r="B610" s="359"/>
      <c r="C610" s="359"/>
      <c r="D610" s="359"/>
      <c r="E610" s="359"/>
      <c r="J610" s="358" t="str">
        <f t="shared" si="4"/>
        <v/>
      </c>
      <c r="K610" s="358" t="str">
        <f t="shared" si="5"/>
        <v/>
      </c>
      <c r="L610" s="358" t="str">
        <f t="shared" si="6"/>
        <v/>
      </c>
      <c r="M610" s="358" t="str">
        <f t="shared" si="7"/>
        <v/>
      </c>
      <c r="N610" s="358" t="str">
        <f t="shared" si="8"/>
        <v/>
      </c>
      <c r="O610" s="358" t="str">
        <f t="shared" si="9"/>
        <v/>
      </c>
    </row>
    <row r="611">
      <c r="A611" s="20">
        <v>44328.0</v>
      </c>
      <c r="B611" s="359"/>
      <c r="C611" s="359"/>
      <c r="D611" s="359"/>
      <c r="E611" s="359"/>
      <c r="J611" s="358" t="str">
        <f t="shared" si="4"/>
        <v/>
      </c>
      <c r="K611" s="358" t="str">
        <f t="shared" si="5"/>
        <v/>
      </c>
      <c r="L611" s="358" t="str">
        <f t="shared" si="6"/>
        <v/>
      </c>
      <c r="M611" s="358" t="str">
        <f t="shared" si="7"/>
        <v/>
      </c>
      <c r="N611" s="358" t="str">
        <f t="shared" si="8"/>
        <v/>
      </c>
      <c r="O611" s="358" t="str">
        <f t="shared" si="9"/>
        <v/>
      </c>
    </row>
    <row r="612">
      <c r="A612" s="20">
        <v>44329.0</v>
      </c>
      <c r="B612" s="359"/>
      <c r="C612" s="359"/>
      <c r="D612" s="359"/>
      <c r="E612" s="359"/>
      <c r="J612" s="358" t="str">
        <f t="shared" si="4"/>
        <v/>
      </c>
      <c r="K612" s="358" t="str">
        <f t="shared" si="5"/>
        <v/>
      </c>
      <c r="L612" s="358" t="str">
        <f t="shared" si="6"/>
        <v/>
      </c>
      <c r="M612" s="358" t="str">
        <f t="shared" si="7"/>
        <v/>
      </c>
      <c r="N612" s="358" t="str">
        <f t="shared" si="8"/>
        <v/>
      </c>
      <c r="O612" s="358" t="str">
        <f t="shared" si="9"/>
        <v/>
      </c>
    </row>
    <row r="613">
      <c r="A613" s="20">
        <v>44330.0</v>
      </c>
      <c r="B613" s="359"/>
      <c r="C613" s="359"/>
      <c r="D613" s="359"/>
      <c r="E613" s="359"/>
      <c r="J613" s="358" t="str">
        <f t="shared" si="4"/>
        <v/>
      </c>
      <c r="K613" s="358" t="str">
        <f t="shared" si="5"/>
        <v/>
      </c>
      <c r="L613" s="358" t="str">
        <f t="shared" si="6"/>
        <v/>
      </c>
      <c r="M613" s="358" t="str">
        <f t="shared" si="7"/>
        <v/>
      </c>
      <c r="N613" s="358" t="str">
        <f t="shared" si="8"/>
        <v/>
      </c>
      <c r="O613" s="358" t="str">
        <f t="shared" si="9"/>
        <v/>
      </c>
    </row>
    <row r="614">
      <c r="A614" s="20">
        <v>44331.0</v>
      </c>
      <c r="B614" s="359"/>
      <c r="C614" s="359"/>
      <c r="D614" s="359"/>
      <c r="E614" s="359"/>
      <c r="J614" s="358" t="str">
        <f t="shared" si="4"/>
        <v/>
      </c>
      <c r="K614" s="358" t="str">
        <f t="shared" si="5"/>
        <v/>
      </c>
      <c r="L614" s="358" t="str">
        <f t="shared" si="6"/>
        <v/>
      </c>
      <c r="M614" s="358" t="str">
        <f t="shared" si="7"/>
        <v/>
      </c>
      <c r="N614" s="358" t="str">
        <f t="shared" si="8"/>
        <v/>
      </c>
      <c r="O614" s="358" t="str">
        <f t="shared" si="9"/>
        <v/>
      </c>
    </row>
    <row r="615">
      <c r="A615" s="20">
        <v>44332.0</v>
      </c>
      <c r="B615" s="359"/>
      <c r="C615" s="359"/>
      <c r="D615" s="359"/>
      <c r="E615" s="359"/>
      <c r="J615" s="358" t="str">
        <f t="shared" si="4"/>
        <v/>
      </c>
      <c r="K615" s="358" t="str">
        <f t="shared" si="5"/>
        <v/>
      </c>
      <c r="L615" s="358" t="str">
        <f t="shared" si="6"/>
        <v/>
      </c>
      <c r="M615" s="358" t="str">
        <f t="shared" si="7"/>
        <v/>
      </c>
      <c r="N615" s="358" t="str">
        <f t="shared" si="8"/>
        <v/>
      </c>
      <c r="O615" s="358" t="str">
        <f t="shared" si="9"/>
        <v/>
      </c>
    </row>
    <row r="616">
      <c r="A616" s="20">
        <v>44333.0</v>
      </c>
      <c r="B616" s="359"/>
      <c r="C616" s="359"/>
      <c r="D616" s="359"/>
      <c r="E616" s="359"/>
      <c r="J616" s="358" t="str">
        <f t="shared" si="4"/>
        <v/>
      </c>
      <c r="K616" s="358" t="str">
        <f t="shared" si="5"/>
        <v/>
      </c>
      <c r="L616" s="358" t="str">
        <f t="shared" si="6"/>
        <v/>
      </c>
      <c r="M616" s="358" t="str">
        <f t="shared" si="7"/>
        <v/>
      </c>
      <c r="N616" s="358" t="str">
        <f t="shared" si="8"/>
        <v/>
      </c>
      <c r="O616" s="358" t="str">
        <f t="shared" si="9"/>
        <v/>
      </c>
    </row>
    <row r="617">
      <c r="A617" s="20">
        <v>44334.0</v>
      </c>
      <c r="B617" s="359"/>
      <c r="C617" s="359"/>
      <c r="D617" s="359"/>
      <c r="E617" s="359"/>
      <c r="J617" s="358" t="str">
        <f t="shared" si="4"/>
        <v/>
      </c>
      <c r="K617" s="358" t="str">
        <f t="shared" si="5"/>
        <v/>
      </c>
      <c r="L617" s="358" t="str">
        <f t="shared" si="6"/>
        <v/>
      </c>
      <c r="M617" s="358" t="str">
        <f t="shared" si="7"/>
        <v/>
      </c>
      <c r="N617" s="358" t="str">
        <f t="shared" si="8"/>
        <v/>
      </c>
      <c r="O617" s="358" t="str">
        <f t="shared" si="9"/>
        <v/>
      </c>
    </row>
    <row r="618">
      <c r="A618" s="20">
        <v>44335.0</v>
      </c>
      <c r="B618" s="359"/>
      <c r="C618" s="359"/>
      <c r="D618" s="359"/>
      <c r="E618" s="359"/>
      <c r="J618" s="358" t="str">
        <f t="shared" si="4"/>
        <v/>
      </c>
      <c r="K618" s="358" t="str">
        <f t="shared" si="5"/>
        <v/>
      </c>
      <c r="L618" s="358" t="str">
        <f t="shared" si="6"/>
        <v/>
      </c>
      <c r="M618" s="358" t="str">
        <f t="shared" si="7"/>
        <v/>
      </c>
      <c r="N618" s="358" t="str">
        <f t="shared" si="8"/>
        <v/>
      </c>
      <c r="O618" s="358" t="str">
        <f t="shared" si="9"/>
        <v/>
      </c>
    </row>
    <row r="619">
      <c r="A619" s="20">
        <v>44336.0</v>
      </c>
      <c r="B619" s="359"/>
      <c r="C619" s="359"/>
      <c r="D619" s="359"/>
      <c r="E619" s="359"/>
      <c r="J619" s="358" t="str">
        <f t="shared" si="4"/>
        <v/>
      </c>
      <c r="K619" s="358" t="str">
        <f t="shared" si="5"/>
        <v/>
      </c>
      <c r="L619" s="358" t="str">
        <f t="shared" si="6"/>
        <v/>
      </c>
      <c r="M619" s="358" t="str">
        <f t="shared" si="7"/>
        <v/>
      </c>
      <c r="N619" s="358" t="str">
        <f t="shared" si="8"/>
        <v/>
      </c>
      <c r="O619" s="358" t="str">
        <f t="shared" si="9"/>
        <v/>
      </c>
    </row>
    <row r="620">
      <c r="A620" s="20">
        <v>44337.0</v>
      </c>
      <c r="B620" s="359"/>
      <c r="C620" s="359"/>
      <c r="D620" s="359"/>
      <c r="E620" s="359"/>
      <c r="J620" s="358" t="str">
        <f t="shared" si="4"/>
        <v/>
      </c>
      <c r="K620" s="358" t="str">
        <f t="shared" si="5"/>
        <v/>
      </c>
      <c r="L620" s="358" t="str">
        <f t="shared" si="6"/>
        <v/>
      </c>
      <c r="M620" s="358" t="str">
        <f t="shared" si="7"/>
        <v/>
      </c>
      <c r="N620" s="358" t="str">
        <f t="shared" si="8"/>
        <v/>
      </c>
      <c r="O620" s="358" t="str">
        <f t="shared" si="9"/>
        <v/>
      </c>
    </row>
    <row r="621">
      <c r="A621" s="20">
        <v>44338.0</v>
      </c>
      <c r="B621" s="359"/>
      <c r="C621" s="359"/>
      <c r="D621" s="359"/>
      <c r="E621" s="359"/>
      <c r="J621" s="358" t="str">
        <f t="shared" si="4"/>
        <v/>
      </c>
      <c r="K621" s="358" t="str">
        <f t="shared" si="5"/>
        <v/>
      </c>
      <c r="L621" s="358" t="str">
        <f t="shared" si="6"/>
        <v/>
      </c>
      <c r="M621" s="358" t="str">
        <f t="shared" si="7"/>
        <v/>
      </c>
      <c r="N621" s="358" t="str">
        <f t="shared" si="8"/>
        <v/>
      </c>
      <c r="O621" s="358" t="str">
        <f t="shared" si="9"/>
        <v/>
      </c>
    </row>
    <row r="622">
      <c r="A622" s="20">
        <v>44339.0</v>
      </c>
      <c r="B622" s="359"/>
      <c r="C622" s="359"/>
      <c r="D622" s="359"/>
      <c r="E622" s="359"/>
      <c r="J622" s="358" t="str">
        <f t="shared" si="4"/>
        <v/>
      </c>
      <c r="K622" s="358" t="str">
        <f t="shared" si="5"/>
        <v/>
      </c>
      <c r="L622" s="358" t="str">
        <f t="shared" si="6"/>
        <v/>
      </c>
      <c r="M622" s="358" t="str">
        <f t="shared" si="7"/>
        <v/>
      </c>
      <c r="N622" s="358" t="str">
        <f t="shared" si="8"/>
        <v/>
      </c>
      <c r="O622" s="358" t="str">
        <f t="shared" si="9"/>
        <v/>
      </c>
    </row>
    <row r="623">
      <c r="A623" s="20">
        <v>44340.0</v>
      </c>
      <c r="B623" s="359"/>
      <c r="C623" s="359"/>
      <c r="D623" s="359"/>
      <c r="E623" s="359"/>
      <c r="J623" s="358" t="str">
        <f t="shared" si="4"/>
        <v/>
      </c>
      <c r="K623" s="358" t="str">
        <f t="shared" si="5"/>
        <v/>
      </c>
      <c r="L623" s="358" t="str">
        <f t="shared" si="6"/>
        <v/>
      </c>
      <c r="M623" s="358" t="str">
        <f t="shared" si="7"/>
        <v/>
      </c>
      <c r="N623" s="358" t="str">
        <f t="shared" si="8"/>
        <v/>
      </c>
      <c r="O623" s="358" t="str">
        <f t="shared" si="9"/>
        <v/>
      </c>
    </row>
    <row r="624">
      <c r="A624" s="20">
        <v>44341.0</v>
      </c>
      <c r="B624" s="359"/>
      <c r="C624" s="359"/>
      <c r="D624" s="359"/>
      <c r="E624" s="359"/>
      <c r="J624" s="358" t="str">
        <f t="shared" si="4"/>
        <v/>
      </c>
      <c r="K624" s="358" t="str">
        <f t="shared" si="5"/>
        <v/>
      </c>
      <c r="L624" s="358" t="str">
        <f t="shared" si="6"/>
        <v/>
      </c>
      <c r="M624" s="358" t="str">
        <f t="shared" si="7"/>
        <v/>
      </c>
      <c r="N624" s="358" t="str">
        <f t="shared" si="8"/>
        <v/>
      </c>
      <c r="O624" s="358" t="str">
        <f t="shared" si="9"/>
        <v/>
      </c>
    </row>
    <row r="625">
      <c r="A625" s="20">
        <v>44342.0</v>
      </c>
      <c r="B625" s="359"/>
      <c r="C625" s="359"/>
      <c r="D625" s="359"/>
      <c r="E625" s="359"/>
      <c r="J625" s="358" t="str">
        <f t="shared" si="4"/>
        <v/>
      </c>
      <c r="K625" s="358" t="str">
        <f t="shared" si="5"/>
        <v/>
      </c>
      <c r="L625" s="358" t="str">
        <f t="shared" si="6"/>
        <v/>
      </c>
      <c r="M625" s="358" t="str">
        <f t="shared" si="7"/>
        <v/>
      </c>
      <c r="N625" s="358" t="str">
        <f t="shared" si="8"/>
        <v/>
      </c>
      <c r="O625" s="358" t="str">
        <f t="shared" si="9"/>
        <v/>
      </c>
    </row>
    <row r="626">
      <c r="A626" s="20">
        <v>44343.0</v>
      </c>
      <c r="B626" s="359"/>
      <c r="C626" s="359"/>
      <c r="D626" s="359"/>
      <c r="E626" s="359"/>
      <c r="J626" s="358" t="str">
        <f t="shared" si="4"/>
        <v/>
      </c>
      <c r="K626" s="358" t="str">
        <f t="shared" si="5"/>
        <v/>
      </c>
      <c r="L626" s="358" t="str">
        <f t="shared" si="6"/>
        <v/>
      </c>
      <c r="M626" s="358" t="str">
        <f t="shared" si="7"/>
        <v/>
      </c>
      <c r="N626" s="358" t="str">
        <f t="shared" si="8"/>
        <v/>
      </c>
      <c r="O626" s="358" t="str">
        <f t="shared" si="9"/>
        <v/>
      </c>
    </row>
    <row r="627">
      <c r="A627" s="20">
        <v>44344.0</v>
      </c>
      <c r="B627" s="359"/>
      <c r="C627" s="359"/>
      <c r="D627" s="359"/>
      <c r="E627" s="359"/>
      <c r="J627" s="358" t="str">
        <f t="shared" si="4"/>
        <v/>
      </c>
      <c r="K627" s="358" t="str">
        <f t="shared" si="5"/>
        <v/>
      </c>
      <c r="L627" s="358" t="str">
        <f t="shared" si="6"/>
        <v/>
      </c>
      <c r="M627" s="358" t="str">
        <f t="shared" si="7"/>
        <v/>
      </c>
      <c r="N627" s="358" t="str">
        <f t="shared" si="8"/>
        <v/>
      </c>
      <c r="O627" s="358" t="str">
        <f t="shared" si="9"/>
        <v/>
      </c>
    </row>
    <row r="628">
      <c r="A628" s="20">
        <v>44345.0</v>
      </c>
      <c r="B628" s="359"/>
      <c r="C628" s="359"/>
      <c r="D628" s="359"/>
      <c r="E628" s="359"/>
      <c r="J628" s="358" t="str">
        <f t="shared" si="4"/>
        <v/>
      </c>
      <c r="K628" s="358" t="str">
        <f t="shared" si="5"/>
        <v/>
      </c>
      <c r="L628" s="358" t="str">
        <f t="shared" si="6"/>
        <v/>
      </c>
      <c r="M628" s="358" t="str">
        <f t="shared" si="7"/>
        <v/>
      </c>
      <c r="N628" s="358" t="str">
        <f t="shared" si="8"/>
        <v/>
      </c>
      <c r="O628" s="358" t="str">
        <f t="shared" si="9"/>
        <v/>
      </c>
    </row>
    <row r="629">
      <c r="A629" s="20">
        <v>44346.0</v>
      </c>
      <c r="B629" s="359"/>
      <c r="C629" s="359"/>
      <c r="D629" s="359"/>
      <c r="E629" s="359"/>
      <c r="J629" s="358" t="str">
        <f t="shared" si="4"/>
        <v/>
      </c>
      <c r="K629" s="358" t="str">
        <f t="shared" si="5"/>
        <v/>
      </c>
      <c r="L629" s="358" t="str">
        <f t="shared" si="6"/>
        <v/>
      </c>
      <c r="M629" s="358" t="str">
        <f t="shared" si="7"/>
        <v/>
      </c>
      <c r="N629" s="358" t="str">
        <f t="shared" si="8"/>
        <v/>
      </c>
      <c r="O629" s="358" t="str">
        <f t="shared" si="9"/>
        <v/>
      </c>
    </row>
    <row r="630">
      <c r="A630" s="20">
        <v>44347.0</v>
      </c>
      <c r="B630" s="359"/>
      <c r="C630" s="359"/>
      <c r="D630" s="359"/>
      <c r="E630" s="359"/>
      <c r="J630" s="358" t="str">
        <f t="shared" si="4"/>
        <v/>
      </c>
      <c r="K630" s="358" t="str">
        <f t="shared" si="5"/>
        <v/>
      </c>
      <c r="L630" s="358" t="str">
        <f t="shared" si="6"/>
        <v/>
      </c>
      <c r="M630" s="358" t="str">
        <f t="shared" si="7"/>
        <v/>
      </c>
      <c r="N630" s="358" t="str">
        <f t="shared" si="8"/>
        <v/>
      </c>
      <c r="O630" s="358" t="str">
        <f t="shared" si="9"/>
        <v/>
      </c>
    </row>
    <row r="631">
      <c r="A631" s="20">
        <v>44348.0</v>
      </c>
      <c r="B631" s="359"/>
      <c r="C631" s="359"/>
      <c r="D631" s="359"/>
      <c r="E631" s="359"/>
      <c r="J631" s="358" t="str">
        <f t="shared" si="4"/>
        <v/>
      </c>
      <c r="K631" s="358" t="str">
        <f t="shared" si="5"/>
        <v/>
      </c>
      <c r="L631" s="358" t="str">
        <f t="shared" si="6"/>
        <v/>
      </c>
      <c r="M631" s="358" t="str">
        <f t="shared" si="7"/>
        <v/>
      </c>
      <c r="N631" s="358" t="str">
        <f t="shared" si="8"/>
        <v/>
      </c>
      <c r="O631" s="358" t="str">
        <f t="shared" si="9"/>
        <v/>
      </c>
    </row>
    <row r="632">
      <c r="A632" s="20">
        <v>44349.0</v>
      </c>
      <c r="B632" s="359"/>
      <c r="C632" s="359"/>
      <c r="D632" s="359"/>
      <c r="E632" s="359"/>
      <c r="J632" s="358" t="str">
        <f t="shared" si="4"/>
        <v/>
      </c>
      <c r="K632" s="358" t="str">
        <f t="shared" si="5"/>
        <v/>
      </c>
      <c r="L632" s="358" t="str">
        <f t="shared" si="6"/>
        <v/>
      </c>
      <c r="M632" s="358" t="str">
        <f t="shared" si="7"/>
        <v/>
      </c>
      <c r="N632" s="358" t="str">
        <f t="shared" si="8"/>
        <v/>
      </c>
      <c r="O632" s="358" t="str">
        <f t="shared" si="9"/>
        <v/>
      </c>
    </row>
    <row r="633">
      <c r="A633" s="20">
        <v>44350.0</v>
      </c>
      <c r="B633" s="359"/>
      <c r="C633" s="359"/>
      <c r="D633" s="359"/>
      <c r="E633" s="359"/>
      <c r="J633" s="358" t="str">
        <f t="shared" si="4"/>
        <v/>
      </c>
      <c r="K633" s="358" t="str">
        <f t="shared" si="5"/>
        <v/>
      </c>
      <c r="L633" s="358" t="str">
        <f t="shared" si="6"/>
        <v/>
      </c>
      <c r="M633" s="358" t="str">
        <f t="shared" si="7"/>
        <v/>
      </c>
      <c r="N633" s="358" t="str">
        <f t="shared" si="8"/>
        <v/>
      </c>
      <c r="O633" s="358" t="str">
        <f t="shared" si="9"/>
        <v/>
      </c>
    </row>
    <row r="634">
      <c r="A634" s="20">
        <v>44351.0</v>
      </c>
      <c r="B634" s="359"/>
      <c r="C634" s="359"/>
      <c r="D634" s="359"/>
      <c r="E634" s="359"/>
      <c r="J634" s="358" t="str">
        <f t="shared" si="4"/>
        <v/>
      </c>
      <c r="K634" s="358" t="str">
        <f t="shared" si="5"/>
        <v/>
      </c>
      <c r="L634" s="358" t="str">
        <f t="shared" si="6"/>
        <v/>
      </c>
      <c r="M634" s="358" t="str">
        <f t="shared" si="7"/>
        <v/>
      </c>
      <c r="N634" s="358" t="str">
        <f t="shared" si="8"/>
        <v/>
      </c>
      <c r="O634" s="358" t="str">
        <f t="shared" si="9"/>
        <v/>
      </c>
    </row>
    <row r="635">
      <c r="A635" s="20">
        <v>44352.0</v>
      </c>
      <c r="B635" s="359"/>
      <c r="C635" s="359"/>
      <c r="D635" s="359"/>
      <c r="E635" s="359"/>
      <c r="J635" s="358" t="str">
        <f t="shared" si="4"/>
        <v/>
      </c>
      <c r="K635" s="358" t="str">
        <f t="shared" si="5"/>
        <v/>
      </c>
      <c r="L635" s="358" t="str">
        <f t="shared" si="6"/>
        <v/>
      </c>
      <c r="M635" s="358" t="str">
        <f t="shared" si="7"/>
        <v/>
      </c>
      <c r="N635" s="358" t="str">
        <f t="shared" si="8"/>
        <v/>
      </c>
      <c r="O635" s="358" t="str">
        <f t="shared" si="9"/>
        <v/>
      </c>
    </row>
    <row r="636">
      <c r="A636" s="20">
        <v>44353.0</v>
      </c>
      <c r="B636" s="359"/>
      <c r="C636" s="359"/>
      <c r="D636" s="359"/>
      <c r="E636" s="359"/>
      <c r="J636" s="358" t="str">
        <f t="shared" si="4"/>
        <v/>
      </c>
      <c r="K636" s="358" t="str">
        <f t="shared" si="5"/>
        <v/>
      </c>
      <c r="L636" s="358" t="str">
        <f t="shared" si="6"/>
        <v/>
      </c>
      <c r="M636" s="358" t="str">
        <f t="shared" si="7"/>
        <v/>
      </c>
      <c r="N636" s="358" t="str">
        <f t="shared" si="8"/>
        <v/>
      </c>
      <c r="O636" s="358" t="str">
        <f t="shared" si="9"/>
        <v/>
      </c>
    </row>
    <row r="637">
      <c r="A637" s="20">
        <v>44354.0</v>
      </c>
      <c r="B637" s="359"/>
      <c r="C637" s="359"/>
      <c r="D637" s="359"/>
      <c r="E637" s="359"/>
      <c r="J637" s="358" t="str">
        <f t="shared" si="4"/>
        <v/>
      </c>
      <c r="K637" s="358" t="str">
        <f t="shared" si="5"/>
        <v/>
      </c>
      <c r="L637" s="358" t="str">
        <f t="shared" si="6"/>
        <v/>
      </c>
      <c r="M637" s="358" t="str">
        <f t="shared" si="7"/>
        <v/>
      </c>
      <c r="N637" s="358" t="str">
        <f t="shared" si="8"/>
        <v/>
      </c>
      <c r="O637" s="358" t="str">
        <f t="shared" si="9"/>
        <v/>
      </c>
    </row>
    <row r="638">
      <c r="A638" s="20">
        <v>44355.0</v>
      </c>
      <c r="B638" s="359"/>
      <c r="C638" s="359"/>
      <c r="D638" s="359"/>
      <c r="E638" s="359"/>
      <c r="J638" s="358" t="str">
        <f t="shared" si="4"/>
        <v/>
      </c>
      <c r="K638" s="358" t="str">
        <f t="shared" si="5"/>
        <v/>
      </c>
      <c r="L638" s="358" t="str">
        <f t="shared" si="6"/>
        <v/>
      </c>
      <c r="M638" s="358" t="str">
        <f t="shared" si="7"/>
        <v/>
      </c>
      <c r="N638" s="358" t="str">
        <f t="shared" si="8"/>
        <v/>
      </c>
      <c r="O638" s="358" t="str">
        <f t="shared" si="9"/>
        <v/>
      </c>
    </row>
    <row r="639">
      <c r="A639" s="20">
        <v>44356.0</v>
      </c>
      <c r="B639" s="359"/>
      <c r="C639" s="359"/>
      <c r="D639" s="359"/>
      <c r="E639" s="359"/>
      <c r="J639" s="358" t="str">
        <f t="shared" si="4"/>
        <v/>
      </c>
      <c r="K639" s="358" t="str">
        <f t="shared" si="5"/>
        <v/>
      </c>
      <c r="L639" s="358" t="str">
        <f t="shared" si="6"/>
        <v/>
      </c>
      <c r="M639" s="358" t="str">
        <f t="shared" si="7"/>
        <v/>
      </c>
      <c r="N639" s="358" t="str">
        <f t="shared" si="8"/>
        <v/>
      </c>
      <c r="O639" s="358" t="str">
        <f t="shared" si="9"/>
        <v/>
      </c>
    </row>
    <row r="640">
      <c r="A640" s="20">
        <v>44357.0</v>
      </c>
      <c r="B640" s="359"/>
      <c r="C640" s="359"/>
      <c r="D640" s="359"/>
      <c r="E640" s="359"/>
      <c r="J640" s="358" t="str">
        <f t="shared" si="4"/>
        <v/>
      </c>
      <c r="K640" s="358" t="str">
        <f t="shared" si="5"/>
        <v/>
      </c>
      <c r="L640" s="358" t="str">
        <f t="shared" si="6"/>
        <v/>
      </c>
      <c r="M640" s="358" t="str">
        <f t="shared" si="7"/>
        <v/>
      </c>
      <c r="N640" s="358" t="str">
        <f t="shared" si="8"/>
        <v/>
      </c>
      <c r="O640" s="358" t="str">
        <f t="shared" si="9"/>
        <v/>
      </c>
    </row>
    <row r="641">
      <c r="A641" s="20">
        <v>44358.0</v>
      </c>
      <c r="B641" s="359"/>
      <c r="C641" s="359"/>
      <c r="D641" s="359"/>
      <c r="E641" s="359"/>
      <c r="J641" s="358" t="str">
        <f t="shared" si="4"/>
        <v/>
      </c>
      <c r="K641" s="358" t="str">
        <f t="shared" si="5"/>
        <v/>
      </c>
      <c r="L641" s="358" t="str">
        <f t="shared" si="6"/>
        <v/>
      </c>
      <c r="M641" s="358" t="str">
        <f t="shared" si="7"/>
        <v/>
      </c>
      <c r="N641" s="358" t="str">
        <f t="shared" si="8"/>
        <v/>
      </c>
      <c r="O641" s="358" t="str">
        <f t="shared" si="9"/>
        <v/>
      </c>
    </row>
    <row r="642">
      <c r="A642" s="20">
        <v>44359.0</v>
      </c>
      <c r="B642" s="359"/>
      <c r="C642" s="359"/>
      <c r="D642" s="359"/>
      <c r="E642" s="359"/>
      <c r="J642" s="358" t="str">
        <f t="shared" si="4"/>
        <v/>
      </c>
      <c r="K642" s="358" t="str">
        <f t="shared" si="5"/>
        <v/>
      </c>
      <c r="L642" s="358" t="str">
        <f t="shared" si="6"/>
        <v/>
      </c>
      <c r="M642" s="358" t="str">
        <f t="shared" si="7"/>
        <v/>
      </c>
      <c r="N642" s="358" t="str">
        <f t="shared" si="8"/>
        <v/>
      </c>
      <c r="O642" s="358" t="str">
        <f t="shared" si="9"/>
        <v/>
      </c>
    </row>
    <row r="643">
      <c r="A643" s="20">
        <v>44360.0</v>
      </c>
      <c r="B643" s="359"/>
      <c r="C643" s="359"/>
      <c r="D643" s="359"/>
      <c r="E643" s="359"/>
      <c r="J643" s="358" t="str">
        <f t="shared" si="4"/>
        <v/>
      </c>
      <c r="K643" s="358" t="str">
        <f t="shared" si="5"/>
        <v/>
      </c>
      <c r="L643" s="358" t="str">
        <f t="shared" si="6"/>
        <v/>
      </c>
      <c r="M643" s="358" t="str">
        <f t="shared" si="7"/>
        <v/>
      </c>
      <c r="N643" s="358" t="str">
        <f t="shared" si="8"/>
        <v/>
      </c>
      <c r="O643" s="358" t="str">
        <f t="shared" si="9"/>
        <v/>
      </c>
    </row>
    <row r="644">
      <c r="A644" s="20">
        <v>44361.0</v>
      </c>
      <c r="B644" s="359"/>
      <c r="C644" s="359"/>
      <c r="D644" s="359"/>
      <c r="E644" s="359"/>
      <c r="J644" s="358" t="str">
        <f t="shared" si="4"/>
        <v/>
      </c>
      <c r="K644" s="358" t="str">
        <f t="shared" si="5"/>
        <v/>
      </c>
      <c r="L644" s="358" t="str">
        <f t="shared" si="6"/>
        <v/>
      </c>
      <c r="M644" s="358" t="str">
        <f t="shared" si="7"/>
        <v/>
      </c>
      <c r="N644" s="358" t="str">
        <f t="shared" si="8"/>
        <v/>
      </c>
      <c r="O644" s="358" t="str">
        <f t="shared" si="9"/>
        <v/>
      </c>
    </row>
    <row r="645">
      <c r="A645" s="20">
        <v>44362.0</v>
      </c>
      <c r="B645" s="359"/>
      <c r="C645" s="359"/>
      <c r="D645" s="359"/>
      <c r="E645" s="359"/>
      <c r="J645" s="358" t="str">
        <f t="shared" si="4"/>
        <v/>
      </c>
      <c r="K645" s="358" t="str">
        <f t="shared" si="5"/>
        <v/>
      </c>
      <c r="L645" s="358" t="str">
        <f t="shared" si="6"/>
        <v/>
      </c>
      <c r="M645" s="358" t="str">
        <f t="shared" si="7"/>
        <v/>
      </c>
      <c r="N645" s="358" t="str">
        <f t="shared" si="8"/>
        <v/>
      </c>
      <c r="O645" s="358" t="str">
        <f t="shared" si="9"/>
        <v/>
      </c>
    </row>
    <row r="646">
      <c r="A646" s="20">
        <v>44363.0</v>
      </c>
      <c r="B646" s="359"/>
      <c r="C646" s="359"/>
      <c r="D646" s="359"/>
      <c r="E646" s="359"/>
      <c r="J646" s="358" t="str">
        <f t="shared" si="4"/>
        <v/>
      </c>
      <c r="K646" s="358" t="str">
        <f t="shared" si="5"/>
        <v/>
      </c>
      <c r="L646" s="358" t="str">
        <f t="shared" si="6"/>
        <v/>
      </c>
      <c r="M646" s="358" t="str">
        <f t="shared" si="7"/>
        <v/>
      </c>
      <c r="N646" s="358" t="str">
        <f t="shared" si="8"/>
        <v/>
      </c>
      <c r="O646" s="358" t="str">
        <f t="shared" si="9"/>
        <v/>
      </c>
    </row>
    <row r="647">
      <c r="A647" s="20">
        <v>44364.0</v>
      </c>
      <c r="B647" s="359"/>
      <c r="C647" s="359"/>
      <c r="D647" s="359"/>
      <c r="E647" s="359"/>
      <c r="J647" s="358" t="str">
        <f t="shared" si="4"/>
        <v/>
      </c>
      <c r="K647" s="358" t="str">
        <f t="shared" si="5"/>
        <v/>
      </c>
      <c r="L647" s="358" t="str">
        <f t="shared" si="6"/>
        <v/>
      </c>
      <c r="M647" s="358" t="str">
        <f t="shared" si="7"/>
        <v/>
      </c>
      <c r="N647" s="358" t="str">
        <f t="shared" si="8"/>
        <v/>
      </c>
      <c r="O647" s="358" t="str">
        <f t="shared" si="9"/>
        <v/>
      </c>
    </row>
    <row r="648">
      <c r="A648" s="20">
        <v>44365.0</v>
      </c>
      <c r="B648" s="359"/>
      <c r="C648" s="359"/>
      <c r="D648" s="359"/>
      <c r="E648" s="359"/>
      <c r="J648" s="358" t="str">
        <f t="shared" si="4"/>
        <v/>
      </c>
      <c r="K648" s="358" t="str">
        <f t="shared" si="5"/>
        <v/>
      </c>
      <c r="L648" s="358" t="str">
        <f t="shared" si="6"/>
        <v/>
      </c>
      <c r="M648" s="358" t="str">
        <f t="shared" si="7"/>
        <v/>
      </c>
      <c r="N648" s="358" t="str">
        <f t="shared" si="8"/>
        <v/>
      </c>
      <c r="O648" s="358" t="str">
        <f t="shared" si="9"/>
        <v/>
      </c>
    </row>
    <row r="649">
      <c r="A649" s="20">
        <v>44366.0</v>
      </c>
      <c r="B649" s="359"/>
      <c r="C649" s="359"/>
      <c r="D649" s="359"/>
      <c r="E649" s="359"/>
      <c r="J649" s="358" t="str">
        <f t="shared" si="4"/>
        <v/>
      </c>
      <c r="K649" s="358" t="str">
        <f t="shared" si="5"/>
        <v/>
      </c>
      <c r="L649" s="358" t="str">
        <f t="shared" si="6"/>
        <v/>
      </c>
      <c r="M649" s="358" t="str">
        <f t="shared" si="7"/>
        <v/>
      </c>
      <c r="N649" s="358" t="str">
        <f t="shared" si="8"/>
        <v/>
      </c>
      <c r="O649" s="358" t="str">
        <f t="shared" si="9"/>
        <v/>
      </c>
    </row>
    <row r="650">
      <c r="A650" s="20">
        <v>44367.0</v>
      </c>
      <c r="B650" s="359"/>
      <c r="C650" s="359"/>
      <c r="D650" s="359"/>
      <c r="E650" s="359"/>
      <c r="J650" s="358" t="str">
        <f t="shared" si="4"/>
        <v/>
      </c>
      <c r="K650" s="358" t="str">
        <f t="shared" si="5"/>
        <v/>
      </c>
      <c r="L650" s="358" t="str">
        <f t="shared" si="6"/>
        <v/>
      </c>
      <c r="M650" s="358" t="str">
        <f t="shared" si="7"/>
        <v/>
      </c>
      <c r="N650" s="358" t="str">
        <f t="shared" si="8"/>
        <v/>
      </c>
      <c r="O650" s="358" t="str">
        <f t="shared" si="9"/>
        <v/>
      </c>
    </row>
    <row r="651">
      <c r="A651" s="20">
        <v>44368.0</v>
      </c>
      <c r="B651" s="359"/>
      <c r="C651" s="359"/>
      <c r="D651" s="359"/>
      <c r="E651" s="359"/>
      <c r="J651" s="358" t="str">
        <f t="shared" si="4"/>
        <v/>
      </c>
      <c r="K651" s="358" t="str">
        <f t="shared" si="5"/>
        <v/>
      </c>
      <c r="L651" s="358" t="str">
        <f t="shared" si="6"/>
        <v/>
      </c>
      <c r="M651" s="358" t="str">
        <f t="shared" si="7"/>
        <v/>
      </c>
      <c r="N651" s="358" t="str">
        <f t="shared" si="8"/>
        <v/>
      </c>
      <c r="O651" s="358" t="str">
        <f t="shared" si="9"/>
        <v/>
      </c>
    </row>
    <row r="652">
      <c r="A652" s="20">
        <v>44369.0</v>
      </c>
      <c r="B652" s="359"/>
      <c r="C652" s="359"/>
      <c r="D652" s="359"/>
      <c r="E652" s="359"/>
      <c r="J652" s="358" t="str">
        <f t="shared" si="4"/>
        <v/>
      </c>
      <c r="K652" s="358" t="str">
        <f t="shared" si="5"/>
        <v/>
      </c>
      <c r="L652" s="358" t="str">
        <f t="shared" si="6"/>
        <v/>
      </c>
      <c r="M652" s="358" t="str">
        <f t="shared" si="7"/>
        <v/>
      </c>
      <c r="N652" s="358" t="str">
        <f t="shared" si="8"/>
        <v/>
      </c>
      <c r="O652" s="358" t="str">
        <f t="shared" si="9"/>
        <v/>
      </c>
    </row>
    <row r="653">
      <c r="A653" s="20">
        <v>44370.0</v>
      </c>
      <c r="B653" s="359"/>
      <c r="C653" s="359"/>
      <c r="D653" s="359"/>
      <c r="E653" s="359"/>
      <c r="J653" s="358" t="str">
        <f t="shared" si="4"/>
        <v/>
      </c>
      <c r="K653" s="358" t="str">
        <f t="shared" si="5"/>
        <v/>
      </c>
      <c r="L653" s="358" t="str">
        <f t="shared" si="6"/>
        <v/>
      </c>
      <c r="M653" s="358" t="str">
        <f t="shared" si="7"/>
        <v/>
      </c>
      <c r="N653" s="358" t="str">
        <f t="shared" si="8"/>
        <v/>
      </c>
      <c r="O653" s="358" t="str">
        <f t="shared" si="9"/>
        <v/>
      </c>
    </row>
    <row r="654">
      <c r="A654" s="20">
        <v>44371.0</v>
      </c>
      <c r="B654" s="359"/>
      <c r="C654" s="359"/>
      <c r="D654" s="359"/>
      <c r="E654" s="359"/>
      <c r="J654" s="358" t="str">
        <f t="shared" si="4"/>
        <v/>
      </c>
      <c r="K654" s="358" t="str">
        <f t="shared" si="5"/>
        <v/>
      </c>
      <c r="L654" s="358" t="str">
        <f t="shared" si="6"/>
        <v/>
      </c>
      <c r="M654" s="358" t="str">
        <f t="shared" si="7"/>
        <v/>
      </c>
      <c r="N654" s="358" t="str">
        <f t="shared" si="8"/>
        <v/>
      </c>
      <c r="O654" s="358" t="str">
        <f t="shared" si="9"/>
        <v/>
      </c>
    </row>
    <row r="655">
      <c r="A655" s="20">
        <v>44372.0</v>
      </c>
      <c r="B655" s="359"/>
      <c r="C655" s="359"/>
      <c r="D655" s="359"/>
      <c r="E655" s="359"/>
      <c r="J655" s="358" t="str">
        <f t="shared" si="4"/>
        <v/>
      </c>
      <c r="K655" s="358" t="str">
        <f t="shared" si="5"/>
        <v/>
      </c>
      <c r="L655" s="358" t="str">
        <f t="shared" si="6"/>
        <v/>
      </c>
      <c r="M655" s="358" t="str">
        <f t="shared" si="7"/>
        <v/>
      </c>
      <c r="N655" s="358" t="str">
        <f t="shared" si="8"/>
        <v/>
      </c>
      <c r="O655" s="358" t="str">
        <f t="shared" si="9"/>
        <v/>
      </c>
    </row>
    <row r="656">
      <c r="A656" s="20">
        <v>44373.0</v>
      </c>
      <c r="B656" s="359"/>
      <c r="C656" s="359"/>
      <c r="D656" s="359"/>
      <c r="E656" s="359"/>
      <c r="J656" s="358" t="str">
        <f t="shared" si="4"/>
        <v/>
      </c>
      <c r="K656" s="358" t="str">
        <f t="shared" si="5"/>
        <v/>
      </c>
      <c r="L656" s="358" t="str">
        <f t="shared" si="6"/>
        <v/>
      </c>
      <c r="M656" s="358" t="str">
        <f t="shared" si="7"/>
        <v/>
      </c>
      <c r="N656" s="358" t="str">
        <f t="shared" si="8"/>
        <v/>
      </c>
      <c r="O656" s="358" t="str">
        <f t="shared" si="9"/>
        <v/>
      </c>
    </row>
    <row r="657">
      <c r="A657" s="20">
        <v>44374.0</v>
      </c>
      <c r="B657" s="359"/>
      <c r="C657" s="359"/>
      <c r="D657" s="359"/>
      <c r="E657" s="359"/>
      <c r="J657" s="358" t="str">
        <f t="shared" si="4"/>
        <v/>
      </c>
      <c r="K657" s="358" t="str">
        <f t="shared" si="5"/>
        <v/>
      </c>
      <c r="L657" s="358" t="str">
        <f t="shared" si="6"/>
        <v/>
      </c>
      <c r="M657" s="358" t="str">
        <f t="shared" si="7"/>
        <v/>
      </c>
      <c r="N657" s="358" t="str">
        <f t="shared" si="8"/>
        <v/>
      </c>
      <c r="O657" s="358" t="str">
        <f t="shared" si="9"/>
        <v/>
      </c>
    </row>
    <row r="658">
      <c r="A658" s="20">
        <v>44375.0</v>
      </c>
      <c r="B658" s="359"/>
      <c r="C658" s="359"/>
      <c r="D658" s="359"/>
      <c r="E658" s="359"/>
      <c r="J658" s="358" t="str">
        <f t="shared" si="4"/>
        <v/>
      </c>
      <c r="K658" s="358" t="str">
        <f t="shared" si="5"/>
        <v/>
      </c>
      <c r="L658" s="358" t="str">
        <f t="shared" si="6"/>
        <v/>
      </c>
      <c r="M658" s="358" t="str">
        <f t="shared" si="7"/>
        <v/>
      </c>
      <c r="N658" s="358" t="str">
        <f t="shared" si="8"/>
        <v/>
      </c>
      <c r="O658" s="358" t="str">
        <f t="shared" si="9"/>
        <v/>
      </c>
    </row>
    <row r="659">
      <c r="A659" s="20">
        <v>44376.0</v>
      </c>
      <c r="B659" s="359"/>
      <c r="C659" s="359"/>
      <c r="D659" s="359"/>
      <c r="E659" s="359"/>
      <c r="J659" s="358" t="str">
        <f t="shared" si="4"/>
        <v/>
      </c>
      <c r="K659" s="358" t="str">
        <f t="shared" si="5"/>
        <v/>
      </c>
      <c r="L659" s="358" t="str">
        <f t="shared" si="6"/>
        <v/>
      </c>
      <c r="M659" s="358" t="str">
        <f t="shared" si="7"/>
        <v/>
      </c>
      <c r="N659" s="358" t="str">
        <f t="shared" si="8"/>
        <v/>
      </c>
      <c r="O659" s="358" t="str">
        <f t="shared" si="9"/>
        <v/>
      </c>
    </row>
    <row r="660">
      <c r="A660" s="20">
        <v>44377.0</v>
      </c>
      <c r="B660" s="359"/>
      <c r="C660" s="359"/>
      <c r="D660" s="359"/>
      <c r="E660" s="359"/>
      <c r="J660" s="358" t="str">
        <f t="shared" si="4"/>
        <v/>
      </c>
      <c r="K660" s="358" t="str">
        <f t="shared" si="5"/>
        <v/>
      </c>
      <c r="L660" s="358" t="str">
        <f t="shared" si="6"/>
        <v/>
      </c>
      <c r="M660" s="358" t="str">
        <f t="shared" si="7"/>
        <v/>
      </c>
      <c r="N660" s="358" t="str">
        <f t="shared" si="8"/>
        <v/>
      </c>
      <c r="O660" s="358" t="str">
        <f t="shared" si="9"/>
        <v/>
      </c>
    </row>
    <row r="661">
      <c r="A661" s="20">
        <v>44378.0</v>
      </c>
      <c r="B661" s="359"/>
      <c r="C661" s="359"/>
      <c r="D661" s="359"/>
      <c r="E661" s="359"/>
      <c r="J661" s="358" t="str">
        <f t="shared" si="4"/>
        <v/>
      </c>
      <c r="K661" s="358" t="str">
        <f t="shared" si="5"/>
        <v/>
      </c>
      <c r="L661" s="358" t="str">
        <f t="shared" si="6"/>
        <v/>
      </c>
      <c r="M661" s="358" t="str">
        <f t="shared" si="7"/>
        <v/>
      </c>
      <c r="N661" s="358" t="str">
        <f t="shared" si="8"/>
        <v/>
      </c>
      <c r="O661" s="358" t="str">
        <f t="shared" si="9"/>
        <v/>
      </c>
    </row>
    <row r="662">
      <c r="A662" s="20">
        <v>44379.0</v>
      </c>
      <c r="B662" s="359"/>
      <c r="C662" s="359"/>
      <c r="D662" s="359"/>
      <c r="E662" s="359"/>
      <c r="J662" s="358" t="str">
        <f t="shared" si="4"/>
        <v/>
      </c>
      <c r="K662" s="358" t="str">
        <f t="shared" si="5"/>
        <v/>
      </c>
      <c r="L662" s="358" t="str">
        <f t="shared" si="6"/>
        <v/>
      </c>
      <c r="M662" s="358" t="str">
        <f t="shared" si="7"/>
        <v/>
      </c>
      <c r="N662" s="358" t="str">
        <f t="shared" si="8"/>
        <v/>
      </c>
      <c r="O662" s="358" t="str">
        <f t="shared" si="9"/>
        <v/>
      </c>
    </row>
    <row r="663">
      <c r="A663" s="20">
        <v>44380.0</v>
      </c>
      <c r="B663" s="359"/>
      <c r="C663" s="359"/>
      <c r="D663" s="359"/>
      <c r="E663" s="359"/>
      <c r="J663" s="358" t="str">
        <f t="shared" si="4"/>
        <v/>
      </c>
      <c r="K663" s="358" t="str">
        <f t="shared" si="5"/>
        <v/>
      </c>
      <c r="L663" s="358" t="str">
        <f t="shared" si="6"/>
        <v/>
      </c>
      <c r="M663" s="358" t="str">
        <f t="shared" si="7"/>
        <v/>
      </c>
      <c r="N663" s="358" t="str">
        <f t="shared" si="8"/>
        <v/>
      </c>
      <c r="O663" s="358" t="str">
        <f t="shared" si="9"/>
        <v/>
      </c>
    </row>
    <row r="664">
      <c r="A664" s="20">
        <v>44381.0</v>
      </c>
      <c r="B664" s="359"/>
      <c r="C664" s="359"/>
      <c r="D664" s="359"/>
      <c r="E664" s="359"/>
      <c r="J664" s="358" t="str">
        <f t="shared" si="4"/>
        <v/>
      </c>
      <c r="K664" s="358" t="str">
        <f t="shared" si="5"/>
        <v/>
      </c>
      <c r="L664" s="358" t="str">
        <f t="shared" si="6"/>
        <v/>
      </c>
      <c r="M664" s="358" t="str">
        <f t="shared" si="7"/>
        <v/>
      </c>
      <c r="N664" s="358" t="str">
        <f t="shared" si="8"/>
        <v/>
      </c>
      <c r="O664" s="358" t="str">
        <f t="shared" si="9"/>
        <v/>
      </c>
    </row>
    <row r="665">
      <c r="A665" s="20">
        <v>44382.0</v>
      </c>
      <c r="B665" s="359"/>
      <c r="C665" s="359"/>
      <c r="D665" s="359"/>
      <c r="E665" s="359"/>
      <c r="J665" s="358" t="str">
        <f t="shared" si="4"/>
        <v/>
      </c>
      <c r="K665" s="358" t="str">
        <f t="shared" si="5"/>
        <v/>
      </c>
      <c r="L665" s="358" t="str">
        <f t="shared" si="6"/>
        <v/>
      </c>
      <c r="M665" s="358" t="str">
        <f t="shared" si="7"/>
        <v/>
      </c>
      <c r="N665" s="358" t="str">
        <f t="shared" si="8"/>
        <v/>
      </c>
      <c r="O665" s="358" t="str">
        <f t="shared" si="9"/>
        <v/>
      </c>
    </row>
    <row r="666">
      <c r="A666" s="20">
        <v>44383.0</v>
      </c>
      <c r="B666" s="359"/>
      <c r="C666" s="359"/>
      <c r="D666" s="359"/>
      <c r="E666" s="359"/>
      <c r="J666" s="358" t="str">
        <f t="shared" si="4"/>
        <v/>
      </c>
      <c r="K666" s="358" t="str">
        <f t="shared" si="5"/>
        <v/>
      </c>
      <c r="L666" s="358" t="str">
        <f t="shared" si="6"/>
        <v/>
      </c>
      <c r="M666" s="358" t="str">
        <f t="shared" si="7"/>
        <v/>
      </c>
      <c r="N666" s="358" t="str">
        <f t="shared" si="8"/>
        <v/>
      </c>
      <c r="O666" s="358" t="str">
        <f t="shared" si="9"/>
        <v/>
      </c>
    </row>
    <row r="667">
      <c r="A667" s="20">
        <v>44384.0</v>
      </c>
      <c r="B667" s="359"/>
      <c r="C667" s="359"/>
      <c r="D667" s="359"/>
      <c r="E667" s="359"/>
      <c r="J667" s="358" t="str">
        <f t="shared" si="4"/>
        <v/>
      </c>
      <c r="K667" s="358" t="str">
        <f t="shared" si="5"/>
        <v/>
      </c>
      <c r="L667" s="358" t="str">
        <f t="shared" si="6"/>
        <v/>
      </c>
      <c r="M667" s="358" t="str">
        <f t="shared" si="7"/>
        <v/>
      </c>
      <c r="N667" s="358" t="str">
        <f t="shared" si="8"/>
        <v/>
      </c>
      <c r="O667" s="358" t="str">
        <f t="shared" si="9"/>
        <v/>
      </c>
    </row>
    <row r="668">
      <c r="A668" s="20">
        <v>44385.0</v>
      </c>
      <c r="B668" s="359"/>
      <c r="C668" s="359"/>
      <c r="D668" s="359"/>
      <c r="E668" s="359"/>
      <c r="J668" s="358" t="str">
        <f t="shared" si="4"/>
        <v/>
      </c>
      <c r="K668" s="358" t="str">
        <f t="shared" si="5"/>
        <v/>
      </c>
      <c r="L668" s="358" t="str">
        <f t="shared" si="6"/>
        <v/>
      </c>
      <c r="M668" s="358" t="str">
        <f t="shared" si="7"/>
        <v/>
      </c>
      <c r="N668" s="358" t="str">
        <f t="shared" si="8"/>
        <v/>
      </c>
      <c r="O668" s="358" t="str">
        <f t="shared" si="9"/>
        <v/>
      </c>
    </row>
    <row r="669">
      <c r="A669" s="20">
        <v>44386.0</v>
      </c>
      <c r="B669" s="359"/>
      <c r="C669" s="359"/>
      <c r="D669" s="359"/>
      <c r="E669" s="359"/>
      <c r="J669" s="358" t="str">
        <f t="shared" si="4"/>
        <v/>
      </c>
      <c r="K669" s="358" t="str">
        <f t="shared" si="5"/>
        <v/>
      </c>
      <c r="L669" s="358" t="str">
        <f t="shared" si="6"/>
        <v/>
      </c>
      <c r="M669" s="358" t="str">
        <f t="shared" si="7"/>
        <v/>
      </c>
      <c r="N669" s="358" t="str">
        <f t="shared" si="8"/>
        <v/>
      </c>
      <c r="O669" s="358" t="str">
        <f t="shared" si="9"/>
        <v/>
      </c>
    </row>
    <row r="670">
      <c r="A670" s="20">
        <v>44387.0</v>
      </c>
      <c r="B670" s="359"/>
      <c r="C670" s="359"/>
      <c r="D670" s="359"/>
      <c r="E670" s="359"/>
      <c r="J670" s="358" t="str">
        <f t="shared" si="4"/>
        <v/>
      </c>
      <c r="K670" s="358" t="str">
        <f t="shared" si="5"/>
        <v/>
      </c>
      <c r="L670" s="358" t="str">
        <f t="shared" si="6"/>
        <v/>
      </c>
      <c r="M670" s="358" t="str">
        <f t="shared" si="7"/>
        <v/>
      </c>
      <c r="N670" s="358" t="str">
        <f t="shared" si="8"/>
        <v/>
      </c>
      <c r="O670" s="358" t="str">
        <f t="shared" si="9"/>
        <v/>
      </c>
    </row>
    <row r="671">
      <c r="A671" s="20">
        <v>44388.0</v>
      </c>
      <c r="B671" s="359"/>
      <c r="C671" s="359"/>
      <c r="D671" s="359"/>
      <c r="E671" s="359"/>
      <c r="J671" s="358" t="str">
        <f t="shared" si="4"/>
        <v/>
      </c>
      <c r="K671" s="358" t="str">
        <f t="shared" si="5"/>
        <v/>
      </c>
      <c r="L671" s="358" t="str">
        <f t="shared" si="6"/>
        <v/>
      </c>
      <c r="M671" s="358" t="str">
        <f t="shared" si="7"/>
        <v/>
      </c>
      <c r="N671" s="358" t="str">
        <f t="shared" si="8"/>
        <v/>
      </c>
      <c r="O671" s="358" t="str">
        <f t="shared" si="9"/>
        <v/>
      </c>
    </row>
    <row r="672">
      <c r="A672" s="20">
        <v>44389.0</v>
      </c>
      <c r="B672" s="359"/>
      <c r="C672" s="359"/>
      <c r="D672" s="359"/>
      <c r="E672" s="359"/>
      <c r="J672" s="358" t="str">
        <f t="shared" si="4"/>
        <v/>
      </c>
      <c r="K672" s="358" t="str">
        <f t="shared" si="5"/>
        <v/>
      </c>
      <c r="L672" s="358" t="str">
        <f t="shared" si="6"/>
        <v/>
      </c>
      <c r="M672" s="358" t="str">
        <f t="shared" si="7"/>
        <v/>
      </c>
      <c r="N672" s="358" t="str">
        <f t="shared" si="8"/>
        <v/>
      </c>
      <c r="O672" s="358" t="str">
        <f t="shared" si="9"/>
        <v/>
      </c>
    </row>
    <row r="673">
      <c r="A673" s="20">
        <v>44390.0</v>
      </c>
      <c r="B673" s="359"/>
      <c r="C673" s="359"/>
      <c r="D673" s="359"/>
      <c r="E673" s="359"/>
      <c r="J673" s="358" t="str">
        <f t="shared" si="4"/>
        <v/>
      </c>
      <c r="K673" s="358" t="str">
        <f t="shared" si="5"/>
        <v/>
      </c>
      <c r="L673" s="358" t="str">
        <f t="shared" si="6"/>
        <v/>
      </c>
      <c r="M673" s="358" t="str">
        <f t="shared" si="7"/>
        <v/>
      </c>
      <c r="N673" s="358" t="str">
        <f t="shared" si="8"/>
        <v/>
      </c>
      <c r="O673" s="358" t="str">
        <f t="shared" si="9"/>
        <v/>
      </c>
    </row>
    <row r="674">
      <c r="A674" s="20">
        <v>44391.0</v>
      </c>
      <c r="B674" s="359"/>
      <c r="C674" s="359"/>
      <c r="D674" s="359"/>
      <c r="E674" s="359"/>
      <c r="J674" s="358" t="str">
        <f t="shared" si="4"/>
        <v/>
      </c>
      <c r="K674" s="358" t="str">
        <f t="shared" si="5"/>
        <v/>
      </c>
      <c r="L674" s="358" t="str">
        <f t="shared" si="6"/>
        <v/>
      </c>
      <c r="M674" s="358" t="str">
        <f t="shared" si="7"/>
        <v/>
      </c>
      <c r="N674" s="358" t="str">
        <f t="shared" si="8"/>
        <v/>
      </c>
      <c r="O674" s="358" t="str">
        <f t="shared" si="9"/>
        <v/>
      </c>
    </row>
    <row r="675">
      <c r="A675" s="20">
        <v>44392.0</v>
      </c>
      <c r="B675" s="359"/>
      <c r="C675" s="359"/>
      <c r="D675" s="359"/>
      <c r="E675" s="359"/>
      <c r="J675" s="358" t="str">
        <f t="shared" si="4"/>
        <v/>
      </c>
      <c r="K675" s="358" t="str">
        <f t="shared" si="5"/>
        <v/>
      </c>
      <c r="L675" s="358" t="str">
        <f t="shared" si="6"/>
        <v/>
      </c>
      <c r="M675" s="358" t="str">
        <f t="shared" si="7"/>
        <v/>
      </c>
      <c r="N675" s="358" t="str">
        <f t="shared" si="8"/>
        <v/>
      </c>
      <c r="O675" s="358" t="str">
        <f t="shared" si="9"/>
        <v/>
      </c>
    </row>
    <row r="676">
      <c r="A676" s="20">
        <v>44393.0</v>
      </c>
      <c r="B676" s="359"/>
      <c r="C676" s="359"/>
      <c r="D676" s="359"/>
      <c r="E676" s="359"/>
      <c r="J676" s="358" t="str">
        <f t="shared" si="4"/>
        <v/>
      </c>
      <c r="K676" s="358" t="str">
        <f t="shared" si="5"/>
        <v/>
      </c>
      <c r="L676" s="358" t="str">
        <f t="shared" si="6"/>
        <v/>
      </c>
      <c r="M676" s="358" t="str">
        <f t="shared" si="7"/>
        <v/>
      </c>
      <c r="N676" s="358" t="str">
        <f t="shared" si="8"/>
        <v/>
      </c>
      <c r="O676" s="358" t="str">
        <f t="shared" si="9"/>
        <v/>
      </c>
    </row>
    <row r="677">
      <c r="A677" s="20">
        <v>44394.0</v>
      </c>
      <c r="B677" s="359"/>
      <c r="C677" s="359"/>
      <c r="D677" s="359"/>
      <c r="E677" s="359"/>
      <c r="J677" s="358" t="str">
        <f t="shared" si="4"/>
        <v/>
      </c>
      <c r="K677" s="358" t="str">
        <f t="shared" si="5"/>
        <v/>
      </c>
      <c r="L677" s="358" t="str">
        <f t="shared" si="6"/>
        <v/>
      </c>
      <c r="M677" s="358" t="str">
        <f t="shared" si="7"/>
        <v/>
      </c>
      <c r="N677" s="358" t="str">
        <f t="shared" si="8"/>
        <v/>
      </c>
      <c r="O677" s="358" t="str">
        <f t="shared" si="9"/>
        <v/>
      </c>
    </row>
    <row r="678">
      <c r="A678" s="20">
        <v>44395.0</v>
      </c>
      <c r="B678" s="359"/>
      <c r="C678" s="359"/>
      <c r="D678" s="359"/>
      <c r="E678" s="359"/>
      <c r="J678" s="358" t="str">
        <f t="shared" si="4"/>
        <v/>
      </c>
      <c r="K678" s="358" t="str">
        <f t="shared" si="5"/>
        <v/>
      </c>
      <c r="L678" s="358" t="str">
        <f t="shared" si="6"/>
        <v/>
      </c>
      <c r="M678" s="358" t="str">
        <f t="shared" si="7"/>
        <v/>
      </c>
      <c r="N678" s="358" t="str">
        <f t="shared" si="8"/>
        <v/>
      </c>
      <c r="O678" s="358" t="str">
        <f t="shared" si="9"/>
        <v/>
      </c>
    </row>
    <row r="679">
      <c r="A679" s="20">
        <v>44396.0</v>
      </c>
      <c r="B679" s="359"/>
      <c r="C679" s="359"/>
      <c r="D679" s="359"/>
      <c r="E679" s="359"/>
      <c r="J679" s="358" t="str">
        <f t="shared" si="4"/>
        <v/>
      </c>
      <c r="K679" s="358" t="str">
        <f t="shared" si="5"/>
        <v/>
      </c>
      <c r="L679" s="358" t="str">
        <f t="shared" si="6"/>
        <v/>
      </c>
      <c r="M679" s="358" t="str">
        <f t="shared" si="7"/>
        <v/>
      </c>
      <c r="N679" s="358" t="str">
        <f t="shared" si="8"/>
        <v/>
      </c>
      <c r="O679" s="358" t="str">
        <f t="shared" si="9"/>
        <v/>
      </c>
    </row>
    <row r="680">
      <c r="A680" s="20">
        <v>44397.0</v>
      </c>
      <c r="B680" s="359"/>
      <c r="C680" s="359"/>
      <c r="D680" s="359"/>
      <c r="E680" s="359"/>
      <c r="J680" s="358" t="str">
        <f t="shared" si="4"/>
        <v/>
      </c>
      <c r="K680" s="358" t="str">
        <f t="shared" si="5"/>
        <v/>
      </c>
      <c r="L680" s="358" t="str">
        <f t="shared" si="6"/>
        <v/>
      </c>
      <c r="M680" s="358" t="str">
        <f t="shared" si="7"/>
        <v/>
      </c>
      <c r="N680" s="358" t="str">
        <f t="shared" si="8"/>
        <v/>
      </c>
      <c r="O680" s="358" t="str">
        <f t="shared" si="9"/>
        <v/>
      </c>
    </row>
    <row r="681">
      <c r="A681" s="20">
        <v>44398.0</v>
      </c>
      <c r="B681" s="359"/>
      <c r="C681" s="359"/>
      <c r="D681" s="359"/>
      <c r="E681" s="359"/>
      <c r="J681" s="358" t="str">
        <f t="shared" si="4"/>
        <v/>
      </c>
      <c r="K681" s="358" t="str">
        <f t="shared" si="5"/>
        <v/>
      </c>
      <c r="L681" s="358" t="str">
        <f t="shared" si="6"/>
        <v/>
      </c>
      <c r="M681" s="358" t="str">
        <f t="shared" si="7"/>
        <v/>
      </c>
      <c r="N681" s="358" t="str">
        <f t="shared" si="8"/>
        <v/>
      </c>
      <c r="O681" s="358" t="str">
        <f t="shared" si="9"/>
        <v/>
      </c>
    </row>
    <row r="682">
      <c r="A682" s="20">
        <v>44399.0</v>
      </c>
      <c r="B682" s="359"/>
      <c r="C682" s="359"/>
      <c r="D682" s="359"/>
      <c r="E682" s="359"/>
      <c r="J682" s="358" t="str">
        <f t="shared" si="4"/>
        <v/>
      </c>
      <c r="K682" s="358" t="str">
        <f t="shared" si="5"/>
        <v/>
      </c>
      <c r="L682" s="358" t="str">
        <f t="shared" si="6"/>
        <v/>
      </c>
      <c r="M682" s="358" t="str">
        <f t="shared" si="7"/>
        <v/>
      </c>
      <c r="N682" s="358" t="str">
        <f t="shared" si="8"/>
        <v/>
      </c>
      <c r="O682" s="358" t="str">
        <f t="shared" si="9"/>
        <v/>
      </c>
    </row>
    <row r="683">
      <c r="A683" s="20">
        <v>44400.0</v>
      </c>
      <c r="B683" s="359"/>
      <c r="C683" s="359"/>
      <c r="D683" s="359"/>
      <c r="E683" s="359"/>
      <c r="J683" s="358" t="str">
        <f t="shared" si="4"/>
        <v/>
      </c>
      <c r="K683" s="358" t="str">
        <f t="shared" si="5"/>
        <v/>
      </c>
      <c r="L683" s="358" t="str">
        <f t="shared" si="6"/>
        <v/>
      </c>
      <c r="M683" s="358" t="str">
        <f t="shared" si="7"/>
        <v/>
      </c>
      <c r="N683" s="358" t="str">
        <f t="shared" si="8"/>
        <v/>
      </c>
      <c r="O683" s="358" t="str">
        <f t="shared" si="9"/>
        <v/>
      </c>
    </row>
    <row r="684">
      <c r="A684" s="20">
        <v>44401.0</v>
      </c>
      <c r="B684" s="359"/>
      <c r="C684" s="359"/>
      <c r="D684" s="359"/>
      <c r="E684" s="359"/>
      <c r="J684" s="358" t="str">
        <f t="shared" si="4"/>
        <v/>
      </c>
      <c r="K684" s="358" t="str">
        <f t="shared" si="5"/>
        <v/>
      </c>
      <c r="L684" s="358" t="str">
        <f t="shared" si="6"/>
        <v/>
      </c>
      <c r="M684" s="358" t="str">
        <f t="shared" si="7"/>
        <v/>
      </c>
      <c r="N684" s="358" t="str">
        <f t="shared" si="8"/>
        <v/>
      </c>
      <c r="O684" s="358" t="str">
        <f t="shared" si="9"/>
        <v/>
      </c>
    </row>
    <row r="685">
      <c r="A685" s="20">
        <v>44402.0</v>
      </c>
      <c r="B685" s="359"/>
      <c r="C685" s="359"/>
      <c r="D685" s="359"/>
      <c r="E685" s="359"/>
      <c r="J685" s="358" t="str">
        <f t="shared" si="4"/>
        <v/>
      </c>
      <c r="K685" s="358" t="str">
        <f t="shared" si="5"/>
        <v/>
      </c>
      <c r="L685" s="358" t="str">
        <f t="shared" si="6"/>
        <v/>
      </c>
      <c r="M685" s="358" t="str">
        <f t="shared" si="7"/>
        <v/>
      </c>
      <c r="N685" s="358" t="str">
        <f t="shared" si="8"/>
        <v/>
      </c>
      <c r="O685" s="358" t="str">
        <f t="shared" si="9"/>
        <v/>
      </c>
    </row>
    <row r="686">
      <c r="A686" s="20">
        <v>44403.0</v>
      </c>
      <c r="B686" s="359"/>
      <c r="C686" s="359"/>
      <c r="D686" s="359"/>
      <c r="E686" s="359"/>
      <c r="J686" s="358" t="str">
        <f t="shared" si="4"/>
        <v/>
      </c>
      <c r="K686" s="358" t="str">
        <f t="shared" si="5"/>
        <v/>
      </c>
      <c r="L686" s="358" t="str">
        <f t="shared" si="6"/>
        <v/>
      </c>
      <c r="M686" s="358" t="str">
        <f t="shared" si="7"/>
        <v/>
      </c>
      <c r="N686" s="358" t="str">
        <f t="shared" si="8"/>
        <v/>
      </c>
      <c r="O686" s="358" t="str">
        <f t="shared" si="9"/>
        <v/>
      </c>
    </row>
    <row r="687">
      <c r="A687" s="20">
        <v>44404.0</v>
      </c>
      <c r="B687" s="359"/>
      <c r="C687" s="359"/>
      <c r="D687" s="359"/>
      <c r="E687" s="359"/>
      <c r="J687" s="358" t="str">
        <f t="shared" si="4"/>
        <v/>
      </c>
      <c r="K687" s="358" t="str">
        <f t="shared" si="5"/>
        <v/>
      </c>
      <c r="L687" s="358" t="str">
        <f t="shared" si="6"/>
        <v/>
      </c>
      <c r="M687" s="358" t="str">
        <f t="shared" si="7"/>
        <v/>
      </c>
      <c r="N687" s="358" t="str">
        <f t="shared" si="8"/>
        <v/>
      </c>
      <c r="O687" s="358" t="str">
        <f t="shared" si="9"/>
        <v/>
      </c>
    </row>
    <row r="688">
      <c r="A688" s="20">
        <v>44405.0</v>
      </c>
      <c r="B688" s="359"/>
      <c r="C688" s="359"/>
      <c r="D688" s="359"/>
      <c r="E688" s="359"/>
      <c r="J688" s="358" t="str">
        <f t="shared" si="4"/>
        <v/>
      </c>
      <c r="K688" s="358" t="str">
        <f t="shared" si="5"/>
        <v/>
      </c>
      <c r="L688" s="358" t="str">
        <f t="shared" si="6"/>
        <v/>
      </c>
      <c r="M688" s="358" t="str">
        <f t="shared" si="7"/>
        <v/>
      </c>
      <c r="N688" s="358" t="str">
        <f t="shared" si="8"/>
        <v/>
      </c>
      <c r="O688" s="358" t="str">
        <f t="shared" si="9"/>
        <v/>
      </c>
    </row>
    <row r="689">
      <c r="A689" s="20">
        <v>44406.0</v>
      </c>
      <c r="B689" s="359"/>
      <c r="C689" s="359"/>
      <c r="D689" s="359"/>
      <c r="E689" s="359"/>
      <c r="J689" s="358" t="str">
        <f t="shared" si="4"/>
        <v/>
      </c>
      <c r="K689" s="358" t="str">
        <f t="shared" si="5"/>
        <v/>
      </c>
      <c r="L689" s="358" t="str">
        <f t="shared" si="6"/>
        <v/>
      </c>
      <c r="M689" s="358" t="str">
        <f t="shared" si="7"/>
        <v/>
      </c>
      <c r="N689" s="358" t="str">
        <f t="shared" si="8"/>
        <v/>
      </c>
      <c r="O689" s="358" t="str">
        <f t="shared" si="9"/>
        <v/>
      </c>
    </row>
    <row r="690">
      <c r="A690" s="20">
        <v>44407.0</v>
      </c>
      <c r="B690" s="359"/>
      <c r="C690" s="359"/>
      <c r="D690" s="359"/>
      <c r="E690" s="359"/>
      <c r="J690" s="358" t="str">
        <f t="shared" si="4"/>
        <v/>
      </c>
      <c r="K690" s="358" t="str">
        <f t="shared" si="5"/>
        <v/>
      </c>
      <c r="L690" s="358" t="str">
        <f t="shared" si="6"/>
        <v/>
      </c>
      <c r="M690" s="358" t="str">
        <f t="shared" si="7"/>
        <v/>
      </c>
      <c r="N690" s="358" t="str">
        <f t="shared" si="8"/>
        <v/>
      </c>
      <c r="O690" s="358" t="str">
        <f t="shared" si="9"/>
        <v/>
      </c>
    </row>
    <row r="691">
      <c r="A691" s="20">
        <v>44408.0</v>
      </c>
      <c r="B691" s="359"/>
      <c r="C691" s="359"/>
      <c r="D691" s="359"/>
      <c r="E691" s="359"/>
      <c r="J691" s="358" t="str">
        <f t="shared" si="4"/>
        <v/>
      </c>
      <c r="K691" s="358" t="str">
        <f t="shared" si="5"/>
        <v/>
      </c>
      <c r="L691" s="358" t="str">
        <f t="shared" si="6"/>
        <v/>
      </c>
      <c r="M691" s="358" t="str">
        <f t="shared" si="7"/>
        <v/>
      </c>
      <c r="N691" s="358" t="str">
        <f t="shared" si="8"/>
        <v/>
      </c>
      <c r="O691" s="358" t="str">
        <f t="shared" si="9"/>
        <v/>
      </c>
    </row>
    <row r="692">
      <c r="A692" s="20">
        <v>44409.0</v>
      </c>
      <c r="B692" s="359"/>
      <c r="C692" s="359"/>
      <c r="D692" s="359"/>
      <c r="E692" s="359"/>
      <c r="J692" s="358" t="str">
        <f t="shared" si="4"/>
        <v/>
      </c>
      <c r="K692" s="358" t="str">
        <f t="shared" si="5"/>
        <v/>
      </c>
      <c r="L692" s="358" t="str">
        <f t="shared" si="6"/>
        <v/>
      </c>
      <c r="M692" s="358" t="str">
        <f t="shared" si="7"/>
        <v/>
      </c>
      <c r="N692" s="358" t="str">
        <f t="shared" si="8"/>
        <v/>
      </c>
      <c r="O692" s="358" t="str">
        <f t="shared" si="9"/>
        <v/>
      </c>
    </row>
    <row r="693">
      <c r="A693" s="20">
        <v>44410.0</v>
      </c>
      <c r="B693" s="359"/>
      <c r="C693" s="359"/>
      <c r="D693" s="359"/>
      <c r="E693" s="359"/>
      <c r="J693" s="358" t="str">
        <f t="shared" si="4"/>
        <v/>
      </c>
      <c r="K693" s="358" t="str">
        <f t="shared" si="5"/>
        <v/>
      </c>
      <c r="L693" s="358" t="str">
        <f t="shared" si="6"/>
        <v/>
      </c>
      <c r="M693" s="358" t="str">
        <f t="shared" si="7"/>
        <v/>
      </c>
      <c r="N693" s="358" t="str">
        <f t="shared" si="8"/>
        <v/>
      </c>
      <c r="O693" s="358" t="str">
        <f t="shared" si="9"/>
        <v/>
      </c>
    </row>
    <row r="694">
      <c r="A694" s="20">
        <v>44411.0</v>
      </c>
      <c r="B694" s="359"/>
      <c r="C694" s="359"/>
      <c r="D694" s="359"/>
      <c r="E694" s="359"/>
      <c r="J694" s="358" t="str">
        <f t="shared" si="4"/>
        <v/>
      </c>
      <c r="K694" s="358" t="str">
        <f t="shared" si="5"/>
        <v/>
      </c>
      <c r="L694" s="358" t="str">
        <f t="shared" si="6"/>
        <v/>
      </c>
      <c r="M694" s="358" t="str">
        <f t="shared" si="7"/>
        <v/>
      </c>
      <c r="N694" s="358" t="str">
        <f t="shared" si="8"/>
        <v/>
      </c>
      <c r="O694" s="358" t="str">
        <f t="shared" si="9"/>
        <v/>
      </c>
    </row>
    <row r="695">
      <c r="A695" s="20">
        <v>44412.0</v>
      </c>
      <c r="B695" s="359"/>
      <c r="C695" s="359"/>
      <c r="D695" s="359"/>
      <c r="E695" s="359"/>
      <c r="J695" s="358" t="str">
        <f t="shared" si="4"/>
        <v/>
      </c>
      <c r="K695" s="358" t="str">
        <f t="shared" si="5"/>
        <v/>
      </c>
      <c r="L695" s="358" t="str">
        <f t="shared" si="6"/>
        <v/>
      </c>
      <c r="M695" s="358" t="str">
        <f t="shared" si="7"/>
        <v/>
      </c>
      <c r="N695" s="358" t="str">
        <f t="shared" si="8"/>
        <v/>
      </c>
      <c r="O695" s="358" t="str">
        <f t="shared" si="9"/>
        <v/>
      </c>
    </row>
    <row r="696">
      <c r="A696" s="20">
        <v>44413.0</v>
      </c>
      <c r="B696" s="359"/>
      <c r="C696" s="359"/>
      <c r="D696" s="359"/>
      <c r="E696" s="359"/>
      <c r="J696" s="358" t="str">
        <f t="shared" si="4"/>
        <v/>
      </c>
      <c r="K696" s="358" t="str">
        <f t="shared" si="5"/>
        <v/>
      </c>
      <c r="L696" s="358" t="str">
        <f t="shared" si="6"/>
        <v/>
      </c>
      <c r="M696" s="358" t="str">
        <f t="shared" si="7"/>
        <v/>
      </c>
      <c r="N696" s="358" t="str">
        <f t="shared" si="8"/>
        <v/>
      </c>
      <c r="O696" s="358" t="str">
        <f t="shared" si="9"/>
        <v/>
      </c>
    </row>
    <row r="697">
      <c r="A697" s="20">
        <v>44414.0</v>
      </c>
      <c r="B697" s="359"/>
      <c r="C697" s="359"/>
      <c r="D697" s="359"/>
      <c r="E697" s="359"/>
      <c r="J697" s="358" t="str">
        <f t="shared" si="4"/>
        <v/>
      </c>
      <c r="K697" s="358" t="str">
        <f t="shared" si="5"/>
        <v/>
      </c>
      <c r="L697" s="358" t="str">
        <f t="shared" si="6"/>
        <v/>
      </c>
      <c r="M697" s="358" t="str">
        <f t="shared" si="7"/>
        <v/>
      </c>
      <c r="N697" s="358" t="str">
        <f t="shared" si="8"/>
        <v/>
      </c>
      <c r="O697" s="358" t="str">
        <f t="shared" si="9"/>
        <v/>
      </c>
    </row>
    <row r="698">
      <c r="A698" s="20">
        <v>44415.0</v>
      </c>
      <c r="B698" s="359"/>
      <c r="C698" s="359"/>
      <c r="D698" s="359"/>
      <c r="E698" s="359"/>
      <c r="J698" s="358" t="str">
        <f t="shared" si="4"/>
        <v/>
      </c>
      <c r="K698" s="358" t="str">
        <f t="shared" si="5"/>
        <v/>
      </c>
      <c r="L698" s="358" t="str">
        <f t="shared" si="6"/>
        <v/>
      </c>
      <c r="M698" s="358" t="str">
        <f t="shared" si="7"/>
        <v/>
      </c>
      <c r="N698" s="358" t="str">
        <f t="shared" si="8"/>
        <v/>
      </c>
      <c r="O698" s="358" t="str">
        <f t="shared" si="9"/>
        <v/>
      </c>
    </row>
    <row r="699">
      <c r="A699" s="20">
        <v>44416.0</v>
      </c>
      <c r="B699" s="359"/>
      <c r="C699" s="359"/>
      <c r="D699" s="359"/>
      <c r="E699" s="359"/>
      <c r="J699" s="358" t="str">
        <f t="shared" si="4"/>
        <v/>
      </c>
      <c r="K699" s="358" t="str">
        <f t="shared" si="5"/>
        <v/>
      </c>
      <c r="L699" s="358" t="str">
        <f t="shared" si="6"/>
        <v/>
      </c>
      <c r="M699" s="358" t="str">
        <f t="shared" si="7"/>
        <v/>
      </c>
      <c r="N699" s="358" t="str">
        <f t="shared" si="8"/>
        <v/>
      </c>
      <c r="O699" s="358" t="str">
        <f t="shared" si="9"/>
        <v/>
      </c>
    </row>
    <row r="700">
      <c r="A700" s="20">
        <v>44417.0</v>
      </c>
      <c r="B700" s="359"/>
      <c r="C700" s="359"/>
      <c r="D700" s="359"/>
      <c r="E700" s="359"/>
      <c r="J700" s="358" t="str">
        <f t="shared" si="4"/>
        <v/>
      </c>
      <c r="K700" s="358" t="str">
        <f t="shared" si="5"/>
        <v/>
      </c>
      <c r="L700" s="358" t="str">
        <f t="shared" si="6"/>
        <v/>
      </c>
      <c r="M700" s="358" t="str">
        <f t="shared" si="7"/>
        <v/>
      </c>
      <c r="N700" s="358" t="str">
        <f t="shared" si="8"/>
        <v/>
      </c>
      <c r="O700" s="358" t="str">
        <f t="shared" si="9"/>
        <v/>
      </c>
    </row>
    <row r="701">
      <c r="A701" s="20">
        <v>44418.0</v>
      </c>
      <c r="B701" s="359"/>
      <c r="C701" s="359"/>
      <c r="D701" s="359"/>
      <c r="E701" s="359"/>
      <c r="J701" s="358" t="str">
        <f t="shared" si="4"/>
        <v/>
      </c>
      <c r="K701" s="358" t="str">
        <f t="shared" si="5"/>
        <v/>
      </c>
      <c r="L701" s="358" t="str">
        <f t="shared" si="6"/>
        <v/>
      </c>
      <c r="M701" s="358" t="str">
        <f t="shared" si="7"/>
        <v/>
      </c>
      <c r="N701" s="358" t="str">
        <f t="shared" si="8"/>
        <v/>
      </c>
      <c r="O701" s="358" t="str">
        <f t="shared" si="9"/>
        <v/>
      </c>
    </row>
    <row r="702">
      <c r="A702" s="20">
        <v>44419.0</v>
      </c>
      <c r="B702" s="359"/>
      <c r="C702" s="359"/>
      <c r="D702" s="359"/>
      <c r="E702" s="359"/>
      <c r="J702" s="358" t="str">
        <f t="shared" si="4"/>
        <v/>
      </c>
      <c r="K702" s="358" t="str">
        <f t="shared" si="5"/>
        <v/>
      </c>
      <c r="L702" s="358" t="str">
        <f t="shared" si="6"/>
        <v/>
      </c>
      <c r="M702" s="358" t="str">
        <f t="shared" si="7"/>
        <v/>
      </c>
      <c r="N702" s="358" t="str">
        <f t="shared" si="8"/>
        <v/>
      </c>
      <c r="O702" s="358" t="str">
        <f t="shared" si="9"/>
        <v/>
      </c>
    </row>
    <row r="703">
      <c r="A703" s="20">
        <v>44420.0</v>
      </c>
      <c r="B703" s="359"/>
      <c r="C703" s="359"/>
      <c r="D703" s="359"/>
      <c r="E703" s="359"/>
      <c r="J703" s="358" t="str">
        <f t="shared" si="4"/>
        <v/>
      </c>
      <c r="K703" s="358" t="str">
        <f t="shared" si="5"/>
        <v/>
      </c>
      <c r="L703" s="358" t="str">
        <f t="shared" si="6"/>
        <v/>
      </c>
      <c r="M703" s="358" t="str">
        <f t="shared" si="7"/>
        <v/>
      </c>
      <c r="N703" s="358" t="str">
        <f t="shared" si="8"/>
        <v/>
      </c>
      <c r="O703" s="358" t="str">
        <f t="shared" si="9"/>
        <v/>
      </c>
    </row>
    <row r="704">
      <c r="A704" s="20">
        <v>44421.0</v>
      </c>
      <c r="B704" s="359"/>
      <c r="C704" s="359"/>
      <c r="D704" s="359"/>
      <c r="E704" s="359"/>
      <c r="J704" s="358" t="str">
        <f t="shared" si="4"/>
        <v/>
      </c>
      <c r="K704" s="358" t="str">
        <f t="shared" si="5"/>
        <v/>
      </c>
      <c r="L704" s="358" t="str">
        <f t="shared" si="6"/>
        <v/>
      </c>
      <c r="M704" s="358" t="str">
        <f t="shared" si="7"/>
        <v/>
      </c>
      <c r="N704" s="358" t="str">
        <f t="shared" si="8"/>
        <v/>
      </c>
      <c r="O704" s="358" t="str">
        <f t="shared" si="9"/>
        <v/>
      </c>
    </row>
    <row r="705">
      <c r="A705" s="20">
        <v>44422.0</v>
      </c>
      <c r="B705" s="359"/>
      <c r="C705" s="359"/>
      <c r="D705" s="359"/>
      <c r="E705" s="359"/>
      <c r="J705" s="358" t="str">
        <f t="shared" si="4"/>
        <v/>
      </c>
      <c r="K705" s="358" t="str">
        <f t="shared" si="5"/>
        <v/>
      </c>
      <c r="L705" s="358" t="str">
        <f t="shared" si="6"/>
        <v/>
      </c>
      <c r="M705" s="358" t="str">
        <f t="shared" si="7"/>
        <v/>
      </c>
      <c r="N705" s="358" t="str">
        <f t="shared" si="8"/>
        <v/>
      </c>
      <c r="O705" s="358" t="str">
        <f t="shared" si="9"/>
        <v/>
      </c>
    </row>
    <row r="706">
      <c r="A706" s="20">
        <v>44423.0</v>
      </c>
      <c r="B706" s="359"/>
      <c r="C706" s="359"/>
      <c r="D706" s="359"/>
      <c r="E706" s="359"/>
      <c r="J706" s="358" t="str">
        <f t="shared" si="4"/>
        <v/>
      </c>
      <c r="K706" s="358" t="str">
        <f t="shared" si="5"/>
        <v/>
      </c>
      <c r="L706" s="358" t="str">
        <f t="shared" si="6"/>
        <v/>
      </c>
      <c r="M706" s="358" t="str">
        <f t="shared" si="7"/>
        <v/>
      </c>
      <c r="N706" s="358" t="str">
        <f t="shared" si="8"/>
        <v/>
      </c>
      <c r="O706" s="358" t="str">
        <f t="shared" si="9"/>
        <v/>
      </c>
    </row>
    <row r="707">
      <c r="A707" s="20">
        <v>44424.0</v>
      </c>
      <c r="B707" s="359"/>
      <c r="C707" s="359"/>
      <c r="D707" s="359"/>
      <c r="E707" s="359"/>
      <c r="J707" s="358" t="str">
        <f t="shared" si="4"/>
        <v/>
      </c>
      <c r="K707" s="358" t="str">
        <f t="shared" si="5"/>
        <v/>
      </c>
      <c r="L707" s="358" t="str">
        <f t="shared" si="6"/>
        <v/>
      </c>
      <c r="M707" s="358" t="str">
        <f t="shared" si="7"/>
        <v/>
      </c>
      <c r="N707" s="358" t="str">
        <f t="shared" si="8"/>
        <v/>
      </c>
      <c r="O707" s="358" t="str">
        <f t="shared" si="9"/>
        <v/>
      </c>
    </row>
    <row r="708">
      <c r="A708" s="20">
        <v>44425.0</v>
      </c>
      <c r="B708" s="359"/>
      <c r="C708" s="359"/>
      <c r="D708" s="359"/>
      <c r="E708" s="359"/>
      <c r="J708" s="358" t="str">
        <f t="shared" si="4"/>
        <v/>
      </c>
      <c r="K708" s="358" t="str">
        <f t="shared" si="5"/>
        <v/>
      </c>
      <c r="L708" s="358" t="str">
        <f t="shared" si="6"/>
        <v/>
      </c>
      <c r="M708" s="358" t="str">
        <f t="shared" si="7"/>
        <v/>
      </c>
      <c r="N708" s="358" t="str">
        <f t="shared" si="8"/>
        <v/>
      </c>
      <c r="O708" s="358" t="str">
        <f t="shared" si="9"/>
        <v/>
      </c>
    </row>
    <row r="709">
      <c r="A709" s="20">
        <v>44426.0</v>
      </c>
      <c r="B709" s="359"/>
      <c r="C709" s="359"/>
      <c r="D709" s="359"/>
      <c r="E709" s="359"/>
      <c r="J709" s="358" t="str">
        <f t="shared" si="4"/>
        <v/>
      </c>
      <c r="K709" s="358" t="str">
        <f t="shared" si="5"/>
        <v/>
      </c>
      <c r="L709" s="358" t="str">
        <f t="shared" si="6"/>
        <v/>
      </c>
      <c r="M709" s="358" t="str">
        <f t="shared" si="7"/>
        <v/>
      </c>
      <c r="N709" s="358" t="str">
        <f t="shared" si="8"/>
        <v/>
      </c>
      <c r="O709" s="358" t="str">
        <f t="shared" si="9"/>
        <v/>
      </c>
    </row>
    <row r="710">
      <c r="A710" s="20">
        <v>44427.0</v>
      </c>
      <c r="B710" s="359"/>
      <c r="C710" s="359"/>
      <c r="D710" s="359"/>
      <c r="E710" s="359"/>
      <c r="J710" s="358" t="str">
        <f t="shared" si="4"/>
        <v/>
      </c>
      <c r="K710" s="358" t="str">
        <f t="shared" si="5"/>
        <v/>
      </c>
      <c r="L710" s="358" t="str">
        <f t="shared" si="6"/>
        <v/>
      </c>
      <c r="M710" s="358" t="str">
        <f t="shared" si="7"/>
        <v/>
      </c>
      <c r="N710" s="358" t="str">
        <f t="shared" si="8"/>
        <v/>
      </c>
      <c r="O710" s="358" t="str">
        <f t="shared" si="9"/>
        <v/>
      </c>
    </row>
    <row r="711">
      <c r="A711" s="20">
        <v>44428.0</v>
      </c>
      <c r="B711" s="359"/>
      <c r="C711" s="359"/>
      <c r="D711" s="359"/>
      <c r="E711" s="359"/>
      <c r="J711" s="358" t="str">
        <f t="shared" si="4"/>
        <v/>
      </c>
      <c r="K711" s="358" t="str">
        <f t="shared" si="5"/>
        <v/>
      </c>
      <c r="L711" s="358" t="str">
        <f t="shared" si="6"/>
        <v/>
      </c>
      <c r="M711" s="358" t="str">
        <f t="shared" si="7"/>
        <v/>
      </c>
      <c r="N711" s="358" t="str">
        <f t="shared" si="8"/>
        <v/>
      </c>
      <c r="O711" s="358" t="str">
        <f t="shared" si="9"/>
        <v/>
      </c>
    </row>
    <row r="712">
      <c r="A712" s="20">
        <v>44429.0</v>
      </c>
      <c r="B712" s="359"/>
      <c r="C712" s="359"/>
      <c r="D712" s="359"/>
      <c r="E712" s="359"/>
      <c r="J712" s="358" t="str">
        <f t="shared" si="4"/>
        <v/>
      </c>
      <c r="K712" s="358" t="str">
        <f t="shared" si="5"/>
        <v/>
      </c>
      <c r="L712" s="358" t="str">
        <f t="shared" si="6"/>
        <v/>
      </c>
      <c r="M712" s="358" t="str">
        <f t="shared" si="7"/>
        <v/>
      </c>
      <c r="N712" s="358" t="str">
        <f t="shared" si="8"/>
        <v/>
      </c>
      <c r="O712" s="358" t="str">
        <f t="shared" si="9"/>
        <v/>
      </c>
    </row>
    <row r="713">
      <c r="A713" s="20">
        <v>44430.0</v>
      </c>
      <c r="B713" s="359"/>
      <c r="C713" s="359"/>
      <c r="D713" s="359"/>
      <c r="E713" s="359"/>
      <c r="J713" s="358" t="str">
        <f t="shared" si="4"/>
        <v/>
      </c>
      <c r="K713" s="358" t="str">
        <f t="shared" si="5"/>
        <v/>
      </c>
      <c r="L713" s="358" t="str">
        <f t="shared" si="6"/>
        <v/>
      </c>
      <c r="M713" s="358" t="str">
        <f t="shared" si="7"/>
        <v/>
      </c>
      <c r="N713" s="358" t="str">
        <f t="shared" si="8"/>
        <v/>
      </c>
      <c r="O713" s="358" t="str">
        <f t="shared" si="9"/>
        <v/>
      </c>
    </row>
    <row r="714">
      <c r="A714" s="20">
        <v>44431.0</v>
      </c>
      <c r="B714" s="359"/>
      <c r="C714" s="359"/>
      <c r="D714" s="359"/>
      <c r="E714" s="359"/>
      <c r="J714" s="358" t="str">
        <f t="shared" si="4"/>
        <v/>
      </c>
      <c r="K714" s="358" t="str">
        <f t="shared" si="5"/>
        <v/>
      </c>
      <c r="L714" s="358" t="str">
        <f t="shared" si="6"/>
        <v/>
      </c>
      <c r="M714" s="358" t="str">
        <f t="shared" si="7"/>
        <v/>
      </c>
      <c r="N714" s="358" t="str">
        <f t="shared" si="8"/>
        <v/>
      </c>
      <c r="O714" s="358" t="str">
        <f t="shared" si="9"/>
        <v/>
      </c>
    </row>
    <row r="715">
      <c r="A715" s="20">
        <v>44432.0</v>
      </c>
      <c r="B715" s="359"/>
      <c r="C715" s="359"/>
      <c r="D715" s="359"/>
      <c r="E715" s="359"/>
      <c r="J715" s="358" t="str">
        <f t="shared" si="4"/>
        <v/>
      </c>
      <c r="K715" s="358" t="str">
        <f t="shared" si="5"/>
        <v/>
      </c>
      <c r="L715" s="358" t="str">
        <f t="shared" si="6"/>
        <v/>
      </c>
      <c r="M715" s="358" t="str">
        <f t="shared" si="7"/>
        <v/>
      </c>
      <c r="N715" s="358" t="str">
        <f t="shared" si="8"/>
        <v/>
      </c>
      <c r="O715" s="358" t="str">
        <f t="shared" si="9"/>
        <v/>
      </c>
    </row>
    <row r="716">
      <c r="A716" s="20">
        <v>44433.0</v>
      </c>
      <c r="B716" s="359"/>
      <c r="C716" s="359"/>
      <c r="D716" s="359"/>
      <c r="E716" s="359"/>
      <c r="J716" s="358" t="str">
        <f t="shared" si="4"/>
        <v/>
      </c>
      <c r="K716" s="358" t="str">
        <f t="shared" si="5"/>
        <v/>
      </c>
      <c r="L716" s="358" t="str">
        <f t="shared" si="6"/>
        <v/>
      </c>
      <c r="M716" s="358" t="str">
        <f t="shared" si="7"/>
        <v/>
      </c>
      <c r="N716" s="358" t="str">
        <f t="shared" si="8"/>
        <v/>
      </c>
      <c r="O716" s="358" t="str">
        <f t="shared" si="9"/>
        <v/>
      </c>
    </row>
    <row r="717">
      <c r="A717" s="20">
        <v>44434.0</v>
      </c>
      <c r="B717" s="359"/>
      <c r="C717" s="359"/>
      <c r="D717" s="359"/>
      <c r="E717" s="359"/>
      <c r="J717" s="358" t="str">
        <f t="shared" si="4"/>
        <v/>
      </c>
      <c r="K717" s="358" t="str">
        <f t="shared" si="5"/>
        <v/>
      </c>
      <c r="L717" s="358" t="str">
        <f t="shared" si="6"/>
        <v/>
      </c>
      <c r="M717" s="358" t="str">
        <f t="shared" si="7"/>
        <v/>
      </c>
      <c r="N717" s="358" t="str">
        <f t="shared" si="8"/>
        <v/>
      </c>
      <c r="O717" s="358" t="str">
        <f t="shared" si="9"/>
        <v/>
      </c>
    </row>
    <row r="718">
      <c r="A718" s="20">
        <v>44435.0</v>
      </c>
      <c r="B718" s="359"/>
      <c r="C718" s="359"/>
      <c r="D718" s="359"/>
      <c r="E718" s="359"/>
      <c r="J718" s="358" t="str">
        <f t="shared" si="4"/>
        <v/>
      </c>
      <c r="K718" s="358" t="str">
        <f t="shared" si="5"/>
        <v/>
      </c>
      <c r="L718" s="358" t="str">
        <f t="shared" si="6"/>
        <v/>
      </c>
      <c r="M718" s="358" t="str">
        <f t="shared" si="7"/>
        <v/>
      </c>
      <c r="N718" s="358" t="str">
        <f t="shared" si="8"/>
        <v/>
      </c>
      <c r="O718" s="358" t="str">
        <f t="shared" si="9"/>
        <v/>
      </c>
    </row>
    <row r="719">
      <c r="A719" s="20">
        <v>44436.0</v>
      </c>
      <c r="B719" s="359"/>
      <c r="C719" s="359"/>
      <c r="D719" s="359"/>
      <c r="E719" s="359"/>
      <c r="J719" s="358" t="str">
        <f t="shared" si="4"/>
        <v/>
      </c>
      <c r="K719" s="358" t="str">
        <f t="shared" si="5"/>
        <v/>
      </c>
      <c r="L719" s="358" t="str">
        <f t="shared" si="6"/>
        <v/>
      </c>
      <c r="M719" s="358" t="str">
        <f t="shared" si="7"/>
        <v/>
      </c>
      <c r="N719" s="358" t="str">
        <f t="shared" si="8"/>
        <v/>
      </c>
      <c r="O719" s="358" t="str">
        <f t="shared" si="9"/>
        <v/>
      </c>
    </row>
    <row r="720">
      <c r="A720" s="20">
        <v>44437.0</v>
      </c>
      <c r="B720" s="359"/>
      <c r="C720" s="359"/>
      <c r="D720" s="359"/>
      <c r="E720" s="359"/>
      <c r="J720" s="358" t="str">
        <f t="shared" si="4"/>
        <v/>
      </c>
      <c r="K720" s="358" t="str">
        <f t="shared" si="5"/>
        <v/>
      </c>
      <c r="L720" s="358" t="str">
        <f t="shared" si="6"/>
        <v/>
      </c>
      <c r="M720" s="358" t="str">
        <f t="shared" si="7"/>
        <v/>
      </c>
      <c r="N720" s="358" t="str">
        <f t="shared" si="8"/>
        <v/>
      </c>
      <c r="O720" s="358" t="str">
        <f t="shared" si="9"/>
        <v/>
      </c>
    </row>
    <row r="721">
      <c r="A721" s="20">
        <v>44438.0</v>
      </c>
      <c r="B721" s="359"/>
      <c r="C721" s="359"/>
      <c r="D721" s="359"/>
      <c r="E721" s="359"/>
      <c r="J721" s="358" t="str">
        <f t="shared" si="4"/>
        <v/>
      </c>
      <c r="K721" s="358" t="str">
        <f t="shared" si="5"/>
        <v/>
      </c>
      <c r="L721" s="358" t="str">
        <f t="shared" si="6"/>
        <v/>
      </c>
      <c r="M721" s="358" t="str">
        <f t="shared" si="7"/>
        <v/>
      </c>
      <c r="N721" s="358" t="str">
        <f t="shared" si="8"/>
        <v/>
      </c>
      <c r="O721" s="358" t="str">
        <f t="shared" si="9"/>
        <v/>
      </c>
    </row>
    <row r="722">
      <c r="A722" s="20">
        <v>44439.0</v>
      </c>
      <c r="B722" s="359"/>
      <c r="C722" s="359"/>
      <c r="D722" s="359"/>
      <c r="E722" s="359"/>
      <c r="J722" s="358" t="str">
        <f t="shared" si="4"/>
        <v/>
      </c>
      <c r="K722" s="358" t="str">
        <f t="shared" si="5"/>
        <v/>
      </c>
      <c r="L722" s="358" t="str">
        <f t="shared" si="6"/>
        <v/>
      </c>
      <c r="M722" s="358" t="str">
        <f t="shared" si="7"/>
        <v/>
      </c>
      <c r="N722" s="358" t="str">
        <f t="shared" si="8"/>
        <v/>
      </c>
      <c r="O722" s="358" t="str">
        <f t="shared" si="9"/>
        <v/>
      </c>
    </row>
    <row r="723">
      <c r="A723" s="20">
        <v>44440.0</v>
      </c>
      <c r="B723" s="359"/>
      <c r="C723" s="359"/>
      <c r="D723" s="359"/>
      <c r="E723" s="359"/>
      <c r="J723" s="358" t="str">
        <f t="shared" si="4"/>
        <v/>
      </c>
      <c r="K723" s="358" t="str">
        <f t="shared" si="5"/>
        <v/>
      </c>
      <c r="L723" s="358" t="str">
        <f t="shared" si="6"/>
        <v/>
      </c>
      <c r="M723" s="358" t="str">
        <f t="shared" si="7"/>
        <v/>
      </c>
      <c r="N723" s="358" t="str">
        <f t="shared" si="8"/>
        <v/>
      </c>
      <c r="O723" s="358" t="str">
        <f t="shared" si="9"/>
        <v/>
      </c>
    </row>
    <row r="724">
      <c r="A724" s="20">
        <v>44441.0</v>
      </c>
      <c r="B724" s="359"/>
      <c r="C724" s="359"/>
      <c r="D724" s="359"/>
      <c r="E724" s="359"/>
      <c r="J724" s="358" t="str">
        <f t="shared" si="4"/>
        <v/>
      </c>
      <c r="K724" s="358" t="str">
        <f t="shared" si="5"/>
        <v/>
      </c>
      <c r="L724" s="358" t="str">
        <f t="shared" si="6"/>
        <v/>
      </c>
      <c r="M724" s="358" t="str">
        <f t="shared" si="7"/>
        <v/>
      </c>
      <c r="N724" s="358" t="str">
        <f t="shared" si="8"/>
        <v/>
      </c>
      <c r="O724" s="358" t="str">
        <f t="shared" si="9"/>
        <v/>
      </c>
    </row>
    <row r="725">
      <c r="A725" s="20">
        <v>44442.0</v>
      </c>
      <c r="B725" s="359"/>
      <c r="C725" s="359"/>
      <c r="D725" s="359"/>
      <c r="E725" s="359"/>
      <c r="J725" s="358" t="str">
        <f t="shared" si="4"/>
        <v/>
      </c>
      <c r="K725" s="358" t="str">
        <f t="shared" si="5"/>
        <v/>
      </c>
      <c r="L725" s="358" t="str">
        <f t="shared" si="6"/>
        <v/>
      </c>
      <c r="M725" s="358" t="str">
        <f t="shared" si="7"/>
        <v/>
      </c>
      <c r="N725" s="358" t="str">
        <f t="shared" si="8"/>
        <v/>
      </c>
      <c r="O725" s="358" t="str">
        <f t="shared" si="9"/>
        <v/>
      </c>
    </row>
    <row r="726">
      <c r="A726" s="20">
        <v>44443.0</v>
      </c>
      <c r="B726" s="359"/>
      <c r="C726" s="359"/>
      <c r="D726" s="359"/>
      <c r="E726" s="359"/>
      <c r="J726" s="358" t="str">
        <f t="shared" si="4"/>
        <v/>
      </c>
      <c r="K726" s="358" t="str">
        <f t="shared" si="5"/>
        <v/>
      </c>
      <c r="L726" s="358" t="str">
        <f t="shared" si="6"/>
        <v/>
      </c>
      <c r="M726" s="358" t="str">
        <f t="shared" si="7"/>
        <v/>
      </c>
      <c r="N726" s="358" t="str">
        <f t="shared" si="8"/>
        <v/>
      </c>
      <c r="O726" s="358" t="str">
        <f t="shared" si="9"/>
        <v/>
      </c>
    </row>
    <row r="727">
      <c r="A727" s="20">
        <v>44444.0</v>
      </c>
      <c r="B727" s="359"/>
      <c r="C727" s="359"/>
      <c r="D727" s="359"/>
      <c r="E727" s="359"/>
      <c r="J727" s="358" t="str">
        <f t="shared" si="4"/>
        <v/>
      </c>
      <c r="K727" s="358" t="str">
        <f t="shared" si="5"/>
        <v/>
      </c>
      <c r="L727" s="358" t="str">
        <f t="shared" si="6"/>
        <v/>
      </c>
      <c r="M727" s="358" t="str">
        <f t="shared" si="7"/>
        <v/>
      </c>
      <c r="N727" s="358" t="str">
        <f t="shared" si="8"/>
        <v/>
      </c>
      <c r="O727" s="358" t="str">
        <f t="shared" si="9"/>
        <v/>
      </c>
    </row>
    <row r="728">
      <c r="A728" s="20">
        <v>44445.0</v>
      </c>
      <c r="B728" s="359"/>
      <c r="C728" s="359"/>
      <c r="D728" s="359"/>
      <c r="E728" s="359"/>
      <c r="J728" s="358" t="str">
        <f t="shared" si="4"/>
        <v/>
      </c>
      <c r="K728" s="358" t="str">
        <f t="shared" si="5"/>
        <v/>
      </c>
      <c r="L728" s="358" t="str">
        <f t="shared" si="6"/>
        <v/>
      </c>
      <c r="M728" s="358" t="str">
        <f t="shared" si="7"/>
        <v/>
      </c>
      <c r="N728" s="358" t="str">
        <f t="shared" si="8"/>
        <v/>
      </c>
      <c r="O728" s="358" t="str">
        <f t="shared" si="9"/>
        <v/>
      </c>
    </row>
    <row r="729">
      <c r="A729" s="20">
        <v>44446.0</v>
      </c>
      <c r="B729" s="359"/>
      <c r="C729" s="359"/>
      <c r="D729" s="359"/>
      <c r="E729" s="359"/>
      <c r="J729" s="358" t="str">
        <f t="shared" si="4"/>
        <v/>
      </c>
      <c r="K729" s="358" t="str">
        <f t="shared" si="5"/>
        <v/>
      </c>
      <c r="L729" s="358" t="str">
        <f t="shared" si="6"/>
        <v/>
      </c>
      <c r="M729" s="358" t="str">
        <f t="shared" si="7"/>
        <v/>
      </c>
      <c r="N729" s="358" t="str">
        <f t="shared" si="8"/>
        <v/>
      </c>
      <c r="O729" s="358" t="str">
        <f t="shared" si="9"/>
        <v/>
      </c>
    </row>
    <row r="730">
      <c r="A730" s="20">
        <v>44447.0</v>
      </c>
      <c r="B730" s="359"/>
      <c r="C730" s="359"/>
      <c r="D730" s="359"/>
      <c r="E730" s="359"/>
      <c r="J730" s="358" t="str">
        <f t="shared" si="4"/>
        <v/>
      </c>
      <c r="K730" s="358" t="str">
        <f t="shared" si="5"/>
        <v/>
      </c>
      <c r="L730" s="358" t="str">
        <f t="shared" si="6"/>
        <v/>
      </c>
      <c r="M730" s="358" t="str">
        <f t="shared" si="7"/>
        <v/>
      </c>
      <c r="N730" s="358" t="str">
        <f t="shared" si="8"/>
        <v/>
      </c>
      <c r="O730" s="358" t="str">
        <f t="shared" si="9"/>
        <v/>
      </c>
    </row>
    <row r="731">
      <c r="A731" s="20">
        <v>44448.0</v>
      </c>
      <c r="B731" s="359"/>
      <c r="C731" s="359"/>
      <c r="D731" s="359"/>
      <c r="E731" s="359"/>
      <c r="J731" s="358" t="str">
        <f t="shared" si="4"/>
        <v/>
      </c>
      <c r="K731" s="358" t="str">
        <f t="shared" si="5"/>
        <v/>
      </c>
      <c r="L731" s="358" t="str">
        <f t="shared" si="6"/>
        <v/>
      </c>
      <c r="M731" s="358" t="str">
        <f t="shared" si="7"/>
        <v/>
      </c>
      <c r="N731" s="358" t="str">
        <f t="shared" si="8"/>
        <v/>
      </c>
      <c r="O731" s="358" t="str">
        <f t="shared" si="9"/>
        <v/>
      </c>
    </row>
    <row r="732">
      <c r="A732" s="20">
        <v>44449.0</v>
      </c>
      <c r="B732" s="359"/>
      <c r="C732" s="359"/>
      <c r="D732" s="359"/>
      <c r="E732" s="359"/>
      <c r="J732" s="358" t="str">
        <f t="shared" si="4"/>
        <v/>
      </c>
      <c r="K732" s="358" t="str">
        <f t="shared" si="5"/>
        <v/>
      </c>
      <c r="L732" s="358" t="str">
        <f t="shared" si="6"/>
        <v/>
      </c>
      <c r="M732" s="358" t="str">
        <f t="shared" si="7"/>
        <v/>
      </c>
      <c r="N732" s="358" t="str">
        <f t="shared" si="8"/>
        <v/>
      </c>
      <c r="O732" s="358" t="str">
        <f t="shared" si="9"/>
        <v/>
      </c>
    </row>
    <row r="733">
      <c r="A733" s="20">
        <v>44450.0</v>
      </c>
      <c r="B733" s="359"/>
      <c r="C733" s="359"/>
      <c r="D733" s="359"/>
      <c r="E733" s="359"/>
      <c r="J733" s="358" t="str">
        <f t="shared" si="4"/>
        <v/>
      </c>
      <c r="K733" s="358" t="str">
        <f t="shared" si="5"/>
        <v/>
      </c>
      <c r="L733" s="358" t="str">
        <f t="shared" si="6"/>
        <v/>
      </c>
      <c r="M733" s="358" t="str">
        <f t="shared" si="7"/>
        <v/>
      </c>
      <c r="N733" s="358" t="str">
        <f t="shared" si="8"/>
        <v/>
      </c>
      <c r="O733" s="358" t="str">
        <f t="shared" si="9"/>
        <v/>
      </c>
    </row>
    <row r="734">
      <c r="A734" s="20">
        <v>44451.0</v>
      </c>
      <c r="B734" s="359"/>
      <c r="C734" s="359"/>
      <c r="D734" s="359"/>
      <c r="E734" s="359"/>
      <c r="J734" s="358" t="str">
        <f t="shared" si="4"/>
        <v/>
      </c>
      <c r="K734" s="358" t="str">
        <f t="shared" si="5"/>
        <v/>
      </c>
      <c r="L734" s="358" t="str">
        <f t="shared" si="6"/>
        <v/>
      </c>
      <c r="M734" s="358" t="str">
        <f t="shared" si="7"/>
        <v/>
      </c>
      <c r="N734" s="358" t="str">
        <f t="shared" si="8"/>
        <v/>
      </c>
      <c r="O734" s="358" t="str">
        <f t="shared" si="9"/>
        <v/>
      </c>
    </row>
    <row r="735">
      <c r="A735" s="20">
        <v>44452.0</v>
      </c>
      <c r="B735" s="359"/>
      <c r="C735" s="359"/>
      <c r="D735" s="359"/>
      <c r="E735" s="359"/>
      <c r="J735" s="358" t="str">
        <f t="shared" si="4"/>
        <v/>
      </c>
      <c r="K735" s="358" t="str">
        <f t="shared" si="5"/>
        <v/>
      </c>
      <c r="L735" s="358" t="str">
        <f t="shared" si="6"/>
        <v/>
      </c>
      <c r="M735" s="358" t="str">
        <f t="shared" si="7"/>
        <v/>
      </c>
      <c r="N735" s="358" t="str">
        <f t="shared" si="8"/>
        <v/>
      </c>
      <c r="O735" s="358" t="str">
        <f t="shared" si="9"/>
        <v/>
      </c>
    </row>
    <row r="736">
      <c r="A736" s="20">
        <v>44453.0</v>
      </c>
      <c r="B736" s="359"/>
      <c r="C736" s="359"/>
      <c r="D736" s="359"/>
      <c r="E736" s="359"/>
      <c r="J736" s="358" t="str">
        <f t="shared" si="4"/>
        <v/>
      </c>
      <c r="K736" s="358" t="str">
        <f t="shared" si="5"/>
        <v/>
      </c>
      <c r="L736" s="358" t="str">
        <f t="shared" si="6"/>
        <v/>
      </c>
      <c r="M736" s="358" t="str">
        <f t="shared" si="7"/>
        <v/>
      </c>
      <c r="N736" s="358" t="str">
        <f t="shared" si="8"/>
        <v/>
      </c>
      <c r="O736" s="358" t="str">
        <f t="shared" si="9"/>
        <v/>
      </c>
    </row>
    <row r="737">
      <c r="A737" s="20">
        <v>44454.0</v>
      </c>
      <c r="B737" s="359"/>
      <c r="C737" s="359"/>
      <c r="D737" s="359"/>
      <c r="E737" s="359"/>
      <c r="J737" s="358" t="str">
        <f t="shared" si="4"/>
        <v/>
      </c>
      <c r="K737" s="358" t="str">
        <f t="shared" si="5"/>
        <v/>
      </c>
      <c r="L737" s="358" t="str">
        <f t="shared" si="6"/>
        <v/>
      </c>
      <c r="M737" s="358" t="str">
        <f t="shared" si="7"/>
        <v/>
      </c>
      <c r="N737" s="358" t="str">
        <f t="shared" si="8"/>
        <v/>
      </c>
      <c r="O737" s="358" t="str">
        <f t="shared" si="9"/>
        <v/>
      </c>
    </row>
    <row r="738">
      <c r="A738" s="20">
        <v>44455.0</v>
      </c>
      <c r="B738" s="359"/>
      <c r="C738" s="359"/>
      <c r="D738" s="359"/>
      <c r="E738" s="359"/>
      <c r="J738" s="358" t="str">
        <f t="shared" si="4"/>
        <v/>
      </c>
      <c r="K738" s="358" t="str">
        <f t="shared" si="5"/>
        <v/>
      </c>
      <c r="L738" s="358" t="str">
        <f t="shared" si="6"/>
        <v/>
      </c>
      <c r="M738" s="358" t="str">
        <f t="shared" si="7"/>
        <v/>
      </c>
      <c r="N738" s="358" t="str">
        <f t="shared" si="8"/>
        <v/>
      </c>
      <c r="O738" s="358" t="str">
        <f t="shared" si="9"/>
        <v/>
      </c>
    </row>
    <row r="739">
      <c r="A739" s="20">
        <v>44456.0</v>
      </c>
      <c r="B739" s="359"/>
      <c r="C739" s="359"/>
      <c r="D739" s="359"/>
      <c r="E739" s="359"/>
      <c r="J739" s="358" t="str">
        <f t="shared" si="4"/>
        <v/>
      </c>
      <c r="K739" s="358" t="str">
        <f t="shared" si="5"/>
        <v/>
      </c>
      <c r="L739" s="358" t="str">
        <f t="shared" si="6"/>
        <v/>
      </c>
      <c r="M739" s="358" t="str">
        <f t="shared" si="7"/>
        <v/>
      </c>
      <c r="N739" s="358" t="str">
        <f t="shared" si="8"/>
        <v/>
      </c>
      <c r="O739" s="358" t="str">
        <f t="shared" si="9"/>
        <v/>
      </c>
    </row>
    <row r="740">
      <c r="A740" s="20">
        <v>44457.0</v>
      </c>
      <c r="B740" s="359"/>
      <c r="C740" s="359"/>
      <c r="D740" s="359"/>
      <c r="E740" s="359"/>
      <c r="J740" s="358" t="str">
        <f t="shared" si="4"/>
        <v/>
      </c>
      <c r="K740" s="358" t="str">
        <f t="shared" si="5"/>
        <v/>
      </c>
      <c r="L740" s="358" t="str">
        <f t="shared" si="6"/>
        <v/>
      </c>
      <c r="M740" s="358" t="str">
        <f t="shared" si="7"/>
        <v/>
      </c>
      <c r="N740" s="358" t="str">
        <f t="shared" si="8"/>
        <v/>
      </c>
      <c r="O740" s="358" t="str">
        <f t="shared" si="9"/>
        <v/>
      </c>
    </row>
    <row r="741">
      <c r="A741" s="20">
        <v>44458.0</v>
      </c>
      <c r="B741" s="359"/>
      <c r="C741" s="359"/>
      <c r="D741" s="359"/>
      <c r="E741" s="359"/>
      <c r="J741" s="358" t="str">
        <f t="shared" si="4"/>
        <v/>
      </c>
      <c r="K741" s="358" t="str">
        <f t="shared" si="5"/>
        <v/>
      </c>
      <c r="L741" s="358" t="str">
        <f t="shared" si="6"/>
        <v/>
      </c>
      <c r="M741" s="358" t="str">
        <f t="shared" si="7"/>
        <v/>
      </c>
      <c r="N741" s="358" t="str">
        <f t="shared" si="8"/>
        <v/>
      </c>
      <c r="O741" s="358" t="str">
        <f t="shared" si="9"/>
        <v/>
      </c>
    </row>
    <row r="742">
      <c r="A742" s="20">
        <v>44459.0</v>
      </c>
      <c r="B742" s="359"/>
      <c r="C742" s="359"/>
      <c r="D742" s="359"/>
      <c r="E742" s="359"/>
      <c r="J742" s="358" t="str">
        <f t="shared" si="4"/>
        <v/>
      </c>
      <c r="K742" s="358" t="str">
        <f t="shared" si="5"/>
        <v/>
      </c>
      <c r="L742" s="358" t="str">
        <f t="shared" si="6"/>
        <v/>
      </c>
      <c r="M742" s="358" t="str">
        <f t="shared" si="7"/>
        <v/>
      </c>
      <c r="N742" s="358" t="str">
        <f t="shared" si="8"/>
        <v/>
      </c>
      <c r="O742" s="358" t="str">
        <f t="shared" si="9"/>
        <v/>
      </c>
    </row>
    <row r="743">
      <c r="A743" s="20">
        <v>44460.0</v>
      </c>
      <c r="B743" s="359"/>
      <c r="C743" s="359"/>
      <c r="D743" s="359"/>
      <c r="E743" s="359"/>
      <c r="J743" s="358" t="str">
        <f t="shared" si="4"/>
        <v/>
      </c>
      <c r="K743" s="358" t="str">
        <f t="shared" si="5"/>
        <v/>
      </c>
      <c r="L743" s="358" t="str">
        <f t="shared" si="6"/>
        <v/>
      </c>
      <c r="M743" s="358" t="str">
        <f t="shared" si="7"/>
        <v/>
      </c>
      <c r="N743" s="358" t="str">
        <f t="shared" si="8"/>
        <v/>
      </c>
      <c r="O743" s="358" t="str">
        <f t="shared" si="9"/>
        <v/>
      </c>
    </row>
    <row r="744">
      <c r="A744" s="20">
        <v>44461.0</v>
      </c>
      <c r="B744" s="359"/>
      <c r="C744" s="359"/>
      <c r="D744" s="359"/>
      <c r="E744" s="359"/>
      <c r="J744" s="358" t="str">
        <f t="shared" si="4"/>
        <v/>
      </c>
      <c r="K744" s="358" t="str">
        <f t="shared" si="5"/>
        <v/>
      </c>
      <c r="L744" s="358" t="str">
        <f t="shared" si="6"/>
        <v/>
      </c>
      <c r="M744" s="358" t="str">
        <f t="shared" si="7"/>
        <v/>
      </c>
      <c r="N744" s="358" t="str">
        <f t="shared" si="8"/>
        <v/>
      </c>
      <c r="O744" s="358" t="str">
        <f t="shared" si="9"/>
        <v/>
      </c>
    </row>
    <row r="745">
      <c r="A745" s="20">
        <v>44462.0</v>
      </c>
      <c r="B745" s="359"/>
      <c r="C745" s="359"/>
      <c r="D745" s="359"/>
      <c r="E745" s="359"/>
      <c r="J745" s="358" t="str">
        <f t="shared" si="4"/>
        <v/>
      </c>
      <c r="K745" s="358" t="str">
        <f t="shared" si="5"/>
        <v/>
      </c>
      <c r="L745" s="358" t="str">
        <f t="shared" si="6"/>
        <v/>
      </c>
      <c r="M745" s="358" t="str">
        <f t="shared" si="7"/>
        <v/>
      </c>
      <c r="N745" s="358" t="str">
        <f t="shared" si="8"/>
        <v/>
      </c>
      <c r="O745" s="358" t="str">
        <f t="shared" si="9"/>
        <v/>
      </c>
    </row>
    <row r="746">
      <c r="A746" s="20">
        <v>44463.0</v>
      </c>
      <c r="B746" s="359"/>
      <c r="C746" s="359"/>
      <c r="D746" s="359"/>
      <c r="E746" s="359"/>
      <c r="J746" s="358" t="str">
        <f t="shared" si="4"/>
        <v/>
      </c>
      <c r="K746" s="358" t="str">
        <f t="shared" si="5"/>
        <v/>
      </c>
      <c r="L746" s="358" t="str">
        <f t="shared" si="6"/>
        <v/>
      </c>
      <c r="M746" s="358" t="str">
        <f t="shared" si="7"/>
        <v/>
      </c>
      <c r="N746" s="358" t="str">
        <f t="shared" si="8"/>
        <v/>
      </c>
      <c r="O746" s="358" t="str">
        <f t="shared" si="9"/>
        <v/>
      </c>
    </row>
    <row r="747">
      <c r="A747" s="20">
        <v>44464.0</v>
      </c>
      <c r="B747" s="359"/>
      <c r="C747" s="359"/>
      <c r="D747" s="359"/>
      <c r="E747" s="359"/>
      <c r="J747" s="358" t="str">
        <f t="shared" si="4"/>
        <v/>
      </c>
      <c r="K747" s="358" t="str">
        <f t="shared" si="5"/>
        <v/>
      </c>
      <c r="L747" s="358" t="str">
        <f t="shared" si="6"/>
        <v/>
      </c>
      <c r="M747" s="358" t="str">
        <f t="shared" si="7"/>
        <v/>
      </c>
      <c r="N747" s="358" t="str">
        <f t="shared" si="8"/>
        <v/>
      </c>
      <c r="O747" s="358" t="str">
        <f t="shared" si="9"/>
        <v/>
      </c>
    </row>
    <row r="748">
      <c r="A748" s="20">
        <v>44465.0</v>
      </c>
      <c r="B748" s="359"/>
      <c r="C748" s="359"/>
      <c r="D748" s="359"/>
      <c r="E748" s="359"/>
      <c r="J748" s="358" t="str">
        <f t="shared" si="4"/>
        <v/>
      </c>
      <c r="K748" s="358" t="str">
        <f t="shared" si="5"/>
        <v/>
      </c>
      <c r="L748" s="358" t="str">
        <f t="shared" si="6"/>
        <v/>
      </c>
      <c r="M748" s="358" t="str">
        <f t="shared" si="7"/>
        <v/>
      </c>
      <c r="N748" s="358" t="str">
        <f t="shared" si="8"/>
        <v/>
      </c>
      <c r="O748" s="358" t="str">
        <f t="shared" si="9"/>
        <v/>
      </c>
    </row>
    <row r="749">
      <c r="A749" s="20">
        <v>44466.0</v>
      </c>
      <c r="B749" s="359"/>
      <c r="C749" s="359"/>
      <c r="D749" s="359"/>
      <c r="E749" s="359"/>
      <c r="J749" s="358" t="str">
        <f t="shared" si="4"/>
        <v/>
      </c>
      <c r="K749" s="358" t="str">
        <f t="shared" si="5"/>
        <v/>
      </c>
      <c r="L749" s="358" t="str">
        <f t="shared" si="6"/>
        <v/>
      </c>
      <c r="M749" s="358" t="str">
        <f t="shared" si="7"/>
        <v/>
      </c>
      <c r="N749" s="358" t="str">
        <f t="shared" si="8"/>
        <v/>
      </c>
      <c r="O749" s="358" t="str">
        <f t="shared" si="9"/>
        <v/>
      </c>
    </row>
    <row r="750">
      <c r="A750" s="20">
        <v>44467.0</v>
      </c>
      <c r="B750" s="359"/>
      <c r="C750" s="359"/>
      <c r="D750" s="359"/>
      <c r="E750" s="359"/>
      <c r="J750" s="358" t="str">
        <f t="shared" si="4"/>
        <v/>
      </c>
      <c r="K750" s="358" t="str">
        <f t="shared" si="5"/>
        <v/>
      </c>
      <c r="L750" s="358" t="str">
        <f t="shared" si="6"/>
        <v/>
      </c>
      <c r="M750" s="358" t="str">
        <f t="shared" si="7"/>
        <v/>
      </c>
      <c r="N750" s="358" t="str">
        <f t="shared" si="8"/>
        <v/>
      </c>
      <c r="O750" s="358" t="str">
        <f t="shared" si="9"/>
        <v/>
      </c>
    </row>
    <row r="751">
      <c r="A751" s="20">
        <v>44468.0</v>
      </c>
      <c r="B751" s="359"/>
      <c r="C751" s="359"/>
      <c r="D751" s="359"/>
      <c r="E751" s="359"/>
      <c r="J751" s="358" t="str">
        <f t="shared" si="4"/>
        <v/>
      </c>
      <c r="K751" s="358" t="str">
        <f t="shared" si="5"/>
        <v/>
      </c>
      <c r="L751" s="358" t="str">
        <f t="shared" si="6"/>
        <v/>
      </c>
      <c r="M751" s="358" t="str">
        <f t="shared" si="7"/>
        <v/>
      </c>
      <c r="N751" s="358" t="str">
        <f t="shared" si="8"/>
        <v/>
      </c>
      <c r="O751" s="358" t="str">
        <f t="shared" si="9"/>
        <v/>
      </c>
    </row>
    <row r="752">
      <c r="A752" s="20">
        <v>44469.0</v>
      </c>
      <c r="B752" s="359"/>
      <c r="C752" s="359"/>
      <c r="D752" s="359"/>
      <c r="E752" s="359"/>
      <c r="J752" s="358" t="str">
        <f t="shared" si="4"/>
        <v/>
      </c>
      <c r="K752" s="358" t="str">
        <f t="shared" si="5"/>
        <v/>
      </c>
      <c r="L752" s="358" t="str">
        <f t="shared" si="6"/>
        <v/>
      </c>
      <c r="M752" s="358" t="str">
        <f t="shared" si="7"/>
        <v/>
      </c>
      <c r="N752" s="358" t="str">
        <f t="shared" si="8"/>
        <v/>
      </c>
      <c r="O752" s="358" t="str">
        <f t="shared" si="9"/>
        <v/>
      </c>
    </row>
    <row r="753">
      <c r="A753" s="20">
        <v>44470.0</v>
      </c>
      <c r="B753" s="359"/>
      <c r="C753" s="359"/>
      <c r="D753" s="359"/>
      <c r="E753" s="359"/>
      <c r="J753" s="358" t="str">
        <f t="shared" si="4"/>
        <v/>
      </c>
      <c r="K753" s="358" t="str">
        <f t="shared" si="5"/>
        <v/>
      </c>
      <c r="L753" s="358" t="str">
        <f t="shared" si="6"/>
        <v/>
      </c>
      <c r="M753" s="358" t="str">
        <f t="shared" si="7"/>
        <v/>
      </c>
      <c r="N753" s="358" t="str">
        <f t="shared" si="8"/>
        <v/>
      </c>
      <c r="O753" s="358" t="str">
        <f t="shared" si="9"/>
        <v/>
      </c>
    </row>
    <row r="754">
      <c r="A754" s="20">
        <v>44471.0</v>
      </c>
      <c r="B754" s="359"/>
      <c r="C754" s="359"/>
      <c r="D754" s="359"/>
      <c r="E754" s="359"/>
      <c r="J754" s="358" t="str">
        <f t="shared" si="4"/>
        <v/>
      </c>
      <c r="K754" s="358" t="str">
        <f t="shared" si="5"/>
        <v/>
      </c>
      <c r="L754" s="358" t="str">
        <f t="shared" si="6"/>
        <v/>
      </c>
      <c r="M754" s="358" t="str">
        <f t="shared" si="7"/>
        <v/>
      </c>
      <c r="N754" s="358" t="str">
        <f t="shared" si="8"/>
        <v/>
      </c>
      <c r="O754" s="358" t="str">
        <f t="shared" si="9"/>
        <v/>
      </c>
    </row>
    <row r="755">
      <c r="A755" s="20">
        <v>44472.0</v>
      </c>
      <c r="B755" s="359"/>
      <c r="C755" s="359"/>
      <c r="D755" s="359"/>
      <c r="E755" s="359"/>
      <c r="J755" s="358" t="str">
        <f t="shared" si="4"/>
        <v/>
      </c>
      <c r="K755" s="358" t="str">
        <f t="shared" si="5"/>
        <v/>
      </c>
      <c r="L755" s="358" t="str">
        <f t="shared" si="6"/>
        <v/>
      </c>
      <c r="M755" s="358" t="str">
        <f t="shared" si="7"/>
        <v/>
      </c>
      <c r="N755" s="358" t="str">
        <f t="shared" si="8"/>
        <v/>
      </c>
      <c r="O755" s="358" t="str">
        <f t="shared" si="9"/>
        <v/>
      </c>
    </row>
    <row r="756">
      <c r="A756" s="20">
        <v>44473.0</v>
      </c>
      <c r="B756" s="359"/>
      <c r="C756" s="359"/>
      <c r="D756" s="359"/>
      <c r="E756" s="359"/>
      <c r="J756" s="358" t="str">
        <f t="shared" si="4"/>
        <v/>
      </c>
      <c r="K756" s="358" t="str">
        <f t="shared" si="5"/>
        <v/>
      </c>
      <c r="L756" s="358" t="str">
        <f t="shared" si="6"/>
        <v/>
      </c>
      <c r="M756" s="358" t="str">
        <f t="shared" si="7"/>
        <v/>
      </c>
      <c r="N756" s="358" t="str">
        <f t="shared" si="8"/>
        <v/>
      </c>
      <c r="O756" s="358" t="str">
        <f t="shared" si="9"/>
        <v/>
      </c>
    </row>
    <row r="757">
      <c r="A757" s="20">
        <v>44474.0</v>
      </c>
      <c r="B757" s="359"/>
      <c r="C757" s="359"/>
      <c r="D757" s="359"/>
      <c r="E757" s="359"/>
      <c r="J757" s="358" t="str">
        <f t="shared" si="4"/>
        <v/>
      </c>
      <c r="K757" s="358" t="str">
        <f t="shared" si="5"/>
        <v/>
      </c>
      <c r="L757" s="358" t="str">
        <f t="shared" si="6"/>
        <v/>
      </c>
      <c r="M757" s="358" t="str">
        <f t="shared" si="7"/>
        <v/>
      </c>
      <c r="N757" s="358" t="str">
        <f t="shared" si="8"/>
        <v/>
      </c>
      <c r="O757" s="358" t="str">
        <f t="shared" si="9"/>
        <v/>
      </c>
    </row>
    <row r="758">
      <c r="A758" s="20">
        <v>44475.0</v>
      </c>
      <c r="B758" s="359"/>
      <c r="C758" s="359"/>
      <c r="D758" s="359"/>
      <c r="E758" s="359"/>
      <c r="J758" s="358" t="str">
        <f t="shared" si="4"/>
        <v/>
      </c>
      <c r="K758" s="358" t="str">
        <f t="shared" si="5"/>
        <v/>
      </c>
      <c r="L758" s="358" t="str">
        <f t="shared" si="6"/>
        <v/>
      </c>
      <c r="M758" s="358" t="str">
        <f t="shared" si="7"/>
        <v/>
      </c>
      <c r="N758" s="358" t="str">
        <f t="shared" si="8"/>
        <v/>
      </c>
      <c r="O758" s="358" t="str">
        <f t="shared" si="9"/>
        <v/>
      </c>
    </row>
    <row r="759">
      <c r="A759" s="20">
        <v>44476.0</v>
      </c>
      <c r="B759" s="359"/>
      <c r="C759" s="359"/>
      <c r="D759" s="359"/>
      <c r="E759" s="359"/>
      <c r="J759" s="358" t="str">
        <f t="shared" si="4"/>
        <v/>
      </c>
      <c r="K759" s="358" t="str">
        <f t="shared" si="5"/>
        <v/>
      </c>
      <c r="L759" s="358" t="str">
        <f t="shared" si="6"/>
        <v/>
      </c>
      <c r="M759" s="358" t="str">
        <f t="shared" si="7"/>
        <v/>
      </c>
      <c r="N759" s="358" t="str">
        <f t="shared" si="8"/>
        <v/>
      </c>
      <c r="O759" s="358" t="str">
        <f t="shared" si="9"/>
        <v/>
      </c>
    </row>
    <row r="760">
      <c r="A760" s="20">
        <v>44477.0</v>
      </c>
      <c r="B760" s="359"/>
      <c r="C760" s="359"/>
      <c r="D760" s="359"/>
      <c r="E760" s="359"/>
      <c r="J760" s="358" t="str">
        <f t="shared" si="4"/>
        <v/>
      </c>
      <c r="K760" s="358" t="str">
        <f t="shared" si="5"/>
        <v/>
      </c>
      <c r="L760" s="358" t="str">
        <f t="shared" si="6"/>
        <v/>
      </c>
      <c r="M760" s="358" t="str">
        <f t="shared" si="7"/>
        <v/>
      </c>
      <c r="N760" s="358" t="str">
        <f t="shared" si="8"/>
        <v/>
      </c>
      <c r="O760" s="358" t="str">
        <f t="shared" si="9"/>
        <v/>
      </c>
    </row>
    <row r="761">
      <c r="A761" s="20">
        <v>44478.0</v>
      </c>
      <c r="B761" s="359"/>
      <c r="C761" s="359"/>
      <c r="D761" s="359"/>
      <c r="E761" s="359"/>
      <c r="J761" s="358" t="str">
        <f t="shared" si="4"/>
        <v/>
      </c>
      <c r="K761" s="358" t="str">
        <f t="shared" si="5"/>
        <v/>
      </c>
      <c r="L761" s="358" t="str">
        <f t="shared" si="6"/>
        <v/>
      </c>
      <c r="M761" s="358" t="str">
        <f t="shared" si="7"/>
        <v/>
      </c>
      <c r="N761" s="358" t="str">
        <f t="shared" si="8"/>
        <v/>
      </c>
      <c r="O761" s="358" t="str">
        <f t="shared" si="9"/>
        <v/>
      </c>
    </row>
    <row r="762">
      <c r="A762" s="20">
        <v>44479.0</v>
      </c>
      <c r="B762" s="359"/>
      <c r="C762" s="359"/>
      <c r="D762" s="359"/>
      <c r="E762" s="359"/>
      <c r="J762" s="358" t="str">
        <f t="shared" si="4"/>
        <v/>
      </c>
      <c r="K762" s="358" t="str">
        <f t="shared" si="5"/>
        <v/>
      </c>
      <c r="L762" s="358" t="str">
        <f t="shared" si="6"/>
        <v/>
      </c>
      <c r="M762" s="358" t="str">
        <f t="shared" si="7"/>
        <v/>
      </c>
      <c r="N762" s="358" t="str">
        <f t="shared" si="8"/>
        <v/>
      </c>
      <c r="O762" s="358" t="str">
        <f t="shared" si="9"/>
        <v/>
      </c>
    </row>
    <row r="763">
      <c r="A763" s="20">
        <v>44480.0</v>
      </c>
      <c r="B763" s="359"/>
      <c r="C763" s="359"/>
      <c r="D763" s="359"/>
      <c r="E763" s="359"/>
      <c r="J763" s="358" t="str">
        <f t="shared" si="4"/>
        <v/>
      </c>
      <c r="K763" s="358" t="str">
        <f t="shared" si="5"/>
        <v/>
      </c>
      <c r="L763" s="358" t="str">
        <f t="shared" si="6"/>
        <v/>
      </c>
      <c r="M763" s="358" t="str">
        <f t="shared" si="7"/>
        <v/>
      </c>
      <c r="N763" s="358" t="str">
        <f t="shared" si="8"/>
        <v/>
      </c>
      <c r="O763" s="358" t="str">
        <f t="shared" si="9"/>
        <v/>
      </c>
    </row>
    <row r="764">
      <c r="A764" s="20">
        <v>44481.0</v>
      </c>
      <c r="B764" s="359"/>
      <c r="C764" s="359"/>
      <c r="D764" s="359"/>
      <c r="E764" s="359"/>
      <c r="J764" s="358" t="str">
        <f t="shared" si="4"/>
        <v/>
      </c>
      <c r="K764" s="358" t="str">
        <f t="shared" si="5"/>
        <v/>
      </c>
      <c r="L764" s="358" t="str">
        <f t="shared" si="6"/>
        <v/>
      </c>
      <c r="M764" s="358" t="str">
        <f t="shared" si="7"/>
        <v/>
      </c>
      <c r="N764" s="358" t="str">
        <f t="shared" si="8"/>
        <v/>
      </c>
      <c r="O764" s="358" t="str">
        <f t="shared" si="9"/>
        <v/>
      </c>
    </row>
    <row r="765">
      <c r="A765" s="20">
        <v>44482.0</v>
      </c>
      <c r="B765" s="359"/>
      <c r="C765" s="359"/>
      <c r="D765" s="359"/>
      <c r="E765" s="359"/>
      <c r="J765" s="358" t="str">
        <f t="shared" si="4"/>
        <v/>
      </c>
      <c r="K765" s="358" t="str">
        <f t="shared" si="5"/>
        <v/>
      </c>
      <c r="L765" s="358" t="str">
        <f t="shared" si="6"/>
        <v/>
      </c>
      <c r="M765" s="358" t="str">
        <f t="shared" si="7"/>
        <v/>
      </c>
      <c r="N765" s="358" t="str">
        <f t="shared" si="8"/>
        <v/>
      </c>
      <c r="O765" s="358" t="str">
        <f t="shared" si="9"/>
        <v/>
      </c>
    </row>
    <row r="766">
      <c r="A766" s="20">
        <v>44483.0</v>
      </c>
      <c r="B766" s="359"/>
      <c r="C766" s="359"/>
      <c r="D766" s="359"/>
      <c r="E766" s="359"/>
      <c r="J766" s="358" t="str">
        <f t="shared" si="4"/>
        <v/>
      </c>
      <c r="K766" s="358" t="str">
        <f t="shared" si="5"/>
        <v/>
      </c>
      <c r="L766" s="358" t="str">
        <f t="shared" si="6"/>
        <v/>
      </c>
      <c r="M766" s="358" t="str">
        <f t="shared" si="7"/>
        <v/>
      </c>
      <c r="N766" s="358" t="str">
        <f t="shared" si="8"/>
        <v/>
      </c>
      <c r="O766" s="358" t="str">
        <f t="shared" si="9"/>
        <v/>
      </c>
    </row>
    <row r="767">
      <c r="A767" s="20">
        <v>44484.0</v>
      </c>
      <c r="B767" s="359"/>
      <c r="C767" s="359"/>
      <c r="D767" s="359"/>
      <c r="E767" s="359"/>
      <c r="J767" s="358" t="str">
        <f t="shared" si="4"/>
        <v/>
      </c>
      <c r="K767" s="358" t="str">
        <f t="shared" si="5"/>
        <v/>
      </c>
      <c r="L767" s="358" t="str">
        <f t="shared" si="6"/>
        <v/>
      </c>
      <c r="M767" s="358" t="str">
        <f t="shared" si="7"/>
        <v/>
      </c>
      <c r="N767" s="358" t="str">
        <f t="shared" si="8"/>
        <v/>
      </c>
      <c r="O767" s="358" t="str">
        <f t="shared" si="9"/>
        <v/>
      </c>
    </row>
    <row r="768">
      <c r="A768" s="20">
        <v>44485.0</v>
      </c>
      <c r="B768" s="359"/>
      <c r="C768" s="359"/>
      <c r="D768" s="359"/>
      <c r="E768" s="359"/>
      <c r="J768" s="358" t="str">
        <f t="shared" si="4"/>
        <v/>
      </c>
      <c r="K768" s="358" t="str">
        <f t="shared" si="5"/>
        <v/>
      </c>
      <c r="L768" s="358" t="str">
        <f t="shared" si="6"/>
        <v/>
      </c>
      <c r="M768" s="358" t="str">
        <f t="shared" si="7"/>
        <v/>
      </c>
      <c r="N768" s="358" t="str">
        <f t="shared" si="8"/>
        <v/>
      </c>
      <c r="O768" s="358" t="str">
        <f t="shared" si="9"/>
        <v/>
      </c>
    </row>
    <row r="769">
      <c r="A769" s="20">
        <v>44486.0</v>
      </c>
      <c r="B769" s="359"/>
      <c r="C769" s="359"/>
      <c r="D769" s="359"/>
      <c r="E769" s="359"/>
      <c r="J769" s="358" t="str">
        <f t="shared" si="4"/>
        <v/>
      </c>
      <c r="K769" s="358" t="str">
        <f t="shared" si="5"/>
        <v/>
      </c>
      <c r="L769" s="358" t="str">
        <f t="shared" si="6"/>
        <v/>
      </c>
      <c r="M769" s="358" t="str">
        <f t="shared" si="7"/>
        <v/>
      </c>
      <c r="N769" s="358" t="str">
        <f t="shared" si="8"/>
        <v/>
      </c>
      <c r="O769" s="358" t="str">
        <f t="shared" si="9"/>
        <v/>
      </c>
    </row>
    <row r="770">
      <c r="A770" s="20">
        <v>44487.0</v>
      </c>
      <c r="B770" s="359"/>
      <c r="C770" s="359"/>
      <c r="D770" s="359"/>
      <c r="E770" s="359"/>
      <c r="J770" s="358" t="str">
        <f t="shared" si="4"/>
        <v/>
      </c>
      <c r="K770" s="358" t="str">
        <f t="shared" si="5"/>
        <v/>
      </c>
      <c r="L770" s="358" t="str">
        <f t="shared" si="6"/>
        <v/>
      </c>
      <c r="M770" s="358" t="str">
        <f t="shared" si="7"/>
        <v/>
      </c>
      <c r="N770" s="358" t="str">
        <f t="shared" si="8"/>
        <v/>
      </c>
      <c r="O770" s="358" t="str">
        <f t="shared" si="9"/>
        <v/>
      </c>
    </row>
    <row r="771">
      <c r="A771" s="20">
        <v>44488.0</v>
      </c>
      <c r="B771" s="359"/>
      <c r="C771" s="359"/>
      <c r="D771" s="359"/>
      <c r="E771" s="359"/>
      <c r="J771" s="358" t="str">
        <f t="shared" si="4"/>
        <v/>
      </c>
      <c r="K771" s="358" t="str">
        <f t="shared" si="5"/>
        <v/>
      </c>
      <c r="L771" s="358" t="str">
        <f t="shared" si="6"/>
        <v/>
      </c>
      <c r="M771" s="358" t="str">
        <f t="shared" si="7"/>
        <v/>
      </c>
      <c r="N771" s="358" t="str">
        <f t="shared" si="8"/>
        <v/>
      </c>
      <c r="O771" s="358" t="str">
        <f t="shared" si="9"/>
        <v/>
      </c>
    </row>
    <row r="772">
      <c r="A772" s="20">
        <v>44489.0</v>
      </c>
      <c r="B772" s="359"/>
      <c r="C772" s="359"/>
      <c r="D772" s="359"/>
      <c r="E772" s="359"/>
      <c r="J772" s="358" t="str">
        <f t="shared" si="4"/>
        <v/>
      </c>
      <c r="K772" s="358" t="str">
        <f t="shared" si="5"/>
        <v/>
      </c>
      <c r="L772" s="358" t="str">
        <f t="shared" si="6"/>
        <v/>
      </c>
      <c r="M772" s="358" t="str">
        <f t="shared" si="7"/>
        <v/>
      </c>
      <c r="N772" s="358" t="str">
        <f t="shared" si="8"/>
        <v/>
      </c>
      <c r="O772" s="358" t="str">
        <f t="shared" si="9"/>
        <v/>
      </c>
    </row>
    <row r="773">
      <c r="A773" s="20">
        <v>44490.0</v>
      </c>
      <c r="B773" s="359"/>
      <c r="C773" s="359"/>
      <c r="D773" s="359"/>
      <c r="E773" s="359"/>
      <c r="J773" s="358" t="str">
        <f t="shared" si="4"/>
        <v/>
      </c>
      <c r="K773" s="358" t="str">
        <f t="shared" si="5"/>
        <v/>
      </c>
      <c r="L773" s="358" t="str">
        <f t="shared" si="6"/>
        <v/>
      </c>
      <c r="M773" s="358" t="str">
        <f t="shared" si="7"/>
        <v/>
      </c>
      <c r="N773" s="358" t="str">
        <f t="shared" si="8"/>
        <v/>
      </c>
      <c r="O773" s="358" t="str">
        <f t="shared" si="9"/>
        <v/>
      </c>
    </row>
    <row r="774">
      <c r="A774" s="20">
        <v>44491.0</v>
      </c>
      <c r="B774" s="359"/>
      <c r="C774" s="359"/>
      <c r="D774" s="359"/>
      <c r="E774" s="359"/>
      <c r="J774" s="358" t="str">
        <f t="shared" si="4"/>
        <v/>
      </c>
      <c r="K774" s="358" t="str">
        <f t="shared" si="5"/>
        <v/>
      </c>
      <c r="L774" s="358" t="str">
        <f t="shared" si="6"/>
        <v/>
      </c>
      <c r="M774" s="358" t="str">
        <f t="shared" si="7"/>
        <v/>
      </c>
      <c r="N774" s="358" t="str">
        <f t="shared" si="8"/>
        <v/>
      </c>
      <c r="O774" s="358" t="str">
        <f t="shared" si="9"/>
        <v/>
      </c>
    </row>
    <row r="775">
      <c r="A775" s="20">
        <v>44492.0</v>
      </c>
      <c r="B775" s="359"/>
      <c r="C775" s="359"/>
      <c r="D775" s="359"/>
      <c r="E775" s="359"/>
      <c r="J775" s="358" t="str">
        <f t="shared" si="4"/>
        <v/>
      </c>
      <c r="K775" s="358" t="str">
        <f t="shared" si="5"/>
        <v/>
      </c>
      <c r="L775" s="358" t="str">
        <f t="shared" si="6"/>
        <v/>
      </c>
      <c r="M775" s="358" t="str">
        <f t="shared" si="7"/>
        <v/>
      </c>
      <c r="N775" s="358" t="str">
        <f t="shared" si="8"/>
        <v/>
      </c>
      <c r="O775" s="358" t="str">
        <f t="shared" si="9"/>
        <v/>
      </c>
    </row>
    <row r="776">
      <c r="A776" s="20">
        <v>44493.0</v>
      </c>
      <c r="B776" s="359"/>
      <c r="C776" s="359"/>
      <c r="D776" s="359"/>
      <c r="E776" s="359"/>
      <c r="J776" s="358" t="str">
        <f t="shared" si="4"/>
        <v/>
      </c>
      <c r="K776" s="358" t="str">
        <f t="shared" si="5"/>
        <v/>
      </c>
      <c r="L776" s="358" t="str">
        <f t="shared" si="6"/>
        <v/>
      </c>
      <c r="M776" s="358" t="str">
        <f t="shared" si="7"/>
        <v/>
      </c>
      <c r="N776" s="358" t="str">
        <f t="shared" si="8"/>
        <v/>
      </c>
      <c r="O776" s="358" t="str">
        <f t="shared" si="9"/>
        <v/>
      </c>
    </row>
    <row r="777">
      <c r="A777" s="20">
        <v>44494.0</v>
      </c>
      <c r="B777" s="359"/>
      <c r="C777" s="359"/>
      <c r="D777" s="359"/>
      <c r="E777" s="359"/>
      <c r="J777" s="358" t="str">
        <f t="shared" si="4"/>
        <v/>
      </c>
      <c r="K777" s="358" t="str">
        <f t="shared" si="5"/>
        <v/>
      </c>
      <c r="L777" s="358" t="str">
        <f t="shared" si="6"/>
        <v/>
      </c>
      <c r="M777" s="358" t="str">
        <f t="shared" si="7"/>
        <v/>
      </c>
      <c r="N777" s="358" t="str">
        <f t="shared" si="8"/>
        <v/>
      </c>
      <c r="O777" s="358" t="str">
        <f t="shared" si="9"/>
        <v/>
      </c>
    </row>
    <row r="778">
      <c r="A778" s="20">
        <v>44495.0</v>
      </c>
      <c r="B778" s="359"/>
      <c r="C778" s="359"/>
      <c r="D778" s="359"/>
      <c r="E778" s="359"/>
      <c r="J778" s="358" t="str">
        <f t="shared" si="4"/>
        <v/>
      </c>
      <c r="K778" s="358" t="str">
        <f t="shared" si="5"/>
        <v/>
      </c>
      <c r="L778" s="358" t="str">
        <f t="shared" si="6"/>
        <v/>
      </c>
      <c r="M778" s="358" t="str">
        <f t="shared" si="7"/>
        <v/>
      </c>
      <c r="N778" s="358" t="str">
        <f t="shared" si="8"/>
        <v/>
      </c>
      <c r="O778" s="358" t="str">
        <f t="shared" si="9"/>
        <v/>
      </c>
    </row>
    <row r="779">
      <c r="A779" s="20">
        <v>44496.0</v>
      </c>
      <c r="B779" s="359"/>
      <c r="C779" s="359"/>
      <c r="D779" s="359"/>
      <c r="E779" s="359"/>
      <c r="J779" s="358" t="str">
        <f t="shared" si="4"/>
        <v/>
      </c>
      <c r="K779" s="358" t="str">
        <f t="shared" si="5"/>
        <v/>
      </c>
      <c r="L779" s="358" t="str">
        <f t="shared" si="6"/>
        <v/>
      </c>
      <c r="M779" s="358" t="str">
        <f t="shared" si="7"/>
        <v/>
      </c>
      <c r="N779" s="358" t="str">
        <f t="shared" si="8"/>
        <v/>
      </c>
      <c r="O779" s="358" t="str">
        <f t="shared" si="9"/>
        <v/>
      </c>
    </row>
    <row r="780">
      <c r="A780" s="20">
        <v>44497.0</v>
      </c>
      <c r="B780" s="359"/>
      <c r="C780" s="359"/>
      <c r="D780" s="359"/>
      <c r="E780" s="359"/>
      <c r="J780" s="358" t="str">
        <f t="shared" si="4"/>
        <v/>
      </c>
      <c r="K780" s="358" t="str">
        <f t="shared" si="5"/>
        <v/>
      </c>
      <c r="L780" s="358" t="str">
        <f t="shared" si="6"/>
        <v/>
      </c>
      <c r="M780" s="358" t="str">
        <f t="shared" si="7"/>
        <v/>
      </c>
      <c r="N780" s="358" t="str">
        <f t="shared" si="8"/>
        <v/>
      </c>
      <c r="O780" s="358" t="str">
        <f t="shared" si="9"/>
        <v/>
      </c>
    </row>
    <row r="781">
      <c r="A781" s="20">
        <v>44498.0</v>
      </c>
      <c r="B781" s="359"/>
      <c r="C781" s="359"/>
      <c r="D781" s="359"/>
      <c r="E781" s="359"/>
      <c r="J781" s="358" t="str">
        <f t="shared" si="4"/>
        <v/>
      </c>
      <c r="K781" s="358" t="str">
        <f t="shared" si="5"/>
        <v/>
      </c>
      <c r="L781" s="358" t="str">
        <f t="shared" si="6"/>
        <v/>
      </c>
      <c r="M781" s="358" t="str">
        <f t="shared" si="7"/>
        <v/>
      </c>
      <c r="N781" s="358" t="str">
        <f t="shared" si="8"/>
        <v/>
      </c>
      <c r="O781" s="358" t="str">
        <f t="shared" si="9"/>
        <v/>
      </c>
    </row>
    <row r="782">
      <c r="A782" s="20">
        <v>44499.0</v>
      </c>
      <c r="B782" s="359"/>
      <c r="C782" s="359"/>
      <c r="D782" s="359"/>
      <c r="E782" s="359"/>
      <c r="J782" s="358" t="str">
        <f t="shared" si="4"/>
        <v/>
      </c>
      <c r="K782" s="358" t="str">
        <f t="shared" si="5"/>
        <v/>
      </c>
      <c r="L782" s="358" t="str">
        <f t="shared" si="6"/>
        <v/>
      </c>
      <c r="M782" s="358" t="str">
        <f t="shared" si="7"/>
        <v/>
      </c>
      <c r="N782" s="358" t="str">
        <f t="shared" si="8"/>
        <v/>
      </c>
      <c r="O782" s="358" t="str">
        <f t="shared" si="9"/>
        <v/>
      </c>
    </row>
    <row r="783">
      <c r="A783" s="20">
        <v>44500.0</v>
      </c>
      <c r="B783" s="359"/>
      <c r="C783" s="359"/>
      <c r="D783" s="359"/>
      <c r="E783" s="359"/>
      <c r="J783" s="358" t="str">
        <f t="shared" si="4"/>
        <v/>
      </c>
      <c r="K783" s="358" t="str">
        <f t="shared" si="5"/>
        <v/>
      </c>
      <c r="L783" s="358" t="str">
        <f t="shared" si="6"/>
        <v/>
      </c>
      <c r="M783" s="358" t="str">
        <f t="shared" si="7"/>
        <v/>
      </c>
      <c r="N783" s="358" t="str">
        <f t="shared" si="8"/>
        <v/>
      </c>
      <c r="O783" s="358" t="str">
        <f t="shared" si="9"/>
        <v/>
      </c>
    </row>
    <row r="784">
      <c r="A784" s="20">
        <v>44501.0</v>
      </c>
      <c r="B784" s="359"/>
      <c r="C784" s="359"/>
      <c r="D784" s="359"/>
      <c r="E784" s="359"/>
      <c r="J784" s="358" t="str">
        <f t="shared" si="4"/>
        <v/>
      </c>
      <c r="K784" s="358" t="str">
        <f t="shared" si="5"/>
        <v/>
      </c>
      <c r="L784" s="358" t="str">
        <f t="shared" si="6"/>
        <v/>
      </c>
      <c r="M784" s="358" t="str">
        <f t="shared" si="7"/>
        <v/>
      </c>
      <c r="N784" s="358" t="str">
        <f t="shared" si="8"/>
        <v/>
      </c>
      <c r="O784" s="358" t="str">
        <f t="shared" si="9"/>
        <v/>
      </c>
    </row>
    <row r="785">
      <c r="A785" s="20">
        <v>44502.0</v>
      </c>
      <c r="B785" s="359"/>
      <c r="C785" s="359"/>
      <c r="D785" s="359"/>
      <c r="E785" s="359"/>
      <c r="J785" s="358" t="str">
        <f t="shared" si="4"/>
        <v/>
      </c>
      <c r="K785" s="358" t="str">
        <f t="shared" si="5"/>
        <v/>
      </c>
      <c r="L785" s="358" t="str">
        <f t="shared" si="6"/>
        <v/>
      </c>
      <c r="M785" s="358" t="str">
        <f t="shared" si="7"/>
        <v/>
      </c>
      <c r="N785" s="358" t="str">
        <f t="shared" si="8"/>
        <v/>
      </c>
      <c r="O785" s="358" t="str">
        <f t="shared" si="9"/>
        <v/>
      </c>
    </row>
    <row r="786">
      <c r="A786" s="20">
        <v>44503.0</v>
      </c>
      <c r="B786" s="359"/>
      <c r="C786" s="359"/>
      <c r="D786" s="359"/>
      <c r="E786" s="359"/>
      <c r="J786" s="358" t="str">
        <f t="shared" si="4"/>
        <v/>
      </c>
      <c r="K786" s="358" t="str">
        <f t="shared" si="5"/>
        <v/>
      </c>
      <c r="L786" s="358" t="str">
        <f t="shared" si="6"/>
        <v/>
      </c>
      <c r="M786" s="358" t="str">
        <f t="shared" si="7"/>
        <v/>
      </c>
      <c r="N786" s="358" t="str">
        <f t="shared" si="8"/>
        <v/>
      </c>
      <c r="O786" s="358" t="str">
        <f t="shared" si="9"/>
        <v/>
      </c>
    </row>
    <row r="787">
      <c r="A787" s="20">
        <v>44504.0</v>
      </c>
      <c r="B787" s="359"/>
      <c r="C787" s="359"/>
      <c r="D787" s="359"/>
      <c r="E787" s="359"/>
      <c r="J787" s="358" t="str">
        <f t="shared" si="4"/>
        <v/>
      </c>
      <c r="K787" s="358" t="str">
        <f t="shared" si="5"/>
        <v/>
      </c>
      <c r="L787" s="358" t="str">
        <f t="shared" si="6"/>
        <v/>
      </c>
      <c r="M787" s="358" t="str">
        <f t="shared" si="7"/>
        <v/>
      </c>
      <c r="N787" s="358" t="str">
        <f t="shared" si="8"/>
        <v/>
      </c>
      <c r="O787" s="358" t="str">
        <f t="shared" si="9"/>
        <v/>
      </c>
    </row>
    <row r="788">
      <c r="A788" s="20">
        <v>44505.0</v>
      </c>
      <c r="B788" s="359"/>
      <c r="C788" s="359"/>
      <c r="D788" s="359"/>
      <c r="E788" s="359"/>
      <c r="J788" s="358" t="str">
        <f t="shared" si="4"/>
        <v/>
      </c>
      <c r="K788" s="358" t="str">
        <f t="shared" si="5"/>
        <v/>
      </c>
      <c r="L788" s="358" t="str">
        <f t="shared" si="6"/>
        <v/>
      </c>
      <c r="M788" s="358" t="str">
        <f t="shared" si="7"/>
        <v/>
      </c>
      <c r="N788" s="358" t="str">
        <f t="shared" si="8"/>
        <v/>
      </c>
      <c r="O788" s="358" t="str">
        <f t="shared" si="9"/>
        <v/>
      </c>
    </row>
    <row r="789">
      <c r="A789" s="20">
        <v>44506.0</v>
      </c>
      <c r="B789" s="359"/>
      <c r="C789" s="359"/>
      <c r="D789" s="359"/>
      <c r="E789" s="359"/>
      <c r="J789" s="358" t="str">
        <f t="shared" si="4"/>
        <v/>
      </c>
      <c r="K789" s="358" t="str">
        <f t="shared" si="5"/>
        <v/>
      </c>
      <c r="L789" s="358" t="str">
        <f t="shared" si="6"/>
        <v/>
      </c>
      <c r="M789" s="358" t="str">
        <f t="shared" si="7"/>
        <v/>
      </c>
      <c r="N789" s="358" t="str">
        <f t="shared" si="8"/>
        <v/>
      </c>
      <c r="O789" s="358" t="str">
        <f t="shared" si="9"/>
        <v/>
      </c>
    </row>
    <row r="790">
      <c r="A790" s="20">
        <v>44507.0</v>
      </c>
      <c r="B790" s="359"/>
      <c r="C790" s="359"/>
      <c r="D790" s="359"/>
      <c r="E790" s="359"/>
      <c r="J790" s="358" t="str">
        <f t="shared" si="4"/>
        <v/>
      </c>
      <c r="K790" s="358" t="str">
        <f t="shared" si="5"/>
        <v/>
      </c>
      <c r="L790" s="358" t="str">
        <f t="shared" si="6"/>
        <v/>
      </c>
      <c r="M790" s="358" t="str">
        <f t="shared" si="7"/>
        <v/>
      </c>
      <c r="N790" s="358" t="str">
        <f t="shared" si="8"/>
        <v/>
      </c>
      <c r="O790" s="358" t="str">
        <f t="shared" si="9"/>
        <v/>
      </c>
    </row>
    <row r="791">
      <c r="A791" s="20">
        <v>44508.0</v>
      </c>
      <c r="B791" s="359"/>
      <c r="C791" s="359"/>
      <c r="D791" s="359"/>
      <c r="E791" s="359"/>
      <c r="J791" s="358" t="str">
        <f t="shared" si="4"/>
        <v/>
      </c>
      <c r="K791" s="358" t="str">
        <f t="shared" si="5"/>
        <v/>
      </c>
      <c r="L791" s="358" t="str">
        <f t="shared" si="6"/>
        <v/>
      </c>
      <c r="M791" s="358" t="str">
        <f t="shared" si="7"/>
        <v/>
      </c>
      <c r="N791" s="358" t="str">
        <f t="shared" si="8"/>
        <v/>
      </c>
      <c r="O791" s="358" t="str">
        <f t="shared" si="9"/>
        <v/>
      </c>
    </row>
    <row r="792">
      <c r="A792" s="20">
        <v>44509.0</v>
      </c>
      <c r="B792" s="359"/>
      <c r="C792" s="359"/>
      <c r="D792" s="359"/>
      <c r="E792" s="359"/>
      <c r="J792" s="358" t="str">
        <f t="shared" si="4"/>
        <v/>
      </c>
      <c r="K792" s="358" t="str">
        <f t="shared" si="5"/>
        <v/>
      </c>
      <c r="L792" s="358" t="str">
        <f t="shared" si="6"/>
        <v/>
      </c>
      <c r="M792" s="358" t="str">
        <f t="shared" si="7"/>
        <v/>
      </c>
      <c r="N792" s="358" t="str">
        <f t="shared" si="8"/>
        <v/>
      </c>
      <c r="O792" s="358" t="str">
        <f t="shared" si="9"/>
        <v/>
      </c>
    </row>
    <row r="793">
      <c r="A793" s="20">
        <v>44510.0</v>
      </c>
      <c r="B793" s="359"/>
      <c r="C793" s="359"/>
      <c r="D793" s="359"/>
      <c r="E793" s="359"/>
      <c r="J793" s="358" t="str">
        <f t="shared" si="4"/>
        <v/>
      </c>
      <c r="K793" s="358" t="str">
        <f t="shared" si="5"/>
        <v/>
      </c>
      <c r="L793" s="358" t="str">
        <f t="shared" si="6"/>
        <v/>
      </c>
      <c r="M793" s="358" t="str">
        <f t="shared" si="7"/>
        <v/>
      </c>
      <c r="N793" s="358" t="str">
        <f t="shared" si="8"/>
        <v/>
      </c>
      <c r="O793" s="358" t="str">
        <f t="shared" si="9"/>
        <v/>
      </c>
    </row>
    <row r="794">
      <c r="A794" s="20">
        <v>44511.0</v>
      </c>
      <c r="B794" s="359"/>
      <c r="C794" s="359"/>
      <c r="D794" s="359"/>
      <c r="E794" s="359"/>
      <c r="J794" s="358" t="str">
        <f t="shared" si="4"/>
        <v/>
      </c>
      <c r="K794" s="358" t="str">
        <f t="shared" si="5"/>
        <v/>
      </c>
      <c r="L794" s="358" t="str">
        <f t="shared" si="6"/>
        <v/>
      </c>
      <c r="M794" s="358" t="str">
        <f t="shared" si="7"/>
        <v/>
      </c>
      <c r="N794" s="358" t="str">
        <f t="shared" si="8"/>
        <v/>
      </c>
      <c r="O794" s="358" t="str">
        <f t="shared" si="9"/>
        <v/>
      </c>
    </row>
    <row r="795">
      <c r="A795" s="20">
        <v>44512.0</v>
      </c>
      <c r="B795" s="359"/>
      <c r="C795" s="359"/>
      <c r="D795" s="359"/>
      <c r="E795" s="359"/>
      <c r="J795" s="358" t="str">
        <f t="shared" si="4"/>
        <v/>
      </c>
      <c r="K795" s="358" t="str">
        <f t="shared" si="5"/>
        <v/>
      </c>
      <c r="L795" s="358" t="str">
        <f t="shared" si="6"/>
        <v/>
      </c>
      <c r="M795" s="358" t="str">
        <f t="shared" si="7"/>
        <v/>
      </c>
      <c r="N795" s="358" t="str">
        <f t="shared" si="8"/>
        <v/>
      </c>
      <c r="O795" s="358" t="str">
        <f t="shared" si="9"/>
        <v/>
      </c>
    </row>
    <row r="796">
      <c r="A796" s="20">
        <v>44513.0</v>
      </c>
      <c r="B796" s="359"/>
      <c r="C796" s="359"/>
      <c r="D796" s="359"/>
      <c r="E796" s="359"/>
      <c r="J796" s="358" t="str">
        <f t="shared" si="4"/>
        <v/>
      </c>
      <c r="K796" s="358" t="str">
        <f t="shared" si="5"/>
        <v/>
      </c>
      <c r="L796" s="358" t="str">
        <f t="shared" si="6"/>
        <v/>
      </c>
      <c r="M796" s="358" t="str">
        <f t="shared" si="7"/>
        <v/>
      </c>
      <c r="N796" s="358" t="str">
        <f t="shared" si="8"/>
        <v/>
      </c>
      <c r="O796" s="358" t="str">
        <f t="shared" si="9"/>
        <v/>
      </c>
    </row>
    <row r="797">
      <c r="A797" s="20">
        <v>44514.0</v>
      </c>
      <c r="B797" s="359"/>
      <c r="C797" s="359"/>
      <c r="D797" s="359"/>
      <c r="E797" s="359"/>
      <c r="J797" s="358" t="str">
        <f t="shared" si="4"/>
        <v/>
      </c>
      <c r="K797" s="358" t="str">
        <f t="shared" si="5"/>
        <v/>
      </c>
      <c r="L797" s="358" t="str">
        <f t="shared" si="6"/>
        <v/>
      </c>
      <c r="M797" s="358" t="str">
        <f t="shared" si="7"/>
        <v/>
      </c>
      <c r="N797" s="358" t="str">
        <f t="shared" si="8"/>
        <v/>
      </c>
      <c r="O797" s="358" t="str">
        <f t="shared" si="9"/>
        <v/>
      </c>
    </row>
    <row r="798">
      <c r="A798" s="20">
        <v>44515.0</v>
      </c>
      <c r="B798" s="359"/>
      <c r="C798" s="359"/>
      <c r="D798" s="359"/>
      <c r="E798" s="359"/>
      <c r="J798" s="358" t="str">
        <f t="shared" si="4"/>
        <v/>
      </c>
      <c r="K798" s="358" t="str">
        <f t="shared" si="5"/>
        <v/>
      </c>
      <c r="L798" s="358" t="str">
        <f t="shared" si="6"/>
        <v/>
      </c>
      <c r="M798" s="358" t="str">
        <f t="shared" si="7"/>
        <v/>
      </c>
      <c r="N798" s="358" t="str">
        <f t="shared" si="8"/>
        <v/>
      </c>
      <c r="O798" s="358" t="str">
        <f t="shared" si="9"/>
        <v/>
      </c>
    </row>
    <row r="799">
      <c r="A799" s="20">
        <v>44516.0</v>
      </c>
      <c r="B799" s="359"/>
      <c r="C799" s="359"/>
      <c r="D799" s="359"/>
      <c r="E799" s="359"/>
      <c r="J799" s="358" t="str">
        <f t="shared" si="4"/>
        <v/>
      </c>
      <c r="K799" s="358" t="str">
        <f t="shared" si="5"/>
        <v/>
      </c>
      <c r="L799" s="358" t="str">
        <f t="shared" si="6"/>
        <v/>
      </c>
      <c r="M799" s="358" t="str">
        <f t="shared" si="7"/>
        <v/>
      </c>
      <c r="N799" s="358" t="str">
        <f t="shared" si="8"/>
        <v/>
      </c>
      <c r="O799" s="358" t="str">
        <f t="shared" si="9"/>
        <v/>
      </c>
    </row>
    <row r="800">
      <c r="A800" s="20">
        <v>44517.0</v>
      </c>
      <c r="B800" s="359"/>
      <c r="C800" s="359"/>
      <c r="D800" s="359"/>
      <c r="E800" s="359"/>
      <c r="J800" s="358" t="str">
        <f t="shared" si="4"/>
        <v/>
      </c>
      <c r="K800" s="358" t="str">
        <f t="shared" si="5"/>
        <v/>
      </c>
      <c r="L800" s="358" t="str">
        <f t="shared" si="6"/>
        <v/>
      </c>
      <c r="M800" s="358" t="str">
        <f t="shared" si="7"/>
        <v/>
      </c>
      <c r="N800" s="358" t="str">
        <f t="shared" si="8"/>
        <v/>
      </c>
      <c r="O800" s="358" t="str">
        <f t="shared" si="9"/>
        <v/>
      </c>
    </row>
    <row r="801">
      <c r="A801" s="20">
        <v>44518.0</v>
      </c>
      <c r="B801" s="359"/>
      <c r="C801" s="359"/>
      <c r="D801" s="359"/>
      <c r="E801" s="359"/>
      <c r="J801" s="358" t="str">
        <f t="shared" si="4"/>
        <v/>
      </c>
      <c r="K801" s="358" t="str">
        <f t="shared" si="5"/>
        <v/>
      </c>
      <c r="L801" s="358" t="str">
        <f t="shared" si="6"/>
        <v/>
      </c>
      <c r="M801" s="358" t="str">
        <f t="shared" si="7"/>
        <v/>
      </c>
      <c r="N801" s="358" t="str">
        <f t="shared" si="8"/>
        <v/>
      </c>
      <c r="O801" s="358" t="str">
        <f t="shared" si="9"/>
        <v/>
      </c>
    </row>
    <row r="802">
      <c r="A802" s="20">
        <v>44519.0</v>
      </c>
      <c r="B802" s="359"/>
      <c r="C802" s="359"/>
      <c r="D802" s="359"/>
      <c r="E802" s="359"/>
      <c r="J802" s="358" t="str">
        <f t="shared" si="4"/>
        <v/>
      </c>
      <c r="K802" s="358" t="str">
        <f t="shared" si="5"/>
        <v/>
      </c>
      <c r="L802" s="358" t="str">
        <f t="shared" si="6"/>
        <v/>
      </c>
      <c r="M802" s="358" t="str">
        <f t="shared" si="7"/>
        <v/>
      </c>
      <c r="N802" s="358" t="str">
        <f t="shared" si="8"/>
        <v/>
      </c>
      <c r="O802" s="358" t="str">
        <f t="shared" si="9"/>
        <v/>
      </c>
    </row>
    <row r="803">
      <c r="A803" s="20">
        <v>44520.0</v>
      </c>
      <c r="B803" s="359"/>
      <c r="C803" s="359"/>
      <c r="D803" s="359"/>
      <c r="E803" s="359"/>
      <c r="J803" s="358" t="str">
        <f t="shared" si="4"/>
        <v/>
      </c>
      <c r="K803" s="358" t="str">
        <f t="shared" si="5"/>
        <v/>
      </c>
      <c r="L803" s="358" t="str">
        <f t="shared" si="6"/>
        <v/>
      </c>
      <c r="M803" s="358" t="str">
        <f t="shared" si="7"/>
        <v/>
      </c>
      <c r="N803" s="358" t="str">
        <f t="shared" si="8"/>
        <v/>
      </c>
      <c r="O803" s="358" t="str">
        <f t="shared" si="9"/>
        <v/>
      </c>
    </row>
    <row r="804">
      <c r="A804" s="20">
        <v>44521.0</v>
      </c>
      <c r="B804" s="359"/>
      <c r="C804" s="359"/>
      <c r="D804" s="359"/>
      <c r="E804" s="359"/>
      <c r="J804" s="358" t="str">
        <f t="shared" si="4"/>
        <v/>
      </c>
      <c r="K804" s="358" t="str">
        <f t="shared" si="5"/>
        <v/>
      </c>
      <c r="L804" s="358" t="str">
        <f t="shared" si="6"/>
        <v/>
      </c>
      <c r="M804" s="358" t="str">
        <f t="shared" si="7"/>
        <v/>
      </c>
      <c r="N804" s="358" t="str">
        <f t="shared" si="8"/>
        <v/>
      </c>
      <c r="O804" s="358" t="str">
        <f t="shared" si="9"/>
        <v/>
      </c>
    </row>
    <row r="805">
      <c r="A805" s="20">
        <v>44522.0</v>
      </c>
      <c r="B805" s="359"/>
      <c r="C805" s="359"/>
      <c r="D805" s="359"/>
      <c r="E805" s="359"/>
      <c r="J805" s="358" t="str">
        <f t="shared" si="4"/>
        <v/>
      </c>
      <c r="K805" s="358" t="str">
        <f t="shared" si="5"/>
        <v/>
      </c>
      <c r="L805" s="358" t="str">
        <f t="shared" si="6"/>
        <v/>
      </c>
      <c r="M805" s="358" t="str">
        <f t="shared" si="7"/>
        <v/>
      </c>
      <c r="N805" s="358" t="str">
        <f t="shared" si="8"/>
        <v/>
      </c>
      <c r="O805" s="358" t="str">
        <f t="shared" si="9"/>
        <v/>
      </c>
    </row>
    <row r="806">
      <c r="A806" s="20">
        <v>44523.0</v>
      </c>
      <c r="B806" s="359"/>
      <c r="C806" s="359"/>
      <c r="D806" s="359"/>
      <c r="E806" s="359"/>
      <c r="J806" s="358" t="str">
        <f t="shared" si="4"/>
        <v/>
      </c>
      <c r="K806" s="358" t="str">
        <f t="shared" si="5"/>
        <v/>
      </c>
      <c r="L806" s="358" t="str">
        <f t="shared" si="6"/>
        <v/>
      </c>
      <c r="M806" s="358" t="str">
        <f t="shared" si="7"/>
        <v/>
      </c>
      <c r="N806" s="358" t="str">
        <f t="shared" si="8"/>
        <v/>
      </c>
      <c r="O806" s="358" t="str">
        <f t="shared" si="9"/>
        <v/>
      </c>
    </row>
    <row r="807">
      <c r="A807" s="20">
        <v>44524.0</v>
      </c>
      <c r="B807" s="359"/>
      <c r="C807" s="359"/>
      <c r="D807" s="359"/>
      <c r="E807" s="359"/>
      <c r="J807" s="358" t="str">
        <f t="shared" si="4"/>
        <v/>
      </c>
      <c r="K807" s="358" t="str">
        <f t="shared" si="5"/>
        <v/>
      </c>
      <c r="L807" s="358" t="str">
        <f t="shared" si="6"/>
        <v/>
      </c>
      <c r="M807" s="358" t="str">
        <f t="shared" si="7"/>
        <v/>
      </c>
      <c r="N807" s="358" t="str">
        <f t="shared" si="8"/>
        <v/>
      </c>
      <c r="O807" s="358" t="str">
        <f t="shared" si="9"/>
        <v/>
      </c>
    </row>
    <row r="808">
      <c r="A808" s="20">
        <v>44525.0</v>
      </c>
      <c r="B808" s="359"/>
      <c r="C808" s="359"/>
      <c r="D808" s="359"/>
      <c r="E808" s="359"/>
      <c r="J808" s="358" t="str">
        <f t="shared" si="4"/>
        <v/>
      </c>
      <c r="K808" s="358" t="str">
        <f t="shared" si="5"/>
        <v/>
      </c>
      <c r="L808" s="358" t="str">
        <f t="shared" si="6"/>
        <v/>
      </c>
      <c r="M808" s="358" t="str">
        <f t="shared" si="7"/>
        <v/>
      </c>
      <c r="N808" s="358" t="str">
        <f t="shared" si="8"/>
        <v/>
      </c>
      <c r="O808" s="358" t="str">
        <f t="shared" si="9"/>
        <v/>
      </c>
    </row>
    <row r="809">
      <c r="A809" s="20">
        <v>44526.0</v>
      </c>
      <c r="B809" s="359"/>
      <c r="C809" s="359"/>
      <c r="D809" s="359"/>
      <c r="E809" s="359"/>
      <c r="J809" s="358" t="str">
        <f t="shared" si="4"/>
        <v/>
      </c>
      <c r="K809" s="358" t="str">
        <f t="shared" si="5"/>
        <v/>
      </c>
      <c r="L809" s="358" t="str">
        <f t="shared" si="6"/>
        <v/>
      </c>
      <c r="M809" s="358" t="str">
        <f t="shared" si="7"/>
        <v/>
      </c>
      <c r="N809" s="358" t="str">
        <f t="shared" si="8"/>
        <v/>
      </c>
      <c r="O809" s="358" t="str">
        <f t="shared" si="9"/>
        <v/>
      </c>
    </row>
    <row r="810">
      <c r="A810" s="20">
        <v>44527.0</v>
      </c>
      <c r="B810" s="359"/>
      <c r="C810" s="359"/>
      <c r="D810" s="359"/>
      <c r="E810" s="359"/>
      <c r="J810" s="358" t="str">
        <f t="shared" si="4"/>
        <v/>
      </c>
      <c r="K810" s="358" t="str">
        <f t="shared" si="5"/>
        <v/>
      </c>
      <c r="L810" s="358" t="str">
        <f t="shared" si="6"/>
        <v/>
      </c>
      <c r="M810" s="358" t="str">
        <f t="shared" si="7"/>
        <v/>
      </c>
      <c r="N810" s="358" t="str">
        <f t="shared" si="8"/>
        <v/>
      </c>
      <c r="O810" s="358" t="str">
        <f t="shared" si="9"/>
        <v/>
      </c>
    </row>
    <row r="811">
      <c r="A811" s="20">
        <v>44528.0</v>
      </c>
      <c r="B811" s="359"/>
      <c r="C811" s="359"/>
      <c r="D811" s="359"/>
      <c r="E811" s="359"/>
      <c r="J811" s="358" t="str">
        <f t="shared" si="4"/>
        <v/>
      </c>
      <c r="K811" s="358" t="str">
        <f t="shared" si="5"/>
        <v/>
      </c>
      <c r="L811" s="358" t="str">
        <f t="shared" si="6"/>
        <v/>
      </c>
      <c r="M811" s="358" t="str">
        <f t="shared" si="7"/>
        <v/>
      </c>
      <c r="N811" s="358" t="str">
        <f t="shared" si="8"/>
        <v/>
      </c>
      <c r="O811" s="358" t="str">
        <f t="shared" si="9"/>
        <v/>
      </c>
    </row>
    <row r="812">
      <c r="A812" s="20">
        <v>44529.0</v>
      </c>
      <c r="B812" s="359"/>
      <c r="C812" s="359"/>
      <c r="D812" s="359"/>
      <c r="E812" s="359"/>
      <c r="J812" s="358" t="str">
        <f t="shared" si="4"/>
        <v/>
      </c>
      <c r="K812" s="358" t="str">
        <f t="shared" si="5"/>
        <v/>
      </c>
      <c r="L812" s="358" t="str">
        <f t="shared" si="6"/>
        <v/>
      </c>
      <c r="M812" s="358" t="str">
        <f t="shared" si="7"/>
        <v/>
      </c>
      <c r="N812" s="358" t="str">
        <f t="shared" si="8"/>
        <v/>
      </c>
      <c r="O812" s="358" t="str">
        <f t="shared" si="9"/>
        <v/>
      </c>
    </row>
    <row r="813">
      <c r="A813" s="20">
        <v>44530.0</v>
      </c>
      <c r="B813" s="359"/>
      <c r="C813" s="359"/>
      <c r="D813" s="359"/>
      <c r="E813" s="359"/>
      <c r="J813" s="358" t="str">
        <f t="shared" si="4"/>
        <v/>
      </c>
      <c r="K813" s="358" t="str">
        <f t="shared" si="5"/>
        <v/>
      </c>
      <c r="L813" s="358" t="str">
        <f t="shared" si="6"/>
        <v/>
      </c>
      <c r="M813" s="358" t="str">
        <f t="shared" si="7"/>
        <v/>
      </c>
      <c r="N813" s="358" t="str">
        <f t="shared" si="8"/>
        <v/>
      </c>
      <c r="O813" s="358" t="str">
        <f t="shared" si="9"/>
        <v/>
      </c>
    </row>
    <row r="814">
      <c r="A814" s="20">
        <v>44531.0</v>
      </c>
      <c r="B814" s="359"/>
      <c r="C814" s="359"/>
      <c r="D814" s="359"/>
      <c r="E814" s="359"/>
      <c r="J814" s="358" t="str">
        <f t="shared" si="4"/>
        <v/>
      </c>
      <c r="K814" s="358" t="str">
        <f t="shared" si="5"/>
        <v/>
      </c>
      <c r="L814" s="358" t="str">
        <f t="shared" si="6"/>
        <v/>
      </c>
      <c r="M814" s="358" t="str">
        <f t="shared" si="7"/>
        <v/>
      </c>
      <c r="N814" s="358" t="str">
        <f t="shared" si="8"/>
        <v/>
      </c>
      <c r="O814" s="358" t="str">
        <f t="shared" si="9"/>
        <v/>
      </c>
    </row>
    <row r="815">
      <c r="A815" s="20">
        <v>44532.0</v>
      </c>
      <c r="B815" s="359"/>
      <c r="C815" s="359"/>
      <c r="D815" s="359"/>
      <c r="E815" s="359"/>
      <c r="J815" s="358" t="str">
        <f t="shared" si="4"/>
        <v/>
      </c>
      <c r="K815" s="358" t="str">
        <f t="shared" si="5"/>
        <v/>
      </c>
      <c r="L815" s="358" t="str">
        <f t="shared" si="6"/>
        <v/>
      </c>
      <c r="M815" s="358" t="str">
        <f t="shared" si="7"/>
        <v/>
      </c>
      <c r="N815" s="358" t="str">
        <f t="shared" si="8"/>
        <v/>
      </c>
      <c r="O815" s="358" t="str">
        <f t="shared" si="9"/>
        <v/>
      </c>
    </row>
    <row r="816">
      <c r="A816" s="20">
        <v>44533.0</v>
      </c>
      <c r="B816" s="359"/>
      <c r="C816" s="359"/>
      <c r="D816" s="359"/>
      <c r="E816" s="359"/>
      <c r="J816" s="358" t="str">
        <f t="shared" si="4"/>
        <v/>
      </c>
      <c r="K816" s="358" t="str">
        <f t="shared" si="5"/>
        <v/>
      </c>
      <c r="L816" s="358" t="str">
        <f t="shared" si="6"/>
        <v/>
      </c>
      <c r="M816" s="358" t="str">
        <f t="shared" si="7"/>
        <v/>
      </c>
      <c r="N816" s="358" t="str">
        <f t="shared" si="8"/>
        <v/>
      </c>
      <c r="O816" s="358" t="str">
        <f t="shared" si="9"/>
        <v/>
      </c>
    </row>
    <row r="817">
      <c r="A817" s="20">
        <v>44534.0</v>
      </c>
      <c r="B817" s="359"/>
      <c r="C817" s="359"/>
      <c r="D817" s="359"/>
      <c r="E817" s="359"/>
      <c r="J817" s="358" t="str">
        <f t="shared" si="4"/>
        <v/>
      </c>
      <c r="K817" s="358" t="str">
        <f t="shared" si="5"/>
        <v/>
      </c>
      <c r="L817" s="358" t="str">
        <f t="shared" si="6"/>
        <v/>
      </c>
      <c r="M817" s="358" t="str">
        <f t="shared" si="7"/>
        <v/>
      </c>
      <c r="N817" s="358" t="str">
        <f t="shared" si="8"/>
        <v/>
      </c>
      <c r="O817" s="358" t="str">
        <f t="shared" si="9"/>
        <v/>
      </c>
    </row>
    <row r="818">
      <c r="A818" s="20">
        <v>44535.0</v>
      </c>
      <c r="B818" s="359"/>
      <c r="C818" s="359"/>
      <c r="D818" s="359"/>
      <c r="E818" s="359"/>
      <c r="J818" s="358" t="str">
        <f t="shared" si="4"/>
        <v/>
      </c>
      <c r="K818" s="358" t="str">
        <f t="shared" si="5"/>
        <v/>
      </c>
      <c r="L818" s="358" t="str">
        <f t="shared" si="6"/>
        <v/>
      </c>
      <c r="M818" s="358" t="str">
        <f t="shared" si="7"/>
        <v/>
      </c>
      <c r="N818" s="358" t="str">
        <f t="shared" si="8"/>
        <v/>
      </c>
      <c r="O818" s="358" t="str">
        <f t="shared" si="9"/>
        <v/>
      </c>
    </row>
    <row r="819">
      <c r="A819" s="20">
        <v>44536.0</v>
      </c>
      <c r="B819" s="359"/>
      <c r="C819" s="359"/>
      <c r="D819" s="359"/>
      <c r="E819" s="359"/>
      <c r="J819" s="358" t="str">
        <f t="shared" si="4"/>
        <v/>
      </c>
      <c r="K819" s="358" t="str">
        <f t="shared" si="5"/>
        <v/>
      </c>
      <c r="L819" s="358" t="str">
        <f t="shared" si="6"/>
        <v/>
      </c>
      <c r="M819" s="358" t="str">
        <f t="shared" si="7"/>
        <v/>
      </c>
      <c r="N819" s="358" t="str">
        <f t="shared" si="8"/>
        <v/>
      </c>
      <c r="O819" s="358" t="str">
        <f t="shared" si="9"/>
        <v/>
      </c>
    </row>
    <row r="820">
      <c r="A820" s="20">
        <v>44537.0</v>
      </c>
      <c r="B820" s="359"/>
      <c r="C820" s="359"/>
      <c r="D820" s="359"/>
      <c r="E820" s="359"/>
      <c r="J820" s="358" t="str">
        <f t="shared" si="4"/>
        <v/>
      </c>
      <c r="K820" s="358" t="str">
        <f t="shared" si="5"/>
        <v/>
      </c>
      <c r="L820" s="358" t="str">
        <f t="shared" si="6"/>
        <v/>
      </c>
      <c r="M820" s="358" t="str">
        <f t="shared" si="7"/>
        <v/>
      </c>
      <c r="N820" s="358" t="str">
        <f t="shared" si="8"/>
        <v/>
      </c>
      <c r="O820" s="358" t="str">
        <f t="shared" si="9"/>
        <v/>
      </c>
    </row>
    <row r="821">
      <c r="A821" s="20">
        <v>44538.0</v>
      </c>
      <c r="B821" s="359"/>
      <c r="C821" s="359"/>
      <c r="D821" s="359"/>
      <c r="E821" s="359"/>
      <c r="J821" s="358" t="str">
        <f t="shared" si="4"/>
        <v/>
      </c>
      <c r="K821" s="358" t="str">
        <f t="shared" si="5"/>
        <v/>
      </c>
      <c r="L821" s="358" t="str">
        <f t="shared" si="6"/>
        <v/>
      </c>
      <c r="M821" s="358" t="str">
        <f t="shared" si="7"/>
        <v/>
      </c>
      <c r="N821" s="358" t="str">
        <f t="shared" si="8"/>
        <v/>
      </c>
      <c r="O821" s="358" t="str">
        <f t="shared" si="9"/>
        <v/>
      </c>
    </row>
    <row r="822">
      <c r="A822" s="20">
        <v>44539.0</v>
      </c>
      <c r="B822" s="359"/>
      <c r="C822" s="359"/>
      <c r="D822" s="359"/>
      <c r="E822" s="359"/>
      <c r="J822" s="358" t="str">
        <f t="shared" si="4"/>
        <v/>
      </c>
      <c r="K822" s="358" t="str">
        <f t="shared" si="5"/>
        <v/>
      </c>
      <c r="L822" s="358" t="str">
        <f t="shared" si="6"/>
        <v/>
      </c>
      <c r="M822" s="358" t="str">
        <f t="shared" si="7"/>
        <v/>
      </c>
      <c r="N822" s="358" t="str">
        <f t="shared" si="8"/>
        <v/>
      </c>
      <c r="O822" s="358" t="str">
        <f t="shared" si="9"/>
        <v/>
      </c>
    </row>
    <row r="823">
      <c r="A823" s="20">
        <v>44540.0</v>
      </c>
      <c r="B823" s="359"/>
      <c r="C823" s="359"/>
      <c r="D823" s="359"/>
      <c r="E823" s="359"/>
      <c r="J823" s="358" t="str">
        <f t="shared" si="4"/>
        <v/>
      </c>
      <c r="K823" s="358" t="str">
        <f t="shared" si="5"/>
        <v/>
      </c>
      <c r="L823" s="358" t="str">
        <f t="shared" si="6"/>
        <v/>
      </c>
      <c r="M823" s="358" t="str">
        <f t="shared" si="7"/>
        <v/>
      </c>
      <c r="N823" s="358" t="str">
        <f t="shared" si="8"/>
        <v/>
      </c>
      <c r="O823" s="358" t="str">
        <f t="shared" si="9"/>
        <v/>
      </c>
    </row>
    <row r="824">
      <c r="A824" s="20">
        <v>44541.0</v>
      </c>
      <c r="B824" s="359"/>
      <c r="C824" s="359"/>
      <c r="D824" s="359"/>
      <c r="E824" s="359"/>
      <c r="J824" s="358" t="str">
        <f t="shared" si="4"/>
        <v/>
      </c>
      <c r="K824" s="358" t="str">
        <f t="shared" si="5"/>
        <v/>
      </c>
      <c r="L824" s="358" t="str">
        <f t="shared" si="6"/>
        <v/>
      </c>
      <c r="M824" s="358" t="str">
        <f t="shared" si="7"/>
        <v/>
      </c>
      <c r="N824" s="358" t="str">
        <f t="shared" si="8"/>
        <v/>
      </c>
      <c r="O824" s="358" t="str">
        <f t="shared" si="9"/>
        <v/>
      </c>
    </row>
    <row r="825">
      <c r="A825" s="20">
        <v>44542.0</v>
      </c>
      <c r="B825" s="359"/>
      <c r="C825" s="359"/>
      <c r="D825" s="359"/>
      <c r="E825" s="359"/>
      <c r="J825" s="358" t="str">
        <f t="shared" si="4"/>
        <v/>
      </c>
      <c r="K825" s="358" t="str">
        <f t="shared" si="5"/>
        <v/>
      </c>
      <c r="L825" s="358" t="str">
        <f t="shared" si="6"/>
        <v/>
      </c>
      <c r="M825" s="358" t="str">
        <f t="shared" si="7"/>
        <v/>
      </c>
      <c r="N825" s="358" t="str">
        <f t="shared" si="8"/>
        <v/>
      </c>
      <c r="O825" s="358" t="str">
        <f t="shared" si="9"/>
        <v/>
      </c>
    </row>
    <row r="826">
      <c r="A826" s="20">
        <v>44543.0</v>
      </c>
      <c r="B826" s="359"/>
      <c r="C826" s="359"/>
      <c r="D826" s="359"/>
      <c r="E826" s="359"/>
      <c r="J826" s="358" t="str">
        <f t="shared" si="4"/>
        <v/>
      </c>
      <c r="K826" s="358" t="str">
        <f t="shared" si="5"/>
        <v/>
      </c>
      <c r="L826" s="358" t="str">
        <f t="shared" si="6"/>
        <v/>
      </c>
      <c r="M826" s="358" t="str">
        <f t="shared" si="7"/>
        <v/>
      </c>
      <c r="N826" s="358" t="str">
        <f t="shared" si="8"/>
        <v/>
      </c>
      <c r="O826" s="358" t="str">
        <f t="shared" si="9"/>
        <v/>
      </c>
    </row>
    <row r="827">
      <c r="A827" s="20">
        <v>44544.0</v>
      </c>
      <c r="B827" s="359"/>
      <c r="C827" s="359"/>
      <c r="D827" s="359"/>
      <c r="E827" s="359"/>
      <c r="J827" s="358" t="str">
        <f t="shared" si="4"/>
        <v/>
      </c>
      <c r="K827" s="358" t="str">
        <f t="shared" si="5"/>
        <v/>
      </c>
      <c r="L827" s="358" t="str">
        <f t="shared" si="6"/>
        <v/>
      </c>
      <c r="M827" s="358" t="str">
        <f t="shared" si="7"/>
        <v/>
      </c>
      <c r="N827" s="358" t="str">
        <f t="shared" si="8"/>
        <v/>
      </c>
      <c r="O827" s="358" t="str">
        <f t="shared" si="9"/>
        <v/>
      </c>
    </row>
    <row r="828">
      <c r="A828" s="20">
        <v>44545.0</v>
      </c>
      <c r="B828" s="359"/>
      <c r="C828" s="359"/>
      <c r="D828" s="359"/>
      <c r="E828" s="359"/>
      <c r="J828" s="358" t="str">
        <f t="shared" si="4"/>
        <v/>
      </c>
      <c r="K828" s="358" t="str">
        <f t="shared" si="5"/>
        <v/>
      </c>
      <c r="L828" s="358" t="str">
        <f t="shared" si="6"/>
        <v/>
      </c>
      <c r="M828" s="358" t="str">
        <f t="shared" si="7"/>
        <v/>
      </c>
      <c r="N828" s="358" t="str">
        <f t="shared" si="8"/>
        <v/>
      </c>
      <c r="O828" s="358" t="str">
        <f t="shared" si="9"/>
        <v/>
      </c>
    </row>
    <row r="829">
      <c r="A829" s="20">
        <v>44546.0</v>
      </c>
      <c r="B829" s="359"/>
      <c r="C829" s="359"/>
      <c r="D829" s="359"/>
      <c r="E829" s="359"/>
      <c r="J829" s="358" t="str">
        <f t="shared" si="4"/>
        <v/>
      </c>
      <c r="K829" s="358" t="str">
        <f t="shared" si="5"/>
        <v/>
      </c>
      <c r="L829" s="358" t="str">
        <f t="shared" si="6"/>
        <v/>
      </c>
      <c r="M829" s="358" t="str">
        <f t="shared" si="7"/>
        <v/>
      </c>
      <c r="N829" s="358" t="str">
        <f t="shared" si="8"/>
        <v/>
      </c>
      <c r="O829" s="358" t="str">
        <f t="shared" si="9"/>
        <v/>
      </c>
    </row>
    <row r="830">
      <c r="A830" s="20">
        <v>44547.0</v>
      </c>
      <c r="B830" s="359"/>
      <c r="C830" s="359"/>
      <c r="D830" s="359"/>
      <c r="E830" s="359"/>
      <c r="J830" s="358" t="str">
        <f t="shared" si="4"/>
        <v/>
      </c>
      <c r="K830" s="358" t="str">
        <f t="shared" si="5"/>
        <v/>
      </c>
      <c r="L830" s="358" t="str">
        <f t="shared" si="6"/>
        <v/>
      </c>
      <c r="M830" s="358" t="str">
        <f t="shared" si="7"/>
        <v/>
      </c>
      <c r="N830" s="358" t="str">
        <f t="shared" si="8"/>
        <v/>
      </c>
      <c r="O830" s="358" t="str">
        <f t="shared" si="9"/>
        <v/>
      </c>
    </row>
    <row r="831">
      <c r="A831" s="20">
        <v>44548.0</v>
      </c>
      <c r="B831" s="359"/>
      <c r="C831" s="359"/>
      <c r="D831" s="359"/>
      <c r="E831" s="359"/>
      <c r="J831" s="358" t="str">
        <f t="shared" si="4"/>
        <v/>
      </c>
      <c r="K831" s="358" t="str">
        <f t="shared" si="5"/>
        <v/>
      </c>
      <c r="L831" s="358" t="str">
        <f t="shared" si="6"/>
        <v/>
      </c>
      <c r="M831" s="358" t="str">
        <f t="shared" si="7"/>
        <v/>
      </c>
      <c r="N831" s="358" t="str">
        <f t="shared" si="8"/>
        <v/>
      </c>
      <c r="O831" s="358" t="str">
        <f t="shared" si="9"/>
        <v/>
      </c>
    </row>
    <row r="832">
      <c r="A832" s="20">
        <v>44549.0</v>
      </c>
      <c r="B832" s="359"/>
      <c r="C832" s="359"/>
      <c r="D832" s="359"/>
      <c r="E832" s="359"/>
      <c r="J832" s="358" t="str">
        <f t="shared" si="4"/>
        <v/>
      </c>
      <c r="K832" s="358" t="str">
        <f t="shared" si="5"/>
        <v/>
      </c>
      <c r="L832" s="358" t="str">
        <f t="shared" si="6"/>
        <v/>
      </c>
      <c r="M832" s="358" t="str">
        <f t="shared" si="7"/>
        <v/>
      </c>
      <c r="N832" s="358" t="str">
        <f t="shared" si="8"/>
        <v/>
      </c>
      <c r="O832" s="358" t="str">
        <f t="shared" si="9"/>
        <v/>
      </c>
    </row>
    <row r="833">
      <c r="A833" s="20">
        <v>44550.0</v>
      </c>
      <c r="B833" s="359"/>
      <c r="C833" s="359"/>
      <c r="D833" s="359"/>
      <c r="E833" s="359"/>
      <c r="J833" s="358" t="str">
        <f t="shared" si="4"/>
        <v/>
      </c>
      <c r="K833" s="358" t="str">
        <f t="shared" si="5"/>
        <v/>
      </c>
      <c r="L833" s="358" t="str">
        <f t="shared" si="6"/>
        <v/>
      </c>
      <c r="M833" s="358" t="str">
        <f t="shared" si="7"/>
        <v/>
      </c>
      <c r="N833" s="358" t="str">
        <f t="shared" si="8"/>
        <v/>
      </c>
      <c r="O833" s="358" t="str">
        <f t="shared" si="9"/>
        <v/>
      </c>
    </row>
    <row r="834">
      <c r="A834" s="20">
        <v>44551.0</v>
      </c>
      <c r="B834" s="359"/>
      <c r="C834" s="359"/>
      <c r="D834" s="359"/>
      <c r="E834" s="359"/>
      <c r="J834" s="358" t="str">
        <f t="shared" si="4"/>
        <v/>
      </c>
      <c r="K834" s="358" t="str">
        <f t="shared" si="5"/>
        <v/>
      </c>
      <c r="L834" s="358" t="str">
        <f t="shared" si="6"/>
        <v/>
      </c>
      <c r="M834" s="358" t="str">
        <f t="shared" si="7"/>
        <v/>
      </c>
      <c r="N834" s="358" t="str">
        <f t="shared" si="8"/>
        <v/>
      </c>
      <c r="O834" s="358" t="str">
        <f t="shared" si="9"/>
        <v/>
      </c>
    </row>
    <row r="835">
      <c r="A835" s="20">
        <v>44552.0</v>
      </c>
      <c r="B835" s="359"/>
      <c r="C835" s="359"/>
      <c r="D835" s="359"/>
      <c r="E835" s="359"/>
      <c r="J835" s="358" t="str">
        <f t="shared" si="4"/>
        <v/>
      </c>
      <c r="K835" s="358" t="str">
        <f t="shared" si="5"/>
        <v/>
      </c>
      <c r="L835" s="358" t="str">
        <f t="shared" si="6"/>
        <v/>
      </c>
      <c r="M835" s="358" t="str">
        <f t="shared" si="7"/>
        <v/>
      </c>
      <c r="N835" s="358" t="str">
        <f t="shared" si="8"/>
        <v/>
      </c>
      <c r="O835" s="358" t="str">
        <f t="shared" si="9"/>
        <v/>
      </c>
    </row>
    <row r="836">
      <c r="A836" s="20">
        <v>44553.0</v>
      </c>
      <c r="B836" s="359"/>
      <c r="C836" s="359"/>
      <c r="D836" s="359"/>
      <c r="E836" s="359"/>
      <c r="J836" s="358" t="str">
        <f t="shared" si="4"/>
        <v/>
      </c>
      <c r="K836" s="358" t="str">
        <f t="shared" si="5"/>
        <v/>
      </c>
      <c r="L836" s="358" t="str">
        <f t="shared" si="6"/>
        <v/>
      </c>
      <c r="M836" s="358" t="str">
        <f t="shared" si="7"/>
        <v/>
      </c>
      <c r="N836" s="358" t="str">
        <f t="shared" si="8"/>
        <v/>
      </c>
      <c r="O836" s="358" t="str">
        <f t="shared" si="9"/>
        <v/>
      </c>
    </row>
    <row r="837">
      <c r="A837" s="20">
        <v>44554.0</v>
      </c>
      <c r="B837" s="359"/>
      <c r="C837" s="359"/>
      <c r="D837" s="359"/>
      <c r="E837" s="359"/>
      <c r="J837" s="358" t="str">
        <f t="shared" si="4"/>
        <v/>
      </c>
      <c r="K837" s="358" t="str">
        <f t="shared" si="5"/>
        <v/>
      </c>
      <c r="L837" s="358" t="str">
        <f t="shared" si="6"/>
        <v/>
      </c>
      <c r="M837" s="358" t="str">
        <f t="shared" si="7"/>
        <v/>
      </c>
      <c r="N837" s="358" t="str">
        <f t="shared" si="8"/>
        <v/>
      </c>
      <c r="O837" s="358" t="str">
        <f t="shared" si="9"/>
        <v/>
      </c>
    </row>
    <row r="838">
      <c r="A838" s="20">
        <v>44555.0</v>
      </c>
      <c r="B838" s="359"/>
      <c r="C838" s="359"/>
      <c r="D838" s="359"/>
      <c r="E838" s="359"/>
      <c r="J838" s="358" t="str">
        <f t="shared" si="4"/>
        <v/>
      </c>
      <c r="K838" s="358" t="str">
        <f t="shared" si="5"/>
        <v/>
      </c>
      <c r="L838" s="358" t="str">
        <f t="shared" si="6"/>
        <v/>
      </c>
      <c r="M838" s="358" t="str">
        <f t="shared" si="7"/>
        <v/>
      </c>
      <c r="N838" s="358" t="str">
        <f t="shared" si="8"/>
        <v/>
      </c>
      <c r="O838" s="358" t="str">
        <f t="shared" si="9"/>
        <v/>
      </c>
    </row>
    <row r="839">
      <c r="A839" s="20">
        <v>44556.0</v>
      </c>
      <c r="B839" s="359"/>
      <c r="C839" s="359"/>
      <c r="D839" s="359"/>
      <c r="E839" s="359"/>
      <c r="J839" s="358" t="str">
        <f t="shared" si="4"/>
        <v/>
      </c>
      <c r="K839" s="358" t="str">
        <f t="shared" si="5"/>
        <v/>
      </c>
      <c r="L839" s="358" t="str">
        <f t="shared" si="6"/>
        <v/>
      </c>
      <c r="M839" s="358" t="str">
        <f t="shared" si="7"/>
        <v/>
      </c>
      <c r="N839" s="358" t="str">
        <f t="shared" si="8"/>
        <v/>
      </c>
      <c r="O839" s="358" t="str">
        <f t="shared" si="9"/>
        <v/>
      </c>
    </row>
    <row r="840">
      <c r="A840" s="20">
        <v>44557.0</v>
      </c>
      <c r="B840" s="359"/>
      <c r="C840" s="359"/>
      <c r="D840" s="359"/>
      <c r="E840" s="359"/>
      <c r="J840" s="358" t="str">
        <f t="shared" si="4"/>
        <v/>
      </c>
      <c r="K840" s="358" t="str">
        <f t="shared" si="5"/>
        <v/>
      </c>
      <c r="L840" s="358" t="str">
        <f t="shared" si="6"/>
        <v/>
      </c>
      <c r="M840" s="358" t="str">
        <f t="shared" si="7"/>
        <v/>
      </c>
      <c r="N840" s="358" t="str">
        <f t="shared" si="8"/>
        <v/>
      </c>
      <c r="O840" s="358" t="str">
        <f t="shared" si="9"/>
        <v/>
      </c>
    </row>
    <row r="841">
      <c r="A841" s="20">
        <v>44558.0</v>
      </c>
      <c r="B841" s="359"/>
      <c r="C841" s="359"/>
      <c r="D841" s="359"/>
      <c r="E841" s="359"/>
      <c r="J841" s="358" t="str">
        <f t="shared" si="4"/>
        <v/>
      </c>
      <c r="K841" s="358" t="str">
        <f t="shared" si="5"/>
        <v/>
      </c>
      <c r="L841" s="358" t="str">
        <f t="shared" si="6"/>
        <v/>
      </c>
      <c r="M841" s="358" t="str">
        <f t="shared" si="7"/>
        <v/>
      </c>
      <c r="N841" s="358" t="str">
        <f t="shared" si="8"/>
        <v/>
      </c>
      <c r="O841" s="358" t="str">
        <f t="shared" si="9"/>
        <v/>
      </c>
    </row>
    <row r="842">
      <c r="A842" s="20">
        <v>44559.0</v>
      </c>
      <c r="B842" s="359"/>
      <c r="C842" s="359"/>
      <c r="D842" s="359"/>
      <c r="E842" s="359"/>
      <c r="J842" s="358" t="str">
        <f t="shared" si="4"/>
        <v/>
      </c>
      <c r="K842" s="358" t="str">
        <f t="shared" si="5"/>
        <v/>
      </c>
      <c r="L842" s="358" t="str">
        <f t="shared" si="6"/>
        <v/>
      </c>
      <c r="M842" s="358" t="str">
        <f t="shared" si="7"/>
        <v/>
      </c>
      <c r="N842" s="358" t="str">
        <f t="shared" si="8"/>
        <v/>
      </c>
      <c r="O842" s="358" t="str">
        <f t="shared" si="9"/>
        <v/>
      </c>
    </row>
    <row r="843">
      <c r="A843" s="20">
        <v>44560.0</v>
      </c>
      <c r="B843" s="359"/>
      <c r="C843" s="359"/>
      <c r="D843" s="359"/>
      <c r="E843" s="359"/>
      <c r="J843" s="358" t="str">
        <f t="shared" si="4"/>
        <v/>
      </c>
      <c r="K843" s="358" t="str">
        <f t="shared" si="5"/>
        <v/>
      </c>
      <c r="L843" s="358" t="str">
        <f t="shared" si="6"/>
        <v/>
      </c>
      <c r="M843" s="358" t="str">
        <f t="shared" si="7"/>
        <v/>
      </c>
      <c r="N843" s="358" t="str">
        <f t="shared" si="8"/>
        <v/>
      </c>
      <c r="O843" s="358" t="str">
        <f t="shared" si="9"/>
        <v/>
      </c>
    </row>
    <row r="844">
      <c r="A844" s="20">
        <v>44561.0</v>
      </c>
      <c r="B844" s="359"/>
      <c r="C844" s="359"/>
      <c r="D844" s="359"/>
      <c r="E844" s="359"/>
      <c r="J844" s="358" t="str">
        <f t="shared" si="4"/>
        <v/>
      </c>
      <c r="K844" s="358" t="str">
        <f t="shared" si="5"/>
        <v/>
      </c>
      <c r="L844" s="358" t="str">
        <f t="shared" si="6"/>
        <v/>
      </c>
      <c r="M844" s="358" t="str">
        <f t="shared" si="7"/>
        <v/>
      </c>
      <c r="N844" s="358" t="str">
        <f t="shared" si="8"/>
        <v/>
      </c>
      <c r="O844" s="358" t="str">
        <f t="shared" si="9"/>
        <v/>
      </c>
    </row>
    <row r="845">
      <c r="A845" s="20">
        <v>44562.0</v>
      </c>
      <c r="B845" s="359"/>
      <c r="C845" s="359"/>
      <c r="D845" s="359"/>
      <c r="E845" s="359"/>
      <c r="J845" s="358" t="str">
        <f t="shared" si="4"/>
        <v/>
      </c>
      <c r="K845" s="358" t="str">
        <f t="shared" si="5"/>
        <v/>
      </c>
      <c r="L845" s="358" t="str">
        <f t="shared" si="6"/>
        <v/>
      </c>
      <c r="M845" s="358" t="str">
        <f t="shared" si="7"/>
        <v/>
      </c>
      <c r="N845" s="358" t="str">
        <f t="shared" si="8"/>
        <v/>
      </c>
      <c r="O845" s="358" t="str">
        <f t="shared" si="9"/>
        <v/>
      </c>
    </row>
    <row r="846">
      <c r="A846" s="20">
        <v>44563.0</v>
      </c>
      <c r="B846" s="359"/>
      <c r="C846" s="359"/>
      <c r="D846" s="359"/>
      <c r="E846" s="359"/>
      <c r="J846" s="358" t="str">
        <f t="shared" si="4"/>
        <v/>
      </c>
      <c r="K846" s="358" t="str">
        <f t="shared" si="5"/>
        <v/>
      </c>
      <c r="L846" s="358" t="str">
        <f t="shared" si="6"/>
        <v/>
      </c>
      <c r="M846" s="358" t="str">
        <f t="shared" si="7"/>
        <v/>
      </c>
      <c r="N846" s="358" t="str">
        <f t="shared" si="8"/>
        <v/>
      </c>
      <c r="O846" s="358" t="str">
        <f t="shared" si="9"/>
        <v/>
      </c>
    </row>
    <row r="847">
      <c r="A847" s="20">
        <v>44564.0</v>
      </c>
      <c r="B847" s="359"/>
      <c r="C847" s="359"/>
      <c r="D847" s="359"/>
      <c r="E847" s="359"/>
      <c r="J847" s="358" t="str">
        <f t="shared" si="4"/>
        <v/>
      </c>
      <c r="K847" s="358" t="str">
        <f t="shared" si="5"/>
        <v/>
      </c>
      <c r="L847" s="358" t="str">
        <f t="shared" si="6"/>
        <v/>
      </c>
      <c r="M847" s="358" t="str">
        <f t="shared" si="7"/>
        <v/>
      </c>
      <c r="N847" s="358" t="str">
        <f t="shared" si="8"/>
        <v/>
      </c>
      <c r="O847" s="358" t="str">
        <f t="shared" si="9"/>
        <v/>
      </c>
    </row>
    <row r="848">
      <c r="A848" s="20">
        <v>44565.0</v>
      </c>
      <c r="B848" s="359"/>
      <c r="C848" s="359"/>
      <c r="D848" s="359"/>
      <c r="E848" s="359"/>
      <c r="J848" s="358" t="str">
        <f t="shared" si="4"/>
        <v/>
      </c>
      <c r="K848" s="358" t="str">
        <f t="shared" si="5"/>
        <v/>
      </c>
      <c r="L848" s="358" t="str">
        <f t="shared" si="6"/>
        <v/>
      </c>
      <c r="M848" s="358" t="str">
        <f t="shared" si="7"/>
        <v/>
      </c>
      <c r="N848" s="358" t="str">
        <f t="shared" si="8"/>
        <v/>
      </c>
      <c r="O848" s="358" t="str">
        <f t="shared" si="9"/>
        <v/>
      </c>
    </row>
    <row r="849">
      <c r="A849" s="20">
        <v>44566.0</v>
      </c>
      <c r="B849" s="359"/>
      <c r="C849" s="359"/>
      <c r="D849" s="359"/>
      <c r="E849" s="359"/>
      <c r="J849" s="358" t="str">
        <f t="shared" si="4"/>
        <v/>
      </c>
      <c r="K849" s="358" t="str">
        <f t="shared" si="5"/>
        <v/>
      </c>
      <c r="L849" s="358" t="str">
        <f t="shared" si="6"/>
        <v/>
      </c>
      <c r="M849" s="358" t="str">
        <f t="shared" si="7"/>
        <v/>
      </c>
      <c r="N849" s="358" t="str">
        <f t="shared" si="8"/>
        <v/>
      </c>
      <c r="O849" s="358" t="str">
        <f t="shared" si="9"/>
        <v/>
      </c>
    </row>
    <row r="850">
      <c r="A850" s="20">
        <v>44567.0</v>
      </c>
      <c r="B850" s="359"/>
      <c r="C850" s="359"/>
      <c r="D850" s="359"/>
      <c r="E850" s="359"/>
      <c r="J850" s="358" t="str">
        <f t="shared" si="4"/>
        <v/>
      </c>
      <c r="K850" s="358" t="str">
        <f t="shared" si="5"/>
        <v/>
      </c>
      <c r="L850" s="358" t="str">
        <f t="shared" si="6"/>
        <v/>
      </c>
      <c r="M850" s="358" t="str">
        <f t="shared" si="7"/>
        <v/>
      </c>
      <c r="N850" s="358" t="str">
        <f t="shared" si="8"/>
        <v/>
      </c>
      <c r="O850" s="358" t="str">
        <f t="shared" si="9"/>
        <v/>
      </c>
    </row>
    <row r="851">
      <c r="A851" s="20">
        <v>44568.0</v>
      </c>
      <c r="B851" s="359"/>
      <c r="C851" s="359"/>
      <c r="D851" s="359"/>
      <c r="E851" s="359"/>
      <c r="J851" s="358" t="str">
        <f t="shared" si="4"/>
        <v/>
      </c>
      <c r="K851" s="358" t="str">
        <f t="shared" si="5"/>
        <v/>
      </c>
      <c r="L851" s="358" t="str">
        <f t="shared" si="6"/>
        <v/>
      </c>
      <c r="M851" s="358" t="str">
        <f t="shared" si="7"/>
        <v/>
      </c>
      <c r="N851" s="358" t="str">
        <f t="shared" si="8"/>
        <v/>
      </c>
      <c r="O851" s="358" t="str">
        <f t="shared" si="9"/>
        <v/>
      </c>
    </row>
    <row r="852">
      <c r="A852" s="20">
        <v>44569.0</v>
      </c>
      <c r="B852" s="359"/>
      <c r="C852" s="359"/>
      <c r="D852" s="359"/>
      <c r="E852" s="359"/>
      <c r="J852" s="358" t="str">
        <f t="shared" si="4"/>
        <v/>
      </c>
      <c r="K852" s="358" t="str">
        <f t="shared" si="5"/>
        <v/>
      </c>
      <c r="L852" s="358" t="str">
        <f t="shared" si="6"/>
        <v/>
      </c>
      <c r="M852" s="358" t="str">
        <f t="shared" si="7"/>
        <v/>
      </c>
      <c r="N852" s="358" t="str">
        <f t="shared" si="8"/>
        <v/>
      </c>
      <c r="O852" s="358" t="str">
        <f t="shared" si="9"/>
        <v/>
      </c>
    </row>
    <row r="853">
      <c r="A853" s="20">
        <v>44570.0</v>
      </c>
      <c r="B853" s="359"/>
      <c r="C853" s="359"/>
      <c r="D853" s="359"/>
      <c r="E853" s="359"/>
      <c r="J853" s="358" t="str">
        <f t="shared" si="4"/>
        <v/>
      </c>
      <c r="K853" s="358" t="str">
        <f t="shared" si="5"/>
        <v/>
      </c>
      <c r="L853" s="358" t="str">
        <f t="shared" si="6"/>
        <v/>
      </c>
      <c r="M853" s="358" t="str">
        <f t="shared" si="7"/>
        <v/>
      </c>
      <c r="N853" s="358" t="str">
        <f t="shared" si="8"/>
        <v/>
      </c>
      <c r="O853" s="358" t="str">
        <f t="shared" si="9"/>
        <v/>
      </c>
    </row>
    <row r="854">
      <c r="A854" s="20">
        <v>44571.0</v>
      </c>
      <c r="B854" s="359"/>
      <c r="C854" s="359"/>
      <c r="D854" s="359"/>
      <c r="E854" s="359"/>
      <c r="J854" s="358" t="str">
        <f t="shared" si="4"/>
        <v/>
      </c>
      <c r="K854" s="358" t="str">
        <f t="shared" si="5"/>
        <v/>
      </c>
      <c r="L854" s="358" t="str">
        <f t="shared" si="6"/>
        <v/>
      </c>
      <c r="M854" s="358" t="str">
        <f t="shared" si="7"/>
        <v/>
      </c>
      <c r="N854" s="358" t="str">
        <f t="shared" si="8"/>
        <v/>
      </c>
      <c r="O854" s="358" t="str">
        <f t="shared" si="9"/>
        <v/>
      </c>
    </row>
    <row r="855">
      <c r="A855" s="20">
        <v>44572.0</v>
      </c>
      <c r="B855" s="359"/>
      <c r="C855" s="359"/>
      <c r="D855" s="359"/>
      <c r="E855" s="359"/>
      <c r="J855" s="358" t="str">
        <f t="shared" si="4"/>
        <v/>
      </c>
      <c r="K855" s="358" t="str">
        <f t="shared" si="5"/>
        <v/>
      </c>
      <c r="L855" s="358" t="str">
        <f t="shared" si="6"/>
        <v/>
      </c>
      <c r="M855" s="358" t="str">
        <f t="shared" si="7"/>
        <v/>
      </c>
      <c r="N855" s="358" t="str">
        <f t="shared" si="8"/>
        <v/>
      </c>
      <c r="O855" s="358" t="str">
        <f t="shared" si="9"/>
        <v/>
      </c>
    </row>
    <row r="856">
      <c r="A856" s="20">
        <v>44573.0</v>
      </c>
      <c r="B856" s="359"/>
      <c r="C856" s="359"/>
      <c r="D856" s="359"/>
      <c r="E856" s="359"/>
      <c r="J856" s="358" t="str">
        <f t="shared" si="4"/>
        <v/>
      </c>
      <c r="K856" s="358" t="str">
        <f t="shared" si="5"/>
        <v/>
      </c>
      <c r="L856" s="358" t="str">
        <f t="shared" si="6"/>
        <v/>
      </c>
      <c r="M856" s="358" t="str">
        <f t="shared" si="7"/>
        <v/>
      </c>
      <c r="N856" s="358" t="str">
        <f t="shared" si="8"/>
        <v/>
      </c>
      <c r="O856" s="358" t="str">
        <f t="shared" si="9"/>
        <v/>
      </c>
    </row>
    <row r="857">
      <c r="A857" s="20">
        <v>44574.0</v>
      </c>
      <c r="B857" s="359"/>
      <c r="C857" s="359"/>
      <c r="D857" s="359"/>
      <c r="E857" s="359"/>
      <c r="J857" s="358" t="str">
        <f t="shared" si="4"/>
        <v/>
      </c>
      <c r="K857" s="358" t="str">
        <f t="shared" si="5"/>
        <v/>
      </c>
      <c r="L857" s="358" t="str">
        <f t="shared" si="6"/>
        <v/>
      </c>
      <c r="M857" s="358" t="str">
        <f t="shared" si="7"/>
        <v/>
      </c>
      <c r="N857" s="358" t="str">
        <f t="shared" si="8"/>
        <v/>
      </c>
      <c r="O857" s="358" t="str">
        <f t="shared" si="9"/>
        <v/>
      </c>
    </row>
    <row r="858">
      <c r="A858" s="20">
        <v>44575.0</v>
      </c>
      <c r="B858" s="359"/>
      <c r="C858" s="359"/>
      <c r="D858" s="359"/>
      <c r="E858" s="359"/>
      <c r="J858" s="358" t="str">
        <f t="shared" si="4"/>
        <v/>
      </c>
      <c r="K858" s="358" t="str">
        <f t="shared" si="5"/>
        <v/>
      </c>
      <c r="L858" s="358" t="str">
        <f t="shared" si="6"/>
        <v/>
      </c>
      <c r="M858" s="358" t="str">
        <f t="shared" si="7"/>
        <v/>
      </c>
      <c r="N858" s="358" t="str">
        <f t="shared" si="8"/>
        <v/>
      </c>
      <c r="O858" s="358" t="str">
        <f t="shared" si="9"/>
        <v/>
      </c>
    </row>
    <row r="859">
      <c r="A859" s="20">
        <v>44576.0</v>
      </c>
      <c r="B859" s="359"/>
      <c r="C859" s="359"/>
      <c r="D859" s="359"/>
      <c r="E859" s="359"/>
      <c r="J859" s="358" t="str">
        <f t="shared" si="4"/>
        <v/>
      </c>
      <c r="K859" s="358" t="str">
        <f t="shared" si="5"/>
        <v/>
      </c>
      <c r="L859" s="358" t="str">
        <f t="shared" si="6"/>
        <v/>
      </c>
      <c r="M859" s="358" t="str">
        <f t="shared" si="7"/>
        <v/>
      </c>
      <c r="N859" s="358" t="str">
        <f t="shared" si="8"/>
        <v/>
      </c>
      <c r="O859" s="358" t="str">
        <f t="shared" si="9"/>
        <v/>
      </c>
    </row>
    <row r="860">
      <c r="A860" s="20">
        <v>44577.0</v>
      </c>
      <c r="B860" s="359"/>
      <c r="C860" s="359"/>
      <c r="D860" s="359"/>
      <c r="E860" s="359"/>
      <c r="J860" s="358" t="str">
        <f t="shared" si="4"/>
        <v/>
      </c>
      <c r="K860" s="358" t="str">
        <f t="shared" si="5"/>
        <v/>
      </c>
      <c r="L860" s="358" t="str">
        <f t="shared" si="6"/>
        <v/>
      </c>
      <c r="M860" s="358" t="str">
        <f t="shared" si="7"/>
        <v/>
      </c>
      <c r="N860" s="358" t="str">
        <f t="shared" si="8"/>
        <v/>
      </c>
      <c r="O860" s="358" t="str">
        <f t="shared" si="9"/>
        <v/>
      </c>
    </row>
    <row r="861">
      <c r="A861" s="20">
        <v>44578.0</v>
      </c>
      <c r="B861" s="359"/>
      <c r="C861" s="359"/>
      <c r="D861" s="359"/>
      <c r="E861" s="359"/>
      <c r="J861" s="358" t="str">
        <f t="shared" si="4"/>
        <v/>
      </c>
      <c r="K861" s="358" t="str">
        <f t="shared" si="5"/>
        <v/>
      </c>
      <c r="L861" s="358" t="str">
        <f t="shared" si="6"/>
        <v/>
      </c>
      <c r="M861" s="358" t="str">
        <f t="shared" si="7"/>
        <v/>
      </c>
      <c r="N861" s="358" t="str">
        <f t="shared" si="8"/>
        <v/>
      </c>
      <c r="O861" s="358" t="str">
        <f t="shared" si="9"/>
        <v/>
      </c>
    </row>
    <row r="862">
      <c r="A862" s="20">
        <v>44579.0</v>
      </c>
      <c r="B862" s="359"/>
      <c r="C862" s="359"/>
      <c r="D862" s="359"/>
      <c r="E862" s="359"/>
      <c r="J862" s="358" t="str">
        <f t="shared" si="4"/>
        <v/>
      </c>
      <c r="K862" s="358" t="str">
        <f t="shared" si="5"/>
        <v/>
      </c>
      <c r="L862" s="358" t="str">
        <f t="shared" si="6"/>
        <v/>
      </c>
      <c r="M862" s="358" t="str">
        <f t="shared" si="7"/>
        <v/>
      </c>
      <c r="N862" s="358" t="str">
        <f t="shared" si="8"/>
        <v/>
      </c>
      <c r="O862" s="358" t="str">
        <f t="shared" si="9"/>
        <v/>
      </c>
    </row>
    <row r="863">
      <c r="A863" s="20">
        <v>44580.0</v>
      </c>
      <c r="B863" s="359"/>
      <c r="C863" s="359"/>
      <c r="D863" s="359"/>
      <c r="E863" s="359"/>
      <c r="J863" s="358" t="str">
        <f t="shared" si="4"/>
        <v/>
      </c>
      <c r="K863" s="358" t="str">
        <f t="shared" si="5"/>
        <v/>
      </c>
      <c r="L863" s="358" t="str">
        <f t="shared" si="6"/>
        <v/>
      </c>
      <c r="M863" s="358" t="str">
        <f t="shared" si="7"/>
        <v/>
      </c>
      <c r="N863" s="358" t="str">
        <f t="shared" si="8"/>
        <v/>
      </c>
      <c r="O863" s="358" t="str">
        <f t="shared" si="9"/>
        <v/>
      </c>
    </row>
    <row r="864">
      <c r="A864" s="20">
        <v>44581.0</v>
      </c>
      <c r="B864" s="359"/>
      <c r="C864" s="359"/>
      <c r="D864" s="359"/>
      <c r="E864" s="359"/>
      <c r="J864" s="358" t="str">
        <f t="shared" si="4"/>
        <v/>
      </c>
      <c r="K864" s="358" t="str">
        <f t="shared" si="5"/>
        <v/>
      </c>
      <c r="L864" s="358" t="str">
        <f t="shared" si="6"/>
        <v/>
      </c>
      <c r="M864" s="358" t="str">
        <f t="shared" si="7"/>
        <v/>
      </c>
      <c r="N864" s="358" t="str">
        <f t="shared" si="8"/>
        <v/>
      </c>
      <c r="O864" s="358" t="str">
        <f t="shared" si="9"/>
        <v/>
      </c>
    </row>
    <row r="865">
      <c r="A865" s="20">
        <v>44582.0</v>
      </c>
      <c r="B865" s="359"/>
      <c r="C865" s="359"/>
      <c r="D865" s="359"/>
      <c r="E865" s="359"/>
      <c r="J865" s="358" t="str">
        <f t="shared" si="4"/>
        <v/>
      </c>
      <c r="K865" s="358" t="str">
        <f t="shared" si="5"/>
        <v/>
      </c>
      <c r="L865" s="358" t="str">
        <f t="shared" si="6"/>
        <v/>
      </c>
      <c r="M865" s="358" t="str">
        <f t="shared" si="7"/>
        <v/>
      </c>
      <c r="N865" s="358" t="str">
        <f t="shared" si="8"/>
        <v/>
      </c>
      <c r="O865" s="358" t="str">
        <f t="shared" si="9"/>
        <v/>
      </c>
    </row>
    <row r="866">
      <c r="A866" s="20">
        <v>44583.0</v>
      </c>
      <c r="B866" s="359"/>
      <c r="C866" s="359"/>
      <c r="D866" s="359"/>
      <c r="E866" s="359"/>
      <c r="J866" s="358" t="str">
        <f t="shared" si="4"/>
        <v/>
      </c>
      <c r="K866" s="358" t="str">
        <f t="shared" si="5"/>
        <v/>
      </c>
      <c r="L866" s="358" t="str">
        <f t="shared" si="6"/>
        <v/>
      </c>
      <c r="M866" s="358" t="str">
        <f t="shared" si="7"/>
        <v/>
      </c>
      <c r="N866" s="358" t="str">
        <f t="shared" si="8"/>
        <v/>
      </c>
      <c r="O866" s="358" t="str">
        <f t="shared" si="9"/>
        <v/>
      </c>
    </row>
    <row r="867">
      <c r="A867" s="20">
        <v>44584.0</v>
      </c>
      <c r="B867" s="359"/>
      <c r="C867" s="359"/>
      <c r="D867" s="359"/>
      <c r="E867" s="359"/>
      <c r="J867" s="358" t="str">
        <f t="shared" si="4"/>
        <v/>
      </c>
      <c r="K867" s="358" t="str">
        <f t="shared" si="5"/>
        <v/>
      </c>
      <c r="L867" s="358" t="str">
        <f t="shared" si="6"/>
        <v/>
      </c>
      <c r="M867" s="358" t="str">
        <f t="shared" si="7"/>
        <v/>
      </c>
      <c r="N867" s="358" t="str">
        <f t="shared" si="8"/>
        <v/>
      </c>
      <c r="O867" s="358" t="str">
        <f t="shared" si="9"/>
        <v/>
      </c>
    </row>
    <row r="868">
      <c r="A868" s="20">
        <v>44585.0</v>
      </c>
      <c r="B868" s="359"/>
      <c r="C868" s="359"/>
      <c r="D868" s="359"/>
      <c r="E868" s="359"/>
      <c r="J868" s="358" t="str">
        <f t="shared" si="4"/>
        <v/>
      </c>
      <c r="K868" s="358" t="str">
        <f t="shared" si="5"/>
        <v/>
      </c>
      <c r="L868" s="358" t="str">
        <f t="shared" si="6"/>
        <v/>
      </c>
      <c r="M868" s="358" t="str">
        <f t="shared" si="7"/>
        <v/>
      </c>
      <c r="N868" s="358" t="str">
        <f t="shared" si="8"/>
        <v/>
      </c>
      <c r="O868" s="358" t="str">
        <f t="shared" si="9"/>
        <v/>
      </c>
    </row>
    <row r="869">
      <c r="A869" s="20">
        <v>44586.0</v>
      </c>
      <c r="B869" s="359"/>
      <c r="C869" s="359"/>
      <c r="D869" s="359"/>
      <c r="E869" s="359"/>
      <c r="J869" s="358" t="str">
        <f t="shared" si="4"/>
        <v/>
      </c>
      <c r="K869" s="358" t="str">
        <f t="shared" si="5"/>
        <v/>
      </c>
      <c r="L869" s="358" t="str">
        <f t="shared" si="6"/>
        <v/>
      </c>
      <c r="M869" s="358" t="str">
        <f t="shared" si="7"/>
        <v/>
      </c>
      <c r="N869" s="358" t="str">
        <f t="shared" si="8"/>
        <v/>
      </c>
      <c r="O869" s="358" t="str">
        <f t="shared" si="9"/>
        <v/>
      </c>
    </row>
    <row r="870">
      <c r="A870" s="20">
        <v>44587.0</v>
      </c>
      <c r="B870" s="359"/>
      <c r="C870" s="359"/>
      <c r="D870" s="359"/>
      <c r="E870" s="359"/>
      <c r="J870" s="358" t="str">
        <f t="shared" si="4"/>
        <v/>
      </c>
      <c r="K870" s="358" t="str">
        <f t="shared" si="5"/>
        <v/>
      </c>
      <c r="L870" s="358" t="str">
        <f t="shared" si="6"/>
        <v/>
      </c>
      <c r="M870" s="358" t="str">
        <f t="shared" si="7"/>
        <v/>
      </c>
      <c r="N870" s="358" t="str">
        <f t="shared" si="8"/>
        <v/>
      </c>
      <c r="O870" s="358" t="str">
        <f t="shared" si="9"/>
        <v/>
      </c>
    </row>
    <row r="871">
      <c r="A871" s="20">
        <v>44588.0</v>
      </c>
      <c r="B871" s="359"/>
      <c r="C871" s="359"/>
      <c r="D871" s="359"/>
      <c r="E871" s="359"/>
      <c r="J871" s="358" t="str">
        <f t="shared" si="4"/>
        <v/>
      </c>
      <c r="K871" s="358" t="str">
        <f t="shared" si="5"/>
        <v/>
      </c>
      <c r="L871" s="358" t="str">
        <f t="shared" si="6"/>
        <v/>
      </c>
      <c r="M871" s="358" t="str">
        <f t="shared" si="7"/>
        <v/>
      </c>
      <c r="N871" s="358" t="str">
        <f t="shared" si="8"/>
        <v/>
      </c>
      <c r="O871" s="358" t="str">
        <f t="shared" si="9"/>
        <v/>
      </c>
    </row>
    <row r="872">
      <c r="A872" s="20">
        <v>44589.0</v>
      </c>
      <c r="B872" s="359"/>
      <c r="C872" s="359"/>
      <c r="D872" s="359"/>
      <c r="E872" s="359"/>
      <c r="J872" s="358" t="str">
        <f t="shared" si="4"/>
        <v/>
      </c>
      <c r="K872" s="358" t="str">
        <f t="shared" si="5"/>
        <v/>
      </c>
      <c r="L872" s="358" t="str">
        <f t="shared" si="6"/>
        <v/>
      </c>
      <c r="M872" s="358" t="str">
        <f t="shared" si="7"/>
        <v/>
      </c>
      <c r="N872" s="358" t="str">
        <f t="shared" si="8"/>
        <v/>
      </c>
      <c r="O872" s="358" t="str">
        <f t="shared" si="9"/>
        <v/>
      </c>
    </row>
    <row r="873">
      <c r="A873" s="20">
        <v>44590.0</v>
      </c>
      <c r="B873" s="359"/>
      <c r="C873" s="359"/>
      <c r="D873" s="359"/>
      <c r="E873" s="359"/>
      <c r="J873" s="358" t="str">
        <f t="shared" si="4"/>
        <v/>
      </c>
      <c r="K873" s="358" t="str">
        <f t="shared" si="5"/>
        <v/>
      </c>
      <c r="L873" s="358" t="str">
        <f t="shared" si="6"/>
        <v/>
      </c>
      <c r="M873" s="358" t="str">
        <f t="shared" si="7"/>
        <v/>
      </c>
      <c r="N873" s="358" t="str">
        <f t="shared" si="8"/>
        <v/>
      </c>
      <c r="O873" s="358" t="str">
        <f t="shared" si="9"/>
        <v/>
      </c>
    </row>
    <row r="874">
      <c r="A874" s="20">
        <v>44591.0</v>
      </c>
      <c r="B874" s="359"/>
      <c r="C874" s="359"/>
      <c r="D874" s="359"/>
      <c r="E874" s="359"/>
      <c r="J874" s="358" t="str">
        <f t="shared" si="4"/>
        <v/>
      </c>
      <c r="K874" s="358" t="str">
        <f t="shared" si="5"/>
        <v/>
      </c>
      <c r="L874" s="358" t="str">
        <f t="shared" si="6"/>
        <v/>
      </c>
      <c r="M874" s="358" t="str">
        <f t="shared" si="7"/>
        <v/>
      </c>
      <c r="N874" s="358" t="str">
        <f t="shared" si="8"/>
        <v/>
      </c>
      <c r="O874" s="358" t="str">
        <f t="shared" si="9"/>
        <v/>
      </c>
    </row>
    <row r="875">
      <c r="A875" s="20">
        <v>44592.0</v>
      </c>
      <c r="B875" s="359"/>
      <c r="C875" s="359"/>
      <c r="D875" s="359"/>
      <c r="E875" s="359"/>
      <c r="J875" s="358" t="str">
        <f t="shared" si="4"/>
        <v/>
      </c>
      <c r="K875" s="358" t="str">
        <f t="shared" si="5"/>
        <v/>
      </c>
      <c r="L875" s="358" t="str">
        <f t="shared" si="6"/>
        <v/>
      </c>
      <c r="M875" s="358" t="str">
        <f t="shared" si="7"/>
        <v/>
      </c>
      <c r="N875" s="358" t="str">
        <f t="shared" si="8"/>
        <v/>
      </c>
      <c r="O875" s="358" t="str">
        <f t="shared" si="9"/>
        <v/>
      </c>
    </row>
    <row r="876">
      <c r="A876" s="20">
        <v>44593.0</v>
      </c>
      <c r="B876" s="359"/>
      <c r="C876" s="359"/>
      <c r="D876" s="359"/>
      <c r="E876" s="359"/>
      <c r="J876" s="358" t="str">
        <f t="shared" si="4"/>
        <v/>
      </c>
      <c r="K876" s="358" t="str">
        <f t="shared" si="5"/>
        <v/>
      </c>
      <c r="L876" s="358" t="str">
        <f t="shared" si="6"/>
        <v/>
      </c>
      <c r="M876" s="358" t="str">
        <f t="shared" si="7"/>
        <v/>
      </c>
      <c r="N876" s="358" t="str">
        <f t="shared" si="8"/>
        <v/>
      </c>
      <c r="O876" s="358" t="str">
        <f t="shared" si="9"/>
        <v/>
      </c>
    </row>
    <row r="877">
      <c r="A877" s="20">
        <v>44594.0</v>
      </c>
      <c r="B877" s="359"/>
      <c r="C877" s="359"/>
      <c r="D877" s="359"/>
      <c r="E877" s="359"/>
      <c r="J877" s="358" t="str">
        <f t="shared" si="4"/>
        <v/>
      </c>
      <c r="K877" s="358" t="str">
        <f t="shared" si="5"/>
        <v/>
      </c>
      <c r="L877" s="358" t="str">
        <f t="shared" si="6"/>
        <v/>
      </c>
      <c r="M877" s="358" t="str">
        <f t="shared" si="7"/>
        <v/>
      </c>
      <c r="N877" s="358" t="str">
        <f t="shared" si="8"/>
        <v/>
      </c>
      <c r="O877" s="358" t="str">
        <f t="shared" si="9"/>
        <v/>
      </c>
    </row>
    <row r="878">
      <c r="A878" s="20">
        <v>44595.0</v>
      </c>
      <c r="B878" s="359"/>
      <c r="C878" s="359"/>
      <c r="D878" s="359"/>
      <c r="E878" s="359"/>
      <c r="J878" s="358" t="str">
        <f t="shared" si="4"/>
        <v/>
      </c>
      <c r="K878" s="358" t="str">
        <f t="shared" si="5"/>
        <v/>
      </c>
      <c r="L878" s="358" t="str">
        <f t="shared" si="6"/>
        <v/>
      </c>
      <c r="M878" s="358" t="str">
        <f t="shared" si="7"/>
        <v/>
      </c>
      <c r="N878" s="358" t="str">
        <f t="shared" si="8"/>
        <v/>
      </c>
      <c r="O878" s="358" t="str">
        <f t="shared" si="9"/>
        <v/>
      </c>
    </row>
    <row r="879">
      <c r="A879" s="20">
        <v>44596.0</v>
      </c>
      <c r="B879" s="359"/>
      <c r="C879" s="359"/>
      <c r="D879" s="359"/>
      <c r="E879" s="359"/>
      <c r="J879" s="358" t="str">
        <f t="shared" si="4"/>
        <v/>
      </c>
      <c r="K879" s="358" t="str">
        <f t="shared" si="5"/>
        <v/>
      </c>
      <c r="L879" s="358" t="str">
        <f t="shared" si="6"/>
        <v/>
      </c>
      <c r="M879" s="358" t="str">
        <f t="shared" si="7"/>
        <v/>
      </c>
      <c r="N879" s="358" t="str">
        <f t="shared" si="8"/>
        <v/>
      </c>
      <c r="O879" s="358" t="str">
        <f t="shared" si="9"/>
        <v/>
      </c>
    </row>
    <row r="880">
      <c r="A880" s="20">
        <v>44597.0</v>
      </c>
      <c r="B880" s="359"/>
      <c r="C880" s="359"/>
      <c r="D880" s="359"/>
      <c r="E880" s="359"/>
      <c r="J880" s="358" t="str">
        <f t="shared" si="4"/>
        <v/>
      </c>
      <c r="K880" s="358" t="str">
        <f t="shared" si="5"/>
        <v/>
      </c>
      <c r="L880" s="358" t="str">
        <f t="shared" si="6"/>
        <v/>
      </c>
      <c r="M880" s="358" t="str">
        <f t="shared" si="7"/>
        <v/>
      </c>
      <c r="N880" s="358" t="str">
        <f t="shared" si="8"/>
        <v/>
      </c>
      <c r="O880" s="358" t="str">
        <f t="shared" si="9"/>
        <v/>
      </c>
    </row>
    <row r="881">
      <c r="A881" s="20">
        <v>44598.0</v>
      </c>
      <c r="B881" s="359"/>
      <c r="C881" s="359"/>
      <c r="D881" s="359"/>
      <c r="E881" s="359"/>
      <c r="J881" s="358" t="str">
        <f t="shared" si="4"/>
        <v/>
      </c>
      <c r="K881" s="358" t="str">
        <f t="shared" si="5"/>
        <v/>
      </c>
      <c r="L881" s="358" t="str">
        <f t="shared" si="6"/>
        <v/>
      </c>
      <c r="M881" s="358" t="str">
        <f t="shared" si="7"/>
        <v/>
      </c>
      <c r="N881" s="358" t="str">
        <f t="shared" si="8"/>
        <v/>
      </c>
      <c r="O881" s="358" t="str">
        <f t="shared" si="9"/>
        <v/>
      </c>
    </row>
    <row r="882">
      <c r="A882" s="20">
        <v>44599.0</v>
      </c>
      <c r="B882" s="359"/>
      <c r="C882" s="359"/>
      <c r="D882" s="359"/>
      <c r="E882" s="359"/>
      <c r="J882" s="358" t="str">
        <f t="shared" si="4"/>
        <v/>
      </c>
      <c r="K882" s="358" t="str">
        <f t="shared" si="5"/>
        <v/>
      </c>
      <c r="L882" s="358" t="str">
        <f t="shared" si="6"/>
        <v/>
      </c>
      <c r="M882" s="358" t="str">
        <f t="shared" si="7"/>
        <v/>
      </c>
      <c r="N882" s="358" t="str">
        <f t="shared" si="8"/>
        <v/>
      </c>
      <c r="O882" s="358" t="str">
        <f t="shared" si="9"/>
        <v/>
      </c>
    </row>
    <row r="883">
      <c r="A883" s="20">
        <v>44600.0</v>
      </c>
      <c r="B883" s="359"/>
      <c r="C883" s="359"/>
      <c r="D883" s="359"/>
      <c r="E883" s="359"/>
      <c r="J883" s="358" t="str">
        <f t="shared" si="4"/>
        <v/>
      </c>
      <c r="K883" s="358" t="str">
        <f t="shared" si="5"/>
        <v/>
      </c>
      <c r="L883" s="358" t="str">
        <f t="shared" si="6"/>
        <v/>
      </c>
      <c r="M883" s="358" t="str">
        <f t="shared" si="7"/>
        <v/>
      </c>
      <c r="N883" s="358" t="str">
        <f t="shared" si="8"/>
        <v/>
      </c>
      <c r="O883" s="358" t="str">
        <f t="shared" si="9"/>
        <v/>
      </c>
    </row>
    <row r="884">
      <c r="A884" s="20">
        <v>44601.0</v>
      </c>
      <c r="B884" s="359"/>
      <c r="C884" s="359"/>
      <c r="D884" s="359"/>
      <c r="E884" s="359"/>
      <c r="J884" s="358" t="str">
        <f t="shared" si="4"/>
        <v/>
      </c>
      <c r="K884" s="358" t="str">
        <f t="shared" si="5"/>
        <v/>
      </c>
      <c r="L884" s="358" t="str">
        <f t="shared" si="6"/>
        <v/>
      </c>
      <c r="M884" s="358" t="str">
        <f t="shared" si="7"/>
        <v/>
      </c>
      <c r="N884" s="358" t="str">
        <f t="shared" si="8"/>
        <v/>
      </c>
      <c r="O884" s="358" t="str">
        <f t="shared" si="9"/>
        <v/>
      </c>
    </row>
    <row r="885">
      <c r="A885" s="20">
        <v>44602.0</v>
      </c>
      <c r="B885" s="359"/>
      <c r="C885" s="359"/>
      <c r="D885" s="359"/>
      <c r="E885" s="359"/>
      <c r="J885" s="358" t="str">
        <f t="shared" si="4"/>
        <v/>
      </c>
      <c r="K885" s="358" t="str">
        <f t="shared" si="5"/>
        <v/>
      </c>
      <c r="L885" s="358" t="str">
        <f t="shared" si="6"/>
        <v/>
      </c>
      <c r="M885" s="358" t="str">
        <f t="shared" si="7"/>
        <v/>
      </c>
      <c r="N885" s="358" t="str">
        <f t="shared" si="8"/>
        <v/>
      </c>
      <c r="O885" s="358" t="str">
        <f t="shared" si="9"/>
        <v/>
      </c>
    </row>
    <row r="886">
      <c r="A886" s="20">
        <v>44603.0</v>
      </c>
      <c r="B886" s="359"/>
      <c r="C886" s="359"/>
      <c r="D886" s="359"/>
      <c r="E886" s="359"/>
      <c r="J886" s="358" t="str">
        <f t="shared" si="4"/>
        <v/>
      </c>
      <c r="K886" s="358" t="str">
        <f t="shared" si="5"/>
        <v/>
      </c>
      <c r="L886" s="358" t="str">
        <f t="shared" si="6"/>
        <v/>
      </c>
      <c r="M886" s="358" t="str">
        <f t="shared" si="7"/>
        <v/>
      </c>
      <c r="N886" s="358" t="str">
        <f t="shared" si="8"/>
        <v/>
      </c>
      <c r="O886" s="358" t="str">
        <f t="shared" si="9"/>
        <v/>
      </c>
    </row>
    <row r="887">
      <c r="A887" s="20">
        <v>44604.0</v>
      </c>
      <c r="B887" s="359"/>
      <c r="C887" s="359"/>
      <c r="D887" s="359"/>
      <c r="E887" s="359"/>
      <c r="J887" s="358" t="str">
        <f t="shared" si="4"/>
        <v/>
      </c>
      <c r="K887" s="358" t="str">
        <f t="shared" si="5"/>
        <v/>
      </c>
      <c r="L887" s="358" t="str">
        <f t="shared" si="6"/>
        <v/>
      </c>
      <c r="M887" s="358" t="str">
        <f t="shared" si="7"/>
        <v/>
      </c>
      <c r="N887" s="358" t="str">
        <f t="shared" si="8"/>
        <v/>
      </c>
      <c r="O887" s="358" t="str">
        <f t="shared" si="9"/>
        <v/>
      </c>
    </row>
    <row r="888">
      <c r="A888" s="20">
        <v>44605.0</v>
      </c>
      <c r="B888" s="359"/>
      <c r="C888" s="359"/>
      <c r="D888" s="359"/>
      <c r="E888" s="359"/>
      <c r="J888" s="358" t="str">
        <f t="shared" si="4"/>
        <v/>
      </c>
      <c r="K888" s="358" t="str">
        <f t="shared" si="5"/>
        <v/>
      </c>
      <c r="L888" s="358" t="str">
        <f t="shared" si="6"/>
        <v/>
      </c>
      <c r="M888" s="358" t="str">
        <f t="shared" si="7"/>
        <v/>
      </c>
      <c r="N888" s="358" t="str">
        <f t="shared" si="8"/>
        <v/>
      </c>
      <c r="O888" s="358" t="str">
        <f t="shared" si="9"/>
        <v/>
      </c>
    </row>
    <row r="889">
      <c r="A889" s="20">
        <v>44606.0</v>
      </c>
      <c r="B889" s="359"/>
      <c r="C889" s="359"/>
      <c r="D889" s="359"/>
      <c r="E889" s="359"/>
      <c r="J889" s="358" t="str">
        <f t="shared" si="4"/>
        <v/>
      </c>
      <c r="K889" s="358" t="str">
        <f t="shared" si="5"/>
        <v/>
      </c>
      <c r="L889" s="358" t="str">
        <f t="shared" si="6"/>
        <v/>
      </c>
      <c r="M889" s="358" t="str">
        <f t="shared" si="7"/>
        <v/>
      </c>
      <c r="N889" s="358" t="str">
        <f t="shared" si="8"/>
        <v/>
      </c>
      <c r="O889" s="358" t="str">
        <f t="shared" si="9"/>
        <v/>
      </c>
    </row>
    <row r="890">
      <c r="A890" s="20">
        <v>44607.0</v>
      </c>
      <c r="B890" s="359"/>
      <c r="C890" s="359"/>
      <c r="D890" s="359"/>
      <c r="E890" s="359"/>
      <c r="J890" s="358" t="str">
        <f t="shared" si="4"/>
        <v/>
      </c>
      <c r="K890" s="358" t="str">
        <f t="shared" si="5"/>
        <v/>
      </c>
      <c r="L890" s="358" t="str">
        <f t="shared" si="6"/>
        <v/>
      </c>
      <c r="M890" s="358" t="str">
        <f t="shared" si="7"/>
        <v/>
      </c>
      <c r="N890" s="358" t="str">
        <f t="shared" si="8"/>
        <v/>
      </c>
      <c r="O890" s="358" t="str">
        <f t="shared" si="9"/>
        <v/>
      </c>
    </row>
    <row r="891">
      <c r="A891" s="20">
        <v>44608.0</v>
      </c>
      <c r="B891" s="359"/>
      <c r="C891" s="359"/>
      <c r="D891" s="359"/>
      <c r="E891" s="359"/>
      <c r="J891" s="358" t="str">
        <f t="shared" si="4"/>
        <v/>
      </c>
      <c r="K891" s="358" t="str">
        <f t="shared" si="5"/>
        <v/>
      </c>
      <c r="L891" s="358" t="str">
        <f t="shared" si="6"/>
        <v/>
      </c>
      <c r="M891" s="358" t="str">
        <f t="shared" si="7"/>
        <v/>
      </c>
      <c r="N891" s="358" t="str">
        <f t="shared" si="8"/>
        <v/>
      </c>
      <c r="O891" s="358" t="str">
        <f t="shared" si="9"/>
        <v/>
      </c>
    </row>
    <row r="892">
      <c r="A892" s="20">
        <v>44609.0</v>
      </c>
      <c r="B892" s="359"/>
      <c r="C892" s="359"/>
      <c r="D892" s="359"/>
      <c r="E892" s="359"/>
      <c r="J892" s="358" t="str">
        <f t="shared" si="4"/>
        <v/>
      </c>
      <c r="K892" s="358" t="str">
        <f t="shared" si="5"/>
        <v/>
      </c>
      <c r="L892" s="358" t="str">
        <f t="shared" si="6"/>
        <v/>
      </c>
      <c r="M892" s="358" t="str">
        <f t="shared" si="7"/>
        <v/>
      </c>
      <c r="N892" s="358" t="str">
        <f t="shared" si="8"/>
        <v/>
      </c>
      <c r="O892" s="358" t="str">
        <f t="shared" si="9"/>
        <v/>
      </c>
    </row>
    <row r="893">
      <c r="A893" s="20">
        <v>44610.0</v>
      </c>
      <c r="B893" s="359"/>
      <c r="C893" s="359"/>
      <c r="D893" s="359"/>
      <c r="E893" s="359"/>
      <c r="J893" s="358" t="str">
        <f t="shared" si="4"/>
        <v/>
      </c>
      <c r="K893" s="358" t="str">
        <f t="shared" si="5"/>
        <v/>
      </c>
      <c r="L893" s="358" t="str">
        <f t="shared" si="6"/>
        <v/>
      </c>
      <c r="M893" s="358" t="str">
        <f t="shared" si="7"/>
        <v/>
      </c>
      <c r="N893" s="358" t="str">
        <f t="shared" si="8"/>
        <v/>
      </c>
      <c r="O893" s="358" t="str">
        <f t="shared" si="9"/>
        <v/>
      </c>
    </row>
    <row r="894">
      <c r="A894" s="20">
        <v>44611.0</v>
      </c>
      <c r="B894" s="359"/>
      <c r="C894" s="359"/>
      <c r="D894" s="359"/>
      <c r="E894" s="359"/>
      <c r="J894" s="358" t="str">
        <f t="shared" si="4"/>
        <v/>
      </c>
      <c r="K894" s="358" t="str">
        <f t="shared" si="5"/>
        <v/>
      </c>
      <c r="L894" s="358" t="str">
        <f t="shared" si="6"/>
        <v/>
      </c>
      <c r="M894" s="358" t="str">
        <f t="shared" si="7"/>
        <v/>
      </c>
      <c r="N894" s="358" t="str">
        <f t="shared" si="8"/>
        <v/>
      </c>
      <c r="O894" s="358" t="str">
        <f t="shared" si="9"/>
        <v/>
      </c>
    </row>
    <row r="895">
      <c r="A895" s="20">
        <v>44612.0</v>
      </c>
      <c r="B895" s="359"/>
      <c r="C895" s="359"/>
      <c r="D895" s="359"/>
      <c r="E895" s="359"/>
      <c r="J895" s="358" t="str">
        <f t="shared" si="4"/>
        <v/>
      </c>
      <c r="K895" s="358" t="str">
        <f t="shared" si="5"/>
        <v/>
      </c>
      <c r="L895" s="358" t="str">
        <f t="shared" si="6"/>
        <v/>
      </c>
      <c r="M895" s="358" t="str">
        <f t="shared" si="7"/>
        <v/>
      </c>
      <c r="N895" s="358" t="str">
        <f t="shared" si="8"/>
        <v/>
      </c>
      <c r="O895" s="358" t="str">
        <f t="shared" si="9"/>
        <v/>
      </c>
    </row>
    <row r="896">
      <c r="A896" s="20">
        <v>44613.0</v>
      </c>
      <c r="B896" s="359"/>
      <c r="C896" s="359"/>
      <c r="D896" s="359"/>
      <c r="E896" s="359"/>
      <c r="J896" s="358" t="str">
        <f t="shared" si="4"/>
        <v/>
      </c>
      <c r="K896" s="358" t="str">
        <f t="shared" si="5"/>
        <v/>
      </c>
      <c r="L896" s="358" t="str">
        <f t="shared" si="6"/>
        <v/>
      </c>
      <c r="M896" s="358" t="str">
        <f t="shared" si="7"/>
        <v/>
      </c>
      <c r="N896" s="358" t="str">
        <f t="shared" si="8"/>
        <v/>
      </c>
      <c r="O896" s="358" t="str">
        <f t="shared" si="9"/>
        <v/>
      </c>
    </row>
    <row r="897">
      <c r="A897" s="20">
        <v>44614.0</v>
      </c>
      <c r="B897" s="359"/>
      <c r="C897" s="359"/>
      <c r="D897" s="359"/>
      <c r="E897" s="359"/>
      <c r="J897" s="358" t="str">
        <f t="shared" si="4"/>
        <v/>
      </c>
      <c r="K897" s="358" t="str">
        <f t="shared" si="5"/>
        <v/>
      </c>
      <c r="L897" s="358" t="str">
        <f t="shared" si="6"/>
        <v/>
      </c>
      <c r="M897" s="358" t="str">
        <f t="shared" si="7"/>
        <v/>
      </c>
      <c r="N897" s="358" t="str">
        <f t="shared" si="8"/>
        <v/>
      </c>
      <c r="O897" s="358" t="str">
        <f t="shared" si="9"/>
        <v/>
      </c>
    </row>
    <row r="898">
      <c r="A898" s="20">
        <v>44615.0</v>
      </c>
      <c r="B898" s="359"/>
      <c r="C898" s="359"/>
      <c r="D898" s="359"/>
      <c r="E898" s="359"/>
      <c r="J898" s="358" t="str">
        <f t="shared" si="4"/>
        <v/>
      </c>
      <c r="K898" s="358" t="str">
        <f t="shared" si="5"/>
        <v/>
      </c>
      <c r="L898" s="358" t="str">
        <f t="shared" si="6"/>
        <v/>
      </c>
      <c r="M898" s="358" t="str">
        <f t="shared" si="7"/>
        <v/>
      </c>
      <c r="N898" s="358" t="str">
        <f t="shared" si="8"/>
        <v/>
      </c>
      <c r="O898" s="358" t="str">
        <f t="shared" si="9"/>
        <v/>
      </c>
    </row>
    <row r="899">
      <c r="A899" s="20">
        <v>44616.0</v>
      </c>
      <c r="B899" s="359"/>
      <c r="C899" s="359"/>
      <c r="D899" s="359"/>
      <c r="E899" s="359"/>
      <c r="J899" s="358" t="str">
        <f t="shared" si="4"/>
        <v/>
      </c>
      <c r="K899" s="358" t="str">
        <f t="shared" si="5"/>
        <v/>
      </c>
      <c r="L899" s="358" t="str">
        <f t="shared" si="6"/>
        <v/>
      </c>
      <c r="M899" s="358" t="str">
        <f t="shared" si="7"/>
        <v/>
      </c>
      <c r="N899" s="358" t="str">
        <f t="shared" si="8"/>
        <v/>
      </c>
      <c r="O899" s="358" t="str">
        <f t="shared" si="9"/>
        <v/>
      </c>
    </row>
    <row r="900">
      <c r="A900" s="20">
        <v>44617.0</v>
      </c>
      <c r="B900" s="359"/>
      <c r="C900" s="359"/>
      <c r="D900" s="359"/>
      <c r="E900" s="359"/>
      <c r="J900" s="358" t="str">
        <f t="shared" si="4"/>
        <v/>
      </c>
      <c r="K900" s="358" t="str">
        <f t="shared" si="5"/>
        <v/>
      </c>
      <c r="L900" s="358" t="str">
        <f t="shared" si="6"/>
        <v/>
      </c>
      <c r="M900" s="358" t="str">
        <f t="shared" si="7"/>
        <v/>
      </c>
      <c r="N900" s="358" t="str">
        <f t="shared" si="8"/>
        <v/>
      </c>
      <c r="O900" s="358" t="str">
        <f t="shared" si="9"/>
        <v/>
      </c>
    </row>
    <row r="901">
      <c r="A901" s="20">
        <v>44618.0</v>
      </c>
      <c r="B901" s="359"/>
      <c r="C901" s="359"/>
      <c r="D901" s="359"/>
      <c r="E901" s="359"/>
      <c r="J901" s="358" t="str">
        <f t="shared" si="4"/>
        <v/>
      </c>
      <c r="K901" s="358" t="str">
        <f t="shared" si="5"/>
        <v/>
      </c>
      <c r="L901" s="358" t="str">
        <f t="shared" si="6"/>
        <v/>
      </c>
      <c r="M901" s="358" t="str">
        <f t="shared" si="7"/>
        <v/>
      </c>
      <c r="N901" s="358" t="str">
        <f t="shared" si="8"/>
        <v/>
      </c>
      <c r="O901" s="358" t="str">
        <f t="shared" si="9"/>
        <v/>
      </c>
    </row>
    <row r="902">
      <c r="A902" s="20">
        <v>44619.0</v>
      </c>
      <c r="B902" s="359"/>
      <c r="C902" s="359"/>
      <c r="D902" s="359"/>
      <c r="E902" s="359"/>
      <c r="J902" s="358" t="str">
        <f t="shared" si="4"/>
        <v/>
      </c>
      <c r="K902" s="358" t="str">
        <f t="shared" si="5"/>
        <v/>
      </c>
      <c r="L902" s="358" t="str">
        <f t="shared" si="6"/>
        <v/>
      </c>
      <c r="M902" s="358" t="str">
        <f t="shared" si="7"/>
        <v/>
      </c>
      <c r="N902" s="358" t="str">
        <f t="shared" si="8"/>
        <v/>
      </c>
      <c r="O902" s="358" t="str">
        <f t="shared" si="9"/>
        <v/>
      </c>
    </row>
    <row r="903">
      <c r="A903" s="20">
        <v>44620.0</v>
      </c>
      <c r="B903" s="359"/>
      <c r="C903" s="359"/>
      <c r="D903" s="359"/>
      <c r="E903" s="359"/>
      <c r="J903" s="358" t="str">
        <f t="shared" si="4"/>
        <v/>
      </c>
      <c r="K903" s="358" t="str">
        <f t="shared" si="5"/>
        <v/>
      </c>
      <c r="L903" s="358" t="str">
        <f t="shared" si="6"/>
        <v/>
      </c>
      <c r="M903" s="358" t="str">
        <f t="shared" si="7"/>
        <v/>
      </c>
      <c r="N903" s="358" t="str">
        <f t="shared" si="8"/>
        <v/>
      </c>
      <c r="O903" s="358" t="str">
        <f t="shared" si="9"/>
        <v/>
      </c>
    </row>
    <row r="904">
      <c r="A904" s="20">
        <v>44621.0</v>
      </c>
      <c r="B904" s="359"/>
      <c r="C904" s="359"/>
      <c r="D904" s="359"/>
      <c r="E904" s="359"/>
      <c r="J904" s="358" t="str">
        <f t="shared" si="4"/>
        <v/>
      </c>
      <c r="K904" s="358" t="str">
        <f t="shared" si="5"/>
        <v/>
      </c>
      <c r="L904" s="358" t="str">
        <f t="shared" si="6"/>
        <v/>
      </c>
      <c r="M904" s="358" t="str">
        <f t="shared" si="7"/>
        <v/>
      </c>
      <c r="N904" s="358" t="str">
        <f t="shared" si="8"/>
        <v/>
      </c>
      <c r="O904" s="358" t="str">
        <f t="shared" si="9"/>
        <v/>
      </c>
    </row>
    <row r="905">
      <c r="A905" s="20">
        <v>44622.0</v>
      </c>
      <c r="B905" s="359"/>
      <c r="C905" s="359"/>
      <c r="D905" s="359"/>
      <c r="E905" s="359"/>
      <c r="J905" s="358" t="str">
        <f t="shared" si="4"/>
        <v/>
      </c>
      <c r="K905" s="358" t="str">
        <f t="shared" si="5"/>
        <v/>
      </c>
      <c r="L905" s="358" t="str">
        <f t="shared" si="6"/>
        <v/>
      </c>
      <c r="M905" s="358" t="str">
        <f t="shared" si="7"/>
        <v/>
      </c>
      <c r="N905" s="358" t="str">
        <f t="shared" si="8"/>
        <v/>
      </c>
      <c r="O905" s="358" t="str">
        <f t="shared" si="9"/>
        <v/>
      </c>
    </row>
    <row r="906">
      <c r="A906" s="20">
        <v>44623.0</v>
      </c>
      <c r="B906" s="359"/>
      <c r="C906" s="359"/>
      <c r="D906" s="359"/>
      <c r="E906" s="359"/>
      <c r="J906" s="358" t="str">
        <f t="shared" si="4"/>
        <v/>
      </c>
      <c r="K906" s="358" t="str">
        <f t="shared" si="5"/>
        <v/>
      </c>
      <c r="L906" s="358" t="str">
        <f t="shared" si="6"/>
        <v/>
      </c>
      <c r="M906" s="358" t="str">
        <f t="shared" si="7"/>
        <v/>
      </c>
      <c r="N906" s="358" t="str">
        <f t="shared" si="8"/>
        <v/>
      </c>
      <c r="O906" s="358" t="str">
        <f t="shared" si="9"/>
        <v/>
      </c>
    </row>
    <row r="907">
      <c r="A907" s="20">
        <v>44624.0</v>
      </c>
      <c r="B907" s="359"/>
      <c r="C907" s="359"/>
      <c r="D907" s="359"/>
      <c r="E907" s="359"/>
      <c r="J907" s="358" t="str">
        <f t="shared" si="4"/>
        <v/>
      </c>
      <c r="K907" s="358" t="str">
        <f t="shared" si="5"/>
        <v/>
      </c>
      <c r="L907" s="358" t="str">
        <f t="shared" si="6"/>
        <v/>
      </c>
      <c r="M907" s="358" t="str">
        <f t="shared" si="7"/>
        <v/>
      </c>
      <c r="N907" s="358" t="str">
        <f t="shared" si="8"/>
        <v/>
      </c>
      <c r="O907" s="358" t="str">
        <f t="shared" si="9"/>
        <v/>
      </c>
    </row>
    <row r="908">
      <c r="A908" s="20">
        <v>44625.0</v>
      </c>
      <c r="B908" s="359"/>
      <c r="C908" s="359"/>
      <c r="D908" s="359"/>
      <c r="E908" s="359"/>
      <c r="J908" s="358" t="str">
        <f t="shared" si="4"/>
        <v/>
      </c>
      <c r="K908" s="358" t="str">
        <f t="shared" si="5"/>
        <v/>
      </c>
      <c r="L908" s="358" t="str">
        <f t="shared" si="6"/>
        <v/>
      </c>
      <c r="M908" s="358" t="str">
        <f t="shared" si="7"/>
        <v/>
      </c>
      <c r="N908" s="358" t="str">
        <f t="shared" si="8"/>
        <v/>
      </c>
      <c r="O908" s="358" t="str">
        <f t="shared" si="9"/>
        <v/>
      </c>
    </row>
    <row r="909">
      <c r="A909" s="20">
        <v>44626.0</v>
      </c>
      <c r="B909" s="359"/>
      <c r="C909" s="359"/>
      <c r="D909" s="359"/>
      <c r="E909" s="359"/>
      <c r="J909" s="358" t="str">
        <f t="shared" si="4"/>
        <v/>
      </c>
      <c r="K909" s="358" t="str">
        <f t="shared" si="5"/>
        <v/>
      </c>
      <c r="L909" s="358" t="str">
        <f t="shared" si="6"/>
        <v/>
      </c>
      <c r="M909" s="358" t="str">
        <f t="shared" si="7"/>
        <v/>
      </c>
      <c r="N909" s="358" t="str">
        <f t="shared" si="8"/>
        <v/>
      </c>
      <c r="O909" s="358" t="str">
        <f t="shared" si="9"/>
        <v/>
      </c>
    </row>
    <row r="910">
      <c r="A910" s="20">
        <v>44627.0</v>
      </c>
      <c r="B910" s="359"/>
      <c r="C910" s="359"/>
      <c r="D910" s="359"/>
      <c r="E910" s="359"/>
      <c r="J910" s="358" t="str">
        <f t="shared" si="4"/>
        <v/>
      </c>
      <c r="K910" s="358" t="str">
        <f t="shared" si="5"/>
        <v/>
      </c>
      <c r="L910" s="358" t="str">
        <f t="shared" si="6"/>
        <v/>
      </c>
      <c r="M910" s="358" t="str">
        <f t="shared" si="7"/>
        <v/>
      </c>
      <c r="N910" s="358" t="str">
        <f t="shared" si="8"/>
        <v/>
      </c>
      <c r="O910" s="358" t="str">
        <f t="shared" si="9"/>
        <v/>
      </c>
    </row>
    <row r="911">
      <c r="A911" s="20">
        <v>44628.0</v>
      </c>
      <c r="B911" s="359"/>
      <c r="C911" s="359"/>
      <c r="D911" s="359"/>
      <c r="E911" s="359"/>
      <c r="J911" s="358" t="str">
        <f t="shared" si="4"/>
        <v/>
      </c>
      <c r="K911" s="358" t="str">
        <f t="shared" si="5"/>
        <v/>
      </c>
      <c r="L911" s="358" t="str">
        <f t="shared" si="6"/>
        <v/>
      </c>
      <c r="M911" s="358" t="str">
        <f t="shared" si="7"/>
        <v/>
      </c>
      <c r="N911" s="358" t="str">
        <f t="shared" si="8"/>
        <v/>
      </c>
      <c r="O911" s="358" t="str">
        <f t="shared" si="9"/>
        <v/>
      </c>
    </row>
    <row r="912">
      <c r="A912" s="20">
        <v>44629.0</v>
      </c>
      <c r="B912" s="359"/>
      <c r="C912" s="359"/>
      <c r="D912" s="359"/>
      <c r="E912" s="359"/>
      <c r="J912" s="358" t="str">
        <f t="shared" si="4"/>
        <v/>
      </c>
      <c r="K912" s="358" t="str">
        <f t="shared" si="5"/>
        <v/>
      </c>
      <c r="L912" s="358" t="str">
        <f t="shared" si="6"/>
        <v/>
      </c>
      <c r="M912" s="358" t="str">
        <f t="shared" si="7"/>
        <v/>
      </c>
      <c r="N912" s="358" t="str">
        <f t="shared" si="8"/>
        <v/>
      </c>
      <c r="O912" s="358" t="str">
        <f t="shared" si="9"/>
        <v/>
      </c>
    </row>
    <row r="913">
      <c r="A913" s="20">
        <v>44630.0</v>
      </c>
      <c r="B913" s="359"/>
      <c r="C913" s="359"/>
      <c r="D913" s="359"/>
      <c r="E913" s="359"/>
      <c r="J913" s="358" t="str">
        <f t="shared" si="4"/>
        <v/>
      </c>
      <c r="K913" s="358" t="str">
        <f t="shared" si="5"/>
        <v/>
      </c>
      <c r="L913" s="358" t="str">
        <f t="shared" si="6"/>
        <v/>
      </c>
      <c r="M913" s="358" t="str">
        <f t="shared" si="7"/>
        <v/>
      </c>
      <c r="N913" s="358" t="str">
        <f t="shared" si="8"/>
        <v/>
      </c>
      <c r="O913" s="358" t="str">
        <f t="shared" si="9"/>
        <v/>
      </c>
    </row>
    <row r="914">
      <c r="A914" s="20">
        <v>44631.0</v>
      </c>
      <c r="B914" s="359"/>
      <c r="C914" s="359"/>
      <c r="D914" s="359"/>
      <c r="E914" s="359"/>
      <c r="J914" s="358" t="str">
        <f t="shared" si="4"/>
        <v/>
      </c>
      <c r="K914" s="358" t="str">
        <f t="shared" si="5"/>
        <v/>
      </c>
      <c r="L914" s="358" t="str">
        <f t="shared" si="6"/>
        <v/>
      </c>
      <c r="M914" s="358" t="str">
        <f t="shared" si="7"/>
        <v/>
      </c>
      <c r="N914" s="358" t="str">
        <f t="shared" si="8"/>
        <v/>
      </c>
      <c r="O914" s="358" t="str">
        <f t="shared" si="9"/>
        <v/>
      </c>
    </row>
    <row r="915">
      <c r="A915" s="20">
        <v>44632.0</v>
      </c>
      <c r="B915" s="359"/>
      <c r="C915" s="359"/>
      <c r="D915" s="359"/>
      <c r="E915" s="359"/>
      <c r="J915" s="358" t="str">
        <f t="shared" si="4"/>
        <v/>
      </c>
      <c r="K915" s="358" t="str">
        <f t="shared" si="5"/>
        <v/>
      </c>
      <c r="L915" s="358" t="str">
        <f t="shared" si="6"/>
        <v/>
      </c>
      <c r="M915" s="358" t="str">
        <f t="shared" si="7"/>
        <v/>
      </c>
      <c r="N915" s="358" t="str">
        <f t="shared" si="8"/>
        <v/>
      </c>
      <c r="O915" s="358" t="str">
        <f t="shared" si="9"/>
        <v/>
      </c>
    </row>
    <row r="916">
      <c r="A916" s="20">
        <v>44633.0</v>
      </c>
      <c r="B916" s="359"/>
      <c r="C916" s="359"/>
      <c r="D916" s="359"/>
      <c r="E916" s="359"/>
      <c r="J916" s="358" t="str">
        <f t="shared" si="4"/>
        <v/>
      </c>
      <c r="K916" s="358" t="str">
        <f t="shared" si="5"/>
        <v/>
      </c>
      <c r="L916" s="358" t="str">
        <f t="shared" si="6"/>
        <v/>
      </c>
      <c r="M916" s="358" t="str">
        <f t="shared" si="7"/>
        <v/>
      </c>
      <c r="N916" s="358" t="str">
        <f t="shared" si="8"/>
        <v/>
      </c>
      <c r="O916" s="358" t="str">
        <f t="shared" si="9"/>
        <v/>
      </c>
    </row>
    <row r="917">
      <c r="A917" s="20">
        <v>44634.0</v>
      </c>
      <c r="B917" s="359"/>
      <c r="C917" s="359"/>
      <c r="D917" s="359"/>
      <c r="E917" s="359"/>
      <c r="J917" s="358" t="str">
        <f t="shared" si="4"/>
        <v/>
      </c>
      <c r="K917" s="358" t="str">
        <f t="shared" si="5"/>
        <v/>
      </c>
      <c r="L917" s="358" t="str">
        <f t="shared" si="6"/>
        <v/>
      </c>
      <c r="M917" s="358" t="str">
        <f t="shared" si="7"/>
        <v/>
      </c>
      <c r="N917" s="358" t="str">
        <f t="shared" si="8"/>
        <v/>
      </c>
      <c r="O917" s="358" t="str">
        <f t="shared" si="9"/>
        <v/>
      </c>
    </row>
    <row r="918">
      <c r="A918" s="20">
        <v>44635.0</v>
      </c>
      <c r="B918" s="359"/>
      <c r="C918" s="359"/>
      <c r="D918" s="359"/>
      <c r="E918" s="359"/>
      <c r="J918" s="358" t="str">
        <f t="shared" si="4"/>
        <v/>
      </c>
      <c r="K918" s="358" t="str">
        <f t="shared" si="5"/>
        <v/>
      </c>
      <c r="L918" s="358" t="str">
        <f t="shared" si="6"/>
        <v/>
      </c>
      <c r="M918" s="358" t="str">
        <f t="shared" si="7"/>
        <v/>
      </c>
      <c r="N918" s="358" t="str">
        <f t="shared" si="8"/>
        <v/>
      </c>
      <c r="O918" s="358" t="str">
        <f t="shared" si="9"/>
        <v/>
      </c>
    </row>
    <row r="919">
      <c r="A919" s="20">
        <v>44636.0</v>
      </c>
      <c r="B919" s="359"/>
      <c r="C919" s="359"/>
      <c r="D919" s="359"/>
      <c r="E919" s="359"/>
      <c r="J919" s="358" t="str">
        <f t="shared" si="4"/>
        <v/>
      </c>
      <c r="K919" s="358" t="str">
        <f t="shared" si="5"/>
        <v/>
      </c>
      <c r="L919" s="358" t="str">
        <f t="shared" si="6"/>
        <v/>
      </c>
      <c r="M919" s="358" t="str">
        <f t="shared" si="7"/>
        <v/>
      </c>
      <c r="N919" s="358" t="str">
        <f t="shared" si="8"/>
        <v/>
      </c>
      <c r="O919" s="358" t="str">
        <f t="shared" si="9"/>
        <v/>
      </c>
    </row>
    <row r="920">
      <c r="A920" s="20">
        <v>44637.0</v>
      </c>
      <c r="B920" s="359"/>
      <c r="C920" s="359"/>
      <c r="D920" s="359"/>
      <c r="E920" s="359"/>
      <c r="J920" s="358" t="str">
        <f t="shared" si="4"/>
        <v/>
      </c>
      <c r="K920" s="358" t="str">
        <f t="shared" si="5"/>
        <v/>
      </c>
      <c r="L920" s="358" t="str">
        <f t="shared" si="6"/>
        <v/>
      </c>
      <c r="M920" s="358" t="str">
        <f t="shared" si="7"/>
        <v/>
      </c>
      <c r="N920" s="358" t="str">
        <f t="shared" si="8"/>
        <v/>
      </c>
      <c r="O920" s="358" t="str">
        <f t="shared" si="9"/>
        <v/>
      </c>
    </row>
    <row r="921">
      <c r="A921" s="20">
        <v>44638.0</v>
      </c>
      <c r="B921" s="359"/>
      <c r="C921" s="359"/>
      <c r="D921" s="359"/>
      <c r="E921" s="359"/>
      <c r="J921" s="358" t="str">
        <f t="shared" si="4"/>
        <v/>
      </c>
      <c r="K921" s="358" t="str">
        <f t="shared" si="5"/>
        <v/>
      </c>
      <c r="L921" s="358" t="str">
        <f t="shared" si="6"/>
        <v/>
      </c>
      <c r="M921" s="358" t="str">
        <f t="shared" si="7"/>
        <v/>
      </c>
      <c r="N921" s="358" t="str">
        <f t="shared" si="8"/>
        <v/>
      </c>
      <c r="O921" s="358" t="str">
        <f t="shared" si="9"/>
        <v/>
      </c>
    </row>
    <row r="922">
      <c r="A922" s="20">
        <v>44639.0</v>
      </c>
      <c r="B922" s="359"/>
      <c r="C922" s="359"/>
      <c r="D922" s="359"/>
      <c r="E922" s="359"/>
      <c r="J922" s="358" t="str">
        <f t="shared" si="4"/>
        <v/>
      </c>
      <c r="K922" s="358" t="str">
        <f t="shared" si="5"/>
        <v/>
      </c>
      <c r="L922" s="358" t="str">
        <f t="shared" si="6"/>
        <v/>
      </c>
      <c r="M922" s="358" t="str">
        <f t="shared" si="7"/>
        <v/>
      </c>
      <c r="N922" s="358" t="str">
        <f t="shared" si="8"/>
        <v/>
      </c>
      <c r="O922" s="358" t="str">
        <f t="shared" si="9"/>
        <v/>
      </c>
    </row>
    <row r="923">
      <c r="A923" s="20">
        <v>44640.0</v>
      </c>
      <c r="B923" s="359"/>
      <c r="C923" s="359"/>
      <c r="D923" s="359"/>
      <c r="E923" s="359"/>
      <c r="J923" s="358" t="str">
        <f t="shared" si="4"/>
        <v/>
      </c>
      <c r="K923" s="358" t="str">
        <f t="shared" si="5"/>
        <v/>
      </c>
      <c r="L923" s="358" t="str">
        <f t="shared" si="6"/>
        <v/>
      </c>
      <c r="M923" s="358" t="str">
        <f t="shared" si="7"/>
        <v/>
      </c>
      <c r="N923" s="358" t="str">
        <f t="shared" si="8"/>
        <v/>
      </c>
      <c r="O923" s="358" t="str">
        <f t="shared" si="9"/>
        <v/>
      </c>
    </row>
    <row r="924">
      <c r="A924" s="20">
        <v>44641.0</v>
      </c>
      <c r="B924" s="359"/>
      <c r="C924" s="359"/>
      <c r="D924" s="359"/>
      <c r="E924" s="359"/>
      <c r="J924" s="358" t="str">
        <f t="shared" si="4"/>
        <v/>
      </c>
      <c r="K924" s="358" t="str">
        <f t="shared" si="5"/>
        <v/>
      </c>
      <c r="L924" s="358" t="str">
        <f t="shared" si="6"/>
        <v/>
      </c>
      <c r="M924" s="358" t="str">
        <f t="shared" si="7"/>
        <v/>
      </c>
      <c r="N924" s="358" t="str">
        <f t="shared" si="8"/>
        <v/>
      </c>
      <c r="O924" s="358" t="str">
        <f t="shared" si="9"/>
        <v/>
      </c>
    </row>
    <row r="925">
      <c r="A925" s="20">
        <v>44642.0</v>
      </c>
      <c r="B925" s="359"/>
      <c r="C925" s="359"/>
      <c r="D925" s="359"/>
      <c r="E925" s="359"/>
      <c r="J925" s="358" t="str">
        <f t="shared" si="4"/>
        <v/>
      </c>
      <c r="K925" s="358" t="str">
        <f t="shared" si="5"/>
        <v/>
      </c>
      <c r="L925" s="358" t="str">
        <f t="shared" si="6"/>
        <v/>
      </c>
      <c r="M925" s="358" t="str">
        <f t="shared" si="7"/>
        <v/>
      </c>
      <c r="N925" s="358" t="str">
        <f t="shared" si="8"/>
        <v/>
      </c>
      <c r="O925" s="358" t="str">
        <f t="shared" si="9"/>
        <v/>
      </c>
    </row>
    <row r="926">
      <c r="A926" s="20">
        <v>44643.0</v>
      </c>
      <c r="B926" s="359"/>
      <c r="C926" s="359"/>
      <c r="D926" s="359"/>
      <c r="E926" s="359"/>
      <c r="J926" s="358" t="str">
        <f t="shared" si="4"/>
        <v/>
      </c>
      <c r="K926" s="358" t="str">
        <f t="shared" si="5"/>
        <v/>
      </c>
      <c r="L926" s="358" t="str">
        <f t="shared" si="6"/>
        <v/>
      </c>
      <c r="M926" s="358" t="str">
        <f t="shared" si="7"/>
        <v/>
      </c>
      <c r="N926" s="358" t="str">
        <f t="shared" si="8"/>
        <v/>
      </c>
      <c r="O926" s="358" t="str">
        <f t="shared" si="9"/>
        <v/>
      </c>
    </row>
    <row r="927">
      <c r="A927" s="20">
        <v>44644.0</v>
      </c>
      <c r="B927" s="359"/>
      <c r="C927" s="359"/>
      <c r="D927" s="359"/>
      <c r="E927" s="359"/>
      <c r="J927" s="358" t="str">
        <f t="shared" si="4"/>
        <v/>
      </c>
      <c r="K927" s="358" t="str">
        <f t="shared" si="5"/>
        <v/>
      </c>
      <c r="L927" s="358" t="str">
        <f t="shared" si="6"/>
        <v/>
      </c>
      <c r="M927" s="358" t="str">
        <f t="shared" si="7"/>
        <v/>
      </c>
      <c r="N927" s="358" t="str">
        <f t="shared" si="8"/>
        <v/>
      </c>
      <c r="O927" s="358" t="str">
        <f t="shared" si="9"/>
        <v/>
      </c>
    </row>
    <row r="928">
      <c r="A928" s="20">
        <v>44645.0</v>
      </c>
      <c r="B928" s="359"/>
      <c r="C928" s="359"/>
      <c r="D928" s="359"/>
      <c r="E928" s="359"/>
      <c r="J928" s="358" t="str">
        <f t="shared" si="4"/>
        <v/>
      </c>
      <c r="K928" s="358" t="str">
        <f t="shared" si="5"/>
        <v/>
      </c>
      <c r="L928" s="358" t="str">
        <f t="shared" si="6"/>
        <v/>
      </c>
      <c r="M928" s="358" t="str">
        <f t="shared" si="7"/>
        <v/>
      </c>
      <c r="N928" s="358" t="str">
        <f t="shared" si="8"/>
        <v/>
      </c>
      <c r="O928" s="358" t="str">
        <f t="shared" si="9"/>
        <v/>
      </c>
    </row>
    <row r="929">
      <c r="A929" s="20">
        <v>44646.0</v>
      </c>
      <c r="B929" s="359"/>
      <c r="C929" s="359"/>
      <c r="D929" s="359"/>
      <c r="E929" s="359"/>
      <c r="J929" s="358" t="str">
        <f t="shared" si="4"/>
        <v/>
      </c>
      <c r="K929" s="358" t="str">
        <f t="shared" si="5"/>
        <v/>
      </c>
      <c r="L929" s="358" t="str">
        <f t="shared" si="6"/>
        <v/>
      </c>
      <c r="M929" s="358" t="str">
        <f t="shared" si="7"/>
        <v/>
      </c>
      <c r="N929" s="358" t="str">
        <f t="shared" si="8"/>
        <v/>
      </c>
      <c r="O929" s="358" t="str">
        <f t="shared" si="9"/>
        <v/>
      </c>
    </row>
    <row r="930">
      <c r="A930" s="20">
        <v>44647.0</v>
      </c>
      <c r="B930" s="359"/>
      <c r="C930" s="359"/>
      <c r="D930" s="359"/>
      <c r="E930" s="359"/>
      <c r="J930" s="358" t="str">
        <f t="shared" si="4"/>
        <v/>
      </c>
      <c r="K930" s="358" t="str">
        <f t="shared" si="5"/>
        <v/>
      </c>
      <c r="L930" s="358" t="str">
        <f t="shared" si="6"/>
        <v/>
      </c>
      <c r="M930" s="358" t="str">
        <f t="shared" si="7"/>
        <v/>
      </c>
      <c r="N930" s="358" t="str">
        <f t="shared" si="8"/>
        <v/>
      </c>
      <c r="O930" s="358" t="str">
        <f t="shared" si="9"/>
        <v/>
      </c>
    </row>
    <row r="931">
      <c r="A931" s="20">
        <v>44648.0</v>
      </c>
      <c r="B931" s="359"/>
      <c r="C931" s="359"/>
      <c r="D931" s="359"/>
      <c r="E931" s="359"/>
      <c r="J931" s="358" t="str">
        <f t="shared" si="4"/>
        <v/>
      </c>
      <c r="K931" s="358" t="str">
        <f t="shared" si="5"/>
        <v/>
      </c>
      <c r="L931" s="358" t="str">
        <f t="shared" si="6"/>
        <v/>
      </c>
      <c r="M931" s="358" t="str">
        <f t="shared" si="7"/>
        <v/>
      </c>
      <c r="N931" s="358" t="str">
        <f t="shared" si="8"/>
        <v/>
      </c>
      <c r="O931" s="358" t="str">
        <f t="shared" si="9"/>
        <v/>
      </c>
    </row>
    <row r="932">
      <c r="A932" s="20">
        <v>44649.0</v>
      </c>
      <c r="B932" s="359"/>
      <c r="C932" s="359"/>
      <c r="D932" s="359"/>
      <c r="E932" s="359"/>
      <c r="J932" s="358" t="str">
        <f t="shared" si="4"/>
        <v/>
      </c>
      <c r="K932" s="358" t="str">
        <f t="shared" si="5"/>
        <v/>
      </c>
      <c r="L932" s="358" t="str">
        <f t="shared" si="6"/>
        <v/>
      </c>
      <c r="M932" s="358" t="str">
        <f t="shared" si="7"/>
        <v/>
      </c>
      <c r="N932" s="358" t="str">
        <f t="shared" si="8"/>
        <v/>
      </c>
      <c r="O932" s="358" t="str">
        <f t="shared" si="9"/>
        <v/>
      </c>
    </row>
    <row r="933">
      <c r="A933" s="20">
        <v>44650.0</v>
      </c>
      <c r="B933" s="359"/>
      <c r="C933" s="359"/>
      <c r="D933" s="359"/>
      <c r="E933" s="359"/>
      <c r="J933" s="358" t="str">
        <f t="shared" si="4"/>
        <v/>
      </c>
      <c r="K933" s="358" t="str">
        <f t="shared" si="5"/>
        <v/>
      </c>
      <c r="L933" s="358" t="str">
        <f t="shared" si="6"/>
        <v/>
      </c>
      <c r="M933" s="358" t="str">
        <f t="shared" si="7"/>
        <v/>
      </c>
      <c r="N933" s="358" t="str">
        <f t="shared" si="8"/>
        <v/>
      </c>
      <c r="O933" s="358" t="str">
        <f t="shared" si="9"/>
        <v/>
      </c>
    </row>
    <row r="934">
      <c r="A934" s="20">
        <v>44651.0</v>
      </c>
      <c r="B934" s="359"/>
      <c r="C934" s="359"/>
      <c r="D934" s="359"/>
      <c r="E934" s="359"/>
      <c r="J934" s="358" t="str">
        <f t="shared" si="4"/>
        <v/>
      </c>
      <c r="K934" s="358" t="str">
        <f t="shared" si="5"/>
        <v/>
      </c>
      <c r="L934" s="358" t="str">
        <f t="shared" si="6"/>
        <v/>
      </c>
      <c r="M934" s="358" t="str">
        <f t="shared" si="7"/>
        <v/>
      </c>
      <c r="N934" s="358" t="str">
        <f t="shared" si="8"/>
        <v/>
      </c>
      <c r="O934" s="358" t="str">
        <f t="shared" si="9"/>
        <v/>
      </c>
    </row>
    <row r="935">
      <c r="A935" s="20">
        <v>44652.0</v>
      </c>
      <c r="B935" s="359"/>
      <c r="C935" s="359"/>
      <c r="D935" s="359"/>
      <c r="E935" s="359"/>
      <c r="J935" s="358" t="str">
        <f t="shared" si="4"/>
        <v/>
      </c>
      <c r="K935" s="358" t="str">
        <f t="shared" si="5"/>
        <v/>
      </c>
      <c r="L935" s="358" t="str">
        <f t="shared" si="6"/>
        <v/>
      </c>
      <c r="M935" s="358" t="str">
        <f t="shared" si="7"/>
        <v/>
      </c>
      <c r="N935" s="358" t="str">
        <f t="shared" si="8"/>
        <v/>
      </c>
      <c r="O935" s="358" t="str">
        <f t="shared" si="9"/>
        <v/>
      </c>
    </row>
    <row r="936">
      <c r="A936" s="20">
        <v>44653.0</v>
      </c>
      <c r="B936" s="359"/>
      <c r="C936" s="359"/>
      <c r="D936" s="359"/>
      <c r="E936" s="359"/>
      <c r="J936" s="358" t="str">
        <f t="shared" si="4"/>
        <v/>
      </c>
      <c r="K936" s="358" t="str">
        <f t="shared" si="5"/>
        <v/>
      </c>
      <c r="L936" s="358" t="str">
        <f t="shared" si="6"/>
        <v/>
      </c>
      <c r="M936" s="358" t="str">
        <f t="shared" si="7"/>
        <v/>
      </c>
      <c r="N936" s="358" t="str">
        <f t="shared" si="8"/>
        <v/>
      </c>
      <c r="O936" s="358" t="str">
        <f t="shared" si="9"/>
        <v/>
      </c>
    </row>
    <row r="937">
      <c r="A937" s="20">
        <v>44654.0</v>
      </c>
      <c r="B937" s="359"/>
      <c r="C937" s="359"/>
      <c r="D937" s="359"/>
      <c r="E937" s="359"/>
      <c r="J937" s="358" t="str">
        <f t="shared" si="4"/>
        <v/>
      </c>
      <c r="K937" s="358" t="str">
        <f t="shared" si="5"/>
        <v/>
      </c>
      <c r="L937" s="358" t="str">
        <f t="shared" si="6"/>
        <v/>
      </c>
      <c r="M937" s="358" t="str">
        <f t="shared" si="7"/>
        <v/>
      </c>
      <c r="N937" s="358" t="str">
        <f t="shared" si="8"/>
        <v/>
      </c>
      <c r="O937" s="358" t="str">
        <f t="shared" si="9"/>
        <v/>
      </c>
    </row>
    <row r="938">
      <c r="A938" s="20">
        <v>44655.0</v>
      </c>
      <c r="B938" s="359"/>
      <c r="C938" s="359"/>
      <c r="D938" s="359"/>
      <c r="E938" s="359"/>
      <c r="J938" s="358" t="str">
        <f t="shared" si="4"/>
        <v/>
      </c>
      <c r="K938" s="358" t="str">
        <f t="shared" si="5"/>
        <v/>
      </c>
      <c r="L938" s="358" t="str">
        <f t="shared" si="6"/>
        <v/>
      </c>
      <c r="M938" s="358" t="str">
        <f t="shared" si="7"/>
        <v/>
      </c>
      <c r="N938" s="358" t="str">
        <f t="shared" si="8"/>
        <v/>
      </c>
      <c r="O938" s="358" t="str">
        <f t="shared" si="9"/>
        <v/>
      </c>
    </row>
    <row r="939">
      <c r="A939" s="20">
        <v>44656.0</v>
      </c>
      <c r="B939" s="359"/>
      <c r="C939" s="359"/>
      <c r="D939" s="359"/>
      <c r="E939" s="359"/>
      <c r="J939" s="358" t="str">
        <f t="shared" si="4"/>
        <v/>
      </c>
      <c r="K939" s="358" t="str">
        <f t="shared" si="5"/>
        <v/>
      </c>
      <c r="L939" s="358" t="str">
        <f t="shared" si="6"/>
        <v/>
      </c>
      <c r="M939" s="358" t="str">
        <f t="shared" si="7"/>
        <v/>
      </c>
      <c r="N939" s="358" t="str">
        <f t="shared" si="8"/>
        <v/>
      </c>
      <c r="O939" s="358" t="str">
        <f t="shared" si="9"/>
        <v/>
      </c>
    </row>
    <row r="940">
      <c r="A940" s="20">
        <v>44657.0</v>
      </c>
      <c r="B940" s="359"/>
      <c r="C940" s="359"/>
      <c r="D940" s="359"/>
      <c r="E940" s="359"/>
      <c r="J940" s="358" t="str">
        <f t="shared" si="4"/>
        <v/>
      </c>
      <c r="K940" s="358" t="str">
        <f t="shared" si="5"/>
        <v/>
      </c>
      <c r="L940" s="358" t="str">
        <f t="shared" si="6"/>
        <v/>
      </c>
      <c r="M940" s="358" t="str">
        <f t="shared" si="7"/>
        <v/>
      </c>
      <c r="N940" s="358" t="str">
        <f t="shared" si="8"/>
        <v/>
      </c>
      <c r="O940" s="358" t="str">
        <f t="shared" si="9"/>
        <v/>
      </c>
    </row>
    <row r="941">
      <c r="A941" s="20">
        <v>44658.0</v>
      </c>
      <c r="B941" s="359"/>
      <c r="C941" s="359"/>
      <c r="D941" s="359"/>
      <c r="E941" s="359"/>
      <c r="J941" s="358" t="str">
        <f t="shared" si="4"/>
        <v/>
      </c>
      <c r="K941" s="358" t="str">
        <f t="shared" si="5"/>
        <v/>
      </c>
      <c r="L941" s="358" t="str">
        <f t="shared" si="6"/>
        <v/>
      </c>
      <c r="M941" s="358" t="str">
        <f t="shared" si="7"/>
        <v/>
      </c>
      <c r="N941" s="358" t="str">
        <f t="shared" si="8"/>
        <v/>
      </c>
      <c r="O941" s="358" t="str">
        <f t="shared" si="9"/>
        <v/>
      </c>
    </row>
    <row r="942">
      <c r="A942" s="20">
        <v>44659.0</v>
      </c>
      <c r="B942" s="359"/>
      <c r="C942" s="359"/>
      <c r="D942" s="359"/>
      <c r="E942" s="359"/>
      <c r="J942" s="358" t="str">
        <f t="shared" si="4"/>
        <v/>
      </c>
      <c r="K942" s="358" t="str">
        <f t="shared" si="5"/>
        <v/>
      </c>
      <c r="L942" s="358" t="str">
        <f t="shared" si="6"/>
        <v/>
      </c>
      <c r="M942" s="358" t="str">
        <f t="shared" si="7"/>
        <v/>
      </c>
      <c r="N942" s="358" t="str">
        <f t="shared" si="8"/>
        <v/>
      </c>
      <c r="O942" s="358" t="str">
        <f t="shared" si="9"/>
        <v/>
      </c>
    </row>
    <row r="943">
      <c r="A943" s="20">
        <v>44660.0</v>
      </c>
      <c r="B943" s="359"/>
      <c r="C943" s="359"/>
      <c r="D943" s="359"/>
      <c r="E943" s="359"/>
      <c r="J943" s="358" t="str">
        <f t="shared" si="4"/>
        <v/>
      </c>
      <c r="K943" s="358" t="str">
        <f t="shared" si="5"/>
        <v/>
      </c>
      <c r="L943" s="358" t="str">
        <f t="shared" si="6"/>
        <v/>
      </c>
      <c r="M943" s="358" t="str">
        <f t="shared" si="7"/>
        <v/>
      </c>
      <c r="N943" s="358" t="str">
        <f t="shared" si="8"/>
        <v/>
      </c>
      <c r="O943" s="358" t="str">
        <f t="shared" si="9"/>
        <v/>
      </c>
    </row>
    <row r="944">
      <c r="A944" s="20">
        <v>44661.0</v>
      </c>
      <c r="B944" s="359"/>
      <c r="C944" s="359"/>
      <c r="D944" s="359"/>
      <c r="E944" s="359"/>
      <c r="J944" s="358" t="str">
        <f t="shared" si="4"/>
        <v/>
      </c>
      <c r="K944" s="358" t="str">
        <f t="shared" si="5"/>
        <v/>
      </c>
      <c r="L944" s="358" t="str">
        <f t="shared" si="6"/>
        <v/>
      </c>
      <c r="M944" s="358" t="str">
        <f t="shared" si="7"/>
        <v/>
      </c>
      <c r="N944" s="358" t="str">
        <f t="shared" si="8"/>
        <v/>
      </c>
      <c r="O944" s="358" t="str">
        <f t="shared" si="9"/>
        <v/>
      </c>
    </row>
    <row r="945">
      <c r="A945" s="20">
        <v>44662.0</v>
      </c>
      <c r="B945" s="359"/>
      <c r="C945" s="359"/>
      <c r="D945" s="359"/>
      <c r="E945" s="359"/>
      <c r="J945" s="358" t="str">
        <f t="shared" si="4"/>
        <v/>
      </c>
      <c r="K945" s="358" t="str">
        <f t="shared" si="5"/>
        <v/>
      </c>
      <c r="L945" s="358" t="str">
        <f t="shared" si="6"/>
        <v/>
      </c>
      <c r="M945" s="358" t="str">
        <f t="shared" si="7"/>
        <v/>
      </c>
      <c r="N945" s="358" t="str">
        <f t="shared" si="8"/>
        <v/>
      </c>
      <c r="O945" s="358" t="str">
        <f t="shared" si="9"/>
        <v/>
      </c>
    </row>
    <row r="946">
      <c r="A946" s="20">
        <v>44663.0</v>
      </c>
      <c r="B946" s="359"/>
      <c r="C946" s="359"/>
      <c r="D946" s="359"/>
      <c r="E946" s="359"/>
      <c r="J946" s="358" t="str">
        <f t="shared" si="4"/>
        <v/>
      </c>
      <c r="K946" s="358" t="str">
        <f t="shared" si="5"/>
        <v/>
      </c>
      <c r="L946" s="358" t="str">
        <f t="shared" si="6"/>
        <v/>
      </c>
      <c r="M946" s="358" t="str">
        <f t="shared" si="7"/>
        <v/>
      </c>
      <c r="N946" s="358" t="str">
        <f t="shared" si="8"/>
        <v/>
      </c>
      <c r="O946" s="358" t="str">
        <f t="shared" si="9"/>
        <v/>
      </c>
    </row>
    <row r="947">
      <c r="A947" s="20">
        <v>44664.0</v>
      </c>
      <c r="B947" s="359"/>
      <c r="C947" s="359"/>
      <c r="D947" s="359"/>
      <c r="E947" s="359"/>
      <c r="J947" s="358" t="str">
        <f t="shared" si="4"/>
        <v/>
      </c>
      <c r="K947" s="358" t="str">
        <f t="shared" si="5"/>
        <v/>
      </c>
      <c r="L947" s="358" t="str">
        <f t="shared" si="6"/>
        <v/>
      </c>
      <c r="M947" s="358" t="str">
        <f t="shared" si="7"/>
        <v/>
      </c>
      <c r="N947" s="358" t="str">
        <f t="shared" si="8"/>
        <v/>
      </c>
      <c r="O947" s="358" t="str">
        <f t="shared" si="9"/>
        <v/>
      </c>
    </row>
    <row r="948">
      <c r="A948" s="20">
        <v>44665.0</v>
      </c>
      <c r="B948" s="359"/>
      <c r="C948" s="359"/>
      <c r="D948" s="359"/>
      <c r="E948" s="359"/>
      <c r="J948" s="358" t="str">
        <f t="shared" si="4"/>
        <v/>
      </c>
      <c r="K948" s="358" t="str">
        <f t="shared" si="5"/>
        <v/>
      </c>
      <c r="L948" s="358" t="str">
        <f t="shared" si="6"/>
        <v/>
      </c>
      <c r="M948" s="358" t="str">
        <f t="shared" si="7"/>
        <v/>
      </c>
      <c r="N948" s="358" t="str">
        <f t="shared" si="8"/>
        <v/>
      </c>
      <c r="O948" s="358" t="str">
        <f t="shared" si="9"/>
        <v/>
      </c>
    </row>
    <row r="949">
      <c r="A949" s="20">
        <v>44666.0</v>
      </c>
      <c r="B949" s="359"/>
      <c r="C949" s="359"/>
      <c r="D949" s="359"/>
      <c r="E949" s="359"/>
      <c r="J949" s="358" t="str">
        <f t="shared" si="4"/>
        <v/>
      </c>
      <c r="K949" s="358" t="str">
        <f t="shared" si="5"/>
        <v/>
      </c>
      <c r="L949" s="358" t="str">
        <f t="shared" si="6"/>
        <v/>
      </c>
      <c r="M949" s="358" t="str">
        <f t="shared" si="7"/>
        <v/>
      </c>
      <c r="N949" s="358" t="str">
        <f t="shared" si="8"/>
        <v/>
      </c>
      <c r="O949" s="358" t="str">
        <f t="shared" si="9"/>
        <v/>
      </c>
    </row>
    <row r="950">
      <c r="A950" s="20">
        <v>44667.0</v>
      </c>
      <c r="B950" s="359"/>
      <c r="C950" s="359"/>
      <c r="D950" s="359"/>
      <c r="E950" s="359"/>
      <c r="J950" s="358" t="str">
        <f t="shared" si="4"/>
        <v/>
      </c>
      <c r="K950" s="358" t="str">
        <f t="shared" si="5"/>
        <v/>
      </c>
      <c r="L950" s="358" t="str">
        <f t="shared" si="6"/>
        <v/>
      </c>
      <c r="M950" s="358" t="str">
        <f t="shared" si="7"/>
        <v/>
      </c>
      <c r="N950" s="358" t="str">
        <f t="shared" si="8"/>
        <v/>
      </c>
      <c r="O950" s="358" t="str">
        <f t="shared" si="9"/>
        <v/>
      </c>
    </row>
    <row r="951">
      <c r="A951" s="20">
        <v>44668.0</v>
      </c>
      <c r="B951" s="359"/>
      <c r="C951" s="359"/>
      <c r="D951" s="359"/>
      <c r="E951" s="359"/>
      <c r="J951" s="358" t="str">
        <f t="shared" si="4"/>
        <v/>
      </c>
      <c r="K951" s="358" t="str">
        <f t="shared" si="5"/>
        <v/>
      </c>
      <c r="L951" s="358" t="str">
        <f t="shared" si="6"/>
        <v/>
      </c>
      <c r="M951" s="358" t="str">
        <f t="shared" si="7"/>
        <v/>
      </c>
      <c r="N951" s="358" t="str">
        <f t="shared" si="8"/>
        <v/>
      </c>
      <c r="O951" s="358" t="str">
        <f t="shared" si="9"/>
        <v/>
      </c>
    </row>
    <row r="952">
      <c r="A952" s="20">
        <v>44669.0</v>
      </c>
      <c r="B952" s="359"/>
      <c r="C952" s="359"/>
      <c r="D952" s="359"/>
      <c r="E952" s="359"/>
      <c r="J952" s="358" t="str">
        <f t="shared" si="4"/>
        <v/>
      </c>
      <c r="K952" s="358" t="str">
        <f t="shared" si="5"/>
        <v/>
      </c>
      <c r="L952" s="358" t="str">
        <f t="shared" si="6"/>
        <v/>
      </c>
      <c r="M952" s="358" t="str">
        <f t="shared" si="7"/>
        <v/>
      </c>
      <c r="N952" s="358" t="str">
        <f t="shared" si="8"/>
        <v/>
      </c>
      <c r="O952" s="358" t="str">
        <f t="shared" si="9"/>
        <v/>
      </c>
    </row>
    <row r="953">
      <c r="A953" s="20">
        <v>44670.0</v>
      </c>
      <c r="B953" s="359"/>
      <c r="C953" s="359"/>
      <c r="D953" s="359"/>
      <c r="E953" s="359"/>
      <c r="J953" s="358" t="str">
        <f t="shared" si="4"/>
        <v/>
      </c>
      <c r="K953" s="358" t="str">
        <f t="shared" si="5"/>
        <v/>
      </c>
      <c r="L953" s="358" t="str">
        <f t="shared" si="6"/>
        <v/>
      </c>
      <c r="M953" s="358" t="str">
        <f t="shared" si="7"/>
        <v/>
      </c>
      <c r="N953" s="358" t="str">
        <f t="shared" si="8"/>
        <v/>
      </c>
      <c r="O953" s="358" t="str">
        <f t="shared" si="9"/>
        <v/>
      </c>
    </row>
    <row r="954">
      <c r="A954" s="20">
        <v>44671.0</v>
      </c>
      <c r="B954" s="359"/>
      <c r="C954" s="359"/>
      <c r="D954" s="359"/>
      <c r="E954" s="359"/>
      <c r="J954" s="358" t="str">
        <f t="shared" si="4"/>
        <v/>
      </c>
      <c r="K954" s="358" t="str">
        <f t="shared" si="5"/>
        <v/>
      </c>
      <c r="L954" s="358" t="str">
        <f t="shared" si="6"/>
        <v/>
      </c>
      <c r="M954" s="358" t="str">
        <f t="shared" si="7"/>
        <v/>
      </c>
      <c r="N954" s="358" t="str">
        <f t="shared" si="8"/>
        <v/>
      </c>
      <c r="O954" s="358" t="str">
        <f t="shared" si="9"/>
        <v/>
      </c>
    </row>
    <row r="955">
      <c r="A955" s="20">
        <v>44672.0</v>
      </c>
      <c r="B955" s="359"/>
      <c r="C955" s="359"/>
      <c r="D955" s="359"/>
      <c r="E955" s="359"/>
      <c r="J955" s="358" t="str">
        <f t="shared" si="4"/>
        <v/>
      </c>
      <c r="K955" s="358" t="str">
        <f t="shared" si="5"/>
        <v/>
      </c>
      <c r="L955" s="358" t="str">
        <f t="shared" si="6"/>
        <v/>
      </c>
      <c r="M955" s="358" t="str">
        <f t="shared" si="7"/>
        <v/>
      </c>
      <c r="N955" s="358" t="str">
        <f t="shared" si="8"/>
        <v/>
      </c>
      <c r="O955" s="358" t="str">
        <f t="shared" si="9"/>
        <v/>
      </c>
    </row>
    <row r="956">
      <c r="A956" s="20">
        <v>44673.0</v>
      </c>
      <c r="B956" s="359"/>
      <c r="C956" s="359"/>
      <c r="D956" s="359"/>
      <c r="E956" s="359"/>
      <c r="J956" s="358" t="str">
        <f t="shared" si="4"/>
        <v/>
      </c>
      <c r="K956" s="358" t="str">
        <f t="shared" si="5"/>
        <v/>
      </c>
      <c r="L956" s="358" t="str">
        <f t="shared" si="6"/>
        <v/>
      </c>
      <c r="M956" s="358" t="str">
        <f t="shared" si="7"/>
        <v/>
      </c>
      <c r="N956" s="358" t="str">
        <f t="shared" si="8"/>
        <v/>
      </c>
      <c r="O956" s="358" t="str">
        <f t="shared" si="9"/>
        <v/>
      </c>
    </row>
    <row r="957">
      <c r="A957" s="20">
        <v>44674.0</v>
      </c>
      <c r="B957" s="359"/>
      <c r="C957" s="359"/>
      <c r="D957" s="359"/>
      <c r="E957" s="359"/>
      <c r="J957" s="358" t="str">
        <f t="shared" si="4"/>
        <v/>
      </c>
      <c r="K957" s="358" t="str">
        <f t="shared" si="5"/>
        <v/>
      </c>
      <c r="L957" s="358" t="str">
        <f t="shared" si="6"/>
        <v/>
      </c>
      <c r="M957" s="358" t="str">
        <f t="shared" si="7"/>
        <v/>
      </c>
      <c r="N957" s="358" t="str">
        <f t="shared" si="8"/>
        <v/>
      </c>
      <c r="O957" s="358" t="str">
        <f t="shared" si="9"/>
        <v/>
      </c>
    </row>
    <row r="958">
      <c r="A958" s="20">
        <v>44675.0</v>
      </c>
      <c r="B958" s="359"/>
      <c r="C958" s="359"/>
      <c r="D958" s="359"/>
      <c r="E958" s="359"/>
      <c r="J958" s="358" t="str">
        <f t="shared" si="4"/>
        <v/>
      </c>
      <c r="K958" s="358" t="str">
        <f t="shared" si="5"/>
        <v/>
      </c>
      <c r="L958" s="358" t="str">
        <f t="shared" si="6"/>
        <v/>
      </c>
      <c r="M958" s="358" t="str">
        <f t="shared" si="7"/>
        <v/>
      </c>
      <c r="N958" s="358" t="str">
        <f t="shared" si="8"/>
        <v/>
      </c>
      <c r="O958" s="358" t="str">
        <f t="shared" si="9"/>
        <v/>
      </c>
    </row>
    <row r="959">
      <c r="A959" s="20">
        <v>44676.0</v>
      </c>
      <c r="B959" s="359"/>
      <c r="C959" s="359"/>
      <c r="D959" s="359"/>
      <c r="E959" s="359"/>
      <c r="J959" s="358" t="str">
        <f t="shared" si="4"/>
        <v/>
      </c>
      <c r="K959" s="358" t="str">
        <f t="shared" si="5"/>
        <v/>
      </c>
      <c r="L959" s="358" t="str">
        <f t="shared" si="6"/>
        <v/>
      </c>
      <c r="M959" s="358" t="str">
        <f t="shared" si="7"/>
        <v/>
      </c>
      <c r="N959" s="358" t="str">
        <f t="shared" si="8"/>
        <v/>
      </c>
      <c r="O959" s="358" t="str">
        <f t="shared" si="9"/>
        <v/>
      </c>
    </row>
    <row r="960">
      <c r="A960" s="20">
        <v>44677.0</v>
      </c>
      <c r="B960" s="359"/>
      <c r="C960" s="359"/>
      <c r="D960" s="359"/>
      <c r="E960" s="359"/>
      <c r="J960" s="358" t="str">
        <f t="shared" si="4"/>
        <v/>
      </c>
      <c r="K960" s="358" t="str">
        <f t="shared" si="5"/>
        <v/>
      </c>
      <c r="L960" s="358" t="str">
        <f t="shared" si="6"/>
        <v/>
      </c>
      <c r="M960" s="358" t="str">
        <f t="shared" si="7"/>
        <v/>
      </c>
      <c r="N960" s="358" t="str">
        <f t="shared" si="8"/>
        <v/>
      </c>
      <c r="O960" s="358" t="str">
        <f t="shared" si="9"/>
        <v/>
      </c>
    </row>
    <row r="961">
      <c r="A961" s="20">
        <v>44678.0</v>
      </c>
      <c r="B961" s="359"/>
      <c r="C961" s="359"/>
      <c r="D961" s="359"/>
      <c r="E961" s="359"/>
      <c r="J961" s="358" t="str">
        <f t="shared" si="4"/>
        <v/>
      </c>
      <c r="K961" s="358" t="str">
        <f t="shared" si="5"/>
        <v/>
      </c>
      <c r="L961" s="358" t="str">
        <f t="shared" si="6"/>
        <v/>
      </c>
      <c r="M961" s="358" t="str">
        <f t="shared" si="7"/>
        <v/>
      </c>
      <c r="N961" s="358" t="str">
        <f t="shared" si="8"/>
        <v/>
      </c>
      <c r="O961" s="358" t="str">
        <f t="shared" si="9"/>
        <v/>
      </c>
    </row>
    <row r="962">
      <c r="A962" s="20">
        <v>44679.0</v>
      </c>
      <c r="B962" s="359"/>
      <c r="C962" s="359"/>
      <c r="D962" s="359"/>
      <c r="E962" s="359"/>
      <c r="J962" s="358" t="str">
        <f t="shared" si="4"/>
        <v/>
      </c>
      <c r="K962" s="358" t="str">
        <f t="shared" si="5"/>
        <v/>
      </c>
      <c r="L962" s="358" t="str">
        <f t="shared" si="6"/>
        <v/>
      </c>
      <c r="M962" s="358" t="str">
        <f t="shared" si="7"/>
        <v/>
      </c>
      <c r="N962" s="358" t="str">
        <f t="shared" si="8"/>
        <v/>
      </c>
      <c r="O962" s="358" t="str">
        <f t="shared" si="9"/>
        <v/>
      </c>
    </row>
    <row r="963">
      <c r="A963" s="20">
        <v>44680.0</v>
      </c>
      <c r="B963" s="359"/>
      <c r="C963" s="359"/>
      <c r="D963" s="359"/>
      <c r="E963" s="359"/>
      <c r="J963" s="358" t="str">
        <f t="shared" si="4"/>
        <v/>
      </c>
      <c r="K963" s="358" t="str">
        <f t="shared" si="5"/>
        <v/>
      </c>
      <c r="L963" s="358" t="str">
        <f t="shared" si="6"/>
        <v/>
      </c>
      <c r="M963" s="358" t="str">
        <f t="shared" si="7"/>
        <v/>
      </c>
      <c r="N963" s="358" t="str">
        <f t="shared" si="8"/>
        <v/>
      </c>
      <c r="O963" s="358" t="str">
        <f t="shared" si="9"/>
        <v/>
      </c>
    </row>
    <row r="964">
      <c r="A964" s="20">
        <v>44681.0</v>
      </c>
      <c r="B964" s="359"/>
      <c r="C964" s="359"/>
      <c r="D964" s="359"/>
      <c r="E964" s="359"/>
      <c r="J964" s="358" t="str">
        <f t="shared" si="4"/>
        <v/>
      </c>
      <c r="K964" s="358" t="str">
        <f t="shared" si="5"/>
        <v/>
      </c>
      <c r="L964" s="358" t="str">
        <f t="shared" si="6"/>
        <v/>
      </c>
      <c r="M964" s="358" t="str">
        <f t="shared" si="7"/>
        <v/>
      </c>
      <c r="N964" s="358" t="str">
        <f t="shared" si="8"/>
        <v/>
      </c>
      <c r="O964" s="358" t="str">
        <f t="shared" si="9"/>
        <v/>
      </c>
    </row>
    <row r="965">
      <c r="A965" s="20">
        <v>44682.0</v>
      </c>
      <c r="B965" s="359"/>
      <c r="C965" s="359"/>
      <c r="D965" s="359"/>
      <c r="E965" s="359"/>
      <c r="J965" s="358" t="str">
        <f t="shared" si="4"/>
        <v/>
      </c>
      <c r="K965" s="358" t="str">
        <f t="shared" si="5"/>
        <v/>
      </c>
      <c r="L965" s="358" t="str">
        <f t="shared" si="6"/>
        <v/>
      </c>
      <c r="M965" s="358" t="str">
        <f t="shared" si="7"/>
        <v/>
      </c>
      <c r="N965" s="358" t="str">
        <f t="shared" si="8"/>
        <v/>
      </c>
      <c r="O965" s="358" t="str">
        <f t="shared" si="9"/>
        <v/>
      </c>
    </row>
    <row r="966">
      <c r="A966" s="20">
        <v>44683.0</v>
      </c>
      <c r="B966" s="359"/>
      <c r="C966" s="359"/>
      <c r="D966" s="359"/>
      <c r="E966" s="359"/>
      <c r="J966" s="358" t="str">
        <f t="shared" si="4"/>
        <v/>
      </c>
      <c r="K966" s="358" t="str">
        <f t="shared" si="5"/>
        <v/>
      </c>
      <c r="L966" s="358" t="str">
        <f t="shared" si="6"/>
        <v/>
      </c>
      <c r="M966" s="358" t="str">
        <f t="shared" si="7"/>
        <v/>
      </c>
      <c r="N966" s="358" t="str">
        <f t="shared" si="8"/>
        <v/>
      </c>
      <c r="O966" s="358" t="str">
        <f t="shared" si="9"/>
        <v/>
      </c>
    </row>
    <row r="967">
      <c r="A967" s="20">
        <v>44684.0</v>
      </c>
      <c r="B967" s="359"/>
      <c r="C967" s="359"/>
      <c r="D967" s="359"/>
      <c r="E967" s="359"/>
      <c r="J967" s="358" t="str">
        <f t="shared" si="4"/>
        <v/>
      </c>
      <c r="K967" s="358" t="str">
        <f t="shared" si="5"/>
        <v/>
      </c>
      <c r="L967" s="358" t="str">
        <f t="shared" si="6"/>
        <v/>
      </c>
      <c r="M967" s="358" t="str">
        <f t="shared" si="7"/>
        <v/>
      </c>
      <c r="N967" s="358" t="str">
        <f t="shared" si="8"/>
        <v/>
      </c>
      <c r="O967" s="358" t="str">
        <f t="shared" si="9"/>
        <v/>
      </c>
    </row>
    <row r="968">
      <c r="A968" s="20">
        <v>44685.0</v>
      </c>
      <c r="B968" s="359"/>
      <c r="C968" s="359"/>
      <c r="D968" s="359"/>
      <c r="E968" s="359"/>
      <c r="J968" s="358" t="str">
        <f t="shared" si="4"/>
        <v/>
      </c>
      <c r="K968" s="358" t="str">
        <f t="shared" si="5"/>
        <v/>
      </c>
      <c r="L968" s="358" t="str">
        <f t="shared" si="6"/>
        <v/>
      </c>
      <c r="M968" s="358" t="str">
        <f t="shared" si="7"/>
        <v/>
      </c>
      <c r="N968" s="358" t="str">
        <f t="shared" si="8"/>
        <v/>
      </c>
      <c r="O968" s="358" t="str">
        <f t="shared" si="9"/>
        <v/>
      </c>
    </row>
    <row r="969">
      <c r="A969" s="20">
        <v>44686.0</v>
      </c>
      <c r="B969" s="359"/>
      <c r="C969" s="359"/>
      <c r="D969" s="359"/>
      <c r="E969" s="359"/>
      <c r="J969" s="358" t="str">
        <f t="shared" si="4"/>
        <v/>
      </c>
      <c r="K969" s="358" t="str">
        <f t="shared" si="5"/>
        <v/>
      </c>
      <c r="L969" s="358" t="str">
        <f t="shared" si="6"/>
        <v/>
      </c>
      <c r="M969" s="358" t="str">
        <f t="shared" si="7"/>
        <v/>
      </c>
      <c r="N969" s="358" t="str">
        <f t="shared" si="8"/>
        <v/>
      </c>
      <c r="O969" s="358" t="str">
        <f t="shared" si="9"/>
        <v/>
      </c>
    </row>
    <row r="970">
      <c r="A970" s="20">
        <v>44687.0</v>
      </c>
      <c r="B970" s="359"/>
      <c r="C970" s="359"/>
      <c r="D970" s="359"/>
      <c r="E970" s="359"/>
      <c r="J970" s="358" t="str">
        <f t="shared" si="4"/>
        <v/>
      </c>
      <c r="K970" s="358" t="str">
        <f t="shared" si="5"/>
        <v/>
      </c>
      <c r="L970" s="358" t="str">
        <f t="shared" si="6"/>
        <v/>
      </c>
      <c r="M970" s="358" t="str">
        <f t="shared" si="7"/>
        <v/>
      </c>
      <c r="N970" s="358" t="str">
        <f t="shared" si="8"/>
        <v/>
      </c>
      <c r="O970" s="358" t="str">
        <f t="shared" si="9"/>
        <v/>
      </c>
    </row>
    <row r="971">
      <c r="A971" s="20">
        <v>44688.0</v>
      </c>
      <c r="B971" s="359"/>
      <c r="C971" s="359"/>
      <c r="D971" s="359"/>
      <c r="E971" s="359"/>
      <c r="J971" s="358" t="str">
        <f t="shared" si="4"/>
        <v/>
      </c>
      <c r="K971" s="358" t="str">
        <f t="shared" si="5"/>
        <v/>
      </c>
      <c r="L971" s="358" t="str">
        <f t="shared" si="6"/>
        <v/>
      </c>
      <c r="M971" s="358" t="str">
        <f t="shared" si="7"/>
        <v/>
      </c>
      <c r="N971" s="358" t="str">
        <f t="shared" si="8"/>
        <v/>
      </c>
      <c r="O971" s="358" t="str">
        <f t="shared" si="9"/>
        <v/>
      </c>
    </row>
    <row r="972">
      <c r="A972" s="20">
        <v>44689.0</v>
      </c>
      <c r="B972" s="359"/>
      <c r="C972" s="359"/>
      <c r="D972" s="359"/>
      <c r="E972" s="359"/>
      <c r="J972" s="358" t="str">
        <f t="shared" si="4"/>
        <v/>
      </c>
      <c r="K972" s="358" t="str">
        <f t="shared" si="5"/>
        <v/>
      </c>
      <c r="L972" s="358" t="str">
        <f t="shared" si="6"/>
        <v/>
      </c>
      <c r="M972" s="358" t="str">
        <f t="shared" si="7"/>
        <v/>
      </c>
      <c r="N972" s="358" t="str">
        <f t="shared" si="8"/>
        <v/>
      </c>
      <c r="O972" s="358" t="str">
        <f t="shared" si="9"/>
        <v/>
      </c>
    </row>
    <row r="973">
      <c r="A973" s="20">
        <v>44690.0</v>
      </c>
      <c r="B973" s="359"/>
      <c r="C973" s="359"/>
      <c r="D973" s="359"/>
      <c r="E973" s="359"/>
      <c r="J973" s="358" t="str">
        <f t="shared" si="4"/>
        <v/>
      </c>
      <c r="K973" s="358" t="str">
        <f t="shared" si="5"/>
        <v/>
      </c>
      <c r="L973" s="358" t="str">
        <f t="shared" si="6"/>
        <v/>
      </c>
      <c r="M973" s="358" t="str">
        <f t="shared" si="7"/>
        <v/>
      </c>
      <c r="N973" s="358" t="str">
        <f t="shared" si="8"/>
        <v/>
      </c>
      <c r="O973" s="358" t="str">
        <f t="shared" si="9"/>
        <v/>
      </c>
    </row>
    <row r="974">
      <c r="A974" s="20">
        <v>44691.0</v>
      </c>
      <c r="B974" s="359"/>
      <c r="C974" s="359"/>
      <c r="D974" s="359"/>
      <c r="E974" s="359"/>
      <c r="J974" s="358" t="str">
        <f t="shared" si="4"/>
        <v/>
      </c>
      <c r="K974" s="358" t="str">
        <f t="shared" si="5"/>
        <v/>
      </c>
      <c r="L974" s="358" t="str">
        <f t="shared" si="6"/>
        <v/>
      </c>
      <c r="M974" s="358" t="str">
        <f t="shared" si="7"/>
        <v/>
      </c>
      <c r="N974" s="358" t="str">
        <f t="shared" si="8"/>
        <v/>
      </c>
      <c r="O974" s="358" t="str">
        <f t="shared" si="9"/>
        <v/>
      </c>
    </row>
    <row r="975">
      <c r="A975" s="20">
        <v>44692.0</v>
      </c>
      <c r="B975" s="359"/>
      <c r="C975" s="359"/>
      <c r="D975" s="359"/>
      <c r="E975" s="359"/>
      <c r="J975" s="358" t="str">
        <f t="shared" si="4"/>
        <v/>
      </c>
      <c r="K975" s="358" t="str">
        <f t="shared" si="5"/>
        <v/>
      </c>
      <c r="L975" s="358" t="str">
        <f t="shared" si="6"/>
        <v/>
      </c>
      <c r="M975" s="358" t="str">
        <f t="shared" si="7"/>
        <v/>
      </c>
      <c r="N975" s="358" t="str">
        <f t="shared" si="8"/>
        <v/>
      </c>
      <c r="O975" s="358" t="str">
        <f t="shared" si="9"/>
        <v/>
      </c>
    </row>
    <row r="976">
      <c r="A976" s="20">
        <v>44693.0</v>
      </c>
      <c r="B976" s="359"/>
      <c r="C976" s="359"/>
      <c r="D976" s="359"/>
      <c r="E976" s="359"/>
      <c r="J976" s="358" t="str">
        <f t="shared" si="4"/>
        <v/>
      </c>
      <c r="K976" s="358" t="str">
        <f t="shared" si="5"/>
        <v/>
      </c>
      <c r="L976" s="358" t="str">
        <f t="shared" si="6"/>
        <v/>
      </c>
      <c r="M976" s="358" t="str">
        <f t="shared" si="7"/>
        <v/>
      </c>
      <c r="N976" s="358" t="str">
        <f t="shared" si="8"/>
        <v/>
      </c>
      <c r="O976" s="358" t="str">
        <f t="shared" si="9"/>
        <v/>
      </c>
    </row>
    <row r="977">
      <c r="A977" s="20">
        <v>44694.0</v>
      </c>
      <c r="B977" s="359"/>
      <c r="C977" s="359"/>
      <c r="D977" s="359"/>
      <c r="E977" s="359"/>
      <c r="J977" s="358" t="str">
        <f t="shared" si="4"/>
        <v/>
      </c>
      <c r="K977" s="358" t="str">
        <f t="shared" si="5"/>
        <v/>
      </c>
      <c r="L977" s="358" t="str">
        <f t="shared" si="6"/>
        <v/>
      </c>
      <c r="M977" s="358" t="str">
        <f t="shared" si="7"/>
        <v/>
      </c>
      <c r="N977" s="358" t="str">
        <f t="shared" si="8"/>
        <v/>
      </c>
      <c r="O977" s="358" t="str">
        <f t="shared" si="9"/>
        <v/>
      </c>
    </row>
    <row r="978">
      <c r="A978" s="20">
        <v>44695.0</v>
      </c>
      <c r="B978" s="359"/>
      <c r="C978" s="359"/>
      <c r="D978" s="359"/>
      <c r="E978" s="359"/>
      <c r="J978" s="358" t="str">
        <f t="shared" si="4"/>
        <v/>
      </c>
      <c r="K978" s="358" t="str">
        <f t="shared" si="5"/>
        <v/>
      </c>
      <c r="L978" s="358" t="str">
        <f t="shared" si="6"/>
        <v/>
      </c>
      <c r="M978" s="358" t="str">
        <f t="shared" si="7"/>
        <v/>
      </c>
      <c r="N978" s="358" t="str">
        <f t="shared" si="8"/>
        <v/>
      </c>
      <c r="O978" s="358" t="str">
        <f t="shared" si="9"/>
        <v/>
      </c>
    </row>
    <row r="979">
      <c r="A979" s="20">
        <v>44696.0</v>
      </c>
      <c r="B979" s="359"/>
      <c r="C979" s="359"/>
      <c r="D979" s="359"/>
      <c r="E979" s="359"/>
      <c r="J979" s="358" t="str">
        <f t="shared" si="4"/>
        <v/>
      </c>
      <c r="K979" s="358" t="str">
        <f t="shared" si="5"/>
        <v/>
      </c>
      <c r="L979" s="358" t="str">
        <f t="shared" si="6"/>
        <v/>
      </c>
      <c r="M979" s="358" t="str">
        <f t="shared" si="7"/>
        <v/>
      </c>
      <c r="N979" s="358" t="str">
        <f t="shared" si="8"/>
        <v/>
      </c>
      <c r="O979" s="358" t="str">
        <f t="shared" si="9"/>
        <v/>
      </c>
    </row>
    <row r="980">
      <c r="A980" s="20">
        <v>44697.0</v>
      </c>
      <c r="B980" s="359"/>
      <c r="C980" s="359"/>
      <c r="D980" s="359"/>
      <c r="E980" s="359"/>
      <c r="J980" s="358" t="str">
        <f t="shared" si="4"/>
        <v/>
      </c>
      <c r="K980" s="358" t="str">
        <f t="shared" si="5"/>
        <v/>
      </c>
      <c r="L980" s="358" t="str">
        <f t="shared" si="6"/>
        <v/>
      </c>
      <c r="M980" s="358" t="str">
        <f t="shared" si="7"/>
        <v/>
      </c>
      <c r="N980" s="358" t="str">
        <f t="shared" si="8"/>
        <v/>
      </c>
      <c r="O980" s="358" t="str">
        <f t="shared" si="9"/>
        <v/>
      </c>
    </row>
    <row r="981">
      <c r="A981" s="20">
        <v>44698.0</v>
      </c>
      <c r="B981" s="359"/>
      <c r="C981" s="359"/>
      <c r="D981" s="359"/>
      <c r="E981" s="359"/>
      <c r="J981" s="358" t="str">
        <f t="shared" si="4"/>
        <v/>
      </c>
      <c r="K981" s="358" t="str">
        <f t="shared" si="5"/>
        <v/>
      </c>
      <c r="L981" s="358" t="str">
        <f t="shared" si="6"/>
        <v/>
      </c>
      <c r="M981" s="358" t="str">
        <f t="shared" si="7"/>
        <v/>
      </c>
      <c r="N981" s="358" t="str">
        <f t="shared" si="8"/>
        <v/>
      </c>
      <c r="O981" s="358" t="str">
        <f t="shared" si="9"/>
        <v/>
      </c>
    </row>
    <row r="982">
      <c r="A982" s="20">
        <v>44699.0</v>
      </c>
      <c r="B982" s="359"/>
      <c r="C982" s="359"/>
      <c r="D982" s="359"/>
      <c r="E982" s="359"/>
      <c r="J982" s="358" t="str">
        <f t="shared" si="4"/>
        <v/>
      </c>
      <c r="K982" s="358" t="str">
        <f t="shared" si="5"/>
        <v/>
      </c>
      <c r="L982" s="358" t="str">
        <f t="shared" si="6"/>
        <v/>
      </c>
      <c r="M982" s="358" t="str">
        <f t="shared" si="7"/>
        <v/>
      </c>
      <c r="N982" s="358" t="str">
        <f t="shared" si="8"/>
        <v/>
      </c>
      <c r="O982" s="358" t="str">
        <f t="shared" si="9"/>
        <v/>
      </c>
    </row>
    <row r="983">
      <c r="A983" s="20">
        <v>44700.0</v>
      </c>
      <c r="B983" s="359"/>
      <c r="C983" s="359"/>
      <c r="D983" s="359"/>
      <c r="E983" s="359"/>
      <c r="J983" s="358" t="str">
        <f t="shared" si="4"/>
        <v/>
      </c>
      <c r="K983" s="358" t="str">
        <f t="shared" si="5"/>
        <v/>
      </c>
      <c r="L983" s="358" t="str">
        <f t="shared" si="6"/>
        <v/>
      </c>
      <c r="M983" s="358" t="str">
        <f t="shared" si="7"/>
        <v/>
      </c>
      <c r="N983" s="358" t="str">
        <f t="shared" si="8"/>
        <v/>
      </c>
      <c r="O983" s="358" t="str">
        <f t="shared" si="9"/>
        <v/>
      </c>
    </row>
    <row r="984">
      <c r="A984" s="20">
        <v>44701.0</v>
      </c>
      <c r="B984" s="359"/>
      <c r="C984" s="359"/>
      <c r="D984" s="359"/>
      <c r="E984" s="359"/>
      <c r="J984" s="358" t="str">
        <f t="shared" si="4"/>
        <v/>
      </c>
      <c r="K984" s="358" t="str">
        <f t="shared" si="5"/>
        <v/>
      </c>
      <c r="L984" s="358" t="str">
        <f t="shared" si="6"/>
        <v/>
      </c>
      <c r="M984" s="358" t="str">
        <f t="shared" si="7"/>
        <v/>
      </c>
      <c r="N984" s="358" t="str">
        <f t="shared" si="8"/>
        <v/>
      </c>
      <c r="O984" s="358" t="str">
        <f t="shared" si="9"/>
        <v/>
      </c>
    </row>
    <row r="985">
      <c r="A985" s="20">
        <v>44702.0</v>
      </c>
      <c r="B985" s="359"/>
      <c r="C985" s="359"/>
      <c r="D985" s="359"/>
      <c r="E985" s="359"/>
      <c r="J985" s="358" t="str">
        <f t="shared" si="4"/>
        <v/>
      </c>
      <c r="K985" s="358" t="str">
        <f t="shared" si="5"/>
        <v/>
      </c>
      <c r="L985" s="358" t="str">
        <f t="shared" si="6"/>
        <v/>
      </c>
      <c r="M985" s="358" t="str">
        <f t="shared" si="7"/>
        <v/>
      </c>
      <c r="N985" s="358" t="str">
        <f t="shared" si="8"/>
        <v/>
      </c>
      <c r="O985" s="358" t="str">
        <f t="shared" si="9"/>
        <v/>
      </c>
    </row>
    <row r="986">
      <c r="A986" s="20">
        <v>44703.0</v>
      </c>
      <c r="B986" s="359"/>
      <c r="C986" s="359"/>
      <c r="D986" s="359"/>
      <c r="E986" s="359"/>
      <c r="J986" s="358" t="str">
        <f t="shared" si="4"/>
        <v/>
      </c>
      <c r="K986" s="358" t="str">
        <f t="shared" si="5"/>
        <v/>
      </c>
      <c r="L986" s="358" t="str">
        <f t="shared" si="6"/>
        <v/>
      </c>
      <c r="M986" s="358" t="str">
        <f t="shared" si="7"/>
        <v/>
      </c>
      <c r="N986" s="358" t="str">
        <f t="shared" si="8"/>
        <v/>
      </c>
      <c r="O986" s="358" t="str">
        <f t="shared" si="9"/>
        <v/>
      </c>
    </row>
    <row r="987">
      <c r="A987" s="20">
        <v>44704.0</v>
      </c>
      <c r="B987" s="359"/>
      <c r="C987" s="359"/>
      <c r="D987" s="359"/>
      <c r="E987" s="359"/>
      <c r="J987" s="358" t="str">
        <f t="shared" si="4"/>
        <v/>
      </c>
      <c r="K987" s="358" t="str">
        <f t="shared" si="5"/>
        <v/>
      </c>
      <c r="L987" s="358" t="str">
        <f t="shared" si="6"/>
        <v/>
      </c>
      <c r="M987" s="358" t="str">
        <f t="shared" si="7"/>
        <v/>
      </c>
      <c r="N987" s="358" t="str">
        <f t="shared" si="8"/>
        <v/>
      </c>
      <c r="O987" s="358" t="str">
        <f t="shared" si="9"/>
        <v/>
      </c>
    </row>
    <row r="988">
      <c r="A988" s="20">
        <v>44705.0</v>
      </c>
      <c r="B988" s="359"/>
      <c r="C988" s="359"/>
      <c r="D988" s="359"/>
      <c r="E988" s="359"/>
      <c r="J988" s="358" t="str">
        <f t="shared" si="4"/>
        <v/>
      </c>
      <c r="K988" s="358" t="str">
        <f t="shared" si="5"/>
        <v/>
      </c>
      <c r="L988" s="358" t="str">
        <f t="shared" si="6"/>
        <v/>
      </c>
      <c r="M988" s="358" t="str">
        <f t="shared" si="7"/>
        <v/>
      </c>
      <c r="N988" s="358" t="str">
        <f t="shared" si="8"/>
        <v/>
      </c>
      <c r="O988" s="358" t="str">
        <f t="shared" si="9"/>
        <v/>
      </c>
    </row>
    <row r="989">
      <c r="A989" s="20">
        <v>44706.0</v>
      </c>
      <c r="B989" s="359"/>
      <c r="C989" s="359"/>
      <c r="D989" s="359"/>
      <c r="E989" s="359"/>
      <c r="J989" s="358" t="str">
        <f t="shared" si="4"/>
        <v/>
      </c>
      <c r="K989" s="358" t="str">
        <f t="shared" si="5"/>
        <v/>
      </c>
      <c r="L989" s="358" t="str">
        <f t="shared" si="6"/>
        <v/>
      </c>
      <c r="M989" s="358" t="str">
        <f t="shared" si="7"/>
        <v/>
      </c>
      <c r="N989" s="358" t="str">
        <f t="shared" si="8"/>
        <v/>
      </c>
      <c r="O989" s="358" t="str">
        <f t="shared" si="9"/>
        <v/>
      </c>
    </row>
    <row r="990">
      <c r="A990" s="20">
        <v>44707.0</v>
      </c>
      <c r="B990" s="359"/>
      <c r="C990" s="359"/>
      <c r="D990" s="359"/>
      <c r="E990" s="359"/>
      <c r="J990" s="358" t="str">
        <f t="shared" si="4"/>
        <v/>
      </c>
      <c r="K990" s="358" t="str">
        <f t="shared" si="5"/>
        <v/>
      </c>
      <c r="L990" s="358" t="str">
        <f t="shared" si="6"/>
        <v/>
      </c>
      <c r="M990" s="358" t="str">
        <f t="shared" si="7"/>
        <v/>
      </c>
      <c r="N990" s="358" t="str">
        <f t="shared" si="8"/>
        <v/>
      </c>
      <c r="O990" s="358" t="str">
        <f t="shared" si="9"/>
        <v/>
      </c>
    </row>
    <row r="991">
      <c r="A991" s="20">
        <v>44708.0</v>
      </c>
      <c r="B991" s="359"/>
      <c r="C991" s="359"/>
      <c r="D991" s="359"/>
      <c r="E991" s="359"/>
      <c r="J991" s="358" t="str">
        <f t="shared" si="4"/>
        <v/>
      </c>
      <c r="K991" s="358" t="str">
        <f t="shared" si="5"/>
        <v/>
      </c>
      <c r="L991" s="358" t="str">
        <f t="shared" si="6"/>
        <v/>
      </c>
      <c r="M991" s="358" t="str">
        <f t="shared" si="7"/>
        <v/>
      </c>
      <c r="N991" s="358" t="str">
        <f t="shared" si="8"/>
        <v/>
      </c>
      <c r="O991" s="358" t="str">
        <f t="shared" si="9"/>
        <v/>
      </c>
    </row>
    <row r="992">
      <c r="A992" s="20">
        <v>44709.0</v>
      </c>
      <c r="B992" s="359"/>
      <c r="C992" s="359"/>
      <c r="D992" s="359"/>
      <c r="E992" s="359"/>
      <c r="J992" s="358" t="str">
        <f t="shared" si="4"/>
        <v/>
      </c>
      <c r="K992" s="358" t="str">
        <f t="shared" si="5"/>
        <v/>
      </c>
      <c r="L992" s="358" t="str">
        <f t="shared" si="6"/>
        <v/>
      </c>
      <c r="M992" s="358" t="str">
        <f t="shared" si="7"/>
        <v/>
      </c>
      <c r="N992" s="358" t="str">
        <f t="shared" si="8"/>
        <v/>
      </c>
      <c r="O992" s="358" t="str">
        <f t="shared" si="9"/>
        <v/>
      </c>
    </row>
    <row r="993">
      <c r="A993" s="20">
        <v>44710.0</v>
      </c>
      <c r="B993" s="359"/>
      <c r="C993" s="359"/>
      <c r="D993" s="359"/>
      <c r="E993" s="359"/>
      <c r="J993" s="358" t="str">
        <f t="shared" si="4"/>
        <v/>
      </c>
      <c r="K993" s="358" t="str">
        <f t="shared" si="5"/>
        <v/>
      </c>
      <c r="L993" s="358" t="str">
        <f t="shared" si="6"/>
        <v/>
      </c>
      <c r="M993" s="358" t="str">
        <f t="shared" si="7"/>
        <v/>
      </c>
      <c r="N993" s="358" t="str">
        <f t="shared" si="8"/>
        <v/>
      </c>
      <c r="O993" s="358" t="str">
        <f t="shared" si="9"/>
        <v/>
      </c>
    </row>
    <row r="994">
      <c r="A994" s="20">
        <v>44711.0</v>
      </c>
      <c r="B994" s="359"/>
      <c r="C994" s="359"/>
      <c r="D994" s="359"/>
      <c r="E994" s="359"/>
      <c r="J994" s="358" t="str">
        <f t="shared" si="4"/>
        <v/>
      </c>
      <c r="K994" s="358" t="str">
        <f t="shared" si="5"/>
        <v/>
      </c>
      <c r="L994" s="358" t="str">
        <f t="shared" si="6"/>
        <v/>
      </c>
      <c r="M994" s="358" t="str">
        <f t="shared" si="7"/>
        <v/>
      </c>
      <c r="N994" s="358" t="str">
        <f t="shared" si="8"/>
        <v/>
      </c>
      <c r="O994" s="358" t="str">
        <f t="shared" si="9"/>
        <v/>
      </c>
    </row>
    <row r="995">
      <c r="A995" s="20">
        <v>44712.0</v>
      </c>
      <c r="B995" s="359"/>
      <c r="C995" s="359"/>
      <c r="D995" s="359"/>
      <c r="E995" s="359"/>
      <c r="J995" s="358" t="str">
        <f t="shared" si="4"/>
        <v/>
      </c>
      <c r="K995" s="358" t="str">
        <f t="shared" si="5"/>
        <v/>
      </c>
      <c r="L995" s="358" t="str">
        <f t="shared" si="6"/>
        <v/>
      </c>
      <c r="M995" s="358" t="str">
        <f t="shared" si="7"/>
        <v/>
      </c>
      <c r="N995" s="358" t="str">
        <f t="shared" si="8"/>
        <v/>
      </c>
      <c r="O995" s="358" t="str">
        <f t="shared" si="9"/>
        <v/>
      </c>
    </row>
    <row r="996">
      <c r="A996" s="20">
        <v>44713.0</v>
      </c>
      <c r="B996" s="359"/>
      <c r="C996" s="359"/>
      <c r="D996" s="359"/>
      <c r="E996" s="359"/>
      <c r="J996" s="358" t="str">
        <f t="shared" si="4"/>
        <v/>
      </c>
      <c r="K996" s="358" t="str">
        <f t="shared" si="5"/>
        <v/>
      </c>
      <c r="L996" s="358" t="str">
        <f t="shared" si="6"/>
        <v/>
      </c>
      <c r="M996" s="358" t="str">
        <f t="shared" si="7"/>
        <v/>
      </c>
      <c r="N996" s="358" t="str">
        <f t="shared" si="8"/>
        <v/>
      </c>
      <c r="O996" s="358" t="str">
        <f t="shared" si="9"/>
        <v/>
      </c>
    </row>
    <row r="997">
      <c r="A997" s="20">
        <v>44714.0</v>
      </c>
      <c r="B997" s="359"/>
      <c r="C997" s="359"/>
      <c r="D997" s="359"/>
      <c r="E997" s="359"/>
      <c r="J997" s="358" t="str">
        <f t="shared" si="4"/>
        <v/>
      </c>
      <c r="K997" s="358" t="str">
        <f t="shared" si="5"/>
        <v/>
      </c>
      <c r="L997" s="358" t="str">
        <f t="shared" si="6"/>
        <v/>
      </c>
      <c r="M997" s="358" t="str">
        <f t="shared" si="7"/>
        <v/>
      </c>
      <c r="N997" s="358" t="str">
        <f t="shared" si="8"/>
        <v/>
      </c>
      <c r="O997" s="358" t="str">
        <f t="shared" si="9"/>
        <v/>
      </c>
    </row>
    <row r="998">
      <c r="A998" s="20">
        <v>44715.0</v>
      </c>
      <c r="B998" s="359"/>
      <c r="C998" s="359"/>
      <c r="D998" s="359"/>
      <c r="E998" s="359"/>
      <c r="J998" s="358" t="str">
        <f t="shared" si="4"/>
        <v/>
      </c>
      <c r="K998" s="358" t="str">
        <f t="shared" si="5"/>
        <v/>
      </c>
      <c r="L998" s="358" t="str">
        <f t="shared" si="6"/>
        <v/>
      </c>
      <c r="M998" s="358" t="str">
        <f t="shared" si="7"/>
        <v/>
      </c>
      <c r="N998" s="358" t="str">
        <f t="shared" si="8"/>
        <v/>
      </c>
      <c r="O998" s="358" t="str">
        <f t="shared" si="9"/>
        <v/>
      </c>
    </row>
    <row r="999">
      <c r="A999" s="20">
        <v>44716.0</v>
      </c>
      <c r="B999" s="359"/>
      <c r="C999" s="359"/>
      <c r="D999" s="359"/>
      <c r="E999" s="359"/>
      <c r="J999" s="358" t="str">
        <f t="shared" si="4"/>
        <v/>
      </c>
      <c r="K999" s="358" t="str">
        <f t="shared" si="5"/>
        <v/>
      </c>
      <c r="L999" s="358" t="str">
        <f t="shared" si="6"/>
        <v/>
      </c>
      <c r="M999" s="358" t="str">
        <f t="shared" si="7"/>
        <v/>
      </c>
      <c r="N999" s="358" t="str">
        <f t="shared" si="8"/>
        <v/>
      </c>
      <c r="O999" s="358" t="str">
        <f t="shared" si="9"/>
        <v/>
      </c>
    </row>
    <row r="1000">
      <c r="A1000" s="20">
        <v>44717.0</v>
      </c>
      <c r="B1000" s="359"/>
      <c r="C1000" s="359"/>
      <c r="D1000" s="359"/>
      <c r="E1000" s="359"/>
      <c r="J1000" s="358" t="str">
        <f t="shared" si="4"/>
        <v/>
      </c>
      <c r="K1000" s="358" t="str">
        <f t="shared" si="5"/>
        <v/>
      </c>
      <c r="L1000" s="358" t="str">
        <f t="shared" si="6"/>
        <v/>
      </c>
      <c r="M1000" s="358" t="str">
        <f t="shared" si="7"/>
        <v/>
      </c>
      <c r="N1000" s="358" t="str">
        <f t="shared" si="8"/>
        <v/>
      </c>
      <c r="O1000" s="358" t="str">
        <f t="shared" si="9"/>
        <v/>
      </c>
    </row>
    <row r="1001">
      <c r="A1001" s="20">
        <v>44718.0</v>
      </c>
      <c r="B1001" s="359"/>
      <c r="C1001" s="359"/>
      <c r="D1001" s="359"/>
      <c r="E1001" s="359"/>
      <c r="J1001" s="358" t="str">
        <f t="shared" si="4"/>
        <v/>
      </c>
      <c r="K1001" s="358" t="str">
        <f t="shared" si="5"/>
        <v/>
      </c>
      <c r="L1001" s="358" t="str">
        <f t="shared" si="6"/>
        <v/>
      </c>
      <c r="M1001" s="358" t="str">
        <f t="shared" si="7"/>
        <v/>
      </c>
      <c r="N1001" s="358" t="str">
        <f t="shared" si="8"/>
        <v/>
      </c>
      <c r="O1001" s="358" t="str">
        <f t="shared" si="9"/>
        <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24.0"/>
  </cols>
  <sheetData>
    <row r="1">
      <c r="A1" s="3" t="s">
        <v>7</v>
      </c>
      <c r="B1" s="3" t="s">
        <v>924</v>
      </c>
      <c r="C1" s="3" t="s">
        <v>82</v>
      </c>
      <c r="D1" s="3" t="s">
        <v>79</v>
      </c>
      <c r="E1" s="3" t="s">
        <v>84</v>
      </c>
      <c r="F1" s="3" t="s">
        <v>86</v>
      </c>
      <c r="G1" s="3" t="s">
        <v>2490</v>
      </c>
      <c r="H1" s="26"/>
      <c r="I1" s="3" t="s">
        <v>4472</v>
      </c>
      <c r="J1" s="3" t="s">
        <v>4473</v>
      </c>
      <c r="K1" s="3" t="s">
        <v>4474</v>
      </c>
      <c r="L1" s="3" t="s">
        <v>24</v>
      </c>
    </row>
    <row r="2">
      <c r="A2" s="370">
        <v>43108.0</v>
      </c>
      <c r="B2" s="371" t="s">
        <v>950</v>
      </c>
      <c r="C2" s="371" t="s">
        <v>4475</v>
      </c>
      <c r="D2" s="372"/>
      <c r="E2" s="371" t="s">
        <v>4476</v>
      </c>
      <c r="F2" s="372"/>
      <c r="G2" s="371" t="s">
        <v>4477</v>
      </c>
      <c r="H2" s="372"/>
      <c r="I2" s="371" t="s">
        <v>4478</v>
      </c>
      <c r="J2" s="371" t="s">
        <v>4479</v>
      </c>
      <c r="K2" s="371" t="s">
        <v>4480</v>
      </c>
      <c r="L2" s="371" t="s">
        <v>4481</v>
      </c>
      <c r="M2" s="115"/>
      <c r="N2" s="115"/>
      <c r="O2" s="115"/>
      <c r="P2" s="115"/>
      <c r="Q2" s="115"/>
      <c r="R2" s="115"/>
      <c r="S2" s="115"/>
      <c r="T2" s="115"/>
      <c r="U2" s="115"/>
      <c r="V2" s="115"/>
      <c r="W2" s="115"/>
      <c r="X2" s="115"/>
      <c r="Y2" s="115"/>
    </row>
    <row r="3">
      <c r="A3" s="370">
        <v>43108.0</v>
      </c>
      <c r="B3" s="371"/>
      <c r="C3" s="371" t="s">
        <v>4483</v>
      </c>
      <c r="D3" s="371"/>
      <c r="E3" s="371" t="s">
        <v>4484</v>
      </c>
      <c r="F3" s="371"/>
      <c r="G3" s="371" t="s">
        <v>4485</v>
      </c>
      <c r="H3" s="375"/>
      <c r="I3" s="371" t="s">
        <v>4487</v>
      </c>
      <c r="J3" s="371" t="s">
        <v>4488</v>
      </c>
      <c r="K3" s="371"/>
      <c r="L3" s="371" t="s">
        <v>4489</v>
      </c>
    </row>
    <row r="4">
      <c r="A4" s="370">
        <v>43110.0</v>
      </c>
      <c r="B4" s="371" t="s">
        <v>1486</v>
      </c>
      <c r="C4" s="371" t="s">
        <v>4483</v>
      </c>
      <c r="D4" s="371"/>
      <c r="E4" s="371"/>
      <c r="F4" s="371"/>
      <c r="G4" s="371" t="s">
        <v>4490</v>
      </c>
      <c r="H4" s="371"/>
      <c r="I4" s="379" t="s">
        <v>4491</v>
      </c>
      <c r="J4" s="381" t="s">
        <v>4492</v>
      </c>
      <c r="K4" s="371" t="s">
        <v>4480</v>
      </c>
      <c r="L4" s="371" t="s">
        <v>4493</v>
      </c>
      <c r="M4" s="371" t="s">
        <v>4494</v>
      </c>
      <c r="N4" s="372"/>
    </row>
    <row r="5">
      <c r="A5" s="370">
        <v>43112.0</v>
      </c>
      <c r="B5" s="383"/>
      <c r="C5" s="371" t="s">
        <v>4483</v>
      </c>
      <c r="D5" s="371"/>
      <c r="E5" s="371" t="s">
        <v>4496</v>
      </c>
      <c r="F5" s="371"/>
      <c r="G5" s="371" t="s">
        <v>4497</v>
      </c>
      <c r="H5" s="371"/>
      <c r="I5" s="371" t="s">
        <v>4498</v>
      </c>
      <c r="J5" s="371" t="s">
        <v>4499</v>
      </c>
      <c r="K5" s="371" t="s">
        <v>4480</v>
      </c>
      <c r="L5" s="371" t="s">
        <v>4500</v>
      </c>
      <c r="M5" s="372"/>
      <c r="N5" s="372"/>
      <c r="O5" s="372"/>
      <c r="P5" s="372"/>
      <c r="Q5" s="372"/>
      <c r="R5" s="372"/>
      <c r="S5" s="372"/>
      <c r="T5" s="371" t="s">
        <v>4501</v>
      </c>
    </row>
    <row r="6">
      <c r="A6" s="370">
        <v>43115.0</v>
      </c>
      <c r="B6" s="372"/>
      <c r="C6" s="371" t="s">
        <v>4502</v>
      </c>
      <c r="D6" s="372"/>
      <c r="E6" s="371" t="s">
        <v>4503</v>
      </c>
      <c r="F6" s="372"/>
      <c r="G6" s="371" t="s">
        <v>4504</v>
      </c>
      <c r="H6" s="372"/>
      <c r="I6" s="385" t="s">
        <v>4505</v>
      </c>
      <c r="J6" s="386" t="s">
        <v>4506</v>
      </c>
      <c r="K6" s="371" t="s">
        <v>4480</v>
      </c>
      <c r="L6" s="371" t="s">
        <v>4508</v>
      </c>
    </row>
    <row r="7">
      <c r="A7" s="370">
        <v>43136.0</v>
      </c>
      <c r="B7" s="371" t="s">
        <v>950</v>
      </c>
      <c r="C7" s="371" t="s">
        <v>4509</v>
      </c>
      <c r="D7" s="372"/>
      <c r="E7" s="371" t="s">
        <v>4510</v>
      </c>
      <c r="F7" s="372"/>
      <c r="G7" s="371" t="s">
        <v>4511</v>
      </c>
      <c r="H7" s="372"/>
      <c r="I7" s="371" t="s">
        <v>4512</v>
      </c>
      <c r="J7" s="371" t="s">
        <v>4513</v>
      </c>
      <c r="K7" s="372"/>
      <c r="L7" s="371" t="s">
        <v>4514</v>
      </c>
      <c r="M7" s="372"/>
      <c r="N7" s="372"/>
      <c r="O7" s="372"/>
      <c r="P7" s="372"/>
    </row>
    <row r="8">
      <c r="A8" s="370">
        <v>43145.0</v>
      </c>
      <c r="B8" s="371" t="s">
        <v>4516</v>
      </c>
      <c r="C8" s="371" t="s">
        <v>4518</v>
      </c>
      <c r="D8" s="372"/>
      <c r="E8" s="371" t="s">
        <v>4519</v>
      </c>
      <c r="F8" s="372"/>
      <c r="G8" s="371" t="s">
        <v>4520</v>
      </c>
      <c r="H8" s="372"/>
      <c r="I8" s="372"/>
      <c r="J8" s="372"/>
      <c r="K8" s="372"/>
    </row>
    <row r="9">
      <c r="A9" s="370">
        <v>43151.0</v>
      </c>
      <c r="B9" s="371" t="s">
        <v>4521</v>
      </c>
      <c r="C9" s="371" t="s">
        <v>2932</v>
      </c>
      <c r="D9" s="372"/>
      <c r="E9" s="371" t="s">
        <v>4522</v>
      </c>
      <c r="F9" s="372"/>
      <c r="G9" s="371" t="s">
        <v>4523</v>
      </c>
      <c r="H9" s="372"/>
      <c r="I9" s="372"/>
      <c r="J9" s="372"/>
      <c r="K9" s="372"/>
    </row>
    <row r="10">
      <c r="A10" s="20">
        <v>43151.0</v>
      </c>
      <c r="B10" s="6" t="s">
        <v>1250</v>
      </c>
      <c r="C10" s="6" t="s">
        <v>4524</v>
      </c>
      <c r="E10" s="6" t="s">
        <v>4525</v>
      </c>
      <c r="G10" s="6" t="s">
        <v>4526</v>
      </c>
      <c r="I10" s="233" t="s">
        <v>4527</v>
      </c>
      <c r="J10" s="387" t="s">
        <v>4528</v>
      </c>
      <c r="K10" s="6" t="s">
        <v>4480</v>
      </c>
      <c r="L10" s="6" t="s">
        <v>4529</v>
      </c>
    </row>
    <row r="11">
      <c r="A11" s="370">
        <v>43153.0</v>
      </c>
      <c r="B11" s="371" t="s">
        <v>342</v>
      </c>
      <c r="C11" s="371" t="s">
        <v>1713</v>
      </c>
      <c r="D11" s="371" t="s">
        <v>2320</v>
      </c>
      <c r="E11" s="372"/>
      <c r="F11" s="372"/>
      <c r="G11" s="371" t="s">
        <v>4530</v>
      </c>
      <c r="H11" s="372"/>
      <c r="I11" s="372"/>
      <c r="J11" s="372"/>
      <c r="K11" s="372"/>
      <c r="L11" s="372"/>
      <c r="M11" s="372"/>
    </row>
    <row r="12">
      <c r="A12" s="370">
        <v>43160.0</v>
      </c>
      <c r="B12" s="371" t="s">
        <v>4532</v>
      </c>
      <c r="C12" s="372"/>
      <c r="D12" s="371" t="s">
        <v>4533</v>
      </c>
      <c r="E12" s="371" t="s">
        <v>4534</v>
      </c>
      <c r="F12" s="372"/>
      <c r="G12" s="385" t="s">
        <v>4535</v>
      </c>
      <c r="H12" s="385" t="s">
        <v>4537</v>
      </c>
      <c r="I12" s="385" t="s">
        <v>4538</v>
      </c>
      <c r="J12" s="386" t="s">
        <v>4539</v>
      </c>
      <c r="K12" s="371" t="s">
        <v>4540</v>
      </c>
      <c r="L12" s="371" t="s">
        <v>4541</v>
      </c>
      <c r="M12" s="371" t="s">
        <v>4542</v>
      </c>
    </row>
    <row r="13">
      <c r="A13" s="370">
        <v>43166.0</v>
      </c>
      <c r="B13" s="371"/>
      <c r="C13" s="371" t="s">
        <v>4543</v>
      </c>
      <c r="D13" s="372"/>
      <c r="E13" s="371" t="s">
        <v>4544</v>
      </c>
      <c r="F13" s="372"/>
      <c r="G13" s="371" t="s">
        <v>4545</v>
      </c>
    </row>
    <row r="14">
      <c r="A14" s="370">
        <v>43166.0</v>
      </c>
      <c r="B14" s="371" t="s">
        <v>494</v>
      </c>
      <c r="C14" s="371">
        <v>542940.0</v>
      </c>
      <c r="D14" s="371" t="s">
        <v>4546</v>
      </c>
      <c r="E14" s="371" t="s">
        <v>4547</v>
      </c>
      <c r="F14" s="372"/>
      <c r="G14" s="371" t="s">
        <v>4549</v>
      </c>
      <c r="H14" s="371" t="s">
        <v>4550</v>
      </c>
      <c r="I14" s="372"/>
      <c r="J14" s="372"/>
      <c r="K14" s="372"/>
      <c r="L14" s="372"/>
      <c r="M14" s="372"/>
    </row>
    <row r="15">
      <c r="A15" s="370">
        <v>43171.0</v>
      </c>
      <c r="B15" s="371" t="s">
        <v>4521</v>
      </c>
      <c r="C15" s="371" t="s">
        <v>2891</v>
      </c>
      <c r="D15" s="372"/>
      <c r="E15" s="371" t="s">
        <v>4522</v>
      </c>
      <c r="F15" s="372"/>
      <c r="G15" s="371" t="s">
        <v>4552</v>
      </c>
      <c r="H15" s="372"/>
      <c r="I15" s="372"/>
      <c r="J15" s="372"/>
      <c r="K15" s="372"/>
      <c r="L15" s="372"/>
      <c r="M15" s="372"/>
    </row>
    <row r="16">
      <c r="A16" s="20">
        <v>43185.0</v>
      </c>
      <c r="B16" s="6" t="s">
        <v>342</v>
      </c>
      <c r="C16" s="6" t="s">
        <v>4553</v>
      </c>
      <c r="E16" s="6" t="s">
        <v>4554</v>
      </c>
      <c r="G16" s="236" t="s">
        <v>4555</v>
      </c>
      <c r="H16" s="388" t="s">
        <v>4556</v>
      </c>
      <c r="I16" s="233" t="s">
        <v>4557</v>
      </c>
      <c r="J16" s="387" t="s">
        <v>4558</v>
      </c>
      <c r="L16" s="389" t="s">
        <v>4559</v>
      </c>
    </row>
    <row r="17">
      <c r="A17" s="20">
        <v>43186.0</v>
      </c>
      <c r="B17" s="6" t="s">
        <v>494</v>
      </c>
      <c r="C17" s="6">
        <v>102222.0</v>
      </c>
      <c r="D17" s="6" t="s">
        <v>2484</v>
      </c>
      <c r="E17" s="6" t="s">
        <v>4561</v>
      </c>
      <c r="F17" s="6">
        <v>-9.0</v>
      </c>
      <c r="G17" s="6" t="s">
        <v>4562</v>
      </c>
      <c r="H17" s="6" t="s">
        <v>4563</v>
      </c>
    </row>
    <row r="18">
      <c r="A18" s="20">
        <v>43193.0</v>
      </c>
      <c r="B18" s="6" t="s">
        <v>342</v>
      </c>
      <c r="C18" s="390" t="s">
        <v>4564</v>
      </c>
      <c r="E18" s="6" t="s">
        <v>4565</v>
      </c>
      <c r="F18" s="6">
        <v>-15.0</v>
      </c>
      <c r="G18" s="6" t="s">
        <v>4566</v>
      </c>
      <c r="H18" s="6" t="s">
        <v>4567</v>
      </c>
    </row>
    <row r="19">
      <c r="A19" s="20">
        <v>43209.0</v>
      </c>
      <c r="B19" s="6" t="s">
        <v>494</v>
      </c>
      <c r="C19" s="390">
        <v>100745.0</v>
      </c>
      <c r="D19" s="6" t="s">
        <v>2484</v>
      </c>
      <c r="E19" s="391" t="s">
        <v>4568</v>
      </c>
      <c r="F19" s="6">
        <v>-16.0</v>
      </c>
      <c r="G19" s="391" t="s">
        <v>3909</v>
      </c>
      <c r="H19" s="6" t="s">
        <v>4569</v>
      </c>
    </row>
    <row r="20">
      <c r="A20" s="370">
        <v>43235.0</v>
      </c>
      <c r="B20" s="372"/>
      <c r="C20" s="371" t="s">
        <v>4553</v>
      </c>
      <c r="D20" s="372"/>
      <c r="E20" s="371" t="s">
        <v>4571</v>
      </c>
      <c r="F20" s="372"/>
      <c r="G20" s="371" t="s">
        <v>4572</v>
      </c>
      <c r="H20" s="371" t="s">
        <v>4574</v>
      </c>
      <c r="I20" s="372"/>
      <c r="J20" s="372"/>
      <c r="K20" s="371" t="s">
        <v>4575</v>
      </c>
    </row>
    <row r="21">
      <c r="A21" s="20">
        <v>43252.0</v>
      </c>
      <c r="B21" s="6" t="s">
        <v>342</v>
      </c>
      <c r="C21" s="6" t="s">
        <v>4576</v>
      </c>
      <c r="G21" s="6" t="s">
        <v>4577</v>
      </c>
      <c r="H21" s="6" t="s">
        <v>4578</v>
      </c>
    </row>
    <row r="22">
      <c r="A22" s="20">
        <v>43252.0</v>
      </c>
      <c r="B22" s="6" t="s">
        <v>408</v>
      </c>
      <c r="C22" s="6">
        <v>3.00096300157E11</v>
      </c>
      <c r="E22" s="6" t="s">
        <v>4579</v>
      </c>
      <c r="G22" s="6" t="s">
        <v>4580</v>
      </c>
      <c r="H22" s="6" t="s">
        <v>4581</v>
      </c>
    </row>
    <row r="23">
      <c r="A23" s="370">
        <v>43283.0</v>
      </c>
      <c r="B23" s="371" t="s">
        <v>4521</v>
      </c>
      <c r="C23" s="371" t="s">
        <v>4582</v>
      </c>
      <c r="D23" s="385" t="s">
        <v>4584</v>
      </c>
      <c r="E23" s="385" t="s">
        <v>4585</v>
      </c>
      <c r="F23" s="385"/>
      <c r="G23" s="392" t="s">
        <v>4586</v>
      </c>
      <c r="H23" s="393" t="s">
        <v>4587</v>
      </c>
      <c r="I23" s="394"/>
      <c r="J23" s="372"/>
      <c r="K23" s="6" t="s">
        <v>4589</v>
      </c>
    </row>
    <row r="24">
      <c r="A24" s="370">
        <v>43283.0</v>
      </c>
      <c r="B24" s="371" t="s">
        <v>4521</v>
      </c>
      <c r="C24" s="371" t="s">
        <v>2869</v>
      </c>
      <c r="D24" s="371">
        <v>8.87E7</v>
      </c>
      <c r="E24" s="375" t="s">
        <v>4590</v>
      </c>
      <c r="F24" s="372"/>
      <c r="G24" s="392" t="s">
        <v>4591</v>
      </c>
      <c r="H24" s="371" t="s">
        <v>4592</v>
      </c>
      <c r="I24" s="372"/>
      <c r="J24" s="372"/>
    </row>
    <row r="25">
      <c r="A25" s="370">
        <v>43283.0</v>
      </c>
      <c r="B25" s="371" t="s">
        <v>2484</v>
      </c>
      <c r="C25" s="371">
        <v>101234.0</v>
      </c>
      <c r="D25" s="372"/>
      <c r="E25" s="375" t="s">
        <v>4593</v>
      </c>
      <c r="F25" s="372"/>
      <c r="G25" s="371" t="s">
        <v>4594</v>
      </c>
      <c r="H25" s="371" t="s">
        <v>4595</v>
      </c>
      <c r="I25" s="372"/>
      <c r="J25" s="372"/>
      <c r="K25" s="372"/>
      <c r="L25" s="372"/>
      <c r="M25" s="372"/>
      <c r="N25" s="372"/>
      <c r="O25" s="6" t="s">
        <v>4589</v>
      </c>
    </row>
    <row r="26">
      <c r="A26" s="20">
        <v>43284.0</v>
      </c>
      <c r="B26" s="6" t="s">
        <v>342</v>
      </c>
      <c r="E26" s="233" t="s">
        <v>4596</v>
      </c>
      <c r="F26" s="233" t="s">
        <v>4597</v>
      </c>
      <c r="G26" s="284" t="s">
        <v>4598</v>
      </c>
      <c r="H26" s="6" t="s">
        <v>4600</v>
      </c>
    </row>
    <row r="27">
      <c r="A27" s="20">
        <v>43297.0</v>
      </c>
      <c r="B27" s="83" t="s">
        <v>4269</v>
      </c>
      <c r="C27" s="6" t="s">
        <v>4602</v>
      </c>
      <c r="D27" s="6" t="s">
        <v>346</v>
      </c>
      <c r="E27" s="6" t="s">
        <v>4603</v>
      </c>
      <c r="G27" s="10" t="s">
        <v>4604</v>
      </c>
      <c r="H27" s="6" t="s">
        <v>4605</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s>
  <sheetData>
    <row r="1">
      <c r="A1" s="4" t="str">
        <f>IFERROR(__xludf.DUMMYFUNCTION("IMPORTRANGE(""https://docs.google.com/spreadsheets/d/1SfqQCLFfCUAhG8--qFFKU6T9qBfDcTK3jPQpHE0iMJY/"",""'EAN Codes'!A:C"")"),"Artikelnummer")</f>
        <v>Artikelnummer</v>
      </c>
      <c r="B1" s="226" t="str">
        <f>IFERROR(__xludf.DUMMYFUNCTION("""COMPUTED_VALUE"""),"kod EAN")</f>
        <v>kod EAN</v>
      </c>
      <c r="C1" t="str">
        <f>IFERROR(__xludf.DUMMYFUNCTION("""COMPUTED_VALUE"""),"Fabrikat")</f>
        <v>Fabrikat</v>
      </c>
    </row>
    <row r="2">
      <c r="A2" t="str">
        <f>IFERROR(__xludf.DUMMYFUNCTION("""COMPUTED_VALUE"""),"303151600001")</f>
        <v>303151600001</v>
      </c>
      <c r="B2" s="226" t="str">
        <f>IFERROR(__xludf.DUMMYFUNCTION("""COMPUTED_VALUE"""),"4250141101210")</f>
        <v>4250141101210</v>
      </c>
      <c r="C2" t="str">
        <f>IFERROR(__xludf.DUMMYFUNCTION("""COMPUTED_VALUE"""),"Westfalia/Witter")</f>
        <v>Westfalia/Witter</v>
      </c>
    </row>
    <row r="3">
      <c r="A3" t="str">
        <f>IFERROR(__xludf.DUMMYFUNCTION("""COMPUTED_VALUE"""),"303207600001")</f>
        <v>303207600001</v>
      </c>
      <c r="B3" s="226" t="str">
        <f>IFERROR(__xludf.DUMMYFUNCTION("""COMPUTED_VALUE"""),"4250141101869")</f>
        <v>4250141101869</v>
      </c>
      <c r="C3" t="str">
        <f>IFERROR(__xludf.DUMMYFUNCTION("""COMPUTED_VALUE"""),"Westfalia/Witter")</f>
        <v>Westfalia/Witter</v>
      </c>
    </row>
    <row r="4">
      <c r="A4" t="str">
        <f>IFERROR(__xludf.DUMMYFUNCTION("""COMPUTED_VALUE"""),"303212600001")</f>
        <v>303212600001</v>
      </c>
      <c r="B4" s="226" t="str">
        <f>IFERROR(__xludf.DUMMYFUNCTION("""COMPUTED_VALUE"""),"4250141101944")</f>
        <v>4250141101944</v>
      </c>
      <c r="C4" t="str">
        <f>IFERROR(__xludf.DUMMYFUNCTION("""COMPUTED_VALUE"""),"Westfalia/Witter")</f>
        <v>Westfalia/Witter</v>
      </c>
    </row>
    <row r="5">
      <c r="A5" t="str">
        <f>IFERROR(__xludf.DUMMYFUNCTION("""COMPUTED_VALUE"""),"303212600001")</f>
        <v>303212600001</v>
      </c>
      <c r="B5" s="226" t="str">
        <f>IFERROR(__xludf.DUMMYFUNCTION("""COMPUTED_VALUE"""),"4250141101944")</f>
        <v>4250141101944</v>
      </c>
      <c r="C5" t="str">
        <f>IFERROR(__xludf.DUMMYFUNCTION("""COMPUTED_VALUE"""),"Westfalia/Witter")</f>
        <v>Westfalia/Witter</v>
      </c>
    </row>
    <row r="6">
      <c r="A6" t="str">
        <f>IFERROR(__xludf.DUMMYFUNCTION("""COMPUTED_VALUE"""),"303230600001")</f>
        <v>303230600001</v>
      </c>
      <c r="B6" s="226" t="str">
        <f>IFERROR(__xludf.DUMMYFUNCTION("""COMPUTED_VALUE"""),"4250141102095")</f>
        <v>4250141102095</v>
      </c>
      <c r="C6" t="str">
        <f>IFERROR(__xludf.DUMMYFUNCTION("""COMPUTED_VALUE"""),"Westfalia/Witter")</f>
        <v>Westfalia/Witter</v>
      </c>
    </row>
    <row r="7">
      <c r="A7" t="str">
        <f>IFERROR(__xludf.DUMMYFUNCTION("""COMPUTED_VALUE"""),"303232600001")</f>
        <v>303232600001</v>
      </c>
      <c r="B7" s="226" t="str">
        <f>IFERROR(__xludf.DUMMYFUNCTION("""COMPUTED_VALUE"""),"4250141102118")</f>
        <v>4250141102118</v>
      </c>
      <c r="C7" t="str">
        <f>IFERROR(__xludf.DUMMYFUNCTION("""COMPUTED_VALUE"""),"Westfalia/Witter")</f>
        <v>Westfalia/Witter</v>
      </c>
    </row>
    <row r="8">
      <c r="A8" t="str">
        <f>IFERROR(__xludf.DUMMYFUNCTION("""COMPUTED_VALUE"""),"303235600001")</f>
        <v>303235600001</v>
      </c>
      <c r="B8" s="226" t="str">
        <f>IFERROR(__xludf.DUMMYFUNCTION("""COMPUTED_VALUE"""),"4250141102156")</f>
        <v>4250141102156</v>
      </c>
      <c r="C8" t="str">
        <f>IFERROR(__xludf.DUMMYFUNCTION("""COMPUTED_VALUE"""),"Westfalia/Witter")</f>
        <v>Westfalia/Witter</v>
      </c>
    </row>
    <row r="9">
      <c r="A9" t="str">
        <f>IFERROR(__xludf.DUMMYFUNCTION("""COMPUTED_VALUE"""),"303235600001")</f>
        <v>303235600001</v>
      </c>
      <c r="B9" s="226" t="str">
        <f>IFERROR(__xludf.DUMMYFUNCTION("""COMPUTED_VALUE"""),"4250141102156")</f>
        <v>4250141102156</v>
      </c>
      <c r="C9" t="str">
        <f>IFERROR(__xludf.DUMMYFUNCTION("""COMPUTED_VALUE"""),"Westfalia/Witter")</f>
        <v>Westfalia/Witter</v>
      </c>
    </row>
    <row r="10">
      <c r="A10" t="str">
        <f>IFERROR(__xludf.DUMMYFUNCTION("""COMPUTED_VALUE"""),"304054600001")</f>
        <v>304054600001</v>
      </c>
      <c r="B10" s="226" t="str">
        <f>IFERROR(__xludf.DUMMYFUNCTION("""COMPUTED_VALUE"""),"4250141102491")</f>
        <v>4250141102491</v>
      </c>
      <c r="C10" t="str">
        <f>IFERROR(__xludf.DUMMYFUNCTION("""COMPUTED_VALUE"""),"Westfalia/Witter")</f>
        <v>Westfalia/Witter</v>
      </c>
    </row>
    <row r="11">
      <c r="A11" t="str">
        <f>IFERROR(__xludf.DUMMYFUNCTION("""COMPUTED_VALUE"""),"304069600001")</f>
        <v>304069600001</v>
      </c>
      <c r="B11" s="226" t="str">
        <f>IFERROR(__xludf.DUMMYFUNCTION("""COMPUTED_VALUE"""),"4250141102811")</f>
        <v>4250141102811</v>
      </c>
      <c r="C11" t="str">
        <f>IFERROR(__xludf.DUMMYFUNCTION("""COMPUTED_VALUE"""),"Westfalia/Witter")</f>
        <v>Westfalia/Witter</v>
      </c>
    </row>
    <row r="12">
      <c r="A12" t="str">
        <f>IFERROR(__xludf.DUMMYFUNCTION("""COMPUTED_VALUE"""),"304069600001")</f>
        <v>304069600001</v>
      </c>
      <c r="B12" s="226" t="str">
        <f>IFERROR(__xludf.DUMMYFUNCTION("""COMPUTED_VALUE"""),"4250141102811")</f>
        <v>4250141102811</v>
      </c>
      <c r="C12" t="str">
        <f>IFERROR(__xludf.DUMMYFUNCTION("""COMPUTED_VALUE"""),"Westfalia/Witter")</f>
        <v>Westfalia/Witter</v>
      </c>
    </row>
    <row r="13">
      <c r="A13" t="str">
        <f>IFERROR(__xludf.DUMMYFUNCTION("""COMPUTED_VALUE"""),"304074600001")</f>
        <v>304074600001</v>
      </c>
      <c r="B13" s="226" t="str">
        <f>IFERROR(__xludf.DUMMYFUNCTION("""COMPUTED_VALUE"""),"4250141102842")</f>
        <v>4250141102842</v>
      </c>
      <c r="C13" t="str">
        <f>IFERROR(__xludf.DUMMYFUNCTION("""COMPUTED_VALUE"""),"Westfalia/Witter")</f>
        <v>Westfalia/Witter</v>
      </c>
    </row>
    <row r="14">
      <c r="A14" t="str">
        <f>IFERROR(__xludf.DUMMYFUNCTION("""COMPUTED_VALUE"""),"304074600001")</f>
        <v>304074600001</v>
      </c>
      <c r="B14" s="226" t="str">
        <f>IFERROR(__xludf.DUMMYFUNCTION("""COMPUTED_VALUE"""),"4250141102842")</f>
        <v>4250141102842</v>
      </c>
      <c r="C14" t="str">
        <f>IFERROR(__xludf.DUMMYFUNCTION("""COMPUTED_VALUE"""),"Westfalia/Witter")</f>
        <v>Westfalia/Witter</v>
      </c>
    </row>
    <row r="15">
      <c r="A15" t="str">
        <f>IFERROR(__xludf.DUMMYFUNCTION("""COMPUTED_VALUE"""),"304076600001")</f>
        <v>304076600001</v>
      </c>
      <c r="B15" s="226" t="str">
        <f>IFERROR(__xludf.DUMMYFUNCTION("""COMPUTED_VALUE"""),"4250141102866")</f>
        <v>4250141102866</v>
      </c>
      <c r="C15" t="str">
        <f>IFERROR(__xludf.DUMMYFUNCTION("""COMPUTED_VALUE"""),"Westfalia/Witter")</f>
        <v>Westfalia/Witter</v>
      </c>
    </row>
    <row r="16">
      <c r="A16" t="str">
        <f>IFERROR(__xludf.DUMMYFUNCTION("""COMPUTED_VALUE"""),"305179600001")</f>
        <v>305179600001</v>
      </c>
      <c r="B16" s="226" t="str">
        <f>IFERROR(__xludf.DUMMYFUNCTION("""COMPUTED_VALUE"""),"4250141103306")</f>
        <v>4250141103306</v>
      </c>
      <c r="C16" t="str">
        <f>IFERROR(__xludf.DUMMYFUNCTION("""COMPUTED_VALUE"""),"Westfalia/Witter")</f>
        <v>Westfalia/Witter</v>
      </c>
    </row>
    <row r="17">
      <c r="A17" t="str">
        <f>IFERROR(__xludf.DUMMYFUNCTION("""COMPUTED_VALUE"""),"305179600001")</f>
        <v>305179600001</v>
      </c>
      <c r="B17" s="226" t="str">
        <f>IFERROR(__xludf.DUMMYFUNCTION("""COMPUTED_VALUE"""),"4250141103306")</f>
        <v>4250141103306</v>
      </c>
      <c r="C17" t="str">
        <f>IFERROR(__xludf.DUMMYFUNCTION("""COMPUTED_VALUE"""),"Westfalia/Witter")</f>
        <v>Westfalia/Witter</v>
      </c>
    </row>
    <row r="18">
      <c r="A18" t="str">
        <f>IFERROR(__xludf.DUMMYFUNCTION("""COMPUTED_VALUE"""),"305205600001")</f>
        <v>305205600001</v>
      </c>
      <c r="B18" s="226" t="str">
        <f>IFERROR(__xludf.DUMMYFUNCTION("""COMPUTED_VALUE"""),"4250141103481")</f>
        <v>4250141103481</v>
      </c>
      <c r="C18" t="str">
        <f>IFERROR(__xludf.DUMMYFUNCTION("""COMPUTED_VALUE"""),"Westfalia/Witter")</f>
        <v>Westfalia/Witter</v>
      </c>
    </row>
    <row r="19">
      <c r="A19" t="str">
        <f>IFERROR(__xludf.DUMMYFUNCTION("""COMPUTED_VALUE"""),"305205600001")</f>
        <v>305205600001</v>
      </c>
      <c r="B19" s="226" t="str">
        <f>IFERROR(__xludf.DUMMYFUNCTION("""COMPUTED_VALUE"""),"4250141103481")</f>
        <v>4250141103481</v>
      </c>
      <c r="C19" t="str">
        <f>IFERROR(__xludf.DUMMYFUNCTION("""COMPUTED_VALUE"""),"Westfalia/Witter")</f>
        <v>Westfalia/Witter</v>
      </c>
    </row>
    <row r="20">
      <c r="A20" t="str">
        <f>IFERROR(__xludf.DUMMYFUNCTION("""COMPUTED_VALUE"""),"305205600001")</f>
        <v>305205600001</v>
      </c>
      <c r="B20" s="226" t="str">
        <f>IFERROR(__xludf.DUMMYFUNCTION("""COMPUTED_VALUE"""),"4250141103481")</f>
        <v>4250141103481</v>
      </c>
      <c r="C20" t="str">
        <f>IFERROR(__xludf.DUMMYFUNCTION("""COMPUTED_VALUE"""),"Westfalia/Witter")</f>
        <v>Westfalia/Witter</v>
      </c>
    </row>
    <row r="21">
      <c r="A21" t="str">
        <f>IFERROR(__xludf.DUMMYFUNCTION("""COMPUTED_VALUE"""),"305206600001")</f>
        <v>305206600001</v>
      </c>
      <c r="B21" s="226" t="str">
        <f>IFERROR(__xludf.DUMMYFUNCTION("""COMPUTED_VALUE"""),"4250141103504")</f>
        <v>4250141103504</v>
      </c>
      <c r="C21" t="str">
        <f>IFERROR(__xludf.DUMMYFUNCTION("""COMPUTED_VALUE"""),"Westfalia/Witter")</f>
        <v>Westfalia/Witter</v>
      </c>
    </row>
    <row r="22">
      <c r="A22" t="str">
        <f>IFERROR(__xludf.DUMMYFUNCTION("""COMPUTED_VALUE"""),"305206600001")</f>
        <v>305206600001</v>
      </c>
      <c r="B22" s="226" t="str">
        <f>IFERROR(__xludf.DUMMYFUNCTION("""COMPUTED_VALUE"""),"4250141103504")</f>
        <v>4250141103504</v>
      </c>
      <c r="C22" t="str">
        <f>IFERROR(__xludf.DUMMYFUNCTION("""COMPUTED_VALUE"""),"Westfalia/Witter")</f>
        <v>Westfalia/Witter</v>
      </c>
    </row>
    <row r="23">
      <c r="A23" t="str">
        <f>IFERROR(__xludf.DUMMYFUNCTION("""COMPUTED_VALUE"""),"305206600001")</f>
        <v>305206600001</v>
      </c>
      <c r="B23" s="226" t="str">
        <f>IFERROR(__xludf.DUMMYFUNCTION("""COMPUTED_VALUE"""),"4250141103504")</f>
        <v>4250141103504</v>
      </c>
      <c r="C23" t="str">
        <f>IFERROR(__xludf.DUMMYFUNCTION("""COMPUTED_VALUE"""),"Westfalia/Witter")</f>
        <v>Westfalia/Witter</v>
      </c>
    </row>
    <row r="24">
      <c r="A24" t="str">
        <f>IFERROR(__xludf.DUMMYFUNCTION("""COMPUTED_VALUE"""),"305220600001")</f>
        <v>305220600001</v>
      </c>
      <c r="B24" s="226" t="str">
        <f>IFERROR(__xludf.DUMMYFUNCTION("""COMPUTED_VALUE"""),"4250141103696")</f>
        <v>4250141103696</v>
      </c>
      <c r="C24" t="str">
        <f>IFERROR(__xludf.DUMMYFUNCTION("""COMPUTED_VALUE"""),"Westfalia/Witter")</f>
        <v>Westfalia/Witter</v>
      </c>
    </row>
    <row r="25">
      <c r="A25" t="str">
        <f>IFERROR(__xludf.DUMMYFUNCTION("""COMPUTED_VALUE"""),"305220600001")</f>
        <v>305220600001</v>
      </c>
      <c r="B25" s="226" t="str">
        <f>IFERROR(__xludf.DUMMYFUNCTION("""COMPUTED_VALUE"""),"4250141103696")</f>
        <v>4250141103696</v>
      </c>
      <c r="C25" t="str">
        <f>IFERROR(__xludf.DUMMYFUNCTION("""COMPUTED_VALUE"""),"Westfalia/Witter")</f>
        <v>Westfalia/Witter</v>
      </c>
    </row>
    <row r="26">
      <c r="A26" t="str">
        <f>IFERROR(__xludf.DUMMYFUNCTION("""COMPUTED_VALUE"""),"305222600001")</f>
        <v>305222600001</v>
      </c>
      <c r="B26" s="226" t="str">
        <f>IFERROR(__xludf.DUMMYFUNCTION("""COMPUTED_VALUE"""),"4250141103801")</f>
        <v>4250141103801</v>
      </c>
      <c r="C26" t="str">
        <f>IFERROR(__xludf.DUMMYFUNCTION("""COMPUTED_VALUE"""),"Westfalia/Witter")</f>
        <v>Westfalia/Witter</v>
      </c>
    </row>
    <row r="27">
      <c r="A27" t="str">
        <f>IFERROR(__xludf.DUMMYFUNCTION("""COMPUTED_VALUE"""),"305222600001")</f>
        <v>305222600001</v>
      </c>
      <c r="B27" s="226" t="str">
        <f>IFERROR(__xludf.DUMMYFUNCTION("""COMPUTED_VALUE"""),"4250141103801")</f>
        <v>4250141103801</v>
      </c>
      <c r="C27" t="str">
        <f>IFERROR(__xludf.DUMMYFUNCTION("""COMPUTED_VALUE"""),"Westfalia/Witter")</f>
        <v>Westfalia/Witter</v>
      </c>
    </row>
    <row r="28">
      <c r="A28" t="str">
        <f>IFERROR(__xludf.DUMMYFUNCTION("""COMPUTED_VALUE"""),"305222600001")</f>
        <v>305222600001</v>
      </c>
      <c r="B28" s="226" t="str">
        <f>IFERROR(__xludf.DUMMYFUNCTION("""COMPUTED_VALUE"""),"4250141103801")</f>
        <v>4250141103801</v>
      </c>
      <c r="C28" t="str">
        <f>IFERROR(__xludf.DUMMYFUNCTION("""COMPUTED_VALUE"""),"Westfalia/Witter")</f>
        <v>Westfalia/Witter</v>
      </c>
    </row>
    <row r="29">
      <c r="A29" t="str">
        <f>IFERROR(__xludf.DUMMYFUNCTION("""COMPUTED_VALUE"""),"305222600001")</f>
        <v>305222600001</v>
      </c>
      <c r="B29" s="226" t="str">
        <f>IFERROR(__xludf.DUMMYFUNCTION("""COMPUTED_VALUE"""),"4250141103801")</f>
        <v>4250141103801</v>
      </c>
      <c r="C29" t="str">
        <f>IFERROR(__xludf.DUMMYFUNCTION("""COMPUTED_VALUE"""),"Westfalia/Witter")</f>
        <v>Westfalia/Witter</v>
      </c>
    </row>
    <row r="30">
      <c r="A30" t="str">
        <f>IFERROR(__xludf.DUMMYFUNCTION("""COMPUTED_VALUE"""),"305222600001")</f>
        <v>305222600001</v>
      </c>
      <c r="B30" s="226" t="str">
        <f>IFERROR(__xludf.DUMMYFUNCTION("""COMPUTED_VALUE"""),"4250141103801")</f>
        <v>4250141103801</v>
      </c>
      <c r="C30" t="str">
        <f>IFERROR(__xludf.DUMMYFUNCTION("""COMPUTED_VALUE"""),"Westfalia/Witter")</f>
        <v>Westfalia/Witter</v>
      </c>
    </row>
    <row r="31">
      <c r="A31" t="str">
        <f>IFERROR(__xludf.DUMMYFUNCTION("""COMPUTED_VALUE"""),"305222600001")</f>
        <v>305222600001</v>
      </c>
      <c r="B31" s="226" t="str">
        <f>IFERROR(__xludf.DUMMYFUNCTION("""COMPUTED_VALUE"""),"4250141103801")</f>
        <v>4250141103801</v>
      </c>
      <c r="C31" t="str">
        <f>IFERROR(__xludf.DUMMYFUNCTION("""COMPUTED_VALUE"""),"Westfalia/Witter")</f>
        <v>Westfalia/Witter</v>
      </c>
    </row>
    <row r="32">
      <c r="A32" t="str">
        <f>IFERROR(__xludf.DUMMYFUNCTION("""COMPUTED_VALUE"""),"305222600001")</f>
        <v>305222600001</v>
      </c>
      <c r="B32" s="226" t="str">
        <f>IFERROR(__xludf.DUMMYFUNCTION("""COMPUTED_VALUE"""),"4250141103801")</f>
        <v>4250141103801</v>
      </c>
      <c r="C32" t="str">
        <f>IFERROR(__xludf.DUMMYFUNCTION("""COMPUTED_VALUE"""),"Westfalia/Witter")</f>
        <v>Westfalia/Witter</v>
      </c>
    </row>
    <row r="33">
      <c r="A33" t="str">
        <f>IFERROR(__xludf.DUMMYFUNCTION("""COMPUTED_VALUE"""),"305223600001")</f>
        <v>305223600001</v>
      </c>
      <c r="B33" s="226" t="str">
        <f>IFERROR(__xludf.DUMMYFUNCTION("""COMPUTED_VALUE"""),"4250141103832")</f>
        <v>4250141103832</v>
      </c>
      <c r="C33" t="str">
        <f>IFERROR(__xludf.DUMMYFUNCTION("""COMPUTED_VALUE"""),"Westfalia/Witter")</f>
        <v>Westfalia/Witter</v>
      </c>
    </row>
    <row r="34">
      <c r="A34" t="str">
        <f>IFERROR(__xludf.DUMMYFUNCTION("""COMPUTED_VALUE"""),"305223600001")</f>
        <v>305223600001</v>
      </c>
      <c r="B34" s="226" t="str">
        <f>IFERROR(__xludf.DUMMYFUNCTION("""COMPUTED_VALUE"""),"4250141103832")</f>
        <v>4250141103832</v>
      </c>
      <c r="C34" t="str">
        <f>IFERROR(__xludf.DUMMYFUNCTION("""COMPUTED_VALUE"""),"Westfalia/Witter")</f>
        <v>Westfalia/Witter</v>
      </c>
    </row>
    <row r="35">
      <c r="A35" t="str">
        <f>IFERROR(__xludf.DUMMYFUNCTION("""COMPUTED_VALUE"""),"305269600001")</f>
        <v>305269600001</v>
      </c>
      <c r="B35" s="226" t="str">
        <f>IFERROR(__xludf.DUMMYFUNCTION("""COMPUTED_VALUE"""),"4250141104365")</f>
        <v>4250141104365</v>
      </c>
      <c r="C35" t="str">
        <f>IFERROR(__xludf.DUMMYFUNCTION("""COMPUTED_VALUE"""),"Westfalia/Witter")</f>
        <v>Westfalia/Witter</v>
      </c>
    </row>
    <row r="36">
      <c r="A36" t="str">
        <f>IFERROR(__xludf.DUMMYFUNCTION("""COMPUTED_VALUE"""),"305269600001")</f>
        <v>305269600001</v>
      </c>
      <c r="B36" s="226" t="str">
        <f>IFERROR(__xludf.DUMMYFUNCTION("""COMPUTED_VALUE"""),"4250141104365")</f>
        <v>4250141104365</v>
      </c>
      <c r="C36" t="str">
        <f>IFERROR(__xludf.DUMMYFUNCTION("""COMPUTED_VALUE"""),"Westfalia/Witter")</f>
        <v>Westfalia/Witter</v>
      </c>
    </row>
    <row r="37">
      <c r="A37" t="str">
        <f>IFERROR(__xludf.DUMMYFUNCTION("""COMPUTED_VALUE"""),"305274600001")</f>
        <v>305274600001</v>
      </c>
      <c r="B37" s="226" t="str">
        <f>IFERROR(__xludf.DUMMYFUNCTION("""COMPUTED_VALUE"""),"4250141104563")</f>
        <v>4250141104563</v>
      </c>
      <c r="C37" t="str">
        <f>IFERROR(__xludf.DUMMYFUNCTION("""COMPUTED_VALUE"""),"Westfalia/Witter")</f>
        <v>Westfalia/Witter</v>
      </c>
    </row>
    <row r="38">
      <c r="A38" t="str">
        <f>IFERROR(__xludf.DUMMYFUNCTION("""COMPUTED_VALUE"""),"305274600001")</f>
        <v>305274600001</v>
      </c>
      <c r="B38" s="226" t="str">
        <f>IFERROR(__xludf.DUMMYFUNCTION("""COMPUTED_VALUE"""),"4250141104563")</f>
        <v>4250141104563</v>
      </c>
      <c r="C38" t="str">
        <f>IFERROR(__xludf.DUMMYFUNCTION("""COMPUTED_VALUE"""),"Westfalia/Witter")</f>
        <v>Westfalia/Witter</v>
      </c>
    </row>
    <row r="39">
      <c r="A39" t="str">
        <f>IFERROR(__xludf.DUMMYFUNCTION("""COMPUTED_VALUE"""),"305277600001")</f>
        <v>305277600001</v>
      </c>
      <c r="B39" s="226" t="str">
        <f>IFERROR(__xludf.DUMMYFUNCTION("""COMPUTED_VALUE"""),"4250141104594")</f>
        <v>4250141104594</v>
      </c>
      <c r="C39" t="str">
        <f>IFERROR(__xludf.DUMMYFUNCTION("""COMPUTED_VALUE"""),"Westfalia/Witter")</f>
        <v>Westfalia/Witter</v>
      </c>
    </row>
    <row r="40">
      <c r="A40" t="str">
        <f>IFERROR(__xludf.DUMMYFUNCTION("""COMPUTED_VALUE"""),"305277600001")</f>
        <v>305277600001</v>
      </c>
      <c r="B40" s="226" t="str">
        <f>IFERROR(__xludf.DUMMYFUNCTION("""COMPUTED_VALUE"""),"4250141104594")</f>
        <v>4250141104594</v>
      </c>
      <c r="C40" t="str">
        <f>IFERROR(__xludf.DUMMYFUNCTION("""COMPUTED_VALUE"""),"Westfalia/Witter")</f>
        <v>Westfalia/Witter</v>
      </c>
    </row>
    <row r="41">
      <c r="A41" t="str">
        <f>IFERROR(__xludf.DUMMYFUNCTION("""COMPUTED_VALUE"""),"305277600001")</f>
        <v>305277600001</v>
      </c>
      <c r="B41" s="226" t="str">
        <f>IFERROR(__xludf.DUMMYFUNCTION("""COMPUTED_VALUE"""),"4250141104594")</f>
        <v>4250141104594</v>
      </c>
      <c r="C41" t="str">
        <f>IFERROR(__xludf.DUMMYFUNCTION("""COMPUTED_VALUE"""),"Westfalia/Witter")</f>
        <v>Westfalia/Witter</v>
      </c>
    </row>
    <row r="42">
      <c r="A42" t="str">
        <f>IFERROR(__xludf.DUMMYFUNCTION("""COMPUTED_VALUE"""),"305291600001")</f>
        <v>305291600001</v>
      </c>
      <c r="B42" s="226" t="str">
        <f>IFERROR(__xludf.DUMMYFUNCTION("""COMPUTED_VALUE"""),"4250141104730")</f>
        <v>4250141104730</v>
      </c>
      <c r="C42" t="str">
        <f>IFERROR(__xludf.DUMMYFUNCTION("""COMPUTED_VALUE"""),"Westfalia/Witter")</f>
        <v>Westfalia/Witter</v>
      </c>
    </row>
    <row r="43">
      <c r="A43" t="str">
        <f>IFERROR(__xludf.DUMMYFUNCTION("""COMPUTED_VALUE"""),"305291600001")</f>
        <v>305291600001</v>
      </c>
      <c r="B43" s="226" t="str">
        <f>IFERROR(__xludf.DUMMYFUNCTION("""COMPUTED_VALUE"""),"4250141104730")</f>
        <v>4250141104730</v>
      </c>
      <c r="C43" t="str">
        <f>IFERROR(__xludf.DUMMYFUNCTION("""COMPUTED_VALUE"""),"Westfalia/Witter")</f>
        <v>Westfalia/Witter</v>
      </c>
    </row>
    <row r="44">
      <c r="A44" t="str">
        <f>IFERROR(__xludf.DUMMYFUNCTION("""COMPUTED_VALUE"""),"305299600001")</f>
        <v>305299600001</v>
      </c>
      <c r="B44" s="226" t="str">
        <f>IFERROR(__xludf.DUMMYFUNCTION("""COMPUTED_VALUE"""),"4250141104792")</f>
        <v>4250141104792</v>
      </c>
      <c r="C44" t="str">
        <f>IFERROR(__xludf.DUMMYFUNCTION("""COMPUTED_VALUE"""),"Westfalia/Witter")</f>
        <v>Westfalia/Witter</v>
      </c>
    </row>
    <row r="45">
      <c r="A45" t="str">
        <f>IFERROR(__xludf.DUMMYFUNCTION("""COMPUTED_VALUE"""),"305300600001")</f>
        <v>305300600001</v>
      </c>
      <c r="B45" s="226" t="str">
        <f>IFERROR(__xludf.DUMMYFUNCTION("""COMPUTED_VALUE"""),"4250141104808")</f>
        <v>4250141104808</v>
      </c>
      <c r="C45" t="str">
        <f>IFERROR(__xludf.DUMMYFUNCTION("""COMPUTED_VALUE"""),"Westfalia/Witter")</f>
        <v>Westfalia/Witter</v>
      </c>
    </row>
    <row r="46">
      <c r="A46" t="str">
        <f>IFERROR(__xludf.DUMMYFUNCTION("""COMPUTED_VALUE"""),"305301600001")</f>
        <v>305301600001</v>
      </c>
      <c r="B46" s="226" t="str">
        <f>IFERROR(__xludf.DUMMYFUNCTION("""COMPUTED_VALUE"""),"4250141104815")</f>
        <v>4250141104815</v>
      </c>
      <c r="C46" t="str">
        <f>IFERROR(__xludf.DUMMYFUNCTION("""COMPUTED_VALUE"""),"Westfalia/Witter")</f>
        <v>Westfalia/Witter</v>
      </c>
    </row>
    <row r="47">
      <c r="A47" t="str">
        <f>IFERROR(__xludf.DUMMYFUNCTION("""COMPUTED_VALUE"""),"305301600001")</f>
        <v>305301600001</v>
      </c>
      <c r="B47" s="226" t="str">
        <f>IFERROR(__xludf.DUMMYFUNCTION("""COMPUTED_VALUE"""),"4250141104815")</f>
        <v>4250141104815</v>
      </c>
      <c r="C47" t="str">
        <f>IFERROR(__xludf.DUMMYFUNCTION("""COMPUTED_VALUE"""),"Westfalia/Witter")</f>
        <v>Westfalia/Witter</v>
      </c>
    </row>
    <row r="48">
      <c r="A48" t="str">
        <f>IFERROR(__xludf.DUMMYFUNCTION("""COMPUTED_VALUE"""),"305301600001")</f>
        <v>305301600001</v>
      </c>
      <c r="B48" s="226" t="str">
        <f>IFERROR(__xludf.DUMMYFUNCTION("""COMPUTED_VALUE"""),"4250141104815")</f>
        <v>4250141104815</v>
      </c>
      <c r="C48" t="str">
        <f>IFERROR(__xludf.DUMMYFUNCTION("""COMPUTED_VALUE"""),"Westfalia/Witter")</f>
        <v>Westfalia/Witter</v>
      </c>
    </row>
    <row r="49">
      <c r="A49" t="str">
        <f>IFERROR(__xludf.DUMMYFUNCTION("""COMPUTED_VALUE"""),"305302600001")</f>
        <v>305302600001</v>
      </c>
      <c r="B49" s="226" t="str">
        <f>IFERROR(__xludf.DUMMYFUNCTION("""COMPUTED_VALUE"""),"4250141104822")</f>
        <v>4250141104822</v>
      </c>
      <c r="C49" t="str">
        <f>IFERROR(__xludf.DUMMYFUNCTION("""COMPUTED_VALUE"""),"Westfalia/Witter")</f>
        <v>Westfalia/Witter</v>
      </c>
    </row>
    <row r="50">
      <c r="A50" t="str">
        <f>IFERROR(__xludf.DUMMYFUNCTION("""COMPUTED_VALUE"""),"305302600001")</f>
        <v>305302600001</v>
      </c>
      <c r="B50" s="226" t="str">
        <f>IFERROR(__xludf.DUMMYFUNCTION("""COMPUTED_VALUE"""),"4250141104822")</f>
        <v>4250141104822</v>
      </c>
      <c r="C50" t="str">
        <f>IFERROR(__xludf.DUMMYFUNCTION("""COMPUTED_VALUE"""),"Westfalia/Witter")</f>
        <v>Westfalia/Witter</v>
      </c>
    </row>
    <row r="51">
      <c r="A51" t="str">
        <f>IFERROR(__xludf.DUMMYFUNCTION("""COMPUTED_VALUE"""),"305302600001")</f>
        <v>305302600001</v>
      </c>
      <c r="B51" s="226" t="str">
        <f>IFERROR(__xludf.DUMMYFUNCTION("""COMPUTED_VALUE"""),"4250141104822")</f>
        <v>4250141104822</v>
      </c>
      <c r="C51" t="str">
        <f>IFERROR(__xludf.DUMMYFUNCTION("""COMPUTED_VALUE"""),"Westfalia/Witter")</f>
        <v>Westfalia/Witter</v>
      </c>
    </row>
    <row r="52">
      <c r="A52" t="str">
        <f>IFERROR(__xludf.DUMMYFUNCTION("""COMPUTED_VALUE"""),"306216600001")</f>
        <v>306216600001</v>
      </c>
      <c r="B52" s="226" t="str">
        <f>IFERROR(__xludf.DUMMYFUNCTION("""COMPUTED_VALUE"""),"4250141105492")</f>
        <v>4250141105492</v>
      </c>
      <c r="C52" t="str">
        <f>IFERROR(__xludf.DUMMYFUNCTION("""COMPUTED_VALUE"""),"Westfalia/Witter")</f>
        <v>Westfalia/Witter</v>
      </c>
    </row>
    <row r="53">
      <c r="A53" t="str">
        <f>IFERROR(__xludf.DUMMYFUNCTION("""COMPUTED_VALUE"""),"306216600001")</f>
        <v>306216600001</v>
      </c>
      <c r="B53" s="226" t="str">
        <f>IFERROR(__xludf.DUMMYFUNCTION("""COMPUTED_VALUE"""),"4250141105492")</f>
        <v>4250141105492</v>
      </c>
      <c r="C53" t="str">
        <f>IFERROR(__xludf.DUMMYFUNCTION("""COMPUTED_VALUE"""),"Westfalia/Witter")</f>
        <v>Westfalia/Witter</v>
      </c>
    </row>
    <row r="54">
      <c r="A54" t="str">
        <f>IFERROR(__xludf.DUMMYFUNCTION("""COMPUTED_VALUE"""),"306216600001")</f>
        <v>306216600001</v>
      </c>
      <c r="B54" s="226" t="str">
        <f>IFERROR(__xludf.DUMMYFUNCTION("""COMPUTED_VALUE"""),"4250141105492")</f>
        <v>4250141105492</v>
      </c>
      <c r="C54" t="str">
        <f>IFERROR(__xludf.DUMMYFUNCTION("""COMPUTED_VALUE"""),"Westfalia/Witter")</f>
        <v>Westfalia/Witter</v>
      </c>
    </row>
    <row r="55">
      <c r="A55" t="str">
        <f>IFERROR(__xludf.DUMMYFUNCTION("""COMPUTED_VALUE"""),"306248600001")</f>
        <v>306248600001</v>
      </c>
      <c r="B55" s="226" t="str">
        <f>IFERROR(__xludf.DUMMYFUNCTION("""COMPUTED_VALUE"""),"4250141106062")</f>
        <v>4250141106062</v>
      </c>
      <c r="C55" t="str">
        <f>IFERROR(__xludf.DUMMYFUNCTION("""COMPUTED_VALUE"""),"Westfalia/Witter")</f>
        <v>Westfalia/Witter</v>
      </c>
    </row>
    <row r="56">
      <c r="A56" t="str">
        <f>IFERROR(__xludf.DUMMYFUNCTION("""COMPUTED_VALUE"""),"307234600001")</f>
        <v>307234600001</v>
      </c>
      <c r="B56" s="226" t="str">
        <f>IFERROR(__xludf.DUMMYFUNCTION("""COMPUTED_VALUE"""),"4250141106598")</f>
        <v>4250141106598</v>
      </c>
      <c r="C56" t="str">
        <f>IFERROR(__xludf.DUMMYFUNCTION("""COMPUTED_VALUE"""),"Westfalia/Witter")</f>
        <v>Westfalia/Witter</v>
      </c>
    </row>
    <row r="57">
      <c r="A57" t="str">
        <f>IFERROR(__xludf.DUMMYFUNCTION("""COMPUTED_VALUE"""),"307238600001")</f>
        <v>307238600001</v>
      </c>
      <c r="B57" s="226" t="str">
        <f>IFERROR(__xludf.DUMMYFUNCTION("""COMPUTED_VALUE"""),"4250141106642")</f>
        <v>4250141106642</v>
      </c>
      <c r="C57" t="str">
        <f>IFERROR(__xludf.DUMMYFUNCTION("""COMPUTED_VALUE"""),"Westfalia/Witter")</f>
        <v>Westfalia/Witter</v>
      </c>
    </row>
    <row r="58">
      <c r="A58" t="str">
        <f>IFERROR(__xludf.DUMMYFUNCTION("""COMPUTED_VALUE"""),"307241600001")</f>
        <v>307241600001</v>
      </c>
      <c r="B58" s="226" t="str">
        <f>IFERROR(__xludf.DUMMYFUNCTION("""COMPUTED_VALUE"""),"4250141106697")</f>
        <v>4250141106697</v>
      </c>
      <c r="C58" t="str">
        <f>IFERROR(__xludf.DUMMYFUNCTION("""COMPUTED_VALUE"""),"Westfalia/Witter")</f>
        <v>Westfalia/Witter</v>
      </c>
    </row>
    <row r="59">
      <c r="A59" t="str">
        <f>IFERROR(__xludf.DUMMYFUNCTION("""COMPUTED_VALUE"""),"307241600001")</f>
        <v>307241600001</v>
      </c>
      <c r="B59" s="226" t="str">
        <f>IFERROR(__xludf.DUMMYFUNCTION("""COMPUTED_VALUE"""),"4250141106697")</f>
        <v>4250141106697</v>
      </c>
      <c r="C59" t="str">
        <f>IFERROR(__xludf.DUMMYFUNCTION("""COMPUTED_VALUE"""),"Westfalia/Witter")</f>
        <v>Westfalia/Witter</v>
      </c>
    </row>
    <row r="60">
      <c r="A60" t="str">
        <f>IFERROR(__xludf.DUMMYFUNCTION("""COMPUTED_VALUE"""),"307260600001")</f>
        <v>307260600001</v>
      </c>
      <c r="B60" s="226" t="str">
        <f>IFERROR(__xludf.DUMMYFUNCTION("""COMPUTED_VALUE"""),"4250141106932")</f>
        <v>4250141106932</v>
      </c>
      <c r="C60" t="str">
        <f>IFERROR(__xludf.DUMMYFUNCTION("""COMPUTED_VALUE"""),"Westfalia/Witter")</f>
        <v>Westfalia/Witter</v>
      </c>
    </row>
    <row r="61">
      <c r="A61" t="str">
        <f>IFERROR(__xludf.DUMMYFUNCTION("""COMPUTED_VALUE"""),"307262600001")</f>
        <v>307262600001</v>
      </c>
      <c r="B61" s="226" t="str">
        <f>IFERROR(__xludf.DUMMYFUNCTION("""COMPUTED_VALUE"""),"4250141106956")</f>
        <v>4250141106956</v>
      </c>
      <c r="C61" t="str">
        <f>IFERROR(__xludf.DUMMYFUNCTION("""COMPUTED_VALUE"""),"Westfalia/Witter")</f>
        <v>Westfalia/Witter</v>
      </c>
    </row>
    <row r="62">
      <c r="A62" t="str">
        <f>IFERROR(__xludf.DUMMYFUNCTION("""COMPUTED_VALUE"""),"307264600001")</f>
        <v>307264600001</v>
      </c>
      <c r="B62" s="226" t="str">
        <f>IFERROR(__xludf.DUMMYFUNCTION("""COMPUTED_VALUE"""),"4250141106994")</f>
        <v>4250141106994</v>
      </c>
      <c r="C62" t="str">
        <f>IFERROR(__xludf.DUMMYFUNCTION("""COMPUTED_VALUE"""),"Westfalia/Witter")</f>
        <v>Westfalia/Witter</v>
      </c>
    </row>
    <row r="63">
      <c r="A63" t="str">
        <f>IFERROR(__xludf.DUMMYFUNCTION("""COMPUTED_VALUE"""),"307264600001")</f>
        <v>307264600001</v>
      </c>
      <c r="B63" s="226" t="str">
        <f>IFERROR(__xludf.DUMMYFUNCTION("""COMPUTED_VALUE"""),"4250141106994")</f>
        <v>4250141106994</v>
      </c>
      <c r="C63" t="str">
        <f>IFERROR(__xludf.DUMMYFUNCTION("""COMPUTED_VALUE"""),"Westfalia/Witter")</f>
        <v>Westfalia/Witter</v>
      </c>
    </row>
    <row r="64">
      <c r="A64" t="str">
        <f>IFERROR(__xludf.DUMMYFUNCTION("""COMPUTED_VALUE"""),"307283600001")</f>
        <v>307283600001</v>
      </c>
      <c r="B64" s="226" t="str">
        <f>IFERROR(__xludf.DUMMYFUNCTION("""COMPUTED_VALUE"""),"4250141107182")</f>
        <v>4250141107182</v>
      </c>
      <c r="C64" t="str">
        <f>IFERROR(__xludf.DUMMYFUNCTION("""COMPUTED_VALUE"""),"Westfalia/Witter")</f>
        <v>Westfalia/Witter</v>
      </c>
    </row>
    <row r="65">
      <c r="A65" t="str">
        <f>IFERROR(__xludf.DUMMYFUNCTION("""COMPUTED_VALUE"""),"307289600001")</f>
        <v>307289600001</v>
      </c>
      <c r="B65" s="226" t="str">
        <f>IFERROR(__xludf.DUMMYFUNCTION("""COMPUTED_VALUE"""),"4250141107250")</f>
        <v>4250141107250</v>
      </c>
      <c r="C65" t="str">
        <f>IFERROR(__xludf.DUMMYFUNCTION("""COMPUTED_VALUE"""),"Westfalia/Witter")</f>
        <v>Westfalia/Witter</v>
      </c>
    </row>
    <row r="66">
      <c r="A66" t="str">
        <f>IFERROR(__xludf.DUMMYFUNCTION("""COMPUTED_VALUE"""),"307338600001")</f>
        <v>307338600001</v>
      </c>
      <c r="B66" s="226" t="str">
        <f>IFERROR(__xludf.DUMMYFUNCTION("""COMPUTED_VALUE"""),"4250141107359")</f>
        <v>4250141107359</v>
      </c>
      <c r="C66" t="str">
        <f>IFERROR(__xludf.DUMMYFUNCTION("""COMPUTED_VALUE"""),"Westfalia/Witter")</f>
        <v>Westfalia/Witter</v>
      </c>
    </row>
    <row r="67">
      <c r="A67" t="str">
        <f>IFERROR(__xludf.DUMMYFUNCTION("""COMPUTED_VALUE"""),"313082600001")</f>
        <v>313082600001</v>
      </c>
      <c r="B67" s="226" t="str">
        <f>IFERROR(__xludf.DUMMYFUNCTION("""COMPUTED_VALUE"""),"4250141107588")</f>
        <v>4250141107588</v>
      </c>
      <c r="C67" t="str">
        <f>IFERROR(__xludf.DUMMYFUNCTION("""COMPUTED_VALUE"""),"Westfalia/Witter")</f>
        <v>Westfalia/Witter</v>
      </c>
    </row>
    <row r="68">
      <c r="A68" t="str">
        <f>IFERROR(__xludf.DUMMYFUNCTION("""COMPUTED_VALUE"""),"313082600001")</f>
        <v>313082600001</v>
      </c>
      <c r="B68" s="226" t="str">
        <f>IFERROR(__xludf.DUMMYFUNCTION("""COMPUTED_VALUE"""),"4250141107588")</f>
        <v>4250141107588</v>
      </c>
      <c r="C68" t="str">
        <f>IFERROR(__xludf.DUMMYFUNCTION("""COMPUTED_VALUE"""),"Westfalia/Witter")</f>
        <v>Westfalia/Witter</v>
      </c>
    </row>
    <row r="69">
      <c r="A69" t="str">
        <f>IFERROR(__xludf.DUMMYFUNCTION("""COMPUTED_VALUE"""),"313082600001")</f>
        <v>313082600001</v>
      </c>
      <c r="B69" s="226" t="str">
        <f>IFERROR(__xludf.DUMMYFUNCTION("""COMPUTED_VALUE"""),"4250141107588")</f>
        <v>4250141107588</v>
      </c>
      <c r="C69" t="str">
        <f>IFERROR(__xludf.DUMMYFUNCTION("""COMPUTED_VALUE"""),"Westfalia/Witter")</f>
        <v>Westfalia/Witter</v>
      </c>
    </row>
    <row r="70">
      <c r="A70" t="str">
        <f>IFERROR(__xludf.DUMMYFUNCTION("""COMPUTED_VALUE"""),"313121600001")</f>
        <v>313121600001</v>
      </c>
      <c r="B70" s="226" t="str">
        <f>IFERROR(__xludf.DUMMYFUNCTION("""COMPUTED_VALUE"""),"4250141108103")</f>
        <v>4250141108103</v>
      </c>
      <c r="C70" t="str">
        <f>IFERROR(__xludf.DUMMYFUNCTION("""COMPUTED_VALUE"""),"Westfalia/Witter")</f>
        <v>Westfalia/Witter</v>
      </c>
    </row>
    <row r="71">
      <c r="A71" t="str">
        <f>IFERROR(__xludf.DUMMYFUNCTION("""COMPUTED_VALUE"""),"313134600001")</f>
        <v>313134600001</v>
      </c>
      <c r="B71" s="226" t="str">
        <f>IFERROR(__xludf.DUMMYFUNCTION("""COMPUTED_VALUE"""),"4250141108301")</f>
        <v>4250141108301</v>
      </c>
      <c r="C71" t="str">
        <f>IFERROR(__xludf.DUMMYFUNCTION("""COMPUTED_VALUE"""),"Westfalia/Witter")</f>
        <v>Westfalia/Witter</v>
      </c>
    </row>
    <row r="72">
      <c r="A72" t="str">
        <f>IFERROR(__xludf.DUMMYFUNCTION("""COMPUTED_VALUE"""),"313149600001")</f>
        <v>313149600001</v>
      </c>
      <c r="B72" s="226" t="str">
        <f>IFERROR(__xludf.DUMMYFUNCTION("""COMPUTED_VALUE"""),"4250141108493")</f>
        <v>4250141108493</v>
      </c>
      <c r="C72" t="str">
        <f>IFERROR(__xludf.DUMMYFUNCTION("""COMPUTED_VALUE"""),"Westfalia/Witter")</f>
        <v>Westfalia/Witter</v>
      </c>
    </row>
    <row r="73">
      <c r="A73" t="str">
        <f>IFERROR(__xludf.DUMMYFUNCTION("""COMPUTED_VALUE"""),"313149600001")</f>
        <v>313149600001</v>
      </c>
      <c r="B73" s="226" t="str">
        <f>IFERROR(__xludf.DUMMYFUNCTION("""COMPUTED_VALUE"""),"4250141108493")</f>
        <v>4250141108493</v>
      </c>
      <c r="C73" t="str">
        <f>IFERROR(__xludf.DUMMYFUNCTION("""COMPUTED_VALUE"""),"Westfalia/Witter")</f>
        <v>Westfalia/Witter</v>
      </c>
    </row>
    <row r="74">
      <c r="A74" t="str">
        <f>IFERROR(__xludf.DUMMYFUNCTION("""COMPUTED_VALUE"""),"313153600001")</f>
        <v>313153600001</v>
      </c>
      <c r="B74" s="226" t="str">
        <f>IFERROR(__xludf.DUMMYFUNCTION("""COMPUTED_VALUE"""),"4250141108547")</f>
        <v>4250141108547</v>
      </c>
      <c r="C74" t="str">
        <f>IFERROR(__xludf.DUMMYFUNCTION("""COMPUTED_VALUE"""),"Westfalia/Witter")</f>
        <v>Westfalia/Witter</v>
      </c>
    </row>
    <row r="75">
      <c r="A75" t="str">
        <f>IFERROR(__xludf.DUMMYFUNCTION("""COMPUTED_VALUE"""),"313161600001")</f>
        <v>313161600001</v>
      </c>
      <c r="B75" s="226" t="str">
        <f>IFERROR(__xludf.DUMMYFUNCTION("""COMPUTED_VALUE"""),"4250141108608")</f>
        <v>4250141108608</v>
      </c>
      <c r="C75" t="str">
        <f>IFERROR(__xludf.DUMMYFUNCTION("""COMPUTED_VALUE"""),"Westfalia/Witter")</f>
        <v>Westfalia/Witter</v>
      </c>
    </row>
    <row r="76">
      <c r="A76" t="str">
        <f>IFERROR(__xludf.DUMMYFUNCTION("""COMPUTED_VALUE"""),"313166600001")</f>
        <v>313166600001</v>
      </c>
      <c r="B76" s="226" t="str">
        <f>IFERROR(__xludf.DUMMYFUNCTION("""COMPUTED_VALUE"""),"4250141108776")</f>
        <v>4250141108776</v>
      </c>
      <c r="C76" t="str">
        <f>IFERROR(__xludf.DUMMYFUNCTION("""COMPUTED_VALUE"""),"Westfalia/Witter")</f>
        <v>Westfalia/Witter</v>
      </c>
    </row>
    <row r="77">
      <c r="A77" t="str">
        <f>IFERROR(__xludf.DUMMYFUNCTION("""COMPUTED_VALUE"""),"313166600001")</f>
        <v>313166600001</v>
      </c>
      <c r="B77" s="226" t="str">
        <f>IFERROR(__xludf.DUMMYFUNCTION("""COMPUTED_VALUE"""),"4250141108776")</f>
        <v>4250141108776</v>
      </c>
      <c r="C77" t="str">
        <f>IFERROR(__xludf.DUMMYFUNCTION("""COMPUTED_VALUE"""),"Westfalia/Witter")</f>
        <v>Westfalia/Witter</v>
      </c>
    </row>
    <row r="78">
      <c r="A78" t="str">
        <f>IFERROR(__xludf.DUMMYFUNCTION("""COMPUTED_VALUE"""),"313167600001")</f>
        <v>313167600001</v>
      </c>
      <c r="B78" s="226" t="str">
        <f>IFERROR(__xludf.DUMMYFUNCTION("""COMPUTED_VALUE"""),"4250141108806")</f>
        <v>4250141108806</v>
      </c>
      <c r="C78" t="str">
        <f>IFERROR(__xludf.DUMMYFUNCTION("""COMPUTED_VALUE"""),"Westfalia/Witter")</f>
        <v>Westfalia/Witter</v>
      </c>
    </row>
    <row r="79">
      <c r="A79" t="str">
        <f>IFERROR(__xludf.DUMMYFUNCTION("""COMPUTED_VALUE"""),"313167600001")</f>
        <v>313167600001</v>
      </c>
      <c r="B79" s="226" t="str">
        <f>IFERROR(__xludf.DUMMYFUNCTION("""COMPUTED_VALUE"""),"4250141108806")</f>
        <v>4250141108806</v>
      </c>
      <c r="C79" t="str">
        <f>IFERROR(__xludf.DUMMYFUNCTION("""COMPUTED_VALUE"""),"Westfalia/Witter")</f>
        <v>Westfalia/Witter</v>
      </c>
    </row>
    <row r="80">
      <c r="A80" t="str">
        <f>IFERROR(__xludf.DUMMYFUNCTION("""COMPUTED_VALUE"""),"313171600001")</f>
        <v>313171600001</v>
      </c>
      <c r="B80" s="226" t="str">
        <f>IFERROR(__xludf.DUMMYFUNCTION("""COMPUTED_VALUE"""),"4250141108837")</f>
        <v>4250141108837</v>
      </c>
      <c r="C80" t="str">
        <f>IFERROR(__xludf.DUMMYFUNCTION("""COMPUTED_VALUE"""),"Westfalia/Witter")</f>
        <v>Westfalia/Witter</v>
      </c>
    </row>
    <row r="81">
      <c r="A81" t="str">
        <f>IFERROR(__xludf.DUMMYFUNCTION("""COMPUTED_VALUE"""),"313171600001")</f>
        <v>313171600001</v>
      </c>
      <c r="B81" s="226" t="str">
        <f>IFERROR(__xludf.DUMMYFUNCTION("""COMPUTED_VALUE"""),"4250141108837")</f>
        <v>4250141108837</v>
      </c>
      <c r="C81" t="str">
        <f>IFERROR(__xludf.DUMMYFUNCTION("""COMPUTED_VALUE"""),"Westfalia/Witter")</f>
        <v>Westfalia/Witter</v>
      </c>
    </row>
    <row r="82">
      <c r="A82" t="str">
        <f>IFERROR(__xludf.DUMMYFUNCTION("""COMPUTED_VALUE"""),"313175600001")</f>
        <v>313175600001</v>
      </c>
      <c r="B82" s="226" t="str">
        <f>IFERROR(__xludf.DUMMYFUNCTION("""COMPUTED_VALUE"""),"4250141108967")</f>
        <v>4250141108967</v>
      </c>
      <c r="C82" t="str">
        <f>IFERROR(__xludf.DUMMYFUNCTION("""COMPUTED_VALUE"""),"Westfalia/Witter")</f>
        <v>Westfalia/Witter</v>
      </c>
    </row>
    <row r="83">
      <c r="A83" t="str">
        <f>IFERROR(__xludf.DUMMYFUNCTION("""COMPUTED_VALUE"""),"313179600001")</f>
        <v>313179600001</v>
      </c>
      <c r="B83" s="226" t="str">
        <f>IFERROR(__xludf.DUMMYFUNCTION("""COMPUTED_VALUE"""),"4250141109025")</f>
        <v>4250141109025</v>
      </c>
      <c r="C83" t="str">
        <f>IFERROR(__xludf.DUMMYFUNCTION("""COMPUTED_VALUE"""),"Westfalia/Witter")</f>
        <v>Westfalia/Witter</v>
      </c>
    </row>
    <row r="84">
      <c r="A84" t="str">
        <f>IFERROR(__xludf.DUMMYFUNCTION("""COMPUTED_VALUE"""),"313185600001")</f>
        <v>313185600001</v>
      </c>
      <c r="B84" s="226" t="str">
        <f>IFERROR(__xludf.DUMMYFUNCTION("""COMPUTED_VALUE"""),"4250141109070")</f>
        <v>4250141109070</v>
      </c>
      <c r="C84" t="str">
        <f>IFERROR(__xludf.DUMMYFUNCTION("""COMPUTED_VALUE"""),"Westfalia/Witter")</f>
        <v>Westfalia/Witter</v>
      </c>
    </row>
    <row r="85">
      <c r="A85" t="str">
        <f>IFERROR(__xludf.DUMMYFUNCTION("""COMPUTED_VALUE"""),"313188600001")</f>
        <v>313188600001</v>
      </c>
      <c r="B85" s="226" t="str">
        <f>IFERROR(__xludf.DUMMYFUNCTION("""COMPUTED_VALUE"""),"4250141109117")</f>
        <v>4250141109117</v>
      </c>
      <c r="C85" t="str">
        <f>IFERROR(__xludf.DUMMYFUNCTION("""COMPUTED_VALUE"""),"Westfalia/Witter")</f>
        <v>Westfalia/Witter</v>
      </c>
    </row>
    <row r="86">
      <c r="A86" t="str">
        <f>IFERROR(__xludf.DUMMYFUNCTION("""COMPUTED_VALUE"""),"313189600001")</f>
        <v>313189600001</v>
      </c>
      <c r="B86" s="226" t="str">
        <f>IFERROR(__xludf.DUMMYFUNCTION("""COMPUTED_VALUE"""),"4250141109124")</f>
        <v>4250141109124</v>
      </c>
      <c r="C86" t="str">
        <f>IFERROR(__xludf.DUMMYFUNCTION("""COMPUTED_VALUE"""),"Westfalia/Witter")</f>
        <v>Westfalia/Witter</v>
      </c>
    </row>
    <row r="87">
      <c r="A87" t="str">
        <f>IFERROR(__xludf.DUMMYFUNCTION("""COMPUTED_VALUE"""),"313194600001")</f>
        <v>313194600001</v>
      </c>
      <c r="B87" s="226" t="str">
        <f>IFERROR(__xludf.DUMMYFUNCTION("""COMPUTED_VALUE"""),"4250141109148")</f>
        <v>4250141109148</v>
      </c>
      <c r="C87" t="str">
        <f>IFERROR(__xludf.DUMMYFUNCTION("""COMPUTED_VALUE"""),"Westfalia/Witter")</f>
        <v>Westfalia/Witter</v>
      </c>
    </row>
    <row r="88">
      <c r="A88" t="str">
        <f>IFERROR(__xludf.DUMMYFUNCTION("""COMPUTED_VALUE"""),"313200600001")</f>
        <v>313200600001</v>
      </c>
      <c r="B88" s="226" t="str">
        <f>IFERROR(__xludf.DUMMYFUNCTION("""COMPUTED_VALUE"""),"4250141109308")</f>
        <v>4250141109308</v>
      </c>
      <c r="C88" t="str">
        <f>IFERROR(__xludf.DUMMYFUNCTION("""COMPUTED_VALUE"""),"Westfalia/Witter")</f>
        <v>Westfalia/Witter</v>
      </c>
    </row>
    <row r="89">
      <c r="A89" t="str">
        <f>IFERROR(__xludf.DUMMYFUNCTION("""COMPUTED_VALUE"""),"313203600001")</f>
        <v>313203600001</v>
      </c>
      <c r="B89" s="226" t="str">
        <f>IFERROR(__xludf.DUMMYFUNCTION("""COMPUTED_VALUE"""),"4250141109339")</f>
        <v>4250141109339</v>
      </c>
      <c r="C89" t="str">
        <f>IFERROR(__xludf.DUMMYFUNCTION("""COMPUTED_VALUE"""),"Westfalia/Witter")</f>
        <v>Westfalia/Witter</v>
      </c>
    </row>
    <row r="90">
      <c r="A90" t="str">
        <f>IFERROR(__xludf.DUMMYFUNCTION("""COMPUTED_VALUE"""),"313204600001")</f>
        <v>313204600001</v>
      </c>
      <c r="B90" s="226" t="str">
        <f>IFERROR(__xludf.DUMMYFUNCTION("""COMPUTED_VALUE"""),"4250141109346")</f>
        <v>4250141109346</v>
      </c>
      <c r="C90" t="str">
        <f>IFERROR(__xludf.DUMMYFUNCTION("""COMPUTED_VALUE"""),"Westfalia/Witter")</f>
        <v>Westfalia/Witter</v>
      </c>
    </row>
    <row r="91">
      <c r="A91" t="str">
        <f>IFERROR(__xludf.DUMMYFUNCTION("""COMPUTED_VALUE"""),"313231600001")</f>
        <v>313231600001</v>
      </c>
      <c r="B91" s="226" t="str">
        <f>IFERROR(__xludf.DUMMYFUNCTION("""COMPUTED_VALUE"""),"4250141109483")</f>
        <v>4250141109483</v>
      </c>
      <c r="C91" t="str">
        <f>IFERROR(__xludf.DUMMYFUNCTION("""COMPUTED_VALUE"""),"Westfalia/Witter")</f>
        <v>Westfalia/Witter</v>
      </c>
    </row>
    <row r="92">
      <c r="A92" t="str">
        <f>IFERROR(__xludf.DUMMYFUNCTION("""COMPUTED_VALUE"""),"313231600001")</f>
        <v>313231600001</v>
      </c>
      <c r="B92" s="226" t="str">
        <f>IFERROR(__xludf.DUMMYFUNCTION("""COMPUTED_VALUE"""),"4250141109483")</f>
        <v>4250141109483</v>
      </c>
      <c r="C92" t="str">
        <f>IFERROR(__xludf.DUMMYFUNCTION("""COMPUTED_VALUE"""),"Westfalia/Witter")</f>
        <v>Westfalia/Witter</v>
      </c>
    </row>
    <row r="93">
      <c r="A93" t="str">
        <f>IFERROR(__xludf.DUMMYFUNCTION("""COMPUTED_VALUE"""),"313240600001")</f>
        <v>313240600001</v>
      </c>
      <c r="B93" s="226" t="str">
        <f>IFERROR(__xludf.DUMMYFUNCTION("""COMPUTED_VALUE"""),"4250141109605")</f>
        <v>4250141109605</v>
      </c>
      <c r="C93" t="str">
        <f>IFERROR(__xludf.DUMMYFUNCTION("""COMPUTED_VALUE"""),"Westfalia/Witter")</f>
        <v>Westfalia/Witter</v>
      </c>
    </row>
    <row r="94">
      <c r="A94" t="str">
        <f>IFERROR(__xludf.DUMMYFUNCTION("""COMPUTED_VALUE"""),"314236600001")</f>
        <v>314236600001</v>
      </c>
      <c r="B94" s="226" t="str">
        <f>IFERROR(__xludf.DUMMYFUNCTION("""COMPUTED_VALUE"""),"4250141110007")</f>
        <v>4250141110007</v>
      </c>
      <c r="C94" t="str">
        <f>IFERROR(__xludf.DUMMYFUNCTION("""COMPUTED_VALUE"""),"Westfalia/Witter")</f>
        <v>Westfalia/Witter</v>
      </c>
    </row>
    <row r="95">
      <c r="A95" t="str">
        <f>IFERROR(__xludf.DUMMYFUNCTION("""COMPUTED_VALUE"""),"314236600001")</f>
        <v>314236600001</v>
      </c>
      <c r="B95" s="226" t="str">
        <f>IFERROR(__xludf.DUMMYFUNCTION("""COMPUTED_VALUE"""),"4250141110007")</f>
        <v>4250141110007</v>
      </c>
      <c r="C95" t="str">
        <f>IFERROR(__xludf.DUMMYFUNCTION("""COMPUTED_VALUE"""),"Westfalia/Witter")</f>
        <v>Westfalia/Witter</v>
      </c>
    </row>
    <row r="96">
      <c r="A96" t="str">
        <f>IFERROR(__xludf.DUMMYFUNCTION("""COMPUTED_VALUE"""),"314257600001")</f>
        <v>314257600001</v>
      </c>
      <c r="B96" s="226" t="str">
        <f>IFERROR(__xludf.DUMMYFUNCTION("""COMPUTED_VALUE"""),"4250141110267")</f>
        <v>4250141110267</v>
      </c>
      <c r="C96" t="str">
        <f>IFERROR(__xludf.DUMMYFUNCTION("""COMPUTED_VALUE"""),"Westfalia/Witter")</f>
        <v>Westfalia/Witter</v>
      </c>
    </row>
    <row r="97">
      <c r="A97" t="str">
        <f>IFERROR(__xludf.DUMMYFUNCTION("""COMPUTED_VALUE"""),"314270600001")</f>
        <v>314270600001</v>
      </c>
      <c r="B97" s="226" t="str">
        <f>IFERROR(__xludf.DUMMYFUNCTION("""COMPUTED_VALUE"""),"4250141110465")</f>
        <v>4250141110465</v>
      </c>
      <c r="C97" t="str">
        <f>IFERROR(__xludf.DUMMYFUNCTION("""COMPUTED_VALUE"""),"Westfalia/Witter")</f>
        <v>Westfalia/Witter</v>
      </c>
    </row>
    <row r="98">
      <c r="A98" t="str">
        <f>IFERROR(__xludf.DUMMYFUNCTION("""COMPUTED_VALUE"""),"314275600001")</f>
        <v>314275600001</v>
      </c>
      <c r="B98" s="226" t="str">
        <f>IFERROR(__xludf.DUMMYFUNCTION("""COMPUTED_VALUE"""),"4250141110496")</f>
        <v>4250141110496</v>
      </c>
      <c r="C98" t="str">
        <f>IFERROR(__xludf.DUMMYFUNCTION("""COMPUTED_VALUE"""),"Westfalia/Witter")</f>
        <v>Westfalia/Witter</v>
      </c>
    </row>
    <row r="99">
      <c r="A99" t="str">
        <f>IFERROR(__xludf.DUMMYFUNCTION("""COMPUTED_VALUE"""),"314280600001")</f>
        <v>314280600001</v>
      </c>
      <c r="B99" s="226" t="str">
        <f>IFERROR(__xludf.DUMMYFUNCTION("""COMPUTED_VALUE"""),"4250141110601")</f>
        <v>4250141110601</v>
      </c>
      <c r="C99" t="str">
        <f>IFERROR(__xludf.DUMMYFUNCTION("""COMPUTED_VALUE"""),"Westfalia/Witter")</f>
        <v>Westfalia/Witter</v>
      </c>
    </row>
    <row r="100">
      <c r="A100" t="str">
        <f>IFERROR(__xludf.DUMMYFUNCTION("""COMPUTED_VALUE"""),"314282600001")</f>
        <v>314282600001</v>
      </c>
      <c r="B100" s="226" t="str">
        <f>IFERROR(__xludf.DUMMYFUNCTION("""COMPUTED_VALUE"""),"4250141110632")</f>
        <v>4250141110632</v>
      </c>
      <c r="C100" t="str">
        <f>IFERROR(__xludf.DUMMYFUNCTION("""COMPUTED_VALUE"""),"Westfalia/Witter")</f>
        <v>Westfalia/Witter</v>
      </c>
    </row>
    <row r="101">
      <c r="A101" t="str">
        <f>IFERROR(__xludf.DUMMYFUNCTION("""COMPUTED_VALUE"""),"314289600001")</f>
        <v>314289600001</v>
      </c>
      <c r="B101" s="226" t="str">
        <f>IFERROR(__xludf.DUMMYFUNCTION("""COMPUTED_VALUE"""),"4250141110724")</f>
        <v>4250141110724</v>
      </c>
      <c r="C101" t="str">
        <f>IFERROR(__xludf.DUMMYFUNCTION("""COMPUTED_VALUE"""),"Westfalia/Witter")</f>
        <v>Westfalia/Witter</v>
      </c>
    </row>
    <row r="102">
      <c r="A102" t="str">
        <f>IFERROR(__xludf.DUMMYFUNCTION("""COMPUTED_VALUE"""),"314297600001")</f>
        <v>314297600001</v>
      </c>
      <c r="B102" s="226" t="str">
        <f>IFERROR(__xludf.DUMMYFUNCTION("""COMPUTED_VALUE"""),"4250141110823")</f>
        <v>4250141110823</v>
      </c>
      <c r="C102" t="str">
        <f>IFERROR(__xludf.DUMMYFUNCTION("""COMPUTED_VALUE"""),"Westfalia/Witter")</f>
        <v>Westfalia/Witter</v>
      </c>
    </row>
    <row r="103">
      <c r="A103" t="str">
        <f>IFERROR(__xludf.DUMMYFUNCTION("""COMPUTED_VALUE"""),"314299600001")</f>
        <v>314299600001</v>
      </c>
      <c r="B103" s="226" t="str">
        <f>IFERROR(__xludf.DUMMYFUNCTION("""COMPUTED_VALUE"""),"4250141110847")</f>
        <v>4250141110847</v>
      </c>
      <c r="C103" t="str">
        <f>IFERROR(__xludf.DUMMYFUNCTION("""COMPUTED_VALUE"""),"Westfalia/Witter")</f>
        <v>Westfalia/Witter</v>
      </c>
    </row>
    <row r="104">
      <c r="A104" t="str">
        <f>IFERROR(__xludf.DUMMYFUNCTION("""COMPUTED_VALUE"""),"315098600001")</f>
        <v>315098600001</v>
      </c>
      <c r="B104" s="226" t="str">
        <f>IFERROR(__xludf.DUMMYFUNCTION("""COMPUTED_VALUE"""),"4250141111219")</f>
        <v>4250141111219</v>
      </c>
      <c r="C104" t="str">
        <f>IFERROR(__xludf.DUMMYFUNCTION("""COMPUTED_VALUE"""),"Westfalia/Witter")</f>
        <v>Westfalia/Witter</v>
      </c>
    </row>
    <row r="105">
      <c r="A105" t="str">
        <f>IFERROR(__xludf.DUMMYFUNCTION("""COMPUTED_VALUE"""),"315098600001")</f>
        <v>315098600001</v>
      </c>
      <c r="B105" s="226" t="str">
        <f>IFERROR(__xludf.DUMMYFUNCTION("""COMPUTED_VALUE"""),"4250141111219")</f>
        <v>4250141111219</v>
      </c>
      <c r="C105" t="str">
        <f>IFERROR(__xludf.DUMMYFUNCTION("""COMPUTED_VALUE"""),"Westfalia/Witter")</f>
        <v>Westfalia/Witter</v>
      </c>
    </row>
    <row r="106">
      <c r="A106" t="str">
        <f>IFERROR(__xludf.DUMMYFUNCTION("""COMPUTED_VALUE"""),"315098600001")</f>
        <v>315098600001</v>
      </c>
      <c r="B106" s="226" t="str">
        <f>IFERROR(__xludf.DUMMYFUNCTION("""COMPUTED_VALUE"""),"4250141111219")</f>
        <v>4250141111219</v>
      </c>
      <c r="C106" t="str">
        <f>IFERROR(__xludf.DUMMYFUNCTION("""COMPUTED_VALUE"""),"Westfalia/Witter")</f>
        <v>Westfalia/Witter</v>
      </c>
    </row>
    <row r="107">
      <c r="A107" t="str">
        <f>IFERROR(__xludf.DUMMYFUNCTION("""COMPUTED_VALUE"""),"315099600001")</f>
        <v>315099600001</v>
      </c>
      <c r="B107" s="226" t="str">
        <f>IFERROR(__xludf.DUMMYFUNCTION("""COMPUTED_VALUE"""),"4250141111226")</f>
        <v>4250141111226</v>
      </c>
      <c r="C107" t="str">
        <f>IFERROR(__xludf.DUMMYFUNCTION("""COMPUTED_VALUE"""),"Westfalia/Witter")</f>
        <v>Westfalia/Witter</v>
      </c>
    </row>
    <row r="108">
      <c r="A108" t="str">
        <f>IFERROR(__xludf.DUMMYFUNCTION("""COMPUTED_VALUE"""),"315109600001")</f>
        <v>315109600001</v>
      </c>
      <c r="B108" s="226" t="str">
        <f>IFERROR(__xludf.DUMMYFUNCTION("""COMPUTED_VALUE"""),"4250141111318")</f>
        <v>4250141111318</v>
      </c>
      <c r="C108" t="str">
        <f>IFERROR(__xludf.DUMMYFUNCTION("""COMPUTED_VALUE"""),"Westfalia/Witter")</f>
        <v>Westfalia/Witter</v>
      </c>
    </row>
    <row r="109">
      <c r="A109" t="str">
        <f>IFERROR(__xludf.DUMMYFUNCTION("""COMPUTED_VALUE"""),"315109600001")</f>
        <v>315109600001</v>
      </c>
      <c r="B109" s="226" t="str">
        <f>IFERROR(__xludf.DUMMYFUNCTION("""COMPUTED_VALUE"""),"4250141111318")</f>
        <v>4250141111318</v>
      </c>
      <c r="C109" t="str">
        <f>IFERROR(__xludf.DUMMYFUNCTION("""COMPUTED_VALUE"""),"Westfalia/Witter")</f>
        <v>Westfalia/Witter</v>
      </c>
    </row>
    <row r="110">
      <c r="A110" t="str">
        <f>IFERROR(__xludf.DUMMYFUNCTION("""COMPUTED_VALUE"""),"315109600001")</f>
        <v>315109600001</v>
      </c>
      <c r="B110" s="226" t="str">
        <f>IFERROR(__xludf.DUMMYFUNCTION("""COMPUTED_VALUE"""),"4250141111318")</f>
        <v>4250141111318</v>
      </c>
      <c r="C110" t="str">
        <f>IFERROR(__xludf.DUMMYFUNCTION("""COMPUTED_VALUE"""),"Westfalia/Witter")</f>
        <v>Westfalia/Witter</v>
      </c>
    </row>
    <row r="111">
      <c r="A111" t="str">
        <f>IFERROR(__xludf.DUMMYFUNCTION("""COMPUTED_VALUE"""),"316126600001")</f>
        <v>316126600001</v>
      </c>
      <c r="B111" s="226" t="str">
        <f>IFERROR(__xludf.DUMMYFUNCTION("""COMPUTED_VALUE"""),"4250141111769")</f>
        <v>4250141111769</v>
      </c>
      <c r="C111" t="str">
        <f>IFERROR(__xludf.DUMMYFUNCTION("""COMPUTED_VALUE"""),"Westfalia/Witter")</f>
        <v>Westfalia/Witter</v>
      </c>
    </row>
    <row r="112">
      <c r="A112" t="str">
        <f>IFERROR(__xludf.DUMMYFUNCTION("""COMPUTED_VALUE"""),"316126600001")</f>
        <v>316126600001</v>
      </c>
      <c r="B112" s="226" t="str">
        <f>IFERROR(__xludf.DUMMYFUNCTION("""COMPUTED_VALUE"""),"4250141111769")</f>
        <v>4250141111769</v>
      </c>
      <c r="C112" t="str">
        <f>IFERROR(__xludf.DUMMYFUNCTION("""COMPUTED_VALUE"""),"Westfalia/Witter")</f>
        <v>Westfalia/Witter</v>
      </c>
    </row>
    <row r="113">
      <c r="A113" t="str">
        <f>IFERROR(__xludf.DUMMYFUNCTION("""COMPUTED_VALUE"""),"316126600001")</f>
        <v>316126600001</v>
      </c>
      <c r="B113" s="226" t="str">
        <f>IFERROR(__xludf.DUMMYFUNCTION("""COMPUTED_VALUE"""),"4250141111769")</f>
        <v>4250141111769</v>
      </c>
      <c r="C113" t="str">
        <f>IFERROR(__xludf.DUMMYFUNCTION("""COMPUTED_VALUE"""),"Westfalia/Witter")</f>
        <v>Westfalia/Witter</v>
      </c>
    </row>
    <row r="114">
      <c r="A114" t="str">
        <f>IFERROR(__xludf.DUMMYFUNCTION("""COMPUTED_VALUE"""),"316187600001")</f>
        <v>316187600001</v>
      </c>
      <c r="B114" s="226" t="str">
        <f>IFERROR(__xludf.DUMMYFUNCTION("""COMPUTED_VALUE"""),"4250141112384")</f>
        <v>4250141112384</v>
      </c>
      <c r="C114" t="str">
        <f>IFERROR(__xludf.DUMMYFUNCTION("""COMPUTED_VALUE"""),"Westfalia/Witter")</f>
        <v>Westfalia/Witter</v>
      </c>
    </row>
    <row r="115">
      <c r="A115" t="str">
        <f>IFERROR(__xludf.DUMMYFUNCTION("""COMPUTED_VALUE"""),"316191600001")</f>
        <v>316191600001</v>
      </c>
      <c r="B115" s="226" t="str">
        <f>IFERROR(__xludf.DUMMYFUNCTION("""COMPUTED_VALUE"""),"4250141112421")</f>
        <v>4250141112421</v>
      </c>
      <c r="C115" t="str">
        <f>IFERROR(__xludf.DUMMYFUNCTION("""COMPUTED_VALUE"""),"Westfalia/Witter")</f>
        <v>Westfalia/Witter</v>
      </c>
    </row>
    <row r="116">
      <c r="A116" t="str">
        <f>IFERROR(__xludf.DUMMYFUNCTION("""COMPUTED_VALUE"""),"316192600001")</f>
        <v>316192600001</v>
      </c>
      <c r="B116" s="226" t="str">
        <f>IFERROR(__xludf.DUMMYFUNCTION("""COMPUTED_VALUE"""),"4250141112452")</f>
        <v>4250141112452</v>
      </c>
      <c r="C116" t="str">
        <f>IFERROR(__xludf.DUMMYFUNCTION("""COMPUTED_VALUE"""),"Westfalia/Witter")</f>
        <v>Westfalia/Witter</v>
      </c>
    </row>
    <row r="117">
      <c r="A117" t="str">
        <f>IFERROR(__xludf.DUMMYFUNCTION("""COMPUTED_VALUE"""),"316195600001")</f>
        <v>316195600001</v>
      </c>
      <c r="B117" s="226" t="str">
        <f>IFERROR(__xludf.DUMMYFUNCTION("""COMPUTED_VALUE"""),"4250141112506")</f>
        <v>4250141112506</v>
      </c>
      <c r="C117" t="str">
        <f>IFERROR(__xludf.DUMMYFUNCTION("""COMPUTED_VALUE"""),"Westfalia/Witter")</f>
        <v>Westfalia/Witter</v>
      </c>
    </row>
    <row r="118">
      <c r="A118" t="str">
        <f>IFERROR(__xludf.DUMMYFUNCTION("""COMPUTED_VALUE"""),"316201600001")</f>
        <v>316201600001</v>
      </c>
      <c r="B118" s="226" t="str">
        <f>IFERROR(__xludf.DUMMYFUNCTION("""COMPUTED_VALUE"""),"4250141112568")</f>
        <v>4250141112568</v>
      </c>
      <c r="C118" t="str">
        <f>IFERROR(__xludf.DUMMYFUNCTION("""COMPUTED_VALUE"""),"Westfalia/Witter")</f>
        <v>Westfalia/Witter</v>
      </c>
    </row>
    <row r="119">
      <c r="A119" t="str">
        <f>IFERROR(__xludf.DUMMYFUNCTION("""COMPUTED_VALUE"""),"316201600001")</f>
        <v>316201600001</v>
      </c>
      <c r="B119" s="226" t="str">
        <f>IFERROR(__xludf.DUMMYFUNCTION("""COMPUTED_VALUE"""),"4250141112568")</f>
        <v>4250141112568</v>
      </c>
      <c r="C119" t="str">
        <f>IFERROR(__xludf.DUMMYFUNCTION("""COMPUTED_VALUE"""),"Westfalia/Witter")</f>
        <v>Westfalia/Witter</v>
      </c>
    </row>
    <row r="120">
      <c r="A120" t="str">
        <f>IFERROR(__xludf.DUMMYFUNCTION("""COMPUTED_VALUE"""),"316208600001")</f>
        <v>316208600001</v>
      </c>
      <c r="B120" s="226" t="str">
        <f>IFERROR(__xludf.DUMMYFUNCTION("""COMPUTED_VALUE"""),"4250141112605")</f>
        <v>4250141112605</v>
      </c>
      <c r="C120" t="str">
        <f>IFERROR(__xludf.DUMMYFUNCTION("""COMPUTED_VALUE"""),"Westfalia/Witter")</f>
        <v>Westfalia/Witter</v>
      </c>
    </row>
    <row r="121">
      <c r="A121" t="str">
        <f>IFERROR(__xludf.DUMMYFUNCTION("""COMPUTED_VALUE"""),"316208600001")</f>
        <v>316208600001</v>
      </c>
      <c r="B121" s="226" t="str">
        <f>IFERROR(__xludf.DUMMYFUNCTION("""COMPUTED_VALUE"""),"4250141112605")</f>
        <v>4250141112605</v>
      </c>
      <c r="C121" t="str">
        <f>IFERROR(__xludf.DUMMYFUNCTION("""COMPUTED_VALUE"""),"Westfalia/Witter")</f>
        <v>Westfalia/Witter</v>
      </c>
    </row>
    <row r="122">
      <c r="A122" t="str">
        <f>IFERROR(__xludf.DUMMYFUNCTION("""COMPUTED_VALUE"""),"317043600001")</f>
        <v>317043600001</v>
      </c>
      <c r="B122" s="226" t="str">
        <f>IFERROR(__xludf.DUMMYFUNCTION("""COMPUTED_VALUE"""),"4250141112926")</f>
        <v>4250141112926</v>
      </c>
      <c r="C122" t="str">
        <f>IFERROR(__xludf.DUMMYFUNCTION("""COMPUTED_VALUE"""),"Westfalia/Witter")</f>
        <v>Westfalia/Witter</v>
      </c>
    </row>
    <row r="123">
      <c r="A123" t="str">
        <f>IFERROR(__xludf.DUMMYFUNCTION("""COMPUTED_VALUE"""),"320057600001")</f>
        <v>320057600001</v>
      </c>
      <c r="B123" s="226" t="str">
        <f>IFERROR(__xludf.DUMMYFUNCTION("""COMPUTED_VALUE"""),"4250141113404")</f>
        <v>4250141113404</v>
      </c>
      <c r="C123" t="str">
        <f>IFERROR(__xludf.DUMMYFUNCTION("""COMPUTED_VALUE"""),"Westfalia/Witter")</f>
        <v>Westfalia/Witter</v>
      </c>
    </row>
    <row r="124">
      <c r="A124" t="str">
        <f>IFERROR(__xludf.DUMMYFUNCTION("""COMPUTED_VALUE"""),"320059600001")</f>
        <v>320059600001</v>
      </c>
      <c r="B124" s="226" t="str">
        <f>IFERROR(__xludf.DUMMYFUNCTION("""COMPUTED_VALUE"""),"4250141113435")</f>
        <v>4250141113435</v>
      </c>
      <c r="C124" t="str">
        <f>IFERROR(__xludf.DUMMYFUNCTION("""COMPUTED_VALUE"""),"Westfalia/Witter")</f>
        <v>Westfalia/Witter</v>
      </c>
    </row>
    <row r="125">
      <c r="A125" t="str">
        <f>IFERROR(__xludf.DUMMYFUNCTION("""COMPUTED_VALUE"""),"320059600001")</f>
        <v>320059600001</v>
      </c>
      <c r="B125" s="226" t="str">
        <f>IFERROR(__xludf.DUMMYFUNCTION("""COMPUTED_VALUE"""),"4250141113435")</f>
        <v>4250141113435</v>
      </c>
      <c r="C125" t="str">
        <f>IFERROR(__xludf.DUMMYFUNCTION("""COMPUTED_VALUE"""),"Westfalia/Witter")</f>
        <v>Westfalia/Witter</v>
      </c>
    </row>
    <row r="126">
      <c r="A126" t="str">
        <f>IFERROR(__xludf.DUMMYFUNCTION("""COMPUTED_VALUE"""),"320060600001")</f>
        <v>320060600001</v>
      </c>
      <c r="B126" s="226" t="str">
        <f>IFERROR(__xludf.DUMMYFUNCTION("""COMPUTED_VALUE"""),"4250141113466")</f>
        <v>4250141113466</v>
      </c>
      <c r="C126" t="str">
        <f>IFERROR(__xludf.DUMMYFUNCTION("""COMPUTED_VALUE"""),"Westfalia/Witter")</f>
        <v>Westfalia/Witter</v>
      </c>
    </row>
    <row r="127">
      <c r="A127" t="str">
        <f>IFERROR(__xludf.DUMMYFUNCTION("""COMPUTED_VALUE"""),"320060600001")</f>
        <v>320060600001</v>
      </c>
      <c r="B127" s="226" t="str">
        <f>IFERROR(__xludf.DUMMYFUNCTION("""COMPUTED_VALUE"""),"4250141113466")</f>
        <v>4250141113466</v>
      </c>
      <c r="C127" t="str">
        <f>IFERROR(__xludf.DUMMYFUNCTION("""COMPUTED_VALUE"""),"Westfalia/Witter")</f>
        <v>Westfalia/Witter</v>
      </c>
    </row>
    <row r="128">
      <c r="A128" t="str">
        <f>IFERROR(__xludf.DUMMYFUNCTION("""COMPUTED_VALUE"""),"321331600001")</f>
        <v>321331600001</v>
      </c>
      <c r="B128" s="226" t="str">
        <f>IFERROR(__xludf.DUMMYFUNCTION("""COMPUTED_VALUE"""),"4250141113886")</f>
        <v>4250141113886</v>
      </c>
      <c r="C128" t="str">
        <f>IFERROR(__xludf.DUMMYFUNCTION("""COMPUTED_VALUE"""),"Westfalia/Witter")</f>
        <v>Westfalia/Witter</v>
      </c>
    </row>
    <row r="129">
      <c r="A129" t="str">
        <f>IFERROR(__xludf.DUMMYFUNCTION("""COMPUTED_VALUE"""),"321358600001")</f>
        <v>321358600001</v>
      </c>
      <c r="B129" s="226" t="str">
        <f>IFERROR(__xludf.DUMMYFUNCTION("""COMPUTED_VALUE"""),"4250141113954")</f>
        <v>4250141113954</v>
      </c>
      <c r="C129" t="str">
        <f>IFERROR(__xludf.DUMMYFUNCTION("""COMPUTED_VALUE"""),"Westfalia/Witter")</f>
        <v>Westfalia/Witter</v>
      </c>
    </row>
    <row r="130">
      <c r="A130" t="str">
        <f>IFERROR(__xludf.DUMMYFUNCTION("""COMPUTED_VALUE"""),"321391600001")</f>
        <v>321391600001</v>
      </c>
      <c r="B130" s="226" t="str">
        <f>IFERROR(__xludf.DUMMYFUNCTION("""COMPUTED_VALUE"""),"4250141114067")</f>
        <v>4250141114067</v>
      </c>
      <c r="C130" t="str">
        <f>IFERROR(__xludf.DUMMYFUNCTION("""COMPUTED_VALUE"""),"Westfalia/Witter")</f>
        <v>Westfalia/Witter</v>
      </c>
    </row>
    <row r="131">
      <c r="A131" t="str">
        <f>IFERROR(__xludf.DUMMYFUNCTION("""COMPUTED_VALUE"""),"321437600001")</f>
        <v>321437600001</v>
      </c>
      <c r="B131" s="226" t="str">
        <f>IFERROR(__xludf.DUMMYFUNCTION("""COMPUTED_VALUE"""),"4250141114296")</f>
        <v>4250141114296</v>
      </c>
      <c r="C131" t="str">
        <f>IFERROR(__xludf.DUMMYFUNCTION("""COMPUTED_VALUE"""),"Westfalia/Witter")</f>
        <v>Westfalia/Witter</v>
      </c>
    </row>
    <row r="132">
      <c r="A132" t="str">
        <f>IFERROR(__xludf.DUMMYFUNCTION("""COMPUTED_VALUE"""),"321437600001")</f>
        <v>321437600001</v>
      </c>
      <c r="B132" s="226" t="str">
        <f>IFERROR(__xludf.DUMMYFUNCTION("""COMPUTED_VALUE"""),"4250141114296")</f>
        <v>4250141114296</v>
      </c>
      <c r="C132" t="str">
        <f>IFERROR(__xludf.DUMMYFUNCTION("""COMPUTED_VALUE"""),"Westfalia/Witter")</f>
        <v>Westfalia/Witter</v>
      </c>
    </row>
    <row r="133">
      <c r="A133" t="str">
        <f>IFERROR(__xludf.DUMMYFUNCTION("""COMPUTED_VALUE"""),"321505600001")</f>
        <v>321505600001</v>
      </c>
      <c r="B133" s="226" t="str">
        <f>IFERROR(__xludf.DUMMYFUNCTION("""COMPUTED_VALUE"""),"4250141115156")</f>
        <v>4250141115156</v>
      </c>
      <c r="C133" t="str">
        <f>IFERROR(__xludf.DUMMYFUNCTION("""COMPUTED_VALUE"""),"Westfalia/Witter")</f>
        <v>Westfalia/Witter</v>
      </c>
    </row>
    <row r="134">
      <c r="A134" t="str">
        <f>IFERROR(__xludf.DUMMYFUNCTION("""COMPUTED_VALUE"""),"321505600001")</f>
        <v>321505600001</v>
      </c>
      <c r="B134" s="226" t="str">
        <f>IFERROR(__xludf.DUMMYFUNCTION("""COMPUTED_VALUE"""),"4250141115156")</f>
        <v>4250141115156</v>
      </c>
      <c r="C134" t="str">
        <f>IFERROR(__xludf.DUMMYFUNCTION("""COMPUTED_VALUE"""),"Westfalia/Witter")</f>
        <v>Westfalia/Witter</v>
      </c>
    </row>
    <row r="135">
      <c r="A135" t="str">
        <f>IFERROR(__xludf.DUMMYFUNCTION("""COMPUTED_VALUE"""),"321505600001")</f>
        <v>321505600001</v>
      </c>
      <c r="B135" s="226" t="str">
        <f>IFERROR(__xludf.DUMMYFUNCTION("""COMPUTED_VALUE"""),"4250141115156")</f>
        <v>4250141115156</v>
      </c>
      <c r="C135" t="str">
        <f>IFERROR(__xludf.DUMMYFUNCTION("""COMPUTED_VALUE"""),"Westfalia/Witter")</f>
        <v>Westfalia/Witter</v>
      </c>
    </row>
    <row r="136">
      <c r="A136" t="str">
        <f>IFERROR(__xludf.DUMMYFUNCTION("""COMPUTED_VALUE"""),"321508600001")</f>
        <v>321508600001</v>
      </c>
      <c r="B136" s="226" t="str">
        <f>IFERROR(__xludf.DUMMYFUNCTION("""COMPUTED_VALUE"""),"4250141115194")</f>
        <v>4250141115194</v>
      </c>
      <c r="C136" t="str">
        <f>IFERROR(__xludf.DUMMYFUNCTION("""COMPUTED_VALUE"""),"Westfalia/Witter")</f>
        <v>Westfalia/Witter</v>
      </c>
    </row>
    <row r="137">
      <c r="A137" t="str">
        <f>IFERROR(__xludf.DUMMYFUNCTION("""COMPUTED_VALUE"""),"321508600001")</f>
        <v>321508600001</v>
      </c>
      <c r="B137" s="226" t="str">
        <f>IFERROR(__xludf.DUMMYFUNCTION("""COMPUTED_VALUE"""),"4250141115194")</f>
        <v>4250141115194</v>
      </c>
      <c r="C137" t="str">
        <f>IFERROR(__xludf.DUMMYFUNCTION("""COMPUTED_VALUE"""),"Westfalia/Witter")</f>
        <v>Westfalia/Witter</v>
      </c>
    </row>
    <row r="138">
      <c r="A138" t="str">
        <f>IFERROR(__xludf.DUMMYFUNCTION("""COMPUTED_VALUE"""),"321523600001")</f>
        <v>321523600001</v>
      </c>
      <c r="B138" s="226" t="str">
        <f>IFERROR(__xludf.DUMMYFUNCTION("""COMPUTED_VALUE"""),"4250141115392")</f>
        <v>4250141115392</v>
      </c>
      <c r="C138" t="str">
        <f>IFERROR(__xludf.DUMMYFUNCTION("""COMPUTED_VALUE"""),"Westfalia/Witter")</f>
        <v>Westfalia/Witter</v>
      </c>
    </row>
    <row r="139">
      <c r="A139" t="str">
        <f>IFERROR(__xludf.DUMMYFUNCTION("""COMPUTED_VALUE"""),"321525600001")</f>
        <v>321525600001</v>
      </c>
      <c r="B139" s="226" t="str">
        <f>IFERROR(__xludf.DUMMYFUNCTION("""COMPUTED_VALUE"""),"4250141115408")</f>
        <v>4250141115408</v>
      </c>
      <c r="C139" t="str">
        <f>IFERROR(__xludf.DUMMYFUNCTION("""COMPUTED_VALUE"""),"Westfalia/Witter")</f>
        <v>Westfalia/Witter</v>
      </c>
    </row>
    <row r="140">
      <c r="A140" t="str">
        <f>IFERROR(__xludf.DUMMYFUNCTION("""COMPUTED_VALUE"""),"321536600001")</f>
        <v>321536600001</v>
      </c>
      <c r="B140" s="226" t="str">
        <f>IFERROR(__xludf.DUMMYFUNCTION("""COMPUTED_VALUE"""),"4250141115606")</f>
        <v>4250141115606</v>
      </c>
      <c r="C140" t="str">
        <f>IFERROR(__xludf.DUMMYFUNCTION("""COMPUTED_VALUE"""),"Westfalia/Witter")</f>
        <v>Westfalia/Witter</v>
      </c>
    </row>
    <row r="141">
      <c r="A141" t="str">
        <f>IFERROR(__xludf.DUMMYFUNCTION("""COMPUTED_VALUE"""),"321543600001")</f>
        <v>321543600001</v>
      </c>
      <c r="B141" s="226" t="str">
        <f>IFERROR(__xludf.DUMMYFUNCTION("""COMPUTED_VALUE"""),"4250141115842")</f>
        <v>4250141115842</v>
      </c>
      <c r="C141" t="str">
        <f>IFERROR(__xludf.DUMMYFUNCTION("""COMPUTED_VALUE"""),"Westfalia/Witter")</f>
        <v>Westfalia/Witter</v>
      </c>
    </row>
    <row r="142">
      <c r="A142" t="str">
        <f>IFERROR(__xludf.DUMMYFUNCTION("""COMPUTED_VALUE"""),"321544600001")</f>
        <v>321544600001</v>
      </c>
      <c r="B142" s="226" t="str">
        <f>IFERROR(__xludf.DUMMYFUNCTION("""COMPUTED_VALUE"""),"4250141115873")</f>
        <v>4250141115873</v>
      </c>
      <c r="C142" t="str">
        <f>IFERROR(__xludf.DUMMYFUNCTION("""COMPUTED_VALUE"""),"Westfalia/Witter")</f>
        <v>Westfalia/Witter</v>
      </c>
    </row>
    <row r="143">
      <c r="A143" t="str">
        <f>IFERROR(__xludf.DUMMYFUNCTION("""COMPUTED_VALUE"""),"321544600001")</f>
        <v>321544600001</v>
      </c>
      <c r="B143" s="226" t="str">
        <f>IFERROR(__xludf.DUMMYFUNCTION("""COMPUTED_VALUE"""),"4250141115873")</f>
        <v>4250141115873</v>
      </c>
      <c r="C143" t="str">
        <f>IFERROR(__xludf.DUMMYFUNCTION("""COMPUTED_VALUE"""),"Westfalia/Witter")</f>
        <v>Westfalia/Witter</v>
      </c>
    </row>
    <row r="144">
      <c r="A144" t="str">
        <f>IFERROR(__xludf.DUMMYFUNCTION("""COMPUTED_VALUE"""),"321546600001")</f>
        <v>321546600001</v>
      </c>
      <c r="B144" s="226" t="str">
        <f>IFERROR(__xludf.DUMMYFUNCTION("""COMPUTED_VALUE"""),"4250141115897")</f>
        <v>4250141115897</v>
      </c>
      <c r="C144" t="str">
        <f>IFERROR(__xludf.DUMMYFUNCTION("""COMPUTED_VALUE"""),"Westfalia/Witter")</f>
        <v>Westfalia/Witter</v>
      </c>
    </row>
    <row r="145">
      <c r="A145" t="str">
        <f>IFERROR(__xludf.DUMMYFUNCTION("""COMPUTED_VALUE"""),"321546600001")</f>
        <v>321546600001</v>
      </c>
      <c r="B145" s="226" t="str">
        <f>IFERROR(__xludf.DUMMYFUNCTION("""COMPUTED_VALUE"""),"4250141115897")</f>
        <v>4250141115897</v>
      </c>
      <c r="C145" t="str">
        <f>IFERROR(__xludf.DUMMYFUNCTION("""COMPUTED_VALUE"""),"Westfalia/Witter")</f>
        <v>Westfalia/Witter</v>
      </c>
    </row>
    <row r="146">
      <c r="A146" t="str">
        <f>IFERROR(__xludf.DUMMYFUNCTION("""COMPUTED_VALUE"""),"321607600001")</f>
        <v>321607600001</v>
      </c>
      <c r="B146" s="226" t="str">
        <f>IFERROR(__xludf.DUMMYFUNCTION("""COMPUTED_VALUE"""),"4250141116191")</f>
        <v>4250141116191</v>
      </c>
      <c r="C146" t="str">
        <f>IFERROR(__xludf.DUMMYFUNCTION("""COMPUTED_VALUE"""),"Westfalia/Witter")</f>
        <v>Westfalia/Witter</v>
      </c>
    </row>
    <row r="147">
      <c r="A147" t="str">
        <f>IFERROR(__xludf.DUMMYFUNCTION("""COMPUTED_VALUE"""),"321630600001")</f>
        <v>321630600001</v>
      </c>
      <c r="B147" s="226" t="str">
        <f>IFERROR(__xludf.DUMMYFUNCTION("""COMPUTED_VALUE"""),"4250141116382")</f>
        <v>4250141116382</v>
      </c>
      <c r="C147" t="str">
        <f>IFERROR(__xludf.DUMMYFUNCTION("""COMPUTED_VALUE"""),"Westfalia/Witter")</f>
        <v>Westfalia/Witter</v>
      </c>
    </row>
    <row r="148">
      <c r="A148" t="str">
        <f>IFERROR(__xludf.DUMMYFUNCTION("""COMPUTED_VALUE"""),"321637600001")</f>
        <v>321637600001</v>
      </c>
      <c r="B148" s="226" t="str">
        <f>IFERROR(__xludf.DUMMYFUNCTION("""COMPUTED_VALUE"""),"4250141116450")</f>
        <v>4250141116450</v>
      </c>
      <c r="C148" t="str">
        <f>IFERROR(__xludf.DUMMYFUNCTION("""COMPUTED_VALUE"""),"Westfalia/Witter")</f>
        <v>Westfalia/Witter</v>
      </c>
    </row>
    <row r="149">
      <c r="A149" t="str">
        <f>IFERROR(__xludf.DUMMYFUNCTION("""COMPUTED_VALUE"""),"321637600001")</f>
        <v>321637600001</v>
      </c>
      <c r="B149" s="226" t="str">
        <f>IFERROR(__xludf.DUMMYFUNCTION("""COMPUTED_VALUE"""),"4250141116450")</f>
        <v>4250141116450</v>
      </c>
      <c r="C149" t="str">
        <f>IFERROR(__xludf.DUMMYFUNCTION("""COMPUTED_VALUE"""),"Westfalia/Witter")</f>
        <v>Westfalia/Witter</v>
      </c>
    </row>
    <row r="150">
      <c r="A150" t="str">
        <f>IFERROR(__xludf.DUMMYFUNCTION("""COMPUTED_VALUE"""),"321661600001")</f>
        <v>321661600001</v>
      </c>
      <c r="B150" s="226" t="str">
        <f>IFERROR(__xludf.DUMMYFUNCTION("""COMPUTED_VALUE"""),"4250141116702")</f>
        <v>4250141116702</v>
      </c>
      <c r="C150" t="str">
        <f>IFERROR(__xludf.DUMMYFUNCTION("""COMPUTED_VALUE"""),"Westfalia/Witter")</f>
        <v>Westfalia/Witter</v>
      </c>
    </row>
    <row r="151">
      <c r="A151" t="str">
        <f>IFERROR(__xludf.DUMMYFUNCTION("""COMPUTED_VALUE"""),"323040600001")</f>
        <v>323040600001</v>
      </c>
      <c r="B151" s="226" t="str">
        <f>IFERROR(__xludf.DUMMYFUNCTION("""COMPUTED_VALUE"""),"4250141116887")</f>
        <v>4250141116887</v>
      </c>
      <c r="C151" t="str">
        <f>IFERROR(__xludf.DUMMYFUNCTION("""COMPUTED_VALUE"""),"Westfalia/Witter")</f>
        <v>Westfalia/Witter</v>
      </c>
    </row>
    <row r="152">
      <c r="A152" t="str">
        <f>IFERROR(__xludf.DUMMYFUNCTION("""COMPUTED_VALUE"""),"332162600001")</f>
        <v>332162600001</v>
      </c>
      <c r="B152" s="226" t="str">
        <f>IFERROR(__xludf.DUMMYFUNCTION("""COMPUTED_VALUE"""),"4250141118331")</f>
        <v>4250141118331</v>
      </c>
      <c r="C152" t="str">
        <f>IFERROR(__xludf.DUMMYFUNCTION("""COMPUTED_VALUE"""),"Westfalia/Witter")</f>
        <v>Westfalia/Witter</v>
      </c>
    </row>
    <row r="153">
      <c r="A153" t="str">
        <f>IFERROR(__xludf.DUMMYFUNCTION("""COMPUTED_VALUE"""),"332237600001")</f>
        <v>332237600001</v>
      </c>
      <c r="B153" s="226" t="str">
        <f>IFERROR(__xludf.DUMMYFUNCTION("""COMPUTED_VALUE"""),"4250141118867")</f>
        <v>4250141118867</v>
      </c>
      <c r="C153" t="str">
        <f>IFERROR(__xludf.DUMMYFUNCTION("""COMPUTED_VALUE"""),"Westfalia/Witter")</f>
        <v>Westfalia/Witter</v>
      </c>
    </row>
    <row r="154">
      <c r="A154" t="str">
        <f>IFERROR(__xludf.DUMMYFUNCTION("""COMPUTED_VALUE"""),"335246600001")</f>
        <v>335246600001</v>
      </c>
      <c r="B154" s="226" t="str">
        <f>IFERROR(__xludf.DUMMYFUNCTION("""COMPUTED_VALUE"""),"4250141119505")</f>
        <v>4250141119505</v>
      </c>
      <c r="C154" t="str">
        <f>IFERROR(__xludf.DUMMYFUNCTION("""COMPUTED_VALUE"""),"Westfalia/Witter")</f>
        <v>Westfalia/Witter</v>
      </c>
    </row>
    <row r="155">
      <c r="A155" t="str">
        <f>IFERROR(__xludf.DUMMYFUNCTION("""COMPUTED_VALUE"""),"335280600001")</f>
        <v>335280600001</v>
      </c>
      <c r="B155" s="226" t="str">
        <f>IFERROR(__xludf.DUMMYFUNCTION("""COMPUTED_VALUE"""),"4250141119727")</f>
        <v>4250141119727</v>
      </c>
      <c r="C155" t="str">
        <f>IFERROR(__xludf.DUMMYFUNCTION("""COMPUTED_VALUE"""),"Westfalia/Witter")</f>
        <v>Westfalia/Witter</v>
      </c>
    </row>
    <row r="156">
      <c r="A156" t="str">
        <f>IFERROR(__xludf.DUMMYFUNCTION("""COMPUTED_VALUE"""),"335288600001")</f>
        <v>335288600001</v>
      </c>
      <c r="B156" s="226" t="str">
        <f>IFERROR(__xludf.DUMMYFUNCTION("""COMPUTED_VALUE"""),"4250141119796")</f>
        <v>4250141119796</v>
      </c>
      <c r="C156" t="str">
        <f>IFERROR(__xludf.DUMMYFUNCTION("""COMPUTED_VALUE"""),"Westfalia/Witter")</f>
        <v>Westfalia/Witter</v>
      </c>
    </row>
    <row r="157">
      <c r="A157" t="str">
        <f>IFERROR(__xludf.DUMMYFUNCTION("""COMPUTED_VALUE"""),"335294600001")</f>
        <v>335294600001</v>
      </c>
      <c r="B157" s="226" t="str">
        <f>IFERROR(__xludf.DUMMYFUNCTION("""COMPUTED_VALUE"""),"4250141119840")</f>
        <v>4250141119840</v>
      </c>
      <c r="C157" t="str">
        <f>IFERROR(__xludf.DUMMYFUNCTION("""COMPUTED_VALUE"""),"Westfalia/Witter")</f>
        <v>Westfalia/Witter</v>
      </c>
    </row>
    <row r="158">
      <c r="A158" t="str">
        <f>IFERROR(__xludf.DUMMYFUNCTION("""COMPUTED_VALUE"""),"335303600001")</f>
        <v>335303600001</v>
      </c>
      <c r="B158" s="226" t="str">
        <f>IFERROR(__xludf.DUMMYFUNCTION("""COMPUTED_VALUE"""),"4250141119932")</f>
        <v>4250141119932</v>
      </c>
      <c r="C158" t="str">
        <f>IFERROR(__xludf.DUMMYFUNCTION("""COMPUTED_VALUE"""),"Westfalia/Witter")</f>
        <v>Westfalia/Witter</v>
      </c>
    </row>
    <row r="159">
      <c r="A159" t="str">
        <f>IFERROR(__xludf.DUMMYFUNCTION("""COMPUTED_VALUE"""),"335304600001")</f>
        <v>335304600001</v>
      </c>
      <c r="B159" s="226" t="str">
        <f>IFERROR(__xludf.DUMMYFUNCTION("""COMPUTED_VALUE"""),"4250141119949")</f>
        <v>4250141119949</v>
      </c>
      <c r="C159" t="str">
        <f>IFERROR(__xludf.DUMMYFUNCTION("""COMPUTED_VALUE"""),"Westfalia/Witter")</f>
        <v>Westfalia/Witter</v>
      </c>
    </row>
    <row r="160">
      <c r="A160" t="str">
        <f>IFERROR(__xludf.DUMMYFUNCTION("""COMPUTED_VALUE"""),"335305600001")</f>
        <v>335305600001</v>
      </c>
      <c r="B160" s="226" t="str">
        <f>IFERROR(__xludf.DUMMYFUNCTION("""COMPUTED_VALUE"""),"4250141119970")</f>
        <v>4250141119970</v>
      </c>
      <c r="C160" t="str">
        <f>IFERROR(__xludf.DUMMYFUNCTION("""COMPUTED_VALUE"""),"Westfalia/Witter")</f>
        <v>Westfalia/Witter</v>
      </c>
    </row>
    <row r="161">
      <c r="A161" t="str">
        <f>IFERROR(__xludf.DUMMYFUNCTION("""COMPUTED_VALUE"""),"335305600001")</f>
        <v>335305600001</v>
      </c>
      <c r="B161" s="226" t="str">
        <f>IFERROR(__xludf.DUMMYFUNCTION("""COMPUTED_VALUE"""),"4250141119970")</f>
        <v>4250141119970</v>
      </c>
      <c r="C161" t="str">
        <f>IFERROR(__xludf.DUMMYFUNCTION("""COMPUTED_VALUE"""),"Westfalia/Witter")</f>
        <v>Westfalia/Witter</v>
      </c>
    </row>
    <row r="162">
      <c r="A162" t="str">
        <f>IFERROR(__xludf.DUMMYFUNCTION("""COMPUTED_VALUE"""),"341003600001")</f>
        <v>341003600001</v>
      </c>
      <c r="B162" s="226" t="str">
        <f>IFERROR(__xludf.DUMMYFUNCTION("""COMPUTED_VALUE"""),"4250141120754")</f>
        <v>4250141120754</v>
      </c>
      <c r="C162" t="str">
        <f>IFERROR(__xludf.DUMMYFUNCTION("""COMPUTED_VALUE"""),"Westfalia/Witter")</f>
        <v>Westfalia/Witter</v>
      </c>
    </row>
    <row r="163">
      <c r="A163" t="str">
        <f>IFERROR(__xludf.DUMMYFUNCTION("""COMPUTED_VALUE"""),"343034600001")</f>
        <v>343034600001</v>
      </c>
      <c r="B163" s="226" t="str">
        <f>IFERROR(__xludf.DUMMYFUNCTION("""COMPUTED_VALUE"""),"4250141121126")</f>
        <v>4250141121126</v>
      </c>
      <c r="C163" t="str">
        <f>IFERROR(__xludf.DUMMYFUNCTION("""COMPUTED_VALUE"""),"Westfalia/Witter")</f>
        <v>Westfalia/Witter</v>
      </c>
    </row>
    <row r="164">
      <c r="A164" t="str">
        <f>IFERROR(__xludf.DUMMYFUNCTION("""COMPUTED_VALUE"""),"343034600001")</f>
        <v>343034600001</v>
      </c>
      <c r="B164" s="226" t="str">
        <f>IFERROR(__xludf.DUMMYFUNCTION("""COMPUTED_VALUE"""),"4250141121126")</f>
        <v>4250141121126</v>
      </c>
      <c r="C164" t="str">
        <f>IFERROR(__xludf.DUMMYFUNCTION("""COMPUTED_VALUE"""),"Westfalia/Witter")</f>
        <v>Westfalia/Witter</v>
      </c>
    </row>
    <row r="165">
      <c r="A165" t="str">
        <f>IFERROR(__xludf.DUMMYFUNCTION("""COMPUTED_VALUE"""),"343038600001")</f>
        <v>343038600001</v>
      </c>
      <c r="B165" s="226" t="str">
        <f>IFERROR(__xludf.DUMMYFUNCTION("""COMPUTED_VALUE"""),"4250141121164")</f>
        <v>4250141121164</v>
      </c>
      <c r="C165" t="str">
        <f>IFERROR(__xludf.DUMMYFUNCTION("""COMPUTED_VALUE"""),"Westfalia/Witter")</f>
        <v>Westfalia/Witter</v>
      </c>
    </row>
    <row r="166">
      <c r="A166" t="str">
        <f>IFERROR(__xludf.DUMMYFUNCTION("""COMPUTED_VALUE"""),"344043600001")</f>
        <v>344043600001</v>
      </c>
      <c r="B166" s="226" t="str">
        <f>IFERROR(__xludf.DUMMYFUNCTION("""COMPUTED_VALUE"""),"4250141121515")</f>
        <v>4250141121515</v>
      </c>
      <c r="C166" t="str">
        <f>IFERROR(__xludf.DUMMYFUNCTION("""COMPUTED_VALUE"""),"Westfalia/Witter")</f>
        <v>Westfalia/Witter</v>
      </c>
    </row>
    <row r="167">
      <c r="A167" t="str">
        <f>IFERROR(__xludf.DUMMYFUNCTION("""COMPUTED_VALUE"""),"344043600001")</f>
        <v>344043600001</v>
      </c>
      <c r="B167" s="226" t="str">
        <f>IFERROR(__xludf.DUMMYFUNCTION("""COMPUTED_VALUE"""),"4250141121515")</f>
        <v>4250141121515</v>
      </c>
      <c r="C167" t="str">
        <f>IFERROR(__xludf.DUMMYFUNCTION("""COMPUTED_VALUE"""),"Westfalia/Witter")</f>
        <v>Westfalia/Witter</v>
      </c>
    </row>
    <row r="168">
      <c r="A168" t="str">
        <f>IFERROR(__xludf.DUMMYFUNCTION("""COMPUTED_VALUE"""),"344043600001")</f>
        <v>344043600001</v>
      </c>
      <c r="B168" s="226" t="str">
        <f>IFERROR(__xludf.DUMMYFUNCTION("""COMPUTED_VALUE"""),"4250141121515")</f>
        <v>4250141121515</v>
      </c>
      <c r="C168" t="str">
        <f>IFERROR(__xludf.DUMMYFUNCTION("""COMPUTED_VALUE"""),"Westfalia/Witter")</f>
        <v>Westfalia/Witter</v>
      </c>
    </row>
    <row r="169">
      <c r="A169" t="str">
        <f>IFERROR(__xludf.DUMMYFUNCTION("""COMPUTED_VALUE"""),"344044600001")</f>
        <v>344044600001</v>
      </c>
      <c r="B169" s="226" t="str">
        <f>IFERROR(__xludf.DUMMYFUNCTION("""COMPUTED_VALUE"""),"4250141121546")</f>
        <v>4250141121546</v>
      </c>
      <c r="C169" t="str">
        <f>IFERROR(__xludf.DUMMYFUNCTION("""COMPUTED_VALUE"""),"Westfalia/Witter")</f>
        <v>Westfalia/Witter</v>
      </c>
    </row>
    <row r="170">
      <c r="A170" t="str">
        <f>IFERROR(__xludf.DUMMYFUNCTION("""COMPUTED_VALUE"""),"344044600001")</f>
        <v>344044600001</v>
      </c>
      <c r="B170" s="226" t="str">
        <f>IFERROR(__xludf.DUMMYFUNCTION("""COMPUTED_VALUE"""),"4250141121546")</f>
        <v>4250141121546</v>
      </c>
      <c r="C170" t="str">
        <f>IFERROR(__xludf.DUMMYFUNCTION("""COMPUTED_VALUE"""),"Westfalia/Witter")</f>
        <v>Westfalia/Witter</v>
      </c>
    </row>
    <row r="171">
      <c r="A171" t="str">
        <f>IFERROR(__xludf.DUMMYFUNCTION("""COMPUTED_VALUE"""),"344044600001")</f>
        <v>344044600001</v>
      </c>
      <c r="B171" s="226" t="str">
        <f>IFERROR(__xludf.DUMMYFUNCTION("""COMPUTED_VALUE"""),"4250141121546")</f>
        <v>4250141121546</v>
      </c>
      <c r="C171" t="str">
        <f>IFERROR(__xludf.DUMMYFUNCTION("""COMPUTED_VALUE"""),"Westfalia/Witter")</f>
        <v>Westfalia/Witter</v>
      </c>
    </row>
    <row r="172">
      <c r="A172" t="str">
        <f>IFERROR(__xludf.DUMMYFUNCTION("""COMPUTED_VALUE"""),"346011600001")</f>
        <v>346011600001</v>
      </c>
      <c r="B172" s="226" t="str">
        <f>IFERROR(__xludf.DUMMYFUNCTION("""COMPUTED_VALUE"""),"4250141121683")</f>
        <v>4250141121683</v>
      </c>
      <c r="C172" t="str">
        <f>IFERROR(__xludf.DUMMYFUNCTION("""COMPUTED_VALUE"""),"Westfalia/Witter")</f>
        <v>Westfalia/Witter</v>
      </c>
    </row>
    <row r="173">
      <c r="A173" t="str">
        <f>IFERROR(__xludf.DUMMYFUNCTION("""COMPUTED_VALUE"""),"346018600001")</f>
        <v>346018600001</v>
      </c>
      <c r="B173" s="226" t="str">
        <f>IFERROR(__xludf.DUMMYFUNCTION("""COMPUTED_VALUE"""),"4250141121744")</f>
        <v>4250141121744</v>
      </c>
      <c r="C173" t="str">
        <f>IFERROR(__xludf.DUMMYFUNCTION("""COMPUTED_VALUE"""),"Westfalia/Witter")</f>
        <v>Westfalia/Witter</v>
      </c>
    </row>
    <row r="174">
      <c r="A174" t="str">
        <f>IFERROR(__xludf.DUMMYFUNCTION("""COMPUTED_VALUE"""),"348013600001")</f>
        <v>348013600001</v>
      </c>
      <c r="B174" s="226" t="str">
        <f>IFERROR(__xludf.DUMMYFUNCTION("""COMPUTED_VALUE"""),"4250141121812")</f>
        <v>4250141121812</v>
      </c>
      <c r="C174" t="str">
        <f>IFERROR(__xludf.DUMMYFUNCTION("""COMPUTED_VALUE"""),"Westfalia/Witter")</f>
        <v>Westfalia/Witter</v>
      </c>
    </row>
    <row r="175">
      <c r="A175" t="str">
        <f>IFERROR(__xludf.DUMMYFUNCTION("""COMPUTED_VALUE"""),"314293600001")</f>
        <v>314293600001</v>
      </c>
      <c r="B175" s="226" t="str">
        <f>IFERROR(__xludf.DUMMYFUNCTION("""COMPUTED_VALUE"""),"4250141136977")</f>
        <v>4250141136977</v>
      </c>
      <c r="C175" t="str">
        <f>IFERROR(__xludf.DUMMYFUNCTION("""COMPUTED_VALUE"""),"Westfalia/Witter")</f>
        <v>Westfalia/Witter</v>
      </c>
    </row>
    <row r="176">
      <c r="A176" t="str">
        <f>IFERROR(__xludf.DUMMYFUNCTION("""COMPUTED_VALUE"""),"303266600001")</f>
        <v>303266600001</v>
      </c>
      <c r="B176" s="226" t="str">
        <f>IFERROR(__xludf.DUMMYFUNCTION("""COMPUTED_VALUE"""),"4250141137028")</f>
        <v>4250141137028</v>
      </c>
      <c r="C176" t="str">
        <f>IFERROR(__xludf.DUMMYFUNCTION("""COMPUTED_VALUE"""),"Westfalia/Witter")</f>
        <v>Westfalia/Witter</v>
      </c>
    </row>
    <row r="177">
      <c r="A177" t="str">
        <f>IFERROR(__xludf.DUMMYFUNCTION("""COMPUTED_VALUE"""),"321662600001")</f>
        <v>321662600001</v>
      </c>
      <c r="B177" s="226" t="str">
        <f>IFERROR(__xludf.DUMMYFUNCTION("""COMPUTED_VALUE"""),"4250141137424")</f>
        <v>4250141137424</v>
      </c>
      <c r="C177" t="str">
        <f>IFERROR(__xludf.DUMMYFUNCTION("""COMPUTED_VALUE"""),"Westfalia/Witter")</f>
        <v>Westfalia/Witter</v>
      </c>
    </row>
    <row r="178">
      <c r="A178" t="str">
        <f>IFERROR(__xludf.DUMMYFUNCTION("""COMPUTED_VALUE"""),"321665600001")</f>
        <v>321665600001</v>
      </c>
      <c r="B178" s="226" t="str">
        <f>IFERROR(__xludf.DUMMYFUNCTION("""COMPUTED_VALUE"""),"4250141137639")</f>
        <v>4250141137639</v>
      </c>
      <c r="C178" t="str">
        <f>IFERROR(__xludf.DUMMYFUNCTION("""COMPUTED_VALUE"""),"Westfalia/Witter")</f>
        <v>Westfalia/Witter</v>
      </c>
    </row>
    <row r="179">
      <c r="A179" t="str">
        <f>IFERROR(__xludf.DUMMYFUNCTION("""COMPUTED_VALUE"""),"321665600001")</f>
        <v>321665600001</v>
      </c>
      <c r="B179" s="226" t="str">
        <f>IFERROR(__xludf.DUMMYFUNCTION("""COMPUTED_VALUE"""),"4250141137639")</f>
        <v>4250141137639</v>
      </c>
      <c r="C179" t="str">
        <f>IFERROR(__xludf.DUMMYFUNCTION("""COMPUTED_VALUE"""),"Westfalia/Witter")</f>
        <v>Westfalia/Witter</v>
      </c>
    </row>
    <row r="180">
      <c r="A180" t="str">
        <f>IFERROR(__xludf.DUMMYFUNCTION("""COMPUTED_VALUE"""),"317059600001")</f>
        <v>317059600001</v>
      </c>
      <c r="B180" s="226" t="str">
        <f>IFERROR(__xludf.DUMMYFUNCTION("""COMPUTED_VALUE"""),"4250141137967")</f>
        <v>4250141137967</v>
      </c>
      <c r="C180" t="str">
        <f>IFERROR(__xludf.DUMMYFUNCTION("""COMPUTED_VALUE"""),"Westfalia/Witter")</f>
        <v>Westfalia/Witter</v>
      </c>
    </row>
    <row r="181">
      <c r="A181" t="str">
        <f>IFERROR(__xludf.DUMMYFUNCTION("""COMPUTED_VALUE"""),"313222600001")</f>
        <v>313222600001</v>
      </c>
      <c r="B181" s="226" t="str">
        <f>IFERROR(__xludf.DUMMYFUNCTION("""COMPUTED_VALUE"""),"4250141138421")</f>
        <v>4250141138421</v>
      </c>
      <c r="C181" t="str">
        <f>IFERROR(__xludf.DUMMYFUNCTION("""COMPUTED_VALUE"""),"Westfalia/Witter")</f>
        <v>Westfalia/Witter</v>
      </c>
    </row>
    <row r="182">
      <c r="A182" t="str">
        <f>IFERROR(__xludf.DUMMYFUNCTION("""COMPUTED_VALUE"""),"315118600001")</f>
        <v>315118600001</v>
      </c>
      <c r="B182" s="226" t="str">
        <f>IFERROR(__xludf.DUMMYFUNCTION("""COMPUTED_VALUE"""),"4250141138513")</f>
        <v>4250141138513</v>
      </c>
      <c r="C182" t="str">
        <f>IFERROR(__xludf.DUMMYFUNCTION("""COMPUTED_VALUE"""),"Westfalia/Witter")</f>
        <v>Westfalia/Witter</v>
      </c>
    </row>
    <row r="183">
      <c r="A183" t="str">
        <f>IFERROR(__xludf.DUMMYFUNCTION("""COMPUTED_VALUE"""),"315113600001")</f>
        <v>315113600001</v>
      </c>
      <c r="B183" s="226" t="str">
        <f>IFERROR(__xludf.DUMMYFUNCTION("""COMPUTED_VALUE"""),"4250141138520")</f>
        <v>4250141138520</v>
      </c>
      <c r="C183" t="str">
        <f>IFERROR(__xludf.DUMMYFUNCTION("""COMPUTED_VALUE"""),"Westfalia/Witter")</f>
        <v>Westfalia/Witter</v>
      </c>
    </row>
    <row r="184">
      <c r="A184" t="str">
        <f>IFERROR(__xludf.DUMMYFUNCTION("""COMPUTED_VALUE"""),"335325600001")</f>
        <v>335325600001</v>
      </c>
      <c r="B184" s="226" t="str">
        <f>IFERROR(__xludf.DUMMYFUNCTION("""COMPUTED_VALUE"""),"4250141138599")</f>
        <v>4250141138599</v>
      </c>
      <c r="C184" t="str">
        <f>IFERROR(__xludf.DUMMYFUNCTION("""COMPUTED_VALUE"""),"Westfalia/Witter")</f>
        <v>Westfalia/Witter</v>
      </c>
    </row>
    <row r="185">
      <c r="A185" t="str">
        <f>IFERROR(__xludf.DUMMYFUNCTION("""COMPUTED_VALUE"""),"332239600001")</f>
        <v>332239600001</v>
      </c>
      <c r="B185" s="226" t="str">
        <f>IFERROR(__xludf.DUMMYFUNCTION("""COMPUTED_VALUE"""),"4250141138612")</f>
        <v>4250141138612</v>
      </c>
      <c r="C185" t="str">
        <f>IFERROR(__xludf.DUMMYFUNCTION("""COMPUTED_VALUE"""),"Westfalia/Witter")</f>
        <v>Westfalia/Witter</v>
      </c>
    </row>
    <row r="186">
      <c r="A186" t="str">
        <f>IFERROR(__xludf.DUMMYFUNCTION("""COMPUTED_VALUE"""),"342098600001")</f>
        <v>342098600001</v>
      </c>
      <c r="B186" s="226" t="str">
        <f>IFERROR(__xludf.DUMMYFUNCTION("""COMPUTED_VALUE"""),"4250141138629")</f>
        <v>4250141138629</v>
      </c>
      <c r="C186" t="str">
        <f>IFERROR(__xludf.DUMMYFUNCTION("""COMPUTED_VALUE"""),"Westfalia/Witter")</f>
        <v>Westfalia/Witter</v>
      </c>
    </row>
    <row r="187">
      <c r="A187" t="str">
        <f>IFERROR(__xludf.DUMMYFUNCTION("""COMPUTED_VALUE"""),"306276600001")</f>
        <v>306276600001</v>
      </c>
      <c r="B187" s="226" t="str">
        <f>IFERROR(__xludf.DUMMYFUNCTION("""COMPUTED_VALUE"""),"4250141138698")</f>
        <v>4250141138698</v>
      </c>
      <c r="C187" t="str">
        <f>IFERROR(__xludf.DUMMYFUNCTION("""COMPUTED_VALUE"""),"Westfalia/Witter")</f>
        <v>Westfalia/Witter</v>
      </c>
    </row>
    <row r="188">
      <c r="A188" t="str">
        <f>IFERROR(__xludf.DUMMYFUNCTION("""COMPUTED_VALUE"""),"307305600001")</f>
        <v>307305600001</v>
      </c>
      <c r="B188" s="226" t="str">
        <f>IFERROR(__xludf.DUMMYFUNCTION("""COMPUTED_VALUE"""),"4250141138704")</f>
        <v>4250141138704</v>
      </c>
      <c r="C188" t="str">
        <f>IFERROR(__xludf.DUMMYFUNCTION("""COMPUTED_VALUE"""),"Westfalia/Witter")</f>
        <v>Westfalia/Witter</v>
      </c>
    </row>
    <row r="189">
      <c r="A189" t="str">
        <f>IFERROR(__xludf.DUMMYFUNCTION("""COMPUTED_VALUE"""),"307304600001")</f>
        <v>307304600001</v>
      </c>
      <c r="B189" s="226" t="str">
        <f>IFERROR(__xludf.DUMMYFUNCTION("""COMPUTED_VALUE"""),"4250141138711")</f>
        <v>4250141138711</v>
      </c>
      <c r="C189" t="str">
        <f>IFERROR(__xludf.DUMMYFUNCTION("""COMPUTED_VALUE"""),"Westfalia/Witter")</f>
        <v>Westfalia/Witter</v>
      </c>
    </row>
    <row r="190">
      <c r="A190" t="str">
        <f>IFERROR(__xludf.DUMMYFUNCTION("""COMPUTED_VALUE"""),"315114600001")</f>
        <v>315114600001</v>
      </c>
      <c r="B190" s="226" t="str">
        <f>IFERROR(__xludf.DUMMYFUNCTION("""COMPUTED_VALUE"""),"4250141139039")</f>
        <v>4250141139039</v>
      </c>
      <c r="C190" t="str">
        <f>IFERROR(__xludf.DUMMYFUNCTION("""COMPUTED_VALUE"""),"Westfalia/Witter")</f>
        <v>Westfalia/Witter</v>
      </c>
    </row>
    <row r="191">
      <c r="A191" t="str">
        <f>IFERROR(__xludf.DUMMYFUNCTION("""COMPUTED_VALUE"""),"321651600001")</f>
        <v>321651600001</v>
      </c>
      <c r="B191" s="226" t="str">
        <f>IFERROR(__xludf.DUMMYFUNCTION("""COMPUTED_VALUE"""),"4250141139145")</f>
        <v>4250141139145</v>
      </c>
      <c r="C191" t="str">
        <f>IFERROR(__xludf.DUMMYFUNCTION("""COMPUTED_VALUE"""),"Westfalia/Witter")</f>
        <v>Westfalia/Witter</v>
      </c>
    </row>
    <row r="192">
      <c r="A192" t="str">
        <f>IFERROR(__xludf.DUMMYFUNCTION("""COMPUTED_VALUE"""),"321651600001")</f>
        <v>321651600001</v>
      </c>
      <c r="B192" s="226" t="str">
        <f>IFERROR(__xludf.DUMMYFUNCTION("""COMPUTED_VALUE"""),"4250141139145")</f>
        <v>4250141139145</v>
      </c>
      <c r="C192" t="str">
        <f>IFERROR(__xludf.DUMMYFUNCTION("""COMPUTED_VALUE"""),"Westfalia/Witter")</f>
        <v>Westfalia/Witter</v>
      </c>
    </row>
    <row r="193">
      <c r="A193" t="str">
        <f>IFERROR(__xludf.DUMMYFUNCTION("""COMPUTED_VALUE"""),"321650600001")</f>
        <v>321650600001</v>
      </c>
      <c r="B193" s="226" t="str">
        <f>IFERROR(__xludf.DUMMYFUNCTION("""COMPUTED_VALUE"""),"4250141139190")</f>
        <v>4250141139190</v>
      </c>
      <c r="C193" t="str">
        <f>IFERROR(__xludf.DUMMYFUNCTION("""COMPUTED_VALUE"""),"Westfalia/Witter")</f>
        <v>Westfalia/Witter</v>
      </c>
    </row>
    <row r="194">
      <c r="A194" t="str">
        <f>IFERROR(__xludf.DUMMYFUNCTION("""COMPUTED_VALUE"""),"321650600001")</f>
        <v>321650600001</v>
      </c>
      <c r="B194" s="226" t="str">
        <f>IFERROR(__xludf.DUMMYFUNCTION("""COMPUTED_VALUE"""),"4250141139190")</f>
        <v>4250141139190</v>
      </c>
      <c r="C194" t="str">
        <f>IFERROR(__xludf.DUMMYFUNCTION("""COMPUTED_VALUE"""),"Westfalia/Witter")</f>
        <v>Westfalia/Witter</v>
      </c>
    </row>
    <row r="195">
      <c r="A195" t="str">
        <f>IFERROR(__xludf.DUMMYFUNCTION("""COMPUTED_VALUE"""),"338060600001")</f>
        <v>338060600001</v>
      </c>
      <c r="B195" s="226" t="str">
        <f>IFERROR(__xludf.DUMMYFUNCTION("""COMPUTED_VALUE"""),"4250141139459")</f>
        <v>4250141139459</v>
      </c>
      <c r="C195" t="str">
        <f>IFERROR(__xludf.DUMMYFUNCTION("""COMPUTED_VALUE"""),"Westfalia/Witter")</f>
        <v>Westfalia/Witter</v>
      </c>
    </row>
    <row r="196">
      <c r="A196" t="str">
        <f>IFERROR(__xludf.DUMMYFUNCTION("""COMPUTED_VALUE"""),"306277600001")</f>
        <v>306277600001</v>
      </c>
      <c r="B196" s="226" t="str">
        <f>IFERROR(__xludf.DUMMYFUNCTION("""COMPUTED_VALUE"""),"4250141139824")</f>
        <v>4250141139824</v>
      </c>
      <c r="C196" t="str">
        <f>IFERROR(__xludf.DUMMYFUNCTION("""COMPUTED_VALUE"""),"Westfalia/Witter")</f>
        <v>Westfalia/Witter</v>
      </c>
    </row>
    <row r="197">
      <c r="A197" t="str">
        <f>IFERROR(__xludf.DUMMYFUNCTION("""COMPUTED_VALUE"""),"306277600001")</f>
        <v>306277600001</v>
      </c>
      <c r="B197" s="226" t="str">
        <f>IFERROR(__xludf.DUMMYFUNCTION("""COMPUTED_VALUE"""),"4250141139824")</f>
        <v>4250141139824</v>
      </c>
      <c r="C197" t="str">
        <f>IFERROR(__xludf.DUMMYFUNCTION("""COMPUTED_VALUE"""),"Westfalia/Witter")</f>
        <v>Westfalia/Witter</v>
      </c>
    </row>
    <row r="198">
      <c r="A198" t="str">
        <f>IFERROR(__xludf.DUMMYFUNCTION("""COMPUTED_VALUE"""),"346020600001")</f>
        <v>346020600001</v>
      </c>
      <c r="B198" s="226" t="str">
        <f>IFERROR(__xludf.DUMMYFUNCTION("""COMPUTED_VALUE"""),"4250141139930")</f>
        <v>4250141139930</v>
      </c>
      <c r="C198" t="str">
        <f>IFERROR(__xludf.DUMMYFUNCTION("""COMPUTED_VALUE"""),"Westfalia/Witter")</f>
        <v>Westfalia/Witter</v>
      </c>
    </row>
    <row r="199">
      <c r="A199" t="str">
        <f>IFERROR(__xludf.DUMMYFUNCTION("""COMPUTED_VALUE"""),"335324600001")</f>
        <v>335324600001</v>
      </c>
      <c r="B199" s="226" t="str">
        <f>IFERROR(__xludf.DUMMYFUNCTION("""COMPUTED_VALUE"""),"4250141140004")</f>
        <v>4250141140004</v>
      </c>
      <c r="C199" t="str">
        <f>IFERROR(__xludf.DUMMYFUNCTION("""COMPUTED_VALUE"""),"Westfalia/Witter")</f>
        <v>Westfalia/Witter</v>
      </c>
    </row>
    <row r="200">
      <c r="A200" t="str">
        <f>IFERROR(__xludf.DUMMYFUNCTION("""COMPUTED_VALUE"""),"307355600001")</f>
        <v>307355600001</v>
      </c>
      <c r="B200" s="226" t="str">
        <f>IFERROR(__xludf.DUMMYFUNCTION("""COMPUTED_VALUE"""),"4250141142282")</f>
        <v>4250141142282</v>
      </c>
      <c r="C200" t="str">
        <f>IFERROR(__xludf.DUMMYFUNCTION("""COMPUTED_VALUE"""),"Westfalia/Witter")</f>
        <v>Westfalia/Witter</v>
      </c>
    </row>
    <row r="201">
      <c r="A201" t="str">
        <f>IFERROR(__xludf.DUMMYFUNCTION("""COMPUTED_VALUE"""),"306278600001")</f>
        <v>306278600001</v>
      </c>
      <c r="B201" s="226" t="str">
        <f>IFERROR(__xludf.DUMMYFUNCTION("""COMPUTED_VALUE"""),"4250141142442")</f>
        <v>4250141142442</v>
      </c>
      <c r="C201" t="str">
        <f>IFERROR(__xludf.DUMMYFUNCTION("""COMPUTED_VALUE"""),"Westfalia/Witter")</f>
        <v>Westfalia/Witter</v>
      </c>
    </row>
    <row r="202">
      <c r="A202" t="str">
        <f>IFERROR(__xludf.DUMMYFUNCTION("""COMPUTED_VALUE"""),"321690600001")</f>
        <v>321690600001</v>
      </c>
      <c r="B202" s="226" t="str">
        <f>IFERROR(__xludf.DUMMYFUNCTION("""COMPUTED_VALUE"""),"4250141142480")</f>
        <v>4250141142480</v>
      </c>
      <c r="C202" t="str">
        <f>IFERROR(__xludf.DUMMYFUNCTION("""COMPUTED_VALUE"""),"Westfalia/Witter")</f>
        <v>Westfalia/Witter</v>
      </c>
    </row>
    <row r="203">
      <c r="A203" t="str">
        <f>IFERROR(__xludf.DUMMYFUNCTION("""COMPUTED_VALUE"""),"324023600001")</f>
        <v>324023600001</v>
      </c>
      <c r="B203" s="226" t="str">
        <f>IFERROR(__xludf.DUMMYFUNCTION("""COMPUTED_VALUE"""),"4250141143036")</f>
        <v>4250141143036</v>
      </c>
      <c r="C203" t="str">
        <f>IFERROR(__xludf.DUMMYFUNCTION("""COMPUTED_VALUE"""),"Westfalia/Witter")</f>
        <v>Westfalia/Witter</v>
      </c>
    </row>
    <row r="204">
      <c r="A204" t="str">
        <f>IFERROR(__xludf.DUMMYFUNCTION("""COMPUTED_VALUE"""),"324023600001")</f>
        <v>324023600001</v>
      </c>
      <c r="B204" s="226" t="str">
        <f>IFERROR(__xludf.DUMMYFUNCTION("""COMPUTED_VALUE"""),"4250141143036")</f>
        <v>4250141143036</v>
      </c>
      <c r="C204" t="str">
        <f>IFERROR(__xludf.DUMMYFUNCTION("""COMPUTED_VALUE"""),"Westfalia/Witter")</f>
        <v>Westfalia/Witter</v>
      </c>
    </row>
    <row r="205">
      <c r="A205" t="str">
        <f>IFERROR(__xludf.DUMMYFUNCTION("""COMPUTED_VALUE"""),"340074600001")</f>
        <v>340074600001</v>
      </c>
      <c r="B205" s="226" t="str">
        <f>IFERROR(__xludf.DUMMYFUNCTION("""COMPUTED_VALUE"""),"4250141143142")</f>
        <v>4250141143142</v>
      </c>
      <c r="C205" t="str">
        <f>IFERROR(__xludf.DUMMYFUNCTION("""COMPUTED_VALUE"""),"Westfalia/Witter")</f>
        <v>Westfalia/Witter</v>
      </c>
    </row>
    <row r="206">
      <c r="A206" t="str">
        <f>IFERROR(__xludf.DUMMYFUNCTION("""COMPUTED_VALUE"""),"313272600001")</f>
        <v>313272600001</v>
      </c>
      <c r="B206" s="226" t="str">
        <f>IFERROR(__xludf.DUMMYFUNCTION("""COMPUTED_VALUE"""),"4250141143357")</f>
        <v>4250141143357</v>
      </c>
      <c r="C206" t="str">
        <f>IFERROR(__xludf.DUMMYFUNCTION("""COMPUTED_VALUE"""),"Westfalia/Witter")</f>
        <v>Westfalia/Witter</v>
      </c>
    </row>
    <row r="207">
      <c r="A207" t="str">
        <f>IFERROR(__xludf.DUMMYFUNCTION("""COMPUTED_VALUE"""),"313273600001")</f>
        <v>313273600001</v>
      </c>
      <c r="B207" s="226" t="str">
        <f>IFERROR(__xludf.DUMMYFUNCTION("""COMPUTED_VALUE"""),"4250141143487")</f>
        <v>4250141143487</v>
      </c>
      <c r="C207" t="str">
        <f>IFERROR(__xludf.DUMMYFUNCTION("""COMPUTED_VALUE"""),"Westfalia/Witter")</f>
        <v>Westfalia/Witter</v>
      </c>
    </row>
    <row r="208">
      <c r="A208" t="str">
        <f>IFERROR(__xludf.DUMMYFUNCTION("""COMPUTED_VALUE"""),"313275600001")</f>
        <v>313275600001</v>
      </c>
      <c r="B208" s="226" t="str">
        <f>IFERROR(__xludf.DUMMYFUNCTION("""COMPUTED_VALUE"""),"4250141143616")</f>
        <v>4250141143616</v>
      </c>
      <c r="C208" t="str">
        <f>IFERROR(__xludf.DUMMYFUNCTION("""COMPUTED_VALUE"""),"Westfalia/Witter")</f>
        <v>Westfalia/Witter</v>
      </c>
    </row>
    <row r="209">
      <c r="A209" t="str">
        <f>IFERROR(__xludf.DUMMYFUNCTION("""COMPUTED_VALUE"""),"313275600001")</f>
        <v>313275600001</v>
      </c>
      <c r="B209" s="226" t="str">
        <f>IFERROR(__xludf.DUMMYFUNCTION("""COMPUTED_VALUE"""),"4250141143616")</f>
        <v>4250141143616</v>
      </c>
      <c r="C209" t="str">
        <f>IFERROR(__xludf.DUMMYFUNCTION("""COMPUTED_VALUE"""),"Westfalia/Witter")</f>
        <v>Westfalia/Witter</v>
      </c>
    </row>
    <row r="210">
      <c r="A210" t="str">
        <f>IFERROR(__xludf.DUMMYFUNCTION("""COMPUTED_VALUE"""),"348019600001")</f>
        <v>348019600001</v>
      </c>
      <c r="B210" s="226" t="str">
        <f>IFERROR(__xludf.DUMMYFUNCTION("""COMPUTED_VALUE"""),"4250141144347")</f>
        <v>4250141144347</v>
      </c>
      <c r="C210" t="str">
        <f>IFERROR(__xludf.DUMMYFUNCTION("""COMPUTED_VALUE"""),"Westfalia/Witter")</f>
        <v>Westfalia/Witter</v>
      </c>
    </row>
    <row r="211">
      <c r="A211" t="str">
        <f>IFERROR(__xludf.DUMMYFUNCTION("""COMPUTED_VALUE"""),"348024600001")</f>
        <v>348024600001</v>
      </c>
      <c r="B211" s="226" t="str">
        <f>IFERROR(__xludf.DUMMYFUNCTION("""COMPUTED_VALUE"""),"4250141144392")</f>
        <v>4250141144392</v>
      </c>
      <c r="C211" t="str">
        <f>IFERROR(__xludf.DUMMYFUNCTION("""COMPUTED_VALUE"""),"Westfalia/Witter")</f>
        <v>Westfalia/Witter</v>
      </c>
    </row>
    <row r="212">
      <c r="A212" t="str">
        <f>IFERROR(__xludf.DUMMYFUNCTION("""COMPUTED_VALUE"""),"345027600001")</f>
        <v>345027600001</v>
      </c>
      <c r="B212" s="226" t="str">
        <f>IFERROR(__xludf.DUMMYFUNCTION("""COMPUTED_VALUE"""),"4250141144538")</f>
        <v>4250141144538</v>
      </c>
      <c r="C212" t="str">
        <f>IFERROR(__xludf.DUMMYFUNCTION("""COMPUTED_VALUE"""),"Westfalia/Witter")</f>
        <v>Westfalia/Witter</v>
      </c>
    </row>
    <row r="213">
      <c r="A213" t="str">
        <f>IFERROR(__xludf.DUMMYFUNCTION("""COMPUTED_VALUE"""),"345027600001")</f>
        <v>345027600001</v>
      </c>
      <c r="B213" s="226" t="str">
        <f>IFERROR(__xludf.DUMMYFUNCTION("""COMPUTED_VALUE"""),"4250141144538")</f>
        <v>4250141144538</v>
      </c>
      <c r="C213" t="str">
        <f>IFERROR(__xludf.DUMMYFUNCTION("""COMPUTED_VALUE"""),"Westfalia/Witter")</f>
        <v>Westfalia/Witter</v>
      </c>
    </row>
    <row r="214">
      <c r="A214" t="str">
        <f>IFERROR(__xludf.DUMMYFUNCTION("""COMPUTED_VALUE"""),"303294600001")</f>
        <v>303294600001</v>
      </c>
      <c r="B214" s="226" t="str">
        <f>IFERROR(__xludf.DUMMYFUNCTION("""COMPUTED_VALUE"""),"4250141144682")</f>
        <v>4250141144682</v>
      </c>
      <c r="C214" t="str">
        <f>IFERROR(__xludf.DUMMYFUNCTION("""COMPUTED_VALUE"""),"Westfalia/Witter")</f>
        <v>Westfalia/Witter</v>
      </c>
    </row>
    <row r="215">
      <c r="A215" t="str">
        <f>IFERROR(__xludf.DUMMYFUNCTION("""COMPUTED_VALUE"""),"304091600001")</f>
        <v>304091600001</v>
      </c>
      <c r="B215" s="226" t="str">
        <f>IFERROR(__xludf.DUMMYFUNCTION("""COMPUTED_VALUE"""),"4250141144927")</f>
        <v>4250141144927</v>
      </c>
      <c r="C215" t="str">
        <f>IFERROR(__xludf.DUMMYFUNCTION("""COMPUTED_VALUE"""),"Westfalia/Witter")</f>
        <v>Westfalia/Witter</v>
      </c>
    </row>
    <row r="216">
      <c r="A216" t="str">
        <f>IFERROR(__xludf.DUMMYFUNCTION("""COMPUTED_VALUE"""),"304092600001")</f>
        <v>304092600001</v>
      </c>
      <c r="B216" s="226" t="str">
        <f>IFERROR(__xludf.DUMMYFUNCTION("""COMPUTED_VALUE"""),"4250141144934")</f>
        <v>4250141144934</v>
      </c>
      <c r="C216" t="str">
        <f>IFERROR(__xludf.DUMMYFUNCTION("""COMPUTED_VALUE"""),"Westfalia/Witter")</f>
        <v>Westfalia/Witter</v>
      </c>
    </row>
    <row r="217">
      <c r="A217" t="str">
        <f>IFERROR(__xludf.DUMMYFUNCTION("""COMPUTED_VALUE"""),"304092600001")</f>
        <v>304092600001</v>
      </c>
      <c r="B217" s="226" t="str">
        <f>IFERROR(__xludf.DUMMYFUNCTION("""COMPUTED_VALUE"""),"4250141144934")</f>
        <v>4250141144934</v>
      </c>
      <c r="C217" t="str">
        <f>IFERROR(__xludf.DUMMYFUNCTION("""COMPUTED_VALUE"""),"Westfalia/Witter")</f>
        <v>Westfalia/Witter</v>
      </c>
    </row>
    <row r="218">
      <c r="A218" t="str">
        <f>IFERROR(__xludf.DUMMYFUNCTION("""COMPUTED_VALUE"""),"306286600001")</f>
        <v>306286600001</v>
      </c>
      <c r="B218" s="226" t="str">
        <f>IFERROR(__xludf.DUMMYFUNCTION("""COMPUTED_VALUE"""),"4250141145146")</f>
        <v>4250141145146</v>
      </c>
      <c r="C218" t="str">
        <f>IFERROR(__xludf.DUMMYFUNCTION("""COMPUTED_VALUE"""),"Westfalia/Witter")</f>
        <v>Westfalia/Witter</v>
      </c>
    </row>
    <row r="219">
      <c r="A219" t="str">
        <f>IFERROR(__xludf.DUMMYFUNCTION("""COMPUTED_VALUE"""),"306311600001")</f>
        <v>306311600001</v>
      </c>
      <c r="B219" s="226" t="str">
        <f>IFERROR(__xludf.DUMMYFUNCTION("""COMPUTED_VALUE"""),"4250141145320")</f>
        <v>4250141145320</v>
      </c>
      <c r="C219" t="str">
        <f>IFERROR(__xludf.DUMMYFUNCTION("""COMPUTED_VALUE"""),"Westfalia/Witter")</f>
        <v>Westfalia/Witter</v>
      </c>
    </row>
    <row r="220">
      <c r="A220" t="str">
        <f>IFERROR(__xludf.DUMMYFUNCTION("""COMPUTED_VALUE"""),"307363600001")</f>
        <v>307363600001</v>
      </c>
      <c r="B220" s="226" t="str">
        <f>IFERROR(__xludf.DUMMYFUNCTION("""COMPUTED_VALUE"""),"4250141145498")</f>
        <v>4250141145498</v>
      </c>
      <c r="C220" t="str">
        <f>IFERROR(__xludf.DUMMYFUNCTION("""COMPUTED_VALUE"""),"Westfalia/Witter")</f>
        <v>Westfalia/Witter</v>
      </c>
    </row>
    <row r="221">
      <c r="A221" t="str">
        <f>IFERROR(__xludf.DUMMYFUNCTION("""COMPUTED_VALUE"""),"307329600001")</f>
        <v>307329600001</v>
      </c>
      <c r="B221" s="226" t="str">
        <f>IFERROR(__xludf.DUMMYFUNCTION("""COMPUTED_VALUE"""),"4250141145665")</f>
        <v>4250141145665</v>
      </c>
      <c r="C221" t="str">
        <f>IFERROR(__xludf.DUMMYFUNCTION("""COMPUTED_VALUE"""),"Westfalia/Witter")</f>
        <v>Westfalia/Witter</v>
      </c>
    </row>
    <row r="222">
      <c r="A222" t="str">
        <f>IFERROR(__xludf.DUMMYFUNCTION("""COMPUTED_VALUE"""),"313214600001")</f>
        <v>313214600001</v>
      </c>
      <c r="B222" s="226" t="str">
        <f>IFERROR(__xludf.DUMMYFUNCTION("""COMPUTED_VALUE"""),"4250141145689")</f>
        <v>4250141145689</v>
      </c>
      <c r="C222" t="str">
        <f>IFERROR(__xludf.DUMMYFUNCTION("""COMPUTED_VALUE"""),"Westfalia/Witter")</f>
        <v>Westfalia/Witter</v>
      </c>
    </row>
    <row r="223">
      <c r="A223" t="str">
        <f>IFERROR(__xludf.DUMMYFUNCTION("""COMPUTED_VALUE"""),"313214600001")</f>
        <v>313214600001</v>
      </c>
      <c r="B223" s="226" t="str">
        <f>IFERROR(__xludf.DUMMYFUNCTION("""COMPUTED_VALUE"""),"4250141145689")</f>
        <v>4250141145689</v>
      </c>
      <c r="C223" t="str">
        <f>IFERROR(__xludf.DUMMYFUNCTION("""COMPUTED_VALUE"""),"Westfalia/Witter")</f>
        <v>Westfalia/Witter</v>
      </c>
    </row>
    <row r="224">
      <c r="A224" t="str">
        <f>IFERROR(__xludf.DUMMYFUNCTION("""COMPUTED_VALUE"""),"313214600001")</f>
        <v>313214600001</v>
      </c>
      <c r="B224" s="226" t="str">
        <f>IFERROR(__xludf.DUMMYFUNCTION("""COMPUTED_VALUE"""),"4250141145689")</f>
        <v>4250141145689</v>
      </c>
      <c r="C224" t="str">
        <f>IFERROR(__xludf.DUMMYFUNCTION("""COMPUTED_VALUE"""),"Westfalia/Witter")</f>
        <v>Westfalia/Witter</v>
      </c>
    </row>
    <row r="225">
      <c r="A225" t="str">
        <f>IFERROR(__xludf.DUMMYFUNCTION("""COMPUTED_VALUE"""),"313214600001")</f>
        <v>313214600001</v>
      </c>
      <c r="B225" s="226" t="str">
        <f>IFERROR(__xludf.DUMMYFUNCTION("""COMPUTED_VALUE"""),"4250141145689")</f>
        <v>4250141145689</v>
      </c>
      <c r="C225" t="str">
        <f>IFERROR(__xludf.DUMMYFUNCTION("""COMPUTED_VALUE"""),"Westfalia/Witter")</f>
        <v>Westfalia/Witter</v>
      </c>
    </row>
    <row r="226">
      <c r="A226" t="str">
        <f>IFERROR(__xludf.DUMMYFUNCTION("""COMPUTED_VALUE"""),"314304600001")</f>
        <v>314304600001</v>
      </c>
      <c r="B226" s="226" t="str">
        <f>IFERROR(__xludf.DUMMYFUNCTION("""COMPUTED_VALUE"""),"4250141145771")</f>
        <v>4250141145771</v>
      </c>
      <c r="C226" t="str">
        <f>IFERROR(__xludf.DUMMYFUNCTION("""COMPUTED_VALUE"""),"Westfalia/Witter")</f>
        <v>Westfalia/Witter</v>
      </c>
    </row>
    <row r="227">
      <c r="A227" t="str">
        <f>IFERROR(__xludf.DUMMYFUNCTION("""COMPUTED_VALUE"""),"314304600001")</f>
        <v>314304600001</v>
      </c>
      <c r="B227" s="226" t="str">
        <f>IFERROR(__xludf.DUMMYFUNCTION("""COMPUTED_VALUE"""),"4250141145771")</f>
        <v>4250141145771</v>
      </c>
      <c r="C227" t="str">
        <f>IFERROR(__xludf.DUMMYFUNCTION("""COMPUTED_VALUE"""),"Westfalia/Witter")</f>
        <v>Westfalia/Witter</v>
      </c>
    </row>
    <row r="228">
      <c r="A228" t="str">
        <f>IFERROR(__xludf.DUMMYFUNCTION("""COMPUTED_VALUE"""),"314553600001")</f>
        <v>314553600001</v>
      </c>
      <c r="B228" s="226" t="str">
        <f>IFERROR(__xludf.DUMMYFUNCTION("""COMPUTED_VALUE"""),"4250141145795")</f>
        <v>4250141145795</v>
      </c>
      <c r="C228" t="str">
        <f>IFERROR(__xludf.DUMMYFUNCTION("""COMPUTED_VALUE"""),"Westfalia/Witter")</f>
        <v>Westfalia/Witter</v>
      </c>
    </row>
    <row r="229">
      <c r="A229" t="str">
        <f>IFERROR(__xludf.DUMMYFUNCTION("""COMPUTED_VALUE"""),"314553600001")</f>
        <v>314553600001</v>
      </c>
      <c r="B229" s="226" t="str">
        <f>IFERROR(__xludf.DUMMYFUNCTION("""COMPUTED_VALUE"""),"4250141145795")</f>
        <v>4250141145795</v>
      </c>
      <c r="C229" t="str">
        <f>IFERROR(__xludf.DUMMYFUNCTION("""COMPUTED_VALUE"""),"Westfalia/Witter")</f>
        <v>Westfalia/Witter</v>
      </c>
    </row>
    <row r="230">
      <c r="A230" t="str">
        <f>IFERROR(__xludf.DUMMYFUNCTION("""COMPUTED_VALUE"""),"316226600001")</f>
        <v>316226600001</v>
      </c>
      <c r="B230" s="226" t="str">
        <f>IFERROR(__xludf.DUMMYFUNCTION("""COMPUTED_VALUE"""),"4250141146211")</f>
        <v>4250141146211</v>
      </c>
      <c r="C230" t="str">
        <f>IFERROR(__xludf.DUMMYFUNCTION("""COMPUTED_VALUE"""),"Westfalia/Witter")</f>
        <v>Westfalia/Witter</v>
      </c>
    </row>
    <row r="231">
      <c r="A231" t="str">
        <f>IFERROR(__xludf.DUMMYFUNCTION("""COMPUTED_VALUE"""),"320063600001")</f>
        <v>320063600001</v>
      </c>
      <c r="B231" s="226" t="str">
        <f>IFERROR(__xludf.DUMMYFUNCTION("""COMPUTED_VALUE"""),"4250141146426")</f>
        <v>4250141146426</v>
      </c>
      <c r="C231" t="str">
        <f>IFERROR(__xludf.DUMMYFUNCTION("""COMPUTED_VALUE"""),"Westfalia/Witter")</f>
        <v>Westfalia/Witter</v>
      </c>
    </row>
    <row r="232">
      <c r="A232" t="str">
        <f>IFERROR(__xludf.DUMMYFUNCTION("""COMPUTED_VALUE"""),"320065600001")</f>
        <v>320065600001</v>
      </c>
      <c r="B232" s="226" t="str">
        <f>IFERROR(__xludf.DUMMYFUNCTION("""COMPUTED_VALUE"""),"4250141146440")</f>
        <v>4250141146440</v>
      </c>
      <c r="C232" t="str">
        <f>IFERROR(__xludf.DUMMYFUNCTION("""COMPUTED_VALUE"""),"Westfalia/Witter")</f>
        <v>Westfalia/Witter</v>
      </c>
    </row>
    <row r="233">
      <c r="A233" t="str">
        <f>IFERROR(__xludf.DUMMYFUNCTION("""COMPUTED_VALUE"""),"320073600001")</f>
        <v>320073600001</v>
      </c>
      <c r="B233" s="226" t="str">
        <f>IFERROR(__xludf.DUMMYFUNCTION("""COMPUTED_VALUE"""),"4250141146488")</f>
        <v>4250141146488</v>
      </c>
      <c r="C233" t="str">
        <f>IFERROR(__xludf.DUMMYFUNCTION("""COMPUTED_VALUE"""),"Westfalia/Witter")</f>
        <v>Westfalia/Witter</v>
      </c>
    </row>
    <row r="234">
      <c r="A234" t="str">
        <f>IFERROR(__xludf.DUMMYFUNCTION("""COMPUTED_VALUE"""),"320075600001")</f>
        <v>320075600001</v>
      </c>
      <c r="B234" s="226" t="str">
        <f>IFERROR(__xludf.DUMMYFUNCTION("""COMPUTED_VALUE"""),"4250141146501")</f>
        <v>4250141146501</v>
      </c>
      <c r="C234" t="str">
        <f>IFERROR(__xludf.DUMMYFUNCTION("""COMPUTED_VALUE"""),"Westfalia/Witter")</f>
        <v>Westfalia/Witter</v>
      </c>
    </row>
    <row r="235">
      <c r="A235" t="str">
        <f>IFERROR(__xludf.DUMMYFUNCTION("""COMPUTED_VALUE"""),"320076600001")</f>
        <v>320076600001</v>
      </c>
      <c r="B235" s="226" t="str">
        <f>IFERROR(__xludf.DUMMYFUNCTION("""COMPUTED_VALUE"""),"4250141146518")</f>
        <v>4250141146518</v>
      </c>
      <c r="C235" t="str">
        <f>IFERROR(__xludf.DUMMYFUNCTION("""COMPUTED_VALUE"""),"Westfalia/Witter")</f>
        <v>Westfalia/Witter</v>
      </c>
    </row>
    <row r="236">
      <c r="A236" t="str">
        <f>IFERROR(__xludf.DUMMYFUNCTION("""COMPUTED_VALUE"""),"321673600001")</f>
        <v>321673600001</v>
      </c>
      <c r="B236" s="226" t="str">
        <f>IFERROR(__xludf.DUMMYFUNCTION("""COMPUTED_VALUE"""),"4250141146556")</f>
        <v>4250141146556</v>
      </c>
      <c r="C236" t="str">
        <f>IFERROR(__xludf.DUMMYFUNCTION("""COMPUTED_VALUE"""),"Westfalia/Witter")</f>
        <v>Westfalia/Witter</v>
      </c>
    </row>
    <row r="237">
      <c r="A237" t="str">
        <f>IFERROR(__xludf.DUMMYFUNCTION("""COMPUTED_VALUE"""),"321698600001")</f>
        <v>321698600001</v>
      </c>
      <c r="B237" s="226" t="str">
        <f>IFERROR(__xludf.DUMMYFUNCTION("""COMPUTED_VALUE"""),"4250141146587")</f>
        <v>4250141146587</v>
      </c>
      <c r="C237" t="str">
        <f>IFERROR(__xludf.DUMMYFUNCTION("""COMPUTED_VALUE"""),"Westfalia/Witter")</f>
        <v>Westfalia/Witter</v>
      </c>
    </row>
    <row r="238">
      <c r="A238" t="str">
        <f>IFERROR(__xludf.DUMMYFUNCTION("""COMPUTED_VALUE"""),"321698600001")</f>
        <v>321698600001</v>
      </c>
      <c r="B238" s="226" t="str">
        <f>IFERROR(__xludf.DUMMYFUNCTION("""COMPUTED_VALUE"""),"4250141146587")</f>
        <v>4250141146587</v>
      </c>
      <c r="C238" t="str">
        <f>IFERROR(__xludf.DUMMYFUNCTION("""COMPUTED_VALUE"""),"Westfalia/Witter")</f>
        <v>Westfalia/Witter</v>
      </c>
    </row>
    <row r="239">
      <c r="A239" t="str">
        <f>IFERROR(__xludf.DUMMYFUNCTION("""COMPUTED_VALUE"""),"321700600001")</f>
        <v>321700600001</v>
      </c>
      <c r="B239" s="226" t="str">
        <f>IFERROR(__xludf.DUMMYFUNCTION("""COMPUTED_VALUE"""),"4250141146600")</f>
        <v>4250141146600</v>
      </c>
      <c r="C239" t="str">
        <f>IFERROR(__xludf.DUMMYFUNCTION("""COMPUTED_VALUE"""),"Westfalia/Witter")</f>
        <v>Westfalia/Witter</v>
      </c>
    </row>
    <row r="240">
      <c r="A240" t="str">
        <f>IFERROR(__xludf.DUMMYFUNCTION("""COMPUTED_VALUE"""),"321700600001")</f>
        <v>321700600001</v>
      </c>
      <c r="B240" s="226" t="str">
        <f>IFERROR(__xludf.DUMMYFUNCTION("""COMPUTED_VALUE"""),"4250141146600")</f>
        <v>4250141146600</v>
      </c>
      <c r="C240" t="str">
        <f>IFERROR(__xludf.DUMMYFUNCTION("""COMPUTED_VALUE"""),"Westfalia/Witter")</f>
        <v>Westfalia/Witter</v>
      </c>
    </row>
    <row r="241">
      <c r="A241" t="str">
        <f>IFERROR(__xludf.DUMMYFUNCTION("""COMPUTED_VALUE"""),"323078600001")</f>
        <v>323078600001</v>
      </c>
      <c r="B241" s="226" t="str">
        <f>IFERROR(__xludf.DUMMYFUNCTION("""COMPUTED_VALUE"""),"4250141146679")</f>
        <v>4250141146679</v>
      </c>
      <c r="C241" t="str">
        <f>IFERROR(__xludf.DUMMYFUNCTION("""COMPUTED_VALUE"""),"Westfalia/Witter")</f>
        <v>Westfalia/Witter</v>
      </c>
    </row>
    <row r="242">
      <c r="A242" t="str">
        <f>IFERROR(__xludf.DUMMYFUNCTION("""COMPUTED_VALUE"""),"323079600001")</f>
        <v>323079600001</v>
      </c>
      <c r="B242" s="226" t="str">
        <f>IFERROR(__xludf.DUMMYFUNCTION("""COMPUTED_VALUE"""),"4250141146686")</f>
        <v>4250141146686</v>
      </c>
      <c r="C242" t="str">
        <f>IFERROR(__xludf.DUMMYFUNCTION("""COMPUTED_VALUE"""),"Westfalia/Witter")</f>
        <v>Westfalia/Witter</v>
      </c>
    </row>
    <row r="243">
      <c r="A243" t="str">
        <f>IFERROR(__xludf.DUMMYFUNCTION("""COMPUTED_VALUE"""),"323084600001")</f>
        <v>323084600001</v>
      </c>
      <c r="B243" s="226" t="str">
        <f>IFERROR(__xludf.DUMMYFUNCTION("""COMPUTED_VALUE"""),"4250141146723")</f>
        <v>4250141146723</v>
      </c>
      <c r="C243" t="str">
        <f>IFERROR(__xludf.DUMMYFUNCTION("""COMPUTED_VALUE"""),"Westfalia/Witter")</f>
        <v>Westfalia/Witter</v>
      </c>
    </row>
    <row r="244">
      <c r="A244" t="str">
        <f>IFERROR(__xludf.DUMMYFUNCTION("""COMPUTED_VALUE"""),"332263600001")</f>
        <v>332263600001</v>
      </c>
      <c r="B244" s="226" t="str">
        <f>IFERROR(__xludf.DUMMYFUNCTION("""COMPUTED_VALUE"""),"4250141146976")</f>
        <v>4250141146976</v>
      </c>
      <c r="C244" t="str">
        <f>IFERROR(__xludf.DUMMYFUNCTION("""COMPUTED_VALUE"""),"Westfalia/Witter")</f>
        <v>Westfalia/Witter</v>
      </c>
    </row>
    <row r="245">
      <c r="A245" t="str">
        <f>IFERROR(__xludf.DUMMYFUNCTION("""COMPUTED_VALUE"""),"332267600001")</f>
        <v>332267600001</v>
      </c>
      <c r="B245" s="226" t="str">
        <f>IFERROR(__xludf.DUMMYFUNCTION("""COMPUTED_VALUE"""),"4250141147010")</f>
        <v>4250141147010</v>
      </c>
      <c r="C245" t="str">
        <f>IFERROR(__xludf.DUMMYFUNCTION("""COMPUTED_VALUE"""),"Westfalia/Witter")</f>
        <v>Westfalia/Witter</v>
      </c>
    </row>
    <row r="246">
      <c r="A246" t="str">
        <f>IFERROR(__xludf.DUMMYFUNCTION("""COMPUTED_VALUE"""),"335343600001")</f>
        <v>335343600001</v>
      </c>
      <c r="B246" s="226" t="str">
        <f>IFERROR(__xludf.DUMMYFUNCTION("""COMPUTED_VALUE"""),"4250141147140")</f>
        <v>4250141147140</v>
      </c>
      <c r="C246" t="str">
        <f>IFERROR(__xludf.DUMMYFUNCTION("""COMPUTED_VALUE"""),"Westfalia/Witter")</f>
        <v>Westfalia/Witter</v>
      </c>
    </row>
    <row r="247">
      <c r="A247" t="str">
        <f>IFERROR(__xludf.DUMMYFUNCTION("""COMPUTED_VALUE"""),"335343600001")</f>
        <v>335343600001</v>
      </c>
      <c r="B247" s="226" t="str">
        <f>IFERROR(__xludf.DUMMYFUNCTION("""COMPUTED_VALUE"""),"4250141147140")</f>
        <v>4250141147140</v>
      </c>
      <c r="C247" t="str">
        <f>IFERROR(__xludf.DUMMYFUNCTION("""COMPUTED_VALUE"""),"Westfalia/Witter")</f>
        <v>Westfalia/Witter</v>
      </c>
    </row>
    <row r="248">
      <c r="A248" t="str">
        <f>IFERROR(__xludf.DUMMYFUNCTION("""COMPUTED_VALUE"""),"335344600001")</f>
        <v>335344600001</v>
      </c>
      <c r="B248" s="226" t="str">
        <f>IFERROR(__xludf.DUMMYFUNCTION("""COMPUTED_VALUE"""),"4250141147157")</f>
        <v>4250141147157</v>
      </c>
      <c r="C248" t="str">
        <f>IFERROR(__xludf.DUMMYFUNCTION("""COMPUTED_VALUE"""),"Westfalia/Witter")</f>
        <v>Westfalia/Witter</v>
      </c>
    </row>
    <row r="249">
      <c r="A249" t="str">
        <f>IFERROR(__xludf.DUMMYFUNCTION("""COMPUTED_VALUE"""),"335346600001")</f>
        <v>335346600001</v>
      </c>
      <c r="B249" s="226" t="str">
        <f>IFERROR(__xludf.DUMMYFUNCTION("""COMPUTED_VALUE"""),"4250141147171")</f>
        <v>4250141147171</v>
      </c>
      <c r="C249" t="str">
        <f>IFERROR(__xludf.DUMMYFUNCTION("""COMPUTED_VALUE"""),"Westfalia/Witter")</f>
        <v>Westfalia/Witter</v>
      </c>
    </row>
    <row r="250">
      <c r="A250" t="str">
        <f>IFERROR(__xludf.DUMMYFUNCTION("""COMPUTED_VALUE"""),"338053600001")</f>
        <v>338053600001</v>
      </c>
      <c r="B250" s="226" t="str">
        <f>IFERROR(__xludf.DUMMYFUNCTION("""COMPUTED_VALUE"""),"4250141147201")</f>
        <v>4250141147201</v>
      </c>
      <c r="C250" t="str">
        <f>IFERROR(__xludf.DUMMYFUNCTION("""COMPUTED_VALUE"""),"Westfalia/Witter")</f>
        <v>Westfalia/Witter</v>
      </c>
    </row>
    <row r="251">
      <c r="A251" t="str">
        <f>IFERROR(__xludf.DUMMYFUNCTION("""COMPUTED_VALUE"""),"338066600001")</f>
        <v>338066600001</v>
      </c>
      <c r="B251" s="226" t="str">
        <f>IFERROR(__xludf.DUMMYFUNCTION("""COMPUTED_VALUE"""),"4250141147232")</f>
        <v>4250141147232</v>
      </c>
      <c r="C251" t="str">
        <f>IFERROR(__xludf.DUMMYFUNCTION("""COMPUTED_VALUE"""),"Westfalia/Witter")</f>
        <v>Westfalia/Witter</v>
      </c>
    </row>
    <row r="252">
      <c r="A252" t="str">
        <f>IFERROR(__xludf.DUMMYFUNCTION("""COMPUTED_VALUE"""),"338066600001")</f>
        <v>338066600001</v>
      </c>
      <c r="B252" s="226" t="str">
        <f>IFERROR(__xludf.DUMMYFUNCTION("""COMPUTED_VALUE"""),"4250141147232")</f>
        <v>4250141147232</v>
      </c>
      <c r="C252" t="str">
        <f>IFERROR(__xludf.DUMMYFUNCTION("""COMPUTED_VALUE"""),"Westfalia/Witter")</f>
        <v>Westfalia/Witter</v>
      </c>
    </row>
    <row r="253">
      <c r="A253" t="str">
        <f>IFERROR(__xludf.DUMMYFUNCTION("""COMPUTED_VALUE"""),"342104600001")</f>
        <v>342104600001</v>
      </c>
      <c r="B253" s="226" t="str">
        <f>IFERROR(__xludf.DUMMYFUNCTION("""COMPUTED_VALUE"""),"4250141147447")</f>
        <v>4250141147447</v>
      </c>
      <c r="C253" t="str">
        <f>IFERROR(__xludf.DUMMYFUNCTION("""COMPUTED_VALUE"""),"Westfalia/Witter")</f>
        <v>Westfalia/Witter</v>
      </c>
    </row>
    <row r="254">
      <c r="A254" t="str">
        <f>IFERROR(__xludf.DUMMYFUNCTION("""COMPUTED_VALUE"""),"342105600001")</f>
        <v>342105600001</v>
      </c>
      <c r="B254" s="226" t="str">
        <f>IFERROR(__xludf.DUMMYFUNCTION("""COMPUTED_VALUE"""),"4250141147454")</f>
        <v>4250141147454</v>
      </c>
      <c r="C254" t="str">
        <f>IFERROR(__xludf.DUMMYFUNCTION("""COMPUTED_VALUE"""),"Westfalia/Witter")</f>
        <v>Westfalia/Witter</v>
      </c>
    </row>
    <row r="255">
      <c r="A255" t="str">
        <f>IFERROR(__xludf.DUMMYFUNCTION("""COMPUTED_VALUE"""),"342102600001")</f>
        <v>342102600001</v>
      </c>
      <c r="B255" s="226" t="str">
        <f>IFERROR(__xludf.DUMMYFUNCTION("""COMPUTED_VALUE"""),"4250141147614")</f>
        <v>4250141147614</v>
      </c>
      <c r="C255" t="str">
        <f>IFERROR(__xludf.DUMMYFUNCTION("""COMPUTED_VALUE"""),"Westfalia/Witter")</f>
        <v>Westfalia/Witter</v>
      </c>
    </row>
    <row r="256">
      <c r="A256" t="str">
        <f>IFERROR(__xludf.DUMMYFUNCTION("""COMPUTED_VALUE"""),"342102600001")</f>
        <v>342102600001</v>
      </c>
      <c r="B256" s="226" t="str">
        <f>IFERROR(__xludf.DUMMYFUNCTION("""COMPUTED_VALUE"""),"4250141147614")</f>
        <v>4250141147614</v>
      </c>
      <c r="C256" t="str">
        <f>IFERROR(__xludf.DUMMYFUNCTION("""COMPUTED_VALUE"""),"Westfalia/Witter")</f>
        <v>Westfalia/Witter</v>
      </c>
    </row>
    <row r="257">
      <c r="A257" t="str">
        <f>IFERROR(__xludf.DUMMYFUNCTION("""COMPUTED_VALUE"""),"346021600001")</f>
        <v>346021600001</v>
      </c>
      <c r="B257" s="226" t="str">
        <f>IFERROR(__xludf.DUMMYFUNCTION("""COMPUTED_VALUE"""),"4250141148215")</f>
        <v>4250141148215</v>
      </c>
      <c r="C257" t="str">
        <f>IFERROR(__xludf.DUMMYFUNCTION("""COMPUTED_VALUE"""),"Westfalia/Witter")</f>
        <v>Westfalia/Witter</v>
      </c>
    </row>
    <row r="258">
      <c r="A258" t="str">
        <f>IFERROR(__xludf.DUMMYFUNCTION("""COMPUTED_VALUE"""),"343047600001")</f>
        <v>343047600001</v>
      </c>
      <c r="B258" s="226" t="str">
        <f>IFERROR(__xludf.DUMMYFUNCTION("""COMPUTED_VALUE"""),"4250141148260")</f>
        <v>4250141148260</v>
      </c>
      <c r="C258" t="str">
        <f>IFERROR(__xludf.DUMMYFUNCTION("""COMPUTED_VALUE"""),"Westfalia/Witter")</f>
        <v>Westfalia/Witter</v>
      </c>
    </row>
    <row r="259">
      <c r="A259" t="str">
        <f>IFERROR(__xludf.DUMMYFUNCTION("""COMPUTED_VALUE"""),"342103600001")</f>
        <v>342103600001</v>
      </c>
      <c r="B259" s="226" t="str">
        <f>IFERROR(__xludf.DUMMYFUNCTION("""COMPUTED_VALUE"""),"4250141148642")</f>
        <v>4250141148642</v>
      </c>
      <c r="C259" t="str">
        <f>IFERROR(__xludf.DUMMYFUNCTION("""COMPUTED_VALUE"""),"Westfalia/Witter")</f>
        <v>Westfalia/Witter</v>
      </c>
    </row>
    <row r="260">
      <c r="A260" t="str">
        <f>IFERROR(__xludf.DUMMYFUNCTION("""COMPUTED_VALUE"""),"332273600001")</f>
        <v>332273600001</v>
      </c>
      <c r="B260" s="226" t="str">
        <f>IFERROR(__xludf.DUMMYFUNCTION("""COMPUTED_VALUE"""),"4250141148659")</f>
        <v>4250141148659</v>
      </c>
      <c r="C260" t="str">
        <f>IFERROR(__xludf.DUMMYFUNCTION("""COMPUTED_VALUE"""),"Westfalia/Witter")</f>
        <v>Westfalia/Witter</v>
      </c>
    </row>
    <row r="261">
      <c r="A261" t="str">
        <f>IFERROR(__xludf.DUMMYFUNCTION("""COMPUTED_VALUE"""),"335350600001")</f>
        <v>335350600001</v>
      </c>
      <c r="B261" s="226" t="str">
        <f>IFERROR(__xludf.DUMMYFUNCTION("""COMPUTED_VALUE"""),"4250141149427")</f>
        <v>4250141149427</v>
      </c>
      <c r="C261" t="str">
        <f>IFERROR(__xludf.DUMMYFUNCTION("""COMPUTED_VALUE"""),"Westfalia/Witter")</f>
        <v>Westfalia/Witter</v>
      </c>
    </row>
    <row r="262">
      <c r="A262" t="str">
        <f>IFERROR(__xludf.DUMMYFUNCTION("""COMPUTED_VALUE"""),"321681600001")</f>
        <v>321681600001</v>
      </c>
      <c r="B262" s="226" t="str">
        <f>IFERROR(__xludf.DUMMYFUNCTION("""COMPUTED_VALUE"""),"4250141149434")</f>
        <v>4250141149434</v>
      </c>
      <c r="C262" t="str">
        <f>IFERROR(__xludf.DUMMYFUNCTION("""COMPUTED_VALUE"""),"Westfalia/Witter")</f>
        <v>Westfalia/Witter</v>
      </c>
    </row>
    <row r="263">
      <c r="A263" t="str">
        <f>IFERROR(__xludf.DUMMYFUNCTION("""COMPUTED_VALUE"""),"321681600001")</f>
        <v>321681600001</v>
      </c>
      <c r="B263" s="226" t="str">
        <f>IFERROR(__xludf.DUMMYFUNCTION("""COMPUTED_VALUE"""),"4250141149434")</f>
        <v>4250141149434</v>
      </c>
      <c r="C263" t="str">
        <f>IFERROR(__xludf.DUMMYFUNCTION("""COMPUTED_VALUE"""),"Westfalia/Witter")</f>
        <v>Westfalia/Witter</v>
      </c>
    </row>
    <row r="264">
      <c r="A264" t="str">
        <f>IFERROR(__xludf.DUMMYFUNCTION("""COMPUTED_VALUE"""),"317064600001")</f>
        <v>317064600001</v>
      </c>
      <c r="B264" s="226" t="str">
        <f>IFERROR(__xludf.DUMMYFUNCTION("""COMPUTED_VALUE"""),"4250141149502")</f>
        <v>4250141149502</v>
      </c>
      <c r="C264" t="str">
        <f>IFERROR(__xludf.DUMMYFUNCTION("""COMPUTED_VALUE"""),"Westfalia/Witter")</f>
        <v>Westfalia/Witter</v>
      </c>
    </row>
    <row r="265">
      <c r="A265" t="str">
        <f>IFERROR(__xludf.DUMMYFUNCTION("""COMPUTED_VALUE"""),"317063600001")</f>
        <v>317063600001</v>
      </c>
      <c r="B265" s="226" t="str">
        <f>IFERROR(__xludf.DUMMYFUNCTION("""COMPUTED_VALUE"""),"4250141149724")</f>
        <v>4250141149724</v>
      </c>
      <c r="C265" t="str">
        <f>IFERROR(__xludf.DUMMYFUNCTION("""COMPUTED_VALUE"""),"Westfalia/Witter")</f>
        <v>Westfalia/Witter</v>
      </c>
    </row>
    <row r="266">
      <c r="A266" t="str">
        <f>IFERROR(__xludf.DUMMYFUNCTION("""COMPUTED_VALUE"""),"303304600001")</f>
        <v>303304600001</v>
      </c>
      <c r="B266" s="226" t="str">
        <f>IFERROR(__xludf.DUMMYFUNCTION("""COMPUTED_VALUE"""),"4250141149922")</f>
        <v>4250141149922</v>
      </c>
      <c r="C266" t="str">
        <f>IFERROR(__xludf.DUMMYFUNCTION("""COMPUTED_VALUE"""),"Westfalia/Witter")</f>
        <v>Westfalia/Witter</v>
      </c>
    </row>
    <row r="267">
      <c r="A267" t="str">
        <f>IFERROR(__xludf.DUMMYFUNCTION("""COMPUTED_VALUE"""),"307330600001")</f>
        <v>307330600001</v>
      </c>
      <c r="B267" s="226" t="str">
        <f>IFERROR(__xludf.DUMMYFUNCTION("""COMPUTED_VALUE"""),"4250141150003")</f>
        <v>4250141150003</v>
      </c>
      <c r="C267" t="str">
        <f>IFERROR(__xludf.DUMMYFUNCTION("""COMPUTED_VALUE"""),"Westfalia/Witter")</f>
        <v>Westfalia/Witter</v>
      </c>
    </row>
    <row r="268">
      <c r="A268" t="str">
        <f>IFERROR(__xludf.DUMMYFUNCTION("""COMPUTED_VALUE"""),"307333600001")</f>
        <v>307333600001</v>
      </c>
      <c r="B268" s="226" t="str">
        <f>IFERROR(__xludf.DUMMYFUNCTION("""COMPUTED_VALUE"""),"4250141150010")</f>
        <v>4250141150010</v>
      </c>
      <c r="C268" t="str">
        <f>IFERROR(__xludf.DUMMYFUNCTION("""COMPUTED_VALUE"""),"Westfalia/Witter")</f>
        <v>Westfalia/Witter</v>
      </c>
    </row>
    <row r="269">
      <c r="A269" t="str">
        <f>IFERROR(__xludf.DUMMYFUNCTION("""COMPUTED_VALUE"""),"321739600001")</f>
        <v>321739600001</v>
      </c>
      <c r="B269" s="226" t="str">
        <f>IFERROR(__xludf.DUMMYFUNCTION("""COMPUTED_VALUE"""),"4250141150331")</f>
        <v>4250141150331</v>
      </c>
      <c r="C269" t="str">
        <f>IFERROR(__xludf.DUMMYFUNCTION("""COMPUTED_VALUE"""),"Westfalia/Witter")</f>
        <v>Westfalia/Witter</v>
      </c>
    </row>
    <row r="270">
      <c r="A270" t="str">
        <f>IFERROR(__xludf.DUMMYFUNCTION("""COMPUTED_VALUE"""),"345039600001")</f>
        <v>345039600001</v>
      </c>
      <c r="B270" s="226" t="str">
        <f>IFERROR(__xludf.DUMMYFUNCTION("""COMPUTED_VALUE"""),"4250141151185")</f>
        <v>4250141151185</v>
      </c>
      <c r="C270" t="str">
        <f>IFERROR(__xludf.DUMMYFUNCTION("""COMPUTED_VALUE"""),"Westfalia/Witter")</f>
        <v>Westfalia/Witter</v>
      </c>
    </row>
    <row r="271">
      <c r="A271" t="str">
        <f>IFERROR(__xludf.DUMMYFUNCTION("""COMPUTED_VALUE"""),"316259600001")</f>
        <v>316259600001</v>
      </c>
      <c r="B271" s="226" t="str">
        <f>IFERROR(__xludf.DUMMYFUNCTION("""COMPUTED_VALUE"""),"4250141151239")</f>
        <v>4250141151239</v>
      </c>
      <c r="C271" t="str">
        <f>IFERROR(__xludf.DUMMYFUNCTION("""COMPUTED_VALUE"""),"Westfalia/Witter")</f>
        <v>Westfalia/Witter</v>
      </c>
    </row>
    <row r="272">
      <c r="A272" t="str">
        <f>IFERROR(__xludf.DUMMYFUNCTION("""COMPUTED_VALUE"""),"306331600001")</f>
        <v>306331600001</v>
      </c>
      <c r="B272" s="226" t="str">
        <f>IFERROR(__xludf.DUMMYFUNCTION("""COMPUTED_VALUE"""),"4250141152137")</f>
        <v>4250141152137</v>
      </c>
      <c r="C272" t="str">
        <f>IFERROR(__xludf.DUMMYFUNCTION("""COMPUTED_VALUE"""),"Westfalia/Witter")</f>
        <v>Westfalia/Witter</v>
      </c>
    </row>
    <row r="273">
      <c r="A273" t="str">
        <f>IFERROR(__xludf.DUMMYFUNCTION("""COMPUTED_VALUE"""),"306331600001")</f>
        <v>306331600001</v>
      </c>
      <c r="B273" s="226" t="str">
        <f>IFERROR(__xludf.DUMMYFUNCTION("""COMPUTED_VALUE"""),"4250141152137")</f>
        <v>4250141152137</v>
      </c>
      <c r="C273" t="str">
        <f>IFERROR(__xludf.DUMMYFUNCTION("""COMPUTED_VALUE"""),"Westfalia/Witter")</f>
        <v>Westfalia/Witter</v>
      </c>
    </row>
    <row r="274">
      <c r="A274" t="str">
        <f>IFERROR(__xludf.DUMMYFUNCTION("""COMPUTED_VALUE"""),"306331600001")</f>
        <v>306331600001</v>
      </c>
      <c r="B274" s="226" t="str">
        <f>IFERROR(__xludf.DUMMYFUNCTION("""COMPUTED_VALUE"""),"4250141152137")</f>
        <v>4250141152137</v>
      </c>
      <c r="C274" t="str">
        <f>IFERROR(__xludf.DUMMYFUNCTION("""COMPUTED_VALUE"""),"Westfalia/Witter")</f>
        <v>Westfalia/Witter</v>
      </c>
    </row>
    <row r="275">
      <c r="A275" t="str">
        <f>IFERROR(__xludf.DUMMYFUNCTION("""COMPUTED_VALUE"""),"306331600001")</f>
        <v>306331600001</v>
      </c>
      <c r="B275" s="226" t="str">
        <f>IFERROR(__xludf.DUMMYFUNCTION("""COMPUTED_VALUE"""),"4250141152137")</f>
        <v>4250141152137</v>
      </c>
      <c r="C275" t="str">
        <f>IFERROR(__xludf.DUMMYFUNCTION("""COMPUTED_VALUE"""),"Westfalia/Witter")</f>
        <v>Westfalia/Witter</v>
      </c>
    </row>
    <row r="276">
      <c r="A276" t="str">
        <f>IFERROR(__xludf.DUMMYFUNCTION("""COMPUTED_VALUE"""),"306330600001")</f>
        <v>306330600001</v>
      </c>
      <c r="B276" s="226" t="str">
        <f>IFERROR(__xludf.DUMMYFUNCTION("""COMPUTED_VALUE"""),"4250141153639")</f>
        <v>4250141153639</v>
      </c>
      <c r="C276" t="str">
        <f>IFERROR(__xludf.DUMMYFUNCTION("""COMPUTED_VALUE"""),"Westfalia/Witter")</f>
        <v>Westfalia/Witter</v>
      </c>
    </row>
    <row r="277">
      <c r="A277" t="str">
        <f>IFERROR(__xludf.DUMMYFUNCTION("""COMPUTED_VALUE"""),"306330600001")</f>
        <v>306330600001</v>
      </c>
      <c r="B277" s="226" t="str">
        <f>IFERROR(__xludf.DUMMYFUNCTION("""COMPUTED_VALUE"""),"4250141153639")</f>
        <v>4250141153639</v>
      </c>
      <c r="C277" t="str">
        <f>IFERROR(__xludf.DUMMYFUNCTION("""COMPUTED_VALUE"""),"Westfalia/Witter")</f>
        <v>Westfalia/Witter</v>
      </c>
    </row>
    <row r="278">
      <c r="A278" t="str">
        <f>IFERROR(__xludf.DUMMYFUNCTION("""COMPUTED_VALUE"""),"306330600001")</f>
        <v>306330600001</v>
      </c>
      <c r="B278" s="226" t="str">
        <f>IFERROR(__xludf.DUMMYFUNCTION("""COMPUTED_VALUE"""),"4250141153639")</f>
        <v>4250141153639</v>
      </c>
      <c r="C278" t="str">
        <f>IFERROR(__xludf.DUMMYFUNCTION("""COMPUTED_VALUE"""),"Westfalia/Witter")</f>
        <v>Westfalia/Witter</v>
      </c>
    </row>
    <row r="279">
      <c r="A279" t="str">
        <f>IFERROR(__xludf.DUMMYFUNCTION("""COMPUTED_VALUE"""),"306330600001")</f>
        <v>306330600001</v>
      </c>
      <c r="B279" s="226" t="str">
        <f>IFERROR(__xludf.DUMMYFUNCTION("""COMPUTED_VALUE"""),"4250141153639")</f>
        <v>4250141153639</v>
      </c>
      <c r="C279" t="str">
        <f>IFERROR(__xludf.DUMMYFUNCTION("""COMPUTED_VALUE"""),"Westfalia/Witter")</f>
        <v>Westfalia/Witter</v>
      </c>
    </row>
    <row r="280">
      <c r="A280" t="str">
        <f>IFERROR(__xludf.DUMMYFUNCTION("""COMPUTED_VALUE"""),"306330600001")</f>
        <v>306330600001</v>
      </c>
      <c r="B280" s="226" t="str">
        <f>IFERROR(__xludf.DUMMYFUNCTION("""COMPUTED_VALUE"""),"4250141153639")</f>
        <v>4250141153639</v>
      </c>
      <c r="C280" t="str">
        <f>IFERROR(__xludf.DUMMYFUNCTION("""COMPUTED_VALUE"""),"Westfalia/Witter")</f>
        <v>Westfalia/Witter</v>
      </c>
    </row>
    <row r="281">
      <c r="A281" t="str">
        <f>IFERROR(__xludf.DUMMYFUNCTION("""COMPUTED_VALUE"""),"335353600001")</f>
        <v>335353600001</v>
      </c>
      <c r="B281" s="226" t="str">
        <f>IFERROR(__xludf.DUMMYFUNCTION("""COMPUTED_VALUE"""),"4250141155527")</f>
        <v>4250141155527</v>
      </c>
      <c r="C281" t="str">
        <f>IFERROR(__xludf.DUMMYFUNCTION("""COMPUTED_VALUE"""),"Westfalia/Witter")</f>
        <v>Westfalia/Witter</v>
      </c>
    </row>
    <row r="282">
      <c r="A282" t="str">
        <f>IFERROR(__xludf.DUMMYFUNCTION("""COMPUTED_VALUE"""),"306333600001")</f>
        <v>306333600001</v>
      </c>
      <c r="B282" s="226" t="str">
        <f>IFERROR(__xludf.DUMMYFUNCTION("""COMPUTED_VALUE"""),"4250141156067")</f>
        <v>4250141156067</v>
      </c>
      <c r="C282" t="str">
        <f>IFERROR(__xludf.DUMMYFUNCTION("""COMPUTED_VALUE"""),"Westfalia/Witter")</f>
        <v>Westfalia/Witter</v>
      </c>
    </row>
    <row r="283">
      <c r="A283" t="str">
        <f>IFERROR(__xludf.DUMMYFUNCTION("""COMPUTED_VALUE"""),"306333600001")</f>
        <v>306333600001</v>
      </c>
      <c r="B283" s="226" t="str">
        <f>IFERROR(__xludf.DUMMYFUNCTION("""COMPUTED_VALUE"""),"4250141156067")</f>
        <v>4250141156067</v>
      </c>
      <c r="C283" t="str">
        <f>IFERROR(__xludf.DUMMYFUNCTION("""COMPUTED_VALUE"""),"Westfalia/Witter")</f>
        <v>Westfalia/Witter</v>
      </c>
    </row>
    <row r="284">
      <c r="A284" t="str">
        <f>IFERROR(__xludf.DUMMYFUNCTION("""COMPUTED_VALUE"""),"306333600001")</f>
        <v>306333600001</v>
      </c>
      <c r="B284" s="226" t="str">
        <f>IFERROR(__xludf.DUMMYFUNCTION("""COMPUTED_VALUE"""),"4250141156067")</f>
        <v>4250141156067</v>
      </c>
      <c r="C284" t="str">
        <f>IFERROR(__xludf.DUMMYFUNCTION("""COMPUTED_VALUE"""),"Westfalia/Witter")</f>
        <v>Westfalia/Witter</v>
      </c>
    </row>
    <row r="285">
      <c r="A285" t="str">
        <f>IFERROR(__xludf.DUMMYFUNCTION("""COMPUTED_VALUE"""),"306333600001")</f>
        <v>306333600001</v>
      </c>
      <c r="B285" s="226" t="str">
        <f>IFERROR(__xludf.DUMMYFUNCTION("""COMPUTED_VALUE"""),"4250141156067")</f>
        <v>4250141156067</v>
      </c>
      <c r="C285" t="str">
        <f>IFERROR(__xludf.DUMMYFUNCTION("""COMPUTED_VALUE"""),"Westfalia/Witter")</f>
        <v>Westfalia/Witter</v>
      </c>
    </row>
    <row r="286">
      <c r="A286" t="str">
        <f>IFERROR(__xludf.DUMMYFUNCTION("""COMPUTED_VALUE"""),"316262600001")</f>
        <v>316262600001</v>
      </c>
      <c r="B286" s="226" t="str">
        <f>IFERROR(__xludf.DUMMYFUNCTION("""COMPUTED_VALUE"""),"4250141156500")</f>
        <v>4250141156500</v>
      </c>
      <c r="C286" t="str">
        <f>IFERROR(__xludf.DUMMYFUNCTION("""COMPUTED_VALUE"""),"Westfalia/Witter")</f>
        <v>Westfalia/Witter</v>
      </c>
    </row>
    <row r="287">
      <c r="A287" t="str">
        <f>IFERROR(__xludf.DUMMYFUNCTION("""COMPUTED_VALUE"""),"316264600001")</f>
        <v>316264600001</v>
      </c>
      <c r="B287" s="226" t="str">
        <f>IFERROR(__xludf.DUMMYFUNCTION("""COMPUTED_VALUE"""),"4250141156524")</f>
        <v>4250141156524</v>
      </c>
      <c r="C287" t="str">
        <f>IFERROR(__xludf.DUMMYFUNCTION("""COMPUTED_VALUE"""),"Westfalia/Witter")</f>
        <v>Westfalia/Witter</v>
      </c>
    </row>
    <row r="288">
      <c r="A288" t="str">
        <f>IFERROR(__xludf.DUMMYFUNCTION("""COMPUTED_VALUE"""),"320069600001")</f>
        <v>320069600001</v>
      </c>
      <c r="B288" s="226" t="str">
        <f>IFERROR(__xludf.DUMMYFUNCTION("""COMPUTED_VALUE"""),"4250141156845")</f>
        <v>4250141156845</v>
      </c>
      <c r="C288" t="str">
        <f>IFERROR(__xludf.DUMMYFUNCTION("""COMPUTED_VALUE"""),"Westfalia/Witter")</f>
        <v>Westfalia/Witter</v>
      </c>
    </row>
    <row r="289">
      <c r="A289" t="str">
        <f>IFERROR(__xludf.DUMMYFUNCTION("""COMPUTED_VALUE"""),"316265600001")</f>
        <v>316265600001</v>
      </c>
      <c r="B289" s="226" t="str">
        <f>IFERROR(__xludf.DUMMYFUNCTION("""COMPUTED_VALUE"""),"4250141156937")</f>
        <v>4250141156937</v>
      </c>
      <c r="C289" t="str">
        <f>IFERROR(__xludf.DUMMYFUNCTION("""COMPUTED_VALUE"""),"Westfalia/Witter")</f>
        <v>Westfalia/Witter</v>
      </c>
    </row>
    <row r="290">
      <c r="A290" t="str">
        <f>IFERROR(__xludf.DUMMYFUNCTION("""COMPUTED_VALUE"""),"316267600001")</f>
        <v>316267600001</v>
      </c>
      <c r="B290" s="226" t="str">
        <f>IFERROR(__xludf.DUMMYFUNCTION("""COMPUTED_VALUE"""),"4250141156951")</f>
        <v>4250141156951</v>
      </c>
      <c r="C290" t="str">
        <f>IFERROR(__xludf.DUMMYFUNCTION("""COMPUTED_VALUE"""),"Westfalia/Witter")</f>
        <v>Westfalia/Witter</v>
      </c>
    </row>
    <row r="291">
      <c r="A291" t="str">
        <f>IFERROR(__xludf.DUMMYFUNCTION("""COMPUTED_VALUE"""),"316268600001")</f>
        <v>316268600001</v>
      </c>
      <c r="B291" s="226" t="str">
        <f>IFERROR(__xludf.DUMMYFUNCTION("""COMPUTED_VALUE"""),"4250141156968")</f>
        <v>4250141156968</v>
      </c>
      <c r="C291" t="str">
        <f>IFERROR(__xludf.DUMMYFUNCTION("""COMPUTED_VALUE"""),"Westfalia/Witter")</f>
        <v>Westfalia/Witter</v>
      </c>
    </row>
    <row r="292">
      <c r="A292" t="str">
        <f>IFERROR(__xludf.DUMMYFUNCTION("""COMPUTED_VALUE"""),"316268600001")</f>
        <v>316268600001</v>
      </c>
      <c r="B292" s="226" t="str">
        <f>IFERROR(__xludf.DUMMYFUNCTION("""COMPUTED_VALUE"""),"4250141156968")</f>
        <v>4250141156968</v>
      </c>
      <c r="C292" t="str">
        <f>IFERROR(__xludf.DUMMYFUNCTION("""COMPUTED_VALUE"""),"Westfalia/Witter")</f>
        <v>Westfalia/Witter</v>
      </c>
    </row>
    <row r="293">
      <c r="A293" t="str">
        <f>IFERROR(__xludf.DUMMYFUNCTION("""COMPUTED_VALUE"""),"316269600001")</f>
        <v>316269600001</v>
      </c>
      <c r="B293" s="226" t="str">
        <f>IFERROR(__xludf.DUMMYFUNCTION("""COMPUTED_VALUE"""),"4250141156975")</f>
        <v>4250141156975</v>
      </c>
      <c r="C293" t="str">
        <f>IFERROR(__xludf.DUMMYFUNCTION("""COMPUTED_VALUE"""),"Westfalia/Witter")</f>
        <v>Westfalia/Witter</v>
      </c>
    </row>
    <row r="294">
      <c r="A294" t="str">
        <f>IFERROR(__xludf.DUMMYFUNCTION("""COMPUTED_VALUE"""),"316269600001")</f>
        <v>316269600001</v>
      </c>
      <c r="B294" s="226" t="str">
        <f>IFERROR(__xludf.DUMMYFUNCTION("""COMPUTED_VALUE"""),"4250141156975")</f>
        <v>4250141156975</v>
      </c>
      <c r="C294" t="str">
        <f>IFERROR(__xludf.DUMMYFUNCTION("""COMPUTED_VALUE"""),"Westfalia/Witter")</f>
        <v>Westfalia/Witter</v>
      </c>
    </row>
    <row r="295">
      <c r="A295" t="str">
        <f>IFERROR(__xludf.DUMMYFUNCTION("""COMPUTED_VALUE"""),"316277600001")</f>
        <v>316277600001</v>
      </c>
      <c r="B295" s="226" t="str">
        <f>IFERROR(__xludf.DUMMYFUNCTION("""COMPUTED_VALUE"""),"4250141157057")</f>
        <v>4250141157057</v>
      </c>
      <c r="C295" t="str">
        <f>IFERROR(__xludf.DUMMYFUNCTION("""COMPUTED_VALUE"""),"Westfalia/Witter")</f>
        <v>Westfalia/Witter</v>
      </c>
    </row>
    <row r="296">
      <c r="A296" t="str">
        <f>IFERROR(__xludf.DUMMYFUNCTION("""COMPUTED_VALUE"""),"316278600001")</f>
        <v>316278600001</v>
      </c>
      <c r="B296" s="226" t="str">
        <f>IFERROR(__xludf.DUMMYFUNCTION("""COMPUTED_VALUE"""),"4250141157064")</f>
        <v>4250141157064</v>
      </c>
      <c r="C296" t="str">
        <f>IFERROR(__xludf.DUMMYFUNCTION("""COMPUTED_VALUE"""),"Westfalia/Witter")</f>
        <v>Westfalia/Witter</v>
      </c>
    </row>
    <row r="297">
      <c r="A297" t="str">
        <f>IFERROR(__xludf.DUMMYFUNCTION("""COMPUTED_VALUE"""),"303290600001")</f>
        <v>303290600001</v>
      </c>
      <c r="B297" s="226" t="str">
        <f>IFERROR(__xludf.DUMMYFUNCTION("""COMPUTED_VALUE"""),"4250141157446")</f>
        <v>4250141157446</v>
      </c>
      <c r="C297" t="str">
        <f>IFERROR(__xludf.DUMMYFUNCTION("""COMPUTED_VALUE"""),"Westfalia/Witter")</f>
        <v>Westfalia/Witter</v>
      </c>
    </row>
    <row r="298">
      <c r="A298" t="str">
        <f>IFERROR(__xludf.DUMMYFUNCTION("""COMPUTED_VALUE"""),"314341600001")</f>
        <v>314341600001</v>
      </c>
      <c r="B298" s="226" t="str">
        <f>IFERROR(__xludf.DUMMYFUNCTION("""COMPUTED_VALUE"""),"4250141158078")</f>
        <v>4250141158078</v>
      </c>
      <c r="C298" t="str">
        <f>IFERROR(__xludf.DUMMYFUNCTION("""COMPUTED_VALUE"""),"Westfalia/Witter")</f>
        <v>Westfalia/Witter</v>
      </c>
    </row>
    <row r="299">
      <c r="A299" t="str">
        <f>IFERROR(__xludf.DUMMYFUNCTION("""COMPUTED_VALUE"""),"314342600001")</f>
        <v>314342600001</v>
      </c>
      <c r="B299" s="226" t="str">
        <f>IFERROR(__xludf.DUMMYFUNCTION("""COMPUTED_VALUE"""),"4250141158085")</f>
        <v>4250141158085</v>
      </c>
      <c r="C299" t="str">
        <f>IFERROR(__xludf.DUMMYFUNCTION("""COMPUTED_VALUE"""),"Westfalia/Witter")</f>
        <v>Westfalia/Witter</v>
      </c>
    </row>
    <row r="300">
      <c r="A300" t="str">
        <f>IFERROR(__xludf.DUMMYFUNCTION("""COMPUTED_VALUE"""),"335358600001")</f>
        <v>335358600001</v>
      </c>
      <c r="B300" s="226" t="str">
        <f>IFERROR(__xludf.DUMMYFUNCTION("""COMPUTED_VALUE"""),"4250141158184")</f>
        <v>4250141158184</v>
      </c>
      <c r="C300" t="str">
        <f>IFERROR(__xludf.DUMMYFUNCTION("""COMPUTED_VALUE"""),"Westfalia/Witter")</f>
        <v>Westfalia/Witter</v>
      </c>
    </row>
    <row r="301">
      <c r="A301" t="str">
        <f>IFERROR(__xludf.DUMMYFUNCTION("""COMPUTED_VALUE"""),"335358600001")</f>
        <v>335358600001</v>
      </c>
      <c r="B301" s="226" t="str">
        <f>IFERROR(__xludf.DUMMYFUNCTION("""COMPUTED_VALUE"""),"4250141158184")</f>
        <v>4250141158184</v>
      </c>
      <c r="C301" t="str">
        <f>IFERROR(__xludf.DUMMYFUNCTION("""COMPUTED_VALUE"""),"Westfalia/Witter")</f>
        <v>Westfalia/Witter</v>
      </c>
    </row>
    <row r="302">
      <c r="A302" t="str">
        <f>IFERROR(__xludf.DUMMYFUNCTION("""COMPUTED_VALUE"""),"335367600001")</f>
        <v>335367600001</v>
      </c>
      <c r="B302" s="226" t="str">
        <f>IFERROR(__xludf.DUMMYFUNCTION("""COMPUTED_VALUE"""),"4250141158375")</f>
        <v>4250141158375</v>
      </c>
      <c r="C302" t="str">
        <f>IFERROR(__xludf.DUMMYFUNCTION("""COMPUTED_VALUE"""),"Westfalia/Witter")</f>
        <v>Westfalia/Witter</v>
      </c>
    </row>
    <row r="303">
      <c r="A303" t="str">
        <f>IFERROR(__xludf.DUMMYFUNCTION("""COMPUTED_VALUE"""),"342124600001")</f>
        <v>342124600001</v>
      </c>
      <c r="B303" s="226" t="str">
        <f>IFERROR(__xludf.DUMMYFUNCTION("""COMPUTED_VALUE"""),"4250141158467")</f>
        <v>4250141158467</v>
      </c>
      <c r="C303" t="str">
        <f>IFERROR(__xludf.DUMMYFUNCTION("""COMPUTED_VALUE"""),"Westfalia/Witter")</f>
        <v>Westfalia/Witter</v>
      </c>
    </row>
    <row r="304">
      <c r="A304" t="str">
        <f>IFERROR(__xludf.DUMMYFUNCTION("""COMPUTED_VALUE"""),"346047600001")</f>
        <v>346047600001</v>
      </c>
      <c r="B304" s="226" t="str">
        <f>IFERROR(__xludf.DUMMYFUNCTION("""COMPUTED_VALUE"""),"4250141158627")</f>
        <v>4250141158627</v>
      </c>
      <c r="C304" t="str">
        <f>IFERROR(__xludf.DUMMYFUNCTION("""COMPUTED_VALUE"""),"Westfalia/Witter")</f>
        <v>Westfalia/Witter</v>
      </c>
    </row>
    <row r="305">
      <c r="A305" t="str">
        <f>IFERROR(__xludf.DUMMYFUNCTION("""COMPUTED_VALUE"""),"346048600001")</f>
        <v>346048600001</v>
      </c>
      <c r="B305" s="226" t="str">
        <f>IFERROR(__xludf.DUMMYFUNCTION("""COMPUTED_VALUE"""),"4250141158634")</f>
        <v>4250141158634</v>
      </c>
      <c r="C305" t="str">
        <f>IFERROR(__xludf.DUMMYFUNCTION("""COMPUTED_VALUE"""),"Westfalia/Witter")</f>
        <v>Westfalia/Witter</v>
      </c>
    </row>
    <row r="306">
      <c r="A306" t="str">
        <f>IFERROR(__xludf.DUMMYFUNCTION("""COMPUTED_VALUE"""),"346049600001")</f>
        <v>346049600001</v>
      </c>
      <c r="B306" s="226" t="str">
        <f>IFERROR(__xludf.DUMMYFUNCTION("""COMPUTED_VALUE"""),"4250141158641")</f>
        <v>4250141158641</v>
      </c>
      <c r="C306" t="str">
        <f>IFERROR(__xludf.DUMMYFUNCTION("""COMPUTED_VALUE"""),"Westfalia/Witter")</f>
        <v>Westfalia/Witter</v>
      </c>
    </row>
    <row r="307">
      <c r="A307" t="str">
        <f>IFERROR(__xludf.DUMMYFUNCTION("""COMPUTED_VALUE"""),"307382600001")</f>
        <v>307382600001</v>
      </c>
      <c r="B307" s="226" t="str">
        <f>IFERROR(__xludf.DUMMYFUNCTION("""COMPUTED_VALUE"""),"4250141158726")</f>
        <v>4250141158726</v>
      </c>
      <c r="C307" t="str">
        <f>IFERROR(__xludf.DUMMYFUNCTION("""COMPUTED_VALUE"""),"Westfalia/Witter")</f>
        <v>Westfalia/Witter</v>
      </c>
    </row>
    <row r="308">
      <c r="A308" t="str">
        <f>IFERROR(__xludf.DUMMYFUNCTION("""COMPUTED_VALUE"""),"315150600001")</f>
        <v>315150600001</v>
      </c>
      <c r="B308" s="226" t="str">
        <f>IFERROR(__xludf.DUMMYFUNCTION("""COMPUTED_VALUE"""),"4250141159396")</f>
        <v>4250141159396</v>
      </c>
      <c r="C308" t="str">
        <f>IFERROR(__xludf.DUMMYFUNCTION("""COMPUTED_VALUE"""),"Westfalia/Witter")</f>
        <v>Westfalia/Witter</v>
      </c>
    </row>
    <row r="309">
      <c r="A309" t="str">
        <f>IFERROR(__xludf.DUMMYFUNCTION("""COMPUTED_VALUE"""),"315151600001")</f>
        <v>315151600001</v>
      </c>
      <c r="B309" s="226" t="str">
        <f>IFERROR(__xludf.DUMMYFUNCTION("""COMPUTED_VALUE"""),"4250141159402")</f>
        <v>4250141159402</v>
      </c>
      <c r="C309" t="str">
        <f>IFERROR(__xludf.DUMMYFUNCTION("""COMPUTED_VALUE"""),"Westfalia/Witter")</f>
        <v>Westfalia/Witter</v>
      </c>
    </row>
    <row r="310">
      <c r="A310" t="str">
        <f>IFERROR(__xludf.DUMMYFUNCTION("""COMPUTED_VALUE"""),"315152600001")</f>
        <v>315152600001</v>
      </c>
      <c r="B310" s="226" t="str">
        <f>IFERROR(__xludf.DUMMYFUNCTION("""COMPUTED_VALUE"""),"4250141159419")</f>
        <v>4250141159419</v>
      </c>
      <c r="C310" t="str">
        <f>IFERROR(__xludf.DUMMYFUNCTION("""COMPUTED_VALUE"""),"Westfalia/Witter")</f>
        <v>Westfalia/Witter</v>
      </c>
    </row>
    <row r="311">
      <c r="A311" t="str">
        <f>IFERROR(__xludf.DUMMYFUNCTION("""COMPUTED_VALUE"""),"315157600001")</f>
        <v>315157600001</v>
      </c>
      <c r="B311" s="226" t="str">
        <f>IFERROR(__xludf.DUMMYFUNCTION("""COMPUTED_VALUE"""),"4250141159457")</f>
        <v>4250141159457</v>
      </c>
      <c r="C311" t="str">
        <f>IFERROR(__xludf.DUMMYFUNCTION("""COMPUTED_VALUE"""),"Westfalia/Witter")</f>
        <v>Westfalia/Witter</v>
      </c>
    </row>
    <row r="312">
      <c r="A312" t="str">
        <f>IFERROR(__xludf.DUMMYFUNCTION("""COMPUTED_VALUE"""),"304118600001")</f>
        <v>304118600001</v>
      </c>
      <c r="B312" s="226" t="str">
        <f>IFERROR(__xludf.DUMMYFUNCTION("""COMPUTED_VALUE"""),"4250141159518")</f>
        <v>4250141159518</v>
      </c>
      <c r="C312" t="str">
        <f>IFERROR(__xludf.DUMMYFUNCTION("""COMPUTED_VALUE"""),"Westfalia/Witter")</f>
        <v>Westfalia/Witter</v>
      </c>
    </row>
    <row r="313">
      <c r="A313" t="str">
        <f>IFERROR(__xludf.DUMMYFUNCTION("""COMPUTED_VALUE"""),"304118600001")</f>
        <v>304118600001</v>
      </c>
      <c r="B313" s="226" t="str">
        <f>IFERROR(__xludf.DUMMYFUNCTION("""COMPUTED_VALUE"""),"4250141159518")</f>
        <v>4250141159518</v>
      </c>
      <c r="C313" t="str">
        <f>IFERROR(__xludf.DUMMYFUNCTION("""COMPUTED_VALUE"""),"Westfalia/Witter")</f>
        <v>Westfalia/Witter</v>
      </c>
    </row>
    <row r="314">
      <c r="A314" t="str">
        <f>IFERROR(__xludf.DUMMYFUNCTION("""COMPUTED_VALUE"""),"304118600001")</f>
        <v>304118600001</v>
      </c>
      <c r="B314" s="226" t="str">
        <f>IFERROR(__xludf.DUMMYFUNCTION("""COMPUTED_VALUE"""),"4250141159518")</f>
        <v>4250141159518</v>
      </c>
      <c r="C314" t="str">
        <f>IFERROR(__xludf.DUMMYFUNCTION("""COMPUTED_VALUE"""),"Westfalia/Witter")</f>
        <v>Westfalia/Witter</v>
      </c>
    </row>
    <row r="315">
      <c r="A315" t="str">
        <f>IFERROR(__xludf.DUMMYFUNCTION("""COMPUTED_VALUE"""),"304118600001")</f>
        <v>304118600001</v>
      </c>
      <c r="B315" s="226" t="str">
        <f>IFERROR(__xludf.DUMMYFUNCTION("""COMPUTED_VALUE"""),"4250141159518")</f>
        <v>4250141159518</v>
      </c>
      <c r="C315" t="str">
        <f>IFERROR(__xludf.DUMMYFUNCTION("""COMPUTED_VALUE"""),"Westfalia/Witter")</f>
        <v>Westfalia/Witter</v>
      </c>
    </row>
    <row r="316">
      <c r="A316" t="str">
        <f>IFERROR(__xludf.DUMMYFUNCTION("""COMPUTED_VALUE"""),"307385600001")</f>
        <v>307385600001</v>
      </c>
      <c r="B316" s="226" t="str">
        <f>IFERROR(__xludf.DUMMYFUNCTION("""COMPUTED_VALUE"""),"4250141159594")</f>
        <v>4250141159594</v>
      </c>
      <c r="C316" t="str">
        <f>IFERROR(__xludf.DUMMYFUNCTION("""COMPUTED_VALUE"""),"Westfalia/Witter")</f>
        <v>Westfalia/Witter</v>
      </c>
    </row>
    <row r="317">
      <c r="A317" t="str">
        <f>IFERROR(__xludf.DUMMYFUNCTION("""COMPUTED_VALUE"""),"344048600001")</f>
        <v>344048600001</v>
      </c>
      <c r="B317" s="226" t="str">
        <f>IFERROR(__xludf.DUMMYFUNCTION("""COMPUTED_VALUE"""),"4250141160439")</f>
        <v>4250141160439</v>
      </c>
      <c r="C317" t="str">
        <f>IFERROR(__xludf.DUMMYFUNCTION("""COMPUTED_VALUE"""),"Westfalia/Witter")</f>
        <v>Westfalia/Witter</v>
      </c>
    </row>
    <row r="318">
      <c r="A318" t="str">
        <f>IFERROR(__xludf.DUMMYFUNCTION("""COMPUTED_VALUE"""),"321758600001")</f>
        <v>321758600001</v>
      </c>
      <c r="B318" s="226" t="str">
        <f>IFERROR(__xludf.DUMMYFUNCTION("""COMPUTED_VALUE"""),"4250141161030")</f>
        <v>4250141161030</v>
      </c>
      <c r="C318" t="str">
        <f>IFERROR(__xludf.DUMMYFUNCTION("""COMPUTED_VALUE"""),"Westfalia/Witter")</f>
        <v>Westfalia/Witter</v>
      </c>
    </row>
    <row r="319">
      <c r="A319" t="str">
        <f>IFERROR(__xludf.DUMMYFUNCTION("""COMPUTED_VALUE"""),"306355600001")</f>
        <v>306355600001</v>
      </c>
      <c r="B319" s="226" t="str">
        <f>IFERROR(__xludf.DUMMYFUNCTION("""COMPUTED_VALUE"""),"4250141161689")</f>
        <v>4250141161689</v>
      </c>
      <c r="C319" t="str">
        <f>IFERROR(__xludf.DUMMYFUNCTION("""COMPUTED_VALUE"""),"Westfalia/Witter")</f>
        <v>Westfalia/Witter</v>
      </c>
    </row>
    <row r="320">
      <c r="A320" t="str">
        <f>IFERROR(__xludf.DUMMYFUNCTION("""COMPUTED_VALUE"""),"306355600001")</f>
        <v>306355600001</v>
      </c>
      <c r="B320" s="226" t="str">
        <f>IFERROR(__xludf.DUMMYFUNCTION("""COMPUTED_VALUE"""),"4250141161689")</f>
        <v>4250141161689</v>
      </c>
      <c r="C320" t="str">
        <f>IFERROR(__xludf.DUMMYFUNCTION("""COMPUTED_VALUE"""),"Westfalia/Witter")</f>
        <v>Westfalia/Witter</v>
      </c>
    </row>
    <row r="321">
      <c r="A321" t="str">
        <f>IFERROR(__xludf.DUMMYFUNCTION("""COMPUTED_VALUE"""),"306356600001")</f>
        <v>306356600001</v>
      </c>
      <c r="B321" s="226" t="str">
        <f>IFERROR(__xludf.DUMMYFUNCTION("""COMPUTED_VALUE"""),"4250141161696")</f>
        <v>4250141161696</v>
      </c>
      <c r="C321" t="str">
        <f>IFERROR(__xludf.DUMMYFUNCTION("""COMPUTED_VALUE"""),"Westfalia/Witter")</f>
        <v>Westfalia/Witter</v>
      </c>
    </row>
    <row r="322">
      <c r="A322" t="str">
        <f>IFERROR(__xludf.DUMMYFUNCTION("""COMPUTED_VALUE"""),"306356600001")</f>
        <v>306356600001</v>
      </c>
      <c r="B322" s="226" t="str">
        <f>IFERROR(__xludf.DUMMYFUNCTION("""COMPUTED_VALUE"""),"4250141161696")</f>
        <v>4250141161696</v>
      </c>
      <c r="C322" t="str">
        <f>IFERROR(__xludf.DUMMYFUNCTION("""COMPUTED_VALUE"""),"Westfalia/Witter")</f>
        <v>Westfalia/Witter</v>
      </c>
    </row>
    <row r="323">
      <c r="A323" t="str">
        <f>IFERROR(__xludf.DUMMYFUNCTION("""COMPUTED_VALUE"""),"342137600001")</f>
        <v>342137600001</v>
      </c>
      <c r="B323" s="226" t="str">
        <f>IFERROR(__xludf.DUMMYFUNCTION("""COMPUTED_VALUE"""),"4250141161979")</f>
        <v>4250141161979</v>
      </c>
      <c r="C323" t="str">
        <f>IFERROR(__xludf.DUMMYFUNCTION("""COMPUTED_VALUE"""),"Westfalia/Witter")</f>
        <v>Westfalia/Witter</v>
      </c>
    </row>
    <row r="324">
      <c r="A324" t="str">
        <f>IFERROR(__xludf.DUMMYFUNCTION("""COMPUTED_VALUE"""),"342137600001")</f>
        <v>342137600001</v>
      </c>
      <c r="B324" s="226" t="str">
        <f>IFERROR(__xludf.DUMMYFUNCTION("""COMPUTED_VALUE"""),"4250141161979")</f>
        <v>4250141161979</v>
      </c>
      <c r="C324" t="str">
        <f>IFERROR(__xludf.DUMMYFUNCTION("""COMPUTED_VALUE"""),"Westfalia/Witter")</f>
        <v>Westfalia/Witter</v>
      </c>
    </row>
    <row r="325">
      <c r="A325" t="str">
        <f>IFERROR(__xludf.DUMMYFUNCTION("""COMPUTED_VALUE"""),"342137600001")</f>
        <v>342137600001</v>
      </c>
      <c r="B325" s="226" t="str">
        <f>IFERROR(__xludf.DUMMYFUNCTION("""COMPUTED_VALUE"""),"4250141161979")</f>
        <v>4250141161979</v>
      </c>
      <c r="C325" t="str">
        <f>IFERROR(__xludf.DUMMYFUNCTION("""COMPUTED_VALUE"""),"Westfalia/Witter")</f>
        <v>Westfalia/Witter</v>
      </c>
    </row>
    <row r="326">
      <c r="A326" t="str">
        <f>IFERROR(__xludf.DUMMYFUNCTION("""COMPUTED_VALUE"""),"342137600001")</f>
        <v>342137600001</v>
      </c>
      <c r="B326" s="226" t="str">
        <f>IFERROR(__xludf.DUMMYFUNCTION("""COMPUTED_VALUE"""),"4250141161979")</f>
        <v>4250141161979</v>
      </c>
      <c r="C326" t="str">
        <f>IFERROR(__xludf.DUMMYFUNCTION("""COMPUTED_VALUE"""),"Westfalia/Witter")</f>
        <v>Westfalia/Witter</v>
      </c>
    </row>
    <row r="327">
      <c r="A327" t="str">
        <f>IFERROR(__xludf.DUMMYFUNCTION("""COMPUTED_VALUE"""),"320086600001")</f>
        <v>320086600001</v>
      </c>
      <c r="B327" s="226" t="str">
        <f>IFERROR(__xludf.DUMMYFUNCTION("""COMPUTED_VALUE"""),"4250141162013")</f>
        <v>4250141162013</v>
      </c>
      <c r="C327" t="str">
        <f>IFERROR(__xludf.DUMMYFUNCTION("""COMPUTED_VALUE"""),"Westfalia/Witter")</f>
        <v>Westfalia/Witter</v>
      </c>
    </row>
    <row r="328">
      <c r="A328" t="str">
        <f>IFERROR(__xludf.DUMMYFUNCTION("""COMPUTED_VALUE"""),"348032600001")</f>
        <v>348032600001</v>
      </c>
      <c r="B328" s="226" t="str">
        <f>IFERROR(__xludf.DUMMYFUNCTION("""COMPUTED_VALUE"""),"4250141162174")</f>
        <v>4250141162174</v>
      </c>
      <c r="C328" t="str">
        <f>IFERROR(__xludf.DUMMYFUNCTION("""COMPUTED_VALUE"""),"Westfalia/Witter")</f>
        <v>Westfalia/Witter</v>
      </c>
    </row>
    <row r="329">
      <c r="A329" t="str">
        <f>IFERROR(__xludf.DUMMYFUNCTION("""COMPUTED_VALUE"""),"313320600001")</f>
        <v>313320600001</v>
      </c>
      <c r="B329" s="226" t="str">
        <f>IFERROR(__xludf.DUMMYFUNCTION("""COMPUTED_VALUE"""),"4250141162259")</f>
        <v>4250141162259</v>
      </c>
      <c r="C329" t="str">
        <f>IFERROR(__xludf.DUMMYFUNCTION("""COMPUTED_VALUE"""),"Westfalia/Witter")</f>
        <v>Westfalia/Witter</v>
      </c>
    </row>
    <row r="330">
      <c r="A330" t="str">
        <f>IFERROR(__xludf.DUMMYFUNCTION("""COMPUTED_VALUE"""),"346050600001")</f>
        <v>346050600001</v>
      </c>
      <c r="B330" s="226" t="str">
        <f>IFERROR(__xludf.DUMMYFUNCTION("""COMPUTED_VALUE"""),"4250141162341")</f>
        <v>4250141162341</v>
      </c>
      <c r="C330" t="str">
        <f>IFERROR(__xludf.DUMMYFUNCTION("""COMPUTED_VALUE"""),"Westfalia/Witter")</f>
        <v>Westfalia/Witter</v>
      </c>
    </row>
    <row r="331">
      <c r="A331" t="str">
        <f>IFERROR(__xludf.DUMMYFUNCTION("""COMPUTED_VALUE"""),"342162600001")</f>
        <v>342162600001</v>
      </c>
      <c r="B331" s="226" t="str">
        <f>IFERROR(__xludf.DUMMYFUNCTION("""COMPUTED_VALUE"""),"4250141163089")</f>
        <v>4250141163089</v>
      </c>
      <c r="C331" t="str">
        <f>IFERROR(__xludf.DUMMYFUNCTION("""COMPUTED_VALUE"""),"Westfalia/Witter")</f>
        <v>Westfalia/Witter</v>
      </c>
    </row>
    <row r="332">
      <c r="A332" t="str">
        <f>IFERROR(__xludf.DUMMYFUNCTION("""COMPUTED_VALUE"""),"303323600001")</f>
        <v>303323600001</v>
      </c>
      <c r="B332" s="226" t="str">
        <f>IFERROR(__xludf.DUMMYFUNCTION("""COMPUTED_VALUE"""),"4250141163133")</f>
        <v>4250141163133</v>
      </c>
      <c r="C332" t="str">
        <f>IFERROR(__xludf.DUMMYFUNCTION("""COMPUTED_VALUE"""),"Westfalia/Witter")</f>
        <v>Westfalia/Witter</v>
      </c>
    </row>
    <row r="333">
      <c r="A333" t="str">
        <f>IFERROR(__xludf.DUMMYFUNCTION("""COMPUTED_VALUE"""),"306350600001")</f>
        <v>306350600001</v>
      </c>
      <c r="B333" s="226" t="str">
        <f>IFERROR(__xludf.DUMMYFUNCTION("""COMPUTED_VALUE"""),"4250141163201")</f>
        <v>4250141163201</v>
      </c>
      <c r="C333" t="str">
        <f>IFERROR(__xludf.DUMMYFUNCTION("""COMPUTED_VALUE"""),"Westfalia/Witter")</f>
        <v>Westfalia/Witter</v>
      </c>
    </row>
    <row r="334">
      <c r="A334" t="str">
        <f>IFERROR(__xludf.DUMMYFUNCTION("""COMPUTED_VALUE"""),"345059600001")</f>
        <v>345059600001</v>
      </c>
      <c r="B334" s="226" t="str">
        <f>IFERROR(__xludf.DUMMYFUNCTION("""COMPUTED_VALUE"""),"4250141163218")</f>
        <v>4250141163218</v>
      </c>
      <c r="C334" t="str">
        <f>IFERROR(__xludf.DUMMYFUNCTION("""COMPUTED_VALUE"""),"Westfalia/Witter")</f>
        <v>Westfalia/Witter</v>
      </c>
    </row>
    <row r="335">
      <c r="A335" t="str">
        <f>IFERROR(__xludf.DUMMYFUNCTION("""COMPUTED_VALUE"""),"303327600001")</f>
        <v>303327600001</v>
      </c>
      <c r="B335" s="226" t="str">
        <f>IFERROR(__xludf.DUMMYFUNCTION("""COMPUTED_VALUE"""),"4250141164659")</f>
        <v>4250141164659</v>
      </c>
      <c r="C335" t="str">
        <f>IFERROR(__xludf.DUMMYFUNCTION("""COMPUTED_VALUE"""),"Westfalia/Witter")</f>
        <v>Westfalia/Witter</v>
      </c>
    </row>
    <row r="336">
      <c r="A336" t="str">
        <f>IFERROR(__xludf.DUMMYFUNCTION("""COMPUTED_VALUE"""),"340089600001")</f>
        <v>340089600001</v>
      </c>
      <c r="B336" s="226" t="str">
        <f>IFERROR(__xludf.DUMMYFUNCTION("""COMPUTED_VALUE"""),"4250141165373")</f>
        <v>4250141165373</v>
      </c>
      <c r="C336" t="str">
        <f>IFERROR(__xludf.DUMMYFUNCTION("""COMPUTED_VALUE"""),"Westfalia/Witter")</f>
        <v>Westfalia/Witter</v>
      </c>
    </row>
    <row r="337">
      <c r="A337" t="str">
        <f>IFERROR(__xludf.DUMMYFUNCTION("""COMPUTED_VALUE"""),"346056600001")</f>
        <v>346056600001</v>
      </c>
      <c r="B337" s="226" t="str">
        <f>IFERROR(__xludf.DUMMYFUNCTION("""COMPUTED_VALUE"""),"4250141166868")</f>
        <v>4250141166868</v>
      </c>
      <c r="C337" t="str">
        <f>IFERROR(__xludf.DUMMYFUNCTION("""COMPUTED_VALUE"""),"Westfalia/Witter")</f>
        <v>Westfalia/Witter</v>
      </c>
    </row>
    <row r="338">
      <c r="A338" t="str">
        <f>IFERROR(__xludf.DUMMYFUNCTION("""COMPUTED_VALUE"""),"307397600001")</f>
        <v>307397600001</v>
      </c>
      <c r="B338" s="226" t="str">
        <f>IFERROR(__xludf.DUMMYFUNCTION("""COMPUTED_VALUE"""),"4250141166882")</f>
        <v>4250141166882</v>
      </c>
      <c r="C338" t="str">
        <f>IFERROR(__xludf.DUMMYFUNCTION("""COMPUTED_VALUE"""),"Westfalia/Witter")</f>
        <v>Westfalia/Witter</v>
      </c>
    </row>
    <row r="339">
      <c r="A339" t="str">
        <f>IFERROR(__xludf.DUMMYFUNCTION("""COMPUTED_VALUE"""),"314361600001")</f>
        <v>314361600001</v>
      </c>
      <c r="B339" s="226" t="str">
        <f>IFERROR(__xludf.DUMMYFUNCTION("""COMPUTED_VALUE"""),"4250141166929")</f>
        <v>4250141166929</v>
      </c>
      <c r="C339" t="str">
        <f>IFERROR(__xludf.DUMMYFUNCTION("""COMPUTED_VALUE"""),"Westfalia/Witter")</f>
        <v>Westfalia/Witter</v>
      </c>
    </row>
    <row r="340">
      <c r="A340" t="str">
        <f>IFERROR(__xludf.DUMMYFUNCTION("""COMPUTED_VALUE"""),"314362600001")</f>
        <v>314362600001</v>
      </c>
      <c r="B340" s="226" t="str">
        <f>IFERROR(__xludf.DUMMYFUNCTION("""COMPUTED_VALUE"""),"4250141167308")</f>
        <v>4250141167308</v>
      </c>
      <c r="C340" t="str">
        <f>IFERROR(__xludf.DUMMYFUNCTION("""COMPUTED_VALUE"""),"Westfalia/Witter")</f>
        <v>Westfalia/Witter</v>
      </c>
    </row>
    <row r="341">
      <c r="A341" t="str">
        <f>IFERROR(__xludf.DUMMYFUNCTION("""COMPUTED_VALUE"""),"321768600001")</f>
        <v>321768600001</v>
      </c>
      <c r="B341" s="226" t="str">
        <f>IFERROR(__xludf.DUMMYFUNCTION("""COMPUTED_VALUE"""),"4250141167339")</f>
        <v>4250141167339</v>
      </c>
      <c r="C341" t="str">
        <f>IFERROR(__xludf.DUMMYFUNCTION("""COMPUTED_VALUE"""),"Westfalia/Witter")</f>
        <v>Westfalia/Witter</v>
      </c>
    </row>
    <row r="342">
      <c r="A342" t="str">
        <f>IFERROR(__xludf.DUMMYFUNCTION("""COMPUTED_VALUE"""),"338091600001")</f>
        <v>338091600001</v>
      </c>
      <c r="B342" s="226" t="str">
        <f>IFERROR(__xludf.DUMMYFUNCTION("""COMPUTED_VALUE"""),"4250141167841")</f>
        <v>4250141167841</v>
      </c>
      <c r="C342" t="str">
        <f>IFERROR(__xludf.DUMMYFUNCTION("""COMPUTED_VALUE"""),"Westfalia/Witter")</f>
        <v>Westfalia/Witter</v>
      </c>
    </row>
    <row r="343">
      <c r="A343" t="str">
        <f>IFERROR(__xludf.DUMMYFUNCTION("""COMPUTED_VALUE"""),"303330600001")</f>
        <v>303330600001</v>
      </c>
      <c r="B343" s="226" t="str">
        <f>IFERROR(__xludf.DUMMYFUNCTION("""COMPUTED_VALUE"""),"4250141168244")</f>
        <v>4250141168244</v>
      </c>
      <c r="C343" t="str">
        <f>IFERROR(__xludf.DUMMYFUNCTION("""COMPUTED_VALUE"""),"Westfalia/Witter")</f>
        <v>Westfalia/Witter</v>
      </c>
    </row>
    <row r="344">
      <c r="A344" t="str">
        <f>IFERROR(__xludf.DUMMYFUNCTION("""COMPUTED_VALUE"""),"303330600001")</f>
        <v>303330600001</v>
      </c>
      <c r="B344" s="226" t="str">
        <f>IFERROR(__xludf.DUMMYFUNCTION("""COMPUTED_VALUE"""),"4250141168244")</f>
        <v>4250141168244</v>
      </c>
      <c r="C344" t="str">
        <f>IFERROR(__xludf.DUMMYFUNCTION("""COMPUTED_VALUE"""),"Westfalia/Witter")</f>
        <v>Westfalia/Witter</v>
      </c>
    </row>
    <row r="345">
      <c r="A345" t="str">
        <f>IFERROR(__xludf.DUMMYFUNCTION("""COMPUTED_VALUE"""),"314364600001")</f>
        <v>314364600001</v>
      </c>
      <c r="B345" s="226" t="str">
        <f>IFERROR(__xludf.DUMMYFUNCTION("""COMPUTED_VALUE"""),"4250141168275")</f>
        <v>4250141168275</v>
      </c>
      <c r="C345" t="str">
        <f>IFERROR(__xludf.DUMMYFUNCTION("""COMPUTED_VALUE"""),"Westfalia/Witter")</f>
        <v>Westfalia/Witter</v>
      </c>
    </row>
    <row r="346">
      <c r="A346" t="str">
        <f>IFERROR(__xludf.DUMMYFUNCTION("""COMPUTED_VALUE"""),"314364600001")</f>
        <v>314364600001</v>
      </c>
      <c r="B346" s="226" t="str">
        <f>IFERROR(__xludf.DUMMYFUNCTION("""COMPUTED_VALUE"""),"4250141168275")</f>
        <v>4250141168275</v>
      </c>
      <c r="C346" t="str">
        <f>IFERROR(__xludf.DUMMYFUNCTION("""COMPUTED_VALUE"""),"Westfalia/Witter")</f>
        <v>Westfalia/Witter</v>
      </c>
    </row>
    <row r="347">
      <c r="A347" t="str">
        <f>IFERROR(__xludf.DUMMYFUNCTION("""COMPUTED_VALUE"""),"314364600001")</f>
        <v>314364600001</v>
      </c>
      <c r="B347" s="226" t="str">
        <f>IFERROR(__xludf.DUMMYFUNCTION("""COMPUTED_VALUE"""),"4250141168275")</f>
        <v>4250141168275</v>
      </c>
      <c r="C347" t="str">
        <f>IFERROR(__xludf.DUMMYFUNCTION("""COMPUTED_VALUE"""),"Westfalia/Witter")</f>
        <v>Westfalia/Witter</v>
      </c>
    </row>
    <row r="348">
      <c r="A348" t="str">
        <f>IFERROR(__xludf.DUMMYFUNCTION("""COMPUTED_VALUE"""),"313341600001")</f>
        <v>313341600001</v>
      </c>
      <c r="B348" s="226" t="str">
        <f>IFERROR(__xludf.DUMMYFUNCTION("""COMPUTED_VALUE"""),"4250141168701")</f>
        <v>4250141168701</v>
      </c>
      <c r="C348" t="str">
        <f>IFERROR(__xludf.DUMMYFUNCTION("""COMPUTED_VALUE"""),"Westfalia/Witter")</f>
        <v>Westfalia/Witter</v>
      </c>
    </row>
    <row r="349">
      <c r="A349" t="str">
        <f>IFERROR(__xludf.DUMMYFUNCTION("""COMPUTED_VALUE"""),"343063600001")</f>
        <v>343063600001</v>
      </c>
      <c r="B349" s="226" t="str">
        <f>IFERROR(__xludf.DUMMYFUNCTION("""COMPUTED_VALUE"""),"4250141168831")</f>
        <v>4250141168831</v>
      </c>
      <c r="C349" t="str">
        <f>IFERROR(__xludf.DUMMYFUNCTION("""COMPUTED_VALUE"""),"Westfalia/Witter")</f>
        <v>Westfalia/Witter</v>
      </c>
    </row>
    <row r="350">
      <c r="A350" t="str">
        <f>IFERROR(__xludf.DUMMYFUNCTION("""COMPUTED_VALUE"""),"343064600001")</f>
        <v>343064600001</v>
      </c>
      <c r="B350" s="226" t="str">
        <f>IFERROR(__xludf.DUMMYFUNCTION("""COMPUTED_VALUE"""),"4250141168855")</f>
        <v>4250141168855</v>
      </c>
      <c r="C350" t="str">
        <f>IFERROR(__xludf.DUMMYFUNCTION("""COMPUTED_VALUE"""),"Westfalia/Witter")</f>
        <v>Westfalia/Witter</v>
      </c>
    </row>
    <row r="351">
      <c r="A351" t="str">
        <f>IFERROR(__xludf.DUMMYFUNCTION("""COMPUTED_VALUE"""),"313340600001")</f>
        <v>313340600001</v>
      </c>
      <c r="B351" s="226" t="str">
        <f>IFERROR(__xludf.DUMMYFUNCTION("""COMPUTED_VALUE"""),"4250141169081")</f>
        <v>4250141169081</v>
      </c>
      <c r="C351" t="str">
        <f>IFERROR(__xludf.DUMMYFUNCTION("""COMPUTED_VALUE"""),"Westfalia/Witter")</f>
        <v>Westfalia/Witter</v>
      </c>
    </row>
    <row r="352">
      <c r="A352" t="str">
        <f>IFERROR(__xludf.DUMMYFUNCTION("""COMPUTED_VALUE"""),"314372600001")</f>
        <v>314372600001</v>
      </c>
      <c r="B352" s="226" t="str">
        <f>IFERROR(__xludf.DUMMYFUNCTION("""COMPUTED_VALUE"""),"4250141169234")</f>
        <v>4250141169234</v>
      </c>
      <c r="C352" t="str">
        <f>IFERROR(__xludf.DUMMYFUNCTION("""COMPUTED_VALUE"""),"Westfalia/Witter")</f>
        <v>Westfalia/Witter</v>
      </c>
    </row>
    <row r="353">
      <c r="A353" t="str">
        <f>IFERROR(__xludf.DUMMYFUNCTION("""COMPUTED_VALUE"""),"316286600001")</f>
        <v>316286600001</v>
      </c>
      <c r="B353" s="226" t="str">
        <f>IFERROR(__xludf.DUMMYFUNCTION("""COMPUTED_VALUE"""),"4250141169289")</f>
        <v>4250141169289</v>
      </c>
      <c r="C353" t="str">
        <f>IFERROR(__xludf.DUMMYFUNCTION("""COMPUTED_VALUE"""),"Westfalia/Witter")</f>
        <v>Westfalia/Witter</v>
      </c>
    </row>
    <row r="354">
      <c r="A354" t="str">
        <f>IFERROR(__xludf.DUMMYFUNCTION("""COMPUTED_VALUE"""),"321775600001")</f>
        <v>321775600001</v>
      </c>
      <c r="B354" s="226" t="str">
        <f>IFERROR(__xludf.DUMMYFUNCTION("""COMPUTED_VALUE"""),"4250141169548")</f>
        <v>4250141169548</v>
      </c>
      <c r="C354" t="str">
        <f>IFERROR(__xludf.DUMMYFUNCTION("""COMPUTED_VALUE"""),"Westfalia/Witter")</f>
        <v>Westfalia/Witter</v>
      </c>
    </row>
    <row r="355">
      <c r="A355" t="str">
        <f>IFERROR(__xludf.DUMMYFUNCTION("""COMPUTED_VALUE"""),"321775600001")</f>
        <v>321775600001</v>
      </c>
      <c r="B355" s="226" t="str">
        <f>IFERROR(__xludf.DUMMYFUNCTION("""COMPUTED_VALUE"""),"4250141169548")</f>
        <v>4250141169548</v>
      </c>
      <c r="C355" t="str">
        <f>IFERROR(__xludf.DUMMYFUNCTION("""COMPUTED_VALUE"""),"Westfalia/Witter")</f>
        <v>Westfalia/Witter</v>
      </c>
    </row>
    <row r="356">
      <c r="A356" t="str">
        <f>IFERROR(__xludf.DUMMYFUNCTION("""COMPUTED_VALUE"""),"307429600001")</f>
        <v>307429600001</v>
      </c>
      <c r="B356" s="226" t="str">
        <f>IFERROR(__xludf.DUMMYFUNCTION("""COMPUTED_VALUE"""),"4250141169920")</f>
        <v>4250141169920</v>
      </c>
      <c r="C356" t="str">
        <f>IFERROR(__xludf.DUMMYFUNCTION("""COMPUTED_VALUE"""),"Westfalia/Witter")</f>
        <v>Westfalia/Witter</v>
      </c>
    </row>
    <row r="357">
      <c r="A357" t="str">
        <f>IFERROR(__xludf.DUMMYFUNCTION("""COMPUTED_VALUE"""),"307431600001")</f>
        <v>307431600001</v>
      </c>
      <c r="B357" s="226" t="str">
        <f>IFERROR(__xludf.DUMMYFUNCTION("""COMPUTED_VALUE"""),"4250141169975")</f>
        <v>4250141169975</v>
      </c>
      <c r="C357" t="str">
        <f>IFERROR(__xludf.DUMMYFUNCTION("""COMPUTED_VALUE"""),"Westfalia/Witter")</f>
        <v>Westfalia/Witter</v>
      </c>
    </row>
    <row r="358">
      <c r="A358" t="str">
        <f>IFERROR(__xludf.DUMMYFUNCTION("""COMPUTED_VALUE"""),"307430600001")</f>
        <v>307430600001</v>
      </c>
      <c r="B358" s="226" t="str">
        <f>IFERROR(__xludf.DUMMYFUNCTION("""COMPUTED_VALUE"""),"4250141170032")</f>
        <v>4250141170032</v>
      </c>
      <c r="C358" t="str">
        <f>IFERROR(__xludf.DUMMYFUNCTION("""COMPUTED_VALUE"""),"Westfalia/Witter")</f>
        <v>Westfalia/Witter</v>
      </c>
    </row>
    <row r="359">
      <c r="A359" t="str">
        <f>IFERROR(__xludf.DUMMYFUNCTION("""COMPUTED_VALUE"""),"304127600001")</f>
        <v>304127600001</v>
      </c>
      <c r="B359" s="226" t="str">
        <f>IFERROR(__xludf.DUMMYFUNCTION("""COMPUTED_VALUE"""),"4250141171350")</f>
        <v>4250141171350</v>
      </c>
      <c r="C359" t="str">
        <f>IFERROR(__xludf.DUMMYFUNCTION("""COMPUTED_VALUE"""),"Westfalia/Witter")</f>
        <v>Westfalia/Witter</v>
      </c>
    </row>
    <row r="360">
      <c r="A360" t="str">
        <f>IFERROR(__xludf.DUMMYFUNCTION("""COMPUTED_VALUE"""),"306366600001")</f>
        <v>306366600001</v>
      </c>
      <c r="B360" s="226" t="str">
        <f>IFERROR(__xludf.DUMMYFUNCTION("""COMPUTED_VALUE"""),"4250141172975")</f>
        <v>4250141172975</v>
      </c>
      <c r="C360" t="str">
        <f>IFERROR(__xludf.DUMMYFUNCTION("""COMPUTED_VALUE"""),"Westfalia/Witter")</f>
        <v>Westfalia/Witter</v>
      </c>
    </row>
    <row r="361">
      <c r="A361" t="str">
        <f>IFERROR(__xludf.DUMMYFUNCTION("""COMPUTED_VALUE"""),"304129600001")</f>
        <v>304129600001</v>
      </c>
      <c r="B361" s="226" t="str">
        <f>IFERROR(__xludf.DUMMYFUNCTION("""COMPUTED_VALUE"""),"4250141173231")</f>
        <v>4250141173231</v>
      </c>
      <c r="C361" t="str">
        <f>IFERROR(__xludf.DUMMYFUNCTION("""COMPUTED_VALUE"""),"Westfalia/Witter")</f>
        <v>Westfalia/Witter</v>
      </c>
    </row>
    <row r="362">
      <c r="A362" t="str">
        <f>IFERROR(__xludf.DUMMYFUNCTION("""COMPUTED_VALUE"""),"304130600001")</f>
        <v>304130600001</v>
      </c>
      <c r="B362" s="226" t="str">
        <f>IFERROR(__xludf.DUMMYFUNCTION("""COMPUTED_VALUE"""),"4250141173248")</f>
        <v>4250141173248</v>
      </c>
      <c r="C362" t="str">
        <f>IFERROR(__xludf.DUMMYFUNCTION("""COMPUTED_VALUE"""),"Westfalia/Witter")</f>
        <v>Westfalia/Witter</v>
      </c>
    </row>
    <row r="363">
      <c r="A363" t="str">
        <f>IFERROR(__xludf.DUMMYFUNCTION("""COMPUTED_VALUE"""),"304131600001")</f>
        <v>304131600001</v>
      </c>
      <c r="B363" s="226" t="str">
        <f>IFERROR(__xludf.DUMMYFUNCTION("""COMPUTED_VALUE"""),"4250141173255")</f>
        <v>4250141173255</v>
      </c>
      <c r="C363" t="str">
        <f>IFERROR(__xludf.DUMMYFUNCTION("""COMPUTED_VALUE"""),"Westfalia/Witter")</f>
        <v>Westfalia/Witter</v>
      </c>
    </row>
    <row r="364">
      <c r="A364" t="str">
        <f>IFERROR(__xludf.DUMMYFUNCTION("""COMPUTED_VALUE"""),"304131600001")</f>
        <v>304131600001</v>
      </c>
      <c r="B364" s="226" t="str">
        <f>IFERROR(__xludf.DUMMYFUNCTION("""COMPUTED_VALUE"""),"4250141173255")</f>
        <v>4250141173255</v>
      </c>
      <c r="C364" t="str">
        <f>IFERROR(__xludf.DUMMYFUNCTION("""COMPUTED_VALUE"""),"Westfalia/Witter")</f>
        <v>Westfalia/Witter</v>
      </c>
    </row>
    <row r="365">
      <c r="A365" t="str">
        <f>IFERROR(__xludf.DUMMYFUNCTION("""COMPUTED_VALUE"""),"303430600001")</f>
        <v>303430600001</v>
      </c>
      <c r="B365" s="226" t="str">
        <f>IFERROR(__xludf.DUMMYFUNCTION("""COMPUTED_VALUE"""),"4250141174115")</f>
        <v>4250141174115</v>
      </c>
      <c r="C365" t="str">
        <f>IFERROR(__xludf.DUMMYFUNCTION("""COMPUTED_VALUE"""),"Westfalia/Witter")</f>
        <v>Westfalia/Witter</v>
      </c>
    </row>
    <row r="366">
      <c r="A366" t="str">
        <f>IFERROR(__xludf.DUMMYFUNCTION("""COMPUTED_VALUE"""),"345065600001")</f>
        <v>345065600001</v>
      </c>
      <c r="B366" s="226" t="str">
        <f>IFERROR(__xludf.DUMMYFUNCTION("""COMPUTED_VALUE"""),"4250141174153")</f>
        <v>4250141174153</v>
      </c>
      <c r="C366" t="str">
        <f>IFERROR(__xludf.DUMMYFUNCTION("""COMPUTED_VALUE"""),"Westfalia/Witter")</f>
        <v>Westfalia/Witter</v>
      </c>
    </row>
    <row r="367">
      <c r="A367" t="str">
        <f>IFERROR(__xludf.DUMMYFUNCTION("""COMPUTED_VALUE"""),"345065600001")</f>
        <v>345065600001</v>
      </c>
      <c r="B367" s="226" t="str">
        <f>IFERROR(__xludf.DUMMYFUNCTION("""COMPUTED_VALUE"""),"4250141174153")</f>
        <v>4250141174153</v>
      </c>
      <c r="C367" t="str">
        <f>IFERROR(__xludf.DUMMYFUNCTION("""COMPUTED_VALUE"""),"Westfalia/Witter")</f>
        <v>Westfalia/Witter</v>
      </c>
    </row>
    <row r="368">
      <c r="A368" t="str">
        <f>IFERROR(__xludf.DUMMYFUNCTION("""COMPUTED_VALUE"""),"304133600001")</f>
        <v>304133600001</v>
      </c>
      <c r="B368" s="226" t="str">
        <f>IFERROR(__xludf.DUMMYFUNCTION("""COMPUTED_VALUE"""),"4250141174504")</f>
        <v>4250141174504</v>
      </c>
      <c r="C368" t="str">
        <f>IFERROR(__xludf.DUMMYFUNCTION("""COMPUTED_VALUE"""),"Westfalia/Witter")</f>
        <v>Westfalia/Witter</v>
      </c>
    </row>
    <row r="369">
      <c r="A369" t="str">
        <f>IFERROR(__xludf.DUMMYFUNCTION("""COMPUTED_VALUE"""),"304133600001")</f>
        <v>304133600001</v>
      </c>
      <c r="B369" s="226" t="str">
        <f>IFERROR(__xludf.DUMMYFUNCTION("""COMPUTED_VALUE"""),"4250141174504")</f>
        <v>4250141174504</v>
      </c>
      <c r="C369" t="str">
        <f>IFERROR(__xludf.DUMMYFUNCTION("""COMPUTED_VALUE"""),"Westfalia/Witter")</f>
        <v>Westfalia/Witter</v>
      </c>
    </row>
    <row r="370">
      <c r="A370" t="str">
        <f>IFERROR(__xludf.DUMMYFUNCTION("""COMPUTED_VALUE"""),"304133600001")</f>
        <v>304133600001</v>
      </c>
      <c r="B370" s="226" t="str">
        <f>IFERROR(__xludf.DUMMYFUNCTION("""COMPUTED_VALUE"""),"4250141174504")</f>
        <v>4250141174504</v>
      </c>
      <c r="C370" t="str">
        <f>IFERROR(__xludf.DUMMYFUNCTION("""COMPUTED_VALUE"""),"Westfalia/Witter")</f>
        <v>Westfalia/Witter</v>
      </c>
    </row>
    <row r="371">
      <c r="A371" t="str">
        <f>IFERROR(__xludf.DUMMYFUNCTION("""COMPUTED_VALUE"""),"304135600001")</f>
        <v>304135600001</v>
      </c>
      <c r="B371" s="226" t="str">
        <f>IFERROR(__xludf.DUMMYFUNCTION("""COMPUTED_VALUE"""),"4250141174528")</f>
        <v>4250141174528</v>
      </c>
      <c r="C371" t="str">
        <f>IFERROR(__xludf.DUMMYFUNCTION("""COMPUTED_VALUE"""),"Westfalia/Witter")</f>
        <v>Westfalia/Witter</v>
      </c>
    </row>
    <row r="372">
      <c r="A372" t="str">
        <f>IFERROR(__xludf.DUMMYFUNCTION("""COMPUTED_VALUE"""),"304135600001")</f>
        <v>304135600001</v>
      </c>
      <c r="B372" s="226" t="str">
        <f>IFERROR(__xludf.DUMMYFUNCTION("""COMPUTED_VALUE"""),"4250141174528")</f>
        <v>4250141174528</v>
      </c>
      <c r="C372" t="str">
        <f>IFERROR(__xludf.DUMMYFUNCTION("""COMPUTED_VALUE"""),"Westfalia/Witter")</f>
        <v>Westfalia/Witter</v>
      </c>
    </row>
    <row r="373">
      <c r="A373" t="str">
        <f>IFERROR(__xludf.DUMMYFUNCTION("""COMPUTED_VALUE"""),"304135600001")</f>
        <v>304135600001</v>
      </c>
      <c r="B373" s="226" t="str">
        <f>IFERROR(__xludf.DUMMYFUNCTION("""COMPUTED_VALUE"""),"4250141174528")</f>
        <v>4250141174528</v>
      </c>
      <c r="C373" t="str">
        <f>IFERROR(__xludf.DUMMYFUNCTION("""COMPUTED_VALUE"""),"Westfalia/Witter")</f>
        <v>Westfalia/Witter</v>
      </c>
    </row>
    <row r="374">
      <c r="A374" t="str">
        <f>IFERROR(__xludf.DUMMYFUNCTION("""COMPUTED_VALUE"""),"304135600001")</f>
        <v>304135600001</v>
      </c>
      <c r="B374" s="226" t="str">
        <f>IFERROR(__xludf.DUMMYFUNCTION("""COMPUTED_VALUE"""),"4250141174528")</f>
        <v>4250141174528</v>
      </c>
      <c r="C374" t="str">
        <f>IFERROR(__xludf.DUMMYFUNCTION("""COMPUTED_VALUE"""),"Westfalia/Witter")</f>
        <v>Westfalia/Witter</v>
      </c>
    </row>
    <row r="375">
      <c r="A375" t="str">
        <f>IFERROR(__xludf.DUMMYFUNCTION("""COMPUTED_VALUE"""),"314389600001")</f>
        <v>314389600001</v>
      </c>
      <c r="B375" s="226" t="str">
        <f>IFERROR(__xludf.DUMMYFUNCTION("""COMPUTED_VALUE"""),"4250141174566")</f>
        <v>4250141174566</v>
      </c>
      <c r="C375" t="str">
        <f>IFERROR(__xludf.DUMMYFUNCTION("""COMPUTED_VALUE"""),"Westfalia/Witter")</f>
        <v>Westfalia/Witter</v>
      </c>
    </row>
    <row r="376">
      <c r="A376" t="str">
        <f>IFERROR(__xludf.DUMMYFUNCTION("""COMPUTED_VALUE"""),"314392600001")</f>
        <v>314392600001</v>
      </c>
      <c r="B376" s="226" t="str">
        <f>IFERROR(__xludf.DUMMYFUNCTION("""COMPUTED_VALUE"""),"4250141175495")</f>
        <v>4250141175495</v>
      </c>
      <c r="C376" t="str">
        <f>IFERROR(__xludf.DUMMYFUNCTION("""COMPUTED_VALUE"""),"Westfalia/Witter")</f>
        <v>Westfalia/Witter</v>
      </c>
    </row>
    <row r="377">
      <c r="A377" t="str">
        <f>IFERROR(__xludf.DUMMYFUNCTION("""COMPUTED_VALUE"""),"313361600001")</f>
        <v>313361600001</v>
      </c>
      <c r="B377" s="226" t="str">
        <f>IFERROR(__xludf.DUMMYFUNCTION("""COMPUTED_VALUE"""),"4250141175501")</f>
        <v>4250141175501</v>
      </c>
      <c r="C377" t="str">
        <f>IFERROR(__xludf.DUMMYFUNCTION("""COMPUTED_VALUE"""),"Westfalia/Witter")</f>
        <v>Westfalia/Witter</v>
      </c>
    </row>
    <row r="378">
      <c r="A378" t="str">
        <f>IFERROR(__xludf.DUMMYFUNCTION("""COMPUTED_VALUE"""),"314394600001")</f>
        <v>314394600001</v>
      </c>
      <c r="B378" s="226" t="str">
        <f>IFERROR(__xludf.DUMMYFUNCTION("""COMPUTED_VALUE"""),"4250141175518")</f>
        <v>4250141175518</v>
      </c>
      <c r="C378" t="str">
        <f>IFERROR(__xludf.DUMMYFUNCTION("""COMPUTED_VALUE"""),"Westfalia/Witter")</f>
        <v>Westfalia/Witter</v>
      </c>
    </row>
    <row r="379">
      <c r="A379" t="str">
        <f>IFERROR(__xludf.DUMMYFUNCTION("""COMPUTED_VALUE"""),"303336600001")</f>
        <v>303336600001</v>
      </c>
      <c r="B379" s="226" t="str">
        <f>IFERROR(__xludf.DUMMYFUNCTION("""COMPUTED_VALUE"""),"4250141175525")</f>
        <v>4250141175525</v>
      </c>
      <c r="C379" t="str">
        <f>IFERROR(__xludf.DUMMYFUNCTION("""COMPUTED_VALUE"""),"Westfalia/Witter")</f>
        <v>Westfalia/Witter</v>
      </c>
    </row>
    <row r="380">
      <c r="A380" t="str">
        <f>IFERROR(__xludf.DUMMYFUNCTION("""COMPUTED_VALUE"""),"303339600001")</f>
        <v>303339600001</v>
      </c>
      <c r="B380" s="226" t="str">
        <f>IFERROR(__xludf.DUMMYFUNCTION("""COMPUTED_VALUE"""),"4250141175570")</f>
        <v>4250141175570</v>
      </c>
      <c r="C380" t="str">
        <f>IFERROR(__xludf.DUMMYFUNCTION("""COMPUTED_VALUE"""),"Westfalia/Witter")</f>
        <v>Westfalia/Witter</v>
      </c>
    </row>
    <row r="381">
      <c r="A381" t="str">
        <f>IFERROR(__xludf.DUMMYFUNCTION("""COMPUTED_VALUE"""),"306372600001")</f>
        <v>306372600001</v>
      </c>
      <c r="B381" s="226" t="str">
        <f>IFERROR(__xludf.DUMMYFUNCTION("""COMPUTED_VALUE"""),"4250141175594")</f>
        <v>4250141175594</v>
      </c>
      <c r="C381" t="str">
        <f>IFERROR(__xludf.DUMMYFUNCTION("""COMPUTED_VALUE"""),"Westfalia/Witter")</f>
        <v>Westfalia/Witter</v>
      </c>
    </row>
    <row r="382">
      <c r="A382" t="str">
        <f>IFERROR(__xludf.DUMMYFUNCTION("""COMPUTED_VALUE"""),"306375600001")</f>
        <v>306375600001</v>
      </c>
      <c r="B382" s="226" t="str">
        <f>IFERROR(__xludf.DUMMYFUNCTION("""COMPUTED_VALUE"""),"4250141175600")</f>
        <v>4250141175600</v>
      </c>
      <c r="C382" t="str">
        <f>IFERROR(__xludf.DUMMYFUNCTION("""COMPUTED_VALUE"""),"Westfalia/Witter")</f>
        <v>Westfalia/Witter</v>
      </c>
    </row>
    <row r="383">
      <c r="A383" t="str">
        <f>IFERROR(__xludf.DUMMYFUNCTION("""COMPUTED_VALUE"""),"306375600001")</f>
        <v>306375600001</v>
      </c>
      <c r="B383" s="226" t="str">
        <f>IFERROR(__xludf.DUMMYFUNCTION("""COMPUTED_VALUE"""),"4250141175600")</f>
        <v>4250141175600</v>
      </c>
      <c r="C383" t="str">
        <f>IFERROR(__xludf.DUMMYFUNCTION("""COMPUTED_VALUE"""),"Westfalia/Witter")</f>
        <v>Westfalia/Witter</v>
      </c>
    </row>
    <row r="384">
      <c r="A384" t="str">
        <f>IFERROR(__xludf.DUMMYFUNCTION("""COMPUTED_VALUE"""),"306375600001")</f>
        <v>306375600001</v>
      </c>
      <c r="B384" s="226" t="str">
        <f>IFERROR(__xludf.DUMMYFUNCTION("""COMPUTED_VALUE"""),"4250141175600")</f>
        <v>4250141175600</v>
      </c>
      <c r="C384" t="str">
        <f>IFERROR(__xludf.DUMMYFUNCTION("""COMPUTED_VALUE"""),"Westfalia/Witter")</f>
        <v>Westfalia/Witter</v>
      </c>
    </row>
    <row r="385">
      <c r="A385" t="str">
        <f>IFERROR(__xludf.DUMMYFUNCTION("""COMPUTED_VALUE"""),"306374600001")</f>
        <v>306374600001</v>
      </c>
      <c r="B385" s="226" t="str">
        <f>IFERROR(__xludf.DUMMYFUNCTION("""COMPUTED_VALUE"""),"4250141175617")</f>
        <v>4250141175617</v>
      </c>
      <c r="C385" t="str">
        <f>IFERROR(__xludf.DUMMYFUNCTION("""COMPUTED_VALUE"""),"Westfalia/Witter")</f>
        <v>Westfalia/Witter</v>
      </c>
    </row>
    <row r="386">
      <c r="A386" t="str">
        <f>IFERROR(__xludf.DUMMYFUNCTION("""COMPUTED_VALUE"""),"306374600001")</f>
        <v>306374600001</v>
      </c>
      <c r="B386" s="226" t="str">
        <f>IFERROR(__xludf.DUMMYFUNCTION("""COMPUTED_VALUE"""),"4250141175617")</f>
        <v>4250141175617</v>
      </c>
      <c r="C386" t="str">
        <f>IFERROR(__xludf.DUMMYFUNCTION("""COMPUTED_VALUE"""),"Westfalia/Witter")</f>
        <v>Westfalia/Witter</v>
      </c>
    </row>
    <row r="387">
      <c r="A387" t="str">
        <f>IFERROR(__xludf.DUMMYFUNCTION("""COMPUTED_VALUE"""),"306374600001")</f>
        <v>306374600001</v>
      </c>
      <c r="B387" s="226" t="str">
        <f>IFERROR(__xludf.DUMMYFUNCTION("""COMPUTED_VALUE"""),"4250141175617")</f>
        <v>4250141175617</v>
      </c>
      <c r="C387" t="str">
        <f>IFERROR(__xludf.DUMMYFUNCTION("""COMPUTED_VALUE"""),"Westfalia/Witter")</f>
        <v>Westfalia/Witter</v>
      </c>
    </row>
    <row r="388">
      <c r="A388" t="str">
        <f>IFERROR(__xludf.DUMMYFUNCTION("""COMPUTED_VALUE"""),"306369600001")</f>
        <v>306369600001</v>
      </c>
      <c r="B388" s="226" t="str">
        <f>IFERROR(__xludf.DUMMYFUNCTION("""COMPUTED_VALUE"""),"4250141175631")</f>
        <v>4250141175631</v>
      </c>
      <c r="C388" t="str">
        <f>IFERROR(__xludf.DUMMYFUNCTION("""COMPUTED_VALUE"""),"Westfalia/Witter")</f>
        <v>Westfalia/Witter</v>
      </c>
    </row>
    <row r="389">
      <c r="A389" t="str">
        <f>IFERROR(__xludf.DUMMYFUNCTION("""COMPUTED_VALUE"""),"306369600001")</f>
        <v>306369600001</v>
      </c>
      <c r="B389" s="226" t="str">
        <f>IFERROR(__xludf.DUMMYFUNCTION("""COMPUTED_VALUE"""),"4250141175631")</f>
        <v>4250141175631</v>
      </c>
      <c r="C389" t="str">
        <f>IFERROR(__xludf.DUMMYFUNCTION("""COMPUTED_VALUE"""),"Westfalia/Witter")</f>
        <v>Westfalia/Witter</v>
      </c>
    </row>
    <row r="390">
      <c r="A390" t="str">
        <f>IFERROR(__xludf.DUMMYFUNCTION("""COMPUTED_VALUE"""),"321735600001")</f>
        <v>321735600001</v>
      </c>
      <c r="B390" s="226" t="str">
        <f>IFERROR(__xludf.DUMMYFUNCTION("""COMPUTED_VALUE"""),"4250141175761")</f>
        <v>4250141175761</v>
      </c>
      <c r="C390" t="str">
        <f>IFERROR(__xludf.DUMMYFUNCTION("""COMPUTED_VALUE"""),"Westfalia/Witter")</f>
        <v>Westfalia/Witter</v>
      </c>
    </row>
    <row r="391">
      <c r="A391" t="str">
        <f>IFERROR(__xludf.DUMMYFUNCTION("""COMPUTED_VALUE"""),"321735600001")</f>
        <v>321735600001</v>
      </c>
      <c r="B391" s="226" t="str">
        <f>IFERROR(__xludf.DUMMYFUNCTION("""COMPUTED_VALUE"""),"4250141175761")</f>
        <v>4250141175761</v>
      </c>
      <c r="C391" t="str">
        <f>IFERROR(__xludf.DUMMYFUNCTION("""COMPUTED_VALUE"""),"Westfalia/Witter")</f>
        <v>Westfalia/Witter</v>
      </c>
    </row>
    <row r="392">
      <c r="A392" t="str">
        <f>IFERROR(__xludf.DUMMYFUNCTION("""COMPUTED_VALUE"""),"321735600001")</f>
        <v>321735600001</v>
      </c>
      <c r="B392" s="226" t="str">
        <f>IFERROR(__xludf.DUMMYFUNCTION("""COMPUTED_VALUE"""),"4250141175761")</f>
        <v>4250141175761</v>
      </c>
      <c r="C392" t="str">
        <f>IFERROR(__xludf.DUMMYFUNCTION("""COMPUTED_VALUE"""),"Westfalia/Witter")</f>
        <v>Westfalia/Witter</v>
      </c>
    </row>
    <row r="393">
      <c r="A393" t="str">
        <f>IFERROR(__xludf.DUMMYFUNCTION("""COMPUTED_VALUE"""),"321736600001")</f>
        <v>321736600001</v>
      </c>
      <c r="B393" s="226" t="str">
        <f>IFERROR(__xludf.DUMMYFUNCTION("""COMPUTED_VALUE"""),"4250141175778")</f>
        <v>4250141175778</v>
      </c>
      <c r="C393" t="str">
        <f>IFERROR(__xludf.DUMMYFUNCTION("""COMPUTED_VALUE"""),"Westfalia/Witter")</f>
        <v>Westfalia/Witter</v>
      </c>
    </row>
    <row r="394">
      <c r="A394" t="str">
        <f>IFERROR(__xludf.DUMMYFUNCTION("""COMPUTED_VALUE"""),"321736600001")</f>
        <v>321736600001</v>
      </c>
      <c r="B394" s="226" t="str">
        <f>IFERROR(__xludf.DUMMYFUNCTION("""COMPUTED_VALUE"""),"4250141175778")</f>
        <v>4250141175778</v>
      </c>
      <c r="C394" t="str">
        <f>IFERROR(__xludf.DUMMYFUNCTION("""COMPUTED_VALUE"""),"Westfalia/Witter")</f>
        <v>Westfalia/Witter</v>
      </c>
    </row>
    <row r="395">
      <c r="A395" t="str">
        <f>IFERROR(__xludf.DUMMYFUNCTION("""COMPUTED_VALUE"""),"321736600001")</f>
        <v>321736600001</v>
      </c>
      <c r="B395" s="226" t="str">
        <f>IFERROR(__xludf.DUMMYFUNCTION("""COMPUTED_VALUE"""),"4250141175778")</f>
        <v>4250141175778</v>
      </c>
      <c r="C395" t="str">
        <f>IFERROR(__xludf.DUMMYFUNCTION("""COMPUTED_VALUE"""),"Westfalia/Witter")</f>
        <v>Westfalia/Witter</v>
      </c>
    </row>
    <row r="396">
      <c r="A396" t="str">
        <f>IFERROR(__xludf.DUMMYFUNCTION("""COMPUTED_VALUE"""),"332303600001")</f>
        <v>332303600001</v>
      </c>
      <c r="B396" s="226" t="str">
        <f>IFERROR(__xludf.DUMMYFUNCTION("""COMPUTED_VALUE"""),"4250141175822")</f>
        <v>4250141175822</v>
      </c>
      <c r="C396" t="str">
        <f>IFERROR(__xludf.DUMMYFUNCTION("""COMPUTED_VALUE"""),"Westfalia/Witter")</f>
        <v>Westfalia/Witter</v>
      </c>
    </row>
    <row r="397">
      <c r="A397" t="str">
        <f>IFERROR(__xludf.DUMMYFUNCTION("""COMPUTED_VALUE"""),"335392600001")</f>
        <v>335392600001</v>
      </c>
      <c r="B397" s="226" t="str">
        <f>IFERROR(__xludf.DUMMYFUNCTION("""COMPUTED_VALUE"""),"4250141175839")</f>
        <v>4250141175839</v>
      </c>
      <c r="C397" t="str">
        <f>IFERROR(__xludf.DUMMYFUNCTION("""COMPUTED_VALUE"""),"Westfalia/Witter")</f>
        <v>Westfalia/Witter</v>
      </c>
    </row>
    <row r="398">
      <c r="A398" t="str">
        <f>IFERROR(__xludf.DUMMYFUNCTION("""COMPUTED_VALUE"""),"335397600001")</f>
        <v>335397600001</v>
      </c>
      <c r="B398" s="226" t="str">
        <f>IFERROR(__xludf.DUMMYFUNCTION("""COMPUTED_VALUE"""),"4250141175877")</f>
        <v>4250141175877</v>
      </c>
      <c r="C398" t="str">
        <f>IFERROR(__xludf.DUMMYFUNCTION("""COMPUTED_VALUE"""),"Westfalia/Witter")</f>
        <v>Westfalia/Witter</v>
      </c>
    </row>
    <row r="399">
      <c r="A399" t="str">
        <f>IFERROR(__xludf.DUMMYFUNCTION("""COMPUTED_VALUE"""),"304137600001")</f>
        <v>304137600001</v>
      </c>
      <c r="B399" s="226" t="str">
        <f>IFERROR(__xludf.DUMMYFUNCTION("""COMPUTED_VALUE"""),"4250141175969")</f>
        <v>4250141175969</v>
      </c>
      <c r="C399" t="str">
        <f>IFERROR(__xludf.DUMMYFUNCTION("""COMPUTED_VALUE"""),"Westfalia/Witter")</f>
        <v>Westfalia/Witter</v>
      </c>
    </row>
    <row r="400">
      <c r="A400" t="str">
        <f>IFERROR(__xludf.DUMMYFUNCTION("""COMPUTED_VALUE"""),"304137600001")</f>
        <v>304137600001</v>
      </c>
      <c r="B400" s="226" t="str">
        <f>IFERROR(__xludf.DUMMYFUNCTION("""COMPUTED_VALUE"""),"4250141175969")</f>
        <v>4250141175969</v>
      </c>
      <c r="C400" t="str">
        <f>IFERROR(__xludf.DUMMYFUNCTION("""COMPUTED_VALUE"""),"Westfalia/Witter")</f>
        <v>Westfalia/Witter</v>
      </c>
    </row>
    <row r="401">
      <c r="A401" t="str">
        <f>IFERROR(__xludf.DUMMYFUNCTION("""COMPUTED_VALUE"""),"316307600001")</f>
        <v>316307600001</v>
      </c>
      <c r="B401" s="226" t="str">
        <f>IFERROR(__xludf.DUMMYFUNCTION("""COMPUTED_VALUE"""),"4250141175976")</f>
        <v>4250141175976</v>
      </c>
      <c r="C401" t="str">
        <f>IFERROR(__xludf.DUMMYFUNCTION("""COMPUTED_VALUE"""),"Westfalia/Witter")</f>
        <v>Westfalia/Witter</v>
      </c>
    </row>
    <row r="402">
      <c r="A402" t="str">
        <f>IFERROR(__xludf.DUMMYFUNCTION("""COMPUTED_VALUE"""),"316289600001")</f>
        <v>316289600001</v>
      </c>
      <c r="B402" s="226" t="str">
        <f>IFERROR(__xludf.DUMMYFUNCTION("""COMPUTED_VALUE"""),"4250141175983")</f>
        <v>4250141175983</v>
      </c>
      <c r="C402" t="str">
        <f>IFERROR(__xludf.DUMMYFUNCTION("""COMPUTED_VALUE"""),"Westfalia/Witter")</f>
        <v>Westfalia/Witter</v>
      </c>
    </row>
    <row r="403">
      <c r="A403" t="str">
        <f>IFERROR(__xludf.DUMMYFUNCTION("""COMPUTED_VALUE"""),"316291600001")</f>
        <v>316291600001</v>
      </c>
      <c r="B403" s="226" t="str">
        <f>IFERROR(__xludf.DUMMYFUNCTION("""COMPUTED_VALUE"""),"4250141176003")</f>
        <v>4250141176003</v>
      </c>
      <c r="C403" t="str">
        <f>IFERROR(__xludf.DUMMYFUNCTION("""COMPUTED_VALUE"""),"Westfalia/Witter")</f>
        <v>Westfalia/Witter</v>
      </c>
    </row>
    <row r="404">
      <c r="A404" t="str">
        <f>IFERROR(__xludf.DUMMYFUNCTION("""COMPUTED_VALUE"""),"305384600001")</f>
        <v>305384600001</v>
      </c>
      <c r="B404" s="226" t="str">
        <f>IFERROR(__xludf.DUMMYFUNCTION("""COMPUTED_VALUE"""),"4250141176065")</f>
        <v>4250141176065</v>
      </c>
      <c r="C404" t="str">
        <f>IFERROR(__xludf.DUMMYFUNCTION("""COMPUTED_VALUE"""),"Westfalia/Witter")</f>
        <v>Westfalia/Witter</v>
      </c>
    </row>
    <row r="405">
      <c r="A405" t="str">
        <f>IFERROR(__xludf.DUMMYFUNCTION("""COMPUTED_VALUE"""),"343066600001")</f>
        <v>343066600001</v>
      </c>
      <c r="B405" s="226" t="str">
        <f>IFERROR(__xludf.DUMMYFUNCTION("""COMPUTED_VALUE"""),"4250141176126")</f>
        <v>4250141176126</v>
      </c>
      <c r="C405" t="str">
        <f>IFERROR(__xludf.DUMMYFUNCTION("""COMPUTED_VALUE"""),"Westfalia/Witter")</f>
        <v>Westfalia/Witter</v>
      </c>
    </row>
    <row r="406">
      <c r="A406" t="str">
        <f>IFERROR(__xludf.DUMMYFUNCTION("""COMPUTED_VALUE"""),"316297600001")</f>
        <v>316297600001</v>
      </c>
      <c r="B406" s="226" t="str">
        <f>IFERROR(__xludf.DUMMYFUNCTION("""COMPUTED_VALUE"""),"4250141176164")</f>
        <v>4250141176164</v>
      </c>
      <c r="C406" t="str">
        <f>IFERROR(__xludf.DUMMYFUNCTION("""COMPUTED_VALUE"""),"Westfalia/Witter")</f>
        <v>Westfalia/Witter</v>
      </c>
    </row>
    <row r="407">
      <c r="A407" t="str">
        <f>IFERROR(__xludf.DUMMYFUNCTION("""COMPUTED_VALUE"""),"316308600001")</f>
        <v>316308600001</v>
      </c>
      <c r="B407" s="226" t="str">
        <f>IFERROR(__xludf.DUMMYFUNCTION("""COMPUTED_VALUE"""),"4250141176171")</f>
        <v>4250141176171</v>
      </c>
      <c r="C407" t="str">
        <f>IFERROR(__xludf.DUMMYFUNCTION("""COMPUTED_VALUE"""),"Westfalia/Witter")</f>
        <v>Westfalia/Witter</v>
      </c>
    </row>
    <row r="408">
      <c r="A408" t="str">
        <f>IFERROR(__xludf.DUMMYFUNCTION("""COMPUTED_VALUE"""),"316312600001")</f>
        <v>316312600001</v>
      </c>
      <c r="B408" s="226" t="str">
        <f>IFERROR(__xludf.DUMMYFUNCTION("""COMPUTED_VALUE"""),"4250141176218")</f>
        <v>4250141176218</v>
      </c>
      <c r="C408" t="str">
        <f>IFERROR(__xludf.DUMMYFUNCTION("""COMPUTED_VALUE"""),"Westfalia/Witter")</f>
        <v>Westfalia/Witter</v>
      </c>
    </row>
    <row r="409">
      <c r="A409" t="str">
        <f>IFERROR(__xludf.DUMMYFUNCTION("""COMPUTED_VALUE"""),"316312600001")</f>
        <v>316312600001</v>
      </c>
      <c r="B409" s="226" t="str">
        <f>IFERROR(__xludf.DUMMYFUNCTION("""COMPUTED_VALUE"""),"4250141176218")</f>
        <v>4250141176218</v>
      </c>
      <c r="C409" t="str">
        <f>IFERROR(__xludf.DUMMYFUNCTION("""COMPUTED_VALUE"""),"Westfalia/Witter")</f>
        <v>Westfalia/Witter</v>
      </c>
    </row>
    <row r="410">
      <c r="A410" t="str">
        <f>IFERROR(__xludf.DUMMYFUNCTION("""COMPUTED_VALUE"""),"316312600001")</f>
        <v>316312600001</v>
      </c>
      <c r="B410" s="226" t="str">
        <f>IFERROR(__xludf.DUMMYFUNCTION("""COMPUTED_VALUE"""),"4250141176218")</f>
        <v>4250141176218</v>
      </c>
      <c r="C410" t="str">
        <f>IFERROR(__xludf.DUMMYFUNCTION("""COMPUTED_VALUE"""),"Westfalia/Witter")</f>
        <v>Westfalia/Witter</v>
      </c>
    </row>
    <row r="411">
      <c r="A411" t="str">
        <f>IFERROR(__xludf.DUMMYFUNCTION("""COMPUTED_VALUE"""),"316312600001")</f>
        <v>316312600001</v>
      </c>
      <c r="B411" s="226" t="str">
        <f>IFERROR(__xludf.DUMMYFUNCTION("""COMPUTED_VALUE"""),"4250141176218")</f>
        <v>4250141176218</v>
      </c>
      <c r="C411" t="str">
        <f>IFERROR(__xludf.DUMMYFUNCTION("""COMPUTED_VALUE"""),"Westfalia/Witter")</f>
        <v>Westfalia/Witter</v>
      </c>
    </row>
    <row r="412">
      <c r="A412" t="str">
        <f>IFERROR(__xludf.DUMMYFUNCTION("""COMPUTED_VALUE"""),"313360600001")</f>
        <v>313360600001</v>
      </c>
      <c r="B412" s="226" t="str">
        <f>IFERROR(__xludf.DUMMYFUNCTION("""COMPUTED_VALUE"""),"4250141176249")</f>
        <v>4250141176249</v>
      </c>
      <c r="C412" t="str">
        <f>IFERROR(__xludf.DUMMYFUNCTION("""COMPUTED_VALUE"""),"Westfalia/Witter")</f>
        <v>Westfalia/Witter</v>
      </c>
    </row>
    <row r="413">
      <c r="A413" t="str">
        <f>IFERROR(__xludf.DUMMYFUNCTION("""COMPUTED_VALUE"""),"313371600001")</f>
        <v>313371600001</v>
      </c>
      <c r="B413" s="226" t="str">
        <f>IFERROR(__xludf.DUMMYFUNCTION("""COMPUTED_VALUE"""),"4250141176263")</f>
        <v>4250141176263</v>
      </c>
      <c r="C413" t="str">
        <f>IFERROR(__xludf.DUMMYFUNCTION("""COMPUTED_VALUE"""),"Westfalia/Witter")</f>
        <v>Westfalia/Witter</v>
      </c>
    </row>
    <row r="414">
      <c r="A414" t="str">
        <f>IFERROR(__xludf.DUMMYFUNCTION("""COMPUTED_VALUE"""),"313371600001")</f>
        <v>313371600001</v>
      </c>
      <c r="B414" s="226" t="str">
        <f>IFERROR(__xludf.DUMMYFUNCTION("""COMPUTED_VALUE"""),"4250141176263")</f>
        <v>4250141176263</v>
      </c>
      <c r="C414" t="str">
        <f>IFERROR(__xludf.DUMMYFUNCTION("""COMPUTED_VALUE"""),"Westfalia/Witter")</f>
        <v>Westfalia/Witter</v>
      </c>
    </row>
    <row r="415">
      <c r="A415" t="str">
        <f>IFERROR(__xludf.DUMMYFUNCTION("""COMPUTED_VALUE"""),"313373600001")</f>
        <v>313373600001</v>
      </c>
      <c r="B415" s="226" t="str">
        <f>IFERROR(__xludf.DUMMYFUNCTION("""COMPUTED_VALUE"""),"4250141176287")</f>
        <v>4250141176287</v>
      </c>
      <c r="C415" t="str">
        <f>IFERROR(__xludf.DUMMYFUNCTION("""COMPUTED_VALUE"""),"Westfalia/Witter")</f>
        <v>Westfalia/Witter</v>
      </c>
    </row>
    <row r="416">
      <c r="A416" t="str">
        <f>IFERROR(__xludf.DUMMYFUNCTION("""COMPUTED_VALUE"""),"313373600001")</f>
        <v>313373600001</v>
      </c>
      <c r="B416" s="226" t="str">
        <f>IFERROR(__xludf.DUMMYFUNCTION("""COMPUTED_VALUE"""),"4250141176287")</f>
        <v>4250141176287</v>
      </c>
      <c r="C416" t="str">
        <f>IFERROR(__xludf.DUMMYFUNCTION("""COMPUTED_VALUE"""),"Westfalia/Witter")</f>
        <v>Westfalia/Witter</v>
      </c>
    </row>
    <row r="417">
      <c r="A417" t="str">
        <f>IFERROR(__xludf.DUMMYFUNCTION("""COMPUTED_VALUE"""),"314390600001")</f>
        <v>314390600001</v>
      </c>
      <c r="B417" s="226" t="str">
        <f>IFERROR(__xludf.DUMMYFUNCTION("""COMPUTED_VALUE"""),"4250141176300")</f>
        <v>4250141176300</v>
      </c>
      <c r="C417" t="str">
        <f>IFERROR(__xludf.DUMMYFUNCTION("""COMPUTED_VALUE"""),"Westfalia/Witter")</f>
        <v>Westfalia/Witter</v>
      </c>
    </row>
    <row r="418">
      <c r="A418" t="str">
        <f>IFERROR(__xludf.DUMMYFUNCTION("""COMPUTED_VALUE"""),"345066600001")</f>
        <v>345066600001</v>
      </c>
      <c r="B418" s="226" t="str">
        <f>IFERROR(__xludf.DUMMYFUNCTION("""COMPUTED_VALUE"""),"4250141178342")</f>
        <v>4250141178342</v>
      </c>
      <c r="C418" t="str">
        <f>IFERROR(__xludf.DUMMYFUNCTION("""COMPUTED_VALUE"""),"Westfalia/Witter")</f>
        <v>Westfalia/Witter</v>
      </c>
    </row>
    <row r="419">
      <c r="A419" t="str">
        <f>IFERROR(__xludf.DUMMYFUNCTION("""COMPUTED_VALUE"""),"306370600001")</f>
        <v>306370600001</v>
      </c>
      <c r="B419" s="226" t="str">
        <f>IFERROR(__xludf.DUMMYFUNCTION("""COMPUTED_VALUE"""),"4250141178984")</f>
        <v>4250141178984</v>
      </c>
      <c r="C419" t="str">
        <f>IFERROR(__xludf.DUMMYFUNCTION("""COMPUTED_VALUE"""),"Westfalia/Witter")</f>
        <v>Westfalia/Witter</v>
      </c>
    </row>
    <row r="420">
      <c r="A420" t="str">
        <f>IFERROR(__xludf.DUMMYFUNCTION("""COMPUTED_VALUE"""),"306370600001")</f>
        <v>306370600001</v>
      </c>
      <c r="B420" s="226" t="str">
        <f>IFERROR(__xludf.DUMMYFUNCTION("""COMPUTED_VALUE"""),"4250141178984")</f>
        <v>4250141178984</v>
      </c>
      <c r="C420" t="str">
        <f>IFERROR(__xludf.DUMMYFUNCTION("""COMPUTED_VALUE"""),"Westfalia/Witter")</f>
        <v>Westfalia/Witter</v>
      </c>
    </row>
    <row r="421">
      <c r="A421" t="str">
        <f>IFERROR(__xludf.DUMMYFUNCTION("""COMPUTED_VALUE"""),"315170600001")</f>
        <v>315170600001</v>
      </c>
      <c r="B421" s="226" t="str">
        <f>IFERROR(__xludf.DUMMYFUNCTION("""COMPUTED_VALUE"""),"4250141179202")</f>
        <v>4250141179202</v>
      </c>
      <c r="C421" t="str">
        <f>IFERROR(__xludf.DUMMYFUNCTION("""COMPUTED_VALUE"""),"Westfalia/Witter")</f>
        <v>Westfalia/Witter</v>
      </c>
    </row>
    <row r="422">
      <c r="A422" t="str">
        <f>IFERROR(__xludf.DUMMYFUNCTION("""COMPUTED_VALUE"""),"313376600001")</f>
        <v>313376600001</v>
      </c>
      <c r="B422" s="226" t="str">
        <f>IFERROR(__xludf.DUMMYFUNCTION("""COMPUTED_VALUE"""),"4250141179486")</f>
        <v>4250141179486</v>
      </c>
      <c r="C422" t="str">
        <f>IFERROR(__xludf.DUMMYFUNCTION("""COMPUTED_VALUE"""),"Westfalia/Witter")</f>
        <v>Westfalia/Witter</v>
      </c>
    </row>
    <row r="423">
      <c r="A423" t="str">
        <f>IFERROR(__xludf.DUMMYFUNCTION("""COMPUTED_VALUE"""),"313376600001")</f>
        <v>313376600001</v>
      </c>
      <c r="B423" s="226" t="str">
        <f>IFERROR(__xludf.DUMMYFUNCTION("""COMPUTED_VALUE"""),"4250141179486")</f>
        <v>4250141179486</v>
      </c>
      <c r="C423" t="str">
        <f>IFERROR(__xludf.DUMMYFUNCTION("""COMPUTED_VALUE"""),"Westfalia/Witter")</f>
        <v>Westfalia/Witter</v>
      </c>
    </row>
    <row r="424">
      <c r="A424" t="str">
        <f>IFERROR(__xludf.DUMMYFUNCTION("""COMPUTED_VALUE"""),"304139600001")</f>
        <v>304139600001</v>
      </c>
      <c r="B424" s="226" t="str">
        <f>IFERROR(__xludf.DUMMYFUNCTION("""COMPUTED_VALUE"""),"4250141179998")</f>
        <v>4250141179998</v>
      </c>
      <c r="C424" t="str">
        <f>IFERROR(__xludf.DUMMYFUNCTION("""COMPUTED_VALUE"""),"Westfalia/Witter")</f>
        <v>Westfalia/Witter</v>
      </c>
    </row>
    <row r="425">
      <c r="A425" t="str">
        <f>IFERROR(__xludf.DUMMYFUNCTION("""COMPUTED_VALUE"""),"317104600001")</f>
        <v>317104600001</v>
      </c>
      <c r="B425" s="226" t="str">
        <f>IFERROR(__xludf.DUMMYFUNCTION("""COMPUTED_VALUE"""),"4250141180208")</f>
        <v>4250141180208</v>
      </c>
      <c r="C425" t="str">
        <f>IFERROR(__xludf.DUMMYFUNCTION("""COMPUTED_VALUE"""),"Westfalia/Witter")</f>
        <v>Westfalia/Witter</v>
      </c>
    </row>
    <row r="426">
      <c r="A426" t="str">
        <f>IFERROR(__xludf.DUMMYFUNCTION("""COMPUTED_VALUE"""),"317104600001")</f>
        <v>317104600001</v>
      </c>
      <c r="B426" s="226" t="str">
        <f>IFERROR(__xludf.DUMMYFUNCTION("""COMPUTED_VALUE"""),"4250141180208")</f>
        <v>4250141180208</v>
      </c>
      <c r="C426" t="str">
        <f>IFERROR(__xludf.DUMMYFUNCTION("""COMPUTED_VALUE"""),"Westfalia/Witter")</f>
        <v>Westfalia/Witter</v>
      </c>
    </row>
    <row r="427">
      <c r="A427" t="str">
        <f>IFERROR(__xludf.DUMMYFUNCTION("""COMPUTED_VALUE"""),"317104600001")</f>
        <v>317104600001</v>
      </c>
      <c r="B427" s="226" t="str">
        <f>IFERROR(__xludf.DUMMYFUNCTION("""COMPUTED_VALUE"""),"4250141180208")</f>
        <v>4250141180208</v>
      </c>
      <c r="C427" t="str">
        <f>IFERROR(__xludf.DUMMYFUNCTION("""COMPUTED_VALUE"""),"Westfalia/Witter")</f>
        <v>Westfalia/Witter</v>
      </c>
    </row>
    <row r="428">
      <c r="A428" t="str">
        <f>IFERROR(__xludf.DUMMYFUNCTION("""COMPUTED_VALUE"""),"317104600001")</f>
        <v>317104600001</v>
      </c>
      <c r="B428" s="226" t="str">
        <f>IFERROR(__xludf.DUMMYFUNCTION("""COMPUTED_VALUE"""),"4250141180208")</f>
        <v>4250141180208</v>
      </c>
      <c r="C428" t="str">
        <f>IFERROR(__xludf.DUMMYFUNCTION("""COMPUTED_VALUE"""),"Westfalia/Witter")</f>
        <v>Westfalia/Witter</v>
      </c>
    </row>
    <row r="429">
      <c r="A429" t="str">
        <f>IFERROR(__xludf.DUMMYFUNCTION("""COMPUTED_VALUE"""),"317102600001")</f>
        <v>317102600001</v>
      </c>
      <c r="B429" s="226" t="str">
        <f>IFERROR(__xludf.DUMMYFUNCTION("""COMPUTED_VALUE"""),"4250141180253")</f>
        <v>4250141180253</v>
      </c>
      <c r="C429" t="str">
        <f>IFERROR(__xludf.DUMMYFUNCTION("""COMPUTED_VALUE"""),"Westfalia/Witter")</f>
        <v>Westfalia/Witter</v>
      </c>
    </row>
    <row r="430">
      <c r="A430" t="str">
        <f>IFERROR(__xludf.DUMMYFUNCTION("""COMPUTED_VALUE"""),"317102600001")</f>
        <v>317102600001</v>
      </c>
      <c r="B430" s="226" t="str">
        <f>IFERROR(__xludf.DUMMYFUNCTION("""COMPUTED_VALUE"""),"4250141180253")</f>
        <v>4250141180253</v>
      </c>
      <c r="C430" t="str">
        <f>IFERROR(__xludf.DUMMYFUNCTION("""COMPUTED_VALUE"""),"Westfalia/Witter")</f>
        <v>Westfalia/Witter</v>
      </c>
    </row>
    <row r="431">
      <c r="A431" t="str">
        <f>IFERROR(__xludf.DUMMYFUNCTION("""COMPUTED_VALUE"""),"317102600001")</f>
        <v>317102600001</v>
      </c>
      <c r="B431" s="226" t="str">
        <f>IFERROR(__xludf.DUMMYFUNCTION("""COMPUTED_VALUE"""),"4250141180253")</f>
        <v>4250141180253</v>
      </c>
      <c r="C431" t="str">
        <f>IFERROR(__xludf.DUMMYFUNCTION("""COMPUTED_VALUE"""),"Westfalia/Witter")</f>
        <v>Westfalia/Witter</v>
      </c>
    </row>
    <row r="432">
      <c r="A432" t="str">
        <f>IFERROR(__xludf.DUMMYFUNCTION("""COMPUTED_VALUE"""),"317102600001")</f>
        <v>317102600001</v>
      </c>
      <c r="B432" s="226" t="str">
        <f>IFERROR(__xludf.DUMMYFUNCTION("""COMPUTED_VALUE"""),"4250141180253")</f>
        <v>4250141180253</v>
      </c>
      <c r="C432" t="str">
        <f>IFERROR(__xludf.DUMMYFUNCTION("""COMPUTED_VALUE"""),"Westfalia/Witter")</f>
        <v>Westfalia/Witter</v>
      </c>
    </row>
    <row r="433">
      <c r="A433" t="str">
        <f>IFERROR(__xludf.DUMMYFUNCTION("""COMPUTED_VALUE"""),"307455600001")</f>
        <v>307455600001</v>
      </c>
      <c r="B433" s="226" t="str">
        <f>IFERROR(__xludf.DUMMYFUNCTION("""COMPUTED_VALUE"""),"4250141180857")</f>
        <v>4250141180857</v>
      </c>
      <c r="C433" t="str">
        <f>IFERROR(__xludf.DUMMYFUNCTION("""COMPUTED_VALUE"""),"Westfalia/Witter")</f>
        <v>Westfalia/Witter</v>
      </c>
    </row>
    <row r="434">
      <c r="A434" t="str">
        <f>IFERROR(__xludf.DUMMYFUNCTION("""COMPUTED_VALUE"""),"340091600001")</f>
        <v>340091600001</v>
      </c>
      <c r="B434" s="226" t="str">
        <f>IFERROR(__xludf.DUMMYFUNCTION("""COMPUTED_VALUE"""),"4250141181281")</f>
        <v>4250141181281</v>
      </c>
      <c r="C434" t="str">
        <f>IFERROR(__xludf.DUMMYFUNCTION("""COMPUTED_VALUE"""),"Westfalia/Witter")</f>
        <v>Westfalia/Witter</v>
      </c>
    </row>
    <row r="435">
      <c r="A435" t="str">
        <f>IFERROR(__xludf.DUMMYFUNCTION("""COMPUTED_VALUE"""),"314407600001")</f>
        <v>314407600001</v>
      </c>
      <c r="B435" s="226" t="str">
        <f>IFERROR(__xludf.DUMMYFUNCTION("""COMPUTED_VALUE"""),"4250141181410")</f>
        <v>4250141181410</v>
      </c>
      <c r="C435" t="str">
        <f>IFERROR(__xludf.DUMMYFUNCTION("""COMPUTED_VALUE"""),"Westfalia/Witter")</f>
        <v>Westfalia/Witter</v>
      </c>
    </row>
    <row r="436">
      <c r="A436" t="str">
        <f>IFERROR(__xludf.DUMMYFUNCTION("""COMPUTED_VALUE"""),"346060600001")</f>
        <v>346060600001</v>
      </c>
      <c r="B436" s="226" t="str">
        <f>IFERROR(__xludf.DUMMYFUNCTION("""COMPUTED_VALUE"""),"4250141181748")</f>
        <v>4250141181748</v>
      </c>
      <c r="C436" t="str">
        <f>IFERROR(__xludf.DUMMYFUNCTION("""COMPUTED_VALUE"""),"Westfalia/Witter")</f>
        <v>Westfalia/Witter</v>
      </c>
    </row>
    <row r="437">
      <c r="A437" t="str">
        <f>IFERROR(__xludf.DUMMYFUNCTION("""COMPUTED_VALUE"""),"305398600001")</f>
        <v>305398600001</v>
      </c>
      <c r="B437" s="226" t="str">
        <f>IFERROR(__xludf.DUMMYFUNCTION("""COMPUTED_VALUE"""),"4250141181991")</f>
        <v>4250141181991</v>
      </c>
      <c r="C437" t="str">
        <f>IFERROR(__xludf.DUMMYFUNCTION("""COMPUTED_VALUE"""),"Westfalia/Witter")</f>
        <v>Westfalia/Witter</v>
      </c>
    </row>
    <row r="438">
      <c r="A438" t="str">
        <f>IFERROR(__xludf.DUMMYFUNCTION("""COMPUTED_VALUE"""),"305398600001")</f>
        <v>305398600001</v>
      </c>
      <c r="B438" s="226" t="str">
        <f>IFERROR(__xludf.DUMMYFUNCTION("""COMPUTED_VALUE"""),"4250141181991")</f>
        <v>4250141181991</v>
      </c>
      <c r="C438" t="str">
        <f>IFERROR(__xludf.DUMMYFUNCTION("""COMPUTED_VALUE"""),"Westfalia/Witter")</f>
        <v>Westfalia/Witter</v>
      </c>
    </row>
    <row r="439">
      <c r="A439" t="str">
        <f>IFERROR(__xludf.DUMMYFUNCTION("""COMPUTED_VALUE"""),"315177600001")</f>
        <v>315177600001</v>
      </c>
      <c r="B439" s="226" t="str">
        <f>IFERROR(__xludf.DUMMYFUNCTION("""COMPUTED_VALUE"""),"4250141184404")</f>
        <v>4250141184404</v>
      </c>
      <c r="C439" t="str">
        <f>IFERROR(__xludf.DUMMYFUNCTION("""COMPUTED_VALUE"""),"Westfalia/Witter")</f>
        <v>Westfalia/Witter</v>
      </c>
    </row>
    <row r="440">
      <c r="A440" t="str">
        <f>IFERROR(__xludf.DUMMYFUNCTION("""COMPUTED_VALUE"""),"315177600001")</f>
        <v>315177600001</v>
      </c>
      <c r="B440" s="226" t="str">
        <f>IFERROR(__xludf.DUMMYFUNCTION("""COMPUTED_VALUE"""),"4250141184404")</f>
        <v>4250141184404</v>
      </c>
      <c r="C440" t="str">
        <f>IFERROR(__xludf.DUMMYFUNCTION("""COMPUTED_VALUE"""),"Westfalia/Witter")</f>
        <v>Westfalia/Witter</v>
      </c>
    </row>
    <row r="441">
      <c r="A441" t="str">
        <f>IFERROR(__xludf.DUMMYFUNCTION("""COMPUTED_VALUE"""),"345070600001")</f>
        <v>345070600001</v>
      </c>
      <c r="B441" s="226" t="str">
        <f>IFERROR(__xludf.DUMMYFUNCTION("""COMPUTED_VALUE"""),"4250141184459")</f>
        <v>4250141184459</v>
      </c>
      <c r="C441" t="str">
        <f>IFERROR(__xludf.DUMMYFUNCTION("""COMPUTED_VALUE"""),"Westfalia/Witter")</f>
        <v>Westfalia/Witter</v>
      </c>
    </row>
    <row r="442">
      <c r="A442" t="str">
        <f>IFERROR(__xludf.DUMMYFUNCTION("""COMPUTED_VALUE"""),"342179600002")</f>
        <v>342179600002</v>
      </c>
      <c r="B442" s="226" t="str">
        <f>IFERROR(__xludf.DUMMYFUNCTION("""COMPUTED_VALUE"""),"4250141184534")</f>
        <v>4250141184534</v>
      </c>
      <c r="C442" t="str">
        <f>IFERROR(__xludf.DUMMYFUNCTION("""COMPUTED_VALUE"""),"Westfalia/Witter")</f>
        <v>Westfalia/Witter</v>
      </c>
    </row>
    <row r="443">
      <c r="A443" t="str">
        <f>IFERROR(__xludf.DUMMYFUNCTION("""COMPUTED_VALUE"""),"342179600003")</f>
        <v>342179600003</v>
      </c>
      <c r="B443" s="226" t="str">
        <f>IFERROR(__xludf.DUMMYFUNCTION("""COMPUTED_VALUE"""),"4250141185180")</f>
        <v>4250141185180</v>
      </c>
      <c r="C443" t="str">
        <f>IFERROR(__xludf.DUMMYFUNCTION("""COMPUTED_VALUE"""),"Westfalia/Witter")</f>
        <v>Westfalia/Witter</v>
      </c>
    </row>
    <row r="444">
      <c r="A444" t="str">
        <f>IFERROR(__xludf.DUMMYFUNCTION("""COMPUTED_VALUE"""),"307403600001")</f>
        <v>307403600001</v>
      </c>
      <c r="B444" s="226" t="str">
        <f>IFERROR(__xludf.DUMMYFUNCTION("""COMPUTED_VALUE"""),"4250141185647")</f>
        <v>4250141185647</v>
      </c>
      <c r="C444" t="str">
        <f>IFERROR(__xludf.DUMMYFUNCTION("""COMPUTED_VALUE"""),"Westfalia/Witter")</f>
        <v>Westfalia/Witter</v>
      </c>
    </row>
    <row r="445">
      <c r="A445" t="str">
        <f>IFERROR(__xludf.DUMMYFUNCTION("""COMPUTED_VALUE"""),"343067600001")</f>
        <v>343067600001</v>
      </c>
      <c r="B445" s="226" t="str">
        <f>IFERROR(__xludf.DUMMYFUNCTION("""COMPUTED_VALUE"""),"4250141185722")</f>
        <v>4250141185722</v>
      </c>
      <c r="C445" t="str">
        <f>IFERROR(__xludf.DUMMYFUNCTION("""COMPUTED_VALUE"""),"Westfalia/Witter")</f>
        <v>Westfalia/Witter</v>
      </c>
    </row>
    <row r="446">
      <c r="A446" t="str">
        <f>IFERROR(__xludf.DUMMYFUNCTION("""COMPUTED_VALUE"""),"315178600001")</f>
        <v>315178600001</v>
      </c>
      <c r="B446" s="226" t="str">
        <f>IFERROR(__xludf.DUMMYFUNCTION("""COMPUTED_VALUE"""),"4250141185883")</f>
        <v>4250141185883</v>
      </c>
      <c r="C446" t="str">
        <f>IFERROR(__xludf.DUMMYFUNCTION("""COMPUTED_VALUE"""),"Westfalia/Witter")</f>
        <v>Westfalia/Witter</v>
      </c>
    </row>
    <row r="447">
      <c r="A447" t="str">
        <f>IFERROR(__xludf.DUMMYFUNCTION("""COMPUTED_VALUE"""),"313405600001")</f>
        <v>313405600001</v>
      </c>
      <c r="B447" s="226" t="str">
        <f>IFERROR(__xludf.DUMMYFUNCTION("""COMPUTED_VALUE"""),"4250141186507")</f>
        <v>4250141186507</v>
      </c>
      <c r="C447" t="str">
        <f>IFERROR(__xludf.DUMMYFUNCTION("""COMPUTED_VALUE"""),"Westfalia/Witter")</f>
        <v>Westfalia/Witter</v>
      </c>
    </row>
    <row r="448">
      <c r="A448" t="str">
        <f>IFERROR(__xludf.DUMMYFUNCTION("""COMPUTED_VALUE"""),"313405600001")</f>
        <v>313405600001</v>
      </c>
      <c r="B448" s="226" t="str">
        <f>IFERROR(__xludf.DUMMYFUNCTION("""COMPUTED_VALUE"""),"4250141186507")</f>
        <v>4250141186507</v>
      </c>
      <c r="C448" t="str">
        <f>IFERROR(__xludf.DUMMYFUNCTION("""COMPUTED_VALUE"""),"Westfalia/Witter")</f>
        <v>Westfalia/Witter</v>
      </c>
    </row>
    <row r="449">
      <c r="A449" t="str">
        <f>IFERROR(__xludf.DUMMYFUNCTION("""COMPUTED_VALUE"""),"313406600001")</f>
        <v>313406600001</v>
      </c>
      <c r="B449" s="226" t="str">
        <f>IFERROR(__xludf.DUMMYFUNCTION("""COMPUTED_VALUE"""),"4250141186514")</f>
        <v>4250141186514</v>
      </c>
      <c r="C449" t="str">
        <f>IFERROR(__xludf.DUMMYFUNCTION("""COMPUTED_VALUE"""),"Westfalia/Witter")</f>
        <v>Westfalia/Witter</v>
      </c>
    </row>
    <row r="450">
      <c r="A450" t="str">
        <f>IFERROR(__xludf.DUMMYFUNCTION("""COMPUTED_VALUE"""),"313406600001")</f>
        <v>313406600001</v>
      </c>
      <c r="B450" s="226" t="str">
        <f>IFERROR(__xludf.DUMMYFUNCTION("""COMPUTED_VALUE"""),"4250141186514")</f>
        <v>4250141186514</v>
      </c>
      <c r="C450" t="str">
        <f>IFERROR(__xludf.DUMMYFUNCTION("""COMPUTED_VALUE"""),"Westfalia/Witter")</f>
        <v>Westfalia/Witter</v>
      </c>
    </row>
    <row r="451">
      <c r="A451" t="str">
        <f>IFERROR(__xludf.DUMMYFUNCTION("""COMPUTED_VALUE"""),"344059600001")</f>
        <v>344059600001</v>
      </c>
      <c r="B451" s="226" t="str">
        <f>IFERROR(__xludf.DUMMYFUNCTION("""COMPUTED_VALUE"""),"4250141186545")</f>
        <v>4250141186545</v>
      </c>
      <c r="C451" t="str">
        <f>IFERROR(__xludf.DUMMYFUNCTION("""COMPUTED_VALUE"""),"Westfalia/Witter")</f>
        <v>Westfalia/Witter</v>
      </c>
    </row>
    <row r="452">
      <c r="A452" t="str">
        <f>IFERROR(__xludf.DUMMYFUNCTION("""COMPUTED_VALUE"""),"344059600001")</f>
        <v>344059600001</v>
      </c>
      <c r="B452" s="226" t="str">
        <f>IFERROR(__xludf.DUMMYFUNCTION("""COMPUTED_VALUE"""),"4250141186545")</f>
        <v>4250141186545</v>
      </c>
      <c r="C452" t="str">
        <f>IFERROR(__xludf.DUMMYFUNCTION("""COMPUTED_VALUE"""),"Westfalia/Witter")</f>
        <v>Westfalia/Witter</v>
      </c>
    </row>
    <row r="453">
      <c r="A453" t="str">
        <f>IFERROR(__xludf.DUMMYFUNCTION("""COMPUTED_VALUE"""),"307456600001")</f>
        <v>307456600001</v>
      </c>
      <c r="B453" s="226" t="str">
        <f>IFERROR(__xludf.DUMMYFUNCTION("""COMPUTED_VALUE"""),"4250141186644")</f>
        <v>4250141186644</v>
      </c>
      <c r="C453" t="str">
        <f>IFERROR(__xludf.DUMMYFUNCTION("""COMPUTED_VALUE"""),"Westfalia/Witter")</f>
        <v>Westfalia/Witter</v>
      </c>
    </row>
    <row r="454">
      <c r="A454" t="str">
        <f>IFERROR(__xludf.DUMMYFUNCTION("""COMPUTED_VALUE"""),"307458600001")</f>
        <v>307458600001</v>
      </c>
      <c r="B454" s="226" t="str">
        <f>IFERROR(__xludf.DUMMYFUNCTION("""COMPUTED_VALUE"""),"4250141186668")</f>
        <v>4250141186668</v>
      </c>
      <c r="C454" t="str">
        <f>IFERROR(__xludf.DUMMYFUNCTION("""COMPUTED_VALUE"""),"Westfalia/Witter")</f>
        <v>Westfalia/Witter</v>
      </c>
    </row>
    <row r="455">
      <c r="A455" t="str">
        <f>IFERROR(__xludf.DUMMYFUNCTION("""COMPUTED_VALUE"""),"307459600001")</f>
        <v>307459600001</v>
      </c>
      <c r="B455" s="226" t="str">
        <f>IFERROR(__xludf.DUMMYFUNCTION("""COMPUTED_VALUE"""),"4250141186675")</f>
        <v>4250141186675</v>
      </c>
      <c r="C455" t="str">
        <f>IFERROR(__xludf.DUMMYFUNCTION("""COMPUTED_VALUE"""),"Westfalia/Witter")</f>
        <v>Westfalia/Witter</v>
      </c>
    </row>
    <row r="456">
      <c r="A456" t="str">
        <f>IFERROR(__xludf.DUMMYFUNCTION("""COMPUTED_VALUE"""),"307461600001")</f>
        <v>307461600001</v>
      </c>
      <c r="B456" s="226" t="str">
        <f>IFERROR(__xludf.DUMMYFUNCTION("""COMPUTED_VALUE"""),"4250141186699")</f>
        <v>4250141186699</v>
      </c>
      <c r="C456" t="str">
        <f>IFERROR(__xludf.DUMMYFUNCTION("""COMPUTED_VALUE"""),"Westfalia/Witter")</f>
        <v>Westfalia/Witter</v>
      </c>
    </row>
    <row r="457">
      <c r="A457" t="str">
        <f>IFERROR(__xludf.DUMMYFUNCTION("""COMPUTED_VALUE"""),"307463600001")</f>
        <v>307463600001</v>
      </c>
      <c r="B457" s="226" t="str">
        <f>IFERROR(__xludf.DUMMYFUNCTION("""COMPUTED_VALUE"""),"4250141186712")</f>
        <v>4250141186712</v>
      </c>
      <c r="C457" t="str">
        <f>IFERROR(__xludf.DUMMYFUNCTION("""COMPUTED_VALUE"""),"Westfalia/Witter")</f>
        <v>Westfalia/Witter</v>
      </c>
    </row>
    <row r="458">
      <c r="A458" t="str">
        <f>IFERROR(__xludf.DUMMYFUNCTION("""COMPUTED_VALUE"""),"346063600001")</f>
        <v>346063600001</v>
      </c>
      <c r="B458" s="226" t="str">
        <f>IFERROR(__xludf.DUMMYFUNCTION("""COMPUTED_VALUE"""),"4250141186842")</f>
        <v>4250141186842</v>
      </c>
      <c r="C458" t="str">
        <f>IFERROR(__xludf.DUMMYFUNCTION("""COMPUTED_VALUE"""),"Westfalia/Witter")</f>
        <v>Westfalia/Witter</v>
      </c>
    </row>
    <row r="459">
      <c r="A459" t="str">
        <f>IFERROR(__xludf.DUMMYFUNCTION("""COMPUTED_VALUE"""),"346064600001")</f>
        <v>346064600001</v>
      </c>
      <c r="B459" s="226" t="str">
        <f>IFERROR(__xludf.DUMMYFUNCTION("""COMPUTED_VALUE"""),"4250141186866")</f>
        <v>4250141186866</v>
      </c>
      <c r="C459" t="str">
        <f>IFERROR(__xludf.DUMMYFUNCTION("""COMPUTED_VALUE"""),"Westfalia/Witter")</f>
        <v>Westfalia/Witter</v>
      </c>
    </row>
    <row r="460">
      <c r="A460" t="str">
        <f>IFERROR(__xludf.DUMMYFUNCTION("""COMPUTED_VALUE"""),"315175600001")</f>
        <v>315175600001</v>
      </c>
      <c r="B460" s="226" t="str">
        <f>IFERROR(__xludf.DUMMYFUNCTION("""COMPUTED_VALUE"""),"4250141186910")</f>
        <v>4250141186910</v>
      </c>
      <c r="C460" t="str">
        <f>IFERROR(__xludf.DUMMYFUNCTION("""COMPUTED_VALUE"""),"Westfalia/Witter")</f>
        <v>Westfalia/Witter</v>
      </c>
    </row>
    <row r="461">
      <c r="A461" t="str">
        <f>IFERROR(__xludf.DUMMYFUNCTION("""COMPUTED_VALUE"""),"315180600001")</f>
        <v>315180600001</v>
      </c>
      <c r="B461" s="226" t="str">
        <f>IFERROR(__xludf.DUMMYFUNCTION("""COMPUTED_VALUE"""),"4250141186927")</f>
        <v>4250141186927</v>
      </c>
      <c r="C461" t="str">
        <f>IFERROR(__xludf.DUMMYFUNCTION("""COMPUTED_VALUE"""),"Westfalia/Witter")</f>
        <v>Westfalia/Witter</v>
      </c>
    </row>
    <row r="462">
      <c r="A462" t="str">
        <f>IFERROR(__xludf.DUMMYFUNCTION("""COMPUTED_VALUE"""),"315182600001")</f>
        <v>315182600001</v>
      </c>
      <c r="B462" s="226" t="str">
        <f>IFERROR(__xludf.DUMMYFUNCTION("""COMPUTED_VALUE"""),"4250141186941")</f>
        <v>4250141186941</v>
      </c>
      <c r="C462" t="str">
        <f>IFERROR(__xludf.DUMMYFUNCTION("""COMPUTED_VALUE"""),"Westfalia/Witter")</f>
        <v>Westfalia/Witter</v>
      </c>
    </row>
    <row r="463">
      <c r="A463" t="str">
        <f>IFERROR(__xludf.DUMMYFUNCTION("""COMPUTED_VALUE"""),"314436600001")</f>
        <v>314436600001</v>
      </c>
      <c r="B463" s="226" t="str">
        <f>IFERROR(__xludf.DUMMYFUNCTION("""COMPUTED_VALUE"""),"4250141187047")</f>
        <v>4250141187047</v>
      </c>
      <c r="C463" t="str">
        <f>IFERROR(__xludf.DUMMYFUNCTION("""COMPUTED_VALUE"""),"Westfalia/Witter")</f>
        <v>Westfalia/Witter</v>
      </c>
    </row>
    <row r="464">
      <c r="A464" t="str">
        <f>IFERROR(__xludf.DUMMYFUNCTION("""COMPUTED_VALUE"""),"314436600001")</f>
        <v>314436600001</v>
      </c>
      <c r="B464" s="226" t="str">
        <f>IFERROR(__xludf.DUMMYFUNCTION("""COMPUTED_VALUE"""),"4250141187047")</f>
        <v>4250141187047</v>
      </c>
      <c r="C464" t="str">
        <f>IFERROR(__xludf.DUMMYFUNCTION("""COMPUTED_VALUE"""),"Westfalia/Witter")</f>
        <v>Westfalia/Witter</v>
      </c>
    </row>
    <row r="465">
      <c r="A465" t="str">
        <f>IFERROR(__xludf.DUMMYFUNCTION("""COMPUTED_VALUE"""),"313396600001")</f>
        <v>313396600001</v>
      </c>
      <c r="B465" s="226" t="str">
        <f>IFERROR(__xludf.DUMMYFUNCTION("""COMPUTED_VALUE"""),"4250141187078")</f>
        <v>4250141187078</v>
      </c>
      <c r="C465" t="str">
        <f>IFERROR(__xludf.DUMMYFUNCTION("""COMPUTED_VALUE"""),"Westfalia/Witter")</f>
        <v>Westfalia/Witter</v>
      </c>
    </row>
    <row r="466">
      <c r="A466" t="str">
        <f>IFERROR(__xludf.DUMMYFUNCTION("""COMPUTED_VALUE"""),"313396600001")</f>
        <v>313396600001</v>
      </c>
      <c r="B466" s="226" t="str">
        <f>IFERROR(__xludf.DUMMYFUNCTION("""COMPUTED_VALUE"""),"4250141187078")</f>
        <v>4250141187078</v>
      </c>
      <c r="C466" t="str">
        <f>IFERROR(__xludf.DUMMYFUNCTION("""COMPUTED_VALUE"""),"Westfalia/Witter")</f>
        <v>Westfalia/Witter</v>
      </c>
    </row>
    <row r="467">
      <c r="A467" t="str">
        <f>IFERROR(__xludf.DUMMYFUNCTION("""COMPUTED_VALUE"""),"313396600001")</f>
        <v>313396600001</v>
      </c>
      <c r="B467" s="226" t="str">
        <f>IFERROR(__xludf.DUMMYFUNCTION("""COMPUTED_VALUE"""),"4250141187078")</f>
        <v>4250141187078</v>
      </c>
      <c r="C467" t="str">
        <f>IFERROR(__xludf.DUMMYFUNCTION("""COMPUTED_VALUE"""),"Westfalia/Witter")</f>
        <v>Westfalia/Witter</v>
      </c>
    </row>
    <row r="468">
      <c r="A468" t="str">
        <f>IFERROR(__xludf.DUMMYFUNCTION("""COMPUTED_VALUE"""),"313398600001")</f>
        <v>313398600001</v>
      </c>
      <c r="B468" s="226" t="str">
        <f>IFERROR(__xludf.DUMMYFUNCTION("""COMPUTED_VALUE"""),"4250141187092")</f>
        <v>4250141187092</v>
      </c>
      <c r="C468" t="str">
        <f>IFERROR(__xludf.DUMMYFUNCTION("""COMPUTED_VALUE"""),"Westfalia/Witter")</f>
        <v>Westfalia/Witter</v>
      </c>
    </row>
    <row r="469">
      <c r="A469" t="str">
        <f>IFERROR(__xludf.DUMMYFUNCTION("""COMPUTED_VALUE"""),"313398600001")</f>
        <v>313398600001</v>
      </c>
      <c r="B469" s="226" t="str">
        <f>IFERROR(__xludf.DUMMYFUNCTION("""COMPUTED_VALUE"""),"4250141187092")</f>
        <v>4250141187092</v>
      </c>
      <c r="C469" t="str">
        <f>IFERROR(__xludf.DUMMYFUNCTION("""COMPUTED_VALUE"""),"Westfalia/Witter")</f>
        <v>Westfalia/Witter</v>
      </c>
    </row>
    <row r="470">
      <c r="A470" t="str">
        <f>IFERROR(__xludf.DUMMYFUNCTION("""COMPUTED_VALUE"""),"340093600001")</f>
        <v>340093600001</v>
      </c>
      <c r="B470" s="226" t="str">
        <f>IFERROR(__xludf.DUMMYFUNCTION("""COMPUTED_VALUE"""),"4250141187511")</f>
        <v>4250141187511</v>
      </c>
      <c r="C470" t="str">
        <f>IFERROR(__xludf.DUMMYFUNCTION("""COMPUTED_VALUE"""),"Westfalia/Witter")</f>
        <v>Westfalia/Witter</v>
      </c>
    </row>
    <row r="471">
      <c r="A471" t="str">
        <f>IFERROR(__xludf.DUMMYFUNCTION("""COMPUTED_VALUE"""),"340093600001")</f>
        <v>340093600001</v>
      </c>
      <c r="B471" s="226" t="str">
        <f>IFERROR(__xludf.DUMMYFUNCTION("""COMPUTED_VALUE"""),"4250141187511")</f>
        <v>4250141187511</v>
      </c>
      <c r="C471" t="str">
        <f>IFERROR(__xludf.DUMMYFUNCTION("""COMPUTED_VALUE"""),"Westfalia/Witter")</f>
        <v>Westfalia/Witter</v>
      </c>
    </row>
    <row r="472">
      <c r="A472" t="str">
        <f>IFERROR(__xludf.DUMMYFUNCTION("""COMPUTED_VALUE"""),"340093600001")</f>
        <v>340093600001</v>
      </c>
      <c r="B472" s="226" t="str">
        <f>IFERROR(__xludf.DUMMYFUNCTION("""COMPUTED_VALUE"""),"4250141187511")</f>
        <v>4250141187511</v>
      </c>
      <c r="C472" t="str">
        <f>IFERROR(__xludf.DUMMYFUNCTION("""COMPUTED_VALUE"""),"Westfalia/Witter")</f>
        <v>Westfalia/Witter</v>
      </c>
    </row>
    <row r="473">
      <c r="A473" t="str">
        <f>IFERROR(__xludf.DUMMYFUNCTION("""COMPUTED_VALUE"""),"340092600001")</f>
        <v>340092600001</v>
      </c>
      <c r="B473" s="226" t="str">
        <f>IFERROR(__xludf.DUMMYFUNCTION("""COMPUTED_VALUE"""),"4250141187528")</f>
        <v>4250141187528</v>
      </c>
      <c r="C473" t="str">
        <f>IFERROR(__xludf.DUMMYFUNCTION("""COMPUTED_VALUE"""),"Westfalia/Witter")</f>
        <v>Westfalia/Witter</v>
      </c>
    </row>
    <row r="474">
      <c r="A474" t="str">
        <f>IFERROR(__xludf.DUMMYFUNCTION("""COMPUTED_VALUE"""),"340092600001")</f>
        <v>340092600001</v>
      </c>
      <c r="B474" s="226" t="str">
        <f>IFERROR(__xludf.DUMMYFUNCTION("""COMPUTED_VALUE"""),"4250141187528")</f>
        <v>4250141187528</v>
      </c>
      <c r="C474" t="str">
        <f>IFERROR(__xludf.DUMMYFUNCTION("""COMPUTED_VALUE"""),"Westfalia/Witter")</f>
        <v>Westfalia/Witter</v>
      </c>
    </row>
    <row r="475">
      <c r="A475" t="str">
        <f>IFERROR(__xludf.DUMMYFUNCTION("""COMPUTED_VALUE"""),"340092600001")</f>
        <v>340092600001</v>
      </c>
      <c r="B475" s="226" t="str">
        <f>IFERROR(__xludf.DUMMYFUNCTION("""COMPUTED_VALUE"""),"4250141187528")</f>
        <v>4250141187528</v>
      </c>
      <c r="C475" t="str">
        <f>IFERROR(__xludf.DUMMYFUNCTION("""COMPUTED_VALUE"""),"Westfalia/Witter")</f>
        <v>Westfalia/Witter</v>
      </c>
    </row>
    <row r="476">
      <c r="A476" t="str">
        <f>IFERROR(__xludf.DUMMYFUNCTION("""COMPUTED_VALUE"""),"321832600001")</f>
        <v>321832600001</v>
      </c>
      <c r="B476" s="226" t="str">
        <f>IFERROR(__xludf.DUMMYFUNCTION("""COMPUTED_VALUE"""),"4250141187566")</f>
        <v>4250141187566</v>
      </c>
      <c r="C476" t="str">
        <f>IFERROR(__xludf.DUMMYFUNCTION("""COMPUTED_VALUE"""),"Westfalia/Witter")</f>
        <v>Westfalia/Witter</v>
      </c>
    </row>
    <row r="477">
      <c r="A477" t="str">
        <f>IFERROR(__xludf.DUMMYFUNCTION("""COMPUTED_VALUE"""),"321832600001")</f>
        <v>321832600001</v>
      </c>
      <c r="B477" s="226" t="str">
        <f>IFERROR(__xludf.DUMMYFUNCTION("""COMPUTED_VALUE"""),"4250141187566")</f>
        <v>4250141187566</v>
      </c>
      <c r="C477" t="str">
        <f>IFERROR(__xludf.DUMMYFUNCTION("""COMPUTED_VALUE"""),"Westfalia/Witter")</f>
        <v>Westfalia/Witter</v>
      </c>
    </row>
    <row r="478">
      <c r="A478" t="str">
        <f>IFERROR(__xludf.DUMMYFUNCTION("""COMPUTED_VALUE"""),"340094600001")</f>
        <v>340094600001</v>
      </c>
      <c r="B478" s="226" t="str">
        <f>IFERROR(__xludf.DUMMYFUNCTION("""COMPUTED_VALUE"""),"4250141187757")</f>
        <v>4250141187757</v>
      </c>
      <c r="C478" t="str">
        <f>IFERROR(__xludf.DUMMYFUNCTION("""COMPUTED_VALUE"""),"Westfalia/Witter")</f>
        <v>Westfalia/Witter</v>
      </c>
    </row>
    <row r="479">
      <c r="A479" t="str">
        <f>IFERROR(__xludf.DUMMYFUNCTION("""COMPUTED_VALUE"""),"340094600001")</f>
        <v>340094600001</v>
      </c>
      <c r="B479" s="226" t="str">
        <f>IFERROR(__xludf.DUMMYFUNCTION("""COMPUTED_VALUE"""),"4250141187757")</f>
        <v>4250141187757</v>
      </c>
      <c r="C479" t="str">
        <f>IFERROR(__xludf.DUMMYFUNCTION("""COMPUTED_VALUE"""),"Westfalia/Witter")</f>
        <v>Westfalia/Witter</v>
      </c>
    </row>
    <row r="480">
      <c r="A480" t="str">
        <f>IFERROR(__xludf.DUMMYFUNCTION("""COMPUTED_VALUE"""),"340094600001")</f>
        <v>340094600001</v>
      </c>
      <c r="B480" s="226" t="str">
        <f>IFERROR(__xludf.DUMMYFUNCTION("""COMPUTED_VALUE"""),"4250141187757")</f>
        <v>4250141187757</v>
      </c>
      <c r="C480" t="str">
        <f>IFERROR(__xludf.DUMMYFUNCTION("""COMPUTED_VALUE"""),"Westfalia/Witter")</f>
        <v>Westfalia/Witter</v>
      </c>
    </row>
    <row r="481">
      <c r="A481" t="str">
        <f>IFERROR(__xludf.DUMMYFUNCTION("""COMPUTED_VALUE"""),"342184600001")</f>
        <v>342184600001</v>
      </c>
      <c r="B481" s="226" t="str">
        <f>IFERROR(__xludf.DUMMYFUNCTION("""COMPUTED_VALUE"""),"4250141187771")</f>
        <v>4250141187771</v>
      </c>
      <c r="C481" t="str">
        <f>IFERROR(__xludf.DUMMYFUNCTION("""COMPUTED_VALUE"""),"Westfalia/Witter")</f>
        <v>Westfalia/Witter</v>
      </c>
    </row>
    <row r="482">
      <c r="A482" t="str">
        <f>IFERROR(__xludf.DUMMYFUNCTION("""COMPUTED_VALUE"""),"316318600001")</f>
        <v>316318600001</v>
      </c>
      <c r="B482" s="226" t="str">
        <f>IFERROR(__xludf.DUMMYFUNCTION("""COMPUTED_VALUE"""),"4250141187788")</f>
        <v>4250141187788</v>
      </c>
      <c r="C482" t="str">
        <f>IFERROR(__xludf.DUMMYFUNCTION("""COMPUTED_VALUE"""),"Westfalia/Witter")</f>
        <v>Westfalia/Witter</v>
      </c>
    </row>
    <row r="483">
      <c r="A483" t="str">
        <f>IFERROR(__xludf.DUMMYFUNCTION("""COMPUTED_VALUE"""),"316318600001")</f>
        <v>316318600001</v>
      </c>
      <c r="B483" s="226" t="str">
        <f>IFERROR(__xludf.DUMMYFUNCTION("""COMPUTED_VALUE"""),"4250141187788")</f>
        <v>4250141187788</v>
      </c>
      <c r="C483" t="str">
        <f>IFERROR(__xludf.DUMMYFUNCTION("""COMPUTED_VALUE"""),"Westfalia/Witter")</f>
        <v>Westfalia/Witter</v>
      </c>
    </row>
    <row r="484">
      <c r="A484" t="str">
        <f>IFERROR(__xludf.DUMMYFUNCTION("""COMPUTED_VALUE"""),"316318600001")</f>
        <v>316318600001</v>
      </c>
      <c r="B484" s="226" t="str">
        <f>IFERROR(__xludf.DUMMYFUNCTION("""COMPUTED_VALUE"""),"4250141187788")</f>
        <v>4250141187788</v>
      </c>
      <c r="C484" t="str">
        <f>IFERROR(__xludf.DUMMYFUNCTION("""COMPUTED_VALUE"""),"Westfalia/Witter")</f>
        <v>Westfalia/Witter</v>
      </c>
    </row>
    <row r="485">
      <c r="A485" t="str">
        <f>IFERROR(__xludf.DUMMYFUNCTION("""COMPUTED_VALUE"""),"316320600001")</f>
        <v>316320600001</v>
      </c>
      <c r="B485" s="226" t="str">
        <f>IFERROR(__xludf.DUMMYFUNCTION("""COMPUTED_VALUE"""),"4250141187801")</f>
        <v>4250141187801</v>
      </c>
      <c r="C485" t="str">
        <f>IFERROR(__xludf.DUMMYFUNCTION("""COMPUTED_VALUE"""),"Westfalia/Witter")</f>
        <v>Westfalia/Witter</v>
      </c>
    </row>
    <row r="486">
      <c r="A486" t="str">
        <f>IFERROR(__xludf.DUMMYFUNCTION("""COMPUTED_VALUE"""),"335408600001")</f>
        <v>335408600001</v>
      </c>
      <c r="B486" s="226" t="str">
        <f>IFERROR(__xludf.DUMMYFUNCTION("""COMPUTED_VALUE"""),"4250141187818")</f>
        <v>4250141187818</v>
      </c>
      <c r="C486" t="str">
        <f>IFERROR(__xludf.DUMMYFUNCTION("""COMPUTED_VALUE"""),"Westfalia/Witter")</f>
        <v>Westfalia/Witter</v>
      </c>
    </row>
    <row r="487">
      <c r="A487" t="str">
        <f>IFERROR(__xludf.DUMMYFUNCTION("""COMPUTED_VALUE"""),"335408600001")</f>
        <v>335408600001</v>
      </c>
      <c r="B487" s="226" t="str">
        <f>IFERROR(__xludf.DUMMYFUNCTION("""COMPUTED_VALUE"""),"4250141187818")</f>
        <v>4250141187818</v>
      </c>
      <c r="C487" t="str">
        <f>IFERROR(__xludf.DUMMYFUNCTION("""COMPUTED_VALUE"""),"Westfalia/Witter")</f>
        <v>Westfalia/Witter</v>
      </c>
    </row>
    <row r="488">
      <c r="A488" t="str">
        <f>IFERROR(__xludf.DUMMYFUNCTION("""COMPUTED_VALUE"""),"332304600001")</f>
        <v>332304600001</v>
      </c>
      <c r="B488" s="226" t="str">
        <f>IFERROR(__xludf.DUMMYFUNCTION("""COMPUTED_VALUE"""),"4250141187979")</f>
        <v>4250141187979</v>
      </c>
      <c r="C488" t="str">
        <f>IFERROR(__xludf.DUMMYFUNCTION("""COMPUTED_VALUE"""),"Westfalia/Witter")</f>
        <v>Westfalia/Witter</v>
      </c>
    </row>
    <row r="489">
      <c r="A489" t="str">
        <f>IFERROR(__xludf.DUMMYFUNCTION("""COMPUTED_VALUE"""),"332305600001")</f>
        <v>332305600001</v>
      </c>
      <c r="B489" s="226" t="str">
        <f>IFERROR(__xludf.DUMMYFUNCTION("""COMPUTED_VALUE"""),"4250141187986")</f>
        <v>4250141187986</v>
      </c>
      <c r="C489" t="str">
        <f>IFERROR(__xludf.DUMMYFUNCTION("""COMPUTED_VALUE"""),"Westfalia/Witter")</f>
        <v>Westfalia/Witter</v>
      </c>
    </row>
    <row r="490">
      <c r="A490" t="str">
        <f>IFERROR(__xludf.DUMMYFUNCTION("""COMPUTED_VALUE"""),"306381600001")</f>
        <v>306381600001</v>
      </c>
      <c r="B490" s="226" t="str">
        <f>IFERROR(__xludf.DUMMYFUNCTION("""COMPUTED_VALUE"""),"4250141187993")</f>
        <v>4250141187993</v>
      </c>
      <c r="C490" t="str">
        <f>IFERROR(__xludf.DUMMYFUNCTION("""COMPUTED_VALUE"""),"Westfalia/Witter")</f>
        <v>Westfalia/Witter</v>
      </c>
    </row>
    <row r="491">
      <c r="A491" t="str">
        <f>IFERROR(__xludf.DUMMYFUNCTION("""COMPUTED_VALUE"""),"306381600001")</f>
        <v>306381600001</v>
      </c>
      <c r="B491" s="226" t="str">
        <f>IFERROR(__xludf.DUMMYFUNCTION("""COMPUTED_VALUE"""),"4250141187993")</f>
        <v>4250141187993</v>
      </c>
      <c r="C491" t="str">
        <f>IFERROR(__xludf.DUMMYFUNCTION("""COMPUTED_VALUE"""),"Westfalia/Witter")</f>
        <v>Westfalia/Witter</v>
      </c>
    </row>
    <row r="492">
      <c r="A492" t="str">
        <f>IFERROR(__xludf.DUMMYFUNCTION("""COMPUTED_VALUE"""),"306382600001")</f>
        <v>306382600001</v>
      </c>
      <c r="B492" s="226" t="str">
        <f>IFERROR(__xludf.DUMMYFUNCTION("""COMPUTED_VALUE"""),"4250141188006")</f>
        <v>4250141188006</v>
      </c>
      <c r="C492" t="str">
        <f>IFERROR(__xludf.DUMMYFUNCTION("""COMPUTED_VALUE"""),"Westfalia/Witter")</f>
        <v>Westfalia/Witter</v>
      </c>
    </row>
    <row r="493">
      <c r="A493" t="str">
        <f>IFERROR(__xludf.DUMMYFUNCTION("""COMPUTED_VALUE"""),"314437600001")</f>
        <v>314437600001</v>
      </c>
      <c r="B493" s="226" t="str">
        <f>IFERROR(__xludf.DUMMYFUNCTION("""COMPUTED_VALUE"""),"4250141188259")</f>
        <v>4250141188259</v>
      </c>
      <c r="C493" t="str">
        <f>IFERROR(__xludf.DUMMYFUNCTION("""COMPUTED_VALUE"""),"Westfalia/Witter")</f>
        <v>Westfalia/Witter</v>
      </c>
    </row>
    <row r="494">
      <c r="A494" t="str">
        <f>IFERROR(__xludf.DUMMYFUNCTION("""COMPUTED_VALUE"""),"323097600001")</f>
        <v>323097600001</v>
      </c>
      <c r="B494" s="226" t="str">
        <f>IFERROR(__xludf.DUMMYFUNCTION("""COMPUTED_VALUE"""),"4250141188440")</f>
        <v>4250141188440</v>
      </c>
      <c r="C494" t="str">
        <f>IFERROR(__xludf.DUMMYFUNCTION("""COMPUTED_VALUE"""),"Westfalia/Witter")</f>
        <v>Westfalia/Witter</v>
      </c>
    </row>
    <row r="495">
      <c r="A495" t="str">
        <f>IFERROR(__xludf.DUMMYFUNCTION("""COMPUTED_VALUE"""),"313421600001")</f>
        <v>313421600001</v>
      </c>
      <c r="B495" s="226" t="str">
        <f>IFERROR(__xludf.DUMMYFUNCTION("""COMPUTED_VALUE"""),"4250141189171")</f>
        <v>4250141189171</v>
      </c>
      <c r="C495" t="str">
        <f>IFERROR(__xludf.DUMMYFUNCTION("""COMPUTED_VALUE"""),"Westfalia/Witter")</f>
        <v>Westfalia/Witter</v>
      </c>
    </row>
    <row r="496">
      <c r="A496" t="str">
        <f>IFERROR(__xludf.DUMMYFUNCTION("""COMPUTED_VALUE"""),"313421600001")</f>
        <v>313421600001</v>
      </c>
      <c r="B496" s="226" t="str">
        <f>IFERROR(__xludf.DUMMYFUNCTION("""COMPUTED_VALUE"""),"4250141189171")</f>
        <v>4250141189171</v>
      </c>
      <c r="C496" t="str">
        <f>IFERROR(__xludf.DUMMYFUNCTION("""COMPUTED_VALUE"""),"Westfalia/Witter")</f>
        <v>Westfalia/Witter</v>
      </c>
    </row>
    <row r="497">
      <c r="A497" t="str">
        <f>IFERROR(__xludf.DUMMYFUNCTION("""COMPUTED_VALUE"""),"321838600001")</f>
        <v>321838600001</v>
      </c>
      <c r="B497" s="226" t="str">
        <f>IFERROR(__xludf.DUMMYFUNCTION("""COMPUTED_VALUE"""),"4250141190597")</f>
        <v>4250141190597</v>
      </c>
      <c r="C497" t="str">
        <f>IFERROR(__xludf.DUMMYFUNCTION("""COMPUTED_VALUE"""),"Westfalia/Witter")</f>
        <v>Westfalia/Witter</v>
      </c>
    </row>
    <row r="498">
      <c r="A498" t="str">
        <f>IFERROR(__xludf.DUMMYFUNCTION("""COMPUTED_VALUE"""),"321778600001")</f>
        <v>321778600001</v>
      </c>
      <c r="B498" s="226" t="str">
        <f>IFERROR(__xludf.DUMMYFUNCTION("""COMPUTED_VALUE"""),"4250141190795")</f>
        <v>4250141190795</v>
      </c>
      <c r="C498" t="str">
        <f>IFERROR(__xludf.DUMMYFUNCTION("""COMPUTED_VALUE"""),"Westfalia/Witter")</f>
        <v>Westfalia/Witter</v>
      </c>
    </row>
    <row r="499">
      <c r="A499" t="str">
        <f>IFERROR(__xludf.DUMMYFUNCTION("""COMPUTED_VALUE"""),"321821600001")</f>
        <v>321821600001</v>
      </c>
      <c r="B499" s="226" t="str">
        <f>IFERROR(__xludf.DUMMYFUNCTION("""COMPUTED_VALUE"""),"4250141190801")</f>
        <v>4250141190801</v>
      </c>
      <c r="C499" t="str">
        <f>IFERROR(__xludf.DUMMYFUNCTION("""COMPUTED_VALUE"""),"Westfalia/Witter")</f>
        <v>Westfalia/Witter</v>
      </c>
    </row>
    <row r="500">
      <c r="A500" t="str">
        <f>IFERROR(__xludf.DUMMYFUNCTION("""COMPUTED_VALUE"""),"321821600001")</f>
        <v>321821600001</v>
      </c>
      <c r="B500" s="226" t="str">
        <f>IFERROR(__xludf.DUMMYFUNCTION("""COMPUTED_VALUE"""),"4250141190801")</f>
        <v>4250141190801</v>
      </c>
      <c r="C500" t="str">
        <f>IFERROR(__xludf.DUMMYFUNCTION("""COMPUTED_VALUE"""),"Westfalia/Witter")</f>
        <v>Westfalia/Witter</v>
      </c>
    </row>
    <row r="501">
      <c r="A501" t="str">
        <f>IFERROR(__xludf.DUMMYFUNCTION("""COMPUTED_VALUE"""),"321821600001")</f>
        <v>321821600001</v>
      </c>
      <c r="B501" s="226" t="str">
        <f>IFERROR(__xludf.DUMMYFUNCTION("""COMPUTED_VALUE"""),"4250141190801")</f>
        <v>4250141190801</v>
      </c>
      <c r="C501" t="str">
        <f>IFERROR(__xludf.DUMMYFUNCTION("""COMPUTED_VALUE"""),"Westfalia/Witter")</f>
        <v>Westfalia/Witter</v>
      </c>
    </row>
    <row r="502">
      <c r="A502" t="str">
        <f>IFERROR(__xludf.DUMMYFUNCTION("""COMPUTED_VALUE"""),"321821600001")</f>
        <v>321821600001</v>
      </c>
      <c r="B502" s="226" t="str">
        <f>IFERROR(__xludf.DUMMYFUNCTION("""COMPUTED_VALUE"""),"4250141190801")</f>
        <v>4250141190801</v>
      </c>
      <c r="C502" t="str">
        <f>IFERROR(__xludf.DUMMYFUNCTION("""COMPUTED_VALUE"""),"Westfalia/Witter")</f>
        <v>Westfalia/Witter</v>
      </c>
    </row>
    <row r="503">
      <c r="A503" t="str">
        <f>IFERROR(__xludf.DUMMYFUNCTION("""COMPUTED_VALUE"""),"321821600001")</f>
        <v>321821600001</v>
      </c>
      <c r="B503" s="226" t="str">
        <f>IFERROR(__xludf.DUMMYFUNCTION("""COMPUTED_VALUE"""),"4250141190801")</f>
        <v>4250141190801</v>
      </c>
      <c r="C503" t="str">
        <f>IFERROR(__xludf.DUMMYFUNCTION("""COMPUTED_VALUE"""),"Westfalia/Witter")</f>
        <v>Westfalia/Witter</v>
      </c>
    </row>
    <row r="504">
      <c r="A504" t="str">
        <f>IFERROR(__xludf.DUMMYFUNCTION("""COMPUTED_VALUE"""),"321823600001")</f>
        <v>321823600001</v>
      </c>
      <c r="B504" s="226" t="str">
        <f>IFERROR(__xludf.DUMMYFUNCTION("""COMPUTED_VALUE"""),"4250141190818")</f>
        <v>4250141190818</v>
      </c>
      <c r="C504" t="str">
        <f>IFERROR(__xludf.DUMMYFUNCTION("""COMPUTED_VALUE"""),"Westfalia/Witter")</f>
        <v>Westfalia/Witter</v>
      </c>
    </row>
    <row r="505">
      <c r="A505" t="str">
        <f>IFERROR(__xludf.DUMMYFUNCTION("""COMPUTED_VALUE"""),"321823600001")</f>
        <v>321823600001</v>
      </c>
      <c r="B505" s="226" t="str">
        <f>IFERROR(__xludf.DUMMYFUNCTION("""COMPUTED_VALUE"""),"4250141190818")</f>
        <v>4250141190818</v>
      </c>
      <c r="C505" t="str">
        <f>IFERROR(__xludf.DUMMYFUNCTION("""COMPUTED_VALUE"""),"Westfalia/Witter")</f>
        <v>Westfalia/Witter</v>
      </c>
    </row>
    <row r="506">
      <c r="A506" t="str">
        <f>IFERROR(__xludf.DUMMYFUNCTION("""COMPUTED_VALUE"""),"321823600001")</f>
        <v>321823600001</v>
      </c>
      <c r="B506" s="226" t="str">
        <f>IFERROR(__xludf.DUMMYFUNCTION("""COMPUTED_VALUE"""),"4250141190818")</f>
        <v>4250141190818</v>
      </c>
      <c r="C506" t="str">
        <f>IFERROR(__xludf.DUMMYFUNCTION("""COMPUTED_VALUE"""),"Westfalia/Witter")</f>
        <v>Westfalia/Witter</v>
      </c>
    </row>
    <row r="507">
      <c r="A507" t="str">
        <f>IFERROR(__xludf.DUMMYFUNCTION("""COMPUTED_VALUE"""),"321823600001")</f>
        <v>321823600001</v>
      </c>
      <c r="B507" s="226" t="str">
        <f>IFERROR(__xludf.DUMMYFUNCTION("""COMPUTED_VALUE"""),"4250141190818")</f>
        <v>4250141190818</v>
      </c>
      <c r="C507" t="str">
        <f>IFERROR(__xludf.DUMMYFUNCTION("""COMPUTED_VALUE"""),"Westfalia/Witter")</f>
        <v>Westfalia/Witter</v>
      </c>
    </row>
    <row r="508">
      <c r="A508" t="str">
        <f>IFERROR(__xludf.DUMMYFUNCTION("""COMPUTED_VALUE"""),"321823600001")</f>
        <v>321823600001</v>
      </c>
      <c r="B508" s="226" t="str">
        <f>IFERROR(__xludf.DUMMYFUNCTION("""COMPUTED_VALUE"""),"4250141190818")</f>
        <v>4250141190818</v>
      </c>
      <c r="C508" t="str">
        <f>IFERROR(__xludf.DUMMYFUNCTION("""COMPUTED_VALUE"""),"Westfalia/Witter")</f>
        <v>Westfalia/Witter</v>
      </c>
    </row>
    <row r="509">
      <c r="A509" t="str">
        <f>IFERROR(__xludf.DUMMYFUNCTION("""COMPUTED_VALUE"""),"323100600001")</f>
        <v>323100600001</v>
      </c>
      <c r="B509" s="226" t="str">
        <f>IFERROR(__xludf.DUMMYFUNCTION("""COMPUTED_VALUE"""),"4250141190863")</f>
        <v>4250141190863</v>
      </c>
      <c r="C509" t="str">
        <f>IFERROR(__xludf.DUMMYFUNCTION("""COMPUTED_VALUE"""),"Westfalia/Witter")</f>
        <v>Westfalia/Witter</v>
      </c>
    </row>
    <row r="510">
      <c r="A510" t="str">
        <f>IFERROR(__xludf.DUMMYFUNCTION("""COMPUTED_VALUE"""),"313382600001")</f>
        <v>313382600001</v>
      </c>
      <c r="B510" s="226" t="str">
        <f>IFERROR(__xludf.DUMMYFUNCTION("""COMPUTED_VALUE"""),"4250141190948")</f>
        <v>4250141190948</v>
      </c>
      <c r="C510" t="str">
        <f>IFERROR(__xludf.DUMMYFUNCTION("""COMPUTED_VALUE"""),"Westfalia/Witter")</f>
        <v>Westfalia/Witter</v>
      </c>
    </row>
    <row r="511">
      <c r="A511" t="str">
        <f>IFERROR(__xludf.DUMMYFUNCTION("""COMPUTED_VALUE"""),"341021600001")</f>
        <v>341021600001</v>
      </c>
      <c r="B511" s="226" t="str">
        <f>IFERROR(__xludf.DUMMYFUNCTION("""COMPUTED_VALUE"""),"4250141191242")</f>
        <v>4250141191242</v>
      </c>
      <c r="C511" t="str">
        <f>IFERROR(__xludf.DUMMYFUNCTION("""COMPUTED_VALUE"""),"Westfalia/Witter")</f>
        <v>Westfalia/Witter</v>
      </c>
    </row>
    <row r="512">
      <c r="A512" t="str">
        <f>IFERROR(__xludf.DUMMYFUNCTION("""COMPUTED_VALUE"""),"341020600001")</f>
        <v>341020600001</v>
      </c>
      <c r="B512" s="226" t="str">
        <f>IFERROR(__xludf.DUMMYFUNCTION("""COMPUTED_VALUE"""),"4250141191259")</f>
        <v>4250141191259</v>
      </c>
      <c r="C512" t="str">
        <f>IFERROR(__xludf.DUMMYFUNCTION("""COMPUTED_VALUE"""),"Westfalia/Witter")</f>
        <v>Westfalia/Witter</v>
      </c>
    </row>
    <row r="513">
      <c r="A513" t="str">
        <f>IFERROR(__xludf.DUMMYFUNCTION("""COMPUTED_VALUE"""),"314440600001")</f>
        <v>314440600001</v>
      </c>
      <c r="B513" s="226" t="str">
        <f>IFERROR(__xludf.DUMMYFUNCTION("""COMPUTED_VALUE"""),"4250141191365")</f>
        <v>4250141191365</v>
      </c>
      <c r="C513" t="str">
        <f>IFERROR(__xludf.DUMMYFUNCTION("""COMPUTED_VALUE"""),"Westfalia/Witter")</f>
        <v>Westfalia/Witter</v>
      </c>
    </row>
    <row r="514">
      <c r="A514" t="str">
        <f>IFERROR(__xludf.DUMMYFUNCTION("""COMPUTED_VALUE"""),"314441600001")</f>
        <v>314441600001</v>
      </c>
      <c r="B514" s="226" t="str">
        <f>IFERROR(__xludf.DUMMYFUNCTION("""COMPUTED_VALUE"""),"4250141191389")</f>
        <v>4250141191389</v>
      </c>
      <c r="C514" t="str">
        <f>IFERROR(__xludf.DUMMYFUNCTION("""COMPUTED_VALUE"""),"Westfalia/Witter")</f>
        <v>Westfalia/Witter</v>
      </c>
    </row>
    <row r="515">
      <c r="A515" t="str">
        <f>IFERROR(__xludf.DUMMYFUNCTION("""COMPUTED_VALUE"""),"335412600001")</f>
        <v>335412600001</v>
      </c>
      <c r="B515" s="226" t="str">
        <f>IFERROR(__xludf.DUMMYFUNCTION("""COMPUTED_VALUE"""),"4250141191396")</f>
        <v>4250141191396</v>
      </c>
      <c r="C515" t="str">
        <f>IFERROR(__xludf.DUMMYFUNCTION("""COMPUTED_VALUE"""),"Westfalia/Witter")</f>
        <v>Westfalia/Witter</v>
      </c>
    </row>
    <row r="516">
      <c r="A516" t="str">
        <f>IFERROR(__xludf.DUMMYFUNCTION("""COMPUTED_VALUE"""),"316328600001")</f>
        <v>316328600001</v>
      </c>
      <c r="B516" s="226" t="str">
        <f>IFERROR(__xludf.DUMMYFUNCTION("""COMPUTED_VALUE"""),"4250141191563")</f>
        <v>4250141191563</v>
      </c>
      <c r="C516" t="str">
        <f>IFERROR(__xludf.DUMMYFUNCTION("""COMPUTED_VALUE"""),"Westfalia/Witter")</f>
        <v>Westfalia/Witter</v>
      </c>
    </row>
    <row r="517">
      <c r="A517" t="str">
        <f>IFERROR(__xludf.DUMMYFUNCTION("""COMPUTED_VALUE"""),"316328600001")</f>
        <v>316328600001</v>
      </c>
      <c r="B517" s="226" t="str">
        <f>IFERROR(__xludf.DUMMYFUNCTION("""COMPUTED_VALUE"""),"4250141191563")</f>
        <v>4250141191563</v>
      </c>
      <c r="C517" t="str">
        <f>IFERROR(__xludf.DUMMYFUNCTION("""COMPUTED_VALUE"""),"Westfalia/Witter")</f>
        <v>Westfalia/Witter</v>
      </c>
    </row>
    <row r="518">
      <c r="A518" t="str">
        <f>IFERROR(__xludf.DUMMYFUNCTION("""COMPUTED_VALUE"""),"316328600001")</f>
        <v>316328600001</v>
      </c>
      <c r="B518" s="226" t="str">
        <f>IFERROR(__xludf.DUMMYFUNCTION("""COMPUTED_VALUE"""),"4250141191563")</f>
        <v>4250141191563</v>
      </c>
      <c r="C518" t="str">
        <f>IFERROR(__xludf.DUMMYFUNCTION("""COMPUTED_VALUE"""),"Westfalia/Witter")</f>
        <v>Westfalia/Witter</v>
      </c>
    </row>
    <row r="519">
      <c r="A519" t="str">
        <f>IFERROR(__xludf.DUMMYFUNCTION("""COMPUTED_VALUE"""),"316329600001")</f>
        <v>316329600001</v>
      </c>
      <c r="B519" s="226" t="str">
        <f>IFERROR(__xludf.DUMMYFUNCTION("""COMPUTED_VALUE"""),"4250141191679")</f>
        <v>4250141191679</v>
      </c>
      <c r="C519" t="str">
        <f>IFERROR(__xludf.DUMMYFUNCTION("""COMPUTED_VALUE"""),"Westfalia/Witter")</f>
        <v>Westfalia/Witter</v>
      </c>
    </row>
    <row r="520">
      <c r="A520" t="str">
        <f>IFERROR(__xludf.DUMMYFUNCTION("""COMPUTED_VALUE"""),"316329600001")</f>
        <v>316329600001</v>
      </c>
      <c r="B520" s="226" t="str">
        <f>IFERROR(__xludf.DUMMYFUNCTION("""COMPUTED_VALUE"""),"4250141191679")</f>
        <v>4250141191679</v>
      </c>
      <c r="C520" t="str">
        <f>IFERROR(__xludf.DUMMYFUNCTION("""COMPUTED_VALUE"""),"Westfalia/Witter")</f>
        <v>Westfalia/Witter</v>
      </c>
    </row>
    <row r="521">
      <c r="A521" t="str">
        <f>IFERROR(__xludf.DUMMYFUNCTION("""COMPUTED_VALUE"""),"313404600001")</f>
        <v>313404600001</v>
      </c>
      <c r="B521" s="226" t="str">
        <f>IFERROR(__xludf.DUMMYFUNCTION("""COMPUTED_VALUE"""),"4250141192102")</f>
        <v>4250141192102</v>
      </c>
      <c r="C521" t="str">
        <f>IFERROR(__xludf.DUMMYFUNCTION("""COMPUTED_VALUE"""),"Westfalia/Witter")</f>
        <v>Westfalia/Witter</v>
      </c>
    </row>
    <row r="522">
      <c r="A522" t="str">
        <f>IFERROR(__xludf.DUMMYFUNCTION("""COMPUTED_VALUE"""),"314406900113")</f>
        <v>314406900113</v>
      </c>
      <c r="B522" s="226" t="str">
        <f>IFERROR(__xludf.DUMMYFUNCTION("""COMPUTED_VALUE"""),"4250141192362")</f>
        <v>4250141192362</v>
      </c>
      <c r="C522" t="str">
        <f>IFERROR(__xludf.DUMMYFUNCTION("""COMPUTED_VALUE"""),"Westfalia/Witter")</f>
        <v>Westfalia/Witter</v>
      </c>
    </row>
    <row r="523">
      <c r="A523" t="str">
        <f>IFERROR(__xludf.DUMMYFUNCTION("""COMPUTED_VALUE"""),"305415600001")</f>
        <v>305415600001</v>
      </c>
      <c r="B523" s="226" t="str">
        <f>IFERROR(__xludf.DUMMYFUNCTION("""COMPUTED_VALUE"""),"4250141192522")</f>
        <v>4250141192522</v>
      </c>
      <c r="C523" t="str">
        <f>IFERROR(__xludf.DUMMYFUNCTION("""COMPUTED_VALUE"""),"Westfalia/Witter")</f>
        <v>Westfalia/Witter</v>
      </c>
    </row>
    <row r="524">
      <c r="A524" t="str">
        <f>IFERROR(__xludf.DUMMYFUNCTION("""COMPUTED_VALUE"""),"314451600001")</f>
        <v>314451600001</v>
      </c>
      <c r="B524" s="226" t="str">
        <f>IFERROR(__xludf.DUMMYFUNCTION("""COMPUTED_VALUE"""),"4250141193734")</f>
        <v>4250141193734</v>
      </c>
      <c r="C524" t="str">
        <f>IFERROR(__xludf.DUMMYFUNCTION("""COMPUTED_VALUE"""),"Westfalia/Witter")</f>
        <v>Westfalia/Witter</v>
      </c>
    </row>
    <row r="525">
      <c r="A525" t="str">
        <f>IFERROR(__xludf.DUMMYFUNCTION("""COMPUTED_VALUE"""),"314451600001")</f>
        <v>314451600001</v>
      </c>
      <c r="B525" s="226" t="str">
        <f>IFERROR(__xludf.DUMMYFUNCTION("""COMPUTED_VALUE"""),"4250141193734")</f>
        <v>4250141193734</v>
      </c>
      <c r="C525" t="str">
        <f>IFERROR(__xludf.DUMMYFUNCTION("""COMPUTED_VALUE"""),"Westfalia/Witter")</f>
        <v>Westfalia/Witter</v>
      </c>
    </row>
    <row r="526">
      <c r="A526" t="str">
        <f>IFERROR(__xludf.DUMMYFUNCTION("""COMPUTED_VALUE"""),"314451600001")</f>
        <v>314451600001</v>
      </c>
      <c r="B526" s="226" t="str">
        <f>IFERROR(__xludf.DUMMYFUNCTION("""COMPUTED_VALUE"""),"4250141193734")</f>
        <v>4250141193734</v>
      </c>
      <c r="C526" t="str">
        <f>IFERROR(__xludf.DUMMYFUNCTION("""COMPUTED_VALUE"""),"Westfalia/Witter")</f>
        <v>Westfalia/Witter</v>
      </c>
    </row>
    <row r="527">
      <c r="A527" t="str">
        <f>IFERROR(__xludf.DUMMYFUNCTION("""COMPUTED_VALUE"""),"335414600001")</f>
        <v>335414600001</v>
      </c>
      <c r="B527" s="226" t="str">
        <f>IFERROR(__xludf.DUMMYFUNCTION("""COMPUTED_VALUE"""),"4250141193840")</f>
        <v>4250141193840</v>
      </c>
      <c r="C527" t="str">
        <f>IFERROR(__xludf.DUMMYFUNCTION("""COMPUTED_VALUE"""),"Westfalia/Witter")</f>
        <v>Westfalia/Witter</v>
      </c>
    </row>
    <row r="528">
      <c r="A528" t="str">
        <f>IFERROR(__xludf.DUMMYFUNCTION("""COMPUTED_VALUE"""),"335413600001")</f>
        <v>335413600001</v>
      </c>
      <c r="B528" s="226" t="str">
        <f>IFERROR(__xludf.DUMMYFUNCTION("""COMPUTED_VALUE"""),"4250141193857")</f>
        <v>4250141193857</v>
      </c>
      <c r="C528" t="str">
        <f>IFERROR(__xludf.DUMMYFUNCTION("""COMPUTED_VALUE"""),"Westfalia/Witter")</f>
        <v>Westfalia/Witter</v>
      </c>
    </row>
    <row r="529">
      <c r="A529" t="str">
        <f>IFERROR(__xludf.DUMMYFUNCTION("""COMPUTED_VALUE"""),"306385600001")</f>
        <v>306385600001</v>
      </c>
      <c r="B529" s="226" t="str">
        <f>IFERROR(__xludf.DUMMYFUNCTION("""COMPUTED_VALUE"""),"4250141194045")</f>
        <v>4250141194045</v>
      </c>
      <c r="C529" t="str">
        <f>IFERROR(__xludf.DUMMYFUNCTION("""COMPUTED_VALUE"""),"Westfalia/Witter")</f>
        <v>Westfalia/Witter</v>
      </c>
    </row>
    <row r="530">
      <c r="A530" t="str">
        <f>IFERROR(__xludf.DUMMYFUNCTION("""COMPUTED_VALUE"""),"306385600001")</f>
        <v>306385600001</v>
      </c>
      <c r="B530" s="226" t="str">
        <f>IFERROR(__xludf.DUMMYFUNCTION("""COMPUTED_VALUE"""),"4250141194045")</f>
        <v>4250141194045</v>
      </c>
      <c r="C530" t="str">
        <f>IFERROR(__xludf.DUMMYFUNCTION("""COMPUTED_VALUE"""),"Westfalia/Witter")</f>
        <v>Westfalia/Witter</v>
      </c>
    </row>
    <row r="531">
      <c r="A531" t="str">
        <f>IFERROR(__xludf.DUMMYFUNCTION("""COMPUTED_VALUE"""),"306393600001")</f>
        <v>306393600001</v>
      </c>
      <c r="B531" s="226" t="str">
        <f>IFERROR(__xludf.DUMMYFUNCTION("""COMPUTED_VALUE"""),"4250141194311")</f>
        <v>4250141194311</v>
      </c>
      <c r="C531" t="str">
        <f>IFERROR(__xludf.DUMMYFUNCTION("""COMPUTED_VALUE"""),"Westfalia/Witter")</f>
        <v>Westfalia/Witter</v>
      </c>
    </row>
    <row r="532">
      <c r="A532" t="str">
        <f>IFERROR(__xludf.DUMMYFUNCTION("""COMPUTED_VALUE"""),"306387600001")</f>
        <v>306387600001</v>
      </c>
      <c r="B532" s="226" t="str">
        <f>IFERROR(__xludf.DUMMYFUNCTION("""COMPUTED_VALUE"""),"4250141194670")</f>
        <v>4250141194670</v>
      </c>
      <c r="C532" t="str">
        <f>IFERROR(__xludf.DUMMYFUNCTION("""COMPUTED_VALUE"""),"Westfalia/Witter")</f>
        <v>Westfalia/Witter</v>
      </c>
    </row>
    <row r="533">
      <c r="A533" t="str">
        <f>IFERROR(__xludf.DUMMYFUNCTION("""COMPUTED_VALUE"""),"305407600001")</f>
        <v>305407600001</v>
      </c>
      <c r="B533" s="226" t="str">
        <f>IFERROR(__xludf.DUMMYFUNCTION("""COMPUTED_VALUE"""),"4250141194687")</f>
        <v>4250141194687</v>
      </c>
      <c r="C533" t="str">
        <f>IFERROR(__xludf.DUMMYFUNCTION("""COMPUTED_VALUE"""),"Westfalia/Witter")</f>
        <v>Westfalia/Witter</v>
      </c>
    </row>
    <row r="534">
      <c r="A534" t="str">
        <f>IFERROR(__xludf.DUMMYFUNCTION("""COMPUTED_VALUE"""),"305423600001")</f>
        <v>305423600001</v>
      </c>
      <c r="B534" s="226" t="str">
        <f>IFERROR(__xludf.DUMMYFUNCTION("""COMPUTED_VALUE"""),"4250141194793")</f>
        <v>4250141194793</v>
      </c>
      <c r="C534" t="str">
        <f>IFERROR(__xludf.DUMMYFUNCTION("""COMPUTED_VALUE"""),"Westfalia/Witter")</f>
        <v>Westfalia/Witter</v>
      </c>
    </row>
    <row r="535">
      <c r="A535" t="str">
        <f>IFERROR(__xludf.DUMMYFUNCTION("""COMPUTED_VALUE"""),"305423600001")</f>
        <v>305423600001</v>
      </c>
      <c r="B535" s="226" t="str">
        <f>IFERROR(__xludf.DUMMYFUNCTION("""COMPUTED_VALUE"""),"4250141194793")</f>
        <v>4250141194793</v>
      </c>
      <c r="C535" t="str">
        <f>IFERROR(__xludf.DUMMYFUNCTION("""COMPUTED_VALUE"""),"Westfalia/Witter")</f>
        <v>Westfalia/Witter</v>
      </c>
    </row>
    <row r="536">
      <c r="A536" t="str">
        <f>IFERROR(__xludf.DUMMYFUNCTION("""COMPUTED_VALUE"""),"316324600001")</f>
        <v>316324600001</v>
      </c>
      <c r="B536" s="226" t="str">
        <f>IFERROR(__xludf.DUMMYFUNCTION("""COMPUTED_VALUE"""),"4250141194878")</f>
        <v>4250141194878</v>
      </c>
      <c r="C536" t="str">
        <f>IFERROR(__xludf.DUMMYFUNCTION("""COMPUTED_VALUE"""),"Westfalia/Witter")</f>
        <v>Westfalia/Witter</v>
      </c>
    </row>
    <row r="537">
      <c r="A537" t="str">
        <f>IFERROR(__xludf.DUMMYFUNCTION("""COMPUTED_VALUE"""),"316324600001")</f>
        <v>316324600001</v>
      </c>
      <c r="B537" s="226" t="str">
        <f>IFERROR(__xludf.DUMMYFUNCTION("""COMPUTED_VALUE"""),"4250141194878")</f>
        <v>4250141194878</v>
      </c>
      <c r="C537" t="str">
        <f>IFERROR(__xludf.DUMMYFUNCTION("""COMPUTED_VALUE"""),"Westfalia/Witter")</f>
        <v>Westfalia/Witter</v>
      </c>
    </row>
    <row r="538">
      <c r="A538" t="str">
        <f>IFERROR(__xludf.DUMMYFUNCTION("""COMPUTED_VALUE"""),"316333600001")</f>
        <v>316333600001</v>
      </c>
      <c r="B538" s="226" t="str">
        <f>IFERROR(__xludf.DUMMYFUNCTION("""COMPUTED_VALUE"""),"4250141195066")</f>
        <v>4250141195066</v>
      </c>
      <c r="C538" t="str">
        <f>IFERROR(__xludf.DUMMYFUNCTION("""COMPUTED_VALUE"""),"Westfalia/Witter")</f>
        <v>Westfalia/Witter</v>
      </c>
    </row>
    <row r="539">
      <c r="A539" t="str">
        <f>IFERROR(__xludf.DUMMYFUNCTION("""COMPUTED_VALUE"""),"316334600001")</f>
        <v>316334600001</v>
      </c>
      <c r="B539" s="226" t="str">
        <f>IFERROR(__xludf.DUMMYFUNCTION("""COMPUTED_VALUE"""),"4250141195073")</f>
        <v>4250141195073</v>
      </c>
      <c r="C539" t="str">
        <f>IFERROR(__xludf.DUMMYFUNCTION("""COMPUTED_VALUE"""),"Westfalia/Witter")</f>
        <v>Westfalia/Witter</v>
      </c>
    </row>
    <row r="540">
      <c r="A540" t="str">
        <f>IFERROR(__xludf.DUMMYFUNCTION("""COMPUTED_VALUE"""),"316341600001")</f>
        <v>316341600001</v>
      </c>
      <c r="B540" s="226" t="str">
        <f>IFERROR(__xludf.DUMMYFUNCTION("""COMPUTED_VALUE"""),"4250141195110")</f>
        <v>4250141195110</v>
      </c>
      <c r="C540" t="str">
        <f>IFERROR(__xludf.DUMMYFUNCTION("""COMPUTED_VALUE"""),"Westfalia/Witter")</f>
        <v>Westfalia/Witter</v>
      </c>
    </row>
    <row r="541">
      <c r="A541" t="str">
        <f>IFERROR(__xludf.DUMMYFUNCTION("""COMPUTED_VALUE"""),"315184600001")</f>
        <v>315184600001</v>
      </c>
      <c r="B541" s="226" t="str">
        <f>IFERROR(__xludf.DUMMYFUNCTION("""COMPUTED_VALUE"""),"4250141195349")</f>
        <v>4250141195349</v>
      </c>
      <c r="C541" t="str">
        <f>IFERROR(__xludf.DUMMYFUNCTION("""COMPUTED_VALUE"""),"Westfalia/Witter")</f>
        <v>Westfalia/Witter</v>
      </c>
    </row>
    <row r="542">
      <c r="A542" t="str">
        <f>IFERROR(__xludf.DUMMYFUNCTION("""COMPUTED_VALUE"""),"315184600001")</f>
        <v>315184600001</v>
      </c>
      <c r="B542" s="226" t="str">
        <f>IFERROR(__xludf.DUMMYFUNCTION("""COMPUTED_VALUE"""),"4250141195349")</f>
        <v>4250141195349</v>
      </c>
      <c r="C542" t="str">
        <f>IFERROR(__xludf.DUMMYFUNCTION("""COMPUTED_VALUE"""),"Westfalia/Witter")</f>
        <v>Westfalia/Witter</v>
      </c>
    </row>
    <row r="543">
      <c r="A543" t="str">
        <f>IFERROR(__xludf.DUMMYFUNCTION("""COMPUTED_VALUE"""),"315185600001")</f>
        <v>315185600001</v>
      </c>
      <c r="B543" s="226" t="str">
        <f>IFERROR(__xludf.DUMMYFUNCTION("""COMPUTED_VALUE"""),"4250141195356")</f>
        <v>4250141195356</v>
      </c>
      <c r="C543" t="str">
        <f>IFERROR(__xludf.DUMMYFUNCTION("""COMPUTED_VALUE"""),"Westfalia/Witter")</f>
        <v>Westfalia/Witter</v>
      </c>
    </row>
    <row r="544">
      <c r="A544" t="str">
        <f>IFERROR(__xludf.DUMMYFUNCTION("""COMPUTED_VALUE"""),"315185600001")</f>
        <v>315185600001</v>
      </c>
      <c r="B544" s="226" t="str">
        <f>IFERROR(__xludf.DUMMYFUNCTION("""COMPUTED_VALUE"""),"4250141195356")</f>
        <v>4250141195356</v>
      </c>
      <c r="C544" t="str">
        <f>IFERROR(__xludf.DUMMYFUNCTION("""COMPUTED_VALUE"""),"Westfalia/Witter")</f>
        <v>Westfalia/Witter</v>
      </c>
    </row>
    <row r="545">
      <c r="A545" t="str">
        <f>IFERROR(__xludf.DUMMYFUNCTION("""COMPUTED_VALUE"""),"348037600001")</f>
        <v>348037600001</v>
      </c>
      <c r="B545" s="226" t="str">
        <f>IFERROR(__xludf.DUMMYFUNCTION("""COMPUTED_VALUE"""),"4250141195394")</f>
        <v>4250141195394</v>
      </c>
      <c r="C545" t="str">
        <f>IFERROR(__xludf.DUMMYFUNCTION("""COMPUTED_VALUE"""),"Westfalia/Witter")</f>
        <v>Westfalia/Witter</v>
      </c>
    </row>
    <row r="546">
      <c r="A546" t="str">
        <f>IFERROR(__xludf.DUMMYFUNCTION("""COMPUTED_VALUE"""),"316342600001")</f>
        <v>316342600001</v>
      </c>
      <c r="B546" s="226" t="str">
        <f>IFERROR(__xludf.DUMMYFUNCTION("""COMPUTED_VALUE"""),"4250141195509")</f>
        <v>4250141195509</v>
      </c>
      <c r="C546" t="str">
        <f>IFERROR(__xludf.DUMMYFUNCTION("""COMPUTED_VALUE"""),"Westfalia/Witter")</f>
        <v>Westfalia/Witter</v>
      </c>
    </row>
    <row r="547">
      <c r="A547" t="str">
        <f>IFERROR(__xludf.DUMMYFUNCTION("""COMPUTED_VALUE"""),"316343600001")</f>
        <v>316343600001</v>
      </c>
      <c r="B547" s="226" t="str">
        <f>IFERROR(__xludf.DUMMYFUNCTION("""COMPUTED_VALUE"""),"4250141195516")</f>
        <v>4250141195516</v>
      </c>
      <c r="C547" t="str">
        <f>IFERROR(__xludf.DUMMYFUNCTION("""COMPUTED_VALUE"""),"Westfalia/Witter")</f>
        <v>Westfalia/Witter</v>
      </c>
    </row>
    <row r="548">
      <c r="A548" t="str">
        <f>IFERROR(__xludf.DUMMYFUNCTION("""COMPUTED_VALUE"""),"316343600001")</f>
        <v>316343600001</v>
      </c>
      <c r="B548" s="226" t="str">
        <f>IFERROR(__xludf.DUMMYFUNCTION("""COMPUTED_VALUE"""),"4250141195516")</f>
        <v>4250141195516</v>
      </c>
      <c r="C548" t="str">
        <f>IFERROR(__xludf.DUMMYFUNCTION("""COMPUTED_VALUE"""),"Westfalia/Witter")</f>
        <v>Westfalia/Witter</v>
      </c>
    </row>
    <row r="549">
      <c r="A549" t="str">
        <f>IFERROR(__xludf.DUMMYFUNCTION("""COMPUTED_VALUE"""),"316344600001")</f>
        <v>316344600001</v>
      </c>
      <c r="B549" s="226" t="str">
        <f>IFERROR(__xludf.DUMMYFUNCTION("""COMPUTED_VALUE"""),"4250141195530")</f>
        <v>4250141195530</v>
      </c>
      <c r="C549" t="str">
        <f>IFERROR(__xludf.DUMMYFUNCTION("""COMPUTED_VALUE"""),"Westfalia/Witter")</f>
        <v>Westfalia/Witter</v>
      </c>
    </row>
    <row r="550">
      <c r="A550" t="str">
        <f>IFERROR(__xludf.DUMMYFUNCTION("""COMPUTED_VALUE"""),"316344600001")</f>
        <v>316344600001</v>
      </c>
      <c r="B550" s="226" t="str">
        <f>IFERROR(__xludf.DUMMYFUNCTION("""COMPUTED_VALUE"""),"4250141195530")</f>
        <v>4250141195530</v>
      </c>
      <c r="C550" t="str">
        <f>IFERROR(__xludf.DUMMYFUNCTION("""COMPUTED_VALUE"""),"Westfalia/Witter")</f>
        <v>Westfalia/Witter</v>
      </c>
    </row>
    <row r="551">
      <c r="A551" t="str">
        <f>IFERROR(__xludf.DUMMYFUNCTION("""COMPUTED_VALUE"""),"338103600001")</f>
        <v>338103600001</v>
      </c>
      <c r="B551" s="226" t="str">
        <f>IFERROR(__xludf.DUMMYFUNCTION("""COMPUTED_VALUE"""),"4250141195684")</f>
        <v>4250141195684</v>
      </c>
      <c r="C551" t="str">
        <f>IFERROR(__xludf.DUMMYFUNCTION("""COMPUTED_VALUE"""),"Westfalia/Witter")</f>
        <v>Westfalia/Witter</v>
      </c>
    </row>
    <row r="552">
      <c r="A552" t="str">
        <f>IFERROR(__xludf.DUMMYFUNCTION("""COMPUTED_VALUE"""),"313435600001")</f>
        <v>313435600001</v>
      </c>
      <c r="B552" s="226" t="str">
        <f>IFERROR(__xludf.DUMMYFUNCTION("""COMPUTED_VALUE"""),"4250141195820")</f>
        <v>4250141195820</v>
      </c>
      <c r="C552" t="str">
        <f>IFERROR(__xludf.DUMMYFUNCTION("""COMPUTED_VALUE"""),"Westfalia/Witter")</f>
        <v>Westfalia/Witter</v>
      </c>
    </row>
    <row r="553">
      <c r="A553" t="str">
        <f>IFERROR(__xludf.DUMMYFUNCTION("""COMPUTED_VALUE"""),"313436600001")</f>
        <v>313436600001</v>
      </c>
      <c r="B553" s="226" t="str">
        <f>IFERROR(__xludf.DUMMYFUNCTION("""COMPUTED_VALUE"""),"4250141195837")</f>
        <v>4250141195837</v>
      </c>
      <c r="C553" t="str">
        <f>IFERROR(__xludf.DUMMYFUNCTION("""COMPUTED_VALUE"""),"Westfalia/Witter")</f>
        <v>Westfalia/Witter</v>
      </c>
    </row>
    <row r="554">
      <c r="A554" t="str">
        <f>IFERROR(__xludf.DUMMYFUNCTION("""COMPUTED_VALUE"""),"304148600001")</f>
        <v>304148600001</v>
      </c>
      <c r="B554" s="226" t="str">
        <f>IFERROR(__xludf.DUMMYFUNCTION("""COMPUTED_VALUE"""),"4250141196032")</f>
        <v>4250141196032</v>
      </c>
      <c r="C554" t="str">
        <f>IFERROR(__xludf.DUMMYFUNCTION("""COMPUTED_VALUE"""),"Westfalia/Witter")</f>
        <v>Westfalia/Witter</v>
      </c>
    </row>
    <row r="555">
      <c r="A555" t="str">
        <f>IFERROR(__xludf.DUMMYFUNCTION("""COMPUTED_VALUE"""),"304148600001")</f>
        <v>304148600001</v>
      </c>
      <c r="B555" s="226" t="str">
        <f>IFERROR(__xludf.DUMMYFUNCTION("""COMPUTED_VALUE"""),"4250141196032")</f>
        <v>4250141196032</v>
      </c>
      <c r="C555" t="str">
        <f>IFERROR(__xludf.DUMMYFUNCTION("""COMPUTED_VALUE"""),"Westfalia/Witter")</f>
        <v>Westfalia/Witter</v>
      </c>
    </row>
    <row r="556">
      <c r="A556" t="str">
        <f>IFERROR(__xludf.DUMMYFUNCTION("""COMPUTED_VALUE"""),"314461600001")</f>
        <v>314461600001</v>
      </c>
      <c r="B556" s="226" t="str">
        <f>IFERROR(__xludf.DUMMYFUNCTION("""COMPUTED_VALUE"""),"4250141197251")</f>
        <v>4250141197251</v>
      </c>
      <c r="C556" t="str">
        <f>IFERROR(__xludf.DUMMYFUNCTION("""COMPUTED_VALUE"""),"Westfalia/Witter")</f>
        <v>Westfalia/Witter</v>
      </c>
    </row>
    <row r="557">
      <c r="A557" t="str">
        <f>IFERROR(__xludf.DUMMYFUNCTION("""COMPUTED_VALUE"""),"305429600001")</f>
        <v>305429600001</v>
      </c>
      <c r="B557" s="226" t="str">
        <f>IFERROR(__xludf.DUMMYFUNCTION("""COMPUTED_VALUE"""),"4250141197268")</f>
        <v>4250141197268</v>
      </c>
      <c r="C557" t="str">
        <f>IFERROR(__xludf.DUMMYFUNCTION("""COMPUTED_VALUE"""),"Westfalia/Witter")</f>
        <v>Westfalia/Witter</v>
      </c>
    </row>
    <row r="558">
      <c r="A558" t="str">
        <f>IFERROR(__xludf.DUMMYFUNCTION("""COMPUTED_VALUE"""),"305429600001")</f>
        <v>305429600001</v>
      </c>
      <c r="B558" s="226" t="str">
        <f>IFERROR(__xludf.DUMMYFUNCTION("""COMPUTED_VALUE"""),"4250141197268")</f>
        <v>4250141197268</v>
      </c>
      <c r="C558" t="str">
        <f>IFERROR(__xludf.DUMMYFUNCTION("""COMPUTED_VALUE"""),"Westfalia/Witter")</f>
        <v>Westfalia/Witter</v>
      </c>
    </row>
    <row r="559">
      <c r="A559" t="str">
        <f>IFERROR(__xludf.DUMMYFUNCTION("""COMPUTED_VALUE"""),"305429600001")</f>
        <v>305429600001</v>
      </c>
      <c r="B559" s="226" t="str">
        <f>IFERROR(__xludf.DUMMYFUNCTION("""COMPUTED_VALUE"""),"4250141197268")</f>
        <v>4250141197268</v>
      </c>
      <c r="C559" t="str">
        <f>IFERROR(__xludf.DUMMYFUNCTION("""COMPUTED_VALUE"""),"Westfalia/Witter")</f>
        <v>Westfalia/Witter</v>
      </c>
    </row>
    <row r="560">
      <c r="A560" t="str">
        <f>IFERROR(__xludf.DUMMYFUNCTION("""COMPUTED_VALUE"""),"305428600001")</f>
        <v>305428600001</v>
      </c>
      <c r="B560" s="226" t="str">
        <f>IFERROR(__xludf.DUMMYFUNCTION("""COMPUTED_VALUE"""),"4250141197282")</f>
        <v>4250141197282</v>
      </c>
      <c r="C560" t="str">
        <f>IFERROR(__xludf.DUMMYFUNCTION("""COMPUTED_VALUE"""),"Westfalia/Witter")</f>
        <v>Westfalia/Witter</v>
      </c>
    </row>
    <row r="561">
      <c r="A561" t="str">
        <f>IFERROR(__xludf.DUMMYFUNCTION("""COMPUTED_VALUE"""),"305428600001")</f>
        <v>305428600001</v>
      </c>
      <c r="B561" s="226" t="str">
        <f>IFERROR(__xludf.DUMMYFUNCTION("""COMPUTED_VALUE"""),"4250141197282")</f>
        <v>4250141197282</v>
      </c>
      <c r="C561" t="str">
        <f>IFERROR(__xludf.DUMMYFUNCTION("""COMPUTED_VALUE"""),"Westfalia/Witter")</f>
        <v>Westfalia/Witter</v>
      </c>
    </row>
    <row r="562">
      <c r="A562" t="str">
        <f>IFERROR(__xludf.DUMMYFUNCTION("""COMPUTED_VALUE"""),"303320600001")</f>
        <v>303320600001</v>
      </c>
      <c r="B562" s="226" t="str">
        <f>IFERROR(__xludf.DUMMYFUNCTION("""COMPUTED_VALUE"""),"4250141197336")</f>
        <v>4250141197336</v>
      </c>
      <c r="C562" t="str">
        <f>IFERROR(__xludf.DUMMYFUNCTION("""COMPUTED_VALUE"""),"Westfalia/Witter")</f>
        <v>Westfalia/Witter</v>
      </c>
    </row>
    <row r="563">
      <c r="A563" t="str">
        <f>IFERROR(__xludf.DUMMYFUNCTION("""COMPUTED_VALUE"""),"303317600001")</f>
        <v>303317600001</v>
      </c>
      <c r="B563" s="226" t="str">
        <f>IFERROR(__xludf.DUMMYFUNCTION("""COMPUTED_VALUE"""),"4250141197343")</f>
        <v>4250141197343</v>
      </c>
      <c r="C563" t="str">
        <f>IFERROR(__xludf.DUMMYFUNCTION("""COMPUTED_VALUE"""),"Westfalia/Witter")</f>
        <v>Westfalia/Witter</v>
      </c>
    </row>
    <row r="564">
      <c r="A564" t="str">
        <f>IFERROR(__xludf.DUMMYFUNCTION("""COMPUTED_VALUE"""),"316326600001")</f>
        <v>316326600001</v>
      </c>
      <c r="B564" s="226" t="str">
        <f>IFERROR(__xludf.DUMMYFUNCTION("""COMPUTED_VALUE"""),"4250141197367")</f>
        <v>4250141197367</v>
      </c>
      <c r="C564" t="str">
        <f>IFERROR(__xludf.DUMMYFUNCTION("""COMPUTED_VALUE"""),"Westfalia/Witter")</f>
        <v>Westfalia/Witter</v>
      </c>
    </row>
    <row r="565">
      <c r="A565" t="str">
        <f>IFERROR(__xludf.DUMMYFUNCTION("""COMPUTED_VALUE"""),"313438600001")</f>
        <v>313438600001</v>
      </c>
      <c r="B565" s="226" t="str">
        <f>IFERROR(__xludf.DUMMYFUNCTION("""COMPUTED_VALUE"""),"4250141198142")</f>
        <v>4250141198142</v>
      </c>
      <c r="C565" t="str">
        <f>IFERROR(__xludf.DUMMYFUNCTION("""COMPUTED_VALUE"""),"Westfalia/Witter")</f>
        <v>Westfalia/Witter</v>
      </c>
    </row>
    <row r="566">
      <c r="A566" t="str">
        <f>IFERROR(__xludf.DUMMYFUNCTION("""COMPUTED_VALUE"""),"313438600001")</f>
        <v>313438600001</v>
      </c>
      <c r="B566" s="226" t="str">
        <f>IFERROR(__xludf.DUMMYFUNCTION("""COMPUTED_VALUE"""),"4250141198142")</f>
        <v>4250141198142</v>
      </c>
      <c r="C566" t="str">
        <f>IFERROR(__xludf.DUMMYFUNCTION("""COMPUTED_VALUE"""),"Westfalia/Witter")</f>
        <v>Westfalia/Witter</v>
      </c>
    </row>
    <row r="567">
      <c r="A567" t="str">
        <f>IFERROR(__xludf.DUMMYFUNCTION("""COMPUTED_VALUE"""),"313438600001")</f>
        <v>313438600001</v>
      </c>
      <c r="B567" s="226" t="str">
        <f>IFERROR(__xludf.DUMMYFUNCTION("""COMPUTED_VALUE"""),"4250141198142")</f>
        <v>4250141198142</v>
      </c>
      <c r="C567" t="str">
        <f>IFERROR(__xludf.DUMMYFUNCTION("""COMPUTED_VALUE"""),"Westfalia/Witter")</f>
        <v>Westfalia/Witter</v>
      </c>
    </row>
    <row r="568">
      <c r="A568" t="str">
        <f>IFERROR(__xludf.DUMMYFUNCTION("""COMPUTED_VALUE"""),"303351600001")</f>
        <v>303351600001</v>
      </c>
      <c r="B568" s="226" t="str">
        <f>IFERROR(__xludf.DUMMYFUNCTION("""COMPUTED_VALUE"""),"4250141199101")</f>
        <v>4250141199101</v>
      </c>
      <c r="C568" t="str">
        <f>IFERROR(__xludf.DUMMYFUNCTION("""COMPUTED_VALUE"""),"Westfalia/Witter")</f>
        <v>Westfalia/Witter</v>
      </c>
    </row>
    <row r="569">
      <c r="A569" t="str">
        <f>IFERROR(__xludf.DUMMYFUNCTION("""COMPUTED_VALUE"""),"303351600001")</f>
        <v>303351600001</v>
      </c>
      <c r="B569" s="226" t="str">
        <f>IFERROR(__xludf.DUMMYFUNCTION("""COMPUTED_VALUE"""),"4250141199101")</f>
        <v>4250141199101</v>
      </c>
      <c r="C569" t="str">
        <f>IFERROR(__xludf.DUMMYFUNCTION("""COMPUTED_VALUE"""),"Westfalia/Witter")</f>
        <v>Westfalia/Witter</v>
      </c>
    </row>
    <row r="570">
      <c r="A570" t="str">
        <f>IFERROR(__xludf.DUMMYFUNCTION("""COMPUTED_VALUE"""),"303351600001")</f>
        <v>303351600001</v>
      </c>
      <c r="B570" s="226" t="str">
        <f>IFERROR(__xludf.DUMMYFUNCTION("""COMPUTED_VALUE"""),"4250141199101")</f>
        <v>4250141199101</v>
      </c>
      <c r="C570" t="str">
        <f>IFERROR(__xludf.DUMMYFUNCTION("""COMPUTED_VALUE"""),"Westfalia/Witter")</f>
        <v>Westfalia/Witter</v>
      </c>
    </row>
    <row r="571">
      <c r="A571" t="str">
        <f>IFERROR(__xludf.DUMMYFUNCTION("""COMPUTED_VALUE"""),"303351600001")</f>
        <v>303351600001</v>
      </c>
      <c r="B571" s="226" t="str">
        <f>IFERROR(__xludf.DUMMYFUNCTION("""COMPUTED_VALUE"""),"4250141199101")</f>
        <v>4250141199101</v>
      </c>
      <c r="C571" t="str">
        <f>IFERROR(__xludf.DUMMYFUNCTION("""COMPUTED_VALUE"""),"Westfalia/Witter")</f>
        <v>Westfalia/Witter</v>
      </c>
    </row>
    <row r="572">
      <c r="A572" t="str">
        <f>IFERROR(__xludf.DUMMYFUNCTION("""COMPUTED_VALUE"""),"303351600001")</f>
        <v>303351600001</v>
      </c>
      <c r="B572" s="226" t="str">
        <f>IFERROR(__xludf.DUMMYFUNCTION("""COMPUTED_VALUE"""),"4250141199101")</f>
        <v>4250141199101</v>
      </c>
      <c r="C572" t="str">
        <f>IFERROR(__xludf.DUMMYFUNCTION("""COMPUTED_VALUE"""),"Westfalia/Witter")</f>
        <v>Westfalia/Witter</v>
      </c>
    </row>
    <row r="573">
      <c r="A573" t="str">
        <f>IFERROR(__xludf.DUMMYFUNCTION("""COMPUTED_VALUE"""),"303352600001")</f>
        <v>303352600001</v>
      </c>
      <c r="B573" s="226" t="str">
        <f>IFERROR(__xludf.DUMMYFUNCTION("""COMPUTED_VALUE"""),"4250141199118")</f>
        <v>4250141199118</v>
      </c>
      <c r="C573" t="str">
        <f>IFERROR(__xludf.DUMMYFUNCTION("""COMPUTED_VALUE"""),"Westfalia/Witter")</f>
        <v>Westfalia/Witter</v>
      </c>
    </row>
    <row r="574">
      <c r="A574" t="str">
        <f>IFERROR(__xludf.DUMMYFUNCTION("""COMPUTED_VALUE"""),"303352600001")</f>
        <v>303352600001</v>
      </c>
      <c r="B574" s="226" t="str">
        <f>IFERROR(__xludf.DUMMYFUNCTION("""COMPUTED_VALUE"""),"4250141199118")</f>
        <v>4250141199118</v>
      </c>
      <c r="C574" t="str">
        <f>IFERROR(__xludf.DUMMYFUNCTION("""COMPUTED_VALUE"""),"Westfalia/Witter")</f>
        <v>Westfalia/Witter</v>
      </c>
    </row>
    <row r="575">
      <c r="A575" t="str">
        <f>IFERROR(__xludf.DUMMYFUNCTION("""COMPUTED_VALUE"""),"303352600001")</f>
        <v>303352600001</v>
      </c>
      <c r="B575" s="226" t="str">
        <f>IFERROR(__xludf.DUMMYFUNCTION("""COMPUTED_VALUE"""),"4250141199118")</f>
        <v>4250141199118</v>
      </c>
      <c r="C575" t="str">
        <f>IFERROR(__xludf.DUMMYFUNCTION("""COMPUTED_VALUE"""),"Westfalia/Witter")</f>
        <v>Westfalia/Witter</v>
      </c>
    </row>
    <row r="576">
      <c r="A576" t="str">
        <f>IFERROR(__xludf.DUMMYFUNCTION("""COMPUTED_VALUE"""),"303352600001")</f>
        <v>303352600001</v>
      </c>
      <c r="B576" s="226" t="str">
        <f>IFERROR(__xludf.DUMMYFUNCTION("""COMPUTED_VALUE"""),"4250141199118")</f>
        <v>4250141199118</v>
      </c>
      <c r="C576" t="str">
        <f>IFERROR(__xludf.DUMMYFUNCTION("""COMPUTED_VALUE"""),"Westfalia/Witter")</f>
        <v>Westfalia/Witter</v>
      </c>
    </row>
    <row r="577">
      <c r="A577" t="str">
        <f>IFERROR(__xludf.DUMMYFUNCTION("""COMPUTED_VALUE"""),"303352600001")</f>
        <v>303352600001</v>
      </c>
      <c r="B577" s="226" t="str">
        <f>IFERROR(__xludf.DUMMYFUNCTION("""COMPUTED_VALUE"""),"4250141199118")</f>
        <v>4250141199118</v>
      </c>
      <c r="C577" t="str">
        <f>IFERROR(__xludf.DUMMYFUNCTION("""COMPUTED_VALUE"""),"Westfalia/Witter")</f>
        <v>Westfalia/Witter</v>
      </c>
    </row>
    <row r="578">
      <c r="A578" t="str">
        <f>IFERROR(__xludf.DUMMYFUNCTION("""COMPUTED_VALUE"""),"338104600001")</f>
        <v>338104600001</v>
      </c>
      <c r="B578" s="226" t="str">
        <f>IFERROR(__xludf.DUMMYFUNCTION("""COMPUTED_VALUE"""),"4250141199217")</f>
        <v>4250141199217</v>
      </c>
      <c r="C578" t="str">
        <f>IFERROR(__xludf.DUMMYFUNCTION("""COMPUTED_VALUE"""),"Westfalia/Witter")</f>
        <v>Westfalia/Witter</v>
      </c>
    </row>
    <row r="579">
      <c r="A579" t="str">
        <f>IFERROR(__xludf.DUMMYFUNCTION("""COMPUTED_VALUE"""),"306394600001")</f>
        <v>306394600001</v>
      </c>
      <c r="B579" s="226" t="str">
        <f>IFERROR(__xludf.DUMMYFUNCTION("""COMPUTED_VALUE"""),"4250141199828")</f>
        <v>4250141199828</v>
      </c>
      <c r="C579" t="str">
        <f>IFERROR(__xludf.DUMMYFUNCTION("""COMPUTED_VALUE"""),"Westfalia/Witter")</f>
        <v>Westfalia/Witter</v>
      </c>
    </row>
    <row r="580">
      <c r="A580" t="str">
        <f>IFERROR(__xludf.DUMMYFUNCTION("""COMPUTED_VALUE"""),"306394600001")</f>
        <v>306394600001</v>
      </c>
      <c r="B580" s="226" t="str">
        <f>IFERROR(__xludf.DUMMYFUNCTION("""COMPUTED_VALUE"""),"4250141199828")</f>
        <v>4250141199828</v>
      </c>
      <c r="C580" t="str">
        <f>IFERROR(__xludf.DUMMYFUNCTION("""COMPUTED_VALUE"""),"Westfalia/Witter")</f>
        <v>Westfalia/Witter</v>
      </c>
    </row>
    <row r="581">
      <c r="A581" t="str">
        <f>IFERROR(__xludf.DUMMYFUNCTION("""COMPUTED_VALUE"""),"306400600001")</f>
        <v>306400600001</v>
      </c>
      <c r="B581" s="226" t="str">
        <f>IFERROR(__xludf.DUMMYFUNCTION("""COMPUTED_VALUE"""),"4250141199859")</f>
        <v>4250141199859</v>
      </c>
      <c r="C581" t="str">
        <f>IFERROR(__xludf.DUMMYFUNCTION("""COMPUTED_VALUE"""),"Westfalia/Witter")</f>
        <v>Westfalia/Witter</v>
      </c>
    </row>
    <row r="582">
      <c r="A582" t="str">
        <f>IFERROR(__xludf.DUMMYFUNCTION("""COMPUTED_VALUE"""),"306400600001")</f>
        <v>306400600001</v>
      </c>
      <c r="B582" s="226" t="str">
        <f>IFERROR(__xludf.DUMMYFUNCTION("""COMPUTED_VALUE"""),"4250141199859")</f>
        <v>4250141199859</v>
      </c>
      <c r="C582" t="str">
        <f>IFERROR(__xludf.DUMMYFUNCTION("""COMPUTED_VALUE"""),"Westfalia/Witter")</f>
        <v>Westfalia/Witter</v>
      </c>
    </row>
    <row r="583">
      <c r="A583" t="str">
        <f>IFERROR(__xludf.DUMMYFUNCTION("""COMPUTED_VALUE"""),"306401600001")</f>
        <v>306401600001</v>
      </c>
      <c r="B583" s="226" t="str">
        <f>IFERROR(__xludf.DUMMYFUNCTION("""COMPUTED_VALUE"""),"4250141199866")</f>
        <v>4250141199866</v>
      </c>
      <c r="C583" t="str">
        <f>IFERROR(__xludf.DUMMYFUNCTION("""COMPUTED_VALUE"""),"Westfalia/Witter")</f>
        <v>Westfalia/Witter</v>
      </c>
    </row>
    <row r="584">
      <c r="A584" t="str">
        <f>IFERROR(__xludf.DUMMYFUNCTION("""COMPUTED_VALUE"""),"306401600001")</f>
        <v>306401600001</v>
      </c>
      <c r="B584" s="226" t="str">
        <f>IFERROR(__xludf.DUMMYFUNCTION("""COMPUTED_VALUE"""),"4250141199866")</f>
        <v>4250141199866</v>
      </c>
      <c r="C584" t="str">
        <f>IFERROR(__xludf.DUMMYFUNCTION("""COMPUTED_VALUE"""),"Westfalia/Witter")</f>
        <v>Westfalia/Witter</v>
      </c>
    </row>
    <row r="585">
      <c r="A585" t="str">
        <f>IFERROR(__xludf.DUMMYFUNCTION("""COMPUTED_VALUE"""),"335357600001")</f>
        <v>335357600001</v>
      </c>
      <c r="B585" s="226" t="str">
        <f>IFERROR(__xludf.DUMMYFUNCTION("""COMPUTED_VALUE"""),"4250143358177")</f>
        <v>4250143358177</v>
      </c>
      <c r="C585" t="str">
        <f>IFERROR(__xludf.DUMMYFUNCTION("""COMPUTED_VALUE"""),"Westfalia/Witter")</f>
        <v>Westfalia/Witter</v>
      </c>
    </row>
    <row r="586">
      <c r="A586" t="str">
        <f>IFERROR(__xludf.DUMMYFUNCTION("""COMPUTED_VALUE"""),"335357600001")</f>
        <v>335357600001</v>
      </c>
      <c r="B586" s="226" t="str">
        <f>IFERROR(__xludf.DUMMYFUNCTION("""COMPUTED_VALUE"""),"4250143358177")</f>
        <v>4250143358177</v>
      </c>
      <c r="C586" t="str">
        <f>IFERROR(__xludf.DUMMYFUNCTION("""COMPUTED_VALUE"""),"Westfalia/Witter")</f>
        <v>Westfalia/Witter</v>
      </c>
    </row>
    <row r="587">
      <c r="A587" t="str">
        <f>IFERROR(__xludf.DUMMYFUNCTION("""COMPUTED_VALUE"""),"345087600001")</f>
        <v>345087600001</v>
      </c>
      <c r="B587" s="226" t="str">
        <f>IFERROR(__xludf.DUMMYFUNCTION("""COMPUTED_VALUE"""),"4250557500195")</f>
        <v>4250557500195</v>
      </c>
      <c r="C587" t="str">
        <f>IFERROR(__xludf.DUMMYFUNCTION("""COMPUTED_VALUE"""),"Westfalia/Witter")</f>
        <v>Westfalia/Witter</v>
      </c>
    </row>
    <row r="588">
      <c r="A588" t="str">
        <f>IFERROR(__xludf.DUMMYFUNCTION("""COMPUTED_VALUE"""),"314469600001")</f>
        <v>314469600001</v>
      </c>
      <c r="B588" s="226" t="str">
        <f>IFERROR(__xludf.DUMMYFUNCTION("""COMPUTED_VALUE"""),"4250557500805")</f>
        <v>4250557500805</v>
      </c>
      <c r="C588" t="str">
        <f>IFERROR(__xludf.DUMMYFUNCTION("""COMPUTED_VALUE"""),"Westfalia/Witter")</f>
        <v>Westfalia/Witter</v>
      </c>
    </row>
    <row r="589">
      <c r="A589" t="str">
        <f>IFERROR(__xludf.DUMMYFUNCTION("""COMPUTED_VALUE"""),"314470600001")</f>
        <v>314470600001</v>
      </c>
      <c r="B589" s="226" t="str">
        <f>IFERROR(__xludf.DUMMYFUNCTION("""COMPUTED_VALUE"""),"4250557500829")</f>
        <v>4250557500829</v>
      </c>
      <c r="C589" t="str">
        <f>IFERROR(__xludf.DUMMYFUNCTION("""COMPUTED_VALUE"""),"Westfalia/Witter")</f>
        <v>Westfalia/Witter</v>
      </c>
    </row>
    <row r="590">
      <c r="A590" t="str">
        <f>IFERROR(__xludf.DUMMYFUNCTION("""COMPUTED_VALUE"""),"321824600001")</f>
        <v>321824600001</v>
      </c>
      <c r="B590" s="226" t="str">
        <f>IFERROR(__xludf.DUMMYFUNCTION("""COMPUTED_VALUE"""),"4250557501017")</f>
        <v>4250557501017</v>
      </c>
      <c r="C590" t="str">
        <f>IFERROR(__xludf.DUMMYFUNCTION("""COMPUTED_VALUE"""),"Westfalia/Witter")</f>
        <v>Westfalia/Witter</v>
      </c>
    </row>
    <row r="591">
      <c r="A591" t="str">
        <f>IFERROR(__xludf.DUMMYFUNCTION("""COMPUTED_VALUE"""),"321824600001")</f>
        <v>321824600001</v>
      </c>
      <c r="B591" s="226" t="str">
        <f>IFERROR(__xludf.DUMMYFUNCTION("""COMPUTED_VALUE"""),"4250557501017")</f>
        <v>4250557501017</v>
      </c>
      <c r="C591" t="str">
        <f>IFERROR(__xludf.DUMMYFUNCTION("""COMPUTED_VALUE"""),"Westfalia/Witter")</f>
        <v>Westfalia/Witter</v>
      </c>
    </row>
    <row r="592">
      <c r="A592" t="str">
        <f>IFERROR(__xludf.DUMMYFUNCTION("""COMPUTED_VALUE"""),"321824600001")</f>
        <v>321824600001</v>
      </c>
      <c r="B592" s="226" t="str">
        <f>IFERROR(__xludf.DUMMYFUNCTION("""COMPUTED_VALUE"""),"4250557501017")</f>
        <v>4250557501017</v>
      </c>
      <c r="C592" t="str">
        <f>IFERROR(__xludf.DUMMYFUNCTION("""COMPUTED_VALUE"""),"Westfalia/Witter")</f>
        <v>Westfalia/Witter</v>
      </c>
    </row>
    <row r="593">
      <c r="A593" t="str">
        <f>IFERROR(__xludf.DUMMYFUNCTION("""COMPUTED_VALUE"""),"305421600001")</f>
        <v>305421600001</v>
      </c>
      <c r="B593" s="226" t="str">
        <f>IFERROR(__xludf.DUMMYFUNCTION("""COMPUTED_VALUE"""),"4250557502755")</f>
        <v>4250557502755</v>
      </c>
      <c r="C593" t="str">
        <f>IFERROR(__xludf.DUMMYFUNCTION("""COMPUTED_VALUE"""),"Westfalia/Witter")</f>
        <v>Westfalia/Witter</v>
      </c>
    </row>
    <row r="594">
      <c r="A594" t="str">
        <f>IFERROR(__xludf.DUMMYFUNCTION("""COMPUTED_VALUE"""),"305421600001")</f>
        <v>305421600001</v>
      </c>
      <c r="B594" s="226" t="str">
        <f>IFERROR(__xludf.DUMMYFUNCTION("""COMPUTED_VALUE"""),"4250557502755")</f>
        <v>4250557502755</v>
      </c>
      <c r="C594" t="str">
        <f>IFERROR(__xludf.DUMMYFUNCTION("""COMPUTED_VALUE"""),"Westfalia/Witter")</f>
        <v>Westfalia/Witter</v>
      </c>
    </row>
    <row r="595">
      <c r="A595" t="str">
        <f>IFERROR(__xludf.DUMMYFUNCTION("""COMPUTED_VALUE"""),"314473600001")</f>
        <v>314473600001</v>
      </c>
      <c r="B595" s="226" t="str">
        <f>IFERROR(__xludf.DUMMYFUNCTION("""COMPUTED_VALUE"""),"4250557502793")</f>
        <v>4250557502793</v>
      </c>
      <c r="C595" t="str">
        <f>IFERROR(__xludf.DUMMYFUNCTION("""COMPUTED_VALUE"""),"Westfalia/Witter")</f>
        <v>Westfalia/Witter</v>
      </c>
    </row>
    <row r="596">
      <c r="A596" t="str">
        <f>IFERROR(__xludf.DUMMYFUNCTION("""COMPUTED_VALUE"""),"314474600001")</f>
        <v>314474600001</v>
      </c>
      <c r="B596" s="226" t="str">
        <f>IFERROR(__xludf.DUMMYFUNCTION("""COMPUTED_VALUE"""),"4250557502809")</f>
        <v>4250557502809</v>
      </c>
      <c r="C596" t="str">
        <f>IFERROR(__xludf.DUMMYFUNCTION("""COMPUTED_VALUE"""),"Westfalia/Witter")</f>
        <v>Westfalia/Witter</v>
      </c>
    </row>
    <row r="597">
      <c r="A597" t="str">
        <f>IFERROR(__xludf.DUMMYFUNCTION("""COMPUTED_VALUE"""),"316345600001")</f>
        <v>316345600001</v>
      </c>
      <c r="B597" s="226" t="str">
        <f>IFERROR(__xludf.DUMMYFUNCTION("""COMPUTED_VALUE"""),"4250557502830")</f>
        <v>4250557502830</v>
      </c>
      <c r="C597" t="str">
        <f>IFERROR(__xludf.DUMMYFUNCTION("""COMPUTED_VALUE"""),"Westfalia/Witter")</f>
        <v>Westfalia/Witter</v>
      </c>
    </row>
    <row r="598">
      <c r="A598" t="str">
        <f>IFERROR(__xludf.DUMMYFUNCTION("""COMPUTED_VALUE"""),"303368600001")</f>
        <v>303368600001</v>
      </c>
      <c r="B598" s="226" t="str">
        <f>IFERROR(__xludf.DUMMYFUNCTION("""COMPUTED_VALUE"""),"4250557502908")</f>
        <v>4250557502908</v>
      </c>
      <c r="C598" t="str">
        <f>IFERROR(__xludf.DUMMYFUNCTION("""COMPUTED_VALUE"""),"Westfalia/Witter")</f>
        <v>Westfalia/Witter</v>
      </c>
    </row>
    <row r="599">
      <c r="A599" t="str">
        <f>IFERROR(__xludf.DUMMYFUNCTION("""COMPUTED_VALUE"""),"313403600001")</f>
        <v>313403600001</v>
      </c>
      <c r="B599" s="226" t="str">
        <f>IFERROR(__xludf.DUMMYFUNCTION("""COMPUTED_VALUE"""),"4250557502915")</f>
        <v>4250557502915</v>
      </c>
      <c r="C599" t="str">
        <f>IFERROR(__xludf.DUMMYFUNCTION("""COMPUTED_VALUE"""),"Westfalia/Witter")</f>
        <v>Westfalia/Witter</v>
      </c>
    </row>
    <row r="600">
      <c r="A600" t="str">
        <f>IFERROR(__xludf.DUMMYFUNCTION("""COMPUTED_VALUE"""),"313401600001")</f>
        <v>313401600001</v>
      </c>
      <c r="B600" s="226" t="str">
        <f>IFERROR(__xludf.DUMMYFUNCTION("""COMPUTED_VALUE"""),"4250557502939")</f>
        <v>4250557502939</v>
      </c>
      <c r="C600" t="str">
        <f>IFERROR(__xludf.DUMMYFUNCTION("""COMPUTED_VALUE"""),"Westfalia/Witter")</f>
        <v>Westfalia/Witter</v>
      </c>
    </row>
    <row r="601">
      <c r="A601" t="str">
        <f>IFERROR(__xludf.DUMMYFUNCTION("""COMPUTED_VALUE"""),"313401600001")</f>
        <v>313401600001</v>
      </c>
      <c r="B601" s="226" t="str">
        <f>IFERROR(__xludf.DUMMYFUNCTION("""COMPUTED_VALUE"""),"4250557502939")</f>
        <v>4250557502939</v>
      </c>
      <c r="C601" t="str">
        <f>IFERROR(__xludf.DUMMYFUNCTION("""COMPUTED_VALUE"""),"Westfalia/Witter")</f>
        <v>Westfalia/Witter</v>
      </c>
    </row>
    <row r="602">
      <c r="A602" t="str">
        <f>IFERROR(__xludf.DUMMYFUNCTION("""COMPUTED_VALUE"""),"304149600001")</f>
        <v>304149600001</v>
      </c>
      <c r="B602" s="226" t="str">
        <f>IFERROR(__xludf.DUMMYFUNCTION("""COMPUTED_VALUE"""),"4250557502991")</f>
        <v>4250557502991</v>
      </c>
      <c r="C602" t="str">
        <f>IFERROR(__xludf.DUMMYFUNCTION("""COMPUTED_VALUE"""),"Westfalia/Witter")</f>
        <v>Westfalia/Witter</v>
      </c>
    </row>
    <row r="603">
      <c r="A603" t="str">
        <f>IFERROR(__xludf.DUMMYFUNCTION("""COMPUTED_VALUE"""),"304151600001")</f>
        <v>304151600001</v>
      </c>
      <c r="B603" s="226" t="str">
        <f>IFERROR(__xludf.DUMMYFUNCTION("""COMPUTED_VALUE"""),"4250557503004")</f>
        <v>4250557503004</v>
      </c>
      <c r="C603" t="str">
        <f>IFERROR(__xludf.DUMMYFUNCTION("""COMPUTED_VALUE"""),"Westfalia/Witter")</f>
        <v>Westfalia/Witter</v>
      </c>
    </row>
    <row r="604">
      <c r="A604" t="str">
        <f>IFERROR(__xludf.DUMMYFUNCTION("""COMPUTED_VALUE"""),"304151600001")</f>
        <v>304151600001</v>
      </c>
      <c r="B604" s="226" t="str">
        <f>IFERROR(__xludf.DUMMYFUNCTION("""COMPUTED_VALUE"""),"4250557503004")</f>
        <v>4250557503004</v>
      </c>
      <c r="C604" t="str">
        <f>IFERROR(__xludf.DUMMYFUNCTION("""COMPUTED_VALUE"""),"Westfalia/Witter")</f>
        <v>Westfalia/Witter</v>
      </c>
    </row>
    <row r="605">
      <c r="A605" t="str">
        <f>IFERROR(__xludf.DUMMYFUNCTION("""COMPUTED_VALUE"""),"304151600001")</f>
        <v>304151600001</v>
      </c>
      <c r="B605" s="226" t="str">
        <f>IFERROR(__xludf.DUMMYFUNCTION("""COMPUTED_VALUE"""),"4250557503004")</f>
        <v>4250557503004</v>
      </c>
      <c r="C605" t="str">
        <f>IFERROR(__xludf.DUMMYFUNCTION("""COMPUTED_VALUE"""),"Westfalia/Witter")</f>
        <v>Westfalia/Witter</v>
      </c>
    </row>
    <row r="606">
      <c r="A606" t="str">
        <f>IFERROR(__xludf.DUMMYFUNCTION("""COMPUTED_VALUE"""),"304151600001")</f>
        <v>304151600001</v>
      </c>
      <c r="B606" s="226" t="str">
        <f>IFERROR(__xludf.DUMMYFUNCTION("""COMPUTED_VALUE"""),"4250557503004")</f>
        <v>4250557503004</v>
      </c>
      <c r="C606" t="str">
        <f>IFERROR(__xludf.DUMMYFUNCTION("""COMPUTED_VALUE"""),"Westfalia/Witter")</f>
        <v>Westfalia/Witter</v>
      </c>
    </row>
    <row r="607">
      <c r="A607" t="str">
        <f>IFERROR(__xludf.DUMMYFUNCTION("""COMPUTED_VALUE"""),"304152600001")</f>
        <v>304152600001</v>
      </c>
      <c r="B607" s="226" t="str">
        <f>IFERROR(__xludf.DUMMYFUNCTION("""COMPUTED_VALUE"""),"4250557503011")</f>
        <v>4250557503011</v>
      </c>
      <c r="C607" t="str">
        <f>IFERROR(__xludf.DUMMYFUNCTION("""COMPUTED_VALUE"""),"Westfalia/Witter")</f>
        <v>Westfalia/Witter</v>
      </c>
    </row>
    <row r="608">
      <c r="A608" t="str">
        <f>IFERROR(__xludf.DUMMYFUNCTION("""COMPUTED_VALUE"""),"304152600001")</f>
        <v>304152600001</v>
      </c>
      <c r="B608" s="226" t="str">
        <f>IFERROR(__xludf.DUMMYFUNCTION("""COMPUTED_VALUE"""),"4250557503011")</f>
        <v>4250557503011</v>
      </c>
      <c r="C608" t="str">
        <f>IFERROR(__xludf.DUMMYFUNCTION("""COMPUTED_VALUE"""),"Westfalia/Witter")</f>
        <v>Westfalia/Witter</v>
      </c>
    </row>
    <row r="609">
      <c r="A609" t="str">
        <f>IFERROR(__xludf.DUMMYFUNCTION("""COMPUTED_VALUE"""),"304152600001")</f>
        <v>304152600001</v>
      </c>
      <c r="B609" s="226" t="str">
        <f>IFERROR(__xludf.DUMMYFUNCTION("""COMPUTED_VALUE"""),"4250557503011")</f>
        <v>4250557503011</v>
      </c>
      <c r="C609" t="str">
        <f>IFERROR(__xludf.DUMMYFUNCTION("""COMPUTED_VALUE"""),"Westfalia/Witter")</f>
        <v>Westfalia/Witter</v>
      </c>
    </row>
    <row r="610">
      <c r="A610" t="str">
        <f>IFERROR(__xludf.DUMMYFUNCTION("""COMPUTED_VALUE"""),"304152600001")</f>
        <v>304152600001</v>
      </c>
      <c r="B610" s="226" t="str">
        <f>IFERROR(__xludf.DUMMYFUNCTION("""COMPUTED_VALUE"""),"4250557503011")</f>
        <v>4250557503011</v>
      </c>
      <c r="C610" t="str">
        <f>IFERROR(__xludf.DUMMYFUNCTION("""COMPUTED_VALUE"""),"Westfalia/Witter")</f>
        <v>Westfalia/Witter</v>
      </c>
    </row>
    <row r="611">
      <c r="A611" t="str">
        <f>IFERROR(__xludf.DUMMYFUNCTION("""COMPUTED_VALUE"""),"306405600001")</f>
        <v>306405600001</v>
      </c>
      <c r="B611" s="226" t="str">
        <f>IFERROR(__xludf.DUMMYFUNCTION("""COMPUTED_VALUE"""),"4250557503066")</f>
        <v>4250557503066</v>
      </c>
      <c r="C611" t="str">
        <f>IFERROR(__xludf.DUMMYFUNCTION("""COMPUTED_VALUE"""),"Westfalia/Witter")</f>
        <v>Westfalia/Witter</v>
      </c>
    </row>
    <row r="612">
      <c r="A612" t="str">
        <f>IFERROR(__xludf.DUMMYFUNCTION("""COMPUTED_VALUE"""),"306407600001")</f>
        <v>306407600001</v>
      </c>
      <c r="B612" s="226" t="str">
        <f>IFERROR(__xludf.DUMMYFUNCTION("""COMPUTED_VALUE"""),"4250557503080")</f>
        <v>4250557503080</v>
      </c>
      <c r="C612" t="str">
        <f>IFERROR(__xludf.DUMMYFUNCTION("""COMPUTED_VALUE"""),"Westfalia/Witter")</f>
        <v>Westfalia/Witter</v>
      </c>
    </row>
    <row r="613">
      <c r="A613" t="str">
        <f>IFERROR(__xludf.DUMMYFUNCTION("""COMPUTED_VALUE"""),"342196600001")</f>
        <v>342196600001</v>
      </c>
      <c r="B613" s="226" t="str">
        <f>IFERROR(__xludf.DUMMYFUNCTION("""COMPUTED_VALUE"""),"4250557503295")</f>
        <v>4250557503295</v>
      </c>
      <c r="C613" t="str">
        <f>IFERROR(__xludf.DUMMYFUNCTION("""COMPUTED_VALUE"""),"Westfalia/Witter")</f>
        <v>Westfalia/Witter</v>
      </c>
    </row>
    <row r="614">
      <c r="A614" t="str">
        <f>IFERROR(__xludf.DUMMYFUNCTION("""COMPUTED_VALUE"""),"342196600001")</f>
        <v>342196600001</v>
      </c>
      <c r="B614" s="226" t="str">
        <f>IFERROR(__xludf.DUMMYFUNCTION("""COMPUTED_VALUE"""),"4250557503295")</f>
        <v>4250557503295</v>
      </c>
      <c r="C614" t="str">
        <f>IFERROR(__xludf.DUMMYFUNCTION("""COMPUTED_VALUE"""),"Westfalia/Witter")</f>
        <v>Westfalia/Witter</v>
      </c>
    </row>
    <row r="615">
      <c r="A615" t="str">
        <f>IFERROR(__xludf.DUMMYFUNCTION("""COMPUTED_VALUE"""),"342197600001")</f>
        <v>342197600001</v>
      </c>
      <c r="B615" s="226" t="str">
        <f>IFERROR(__xludf.DUMMYFUNCTION("""COMPUTED_VALUE"""),"4250557503301")</f>
        <v>4250557503301</v>
      </c>
      <c r="C615" t="str">
        <f>IFERROR(__xludf.DUMMYFUNCTION("""COMPUTED_VALUE"""),"Westfalia/Witter")</f>
        <v>Westfalia/Witter</v>
      </c>
    </row>
    <row r="616">
      <c r="A616" t="str">
        <f>IFERROR(__xludf.DUMMYFUNCTION("""COMPUTED_VALUE"""),"342197600001")</f>
        <v>342197600001</v>
      </c>
      <c r="B616" s="226" t="str">
        <f>IFERROR(__xludf.DUMMYFUNCTION("""COMPUTED_VALUE"""),"4250557503301")</f>
        <v>4250557503301</v>
      </c>
      <c r="C616" t="str">
        <f>IFERROR(__xludf.DUMMYFUNCTION("""COMPUTED_VALUE"""),"Westfalia/Witter")</f>
        <v>Westfalia/Witter</v>
      </c>
    </row>
    <row r="617">
      <c r="A617" t="str">
        <f>IFERROR(__xludf.DUMMYFUNCTION("""COMPUTED_VALUE"""),"320113600001")</f>
        <v>320113600001</v>
      </c>
      <c r="B617" s="226" t="str">
        <f>IFERROR(__xludf.DUMMYFUNCTION("""COMPUTED_VALUE"""),"4250557503639")</f>
        <v>4250557503639</v>
      </c>
      <c r="C617" t="str">
        <f>IFERROR(__xludf.DUMMYFUNCTION("""COMPUTED_VALUE"""),"Westfalia/Witter")</f>
        <v>Westfalia/Witter</v>
      </c>
    </row>
    <row r="618">
      <c r="A618" t="str">
        <f>IFERROR(__xludf.DUMMYFUNCTION("""COMPUTED_VALUE"""),"335400600001")</f>
        <v>335400600001</v>
      </c>
      <c r="B618" s="226" t="str">
        <f>IFERROR(__xludf.DUMMYFUNCTION("""COMPUTED_VALUE"""),"4250557503981")</f>
        <v>4250557503981</v>
      </c>
      <c r="C618" t="str">
        <f>IFERROR(__xludf.DUMMYFUNCTION("""COMPUTED_VALUE"""),"Westfalia/Witter")</f>
        <v>Westfalia/Witter</v>
      </c>
    </row>
    <row r="619">
      <c r="A619" t="str">
        <f>IFERROR(__xludf.DUMMYFUNCTION("""COMPUTED_VALUE"""),"335423600001")</f>
        <v>335423600001</v>
      </c>
      <c r="B619" s="226" t="str">
        <f>IFERROR(__xludf.DUMMYFUNCTION("""COMPUTED_VALUE"""),"4250557504032")</f>
        <v>4250557504032</v>
      </c>
      <c r="C619" t="str">
        <f>IFERROR(__xludf.DUMMYFUNCTION("""COMPUTED_VALUE"""),"Westfalia/Witter")</f>
        <v>Westfalia/Witter</v>
      </c>
    </row>
    <row r="620">
      <c r="A620" t="str">
        <f>IFERROR(__xludf.DUMMYFUNCTION("""COMPUTED_VALUE"""),"335418600001")</f>
        <v>335418600001</v>
      </c>
      <c r="B620" s="226" t="str">
        <f>IFERROR(__xludf.DUMMYFUNCTION("""COMPUTED_VALUE"""),"4250557504094")</f>
        <v>4250557504094</v>
      </c>
      <c r="C620" t="str">
        <f>IFERROR(__xludf.DUMMYFUNCTION("""COMPUTED_VALUE"""),"Westfalia/Witter")</f>
        <v>Westfalia/Witter</v>
      </c>
    </row>
    <row r="621">
      <c r="A621" t="str">
        <f>IFERROR(__xludf.DUMMYFUNCTION("""COMPUTED_VALUE"""),"335424600001")</f>
        <v>335424600001</v>
      </c>
      <c r="B621" s="226" t="str">
        <f>IFERROR(__xludf.DUMMYFUNCTION("""COMPUTED_VALUE"""),"4250557504117")</f>
        <v>4250557504117</v>
      </c>
      <c r="C621" t="str">
        <f>IFERROR(__xludf.DUMMYFUNCTION("""COMPUTED_VALUE"""),"Westfalia/Witter")</f>
        <v>Westfalia/Witter</v>
      </c>
    </row>
    <row r="622">
      <c r="A622" t="str">
        <f>IFERROR(__xludf.DUMMYFUNCTION("""COMPUTED_VALUE"""),"335424600001")</f>
        <v>335424600001</v>
      </c>
      <c r="B622" s="226" t="str">
        <f>IFERROR(__xludf.DUMMYFUNCTION("""COMPUTED_VALUE"""),"4250557504117")</f>
        <v>4250557504117</v>
      </c>
      <c r="C622" t="str">
        <f>IFERROR(__xludf.DUMMYFUNCTION("""COMPUTED_VALUE"""),"Westfalia/Witter")</f>
        <v>Westfalia/Witter</v>
      </c>
    </row>
    <row r="623">
      <c r="A623" t="str">
        <f>IFERROR(__xludf.DUMMYFUNCTION("""COMPUTED_VALUE"""),"335425600001")</f>
        <v>335425600001</v>
      </c>
      <c r="B623" s="226" t="str">
        <f>IFERROR(__xludf.DUMMYFUNCTION("""COMPUTED_VALUE"""),"4250557504131")</f>
        <v>4250557504131</v>
      </c>
      <c r="C623" t="str">
        <f>IFERROR(__xludf.DUMMYFUNCTION("""COMPUTED_VALUE"""),"Westfalia/Witter")</f>
        <v>Westfalia/Witter</v>
      </c>
    </row>
    <row r="624">
      <c r="A624" t="str">
        <f>IFERROR(__xludf.DUMMYFUNCTION("""COMPUTED_VALUE"""),"335425600001")</f>
        <v>335425600001</v>
      </c>
      <c r="B624" s="226" t="str">
        <f>IFERROR(__xludf.DUMMYFUNCTION("""COMPUTED_VALUE"""),"4250557504131")</f>
        <v>4250557504131</v>
      </c>
      <c r="C624" t="str">
        <f>IFERROR(__xludf.DUMMYFUNCTION("""COMPUTED_VALUE"""),"Westfalia/Witter")</f>
        <v>Westfalia/Witter</v>
      </c>
    </row>
    <row r="625">
      <c r="A625" t="str">
        <f>IFERROR(__xludf.DUMMYFUNCTION("""COMPUTED_VALUE"""),"303366600001")</f>
        <v>303366600001</v>
      </c>
      <c r="B625" s="226" t="str">
        <f>IFERROR(__xludf.DUMMYFUNCTION("""COMPUTED_VALUE"""),"4250557504162")</f>
        <v>4250557504162</v>
      </c>
      <c r="C625" t="str">
        <f>IFERROR(__xludf.DUMMYFUNCTION("""COMPUTED_VALUE"""),"Westfalia/Witter")</f>
        <v>Westfalia/Witter</v>
      </c>
    </row>
    <row r="626">
      <c r="A626" t="str">
        <f>IFERROR(__xludf.DUMMYFUNCTION("""COMPUTED_VALUE"""),"303370600001")</f>
        <v>303370600001</v>
      </c>
      <c r="B626" s="226" t="str">
        <f>IFERROR(__xludf.DUMMYFUNCTION("""COMPUTED_VALUE"""),"4250557504179")</f>
        <v>4250557504179</v>
      </c>
      <c r="C626" t="str">
        <f>IFERROR(__xludf.DUMMYFUNCTION("""COMPUTED_VALUE"""),"Westfalia/Witter")</f>
        <v>Westfalia/Witter</v>
      </c>
    </row>
    <row r="627">
      <c r="A627" t="str">
        <f>IFERROR(__xludf.DUMMYFUNCTION("""COMPUTED_VALUE"""),"335421600001")</f>
        <v>335421600001</v>
      </c>
      <c r="B627" s="226" t="str">
        <f>IFERROR(__xludf.DUMMYFUNCTION("""COMPUTED_VALUE"""),"4250557504193")</f>
        <v>4250557504193</v>
      </c>
      <c r="C627" t="str">
        <f>IFERROR(__xludf.DUMMYFUNCTION("""COMPUTED_VALUE"""),"Westfalia/Witter")</f>
        <v>Westfalia/Witter</v>
      </c>
    </row>
    <row r="628">
      <c r="A628" t="str">
        <f>IFERROR(__xludf.DUMMYFUNCTION("""COMPUTED_VALUE"""),"335419600001")</f>
        <v>335419600001</v>
      </c>
      <c r="B628" s="226" t="str">
        <f>IFERROR(__xludf.DUMMYFUNCTION("""COMPUTED_VALUE"""),"4250557504216")</f>
        <v>4250557504216</v>
      </c>
      <c r="C628" t="str">
        <f>IFERROR(__xludf.DUMMYFUNCTION("""COMPUTED_VALUE"""),"Westfalia/Witter")</f>
        <v>Westfalia/Witter</v>
      </c>
    </row>
    <row r="629">
      <c r="A629" t="str">
        <f>IFERROR(__xludf.DUMMYFUNCTION("""COMPUTED_VALUE"""),"316347600001")</f>
        <v>316347600001</v>
      </c>
      <c r="B629" s="226" t="str">
        <f>IFERROR(__xludf.DUMMYFUNCTION("""COMPUTED_VALUE"""),"4250557504360")</f>
        <v>4250557504360</v>
      </c>
      <c r="C629" t="str">
        <f>IFERROR(__xludf.DUMMYFUNCTION("""COMPUTED_VALUE"""),"Westfalia/Witter")</f>
        <v>Westfalia/Witter</v>
      </c>
    </row>
    <row r="630">
      <c r="A630" t="str">
        <f>IFERROR(__xludf.DUMMYFUNCTION("""COMPUTED_VALUE"""),"316347600001")</f>
        <v>316347600001</v>
      </c>
      <c r="B630" s="226" t="str">
        <f>IFERROR(__xludf.DUMMYFUNCTION("""COMPUTED_VALUE"""),"4250557504360")</f>
        <v>4250557504360</v>
      </c>
      <c r="C630" t="str">
        <f>IFERROR(__xludf.DUMMYFUNCTION("""COMPUTED_VALUE"""),"Westfalia/Witter")</f>
        <v>Westfalia/Witter</v>
      </c>
    </row>
    <row r="631">
      <c r="A631" t="str">
        <f>IFERROR(__xludf.DUMMYFUNCTION("""COMPUTED_VALUE"""),"315189600001")</f>
        <v>315189600001</v>
      </c>
      <c r="B631" s="226" t="str">
        <f>IFERROR(__xludf.DUMMYFUNCTION("""COMPUTED_VALUE"""),"4250557504421")</f>
        <v>4250557504421</v>
      </c>
      <c r="C631" t="str">
        <f>IFERROR(__xludf.DUMMYFUNCTION("""COMPUTED_VALUE"""),"Westfalia/Witter")</f>
        <v>Westfalia/Witter</v>
      </c>
    </row>
    <row r="632">
      <c r="A632" t="str">
        <f>IFERROR(__xludf.DUMMYFUNCTION("""COMPUTED_VALUE"""),"315190600001")</f>
        <v>315190600001</v>
      </c>
      <c r="B632" s="226" t="str">
        <f>IFERROR(__xludf.DUMMYFUNCTION("""COMPUTED_VALUE"""),"4250557504438")</f>
        <v>4250557504438</v>
      </c>
      <c r="C632" t="str">
        <f>IFERROR(__xludf.DUMMYFUNCTION("""COMPUTED_VALUE"""),"Westfalia/Witter")</f>
        <v>Westfalia/Witter</v>
      </c>
    </row>
    <row r="633">
      <c r="A633" t="str">
        <f>IFERROR(__xludf.DUMMYFUNCTION("""COMPUTED_VALUE"""),"323121600001")</f>
        <v>323121600001</v>
      </c>
      <c r="B633" s="226" t="str">
        <f>IFERROR(__xludf.DUMMYFUNCTION("""COMPUTED_VALUE"""),"4250557504445")</f>
        <v>4250557504445</v>
      </c>
      <c r="C633" t="str">
        <f>IFERROR(__xludf.DUMMYFUNCTION("""COMPUTED_VALUE"""),"Westfalia/Witter")</f>
        <v>Westfalia/Witter</v>
      </c>
    </row>
    <row r="634">
      <c r="A634" t="str">
        <f>IFERROR(__xludf.DUMMYFUNCTION("""COMPUTED_VALUE"""),"306388600001")</f>
        <v>306388600001</v>
      </c>
      <c r="B634" s="226" t="str">
        <f>IFERROR(__xludf.DUMMYFUNCTION("""COMPUTED_VALUE"""),"4250557504834")</f>
        <v>4250557504834</v>
      </c>
      <c r="C634" t="str">
        <f>IFERROR(__xludf.DUMMYFUNCTION("""COMPUTED_VALUE"""),"Westfalia/Witter")</f>
        <v>Westfalia/Witter</v>
      </c>
    </row>
    <row r="635">
      <c r="A635" t="str">
        <f>IFERROR(__xludf.DUMMYFUNCTION("""COMPUTED_VALUE"""),"306388600001")</f>
        <v>306388600001</v>
      </c>
      <c r="B635" s="226" t="str">
        <f>IFERROR(__xludf.DUMMYFUNCTION("""COMPUTED_VALUE"""),"4250557504834")</f>
        <v>4250557504834</v>
      </c>
      <c r="C635" t="str">
        <f>IFERROR(__xludf.DUMMYFUNCTION("""COMPUTED_VALUE"""),"Westfalia/Witter")</f>
        <v>Westfalia/Witter</v>
      </c>
    </row>
    <row r="636">
      <c r="A636" t="str">
        <f>IFERROR(__xludf.DUMMYFUNCTION("""COMPUTED_VALUE"""),"306389600001")</f>
        <v>306389600001</v>
      </c>
      <c r="B636" s="226" t="str">
        <f>IFERROR(__xludf.DUMMYFUNCTION("""COMPUTED_VALUE"""),"4250557504865")</f>
        <v>4250557504865</v>
      </c>
      <c r="C636" t="str">
        <f>IFERROR(__xludf.DUMMYFUNCTION("""COMPUTED_VALUE"""),"Westfalia/Witter")</f>
        <v>Westfalia/Witter</v>
      </c>
    </row>
    <row r="637">
      <c r="A637" t="str">
        <f>IFERROR(__xludf.DUMMYFUNCTION("""COMPUTED_VALUE"""),"306389600001")</f>
        <v>306389600001</v>
      </c>
      <c r="B637" s="226" t="str">
        <f>IFERROR(__xludf.DUMMYFUNCTION("""COMPUTED_VALUE"""),"4250557504865")</f>
        <v>4250557504865</v>
      </c>
      <c r="C637" t="str">
        <f>IFERROR(__xludf.DUMMYFUNCTION("""COMPUTED_VALUE"""),"Westfalia/Witter")</f>
        <v>Westfalia/Witter</v>
      </c>
    </row>
    <row r="638">
      <c r="A638" t="str">
        <f>IFERROR(__xludf.DUMMYFUNCTION("""COMPUTED_VALUE"""),"313433600001")</f>
        <v>313433600001</v>
      </c>
      <c r="B638" s="226" t="str">
        <f>IFERROR(__xludf.DUMMYFUNCTION("""COMPUTED_VALUE"""),"4250557505213")</f>
        <v>4250557505213</v>
      </c>
      <c r="C638" t="str">
        <f>IFERROR(__xludf.DUMMYFUNCTION("""COMPUTED_VALUE"""),"Westfalia/Witter")</f>
        <v>Westfalia/Witter</v>
      </c>
    </row>
    <row r="639">
      <c r="A639" t="str">
        <f>IFERROR(__xludf.DUMMYFUNCTION("""COMPUTED_VALUE"""),"313434600001")</f>
        <v>313434600001</v>
      </c>
      <c r="B639" s="226" t="str">
        <f>IFERROR(__xludf.DUMMYFUNCTION("""COMPUTED_VALUE"""),"4250557505220")</f>
        <v>4250557505220</v>
      </c>
      <c r="C639" t="str">
        <f>IFERROR(__xludf.DUMMYFUNCTION("""COMPUTED_VALUE"""),"Westfalia/Witter")</f>
        <v>Westfalia/Witter</v>
      </c>
    </row>
    <row r="640">
      <c r="A640" t="str">
        <f>IFERROR(__xludf.DUMMYFUNCTION("""COMPUTED_VALUE"""),"314472600001")</f>
        <v>314472600001</v>
      </c>
      <c r="B640" s="226" t="str">
        <f>IFERROR(__xludf.DUMMYFUNCTION("""COMPUTED_VALUE"""),"4250557505800")</f>
        <v>4250557505800</v>
      </c>
      <c r="C640" t="str">
        <f>IFERROR(__xludf.DUMMYFUNCTION("""COMPUTED_VALUE"""),"Westfalia/Witter")</f>
        <v>Westfalia/Witter</v>
      </c>
    </row>
    <row r="641">
      <c r="A641" t="str">
        <f>IFERROR(__xludf.DUMMYFUNCTION("""COMPUTED_VALUE"""),"323107600001")</f>
        <v>323107600001</v>
      </c>
      <c r="B641" s="226" t="str">
        <f>IFERROR(__xludf.DUMMYFUNCTION("""COMPUTED_VALUE"""),"4250557507163")</f>
        <v>4250557507163</v>
      </c>
      <c r="C641" t="str">
        <f>IFERROR(__xludf.DUMMYFUNCTION("""COMPUTED_VALUE"""),"Westfalia/Witter")</f>
        <v>Westfalia/Witter</v>
      </c>
    </row>
    <row r="642">
      <c r="A642" t="str">
        <f>IFERROR(__xludf.DUMMYFUNCTION("""COMPUTED_VALUE"""),"343072600001")</f>
        <v>343072600001</v>
      </c>
      <c r="B642" s="226" t="str">
        <f>IFERROR(__xludf.DUMMYFUNCTION("""COMPUTED_VALUE"""),"4250557507170")</f>
        <v>4250557507170</v>
      </c>
      <c r="C642" t="str">
        <f>IFERROR(__xludf.DUMMYFUNCTION("""COMPUTED_VALUE"""),"Westfalia/Witter")</f>
        <v>Westfalia/Witter</v>
      </c>
    </row>
    <row r="643">
      <c r="A643" t="str">
        <f>IFERROR(__xludf.DUMMYFUNCTION("""COMPUTED_VALUE"""),"316336600001")</f>
        <v>316336600001</v>
      </c>
      <c r="B643" s="226" t="str">
        <f>IFERROR(__xludf.DUMMYFUNCTION("""COMPUTED_VALUE"""),"4250557507194")</f>
        <v>4250557507194</v>
      </c>
      <c r="C643" t="str">
        <f>IFERROR(__xludf.DUMMYFUNCTION("""COMPUTED_VALUE"""),"Westfalia/Witter")</f>
        <v>Westfalia/Witter</v>
      </c>
    </row>
    <row r="644">
      <c r="A644" t="str">
        <f>IFERROR(__xludf.DUMMYFUNCTION("""COMPUTED_VALUE"""),"316337600001")</f>
        <v>316337600001</v>
      </c>
      <c r="B644" s="226" t="str">
        <f>IFERROR(__xludf.DUMMYFUNCTION("""COMPUTED_VALUE"""),"4250557507200")</f>
        <v>4250557507200</v>
      </c>
      <c r="C644" t="str">
        <f>IFERROR(__xludf.DUMMYFUNCTION("""COMPUTED_VALUE"""),"Westfalia/Witter")</f>
        <v>Westfalia/Witter</v>
      </c>
    </row>
    <row r="645">
      <c r="A645" t="str">
        <f>IFERROR(__xludf.DUMMYFUNCTION("""COMPUTED_VALUE"""),"321865600001")</f>
        <v>321865600001</v>
      </c>
      <c r="B645" s="226" t="str">
        <f>IFERROR(__xludf.DUMMYFUNCTION("""COMPUTED_VALUE"""),"4250557507798")</f>
        <v>4250557507798</v>
      </c>
      <c r="C645" t="str">
        <f>IFERROR(__xludf.DUMMYFUNCTION("""COMPUTED_VALUE"""),"Westfalia/Witter")</f>
        <v>Westfalia/Witter</v>
      </c>
    </row>
    <row r="646">
      <c r="A646" t="str">
        <f>IFERROR(__xludf.DUMMYFUNCTION("""COMPUTED_VALUE"""),"321865600001")</f>
        <v>321865600001</v>
      </c>
      <c r="B646" s="226" t="str">
        <f>IFERROR(__xludf.DUMMYFUNCTION("""COMPUTED_VALUE"""),"4250557507798")</f>
        <v>4250557507798</v>
      </c>
      <c r="C646" t="str">
        <f>IFERROR(__xludf.DUMMYFUNCTION("""COMPUTED_VALUE"""),"Westfalia/Witter")</f>
        <v>Westfalia/Witter</v>
      </c>
    </row>
    <row r="647">
      <c r="A647" t="str">
        <f>IFERROR(__xludf.DUMMYFUNCTION("""COMPUTED_VALUE"""),"321865600001")</f>
        <v>321865600001</v>
      </c>
      <c r="B647" s="226" t="str">
        <f>IFERROR(__xludf.DUMMYFUNCTION("""COMPUTED_VALUE"""),"4250557507798")</f>
        <v>4250557507798</v>
      </c>
      <c r="C647" t="str">
        <f>IFERROR(__xludf.DUMMYFUNCTION("""COMPUTED_VALUE"""),"Westfalia/Witter")</f>
        <v>Westfalia/Witter</v>
      </c>
    </row>
    <row r="648">
      <c r="A648" t="str">
        <f>IFERROR(__xludf.DUMMYFUNCTION("""COMPUTED_VALUE"""),"332319600001")</f>
        <v>332319600001</v>
      </c>
      <c r="B648" s="226" t="str">
        <f>IFERROR(__xludf.DUMMYFUNCTION("""COMPUTED_VALUE"""),"4250557507965")</f>
        <v>4250557507965</v>
      </c>
      <c r="C648" t="str">
        <f>IFERROR(__xludf.DUMMYFUNCTION("""COMPUTED_VALUE"""),"Westfalia/Witter")</f>
        <v>Westfalia/Witter</v>
      </c>
    </row>
    <row r="649">
      <c r="A649" t="str">
        <f>IFERROR(__xludf.DUMMYFUNCTION("""COMPUTED_VALUE"""),"332319600001")</f>
        <v>332319600001</v>
      </c>
      <c r="B649" s="226" t="str">
        <f>IFERROR(__xludf.DUMMYFUNCTION("""COMPUTED_VALUE"""),"4250557507965")</f>
        <v>4250557507965</v>
      </c>
      <c r="C649" t="str">
        <f>IFERROR(__xludf.DUMMYFUNCTION("""COMPUTED_VALUE"""),"Westfalia/Witter")</f>
        <v>Westfalia/Witter</v>
      </c>
    </row>
    <row r="650">
      <c r="A650" t="str">
        <f>IFERROR(__xludf.DUMMYFUNCTION("""COMPUTED_VALUE"""),"332321600001")</f>
        <v>332321600001</v>
      </c>
      <c r="B650" s="226" t="str">
        <f>IFERROR(__xludf.DUMMYFUNCTION("""COMPUTED_VALUE"""),"4250557507989")</f>
        <v>4250557507989</v>
      </c>
      <c r="C650" t="str">
        <f>IFERROR(__xludf.DUMMYFUNCTION("""COMPUTED_VALUE"""),"Westfalia/Witter")</f>
        <v>Westfalia/Witter</v>
      </c>
    </row>
    <row r="651">
      <c r="A651" t="str">
        <f>IFERROR(__xludf.DUMMYFUNCTION("""COMPUTED_VALUE"""),"344073600001")</f>
        <v>344073600001</v>
      </c>
      <c r="B651" s="226" t="str">
        <f>IFERROR(__xludf.DUMMYFUNCTION("""COMPUTED_VALUE"""),"4250557508009")</f>
        <v>4250557508009</v>
      </c>
      <c r="C651" t="str">
        <f>IFERROR(__xludf.DUMMYFUNCTION("""COMPUTED_VALUE"""),"Westfalia/Witter")</f>
        <v>Westfalia/Witter</v>
      </c>
    </row>
    <row r="652">
      <c r="A652" t="str">
        <f>IFERROR(__xludf.DUMMYFUNCTION("""COMPUTED_VALUE"""),"321873600001")</f>
        <v>321873600001</v>
      </c>
      <c r="B652" s="226" t="str">
        <f>IFERROR(__xludf.DUMMYFUNCTION("""COMPUTED_VALUE"""),"4250557508504")</f>
        <v>4250557508504</v>
      </c>
      <c r="C652" t="str">
        <f>IFERROR(__xludf.DUMMYFUNCTION("""COMPUTED_VALUE"""),"Westfalia/Witter")</f>
        <v>Westfalia/Witter</v>
      </c>
    </row>
    <row r="653">
      <c r="A653" t="str">
        <f>IFERROR(__xludf.DUMMYFUNCTION("""COMPUTED_VALUE"""),"321781600001")</f>
        <v>321781600001</v>
      </c>
      <c r="B653" s="226" t="str">
        <f>IFERROR(__xludf.DUMMYFUNCTION("""COMPUTED_VALUE"""),"4250557509471")</f>
        <v>4250557509471</v>
      </c>
      <c r="C653" t="str">
        <f>IFERROR(__xludf.DUMMYFUNCTION("""COMPUTED_VALUE"""),"Westfalia/Witter")</f>
        <v>Westfalia/Witter</v>
      </c>
    </row>
    <row r="654">
      <c r="A654" t="str">
        <f>IFERROR(__xludf.DUMMYFUNCTION("""COMPUTED_VALUE"""),"321782600001")</f>
        <v>321782600001</v>
      </c>
      <c r="B654" s="226" t="str">
        <f>IFERROR(__xludf.DUMMYFUNCTION("""COMPUTED_VALUE"""),"4250557509488")</f>
        <v>4250557509488</v>
      </c>
      <c r="C654" t="str">
        <f>IFERROR(__xludf.DUMMYFUNCTION("""COMPUTED_VALUE"""),"Westfalia/Witter")</f>
        <v>Westfalia/Witter</v>
      </c>
    </row>
    <row r="655">
      <c r="A655" t="str">
        <f>IFERROR(__xludf.DUMMYFUNCTION("""COMPUTED_VALUE"""),"305437600001")</f>
        <v>305437600001</v>
      </c>
      <c r="B655" s="226" t="str">
        <f>IFERROR(__xludf.DUMMYFUNCTION("""COMPUTED_VALUE"""),"4250557509839")</f>
        <v>4250557509839</v>
      </c>
      <c r="C655" t="str">
        <f>IFERROR(__xludf.DUMMYFUNCTION("""COMPUTED_VALUE"""),"Westfalia/Witter")</f>
        <v>Westfalia/Witter</v>
      </c>
    </row>
    <row r="656">
      <c r="A656" t="str">
        <f>IFERROR(__xludf.DUMMYFUNCTION("""COMPUTED_VALUE"""),"303355600001")</f>
        <v>303355600001</v>
      </c>
      <c r="B656" s="226" t="str">
        <f>IFERROR(__xludf.DUMMYFUNCTION("""COMPUTED_VALUE"""),"4250557509877")</f>
        <v>4250557509877</v>
      </c>
      <c r="C656" t="str">
        <f>IFERROR(__xludf.DUMMYFUNCTION("""COMPUTED_VALUE"""),"Westfalia/Witter")</f>
        <v>Westfalia/Witter</v>
      </c>
    </row>
    <row r="657">
      <c r="A657" t="str">
        <f>IFERROR(__xludf.DUMMYFUNCTION("""COMPUTED_VALUE"""),"303355600001")</f>
        <v>303355600001</v>
      </c>
      <c r="B657" s="226" t="str">
        <f>IFERROR(__xludf.DUMMYFUNCTION("""COMPUTED_VALUE"""),"4250557509877")</f>
        <v>4250557509877</v>
      </c>
      <c r="C657" t="str">
        <f>IFERROR(__xludf.DUMMYFUNCTION("""COMPUTED_VALUE"""),"Westfalia/Witter")</f>
        <v>Westfalia/Witter</v>
      </c>
    </row>
    <row r="658">
      <c r="A658" t="str">
        <f>IFERROR(__xludf.DUMMYFUNCTION("""COMPUTED_VALUE"""),"303372600001")</f>
        <v>303372600001</v>
      </c>
      <c r="B658" s="226" t="str">
        <f>IFERROR(__xludf.DUMMYFUNCTION("""COMPUTED_VALUE"""),"4250557509884")</f>
        <v>4250557509884</v>
      </c>
      <c r="C658" t="str">
        <f>IFERROR(__xludf.DUMMYFUNCTION("""COMPUTED_VALUE"""),"Westfalia/Witter")</f>
        <v>Westfalia/Witter</v>
      </c>
    </row>
    <row r="659">
      <c r="A659" t="str">
        <f>IFERROR(__xludf.DUMMYFUNCTION("""COMPUTED_VALUE"""),"303372600001")</f>
        <v>303372600001</v>
      </c>
      <c r="B659" s="226" t="str">
        <f>IFERROR(__xludf.DUMMYFUNCTION("""COMPUTED_VALUE"""),"4250557509884")</f>
        <v>4250557509884</v>
      </c>
      <c r="C659" t="str">
        <f>IFERROR(__xludf.DUMMYFUNCTION("""COMPUTED_VALUE"""),"Westfalia/Witter")</f>
        <v>Westfalia/Witter</v>
      </c>
    </row>
    <row r="660">
      <c r="A660" t="str">
        <f>IFERROR(__xludf.DUMMYFUNCTION("""COMPUTED_VALUE"""),"303372600001")</f>
        <v>303372600001</v>
      </c>
      <c r="B660" s="226" t="str">
        <f>IFERROR(__xludf.DUMMYFUNCTION("""COMPUTED_VALUE"""),"4250557509884")</f>
        <v>4250557509884</v>
      </c>
      <c r="C660" t="str">
        <f>IFERROR(__xludf.DUMMYFUNCTION("""COMPUTED_VALUE"""),"Westfalia/Witter")</f>
        <v>Westfalia/Witter</v>
      </c>
    </row>
    <row r="661">
      <c r="A661" t="str">
        <f>IFERROR(__xludf.DUMMYFUNCTION("""COMPUTED_VALUE"""),"303372600001")</f>
        <v>303372600001</v>
      </c>
      <c r="B661" s="226" t="str">
        <f>IFERROR(__xludf.DUMMYFUNCTION("""COMPUTED_VALUE"""),"4250557509884")</f>
        <v>4250557509884</v>
      </c>
      <c r="C661" t="str">
        <f>IFERROR(__xludf.DUMMYFUNCTION("""COMPUTED_VALUE"""),"Westfalia/Witter")</f>
        <v>Westfalia/Witter</v>
      </c>
    </row>
    <row r="662">
      <c r="A662" t="str">
        <f>IFERROR(__xludf.DUMMYFUNCTION("""COMPUTED_VALUE"""),"307495600001")</f>
        <v>307495600001</v>
      </c>
      <c r="B662" s="226" t="str">
        <f>IFERROR(__xludf.DUMMYFUNCTION("""COMPUTED_VALUE"""),"4250557509969")</f>
        <v>4250557509969</v>
      </c>
      <c r="C662" t="str">
        <f>IFERROR(__xludf.DUMMYFUNCTION("""COMPUTED_VALUE"""),"Westfalia/Witter")</f>
        <v>Westfalia/Witter</v>
      </c>
    </row>
    <row r="663">
      <c r="A663" t="str">
        <f>IFERROR(__xludf.DUMMYFUNCTION("""COMPUTED_VALUE"""),"307500600001")</f>
        <v>307500600001</v>
      </c>
      <c r="B663" s="226" t="str">
        <f>IFERROR(__xludf.DUMMYFUNCTION("""COMPUTED_VALUE"""),"4250557509976")</f>
        <v>4250557509976</v>
      </c>
      <c r="C663" t="str">
        <f>IFERROR(__xludf.DUMMYFUNCTION("""COMPUTED_VALUE"""),"Westfalia/Witter")</f>
        <v>Westfalia/Witter</v>
      </c>
    </row>
    <row r="664">
      <c r="A664" t="str">
        <f>IFERROR(__xludf.DUMMYFUNCTION("""COMPUTED_VALUE"""),"307501600001")</f>
        <v>307501600001</v>
      </c>
      <c r="B664" s="226" t="str">
        <f>IFERROR(__xludf.DUMMYFUNCTION("""COMPUTED_VALUE"""),"4250557509990")</f>
        <v>4250557509990</v>
      </c>
      <c r="C664" t="str">
        <f>IFERROR(__xludf.DUMMYFUNCTION("""COMPUTED_VALUE"""),"Westfalia/Witter")</f>
        <v>Westfalia/Witter</v>
      </c>
    </row>
    <row r="665">
      <c r="A665" t="str">
        <f>IFERROR(__xludf.DUMMYFUNCTION("""COMPUTED_VALUE"""),"307496600001")</f>
        <v>307496600001</v>
      </c>
      <c r="B665" s="226" t="str">
        <f>IFERROR(__xludf.DUMMYFUNCTION("""COMPUTED_VALUE"""),"4250557510019")</f>
        <v>4250557510019</v>
      </c>
      <c r="C665" t="str">
        <f>IFERROR(__xludf.DUMMYFUNCTION("""COMPUTED_VALUE"""),"Westfalia/Witter")</f>
        <v>Westfalia/Witter</v>
      </c>
    </row>
    <row r="666">
      <c r="A666" t="str">
        <f>IFERROR(__xludf.DUMMYFUNCTION("""COMPUTED_VALUE"""),"307496600001")</f>
        <v>307496600001</v>
      </c>
      <c r="B666" s="226" t="str">
        <f>IFERROR(__xludf.DUMMYFUNCTION("""COMPUTED_VALUE"""),"4250557510019")</f>
        <v>4250557510019</v>
      </c>
      <c r="C666" t="str">
        <f>IFERROR(__xludf.DUMMYFUNCTION("""COMPUTED_VALUE"""),"Westfalia/Witter")</f>
        <v>Westfalia/Witter</v>
      </c>
    </row>
    <row r="667">
      <c r="A667" t="str">
        <f>IFERROR(__xludf.DUMMYFUNCTION("""COMPUTED_VALUE"""),"307497600001")</f>
        <v>307497600001</v>
      </c>
      <c r="B667" s="226" t="str">
        <f>IFERROR(__xludf.DUMMYFUNCTION("""COMPUTED_VALUE"""),"4250557510026")</f>
        <v>4250557510026</v>
      </c>
      <c r="C667" t="str">
        <f>IFERROR(__xludf.DUMMYFUNCTION("""COMPUTED_VALUE"""),"Westfalia/Witter")</f>
        <v>Westfalia/Witter</v>
      </c>
    </row>
    <row r="668">
      <c r="A668" t="str">
        <f>IFERROR(__xludf.DUMMYFUNCTION("""COMPUTED_VALUE"""),"307497600001")</f>
        <v>307497600001</v>
      </c>
      <c r="B668" s="226" t="str">
        <f>IFERROR(__xludf.DUMMYFUNCTION("""COMPUTED_VALUE"""),"4250557510026")</f>
        <v>4250557510026</v>
      </c>
      <c r="C668" t="str">
        <f>IFERROR(__xludf.DUMMYFUNCTION("""COMPUTED_VALUE"""),"Westfalia/Witter")</f>
        <v>Westfalia/Witter</v>
      </c>
    </row>
    <row r="669">
      <c r="A669" t="str">
        <f>IFERROR(__xludf.DUMMYFUNCTION("""COMPUTED_VALUE"""),"307498600001")</f>
        <v>307498600001</v>
      </c>
      <c r="B669" s="226" t="str">
        <f>IFERROR(__xludf.DUMMYFUNCTION("""COMPUTED_VALUE"""),"4250557510033")</f>
        <v>4250557510033</v>
      </c>
      <c r="C669" t="str">
        <f>IFERROR(__xludf.DUMMYFUNCTION("""COMPUTED_VALUE"""),"Westfalia/Witter")</f>
        <v>Westfalia/Witter</v>
      </c>
    </row>
    <row r="670">
      <c r="A670" t="str">
        <f>IFERROR(__xludf.DUMMYFUNCTION("""COMPUTED_VALUE"""),"307498600001")</f>
        <v>307498600001</v>
      </c>
      <c r="B670" s="226" t="str">
        <f>IFERROR(__xludf.DUMMYFUNCTION("""COMPUTED_VALUE"""),"4250557510033")</f>
        <v>4250557510033</v>
      </c>
      <c r="C670" t="str">
        <f>IFERROR(__xludf.DUMMYFUNCTION("""COMPUTED_VALUE"""),"Westfalia/Witter")</f>
        <v>Westfalia/Witter</v>
      </c>
    </row>
    <row r="671">
      <c r="A671" t="str">
        <f>IFERROR(__xludf.DUMMYFUNCTION("""COMPUTED_VALUE"""),"342209600001")</f>
        <v>342209600001</v>
      </c>
      <c r="B671" s="226" t="str">
        <f>IFERROR(__xludf.DUMMYFUNCTION("""COMPUTED_VALUE"""),"4250557510163")</f>
        <v>4250557510163</v>
      </c>
      <c r="C671" t="str">
        <f>IFERROR(__xludf.DUMMYFUNCTION("""COMPUTED_VALUE"""),"Westfalia/Witter")</f>
        <v>Westfalia/Witter</v>
      </c>
    </row>
    <row r="672">
      <c r="A672" t="str">
        <f>IFERROR(__xludf.DUMMYFUNCTION("""COMPUTED_VALUE"""),"342207600001")</f>
        <v>342207600001</v>
      </c>
      <c r="B672" s="226" t="str">
        <f>IFERROR(__xludf.DUMMYFUNCTION("""COMPUTED_VALUE"""),"4250557510170")</f>
        <v>4250557510170</v>
      </c>
      <c r="C672" t="str">
        <f>IFERROR(__xludf.DUMMYFUNCTION("""COMPUTED_VALUE"""),"Westfalia/Witter")</f>
        <v>Westfalia/Witter</v>
      </c>
    </row>
    <row r="673">
      <c r="A673" t="str">
        <f>IFERROR(__xludf.DUMMYFUNCTION("""COMPUTED_VALUE"""),"342208600001")</f>
        <v>342208600001</v>
      </c>
      <c r="B673" s="226" t="str">
        <f>IFERROR(__xludf.DUMMYFUNCTION("""COMPUTED_VALUE"""),"4250557510187")</f>
        <v>4250557510187</v>
      </c>
      <c r="C673" t="str">
        <f>IFERROR(__xludf.DUMMYFUNCTION("""COMPUTED_VALUE"""),"Westfalia/Witter")</f>
        <v>Westfalia/Witter</v>
      </c>
    </row>
    <row r="674">
      <c r="A674" t="str">
        <f>IFERROR(__xludf.DUMMYFUNCTION("""COMPUTED_VALUE"""),"313402600001")</f>
        <v>313402600001</v>
      </c>
      <c r="B674" s="226" t="str">
        <f>IFERROR(__xludf.DUMMYFUNCTION("""COMPUTED_VALUE"""),"4250557510286")</f>
        <v>4250557510286</v>
      </c>
      <c r="C674" t="str">
        <f>IFERROR(__xludf.DUMMYFUNCTION("""COMPUTED_VALUE"""),"Westfalia/Witter")</f>
        <v>Westfalia/Witter</v>
      </c>
    </row>
    <row r="675">
      <c r="A675" t="str">
        <f>IFERROR(__xludf.DUMMYFUNCTION("""COMPUTED_VALUE"""),"332327600001")</f>
        <v>332327600001</v>
      </c>
      <c r="B675" s="226" t="str">
        <f>IFERROR(__xludf.DUMMYFUNCTION("""COMPUTED_VALUE"""),"4250557510323")</f>
        <v>4250557510323</v>
      </c>
      <c r="C675" t="str">
        <f>IFERROR(__xludf.DUMMYFUNCTION("""COMPUTED_VALUE"""),"Westfalia/Witter")</f>
        <v>Westfalia/Witter</v>
      </c>
    </row>
    <row r="676">
      <c r="A676" t="str">
        <f>IFERROR(__xludf.DUMMYFUNCTION("""COMPUTED_VALUE"""),"332327600001")</f>
        <v>332327600001</v>
      </c>
      <c r="B676" s="226" t="str">
        <f>IFERROR(__xludf.DUMMYFUNCTION("""COMPUTED_VALUE"""),"4250557510323")</f>
        <v>4250557510323</v>
      </c>
      <c r="C676" t="str">
        <f>IFERROR(__xludf.DUMMYFUNCTION("""COMPUTED_VALUE"""),"Westfalia/Witter")</f>
        <v>Westfalia/Witter</v>
      </c>
    </row>
    <row r="677">
      <c r="A677" t="str">
        <f>IFERROR(__xludf.DUMMYFUNCTION("""COMPUTED_VALUE"""),"316354600001")</f>
        <v>316354600001</v>
      </c>
      <c r="B677" s="226" t="str">
        <f>IFERROR(__xludf.DUMMYFUNCTION("""COMPUTED_VALUE"""),"4250557510378")</f>
        <v>4250557510378</v>
      </c>
      <c r="C677" t="str">
        <f>IFERROR(__xludf.DUMMYFUNCTION("""COMPUTED_VALUE"""),"Westfalia/Witter")</f>
        <v>Westfalia/Witter</v>
      </c>
    </row>
    <row r="678">
      <c r="A678" t="str">
        <f>IFERROR(__xludf.DUMMYFUNCTION("""COMPUTED_VALUE"""),"316354600001")</f>
        <v>316354600001</v>
      </c>
      <c r="B678" s="226" t="str">
        <f>IFERROR(__xludf.DUMMYFUNCTION("""COMPUTED_VALUE"""),"4250557510378")</f>
        <v>4250557510378</v>
      </c>
      <c r="C678" t="str">
        <f>IFERROR(__xludf.DUMMYFUNCTION("""COMPUTED_VALUE"""),"Westfalia/Witter")</f>
        <v>Westfalia/Witter</v>
      </c>
    </row>
    <row r="679">
      <c r="A679" t="str">
        <f>IFERROR(__xludf.DUMMYFUNCTION("""COMPUTED_VALUE"""),"316354600001")</f>
        <v>316354600001</v>
      </c>
      <c r="B679" s="226" t="str">
        <f>IFERROR(__xludf.DUMMYFUNCTION("""COMPUTED_VALUE"""),"4250557510378")</f>
        <v>4250557510378</v>
      </c>
      <c r="C679" t="str">
        <f>IFERROR(__xludf.DUMMYFUNCTION("""COMPUTED_VALUE"""),"Westfalia/Witter")</f>
        <v>Westfalia/Witter</v>
      </c>
    </row>
    <row r="680">
      <c r="A680" t="str">
        <f>IFERROR(__xludf.DUMMYFUNCTION("""COMPUTED_VALUE"""),"316355600001")</f>
        <v>316355600001</v>
      </c>
      <c r="B680" s="226" t="str">
        <f>IFERROR(__xludf.DUMMYFUNCTION("""COMPUTED_VALUE"""),"4250557510385")</f>
        <v>4250557510385</v>
      </c>
      <c r="C680" t="str">
        <f>IFERROR(__xludf.DUMMYFUNCTION("""COMPUTED_VALUE"""),"Westfalia/Witter")</f>
        <v>Westfalia/Witter</v>
      </c>
    </row>
    <row r="681">
      <c r="A681" t="str">
        <f>IFERROR(__xludf.DUMMYFUNCTION("""COMPUTED_VALUE"""),"316355600001")</f>
        <v>316355600001</v>
      </c>
      <c r="B681" s="226" t="str">
        <f>IFERROR(__xludf.DUMMYFUNCTION("""COMPUTED_VALUE"""),"4250557510385")</f>
        <v>4250557510385</v>
      </c>
      <c r="C681" t="str">
        <f>IFERROR(__xludf.DUMMYFUNCTION("""COMPUTED_VALUE"""),"Westfalia/Witter")</f>
        <v>Westfalia/Witter</v>
      </c>
    </row>
    <row r="682">
      <c r="A682" t="str">
        <f>IFERROR(__xludf.DUMMYFUNCTION("""COMPUTED_VALUE"""),"316355600001")</f>
        <v>316355600001</v>
      </c>
      <c r="B682" s="226" t="str">
        <f>IFERROR(__xludf.DUMMYFUNCTION("""COMPUTED_VALUE"""),"4250557510385")</f>
        <v>4250557510385</v>
      </c>
      <c r="C682" t="str">
        <f>IFERROR(__xludf.DUMMYFUNCTION("""COMPUTED_VALUE"""),"Westfalia/Witter")</f>
        <v>Westfalia/Witter</v>
      </c>
    </row>
    <row r="683">
      <c r="A683" t="str">
        <f>IFERROR(__xludf.DUMMYFUNCTION("""COMPUTED_VALUE"""),"316358600001")</f>
        <v>316358600001</v>
      </c>
      <c r="B683" s="226" t="str">
        <f>IFERROR(__xludf.DUMMYFUNCTION("""COMPUTED_VALUE"""),"4250557510392")</f>
        <v>4250557510392</v>
      </c>
      <c r="C683" t="str">
        <f>IFERROR(__xludf.DUMMYFUNCTION("""COMPUTED_VALUE"""),"Westfalia/Witter")</f>
        <v>Westfalia/Witter</v>
      </c>
    </row>
    <row r="684">
      <c r="A684" t="str">
        <f>IFERROR(__xludf.DUMMYFUNCTION("""COMPUTED_VALUE"""),"316359600001")</f>
        <v>316359600001</v>
      </c>
      <c r="B684" s="226" t="str">
        <f>IFERROR(__xludf.DUMMYFUNCTION("""COMPUTED_VALUE"""),"4250557510408")</f>
        <v>4250557510408</v>
      </c>
      <c r="C684" t="str">
        <f>IFERROR(__xludf.DUMMYFUNCTION("""COMPUTED_VALUE"""),"Westfalia/Witter")</f>
        <v>Westfalia/Witter</v>
      </c>
    </row>
    <row r="685">
      <c r="A685" t="str">
        <f>IFERROR(__xludf.DUMMYFUNCTION("""COMPUTED_VALUE"""),"321815600001")</f>
        <v>321815600001</v>
      </c>
      <c r="B685" s="226" t="str">
        <f>IFERROR(__xludf.DUMMYFUNCTION("""COMPUTED_VALUE"""),"4250557510880")</f>
        <v>4250557510880</v>
      </c>
      <c r="C685" t="str">
        <f>IFERROR(__xludf.DUMMYFUNCTION("""COMPUTED_VALUE"""),"Westfalia/Witter")</f>
        <v>Westfalia/Witter</v>
      </c>
    </row>
    <row r="686">
      <c r="A686" t="str">
        <f>IFERROR(__xludf.DUMMYFUNCTION("""COMPUTED_VALUE"""),"317114600001")</f>
        <v>317114600001</v>
      </c>
      <c r="B686" s="226" t="str">
        <f>IFERROR(__xludf.DUMMYFUNCTION("""COMPUTED_VALUE"""),"4250557510903")</f>
        <v>4250557510903</v>
      </c>
      <c r="C686" t="str">
        <f>IFERROR(__xludf.DUMMYFUNCTION("""COMPUTED_VALUE"""),"Westfalia/Witter")</f>
        <v>Westfalia/Witter</v>
      </c>
    </row>
    <row r="687">
      <c r="A687" t="str">
        <f>IFERROR(__xludf.DUMMYFUNCTION("""COMPUTED_VALUE"""),"317114600001")</f>
        <v>317114600001</v>
      </c>
      <c r="B687" s="226" t="str">
        <f>IFERROR(__xludf.DUMMYFUNCTION("""COMPUTED_VALUE"""),"4250557510903")</f>
        <v>4250557510903</v>
      </c>
      <c r="C687" t="str">
        <f>IFERROR(__xludf.DUMMYFUNCTION("""COMPUTED_VALUE"""),"Westfalia/Witter")</f>
        <v>Westfalia/Witter</v>
      </c>
    </row>
    <row r="688">
      <c r="A688" t="str">
        <f>IFERROR(__xludf.DUMMYFUNCTION("""COMPUTED_VALUE"""),"317114600001")</f>
        <v>317114600001</v>
      </c>
      <c r="B688" s="226" t="str">
        <f>IFERROR(__xludf.DUMMYFUNCTION("""COMPUTED_VALUE"""),"4250557510903")</f>
        <v>4250557510903</v>
      </c>
      <c r="C688" t="str">
        <f>IFERROR(__xludf.DUMMYFUNCTION("""COMPUTED_VALUE"""),"Westfalia/Witter")</f>
        <v>Westfalia/Witter</v>
      </c>
    </row>
    <row r="689">
      <c r="A689" t="str">
        <f>IFERROR(__xludf.DUMMYFUNCTION("""COMPUTED_VALUE"""),"317114600001")</f>
        <v>317114600001</v>
      </c>
      <c r="B689" s="226" t="str">
        <f>IFERROR(__xludf.DUMMYFUNCTION("""COMPUTED_VALUE"""),"4250557510903")</f>
        <v>4250557510903</v>
      </c>
      <c r="C689" t="str">
        <f>IFERROR(__xludf.DUMMYFUNCTION("""COMPUTED_VALUE"""),"Westfalia/Witter")</f>
        <v>Westfalia/Witter</v>
      </c>
    </row>
    <row r="690">
      <c r="A690" t="str">
        <f>IFERROR(__xludf.DUMMYFUNCTION("""COMPUTED_VALUE"""),"317114600001")</f>
        <v>317114600001</v>
      </c>
      <c r="B690" s="226" t="str">
        <f>IFERROR(__xludf.DUMMYFUNCTION("""COMPUTED_VALUE"""),"4250557510903")</f>
        <v>4250557510903</v>
      </c>
      <c r="C690" t="str">
        <f>IFERROR(__xludf.DUMMYFUNCTION("""COMPUTED_VALUE"""),"Westfalia/Witter")</f>
        <v>Westfalia/Witter</v>
      </c>
    </row>
    <row r="691">
      <c r="A691" t="str">
        <f>IFERROR(__xludf.DUMMYFUNCTION("""COMPUTED_VALUE"""),"317114600001")</f>
        <v>317114600001</v>
      </c>
      <c r="B691" s="226" t="str">
        <f>IFERROR(__xludf.DUMMYFUNCTION("""COMPUTED_VALUE"""),"4250557510903")</f>
        <v>4250557510903</v>
      </c>
      <c r="C691" t="str">
        <f>IFERROR(__xludf.DUMMYFUNCTION("""COMPUTED_VALUE"""),"Westfalia/Witter")</f>
        <v>Westfalia/Witter</v>
      </c>
    </row>
    <row r="692">
      <c r="A692" t="str">
        <f>IFERROR(__xludf.DUMMYFUNCTION("""COMPUTED_VALUE"""),"314500600001")</f>
        <v>314500600001</v>
      </c>
      <c r="B692" s="226" t="str">
        <f>IFERROR(__xludf.DUMMYFUNCTION("""COMPUTED_VALUE"""),"4250557511122")</f>
        <v>4250557511122</v>
      </c>
      <c r="C692" t="str">
        <f>IFERROR(__xludf.DUMMYFUNCTION("""COMPUTED_VALUE"""),"Westfalia/Witter")</f>
        <v>Westfalia/Witter</v>
      </c>
    </row>
    <row r="693">
      <c r="A693" t="str">
        <f>IFERROR(__xludf.DUMMYFUNCTION("""COMPUTED_VALUE"""),"314501600001")</f>
        <v>314501600001</v>
      </c>
      <c r="B693" s="226" t="str">
        <f>IFERROR(__xludf.DUMMYFUNCTION("""COMPUTED_VALUE"""),"4250557511153")</f>
        <v>4250557511153</v>
      </c>
      <c r="C693" t="str">
        <f>IFERROR(__xludf.DUMMYFUNCTION("""COMPUTED_VALUE"""),"Westfalia/Witter")</f>
        <v>Westfalia/Witter</v>
      </c>
    </row>
    <row r="694">
      <c r="A694" t="str">
        <f>IFERROR(__xludf.DUMMYFUNCTION("""COMPUTED_VALUE"""),"320114600001")</f>
        <v>320114600001</v>
      </c>
      <c r="B694" s="226" t="str">
        <f>IFERROR(__xludf.DUMMYFUNCTION("""COMPUTED_VALUE"""),"4250557512891")</f>
        <v>4250557512891</v>
      </c>
      <c r="C694" t="str">
        <f>IFERROR(__xludf.DUMMYFUNCTION("""COMPUTED_VALUE"""),"Westfalia/Witter")</f>
        <v>Westfalia/Witter</v>
      </c>
    </row>
    <row r="695">
      <c r="A695" t="str">
        <f>IFERROR(__xludf.DUMMYFUNCTION("""COMPUTED_VALUE"""),"344074600001")</f>
        <v>344074600001</v>
      </c>
      <c r="B695" s="226" t="str">
        <f>IFERROR(__xludf.DUMMYFUNCTION("""COMPUTED_VALUE"""),"4250557512969")</f>
        <v>4250557512969</v>
      </c>
      <c r="C695" t="str">
        <f>IFERROR(__xludf.DUMMYFUNCTION("""COMPUTED_VALUE"""),"Westfalia/Witter")</f>
        <v>Westfalia/Witter</v>
      </c>
    </row>
    <row r="696">
      <c r="A696" t="str">
        <f>IFERROR(__xludf.DUMMYFUNCTION("""COMPUTED_VALUE"""),"342216600001")</f>
        <v>342216600001</v>
      </c>
      <c r="B696" s="226" t="str">
        <f>IFERROR(__xludf.DUMMYFUNCTION("""COMPUTED_VALUE"""),"4250557513010")</f>
        <v>4250557513010</v>
      </c>
      <c r="C696" t="str">
        <f>IFERROR(__xludf.DUMMYFUNCTION("""COMPUTED_VALUE"""),"Westfalia/Witter")</f>
        <v>Westfalia/Witter</v>
      </c>
    </row>
    <row r="697">
      <c r="A697" t="str">
        <f>IFERROR(__xludf.DUMMYFUNCTION("""COMPUTED_VALUE"""),"314486600001")</f>
        <v>314486600001</v>
      </c>
      <c r="B697" s="226" t="str">
        <f>IFERROR(__xludf.DUMMYFUNCTION("""COMPUTED_VALUE"""),"4250557513065")</f>
        <v>4250557513065</v>
      </c>
      <c r="C697" t="str">
        <f>IFERROR(__xludf.DUMMYFUNCTION("""COMPUTED_VALUE"""),"Westfalia/Witter")</f>
        <v>Westfalia/Witter</v>
      </c>
    </row>
    <row r="698">
      <c r="A698" t="str">
        <f>IFERROR(__xludf.DUMMYFUNCTION("""COMPUTED_VALUE"""),"342217600001")</f>
        <v>342217600001</v>
      </c>
      <c r="B698" s="226" t="str">
        <f>IFERROR(__xludf.DUMMYFUNCTION("""COMPUTED_VALUE"""),"4250557513102")</f>
        <v>4250557513102</v>
      </c>
      <c r="C698" t="str">
        <f>IFERROR(__xludf.DUMMYFUNCTION("""COMPUTED_VALUE"""),"Westfalia/Witter")</f>
        <v>Westfalia/Witter</v>
      </c>
    </row>
    <row r="699">
      <c r="A699" t="str">
        <f>IFERROR(__xludf.DUMMYFUNCTION("""COMPUTED_VALUE"""),"344079600001")</f>
        <v>344079600001</v>
      </c>
      <c r="B699" s="226" t="str">
        <f>IFERROR(__xludf.DUMMYFUNCTION("""COMPUTED_VALUE"""),"4250557513171")</f>
        <v>4250557513171</v>
      </c>
      <c r="C699" t="str">
        <f>IFERROR(__xludf.DUMMYFUNCTION("""COMPUTED_VALUE"""),"Westfalia/Witter")</f>
        <v>Westfalia/Witter</v>
      </c>
    </row>
    <row r="700">
      <c r="A700" t="str">
        <f>IFERROR(__xludf.DUMMYFUNCTION("""COMPUTED_VALUE"""),"344079600001")</f>
        <v>344079600001</v>
      </c>
      <c r="B700" s="226" t="str">
        <f>IFERROR(__xludf.DUMMYFUNCTION("""COMPUTED_VALUE"""),"4250557513171")</f>
        <v>4250557513171</v>
      </c>
      <c r="C700" t="str">
        <f>IFERROR(__xludf.DUMMYFUNCTION("""COMPUTED_VALUE"""),"Westfalia/Witter")</f>
        <v>Westfalia/Witter</v>
      </c>
    </row>
    <row r="701">
      <c r="A701" t="str">
        <f>IFERROR(__xludf.DUMMYFUNCTION("""COMPUTED_VALUE"""),"317125600001")</f>
        <v>317125600001</v>
      </c>
      <c r="B701" s="226" t="str">
        <f>IFERROR(__xludf.DUMMYFUNCTION("""COMPUTED_VALUE"""),"4250557513669")</f>
        <v>4250557513669</v>
      </c>
      <c r="C701" t="str">
        <f>IFERROR(__xludf.DUMMYFUNCTION("""COMPUTED_VALUE"""),"Westfalia/Witter")</f>
        <v>Westfalia/Witter</v>
      </c>
    </row>
    <row r="702">
      <c r="A702" t="str">
        <f>IFERROR(__xludf.DUMMYFUNCTION("""COMPUTED_VALUE"""),"314510600001")</f>
        <v>314510600001</v>
      </c>
      <c r="B702" s="226" t="str">
        <f>IFERROR(__xludf.DUMMYFUNCTION("""COMPUTED_VALUE"""),"4250557513713")</f>
        <v>4250557513713</v>
      </c>
      <c r="C702" t="str">
        <f>IFERROR(__xludf.DUMMYFUNCTION("""COMPUTED_VALUE"""),"Westfalia/Witter")</f>
        <v>Westfalia/Witter</v>
      </c>
    </row>
    <row r="703">
      <c r="A703" t="str">
        <f>IFERROR(__xludf.DUMMYFUNCTION("""COMPUTED_VALUE"""),"314510600001")</f>
        <v>314510600001</v>
      </c>
      <c r="B703" s="226" t="str">
        <f>IFERROR(__xludf.DUMMYFUNCTION("""COMPUTED_VALUE"""),"4250557513713")</f>
        <v>4250557513713</v>
      </c>
      <c r="C703" t="str">
        <f>IFERROR(__xludf.DUMMYFUNCTION("""COMPUTED_VALUE"""),"Westfalia/Witter")</f>
        <v>Westfalia/Witter</v>
      </c>
    </row>
    <row r="704">
      <c r="A704" t="str">
        <f>IFERROR(__xludf.DUMMYFUNCTION("""COMPUTED_VALUE"""),"314510600001")</f>
        <v>314510600001</v>
      </c>
      <c r="B704" s="226" t="str">
        <f>IFERROR(__xludf.DUMMYFUNCTION("""COMPUTED_VALUE"""),"4250557513713")</f>
        <v>4250557513713</v>
      </c>
      <c r="C704" t="str">
        <f>IFERROR(__xludf.DUMMYFUNCTION("""COMPUTED_VALUE"""),"Westfalia/Witter")</f>
        <v>Westfalia/Witter</v>
      </c>
    </row>
    <row r="705">
      <c r="A705" t="str">
        <f>IFERROR(__xludf.DUMMYFUNCTION("""COMPUTED_VALUE"""),"317129600001")</f>
        <v>317129600001</v>
      </c>
      <c r="B705" s="226" t="str">
        <f>IFERROR(__xludf.DUMMYFUNCTION("""COMPUTED_VALUE"""),"4250557514604")</f>
        <v>4250557514604</v>
      </c>
      <c r="C705" t="str">
        <f>IFERROR(__xludf.DUMMYFUNCTION("""COMPUTED_VALUE"""),"Westfalia/Witter")</f>
        <v>Westfalia/Witter</v>
      </c>
    </row>
    <row r="706">
      <c r="A706" t="str">
        <f>IFERROR(__xludf.DUMMYFUNCTION("""COMPUTED_VALUE"""),"317129600001")</f>
        <v>317129600001</v>
      </c>
      <c r="B706" s="226" t="str">
        <f>IFERROR(__xludf.DUMMYFUNCTION("""COMPUTED_VALUE"""),"4250557514604")</f>
        <v>4250557514604</v>
      </c>
      <c r="C706" t="str">
        <f>IFERROR(__xludf.DUMMYFUNCTION("""COMPUTED_VALUE"""),"Westfalia/Witter")</f>
        <v>Westfalia/Witter</v>
      </c>
    </row>
    <row r="707">
      <c r="A707" t="str">
        <f>IFERROR(__xludf.DUMMYFUNCTION("""COMPUTED_VALUE"""),"317129600001")</f>
        <v>317129600001</v>
      </c>
      <c r="B707" s="226" t="str">
        <f>IFERROR(__xludf.DUMMYFUNCTION("""COMPUTED_VALUE"""),"4250557514604")</f>
        <v>4250557514604</v>
      </c>
      <c r="C707" t="str">
        <f>IFERROR(__xludf.DUMMYFUNCTION("""COMPUTED_VALUE"""),"Westfalia/Witter")</f>
        <v>Westfalia/Witter</v>
      </c>
    </row>
    <row r="708">
      <c r="A708" t="str">
        <f>IFERROR(__xludf.DUMMYFUNCTION("""COMPUTED_VALUE"""),"317130600001")</f>
        <v>317130600001</v>
      </c>
      <c r="B708" s="226" t="str">
        <f>IFERROR(__xludf.DUMMYFUNCTION("""COMPUTED_VALUE"""),"4250557514611")</f>
        <v>4250557514611</v>
      </c>
      <c r="C708" t="str">
        <f>IFERROR(__xludf.DUMMYFUNCTION("""COMPUTED_VALUE"""),"Westfalia/Witter")</f>
        <v>Westfalia/Witter</v>
      </c>
    </row>
    <row r="709">
      <c r="A709" t="str">
        <f>IFERROR(__xludf.DUMMYFUNCTION("""COMPUTED_VALUE"""),"317130600001")</f>
        <v>317130600001</v>
      </c>
      <c r="B709" s="226" t="str">
        <f>IFERROR(__xludf.DUMMYFUNCTION("""COMPUTED_VALUE"""),"4250557514611")</f>
        <v>4250557514611</v>
      </c>
      <c r="C709" t="str">
        <f>IFERROR(__xludf.DUMMYFUNCTION("""COMPUTED_VALUE"""),"Westfalia/Witter")</f>
        <v>Westfalia/Witter</v>
      </c>
    </row>
    <row r="710">
      <c r="A710" t="str">
        <f>IFERROR(__xludf.DUMMYFUNCTION("""COMPUTED_VALUE"""),"317130600001")</f>
        <v>317130600001</v>
      </c>
      <c r="B710" s="226" t="str">
        <f>IFERROR(__xludf.DUMMYFUNCTION("""COMPUTED_VALUE"""),"4250557514611")</f>
        <v>4250557514611</v>
      </c>
      <c r="C710" t="str">
        <f>IFERROR(__xludf.DUMMYFUNCTION("""COMPUTED_VALUE"""),"Westfalia/Witter")</f>
        <v>Westfalia/Witter</v>
      </c>
    </row>
    <row r="711">
      <c r="A711" t="str">
        <f>IFERROR(__xludf.DUMMYFUNCTION("""COMPUTED_VALUE"""),"305443600001")</f>
        <v>305443600001</v>
      </c>
      <c r="B711" s="226" t="str">
        <f>IFERROR(__xludf.DUMMYFUNCTION("""COMPUTED_VALUE"""),"4250557514765")</f>
        <v>4250557514765</v>
      </c>
      <c r="C711" t="str">
        <f>IFERROR(__xludf.DUMMYFUNCTION("""COMPUTED_VALUE"""),"Westfalia/Witter")</f>
        <v>Westfalia/Witter</v>
      </c>
    </row>
    <row r="712">
      <c r="A712" t="str">
        <f>IFERROR(__xludf.DUMMYFUNCTION("""COMPUTED_VALUE"""),"305443600001")</f>
        <v>305443600001</v>
      </c>
      <c r="B712" s="226" t="str">
        <f>IFERROR(__xludf.DUMMYFUNCTION("""COMPUTED_VALUE"""),"4250557514765")</f>
        <v>4250557514765</v>
      </c>
      <c r="C712" t="str">
        <f>IFERROR(__xludf.DUMMYFUNCTION("""COMPUTED_VALUE"""),"Westfalia/Witter")</f>
        <v>Westfalia/Witter</v>
      </c>
    </row>
    <row r="713">
      <c r="A713" t="str">
        <f>IFERROR(__xludf.DUMMYFUNCTION("""COMPUTED_VALUE"""),"305443600001")</f>
        <v>305443600001</v>
      </c>
      <c r="B713" s="226" t="str">
        <f>IFERROR(__xludf.DUMMYFUNCTION("""COMPUTED_VALUE"""),"4250557514765")</f>
        <v>4250557514765</v>
      </c>
      <c r="C713" t="str">
        <f>IFERROR(__xludf.DUMMYFUNCTION("""COMPUTED_VALUE"""),"Westfalia/Witter")</f>
        <v>Westfalia/Witter</v>
      </c>
    </row>
    <row r="714">
      <c r="A714" t="str">
        <f>IFERROR(__xludf.DUMMYFUNCTION("""COMPUTED_VALUE"""),"303394600001")</f>
        <v>303394600001</v>
      </c>
      <c r="B714" s="226" t="str">
        <f>IFERROR(__xludf.DUMMYFUNCTION("""COMPUTED_VALUE"""),"4250557514802")</f>
        <v>4250557514802</v>
      </c>
      <c r="C714" t="str">
        <f>IFERROR(__xludf.DUMMYFUNCTION("""COMPUTED_VALUE"""),"Westfalia/Witter")</f>
        <v>Westfalia/Witter</v>
      </c>
    </row>
    <row r="715">
      <c r="A715" t="str">
        <f>IFERROR(__xludf.DUMMYFUNCTION("""COMPUTED_VALUE"""),"303393600001")</f>
        <v>303393600001</v>
      </c>
      <c r="B715" s="226" t="str">
        <f>IFERROR(__xludf.DUMMYFUNCTION("""COMPUTED_VALUE"""),"4250557514819")</f>
        <v>4250557514819</v>
      </c>
      <c r="C715" t="str">
        <f>IFERROR(__xludf.DUMMYFUNCTION("""COMPUTED_VALUE"""),"Westfalia/Witter")</f>
        <v>Westfalia/Witter</v>
      </c>
    </row>
    <row r="716">
      <c r="A716" t="str">
        <f>IFERROR(__xludf.DUMMYFUNCTION("""COMPUTED_VALUE"""),"317131600001")</f>
        <v>317131600001</v>
      </c>
      <c r="B716" s="226" t="str">
        <f>IFERROR(__xludf.DUMMYFUNCTION("""COMPUTED_VALUE"""),"4250557514895")</f>
        <v>4250557514895</v>
      </c>
      <c r="C716" t="str">
        <f>IFERROR(__xludf.DUMMYFUNCTION("""COMPUTED_VALUE"""),"Westfalia/Witter")</f>
        <v>Westfalia/Witter</v>
      </c>
    </row>
    <row r="717">
      <c r="A717" t="str">
        <f>IFERROR(__xludf.DUMMYFUNCTION("""COMPUTED_VALUE"""),"317131600001")</f>
        <v>317131600001</v>
      </c>
      <c r="B717" s="226" t="str">
        <f>IFERROR(__xludf.DUMMYFUNCTION("""COMPUTED_VALUE"""),"4250557514895")</f>
        <v>4250557514895</v>
      </c>
      <c r="C717" t="str">
        <f>IFERROR(__xludf.DUMMYFUNCTION("""COMPUTED_VALUE"""),"Westfalia/Witter")</f>
        <v>Westfalia/Witter</v>
      </c>
    </row>
    <row r="718">
      <c r="A718" t="str">
        <f>IFERROR(__xludf.DUMMYFUNCTION("""COMPUTED_VALUE"""),"317131600001")</f>
        <v>317131600001</v>
      </c>
      <c r="B718" s="226" t="str">
        <f>IFERROR(__xludf.DUMMYFUNCTION("""COMPUTED_VALUE"""),"4250557514895")</f>
        <v>4250557514895</v>
      </c>
      <c r="C718" t="str">
        <f>IFERROR(__xludf.DUMMYFUNCTION("""COMPUTED_VALUE"""),"Westfalia/Witter")</f>
        <v>Westfalia/Witter</v>
      </c>
    </row>
    <row r="719">
      <c r="A719" t="str">
        <f>IFERROR(__xludf.DUMMYFUNCTION("""COMPUTED_VALUE"""),"317131600001")</f>
        <v>317131600001</v>
      </c>
      <c r="B719" s="226" t="str">
        <f>IFERROR(__xludf.DUMMYFUNCTION("""COMPUTED_VALUE"""),"4250557514895")</f>
        <v>4250557514895</v>
      </c>
      <c r="C719" t="str">
        <f>IFERROR(__xludf.DUMMYFUNCTION("""COMPUTED_VALUE"""),"Westfalia/Witter")</f>
        <v>Westfalia/Witter</v>
      </c>
    </row>
    <row r="720">
      <c r="A720" t="str">
        <f>IFERROR(__xludf.DUMMYFUNCTION("""COMPUTED_VALUE"""),"317131600001")</f>
        <v>317131600001</v>
      </c>
      <c r="B720" s="226" t="str">
        <f>IFERROR(__xludf.DUMMYFUNCTION("""COMPUTED_VALUE"""),"4250557514895")</f>
        <v>4250557514895</v>
      </c>
      <c r="C720" t="str">
        <f>IFERROR(__xludf.DUMMYFUNCTION("""COMPUTED_VALUE"""),"Westfalia/Witter")</f>
        <v>Westfalia/Witter</v>
      </c>
    </row>
    <row r="721">
      <c r="A721" t="str">
        <f>IFERROR(__xludf.DUMMYFUNCTION("""COMPUTED_VALUE"""),"317131600001")</f>
        <v>317131600001</v>
      </c>
      <c r="B721" s="226" t="str">
        <f>IFERROR(__xludf.DUMMYFUNCTION("""COMPUTED_VALUE"""),"4250557514895")</f>
        <v>4250557514895</v>
      </c>
      <c r="C721" t="str">
        <f>IFERROR(__xludf.DUMMYFUNCTION("""COMPUTED_VALUE"""),"Westfalia/Witter")</f>
        <v>Westfalia/Witter</v>
      </c>
    </row>
    <row r="722">
      <c r="A722" t="str">
        <f>IFERROR(__xludf.DUMMYFUNCTION("""COMPUTED_VALUE"""),"317131600001")</f>
        <v>317131600001</v>
      </c>
      <c r="B722" s="226" t="str">
        <f>IFERROR(__xludf.DUMMYFUNCTION("""COMPUTED_VALUE"""),"4250557514895")</f>
        <v>4250557514895</v>
      </c>
      <c r="C722" t="str">
        <f>IFERROR(__xludf.DUMMYFUNCTION("""COMPUTED_VALUE"""),"Westfalia/Witter")</f>
        <v>Westfalia/Witter</v>
      </c>
    </row>
    <row r="723">
      <c r="A723" t="str">
        <f>IFERROR(__xludf.DUMMYFUNCTION("""COMPUTED_VALUE"""),"317132600001")</f>
        <v>317132600001</v>
      </c>
      <c r="B723" s="226" t="str">
        <f>IFERROR(__xludf.DUMMYFUNCTION("""COMPUTED_VALUE"""),"4250557514901")</f>
        <v>4250557514901</v>
      </c>
      <c r="C723" t="str">
        <f>IFERROR(__xludf.DUMMYFUNCTION("""COMPUTED_VALUE"""),"Westfalia/Witter")</f>
        <v>Westfalia/Witter</v>
      </c>
    </row>
    <row r="724">
      <c r="A724" t="str">
        <f>IFERROR(__xludf.DUMMYFUNCTION("""COMPUTED_VALUE"""),"317132600001")</f>
        <v>317132600001</v>
      </c>
      <c r="B724" s="226" t="str">
        <f>IFERROR(__xludf.DUMMYFUNCTION("""COMPUTED_VALUE"""),"4250557514901")</f>
        <v>4250557514901</v>
      </c>
      <c r="C724" t="str">
        <f>IFERROR(__xludf.DUMMYFUNCTION("""COMPUTED_VALUE"""),"Westfalia/Witter")</f>
        <v>Westfalia/Witter</v>
      </c>
    </row>
    <row r="725">
      <c r="A725" t="str">
        <f>IFERROR(__xludf.DUMMYFUNCTION("""COMPUTED_VALUE"""),"317132600001")</f>
        <v>317132600001</v>
      </c>
      <c r="B725" s="226" t="str">
        <f>IFERROR(__xludf.DUMMYFUNCTION("""COMPUTED_VALUE"""),"4250557514901")</f>
        <v>4250557514901</v>
      </c>
      <c r="C725" t="str">
        <f>IFERROR(__xludf.DUMMYFUNCTION("""COMPUTED_VALUE"""),"Westfalia/Witter")</f>
        <v>Westfalia/Witter</v>
      </c>
    </row>
    <row r="726">
      <c r="A726" t="str">
        <f>IFERROR(__xludf.DUMMYFUNCTION("""COMPUTED_VALUE"""),"317132600001")</f>
        <v>317132600001</v>
      </c>
      <c r="B726" s="226" t="str">
        <f>IFERROR(__xludf.DUMMYFUNCTION("""COMPUTED_VALUE"""),"4250557514901")</f>
        <v>4250557514901</v>
      </c>
      <c r="C726" t="str">
        <f>IFERROR(__xludf.DUMMYFUNCTION("""COMPUTED_VALUE"""),"Westfalia/Witter")</f>
        <v>Westfalia/Witter</v>
      </c>
    </row>
    <row r="727">
      <c r="A727" t="str">
        <f>IFERROR(__xludf.DUMMYFUNCTION("""COMPUTED_VALUE"""),"317132600001")</f>
        <v>317132600001</v>
      </c>
      <c r="B727" s="226" t="str">
        <f>IFERROR(__xludf.DUMMYFUNCTION("""COMPUTED_VALUE"""),"4250557514901")</f>
        <v>4250557514901</v>
      </c>
      <c r="C727" t="str">
        <f>IFERROR(__xludf.DUMMYFUNCTION("""COMPUTED_VALUE"""),"Westfalia/Witter")</f>
        <v>Westfalia/Witter</v>
      </c>
    </row>
    <row r="728">
      <c r="A728" t="str">
        <f>IFERROR(__xludf.DUMMYFUNCTION("""COMPUTED_VALUE"""),"317132600001")</f>
        <v>317132600001</v>
      </c>
      <c r="B728" s="226" t="str">
        <f>IFERROR(__xludf.DUMMYFUNCTION("""COMPUTED_VALUE"""),"4250557514901")</f>
        <v>4250557514901</v>
      </c>
      <c r="C728" t="str">
        <f>IFERROR(__xludf.DUMMYFUNCTION("""COMPUTED_VALUE"""),"Westfalia/Witter")</f>
        <v>Westfalia/Witter</v>
      </c>
    </row>
    <row r="729">
      <c r="A729" t="str">
        <f>IFERROR(__xludf.DUMMYFUNCTION("""COMPUTED_VALUE"""),"317132600001")</f>
        <v>317132600001</v>
      </c>
      <c r="B729" s="226" t="str">
        <f>IFERROR(__xludf.DUMMYFUNCTION("""COMPUTED_VALUE"""),"4250557514901")</f>
        <v>4250557514901</v>
      </c>
      <c r="C729" t="str">
        <f>IFERROR(__xludf.DUMMYFUNCTION("""COMPUTED_VALUE"""),"Westfalia/Witter")</f>
        <v>Westfalia/Witter</v>
      </c>
    </row>
    <row r="730">
      <c r="A730" t="str">
        <f>IFERROR(__xludf.DUMMYFUNCTION("""COMPUTED_VALUE"""),"317132600001")</f>
        <v>317132600001</v>
      </c>
      <c r="B730" s="226" t="str">
        <f>IFERROR(__xludf.DUMMYFUNCTION("""COMPUTED_VALUE"""),"4250557514901")</f>
        <v>4250557514901</v>
      </c>
      <c r="C730" t="str">
        <f>IFERROR(__xludf.DUMMYFUNCTION("""COMPUTED_VALUE"""),"Westfalia/Witter")</f>
        <v>Westfalia/Witter</v>
      </c>
    </row>
    <row r="731">
      <c r="A731" t="str">
        <f>IFERROR(__xludf.DUMMYFUNCTION("""COMPUTED_VALUE"""),"316352600001")</f>
        <v>316352600001</v>
      </c>
      <c r="B731" s="226" t="str">
        <f>IFERROR(__xludf.DUMMYFUNCTION("""COMPUTED_VALUE"""),"4250557514918")</f>
        <v>4250557514918</v>
      </c>
      <c r="C731" t="str">
        <f>IFERROR(__xludf.DUMMYFUNCTION("""COMPUTED_VALUE"""),"Westfalia/Witter")</f>
        <v>Westfalia/Witter</v>
      </c>
    </row>
    <row r="732">
      <c r="A732" t="str">
        <f>IFERROR(__xludf.DUMMYFUNCTION("""COMPUTED_VALUE"""),"316352600001")</f>
        <v>316352600001</v>
      </c>
      <c r="B732" s="226" t="str">
        <f>IFERROR(__xludf.DUMMYFUNCTION("""COMPUTED_VALUE"""),"4250557514918")</f>
        <v>4250557514918</v>
      </c>
      <c r="C732" t="str">
        <f>IFERROR(__xludf.DUMMYFUNCTION("""COMPUTED_VALUE"""),"Westfalia/Witter")</f>
        <v>Westfalia/Witter</v>
      </c>
    </row>
    <row r="733">
      <c r="A733" t="str">
        <f>IFERROR(__xludf.DUMMYFUNCTION("""COMPUTED_VALUE"""),"316352600001")</f>
        <v>316352600001</v>
      </c>
      <c r="B733" s="226" t="str">
        <f>IFERROR(__xludf.DUMMYFUNCTION("""COMPUTED_VALUE"""),"4250557514918")</f>
        <v>4250557514918</v>
      </c>
      <c r="C733" t="str">
        <f>IFERROR(__xludf.DUMMYFUNCTION("""COMPUTED_VALUE"""),"Westfalia/Witter")</f>
        <v>Westfalia/Witter</v>
      </c>
    </row>
    <row r="734">
      <c r="A734" t="str">
        <f>IFERROR(__xludf.DUMMYFUNCTION("""COMPUTED_VALUE"""),"316363600001")</f>
        <v>316363600001</v>
      </c>
      <c r="B734" s="226" t="str">
        <f>IFERROR(__xludf.DUMMYFUNCTION("""COMPUTED_VALUE"""),"4250557514925")</f>
        <v>4250557514925</v>
      </c>
      <c r="C734" t="str">
        <f>IFERROR(__xludf.DUMMYFUNCTION("""COMPUTED_VALUE"""),"Westfalia/Witter")</f>
        <v>Westfalia/Witter</v>
      </c>
    </row>
    <row r="735">
      <c r="A735" t="str">
        <f>IFERROR(__xludf.DUMMYFUNCTION("""COMPUTED_VALUE"""),"316363600001")</f>
        <v>316363600001</v>
      </c>
      <c r="B735" s="226" t="str">
        <f>IFERROR(__xludf.DUMMYFUNCTION("""COMPUTED_VALUE"""),"4250557514925")</f>
        <v>4250557514925</v>
      </c>
      <c r="C735" t="str">
        <f>IFERROR(__xludf.DUMMYFUNCTION("""COMPUTED_VALUE"""),"Westfalia/Witter")</f>
        <v>Westfalia/Witter</v>
      </c>
    </row>
    <row r="736">
      <c r="A736" t="str">
        <f>IFERROR(__xludf.DUMMYFUNCTION("""COMPUTED_VALUE"""),"316363600001")</f>
        <v>316363600001</v>
      </c>
      <c r="B736" s="226" t="str">
        <f>IFERROR(__xludf.DUMMYFUNCTION("""COMPUTED_VALUE"""),"4250557514925")</f>
        <v>4250557514925</v>
      </c>
      <c r="C736" t="str">
        <f>IFERROR(__xludf.DUMMYFUNCTION("""COMPUTED_VALUE"""),"Westfalia/Witter")</f>
        <v>Westfalia/Witter</v>
      </c>
    </row>
    <row r="737">
      <c r="A737" t="str">
        <f>IFERROR(__xludf.DUMMYFUNCTION("""COMPUTED_VALUE"""),"316363600001")</f>
        <v>316363600001</v>
      </c>
      <c r="B737" s="226" t="str">
        <f>IFERROR(__xludf.DUMMYFUNCTION("""COMPUTED_VALUE"""),"4250557514925")</f>
        <v>4250557514925</v>
      </c>
      <c r="C737" t="str">
        <f>IFERROR(__xludf.DUMMYFUNCTION("""COMPUTED_VALUE"""),"Westfalia/Witter")</f>
        <v>Westfalia/Witter</v>
      </c>
    </row>
    <row r="738">
      <c r="A738" t="str">
        <f>IFERROR(__xludf.DUMMYFUNCTION("""COMPUTED_VALUE"""),"303397600001")</f>
        <v>303397600001</v>
      </c>
      <c r="B738" s="226" t="str">
        <f>IFERROR(__xludf.DUMMYFUNCTION("""COMPUTED_VALUE"""),"4250557515243")</f>
        <v>4250557515243</v>
      </c>
      <c r="C738" t="str">
        <f>IFERROR(__xludf.DUMMYFUNCTION("""COMPUTED_VALUE"""),"Westfalia/Witter")</f>
        <v>Westfalia/Witter</v>
      </c>
    </row>
    <row r="739">
      <c r="A739" t="str">
        <f>IFERROR(__xludf.DUMMYFUNCTION("""COMPUTED_VALUE"""),"303397600001")</f>
        <v>303397600001</v>
      </c>
      <c r="B739" s="226" t="str">
        <f>IFERROR(__xludf.DUMMYFUNCTION("""COMPUTED_VALUE"""),"4250557515243")</f>
        <v>4250557515243</v>
      </c>
      <c r="C739" t="str">
        <f>IFERROR(__xludf.DUMMYFUNCTION("""COMPUTED_VALUE"""),"Westfalia/Witter")</f>
        <v>Westfalia/Witter</v>
      </c>
    </row>
    <row r="740">
      <c r="A740" t="str">
        <f>IFERROR(__xludf.DUMMYFUNCTION("""COMPUTED_VALUE"""),"303398600001")</f>
        <v>303398600001</v>
      </c>
      <c r="B740" s="226" t="str">
        <f>IFERROR(__xludf.DUMMYFUNCTION("""COMPUTED_VALUE"""),"4250557515250")</f>
        <v>4250557515250</v>
      </c>
      <c r="C740" t="str">
        <f>IFERROR(__xludf.DUMMYFUNCTION("""COMPUTED_VALUE"""),"Westfalia/Witter")</f>
        <v>Westfalia/Witter</v>
      </c>
    </row>
    <row r="741">
      <c r="A741" t="str">
        <f>IFERROR(__xludf.DUMMYFUNCTION("""COMPUTED_VALUE"""),"303398600001")</f>
        <v>303398600001</v>
      </c>
      <c r="B741" s="226" t="str">
        <f>IFERROR(__xludf.DUMMYFUNCTION("""COMPUTED_VALUE"""),"4250557515250")</f>
        <v>4250557515250</v>
      </c>
      <c r="C741" t="str">
        <f>IFERROR(__xludf.DUMMYFUNCTION("""COMPUTED_VALUE"""),"Westfalia/Witter")</f>
        <v>Westfalia/Witter</v>
      </c>
    </row>
    <row r="742">
      <c r="A742" t="str">
        <f>IFERROR(__xludf.DUMMYFUNCTION("""COMPUTED_VALUE"""),"321885600001")</f>
        <v>321885600001</v>
      </c>
      <c r="B742" s="226" t="str">
        <f>IFERROR(__xludf.DUMMYFUNCTION("""COMPUTED_VALUE"""),"4250557515809")</f>
        <v>4250557515809</v>
      </c>
      <c r="C742" t="str">
        <f>IFERROR(__xludf.DUMMYFUNCTION("""COMPUTED_VALUE"""),"Westfalia/Witter")</f>
        <v>Westfalia/Witter</v>
      </c>
    </row>
    <row r="743">
      <c r="A743" t="str">
        <f>IFERROR(__xludf.DUMMYFUNCTION("""COMPUTED_VALUE"""),"321885600001")</f>
        <v>321885600001</v>
      </c>
      <c r="B743" s="226" t="str">
        <f>IFERROR(__xludf.DUMMYFUNCTION("""COMPUTED_VALUE"""),"4250557515809")</f>
        <v>4250557515809</v>
      </c>
      <c r="C743" t="str">
        <f>IFERROR(__xludf.DUMMYFUNCTION("""COMPUTED_VALUE"""),"Westfalia/Witter")</f>
        <v>Westfalia/Witter</v>
      </c>
    </row>
    <row r="744">
      <c r="A744" t="str">
        <f>IFERROR(__xludf.DUMMYFUNCTION("""COMPUTED_VALUE"""),"321885600001")</f>
        <v>321885600001</v>
      </c>
      <c r="B744" s="226" t="str">
        <f>IFERROR(__xludf.DUMMYFUNCTION("""COMPUTED_VALUE"""),"4250557515809")</f>
        <v>4250557515809</v>
      </c>
      <c r="C744" t="str">
        <f>IFERROR(__xludf.DUMMYFUNCTION("""COMPUTED_VALUE"""),"Westfalia/Witter")</f>
        <v>Westfalia/Witter</v>
      </c>
    </row>
    <row r="745">
      <c r="A745" t="str">
        <f>IFERROR(__xludf.DUMMYFUNCTION("""COMPUTED_VALUE"""),"321885600001")</f>
        <v>321885600001</v>
      </c>
      <c r="B745" s="226" t="str">
        <f>IFERROR(__xludf.DUMMYFUNCTION("""COMPUTED_VALUE"""),"4250557515809")</f>
        <v>4250557515809</v>
      </c>
      <c r="C745" t="str">
        <f>IFERROR(__xludf.DUMMYFUNCTION("""COMPUTED_VALUE"""),"Westfalia/Witter")</f>
        <v>Westfalia/Witter</v>
      </c>
    </row>
    <row r="746">
      <c r="A746" t="str">
        <f>IFERROR(__xludf.DUMMYFUNCTION("""COMPUTED_VALUE"""),"321885600001")</f>
        <v>321885600001</v>
      </c>
      <c r="B746" s="226" t="str">
        <f>IFERROR(__xludf.DUMMYFUNCTION("""COMPUTED_VALUE"""),"4250557515809")</f>
        <v>4250557515809</v>
      </c>
      <c r="C746" t="str">
        <f>IFERROR(__xludf.DUMMYFUNCTION("""COMPUTED_VALUE"""),"Westfalia/Witter")</f>
        <v>Westfalia/Witter</v>
      </c>
    </row>
    <row r="747">
      <c r="A747" t="str">
        <f>IFERROR(__xludf.DUMMYFUNCTION("""COMPUTED_VALUE"""),"316365600001")</f>
        <v>316365600001</v>
      </c>
      <c r="B747" s="226" t="str">
        <f>IFERROR(__xludf.DUMMYFUNCTION("""COMPUTED_VALUE"""),"4250557515960")</f>
        <v>4250557515960</v>
      </c>
      <c r="C747" t="str">
        <f>IFERROR(__xludf.DUMMYFUNCTION("""COMPUTED_VALUE"""),"Westfalia/Witter")</f>
        <v>Westfalia/Witter</v>
      </c>
    </row>
    <row r="748">
      <c r="A748" t="str">
        <f>IFERROR(__xludf.DUMMYFUNCTION("""COMPUTED_VALUE"""),"316365600001")</f>
        <v>316365600001</v>
      </c>
      <c r="B748" s="226" t="str">
        <f>IFERROR(__xludf.DUMMYFUNCTION("""COMPUTED_VALUE"""),"4250557515960")</f>
        <v>4250557515960</v>
      </c>
      <c r="C748" t="str">
        <f>IFERROR(__xludf.DUMMYFUNCTION("""COMPUTED_VALUE"""),"Westfalia/Witter")</f>
        <v>Westfalia/Witter</v>
      </c>
    </row>
    <row r="749">
      <c r="A749" t="str">
        <f>IFERROR(__xludf.DUMMYFUNCTION("""COMPUTED_VALUE"""),"316365600001")</f>
        <v>316365600001</v>
      </c>
      <c r="B749" s="226" t="str">
        <f>IFERROR(__xludf.DUMMYFUNCTION("""COMPUTED_VALUE"""),"4250557515960")</f>
        <v>4250557515960</v>
      </c>
      <c r="C749" t="str">
        <f>IFERROR(__xludf.DUMMYFUNCTION("""COMPUTED_VALUE"""),"Westfalia/Witter")</f>
        <v>Westfalia/Witter</v>
      </c>
    </row>
    <row r="750">
      <c r="A750" t="str">
        <f>IFERROR(__xludf.DUMMYFUNCTION("""COMPUTED_VALUE"""),"316366600001")</f>
        <v>316366600001</v>
      </c>
      <c r="B750" s="226" t="str">
        <f>IFERROR(__xludf.DUMMYFUNCTION("""COMPUTED_VALUE"""),"4250557515977")</f>
        <v>4250557515977</v>
      </c>
      <c r="C750" t="str">
        <f>IFERROR(__xludf.DUMMYFUNCTION("""COMPUTED_VALUE"""),"Westfalia/Witter")</f>
        <v>Westfalia/Witter</v>
      </c>
    </row>
    <row r="751">
      <c r="A751" t="str">
        <f>IFERROR(__xludf.DUMMYFUNCTION("""COMPUTED_VALUE"""),"316366600001")</f>
        <v>316366600001</v>
      </c>
      <c r="B751" s="226" t="str">
        <f>IFERROR(__xludf.DUMMYFUNCTION("""COMPUTED_VALUE"""),"4250557515977")</f>
        <v>4250557515977</v>
      </c>
      <c r="C751" t="str">
        <f>IFERROR(__xludf.DUMMYFUNCTION("""COMPUTED_VALUE"""),"Westfalia/Witter")</f>
        <v>Westfalia/Witter</v>
      </c>
    </row>
    <row r="752">
      <c r="A752" t="str">
        <f>IFERROR(__xludf.DUMMYFUNCTION("""COMPUTED_VALUE"""),"316366600001")</f>
        <v>316366600001</v>
      </c>
      <c r="B752" s="226" t="str">
        <f>IFERROR(__xludf.DUMMYFUNCTION("""COMPUTED_VALUE"""),"4250557515977")</f>
        <v>4250557515977</v>
      </c>
      <c r="C752" t="str">
        <f>IFERROR(__xludf.DUMMYFUNCTION("""COMPUTED_VALUE"""),"Westfalia/Witter")</f>
        <v>Westfalia/Witter</v>
      </c>
    </row>
    <row r="753">
      <c r="A753" t="str">
        <f>IFERROR(__xludf.DUMMYFUNCTION("""COMPUTED_VALUE"""),"313431600001")</f>
        <v>313431600001</v>
      </c>
      <c r="B753" s="226" t="str">
        <f>IFERROR(__xludf.DUMMYFUNCTION("""COMPUTED_VALUE"""),"4250557516011")</f>
        <v>4250557516011</v>
      </c>
      <c r="C753" t="str">
        <f>IFERROR(__xludf.DUMMYFUNCTION("""COMPUTED_VALUE"""),"Westfalia/Witter")</f>
        <v>Westfalia/Witter</v>
      </c>
    </row>
    <row r="754">
      <c r="A754" t="str">
        <f>IFERROR(__xludf.DUMMYFUNCTION("""COMPUTED_VALUE"""),"313431600001")</f>
        <v>313431600001</v>
      </c>
      <c r="B754" s="226" t="str">
        <f>IFERROR(__xludf.DUMMYFUNCTION("""COMPUTED_VALUE"""),"4250557516011")</f>
        <v>4250557516011</v>
      </c>
      <c r="C754" t="str">
        <f>IFERROR(__xludf.DUMMYFUNCTION("""COMPUTED_VALUE"""),"Westfalia/Witter")</f>
        <v>Westfalia/Witter</v>
      </c>
    </row>
    <row r="755">
      <c r="A755" t="str">
        <f>IFERROR(__xludf.DUMMYFUNCTION("""COMPUTED_VALUE"""),"313432600001")</f>
        <v>313432600001</v>
      </c>
      <c r="B755" s="226" t="str">
        <f>IFERROR(__xludf.DUMMYFUNCTION("""COMPUTED_VALUE"""),"4250557516028")</f>
        <v>4250557516028</v>
      </c>
      <c r="C755" t="str">
        <f>IFERROR(__xludf.DUMMYFUNCTION("""COMPUTED_VALUE"""),"Westfalia/Witter")</f>
        <v>Westfalia/Witter</v>
      </c>
    </row>
    <row r="756">
      <c r="A756" t="str">
        <f>IFERROR(__xludf.DUMMYFUNCTION("""COMPUTED_VALUE"""),"313432600001")</f>
        <v>313432600001</v>
      </c>
      <c r="B756" s="226" t="str">
        <f>IFERROR(__xludf.DUMMYFUNCTION("""COMPUTED_VALUE"""),"4250557516028")</f>
        <v>4250557516028</v>
      </c>
      <c r="C756" t="str">
        <f>IFERROR(__xludf.DUMMYFUNCTION("""COMPUTED_VALUE"""),"Westfalia/Witter")</f>
        <v>Westfalia/Witter</v>
      </c>
    </row>
    <row r="757">
      <c r="A757" t="str">
        <f>IFERROR(__xludf.DUMMYFUNCTION("""COMPUTED_VALUE"""),"321878600001")</f>
        <v>321878600001</v>
      </c>
      <c r="B757" s="226" t="str">
        <f>IFERROR(__xludf.DUMMYFUNCTION("""COMPUTED_VALUE"""),"4250557516035")</f>
        <v>4250557516035</v>
      </c>
      <c r="C757" t="str">
        <f>IFERROR(__xludf.DUMMYFUNCTION("""COMPUTED_VALUE"""),"Westfalia/Witter")</f>
        <v>Westfalia/Witter</v>
      </c>
    </row>
    <row r="758">
      <c r="A758" t="str">
        <f>IFERROR(__xludf.DUMMYFUNCTION("""COMPUTED_VALUE"""),"321878600001")</f>
        <v>321878600001</v>
      </c>
      <c r="B758" s="226" t="str">
        <f>IFERROR(__xludf.DUMMYFUNCTION("""COMPUTED_VALUE"""),"4250557516035")</f>
        <v>4250557516035</v>
      </c>
      <c r="C758" t="str">
        <f>IFERROR(__xludf.DUMMYFUNCTION("""COMPUTED_VALUE"""),"Westfalia/Witter")</f>
        <v>Westfalia/Witter</v>
      </c>
    </row>
    <row r="759">
      <c r="A759" t="str">
        <f>IFERROR(__xludf.DUMMYFUNCTION("""COMPUTED_VALUE"""),"314511600001")</f>
        <v>314511600001</v>
      </c>
      <c r="B759" s="226" t="str">
        <f>IFERROR(__xludf.DUMMYFUNCTION("""COMPUTED_VALUE"""),"4250557516066")</f>
        <v>4250557516066</v>
      </c>
      <c r="C759" t="str">
        <f>IFERROR(__xludf.DUMMYFUNCTION("""COMPUTED_VALUE"""),"Westfalia/Witter")</f>
        <v>Westfalia/Witter</v>
      </c>
    </row>
    <row r="760">
      <c r="A760" t="str">
        <f>IFERROR(__xludf.DUMMYFUNCTION("""COMPUTED_VALUE"""),"314511600001")</f>
        <v>314511600001</v>
      </c>
      <c r="B760" s="226" t="str">
        <f>IFERROR(__xludf.DUMMYFUNCTION("""COMPUTED_VALUE"""),"4250557516066")</f>
        <v>4250557516066</v>
      </c>
      <c r="C760" t="str">
        <f>IFERROR(__xludf.DUMMYFUNCTION("""COMPUTED_VALUE"""),"Westfalia/Witter")</f>
        <v>Westfalia/Witter</v>
      </c>
    </row>
    <row r="761">
      <c r="A761" t="str">
        <f>IFERROR(__xludf.DUMMYFUNCTION("""COMPUTED_VALUE"""),"314511600001")</f>
        <v>314511600001</v>
      </c>
      <c r="B761" s="226" t="str">
        <f>IFERROR(__xludf.DUMMYFUNCTION("""COMPUTED_VALUE"""),"4250557516066")</f>
        <v>4250557516066</v>
      </c>
      <c r="C761" t="str">
        <f>IFERROR(__xludf.DUMMYFUNCTION("""COMPUTED_VALUE"""),"Westfalia/Witter")</f>
        <v>Westfalia/Witter</v>
      </c>
    </row>
    <row r="762">
      <c r="A762" t="str">
        <f>IFERROR(__xludf.DUMMYFUNCTION("""COMPUTED_VALUE"""),"314513600001")</f>
        <v>314513600001</v>
      </c>
      <c r="B762" s="226" t="str">
        <f>IFERROR(__xludf.DUMMYFUNCTION("""COMPUTED_VALUE"""),"4250557517483")</f>
        <v>4250557517483</v>
      </c>
      <c r="C762" t="str">
        <f>IFERROR(__xludf.DUMMYFUNCTION("""COMPUTED_VALUE"""),"Westfalia/Witter")</f>
        <v>Westfalia/Witter</v>
      </c>
    </row>
    <row r="763">
      <c r="A763" t="str">
        <f>IFERROR(__xludf.DUMMYFUNCTION("""COMPUTED_VALUE"""),"305450600001")</f>
        <v>305450600001</v>
      </c>
      <c r="B763" s="226" t="str">
        <f>IFERROR(__xludf.DUMMYFUNCTION("""COMPUTED_VALUE"""),"4250557517551")</f>
        <v>4250557517551</v>
      </c>
      <c r="C763" t="str">
        <f>IFERROR(__xludf.DUMMYFUNCTION("""COMPUTED_VALUE"""),"Westfalia/Witter")</f>
        <v>Westfalia/Witter</v>
      </c>
    </row>
    <row r="764">
      <c r="A764" t="str">
        <f>IFERROR(__xludf.DUMMYFUNCTION("""COMPUTED_VALUE"""),"305450600001")</f>
        <v>305450600001</v>
      </c>
      <c r="B764" s="226" t="str">
        <f>IFERROR(__xludf.DUMMYFUNCTION("""COMPUTED_VALUE"""),"4250557517551")</f>
        <v>4250557517551</v>
      </c>
      <c r="C764" t="str">
        <f>IFERROR(__xludf.DUMMYFUNCTION("""COMPUTED_VALUE"""),"Westfalia/Witter")</f>
        <v>Westfalia/Witter</v>
      </c>
    </row>
    <row r="765">
      <c r="A765" t="str">
        <f>IFERROR(__xludf.DUMMYFUNCTION("""COMPUTED_VALUE"""),"305450600001")</f>
        <v>305450600001</v>
      </c>
      <c r="B765" s="226" t="str">
        <f>IFERROR(__xludf.DUMMYFUNCTION("""COMPUTED_VALUE"""),"4250557517551")</f>
        <v>4250557517551</v>
      </c>
      <c r="C765" t="str">
        <f>IFERROR(__xludf.DUMMYFUNCTION("""COMPUTED_VALUE"""),"Westfalia/Witter")</f>
        <v>Westfalia/Witter</v>
      </c>
    </row>
    <row r="766">
      <c r="A766" t="str">
        <f>IFERROR(__xludf.DUMMYFUNCTION("""COMPUTED_VALUE"""),"305450600001")</f>
        <v>305450600001</v>
      </c>
      <c r="B766" s="226" t="str">
        <f>IFERROR(__xludf.DUMMYFUNCTION("""COMPUTED_VALUE"""),"4250557517551")</f>
        <v>4250557517551</v>
      </c>
      <c r="C766" t="str">
        <f>IFERROR(__xludf.DUMMYFUNCTION("""COMPUTED_VALUE"""),"Westfalia/Witter")</f>
        <v>Westfalia/Witter</v>
      </c>
    </row>
    <row r="767">
      <c r="A767" t="str">
        <f>IFERROR(__xludf.DUMMYFUNCTION("""COMPUTED_VALUE"""),"320116600001")</f>
        <v>320116600001</v>
      </c>
      <c r="B767" s="226" t="str">
        <f>IFERROR(__xludf.DUMMYFUNCTION("""COMPUTED_VALUE"""),"4250557517780")</f>
        <v>4250557517780</v>
      </c>
      <c r="C767" t="str">
        <f>IFERROR(__xludf.DUMMYFUNCTION("""COMPUTED_VALUE"""),"Westfalia/Witter")</f>
        <v>Westfalia/Witter</v>
      </c>
    </row>
    <row r="768">
      <c r="A768" t="str">
        <f>IFERROR(__xludf.DUMMYFUNCTION("""COMPUTED_VALUE"""),"320116600001")</f>
        <v>320116600001</v>
      </c>
      <c r="B768" s="226" t="str">
        <f>IFERROR(__xludf.DUMMYFUNCTION("""COMPUTED_VALUE"""),"4250557517780")</f>
        <v>4250557517780</v>
      </c>
      <c r="C768" t="str">
        <f>IFERROR(__xludf.DUMMYFUNCTION("""COMPUTED_VALUE"""),"Westfalia/Witter")</f>
        <v>Westfalia/Witter</v>
      </c>
    </row>
    <row r="769">
      <c r="A769" t="str">
        <f>IFERROR(__xludf.DUMMYFUNCTION("""COMPUTED_VALUE"""),"320117600001")</f>
        <v>320117600001</v>
      </c>
      <c r="B769" s="226" t="str">
        <f>IFERROR(__xludf.DUMMYFUNCTION("""COMPUTED_VALUE"""),"4250557517797")</f>
        <v>4250557517797</v>
      </c>
      <c r="C769" t="str">
        <f>IFERROR(__xludf.DUMMYFUNCTION("""COMPUTED_VALUE"""),"Westfalia/Witter")</f>
        <v>Westfalia/Witter</v>
      </c>
    </row>
    <row r="770">
      <c r="A770" t="str">
        <f>IFERROR(__xludf.DUMMYFUNCTION("""COMPUTED_VALUE"""),"320117600001")</f>
        <v>320117600001</v>
      </c>
      <c r="B770" s="226" t="str">
        <f>IFERROR(__xludf.DUMMYFUNCTION("""COMPUTED_VALUE"""),"4250557517797")</f>
        <v>4250557517797</v>
      </c>
      <c r="C770" t="str">
        <f>IFERROR(__xludf.DUMMYFUNCTION("""COMPUTED_VALUE"""),"Westfalia/Witter")</f>
        <v>Westfalia/Witter</v>
      </c>
    </row>
    <row r="771">
      <c r="A771" t="str">
        <f>IFERROR(__xludf.DUMMYFUNCTION("""COMPUTED_VALUE"""),"303404600001")</f>
        <v>303404600001</v>
      </c>
      <c r="B771" s="226" t="str">
        <f>IFERROR(__xludf.DUMMYFUNCTION("""COMPUTED_VALUE"""),"4250557519333")</f>
        <v>4250557519333</v>
      </c>
      <c r="C771" t="str">
        <f>IFERROR(__xludf.DUMMYFUNCTION("""COMPUTED_VALUE"""),"Westfalia/Witter")</f>
        <v>Westfalia/Witter</v>
      </c>
    </row>
    <row r="772">
      <c r="A772" t="str">
        <f>IFERROR(__xludf.DUMMYFUNCTION("""COMPUTED_VALUE"""),"303404600001")</f>
        <v>303404600001</v>
      </c>
      <c r="B772" s="226" t="str">
        <f>IFERROR(__xludf.DUMMYFUNCTION("""COMPUTED_VALUE"""),"4250557519333")</f>
        <v>4250557519333</v>
      </c>
      <c r="C772" t="str">
        <f>IFERROR(__xludf.DUMMYFUNCTION("""COMPUTED_VALUE"""),"Westfalia/Witter")</f>
        <v>Westfalia/Witter</v>
      </c>
    </row>
    <row r="773">
      <c r="A773" t="str">
        <f>IFERROR(__xludf.DUMMYFUNCTION("""COMPUTED_VALUE"""),"317128600001")</f>
        <v>317128600001</v>
      </c>
      <c r="B773" s="226" t="str">
        <f>IFERROR(__xludf.DUMMYFUNCTION("""COMPUTED_VALUE"""),"4250557519388")</f>
        <v>4250557519388</v>
      </c>
      <c r="C773" t="str">
        <f>IFERROR(__xludf.DUMMYFUNCTION("""COMPUTED_VALUE"""),"Westfalia/Witter")</f>
        <v>Westfalia/Witter</v>
      </c>
    </row>
    <row r="774">
      <c r="A774" t="str">
        <f>IFERROR(__xludf.DUMMYFUNCTION("""COMPUTED_VALUE"""),"317113600001")</f>
        <v>317113600001</v>
      </c>
      <c r="B774" s="226" t="str">
        <f>IFERROR(__xludf.DUMMYFUNCTION("""COMPUTED_VALUE"""),"4250557519739")</f>
        <v>4250557519739</v>
      </c>
      <c r="C774" t="str">
        <f>IFERROR(__xludf.DUMMYFUNCTION("""COMPUTED_VALUE"""),"Westfalia/Witter")</f>
        <v>Westfalia/Witter</v>
      </c>
    </row>
    <row r="775">
      <c r="A775" t="str">
        <f>IFERROR(__xludf.DUMMYFUNCTION("""COMPUTED_VALUE"""),"317113600001")</f>
        <v>317113600001</v>
      </c>
      <c r="B775" s="226" t="str">
        <f>IFERROR(__xludf.DUMMYFUNCTION("""COMPUTED_VALUE"""),"4250557519739")</f>
        <v>4250557519739</v>
      </c>
      <c r="C775" t="str">
        <f>IFERROR(__xludf.DUMMYFUNCTION("""COMPUTED_VALUE"""),"Westfalia/Witter")</f>
        <v>Westfalia/Witter</v>
      </c>
    </row>
    <row r="776">
      <c r="A776" t="str">
        <f>IFERROR(__xludf.DUMMYFUNCTION("""COMPUTED_VALUE"""),"317113600001")</f>
        <v>317113600001</v>
      </c>
      <c r="B776" s="226" t="str">
        <f>IFERROR(__xludf.DUMMYFUNCTION("""COMPUTED_VALUE"""),"4250557519739")</f>
        <v>4250557519739</v>
      </c>
      <c r="C776" t="str">
        <f>IFERROR(__xludf.DUMMYFUNCTION("""COMPUTED_VALUE"""),"Westfalia/Witter")</f>
        <v>Westfalia/Witter</v>
      </c>
    </row>
    <row r="777">
      <c r="A777" t="str">
        <f>IFERROR(__xludf.DUMMYFUNCTION("""COMPUTED_VALUE"""),"317113600001")</f>
        <v>317113600001</v>
      </c>
      <c r="B777" s="226" t="str">
        <f>IFERROR(__xludf.DUMMYFUNCTION("""COMPUTED_VALUE"""),"4250557519739")</f>
        <v>4250557519739</v>
      </c>
      <c r="C777" t="str">
        <f>IFERROR(__xludf.DUMMYFUNCTION("""COMPUTED_VALUE"""),"Westfalia/Witter")</f>
        <v>Westfalia/Witter</v>
      </c>
    </row>
    <row r="778">
      <c r="A778" t="str">
        <f>IFERROR(__xludf.DUMMYFUNCTION("""COMPUTED_VALUE"""),"317113600001")</f>
        <v>317113600001</v>
      </c>
      <c r="B778" s="226" t="str">
        <f>IFERROR(__xludf.DUMMYFUNCTION("""COMPUTED_VALUE"""),"4250557519739")</f>
        <v>4250557519739</v>
      </c>
      <c r="C778" t="str">
        <f>IFERROR(__xludf.DUMMYFUNCTION("""COMPUTED_VALUE"""),"Westfalia/Witter")</f>
        <v>Westfalia/Witter</v>
      </c>
    </row>
    <row r="779">
      <c r="A779" t="str">
        <f>IFERROR(__xludf.DUMMYFUNCTION("""COMPUTED_VALUE"""),"317113600001")</f>
        <v>317113600001</v>
      </c>
      <c r="B779" s="226" t="str">
        <f>IFERROR(__xludf.DUMMYFUNCTION("""COMPUTED_VALUE"""),"4250557519739")</f>
        <v>4250557519739</v>
      </c>
      <c r="C779" t="str">
        <f>IFERROR(__xludf.DUMMYFUNCTION("""COMPUTED_VALUE"""),"Westfalia/Witter")</f>
        <v>Westfalia/Witter</v>
      </c>
    </row>
    <row r="780">
      <c r="A780" t="str">
        <f>IFERROR(__xludf.DUMMYFUNCTION("""COMPUTED_VALUE"""),"304159600001")</f>
        <v>304159600001</v>
      </c>
      <c r="B780" s="226" t="str">
        <f>IFERROR(__xludf.DUMMYFUNCTION("""COMPUTED_VALUE"""),"4250557520155")</f>
        <v>4250557520155</v>
      </c>
      <c r="C780" t="str">
        <f>IFERROR(__xludf.DUMMYFUNCTION("""COMPUTED_VALUE"""),"Westfalia/Witter")</f>
        <v>Westfalia/Witter</v>
      </c>
    </row>
    <row r="781">
      <c r="A781" t="str">
        <f>IFERROR(__xludf.DUMMYFUNCTION("""COMPUTED_VALUE"""),"304160600001")</f>
        <v>304160600001</v>
      </c>
      <c r="B781" s="226" t="str">
        <f>IFERROR(__xludf.DUMMYFUNCTION("""COMPUTED_VALUE"""),"4250557520162")</f>
        <v>4250557520162</v>
      </c>
      <c r="C781" t="str">
        <f>IFERROR(__xludf.DUMMYFUNCTION("""COMPUTED_VALUE"""),"Westfalia/Witter")</f>
        <v>Westfalia/Witter</v>
      </c>
    </row>
    <row r="782">
      <c r="A782" t="str">
        <f>IFERROR(__xludf.DUMMYFUNCTION("""COMPUTED_VALUE"""),"314515600001")</f>
        <v>314515600001</v>
      </c>
      <c r="B782" s="226" t="str">
        <f>IFERROR(__xludf.DUMMYFUNCTION("""COMPUTED_VALUE"""),"4250557520377")</f>
        <v>4250557520377</v>
      </c>
      <c r="C782" t="str">
        <f>IFERROR(__xludf.DUMMYFUNCTION("""COMPUTED_VALUE"""),"Westfalia/Witter")</f>
        <v>Westfalia/Witter</v>
      </c>
    </row>
    <row r="783">
      <c r="A783" t="str">
        <f>IFERROR(__xludf.DUMMYFUNCTION("""COMPUTED_VALUE"""),"313503600001")</f>
        <v>313503600001</v>
      </c>
      <c r="B783" s="226" t="str">
        <f>IFERROR(__xludf.DUMMYFUNCTION("""COMPUTED_VALUE"""),"4250557520414")</f>
        <v>4250557520414</v>
      </c>
      <c r="C783" t="str">
        <f>IFERROR(__xludf.DUMMYFUNCTION("""COMPUTED_VALUE"""),"Westfalia/Witter")</f>
        <v>Westfalia/Witter</v>
      </c>
    </row>
    <row r="784">
      <c r="A784" t="str">
        <f>IFERROR(__xludf.DUMMYFUNCTION("""COMPUTED_VALUE"""),"313503600001")</f>
        <v>313503600001</v>
      </c>
      <c r="B784" s="226" t="str">
        <f>IFERROR(__xludf.DUMMYFUNCTION("""COMPUTED_VALUE"""),"4250557520414")</f>
        <v>4250557520414</v>
      </c>
      <c r="C784" t="str">
        <f>IFERROR(__xludf.DUMMYFUNCTION("""COMPUTED_VALUE"""),"Westfalia/Witter")</f>
        <v>Westfalia/Witter</v>
      </c>
    </row>
    <row r="785">
      <c r="A785" t="str">
        <f>IFERROR(__xludf.DUMMYFUNCTION("""COMPUTED_VALUE"""),"313503600001")</f>
        <v>313503600001</v>
      </c>
      <c r="B785" s="226" t="str">
        <f>IFERROR(__xludf.DUMMYFUNCTION("""COMPUTED_VALUE"""),"4250557520414")</f>
        <v>4250557520414</v>
      </c>
      <c r="C785" t="str">
        <f>IFERROR(__xludf.DUMMYFUNCTION("""COMPUTED_VALUE"""),"Westfalia/Witter")</f>
        <v>Westfalia/Witter</v>
      </c>
    </row>
    <row r="786">
      <c r="A786" t="str">
        <f>IFERROR(__xludf.DUMMYFUNCTION("""COMPUTED_VALUE"""),"335455600001")</f>
        <v>335455600001</v>
      </c>
      <c r="B786" s="226" t="str">
        <f>IFERROR(__xludf.DUMMYFUNCTION("""COMPUTED_VALUE"""),"4250557520421")</f>
        <v>4250557520421</v>
      </c>
      <c r="C786" t="str">
        <f>IFERROR(__xludf.DUMMYFUNCTION("""COMPUTED_VALUE"""),"Westfalia/Witter")</f>
        <v>Westfalia/Witter</v>
      </c>
    </row>
    <row r="787">
      <c r="A787" t="str">
        <f>IFERROR(__xludf.DUMMYFUNCTION("""COMPUTED_VALUE"""),"307526600001")</f>
        <v>307526600001</v>
      </c>
      <c r="B787" s="226" t="str">
        <f>IFERROR(__xludf.DUMMYFUNCTION("""COMPUTED_VALUE"""),"4250557520483")</f>
        <v>4250557520483</v>
      </c>
      <c r="C787" t="str">
        <f>IFERROR(__xludf.DUMMYFUNCTION("""COMPUTED_VALUE"""),"Westfalia/Witter")</f>
        <v>Westfalia/Witter</v>
      </c>
    </row>
    <row r="788">
      <c r="A788" t="str">
        <f>IFERROR(__xludf.DUMMYFUNCTION("""COMPUTED_VALUE"""),"305464600001")</f>
        <v>305464600001</v>
      </c>
      <c r="B788" s="226" t="str">
        <f>IFERROR(__xludf.DUMMYFUNCTION("""COMPUTED_VALUE"""),"4250557521954")</f>
        <v>4250557521954</v>
      </c>
      <c r="C788" t="str">
        <f>IFERROR(__xludf.DUMMYFUNCTION("""COMPUTED_VALUE"""),"Westfalia/Witter")</f>
        <v>Westfalia/Witter</v>
      </c>
    </row>
    <row r="789">
      <c r="A789" t="str">
        <f>IFERROR(__xludf.DUMMYFUNCTION("""COMPUTED_VALUE"""),"305465600001")</f>
        <v>305465600001</v>
      </c>
      <c r="B789" s="226" t="str">
        <f>IFERROR(__xludf.DUMMYFUNCTION("""COMPUTED_VALUE"""),"4250557521961")</f>
        <v>4250557521961</v>
      </c>
      <c r="C789" t="str">
        <f>IFERROR(__xludf.DUMMYFUNCTION("""COMPUTED_VALUE"""),"Westfalia/Witter")</f>
        <v>Westfalia/Witter</v>
      </c>
    </row>
    <row r="790">
      <c r="A790" t="str">
        <f>IFERROR(__xludf.DUMMYFUNCTION("""COMPUTED_VALUE"""),"303412600001")</f>
        <v>303412600001</v>
      </c>
      <c r="B790" s="226" t="str">
        <f>IFERROR(__xludf.DUMMYFUNCTION("""COMPUTED_VALUE"""),"4250557521985")</f>
        <v>4250557521985</v>
      </c>
      <c r="C790" t="str">
        <f>IFERROR(__xludf.DUMMYFUNCTION("""COMPUTED_VALUE"""),"Westfalia/Witter")</f>
        <v>Westfalia/Witter</v>
      </c>
    </row>
    <row r="791">
      <c r="A791" t="str">
        <f>IFERROR(__xludf.DUMMYFUNCTION("""COMPUTED_VALUE"""),"303412600001")</f>
        <v>303412600001</v>
      </c>
      <c r="B791" s="226" t="str">
        <f>IFERROR(__xludf.DUMMYFUNCTION("""COMPUTED_VALUE"""),"4250557521985")</f>
        <v>4250557521985</v>
      </c>
      <c r="C791" t="str">
        <f>IFERROR(__xludf.DUMMYFUNCTION("""COMPUTED_VALUE"""),"Westfalia/Witter")</f>
        <v>Westfalia/Witter</v>
      </c>
    </row>
    <row r="792">
      <c r="A792" t="str">
        <f>IFERROR(__xludf.DUMMYFUNCTION("""COMPUTED_VALUE"""),"314516600001")</f>
        <v>314516600001</v>
      </c>
      <c r="B792" s="226" t="str">
        <f>IFERROR(__xludf.DUMMYFUNCTION("""COMPUTED_VALUE"""),"4250557522067")</f>
        <v>4250557522067</v>
      </c>
      <c r="C792" t="str">
        <f>IFERROR(__xludf.DUMMYFUNCTION("""COMPUTED_VALUE"""),"Westfalia/Witter")</f>
        <v>Westfalia/Witter</v>
      </c>
    </row>
    <row r="793">
      <c r="A793" t="str">
        <f>IFERROR(__xludf.DUMMYFUNCTION("""COMPUTED_VALUE"""),"321900600001")</f>
        <v>321900600001</v>
      </c>
      <c r="B793" s="226" t="str">
        <f>IFERROR(__xludf.DUMMYFUNCTION("""COMPUTED_VALUE"""),"4250557522098")</f>
        <v>4250557522098</v>
      </c>
      <c r="C793" t="str">
        <f>IFERROR(__xludf.DUMMYFUNCTION("""COMPUTED_VALUE"""),"Westfalia/Witter")</f>
        <v>Westfalia/Witter</v>
      </c>
    </row>
    <row r="794">
      <c r="A794" t="str">
        <f>IFERROR(__xludf.DUMMYFUNCTION("""COMPUTED_VALUE"""),"321906600001")</f>
        <v>321906600001</v>
      </c>
      <c r="B794" s="226" t="str">
        <f>IFERROR(__xludf.DUMMYFUNCTION("""COMPUTED_VALUE"""),"4250557522098")</f>
        <v>4250557522098</v>
      </c>
      <c r="C794" t="str">
        <f>IFERROR(__xludf.DUMMYFUNCTION("""COMPUTED_VALUE"""),"Westfalia/Witter")</f>
        <v>Westfalia/Witter</v>
      </c>
    </row>
    <row r="795">
      <c r="A795" t="str">
        <f>IFERROR(__xludf.DUMMYFUNCTION("""COMPUTED_VALUE"""),"321906600001")</f>
        <v>321906600001</v>
      </c>
      <c r="B795" s="226" t="str">
        <f>IFERROR(__xludf.DUMMYFUNCTION("""COMPUTED_VALUE"""),"4250557522098")</f>
        <v>4250557522098</v>
      </c>
      <c r="C795" t="str">
        <f>IFERROR(__xludf.DUMMYFUNCTION("""COMPUTED_VALUE"""),"Westfalia/Witter")</f>
        <v>Westfalia/Witter</v>
      </c>
    </row>
    <row r="796">
      <c r="A796" t="str">
        <f>IFERROR(__xludf.DUMMYFUNCTION("""COMPUTED_VALUE"""),"321907600001")</f>
        <v>321907600001</v>
      </c>
      <c r="B796" s="226" t="str">
        <f>IFERROR(__xludf.DUMMYFUNCTION("""COMPUTED_VALUE"""),"4250557522104")</f>
        <v>4250557522104</v>
      </c>
      <c r="C796" t="str">
        <f>IFERROR(__xludf.DUMMYFUNCTION("""COMPUTED_VALUE"""),"Westfalia/Witter")</f>
        <v>Westfalia/Witter</v>
      </c>
    </row>
    <row r="797">
      <c r="A797" t="str">
        <f>IFERROR(__xludf.DUMMYFUNCTION("""COMPUTED_VALUE"""),"321907600001")</f>
        <v>321907600001</v>
      </c>
      <c r="B797" s="226" t="str">
        <f>IFERROR(__xludf.DUMMYFUNCTION("""COMPUTED_VALUE"""),"4250557522104")</f>
        <v>4250557522104</v>
      </c>
      <c r="C797" t="str">
        <f>IFERROR(__xludf.DUMMYFUNCTION("""COMPUTED_VALUE"""),"Westfalia/Witter")</f>
        <v>Westfalia/Witter</v>
      </c>
    </row>
    <row r="798">
      <c r="A798" t="str">
        <f>IFERROR(__xludf.DUMMYFUNCTION("""COMPUTED_VALUE"""),"321907600001")</f>
        <v>321907600001</v>
      </c>
      <c r="B798" s="226" t="str">
        <f>IFERROR(__xludf.DUMMYFUNCTION("""COMPUTED_VALUE"""),"4250557522104")</f>
        <v>4250557522104</v>
      </c>
      <c r="C798" t="str">
        <f>IFERROR(__xludf.DUMMYFUNCTION("""COMPUTED_VALUE"""),"Westfalia/Witter")</f>
        <v>Westfalia/Witter</v>
      </c>
    </row>
    <row r="799">
      <c r="A799" t="str">
        <f>IFERROR(__xludf.DUMMYFUNCTION("""COMPUTED_VALUE"""),"342199600001")</f>
        <v>342199600001</v>
      </c>
      <c r="B799" s="226" t="str">
        <f>IFERROR(__xludf.DUMMYFUNCTION("""COMPUTED_VALUE"""),"4250557522388")</f>
        <v>4250557522388</v>
      </c>
      <c r="C799" t="str">
        <f>IFERROR(__xludf.DUMMYFUNCTION("""COMPUTED_VALUE"""),"Westfalia/Witter")</f>
        <v>Westfalia/Witter</v>
      </c>
    </row>
    <row r="800">
      <c r="A800" t="str">
        <f>IFERROR(__xludf.DUMMYFUNCTION("""COMPUTED_VALUE"""),"342199600001")</f>
        <v>342199600001</v>
      </c>
      <c r="B800" s="226" t="str">
        <f>IFERROR(__xludf.DUMMYFUNCTION("""COMPUTED_VALUE"""),"4250557522388")</f>
        <v>4250557522388</v>
      </c>
      <c r="C800" t="str">
        <f>IFERROR(__xludf.DUMMYFUNCTION("""COMPUTED_VALUE"""),"Westfalia/Witter")</f>
        <v>Westfalia/Witter</v>
      </c>
    </row>
    <row r="801">
      <c r="A801" t="str">
        <f>IFERROR(__xludf.DUMMYFUNCTION("""COMPUTED_VALUE"""),"307507600001")</f>
        <v>307507600001</v>
      </c>
      <c r="B801" s="226" t="str">
        <f>IFERROR(__xludf.DUMMYFUNCTION("""COMPUTED_VALUE"""),"4250557522395")</f>
        <v>4250557522395</v>
      </c>
      <c r="C801" t="str">
        <f>IFERROR(__xludf.DUMMYFUNCTION("""COMPUTED_VALUE"""),"Westfalia/Witter")</f>
        <v>Westfalia/Witter</v>
      </c>
    </row>
    <row r="802">
      <c r="A802" t="str">
        <f>IFERROR(__xludf.DUMMYFUNCTION("""COMPUTED_VALUE"""),"307507600001")</f>
        <v>307507600001</v>
      </c>
      <c r="B802" s="226" t="str">
        <f>IFERROR(__xludf.DUMMYFUNCTION("""COMPUTED_VALUE"""),"4250557522395")</f>
        <v>4250557522395</v>
      </c>
      <c r="C802" t="str">
        <f>IFERROR(__xludf.DUMMYFUNCTION("""COMPUTED_VALUE"""),"Westfalia/Witter")</f>
        <v>Westfalia/Witter</v>
      </c>
    </row>
    <row r="803">
      <c r="A803" t="str">
        <f>IFERROR(__xludf.DUMMYFUNCTION("""COMPUTED_VALUE"""),"332330600001")</f>
        <v>332330600001</v>
      </c>
      <c r="B803" s="226" t="str">
        <f>IFERROR(__xludf.DUMMYFUNCTION("""COMPUTED_VALUE"""),"4250557522517")</f>
        <v>4250557522517</v>
      </c>
      <c r="C803" t="str">
        <f>IFERROR(__xludf.DUMMYFUNCTION("""COMPUTED_VALUE"""),"Westfalia/Witter")</f>
        <v>Westfalia/Witter</v>
      </c>
    </row>
    <row r="804">
      <c r="A804" t="str">
        <f>IFERROR(__xludf.DUMMYFUNCTION("""COMPUTED_VALUE"""),"332329600001")</f>
        <v>332329600001</v>
      </c>
      <c r="B804" s="226" t="str">
        <f>IFERROR(__xludf.DUMMYFUNCTION("""COMPUTED_VALUE"""),"4250557522524")</f>
        <v>4250557522524</v>
      </c>
      <c r="C804" t="str">
        <f>IFERROR(__xludf.DUMMYFUNCTION("""COMPUTED_VALUE"""),"Westfalia/Witter")</f>
        <v>Westfalia/Witter</v>
      </c>
    </row>
    <row r="805">
      <c r="A805" t="str">
        <f>IFERROR(__xludf.DUMMYFUNCTION("""COMPUTED_VALUE"""),"307508600001")</f>
        <v>307508600001</v>
      </c>
      <c r="B805" s="226" t="str">
        <f>IFERROR(__xludf.DUMMYFUNCTION("""COMPUTED_VALUE"""),"4250557522692")</f>
        <v>4250557522692</v>
      </c>
      <c r="C805" t="str">
        <f>IFERROR(__xludf.DUMMYFUNCTION("""COMPUTED_VALUE"""),"Westfalia/Witter")</f>
        <v>Westfalia/Witter</v>
      </c>
    </row>
    <row r="806">
      <c r="A806" t="str">
        <f>IFERROR(__xludf.DUMMYFUNCTION("""COMPUTED_VALUE"""),"307508600001")</f>
        <v>307508600001</v>
      </c>
      <c r="B806" s="226" t="str">
        <f>IFERROR(__xludf.DUMMYFUNCTION("""COMPUTED_VALUE"""),"4250557522692")</f>
        <v>4250557522692</v>
      </c>
      <c r="C806" t="str">
        <f>IFERROR(__xludf.DUMMYFUNCTION("""COMPUTED_VALUE"""),"Westfalia/Witter")</f>
        <v>Westfalia/Witter</v>
      </c>
    </row>
    <row r="807">
      <c r="A807" t="str">
        <f>IFERROR(__xludf.DUMMYFUNCTION("""COMPUTED_VALUE"""),"342198600001")</f>
        <v>342198600001</v>
      </c>
      <c r="B807" s="226" t="str">
        <f>IFERROR(__xludf.DUMMYFUNCTION("""COMPUTED_VALUE"""),"4250557522739")</f>
        <v>4250557522739</v>
      </c>
      <c r="C807" t="str">
        <f>IFERROR(__xludf.DUMMYFUNCTION("""COMPUTED_VALUE"""),"Westfalia/Witter")</f>
        <v>Westfalia/Witter</v>
      </c>
    </row>
    <row r="808">
      <c r="A808" t="str">
        <f>IFERROR(__xludf.DUMMYFUNCTION("""COMPUTED_VALUE"""),"317140600001")</f>
        <v>317140600001</v>
      </c>
      <c r="B808" s="226" t="str">
        <f>IFERROR(__xludf.DUMMYFUNCTION("""COMPUTED_VALUE"""),"4250557524320")</f>
        <v>4250557524320</v>
      </c>
      <c r="C808" t="str">
        <f>IFERROR(__xludf.DUMMYFUNCTION("""COMPUTED_VALUE"""),"Westfalia/Witter")</f>
        <v>Westfalia/Witter</v>
      </c>
    </row>
    <row r="809">
      <c r="A809" t="str">
        <f>IFERROR(__xludf.DUMMYFUNCTION("""COMPUTED_VALUE"""),"317140600001")</f>
        <v>317140600001</v>
      </c>
      <c r="B809" s="226" t="str">
        <f>IFERROR(__xludf.DUMMYFUNCTION("""COMPUTED_VALUE"""),"4250557524320")</f>
        <v>4250557524320</v>
      </c>
      <c r="C809" t="str">
        <f>IFERROR(__xludf.DUMMYFUNCTION("""COMPUTED_VALUE"""),"Westfalia/Witter")</f>
        <v>Westfalia/Witter</v>
      </c>
    </row>
    <row r="810">
      <c r="A810" t="str">
        <f>IFERROR(__xludf.DUMMYFUNCTION("""COMPUTED_VALUE"""),"317140600001")</f>
        <v>317140600001</v>
      </c>
      <c r="B810" s="226" t="str">
        <f>IFERROR(__xludf.DUMMYFUNCTION("""COMPUTED_VALUE"""),"4250557524320")</f>
        <v>4250557524320</v>
      </c>
      <c r="C810" t="str">
        <f>IFERROR(__xludf.DUMMYFUNCTION("""COMPUTED_VALUE"""),"Westfalia/Witter")</f>
        <v>Westfalia/Witter</v>
      </c>
    </row>
    <row r="811">
      <c r="A811" t="str">
        <f>IFERROR(__xludf.DUMMYFUNCTION("""COMPUTED_VALUE"""),"317141600001")</f>
        <v>317141600001</v>
      </c>
      <c r="B811" s="226" t="str">
        <f>IFERROR(__xludf.DUMMYFUNCTION("""COMPUTED_VALUE"""),"4250557524337")</f>
        <v>4250557524337</v>
      </c>
      <c r="C811" t="str">
        <f>IFERROR(__xludf.DUMMYFUNCTION("""COMPUTED_VALUE"""),"Westfalia/Witter")</f>
        <v>Westfalia/Witter</v>
      </c>
    </row>
    <row r="812">
      <c r="A812" t="str">
        <f>IFERROR(__xludf.DUMMYFUNCTION("""COMPUTED_VALUE"""),"317141600001")</f>
        <v>317141600001</v>
      </c>
      <c r="B812" s="226" t="str">
        <f>IFERROR(__xludf.DUMMYFUNCTION("""COMPUTED_VALUE"""),"4250557524337")</f>
        <v>4250557524337</v>
      </c>
      <c r="C812" t="str">
        <f>IFERROR(__xludf.DUMMYFUNCTION("""COMPUTED_VALUE"""),"Westfalia/Witter")</f>
        <v>Westfalia/Witter</v>
      </c>
    </row>
    <row r="813">
      <c r="A813" t="str">
        <f>IFERROR(__xludf.DUMMYFUNCTION("""COMPUTED_VALUE"""),"317141600001")</f>
        <v>317141600001</v>
      </c>
      <c r="B813" s="226" t="str">
        <f>IFERROR(__xludf.DUMMYFUNCTION("""COMPUTED_VALUE"""),"4250557524337")</f>
        <v>4250557524337</v>
      </c>
      <c r="C813" t="str">
        <f>IFERROR(__xludf.DUMMYFUNCTION("""COMPUTED_VALUE"""),"Westfalia/Witter")</f>
        <v>Westfalia/Witter</v>
      </c>
    </row>
    <row r="814">
      <c r="A814" t="str">
        <f>IFERROR(__xludf.DUMMYFUNCTION("""COMPUTED_VALUE"""),"348064600001")</f>
        <v>348064600001</v>
      </c>
      <c r="B814" s="226" t="str">
        <f>IFERROR(__xludf.DUMMYFUNCTION("""COMPUTED_VALUE"""),"4250557524955")</f>
        <v>4250557524955</v>
      </c>
      <c r="C814" t="str">
        <f>IFERROR(__xludf.DUMMYFUNCTION("""COMPUTED_VALUE"""),"Westfalia/Witter")</f>
        <v>Westfalia/Witter</v>
      </c>
    </row>
    <row r="815">
      <c r="A815" t="str">
        <f>IFERROR(__xludf.DUMMYFUNCTION("""COMPUTED_VALUE"""),"348065600001")</f>
        <v>348065600001</v>
      </c>
      <c r="B815" s="226" t="str">
        <f>IFERROR(__xludf.DUMMYFUNCTION("""COMPUTED_VALUE"""),"4250557524955")</f>
        <v>4250557524955</v>
      </c>
      <c r="C815" t="str">
        <f>IFERROR(__xludf.DUMMYFUNCTION("""COMPUTED_VALUE"""),"Westfalia/Witter")</f>
        <v>Westfalia/Witter</v>
      </c>
    </row>
    <row r="816">
      <c r="A816" t="str">
        <f>IFERROR(__xludf.DUMMYFUNCTION("""COMPUTED_VALUE"""),"316386600001")</f>
        <v>316386600001</v>
      </c>
      <c r="B816" s="226" t="str">
        <f>IFERROR(__xludf.DUMMYFUNCTION("""COMPUTED_VALUE"""),"4250557524979")</f>
        <v>4250557524979</v>
      </c>
      <c r="C816" t="str">
        <f>IFERROR(__xludf.DUMMYFUNCTION("""COMPUTED_VALUE"""),"Westfalia/Witter")</f>
        <v>Westfalia/Witter</v>
      </c>
    </row>
    <row r="817">
      <c r="A817" t="str">
        <f>IFERROR(__xludf.DUMMYFUNCTION("""COMPUTED_VALUE"""),"316387600001")</f>
        <v>316387600001</v>
      </c>
      <c r="B817" s="226" t="str">
        <f>IFERROR(__xludf.DUMMYFUNCTION("""COMPUTED_VALUE"""),"4250557524986")</f>
        <v>4250557524986</v>
      </c>
      <c r="C817" t="str">
        <f>IFERROR(__xludf.DUMMYFUNCTION("""COMPUTED_VALUE"""),"Westfalia/Witter")</f>
        <v>Westfalia/Witter</v>
      </c>
    </row>
    <row r="818">
      <c r="A818" t="str">
        <f>IFERROR(__xludf.DUMMYFUNCTION("""COMPUTED_VALUE"""),"316390600001")</f>
        <v>316390600001</v>
      </c>
      <c r="B818" s="226" t="str">
        <f>IFERROR(__xludf.DUMMYFUNCTION("""COMPUTED_VALUE"""),"4250557524993")</f>
        <v>4250557524993</v>
      </c>
      <c r="C818" t="str">
        <f>IFERROR(__xludf.DUMMYFUNCTION("""COMPUTED_VALUE"""),"Westfalia/Witter")</f>
        <v>Westfalia/Witter</v>
      </c>
    </row>
    <row r="819">
      <c r="A819" t="str">
        <f>IFERROR(__xludf.DUMMYFUNCTION("""COMPUTED_VALUE"""),"316391600001")</f>
        <v>316391600001</v>
      </c>
      <c r="B819" s="226" t="str">
        <f>IFERROR(__xludf.DUMMYFUNCTION("""COMPUTED_VALUE"""),"4250557525006")</f>
        <v>4250557525006</v>
      </c>
      <c r="C819" t="str">
        <f>IFERROR(__xludf.DUMMYFUNCTION("""COMPUTED_VALUE"""),"Westfalia/Witter")</f>
        <v>Westfalia/Witter</v>
      </c>
    </row>
    <row r="820">
      <c r="A820" t="str">
        <f>IFERROR(__xludf.DUMMYFUNCTION("""COMPUTED_VALUE"""),"307564600001")</f>
        <v>307564600001</v>
      </c>
      <c r="B820" s="226" t="str">
        <f>IFERROR(__xludf.DUMMYFUNCTION("""COMPUTED_VALUE"""),"4250557526270")</f>
        <v>4250557526270</v>
      </c>
      <c r="C820" t="str">
        <f>IFERROR(__xludf.DUMMYFUNCTION("""COMPUTED_VALUE"""),"Westfalia/Witter")</f>
        <v>Westfalia/Witter</v>
      </c>
    </row>
    <row r="821">
      <c r="A821" t="str">
        <f>IFERROR(__xludf.DUMMYFUNCTION("""COMPUTED_VALUE"""),"307565600001")</f>
        <v>307565600001</v>
      </c>
      <c r="B821" s="226" t="str">
        <f>IFERROR(__xludf.DUMMYFUNCTION("""COMPUTED_VALUE"""),"4250557526287")</f>
        <v>4250557526287</v>
      </c>
      <c r="C821" t="str">
        <f>IFERROR(__xludf.DUMMYFUNCTION("""COMPUTED_VALUE"""),"Westfalia/Witter")</f>
        <v>Westfalia/Witter</v>
      </c>
    </row>
    <row r="822">
      <c r="A822" t="str">
        <f>IFERROR(__xludf.DUMMYFUNCTION("""COMPUTED_VALUE"""),"307566600001")</f>
        <v>307566600001</v>
      </c>
      <c r="B822" s="226" t="str">
        <f>IFERROR(__xludf.DUMMYFUNCTION("""COMPUTED_VALUE"""),"4250557526294")</f>
        <v>4250557526294</v>
      </c>
      <c r="C822" t="str">
        <f>IFERROR(__xludf.DUMMYFUNCTION("""COMPUTED_VALUE"""),"Westfalia/Witter")</f>
        <v>Westfalia/Witter</v>
      </c>
    </row>
    <row r="823">
      <c r="A823" t="str">
        <f>IFERROR(__xludf.DUMMYFUNCTION("""COMPUTED_VALUE"""),"315158600001")</f>
        <v>315158600001</v>
      </c>
      <c r="B823" s="226" t="str">
        <f>IFERROR(__xludf.DUMMYFUNCTION("""COMPUTED_VALUE"""),"4250557527598")</f>
        <v>4250557527598</v>
      </c>
      <c r="C823" t="str">
        <f>IFERROR(__xludf.DUMMYFUNCTION("""COMPUTED_VALUE"""),"Westfalia/Witter")</f>
        <v>Westfalia/Witter</v>
      </c>
    </row>
    <row r="824">
      <c r="A824" t="str">
        <f>IFERROR(__xludf.DUMMYFUNCTION("""COMPUTED_VALUE"""),"306476600001")</f>
        <v>306476600001</v>
      </c>
      <c r="B824" s="226" t="str">
        <f>IFERROR(__xludf.DUMMYFUNCTION("""COMPUTED_VALUE"""),"4250557528274")</f>
        <v>4250557528274</v>
      </c>
      <c r="C824" t="str">
        <f>IFERROR(__xludf.DUMMYFUNCTION("""COMPUTED_VALUE"""),"Westfalia/Witter")</f>
        <v>Westfalia/Witter</v>
      </c>
    </row>
    <row r="825">
      <c r="A825" t="str">
        <f>IFERROR(__xludf.DUMMYFUNCTION("""COMPUTED_VALUE"""),"345113600001")</f>
        <v>345113600001</v>
      </c>
      <c r="B825" s="226" t="str">
        <f>IFERROR(__xludf.DUMMYFUNCTION("""COMPUTED_VALUE"""),"4250557528373")</f>
        <v>4250557528373</v>
      </c>
      <c r="C825" t="str">
        <f>IFERROR(__xludf.DUMMYFUNCTION("""COMPUTED_VALUE"""),"Westfalia/Witter")</f>
        <v>Westfalia/Witter</v>
      </c>
    </row>
    <row r="826">
      <c r="A826" t="str">
        <f>IFERROR(__xludf.DUMMYFUNCTION("""COMPUTED_VALUE"""),"313523600001")</f>
        <v>313523600001</v>
      </c>
      <c r="B826" s="226" t="str">
        <f>IFERROR(__xludf.DUMMYFUNCTION("""COMPUTED_VALUE"""),"4250557528380")</f>
        <v>4250557528380</v>
      </c>
      <c r="C826" t="str">
        <f>IFERROR(__xludf.DUMMYFUNCTION("""COMPUTED_VALUE"""),"Westfalia/Witter")</f>
        <v>Westfalia/Witter</v>
      </c>
    </row>
    <row r="827">
      <c r="A827" t="str">
        <f>IFERROR(__xludf.DUMMYFUNCTION("""COMPUTED_VALUE"""),"315243600001")</f>
        <v>315243600001</v>
      </c>
      <c r="B827" s="226" t="str">
        <f>IFERROR(__xludf.DUMMYFUNCTION("""COMPUTED_VALUE"""),"4250557528410")</f>
        <v>4250557528410</v>
      </c>
      <c r="C827" t="str">
        <f>IFERROR(__xludf.DUMMYFUNCTION("""COMPUTED_VALUE"""),"Westfalia/Witter")</f>
        <v>Westfalia/Witter</v>
      </c>
    </row>
    <row r="828">
      <c r="A828" t="str">
        <f>IFERROR(__xludf.DUMMYFUNCTION("""COMPUTED_VALUE"""),"315243600001")</f>
        <v>315243600001</v>
      </c>
      <c r="B828" s="226" t="str">
        <f>IFERROR(__xludf.DUMMYFUNCTION("""COMPUTED_VALUE"""),"4250557528410")</f>
        <v>4250557528410</v>
      </c>
      <c r="C828" t="str">
        <f>IFERROR(__xludf.DUMMYFUNCTION("""COMPUTED_VALUE"""),"Westfalia/Witter")</f>
        <v>Westfalia/Witter</v>
      </c>
    </row>
    <row r="829">
      <c r="A829" t="str">
        <f>IFERROR(__xludf.DUMMYFUNCTION("""COMPUTED_VALUE"""),"315243600001")</f>
        <v>315243600001</v>
      </c>
      <c r="B829" s="226" t="str">
        <f>IFERROR(__xludf.DUMMYFUNCTION("""COMPUTED_VALUE"""),"4250557528410")</f>
        <v>4250557528410</v>
      </c>
      <c r="C829" t="str">
        <f>IFERROR(__xludf.DUMMYFUNCTION("""COMPUTED_VALUE"""),"Westfalia/Witter")</f>
        <v>Westfalia/Witter</v>
      </c>
    </row>
    <row r="830">
      <c r="A830" t="str">
        <f>IFERROR(__xludf.DUMMYFUNCTION("""COMPUTED_VALUE"""),"315244600001")</f>
        <v>315244600001</v>
      </c>
      <c r="B830" s="226" t="str">
        <f>IFERROR(__xludf.DUMMYFUNCTION("""COMPUTED_VALUE"""),"4250557528427")</f>
        <v>4250557528427</v>
      </c>
      <c r="C830" t="str">
        <f>IFERROR(__xludf.DUMMYFUNCTION("""COMPUTED_VALUE"""),"Westfalia/Witter")</f>
        <v>Westfalia/Witter</v>
      </c>
    </row>
    <row r="831">
      <c r="A831" t="str">
        <f>IFERROR(__xludf.DUMMYFUNCTION("""COMPUTED_VALUE"""),"315244600001")</f>
        <v>315244600001</v>
      </c>
      <c r="B831" s="226" t="str">
        <f>IFERROR(__xludf.DUMMYFUNCTION("""COMPUTED_VALUE"""),"4250557528427")</f>
        <v>4250557528427</v>
      </c>
      <c r="C831" t="str">
        <f>IFERROR(__xludf.DUMMYFUNCTION("""COMPUTED_VALUE"""),"Westfalia/Witter")</f>
        <v>Westfalia/Witter</v>
      </c>
    </row>
    <row r="832">
      <c r="A832" t="str">
        <f>IFERROR(__xludf.DUMMYFUNCTION("""COMPUTED_VALUE"""),"315244600001")</f>
        <v>315244600001</v>
      </c>
      <c r="B832" s="226" t="str">
        <f>IFERROR(__xludf.DUMMYFUNCTION("""COMPUTED_VALUE"""),"4250557528427")</f>
        <v>4250557528427</v>
      </c>
      <c r="C832" t="str">
        <f>IFERROR(__xludf.DUMMYFUNCTION("""COMPUTED_VALUE"""),"Westfalia/Witter")</f>
        <v>Westfalia/Witter</v>
      </c>
    </row>
    <row r="833">
      <c r="A833" t="str">
        <f>IFERROR(__xludf.DUMMYFUNCTION("""COMPUTED_VALUE"""),"316406600001")</f>
        <v>316406600001</v>
      </c>
      <c r="B833" s="226" t="str">
        <f>IFERROR(__xludf.DUMMYFUNCTION("""COMPUTED_VALUE"""),"4250557528458")</f>
        <v>4250557528458</v>
      </c>
      <c r="C833" t="str">
        <f>IFERROR(__xludf.DUMMYFUNCTION("""COMPUTED_VALUE"""),"Westfalia/Witter")</f>
        <v>Westfalia/Witter</v>
      </c>
    </row>
    <row r="834">
      <c r="A834" t="str">
        <f>IFERROR(__xludf.DUMMYFUNCTION("""COMPUTED_VALUE"""),"316406600001")</f>
        <v>316406600001</v>
      </c>
      <c r="B834" s="226" t="str">
        <f>IFERROR(__xludf.DUMMYFUNCTION("""COMPUTED_VALUE"""),"4250557528458")</f>
        <v>4250557528458</v>
      </c>
      <c r="C834" t="str">
        <f>IFERROR(__xludf.DUMMYFUNCTION("""COMPUTED_VALUE"""),"Westfalia/Witter")</f>
        <v>Westfalia/Witter</v>
      </c>
    </row>
    <row r="835">
      <c r="A835" t="str">
        <f>IFERROR(__xludf.DUMMYFUNCTION("""COMPUTED_VALUE"""),"316407600001")</f>
        <v>316407600001</v>
      </c>
      <c r="B835" s="226" t="str">
        <f>IFERROR(__xludf.DUMMYFUNCTION("""COMPUTED_VALUE"""),"4250557528465")</f>
        <v>4250557528465</v>
      </c>
      <c r="C835" t="str">
        <f>IFERROR(__xludf.DUMMYFUNCTION("""COMPUTED_VALUE"""),"Westfalia/Witter")</f>
        <v>Westfalia/Witter</v>
      </c>
    </row>
    <row r="836">
      <c r="A836" t="str">
        <f>IFERROR(__xludf.DUMMYFUNCTION("""COMPUTED_VALUE"""),"316407600001")</f>
        <v>316407600001</v>
      </c>
      <c r="B836" s="226" t="str">
        <f>IFERROR(__xludf.DUMMYFUNCTION("""COMPUTED_VALUE"""),"4250557528465")</f>
        <v>4250557528465</v>
      </c>
      <c r="C836" t="str">
        <f>IFERROR(__xludf.DUMMYFUNCTION("""COMPUTED_VALUE"""),"Westfalia/Witter")</f>
        <v>Westfalia/Witter</v>
      </c>
    </row>
    <row r="837">
      <c r="A837" t="str">
        <f>IFERROR(__xludf.DUMMYFUNCTION("""COMPUTED_VALUE"""),"313524600001")</f>
        <v>313524600001</v>
      </c>
      <c r="B837" s="226" t="str">
        <f>IFERROR(__xludf.DUMMYFUNCTION("""COMPUTED_VALUE"""),"4250557528526")</f>
        <v>4250557528526</v>
      </c>
      <c r="C837" t="str">
        <f>IFERROR(__xludf.DUMMYFUNCTION("""COMPUTED_VALUE"""),"Westfalia/Witter")</f>
        <v>Westfalia/Witter</v>
      </c>
    </row>
    <row r="838">
      <c r="A838" t="str">
        <f>IFERROR(__xludf.DUMMYFUNCTION("""COMPUTED_VALUE"""),"313524600001")</f>
        <v>313524600001</v>
      </c>
      <c r="B838" s="226" t="str">
        <f>IFERROR(__xludf.DUMMYFUNCTION("""COMPUTED_VALUE"""),"4250557528526")</f>
        <v>4250557528526</v>
      </c>
      <c r="C838" t="str">
        <f>IFERROR(__xludf.DUMMYFUNCTION("""COMPUTED_VALUE"""),"Westfalia/Witter")</f>
        <v>Westfalia/Witter</v>
      </c>
    </row>
    <row r="839">
      <c r="A839" t="str">
        <f>IFERROR(__xludf.DUMMYFUNCTION("""COMPUTED_VALUE"""),"305447600001")</f>
        <v>305447600001</v>
      </c>
      <c r="B839" s="226" t="str">
        <f>IFERROR(__xludf.DUMMYFUNCTION("""COMPUTED_VALUE"""),"4250557529356")</f>
        <v>4250557529356</v>
      </c>
      <c r="C839" t="str">
        <f>IFERROR(__xludf.DUMMYFUNCTION("""COMPUTED_VALUE"""),"Westfalia/Witter")</f>
        <v>Westfalia/Witter</v>
      </c>
    </row>
    <row r="840">
      <c r="A840" t="str">
        <f>IFERROR(__xludf.DUMMYFUNCTION("""COMPUTED_VALUE"""),"305447600001")</f>
        <v>305447600001</v>
      </c>
      <c r="B840" s="226" t="str">
        <f>IFERROR(__xludf.DUMMYFUNCTION("""COMPUTED_VALUE"""),"4250557529356")</f>
        <v>4250557529356</v>
      </c>
      <c r="C840" t="str">
        <f>IFERROR(__xludf.DUMMYFUNCTION("""COMPUTED_VALUE"""),"Westfalia/Witter")</f>
        <v>Westfalia/Witter</v>
      </c>
    </row>
    <row r="841">
      <c r="A841" t="str">
        <f>IFERROR(__xludf.DUMMYFUNCTION("""COMPUTED_VALUE"""),"305447600001")</f>
        <v>305447600001</v>
      </c>
      <c r="B841" s="226" t="str">
        <f>IFERROR(__xludf.DUMMYFUNCTION("""COMPUTED_VALUE"""),"4250557529356")</f>
        <v>4250557529356</v>
      </c>
      <c r="C841" t="str">
        <f>IFERROR(__xludf.DUMMYFUNCTION("""COMPUTED_VALUE"""),"Westfalia/Witter")</f>
        <v>Westfalia/Witter</v>
      </c>
    </row>
    <row r="842">
      <c r="A842" t="str">
        <f>IFERROR(__xludf.DUMMYFUNCTION("""COMPUTED_VALUE"""),"305447600001")</f>
        <v>305447600001</v>
      </c>
      <c r="B842" s="226" t="str">
        <f>IFERROR(__xludf.DUMMYFUNCTION("""COMPUTED_VALUE"""),"4250557529356")</f>
        <v>4250557529356</v>
      </c>
      <c r="C842" t="str">
        <f>IFERROR(__xludf.DUMMYFUNCTION("""COMPUTED_VALUE"""),"Westfalia/Witter")</f>
        <v>Westfalia/Witter</v>
      </c>
    </row>
    <row r="843">
      <c r="A843" t="str">
        <f>IFERROR(__xludf.DUMMYFUNCTION("""COMPUTED_VALUE"""),"313515600001")</f>
        <v>313515600001</v>
      </c>
      <c r="B843" s="226" t="str">
        <f>IFERROR(__xludf.DUMMYFUNCTION("""COMPUTED_VALUE"""),"4250557529363")</f>
        <v>4250557529363</v>
      </c>
      <c r="C843" t="str">
        <f>IFERROR(__xludf.DUMMYFUNCTION("""COMPUTED_VALUE"""),"Westfalia/Witter")</f>
        <v>Westfalia/Witter</v>
      </c>
    </row>
    <row r="844">
      <c r="A844" t="str">
        <f>IFERROR(__xludf.DUMMYFUNCTION("""COMPUTED_VALUE"""),"323146600001")</f>
        <v>323146600001</v>
      </c>
      <c r="B844" s="226" t="str">
        <f>IFERROR(__xludf.DUMMYFUNCTION("""COMPUTED_VALUE"""),"4250557530819")</f>
        <v>4250557530819</v>
      </c>
      <c r="C844" t="str">
        <f>IFERROR(__xludf.DUMMYFUNCTION("""COMPUTED_VALUE"""),"Westfalia/Witter")</f>
        <v>Westfalia/Witter</v>
      </c>
    </row>
    <row r="845">
      <c r="A845" t="str">
        <f>IFERROR(__xludf.DUMMYFUNCTION("""COMPUTED_VALUE"""),"344094600001")</f>
        <v>344094600001</v>
      </c>
      <c r="B845" s="226" t="str">
        <f>IFERROR(__xludf.DUMMYFUNCTION("""COMPUTED_VALUE"""),"4250557531472")</f>
        <v>4250557531472</v>
      </c>
      <c r="C845" t="str">
        <f>IFERROR(__xludf.DUMMYFUNCTION("""COMPUTED_VALUE"""),"Westfalia/Witter")</f>
        <v>Westfalia/Witter</v>
      </c>
    </row>
    <row r="846">
      <c r="A846" t="str">
        <f>IFERROR(__xludf.DUMMYFUNCTION("""COMPUTED_VALUE"""),"344094600001")</f>
        <v>344094600001</v>
      </c>
      <c r="B846" s="226" t="str">
        <f>IFERROR(__xludf.DUMMYFUNCTION("""COMPUTED_VALUE"""),"4250557531472")</f>
        <v>4250557531472</v>
      </c>
      <c r="C846" t="str">
        <f>IFERROR(__xludf.DUMMYFUNCTION("""COMPUTED_VALUE"""),"Westfalia/Witter")</f>
        <v>Westfalia/Witter</v>
      </c>
    </row>
    <row r="847">
      <c r="A847" t="str">
        <f>IFERROR(__xludf.DUMMYFUNCTION("""COMPUTED_VALUE"""),"344093600001")</f>
        <v>344093600001</v>
      </c>
      <c r="B847" s="226" t="str">
        <f>IFERROR(__xludf.DUMMYFUNCTION("""COMPUTED_VALUE"""),"4250557531489")</f>
        <v>4250557531489</v>
      </c>
      <c r="C847" t="str">
        <f>IFERROR(__xludf.DUMMYFUNCTION("""COMPUTED_VALUE"""),"Westfalia/Witter")</f>
        <v>Westfalia/Witter</v>
      </c>
    </row>
    <row r="848">
      <c r="A848" t="str">
        <f>IFERROR(__xludf.DUMMYFUNCTION("""COMPUTED_VALUE"""),"313522600001")</f>
        <v>313522600001</v>
      </c>
      <c r="B848" s="226" t="str">
        <f>IFERROR(__xludf.DUMMYFUNCTION("""COMPUTED_VALUE"""),"4250557531755")</f>
        <v>4250557531755</v>
      </c>
      <c r="C848" t="str">
        <f>IFERROR(__xludf.DUMMYFUNCTION("""COMPUTED_VALUE"""),"Westfalia/Witter")</f>
        <v>Westfalia/Witter</v>
      </c>
    </row>
    <row r="849">
      <c r="A849" t="str">
        <f>IFERROR(__xludf.DUMMYFUNCTION("""COMPUTED_VALUE"""),"313522600001")</f>
        <v>313522600001</v>
      </c>
      <c r="B849" s="226" t="str">
        <f>IFERROR(__xludf.DUMMYFUNCTION("""COMPUTED_VALUE"""),"4250557531755")</f>
        <v>4250557531755</v>
      </c>
      <c r="C849" t="str">
        <f>IFERROR(__xludf.DUMMYFUNCTION("""COMPUTED_VALUE"""),"Westfalia/Witter")</f>
        <v>Westfalia/Witter</v>
      </c>
    </row>
    <row r="850">
      <c r="A850" t="str">
        <f>IFERROR(__xludf.DUMMYFUNCTION("""COMPUTED_VALUE"""),"313553600001")</f>
        <v>313553600001</v>
      </c>
      <c r="B850" s="226" t="str">
        <f>IFERROR(__xludf.DUMMYFUNCTION("""COMPUTED_VALUE"""),"4250557532127")</f>
        <v>4250557532127</v>
      </c>
      <c r="C850" t="str">
        <f>IFERROR(__xludf.DUMMYFUNCTION("""COMPUTED_VALUE"""),"Westfalia/Witter")</f>
        <v>Westfalia/Witter</v>
      </c>
    </row>
    <row r="851">
      <c r="A851" t="str">
        <f>IFERROR(__xludf.DUMMYFUNCTION("""COMPUTED_VALUE"""),"313553600001")</f>
        <v>313553600001</v>
      </c>
      <c r="B851" s="226" t="str">
        <f>IFERROR(__xludf.DUMMYFUNCTION("""COMPUTED_VALUE"""),"4250557532127")</f>
        <v>4250557532127</v>
      </c>
      <c r="C851" t="str">
        <f>IFERROR(__xludf.DUMMYFUNCTION("""COMPUTED_VALUE"""),"Westfalia/Witter")</f>
        <v>Westfalia/Witter</v>
      </c>
    </row>
    <row r="852">
      <c r="A852" t="str">
        <f>IFERROR(__xludf.DUMMYFUNCTION("""COMPUTED_VALUE"""),"345115600001")</f>
        <v>345115600001</v>
      </c>
      <c r="B852" s="226" t="str">
        <f>IFERROR(__xludf.DUMMYFUNCTION("""COMPUTED_VALUE"""),"4250557532394")</f>
        <v>4250557532394</v>
      </c>
      <c r="C852" t="str">
        <f>IFERROR(__xludf.DUMMYFUNCTION("""COMPUTED_VALUE"""),"Westfalia/Witter")</f>
        <v>Westfalia/Witter</v>
      </c>
    </row>
    <row r="853">
      <c r="A853" t="str">
        <f>IFERROR(__xludf.DUMMYFUNCTION("""COMPUTED_VALUE"""),"321973600001")</f>
        <v>321973600001</v>
      </c>
      <c r="B853" s="226" t="str">
        <f>IFERROR(__xludf.DUMMYFUNCTION("""COMPUTED_VALUE"""),"4250557532486")</f>
        <v>4250557532486</v>
      </c>
      <c r="C853" t="str">
        <f>IFERROR(__xludf.DUMMYFUNCTION("""COMPUTED_VALUE"""),"Westfalia/Witter")</f>
        <v>Westfalia/Witter</v>
      </c>
    </row>
    <row r="854">
      <c r="A854" t="str">
        <f>IFERROR(__xludf.DUMMYFUNCTION("""COMPUTED_VALUE"""),"321973600001")</f>
        <v>321973600001</v>
      </c>
      <c r="B854" s="226" t="str">
        <f>IFERROR(__xludf.DUMMYFUNCTION("""COMPUTED_VALUE"""),"4250557532486")</f>
        <v>4250557532486</v>
      </c>
      <c r="C854" t="str">
        <f>IFERROR(__xludf.DUMMYFUNCTION("""COMPUTED_VALUE"""),"Westfalia/Witter")</f>
        <v>Westfalia/Witter</v>
      </c>
    </row>
    <row r="855">
      <c r="A855" t="str">
        <f>IFERROR(__xludf.DUMMYFUNCTION("""COMPUTED_VALUE"""),"321946600001")</f>
        <v>321946600001</v>
      </c>
      <c r="B855" s="226" t="str">
        <f>IFERROR(__xludf.DUMMYFUNCTION("""COMPUTED_VALUE"""),"4250557532929")</f>
        <v>4250557532929</v>
      </c>
      <c r="C855" t="str">
        <f>IFERROR(__xludf.DUMMYFUNCTION("""COMPUTED_VALUE"""),"Westfalia/Witter")</f>
        <v>Westfalia/Witter</v>
      </c>
    </row>
    <row r="856">
      <c r="A856" t="str">
        <f>IFERROR(__xludf.DUMMYFUNCTION("""COMPUTED_VALUE"""),"321947600001")</f>
        <v>321947600001</v>
      </c>
      <c r="B856" s="226" t="str">
        <f>IFERROR(__xludf.DUMMYFUNCTION("""COMPUTED_VALUE"""),"4250557532936")</f>
        <v>4250557532936</v>
      </c>
      <c r="C856" t="str">
        <f>IFERROR(__xludf.DUMMYFUNCTION("""COMPUTED_VALUE"""),"Westfalia/Witter")</f>
        <v>Westfalia/Witter</v>
      </c>
    </row>
    <row r="857">
      <c r="A857" t="str">
        <f>IFERROR(__xludf.DUMMYFUNCTION("""COMPUTED_VALUE"""),"321948600001")</f>
        <v>321948600001</v>
      </c>
      <c r="B857" s="226" t="str">
        <f>IFERROR(__xludf.DUMMYFUNCTION("""COMPUTED_VALUE"""),"4250557532981")</f>
        <v>4250557532981</v>
      </c>
      <c r="C857" t="str">
        <f>IFERROR(__xludf.DUMMYFUNCTION("""COMPUTED_VALUE"""),"Westfalia/Witter")</f>
        <v>Westfalia/Witter</v>
      </c>
    </row>
    <row r="858">
      <c r="A858" t="str">
        <f>IFERROR(__xludf.DUMMYFUNCTION("""COMPUTED_VALUE"""),"304190600001")</f>
        <v>304190600001</v>
      </c>
      <c r="B858" s="226" t="str">
        <f>IFERROR(__xludf.DUMMYFUNCTION("""COMPUTED_VALUE"""),"4250557533933")</f>
        <v>4250557533933</v>
      </c>
      <c r="C858" t="str">
        <f>IFERROR(__xludf.DUMMYFUNCTION("""COMPUTED_VALUE"""),"Westfalia/Witter")</f>
        <v>Westfalia/Witter</v>
      </c>
    </row>
    <row r="859">
      <c r="A859" t="str">
        <f>IFERROR(__xludf.DUMMYFUNCTION("""COMPUTED_VALUE"""),"304190600001")</f>
        <v>304190600001</v>
      </c>
      <c r="B859" s="226" t="str">
        <f>IFERROR(__xludf.DUMMYFUNCTION("""COMPUTED_VALUE"""),"4250557533933")</f>
        <v>4250557533933</v>
      </c>
      <c r="C859" t="str">
        <f>IFERROR(__xludf.DUMMYFUNCTION("""COMPUTED_VALUE"""),"Westfalia/Witter")</f>
        <v>Westfalia/Witter</v>
      </c>
    </row>
    <row r="860">
      <c r="A860" t="str">
        <f>IFERROR(__xludf.DUMMYFUNCTION("""COMPUTED_VALUE"""),"304190600001")</f>
        <v>304190600001</v>
      </c>
      <c r="B860" s="226" t="str">
        <f>IFERROR(__xludf.DUMMYFUNCTION("""COMPUTED_VALUE"""),"4250557533933")</f>
        <v>4250557533933</v>
      </c>
      <c r="C860" t="str">
        <f>IFERROR(__xludf.DUMMYFUNCTION("""COMPUTED_VALUE"""),"Westfalia/Witter")</f>
        <v>Westfalia/Witter</v>
      </c>
    </row>
    <row r="861">
      <c r="A861" t="str">
        <f>IFERROR(__xludf.DUMMYFUNCTION("""COMPUTED_VALUE"""),"304190600001")</f>
        <v>304190600001</v>
      </c>
      <c r="B861" s="226" t="str">
        <f>IFERROR(__xludf.DUMMYFUNCTION("""COMPUTED_VALUE"""),"4250557533933")</f>
        <v>4250557533933</v>
      </c>
      <c r="C861" t="str">
        <f>IFERROR(__xludf.DUMMYFUNCTION("""COMPUTED_VALUE"""),"Westfalia/Witter")</f>
        <v>Westfalia/Witter</v>
      </c>
    </row>
    <row r="862">
      <c r="A862" t="str">
        <f>IFERROR(__xludf.DUMMYFUNCTION("""COMPUTED_VALUE"""),"307612600001")</f>
        <v>307612600001</v>
      </c>
      <c r="B862" s="226" t="str">
        <f>IFERROR(__xludf.DUMMYFUNCTION("""COMPUTED_VALUE"""),"4250557533995")</f>
        <v>4250557533995</v>
      </c>
      <c r="C862" t="str">
        <f>IFERROR(__xludf.DUMMYFUNCTION("""COMPUTED_VALUE"""),"Westfalia/Witter")</f>
        <v>Westfalia/Witter</v>
      </c>
    </row>
    <row r="863">
      <c r="A863" t="str">
        <f>IFERROR(__xludf.DUMMYFUNCTION("""COMPUTED_VALUE"""),"307612600001")</f>
        <v>307612600001</v>
      </c>
      <c r="B863" s="226" t="str">
        <f>IFERROR(__xludf.DUMMYFUNCTION("""COMPUTED_VALUE"""),"4250557533995")</f>
        <v>4250557533995</v>
      </c>
      <c r="C863" t="str">
        <f>IFERROR(__xludf.DUMMYFUNCTION("""COMPUTED_VALUE"""),"Westfalia/Witter")</f>
        <v>Westfalia/Witter</v>
      </c>
    </row>
    <row r="864">
      <c r="A864" t="str">
        <f>IFERROR(__xludf.DUMMYFUNCTION("""COMPUTED_VALUE"""),"307613600001")</f>
        <v>307613600001</v>
      </c>
      <c r="B864" s="226" t="str">
        <f>IFERROR(__xludf.DUMMYFUNCTION("""COMPUTED_VALUE"""),"4250557534008")</f>
        <v>4250557534008</v>
      </c>
      <c r="C864" t="str">
        <f>IFERROR(__xludf.DUMMYFUNCTION("""COMPUTED_VALUE"""),"Westfalia/Witter")</f>
        <v>Westfalia/Witter</v>
      </c>
    </row>
    <row r="865">
      <c r="A865" t="str">
        <f>IFERROR(__xludf.DUMMYFUNCTION("""COMPUTED_VALUE"""),"307613600001")</f>
        <v>307613600001</v>
      </c>
      <c r="B865" s="226" t="str">
        <f>IFERROR(__xludf.DUMMYFUNCTION("""COMPUTED_VALUE"""),"4250557534008")</f>
        <v>4250557534008</v>
      </c>
      <c r="C865" t="str">
        <f>IFERROR(__xludf.DUMMYFUNCTION("""COMPUTED_VALUE"""),"Westfalia/Witter")</f>
        <v>Westfalia/Witter</v>
      </c>
    </row>
    <row r="866">
      <c r="A866" t="str">
        <f>IFERROR(__xludf.DUMMYFUNCTION("""COMPUTED_VALUE"""),"320145600001")</f>
        <v>320145600001</v>
      </c>
      <c r="B866" s="226" t="str">
        <f>IFERROR(__xludf.DUMMYFUNCTION("""COMPUTED_VALUE"""),"4250557534183")</f>
        <v>4250557534183</v>
      </c>
      <c r="C866" t="str">
        <f>IFERROR(__xludf.DUMMYFUNCTION("""COMPUTED_VALUE"""),"Westfalia/Witter")</f>
        <v>Westfalia/Witter</v>
      </c>
    </row>
    <row r="867">
      <c r="A867" t="str">
        <f>IFERROR(__xludf.DUMMYFUNCTION("""COMPUTED_VALUE"""),"346110600001")</f>
        <v>346110600001</v>
      </c>
      <c r="B867" s="226" t="str">
        <f>IFERROR(__xludf.DUMMYFUNCTION("""COMPUTED_VALUE"""),"4250557534404")</f>
        <v>4250557534404</v>
      </c>
      <c r="C867" t="str">
        <f>IFERROR(__xludf.DUMMYFUNCTION("""COMPUTED_VALUE"""),"Westfalia/Witter")</f>
        <v>Westfalia/Witter</v>
      </c>
    </row>
    <row r="868">
      <c r="A868" t="str">
        <f>IFERROR(__xludf.DUMMYFUNCTION("""COMPUTED_VALUE"""),"346110600001")</f>
        <v>346110600001</v>
      </c>
      <c r="B868" s="226" t="str">
        <f>IFERROR(__xludf.DUMMYFUNCTION("""COMPUTED_VALUE"""),"4250557534404")</f>
        <v>4250557534404</v>
      </c>
      <c r="C868" t="str">
        <f>IFERROR(__xludf.DUMMYFUNCTION("""COMPUTED_VALUE"""),"Westfalia/Witter")</f>
        <v>Westfalia/Witter</v>
      </c>
    </row>
    <row r="869">
      <c r="A869" t="str">
        <f>IFERROR(__xludf.DUMMYFUNCTION("""COMPUTED_VALUE"""),"313562600001")</f>
        <v>313562600001</v>
      </c>
      <c r="B869" s="226" t="str">
        <f>IFERROR(__xludf.DUMMYFUNCTION("""COMPUTED_VALUE"""),"4250557534534")</f>
        <v>4250557534534</v>
      </c>
      <c r="C869" t="str">
        <f>IFERROR(__xludf.DUMMYFUNCTION("""COMPUTED_VALUE"""),"Westfalia/Witter")</f>
        <v>Westfalia/Witter</v>
      </c>
    </row>
    <row r="870">
      <c r="A870" t="str">
        <f>IFERROR(__xludf.DUMMYFUNCTION("""COMPUTED_VALUE"""),"335495600001")</f>
        <v>335495600001</v>
      </c>
      <c r="B870" s="226" t="str">
        <f>IFERROR(__xludf.DUMMYFUNCTION("""COMPUTED_VALUE"""),"4250557534558")</f>
        <v>4250557534558</v>
      </c>
      <c r="C870" t="str">
        <f>IFERROR(__xludf.DUMMYFUNCTION("""COMPUTED_VALUE"""),"Westfalia/Witter")</f>
        <v>Westfalia/Witter</v>
      </c>
    </row>
    <row r="871">
      <c r="A871" t="str">
        <f>IFERROR(__xludf.DUMMYFUNCTION("""COMPUTED_VALUE"""),"345127600001")</f>
        <v>345127600001</v>
      </c>
      <c r="B871" s="226" t="str">
        <f>IFERROR(__xludf.DUMMYFUNCTION("""COMPUTED_VALUE"""),"4250557534596")</f>
        <v>4250557534596</v>
      </c>
      <c r="C871" t="str">
        <f>IFERROR(__xludf.DUMMYFUNCTION("""COMPUTED_VALUE"""),"Westfalia/Witter")</f>
        <v>Westfalia/Witter</v>
      </c>
    </row>
    <row r="872">
      <c r="A872" t="str">
        <f>IFERROR(__xludf.DUMMYFUNCTION("""COMPUTED_VALUE"""),"303413600001")</f>
        <v>303413600001</v>
      </c>
      <c r="B872" s="226" t="str">
        <f>IFERROR(__xludf.DUMMYFUNCTION("""COMPUTED_VALUE"""),"4250557535517")</f>
        <v>4250557535517</v>
      </c>
      <c r="C872" t="str">
        <f>IFERROR(__xludf.DUMMYFUNCTION("""COMPUTED_VALUE"""),"Westfalia/Witter")</f>
        <v>Westfalia/Witter</v>
      </c>
    </row>
    <row r="873">
      <c r="A873" t="str">
        <f>IFERROR(__xludf.DUMMYFUNCTION("""COMPUTED_VALUE"""),"303413600001")</f>
        <v>303413600001</v>
      </c>
      <c r="B873" s="226" t="str">
        <f>IFERROR(__xludf.DUMMYFUNCTION("""COMPUTED_VALUE"""),"4250557535517")</f>
        <v>4250557535517</v>
      </c>
      <c r="C873" t="str">
        <f>IFERROR(__xludf.DUMMYFUNCTION("""COMPUTED_VALUE"""),"Westfalia/Witter")</f>
        <v>Westfalia/Witter</v>
      </c>
    </row>
    <row r="874">
      <c r="A874" t="str">
        <f>IFERROR(__xludf.DUMMYFUNCTION("""COMPUTED_VALUE"""),"345117600001")</f>
        <v>345117600001</v>
      </c>
      <c r="B874" s="226" t="str">
        <f>IFERROR(__xludf.DUMMYFUNCTION("""COMPUTED_VALUE"""),"4250557536200")</f>
        <v>4250557536200</v>
      </c>
      <c r="C874" t="str">
        <f>IFERROR(__xludf.DUMMYFUNCTION("""COMPUTED_VALUE"""),"Westfalia/Witter")</f>
        <v>Westfalia/Witter</v>
      </c>
    </row>
    <row r="875">
      <c r="A875" t="str">
        <f>IFERROR(__xludf.DUMMYFUNCTION("""COMPUTED_VALUE"""),"317133600001")</f>
        <v>317133600001</v>
      </c>
      <c r="B875" s="226" t="str">
        <f>IFERROR(__xludf.DUMMYFUNCTION("""COMPUTED_VALUE"""),"4250557540092")</f>
        <v>4250557540092</v>
      </c>
      <c r="C875" t="str">
        <f>IFERROR(__xludf.DUMMYFUNCTION("""COMPUTED_VALUE"""),"Westfalia/Witter")</f>
        <v>Westfalia/Witter</v>
      </c>
    </row>
    <row r="876">
      <c r="A876" t="str">
        <f>IFERROR(__xludf.DUMMYFUNCTION("""COMPUTED_VALUE"""),"317134600001")</f>
        <v>317134600001</v>
      </c>
      <c r="B876" s="226" t="str">
        <f>IFERROR(__xludf.DUMMYFUNCTION("""COMPUTED_VALUE"""),"4250557540108")</f>
        <v>4250557540108</v>
      </c>
      <c r="C876" t="str">
        <f>IFERROR(__xludf.DUMMYFUNCTION("""COMPUTED_VALUE"""),"Westfalia/Witter")</f>
        <v>Westfalia/Witter</v>
      </c>
    </row>
    <row r="877">
      <c r="A877" t="str">
        <f>IFERROR(__xludf.DUMMYFUNCTION("""COMPUTED_VALUE"""),"306505600001")</f>
        <v>306505600001</v>
      </c>
      <c r="B877" s="226" t="str">
        <f>IFERROR(__xludf.DUMMYFUNCTION("""COMPUTED_VALUE"""),"4250557540139")</f>
        <v>4250557540139</v>
      </c>
      <c r="C877" t="str">
        <f>IFERROR(__xludf.DUMMYFUNCTION("""COMPUTED_VALUE"""),"Westfalia/Witter")</f>
        <v>Westfalia/Witter</v>
      </c>
    </row>
    <row r="878">
      <c r="A878" t="str">
        <f>IFERROR(__xludf.DUMMYFUNCTION("""COMPUTED_VALUE"""),"323157600001")</f>
        <v>323157600001</v>
      </c>
      <c r="B878" s="226" t="str">
        <f>IFERROR(__xludf.DUMMYFUNCTION("""COMPUTED_VALUE"""),"4250557540153")</f>
        <v>4250557540153</v>
      </c>
      <c r="C878" t="str">
        <f>IFERROR(__xludf.DUMMYFUNCTION("""COMPUTED_VALUE"""),"Westfalia/Witter")</f>
        <v>Westfalia/Witter</v>
      </c>
    </row>
    <row r="879">
      <c r="A879" t="str">
        <f>IFERROR(__xludf.DUMMYFUNCTION("""COMPUTED_VALUE"""),"342284600001")</f>
        <v>342284600001</v>
      </c>
      <c r="B879" s="226" t="str">
        <f>IFERROR(__xludf.DUMMYFUNCTION("""COMPUTED_VALUE"""),"4250557540245")</f>
        <v>4250557540245</v>
      </c>
      <c r="C879" t="str">
        <f>IFERROR(__xludf.DUMMYFUNCTION("""COMPUTED_VALUE"""),"Westfalia/Witter")</f>
        <v>Westfalia/Witter</v>
      </c>
    </row>
    <row r="880">
      <c r="A880" t="str">
        <f>IFERROR(__xludf.DUMMYFUNCTION("""COMPUTED_VALUE"""),"316431600001")</f>
        <v>316431600001</v>
      </c>
      <c r="B880" s="226" t="str">
        <f>IFERROR(__xludf.DUMMYFUNCTION("""COMPUTED_VALUE"""),"4250557540306")</f>
        <v>4250557540306</v>
      </c>
      <c r="C880" t="str">
        <f>IFERROR(__xludf.DUMMYFUNCTION("""COMPUTED_VALUE"""),"Westfalia/Witter")</f>
        <v>Westfalia/Witter</v>
      </c>
    </row>
    <row r="881">
      <c r="A881" t="str">
        <f>IFERROR(__xludf.DUMMYFUNCTION("""COMPUTED_VALUE"""),"316431600001")</f>
        <v>316431600001</v>
      </c>
      <c r="B881" s="226" t="str">
        <f>IFERROR(__xludf.DUMMYFUNCTION("""COMPUTED_VALUE"""),"4250557540306")</f>
        <v>4250557540306</v>
      </c>
      <c r="C881" t="str">
        <f>IFERROR(__xludf.DUMMYFUNCTION("""COMPUTED_VALUE"""),"Westfalia/Witter")</f>
        <v>Westfalia/Witter</v>
      </c>
    </row>
    <row r="882">
      <c r="A882" t="str">
        <f>IFERROR(__xludf.DUMMYFUNCTION("""COMPUTED_VALUE"""),"316432600001")</f>
        <v>316432600001</v>
      </c>
      <c r="B882" s="226" t="str">
        <f>IFERROR(__xludf.DUMMYFUNCTION("""COMPUTED_VALUE"""),"4250557540313")</f>
        <v>4250557540313</v>
      </c>
      <c r="C882" t="str">
        <f>IFERROR(__xludf.DUMMYFUNCTION("""COMPUTED_VALUE"""),"Westfalia/Witter")</f>
        <v>Westfalia/Witter</v>
      </c>
    </row>
    <row r="883">
      <c r="A883" t="str">
        <f>IFERROR(__xludf.DUMMYFUNCTION("""COMPUTED_VALUE"""),"316432600001")</f>
        <v>316432600001</v>
      </c>
      <c r="B883" s="226" t="str">
        <f>IFERROR(__xludf.DUMMYFUNCTION("""COMPUTED_VALUE"""),"4250557540313")</f>
        <v>4250557540313</v>
      </c>
      <c r="C883" t="str">
        <f>IFERROR(__xludf.DUMMYFUNCTION("""COMPUTED_VALUE"""),"Westfalia/Witter")</f>
        <v>Westfalia/Witter</v>
      </c>
    </row>
    <row r="884">
      <c r="A884" t="str">
        <f>IFERROR(__xludf.DUMMYFUNCTION("""COMPUTED_VALUE"""),"335505600001")</f>
        <v>335505600001</v>
      </c>
      <c r="B884" s="226" t="str">
        <f>IFERROR(__xludf.DUMMYFUNCTION("""COMPUTED_VALUE"""),"4250557540696")</f>
        <v>4250557540696</v>
      </c>
      <c r="C884" t="str">
        <f>IFERROR(__xludf.DUMMYFUNCTION("""COMPUTED_VALUE"""),"Westfalia/Witter")</f>
        <v>Westfalia/Witter</v>
      </c>
    </row>
    <row r="885">
      <c r="A885" t="str">
        <f>IFERROR(__xludf.DUMMYFUNCTION("""COMPUTED_VALUE"""),"314583600001")</f>
        <v>314583600001</v>
      </c>
      <c r="B885" s="226" t="str">
        <f>IFERROR(__xludf.DUMMYFUNCTION("""COMPUTED_VALUE"""),"4250557541297")</f>
        <v>4250557541297</v>
      </c>
      <c r="C885" t="str">
        <f>IFERROR(__xludf.DUMMYFUNCTION("""COMPUTED_VALUE"""),"Westfalia/Witter")</f>
        <v>Westfalia/Witter</v>
      </c>
    </row>
    <row r="886">
      <c r="A886" t="str">
        <f>IFERROR(__xludf.DUMMYFUNCTION("""COMPUTED_VALUE"""),"314581600001")</f>
        <v>314581600001</v>
      </c>
      <c r="B886" s="226" t="str">
        <f>IFERROR(__xludf.DUMMYFUNCTION("""COMPUTED_VALUE"""),"4250557541303")</f>
        <v>4250557541303</v>
      </c>
      <c r="C886" t="str">
        <f>IFERROR(__xludf.DUMMYFUNCTION("""COMPUTED_VALUE"""),"Westfalia/Witter")</f>
        <v>Westfalia/Witter</v>
      </c>
    </row>
    <row r="887">
      <c r="A887" t="str">
        <f>IFERROR(__xludf.DUMMYFUNCTION("""COMPUTED_VALUE"""),"344101600001")</f>
        <v>344101600001</v>
      </c>
      <c r="B887" s="226" t="str">
        <f>IFERROR(__xludf.DUMMYFUNCTION("""COMPUTED_VALUE"""),"4250557541310")</f>
        <v>4250557541310</v>
      </c>
      <c r="C887" t="str">
        <f>IFERROR(__xludf.DUMMYFUNCTION("""COMPUTED_VALUE"""),"Westfalia/Witter")</f>
        <v>Westfalia/Witter</v>
      </c>
    </row>
    <row r="888">
      <c r="A888" t="str">
        <f>IFERROR(__xludf.DUMMYFUNCTION("""COMPUTED_VALUE"""),"344101600001")</f>
        <v>344101600001</v>
      </c>
      <c r="B888" s="226" t="str">
        <f>IFERROR(__xludf.DUMMYFUNCTION("""COMPUTED_VALUE"""),"4250557541310")</f>
        <v>4250557541310</v>
      </c>
      <c r="C888" t="str">
        <f>IFERROR(__xludf.DUMMYFUNCTION("""COMPUTED_VALUE"""),"Westfalia/Witter")</f>
        <v>Westfalia/Witter</v>
      </c>
    </row>
    <row r="889">
      <c r="A889" t="str">
        <f>IFERROR(__xludf.DUMMYFUNCTION("""COMPUTED_VALUE"""),"314585600001")</f>
        <v>314585600001</v>
      </c>
      <c r="B889" s="226" t="str">
        <f>IFERROR(__xludf.DUMMYFUNCTION("""COMPUTED_VALUE"""),"4250557541389")</f>
        <v>4250557541389</v>
      </c>
      <c r="C889" t="str">
        <f>IFERROR(__xludf.DUMMYFUNCTION("""COMPUTED_VALUE"""),"Westfalia/Witter")</f>
        <v>Westfalia/Witter</v>
      </c>
    </row>
    <row r="890">
      <c r="A890" t="str">
        <f>IFERROR(__xludf.DUMMYFUNCTION("""COMPUTED_VALUE"""),"340131600001")</f>
        <v>340131600001</v>
      </c>
      <c r="B890" s="226" t="str">
        <f>IFERROR(__xludf.DUMMYFUNCTION("""COMPUTED_VALUE"""),"4250557541402")</f>
        <v>4250557541402</v>
      </c>
      <c r="C890" t="str">
        <f>IFERROR(__xludf.DUMMYFUNCTION("""COMPUTED_VALUE"""),"Westfalia/Witter")</f>
        <v>Westfalia/Witter</v>
      </c>
    </row>
    <row r="891">
      <c r="A891" t="str">
        <f>IFERROR(__xludf.DUMMYFUNCTION("""COMPUTED_VALUE"""),"314584600001")</f>
        <v>314584600001</v>
      </c>
      <c r="B891" s="226" t="str">
        <f>IFERROR(__xludf.DUMMYFUNCTION("""COMPUTED_VALUE"""),"4250557541433")</f>
        <v>4250557541433</v>
      </c>
      <c r="C891" t="str">
        <f>IFERROR(__xludf.DUMMYFUNCTION("""COMPUTED_VALUE"""),"Westfalia/Witter")</f>
        <v>Westfalia/Witter</v>
      </c>
    </row>
    <row r="892">
      <c r="A892" t="str">
        <f>IFERROR(__xludf.DUMMYFUNCTION("""COMPUTED_VALUE"""),"314582600001")</f>
        <v>314582600001</v>
      </c>
      <c r="B892" s="226" t="str">
        <f>IFERROR(__xludf.DUMMYFUNCTION("""COMPUTED_VALUE"""),"4250557541440")</f>
        <v>4250557541440</v>
      </c>
      <c r="C892" t="str">
        <f>IFERROR(__xludf.DUMMYFUNCTION("""COMPUTED_VALUE"""),"Westfalia/Witter")</f>
        <v>Westfalia/Witter</v>
      </c>
    </row>
    <row r="893">
      <c r="A893" t="str">
        <f>IFERROR(__xludf.DUMMYFUNCTION("""COMPUTED_VALUE"""),"314586600001")</f>
        <v>314586600001</v>
      </c>
      <c r="B893" s="226" t="str">
        <f>IFERROR(__xludf.DUMMYFUNCTION("""COMPUTED_VALUE"""),"4250557541525")</f>
        <v>4250557541525</v>
      </c>
      <c r="C893" t="str">
        <f>IFERROR(__xludf.DUMMYFUNCTION("""COMPUTED_VALUE"""),"Westfalia/Witter")</f>
        <v>Westfalia/Witter</v>
      </c>
    </row>
    <row r="894">
      <c r="A894" t="str">
        <f>IFERROR(__xludf.DUMMYFUNCTION("""COMPUTED_VALUE"""),"340132600001")</f>
        <v>340132600001</v>
      </c>
      <c r="B894" s="226" t="str">
        <f>IFERROR(__xludf.DUMMYFUNCTION("""COMPUTED_VALUE"""),"4250557541884")</f>
        <v>4250557541884</v>
      </c>
      <c r="C894" t="str">
        <f>IFERROR(__xludf.DUMMYFUNCTION("""COMPUTED_VALUE"""),"Westfalia/Witter")</f>
        <v>Westfalia/Witter</v>
      </c>
    </row>
    <row r="895">
      <c r="A895" t="str">
        <f>IFERROR(__xludf.DUMMYFUNCTION("""COMPUTED_VALUE"""),"346123600001")</f>
        <v>346123600001</v>
      </c>
      <c r="B895" s="226" t="str">
        <f>IFERROR(__xludf.DUMMYFUNCTION("""COMPUTED_VALUE"""),"4250557542232")</f>
        <v>4250557542232</v>
      </c>
      <c r="C895" t="str">
        <f>IFERROR(__xludf.DUMMYFUNCTION("""COMPUTED_VALUE"""),"Westfalia/Witter")</f>
        <v>Westfalia/Witter</v>
      </c>
    </row>
    <row r="896">
      <c r="A896" t="str">
        <f>IFERROR(__xludf.DUMMYFUNCTION("""COMPUTED_VALUE"""),"346123600001")</f>
        <v>346123600001</v>
      </c>
      <c r="B896" s="226" t="str">
        <f>IFERROR(__xludf.DUMMYFUNCTION("""COMPUTED_VALUE"""),"4250557542232")</f>
        <v>4250557542232</v>
      </c>
      <c r="C896" t="str">
        <f>IFERROR(__xludf.DUMMYFUNCTION("""COMPUTED_VALUE"""),"Westfalia/Witter")</f>
        <v>Westfalia/Witter</v>
      </c>
    </row>
    <row r="897">
      <c r="A897" t="str">
        <f>IFERROR(__xludf.DUMMYFUNCTION("""COMPUTED_VALUE"""),"307306600001")</f>
        <v>307306600001</v>
      </c>
      <c r="B897" s="226" t="str">
        <f>IFERROR(__xludf.DUMMYFUNCTION("""COMPUTED_VALUE"""),"4250557542244")</f>
        <v>4250557542244</v>
      </c>
      <c r="C897" t="str">
        <f>IFERROR(__xludf.DUMMYFUNCTION("""COMPUTED_VALUE"""),"Westfalia/Witter")</f>
        <v>Westfalia/Witter</v>
      </c>
    </row>
    <row r="898">
      <c r="A898" t="str">
        <f>IFERROR(__xludf.DUMMYFUNCTION("""COMPUTED_VALUE"""),"346124600001")</f>
        <v>346124600001</v>
      </c>
      <c r="B898" s="226" t="str">
        <f>IFERROR(__xludf.DUMMYFUNCTION("""COMPUTED_VALUE"""),"4250557542249")</f>
        <v>4250557542249</v>
      </c>
      <c r="C898" t="str">
        <f>IFERROR(__xludf.DUMMYFUNCTION("""COMPUTED_VALUE"""),"Westfalia/Witter")</f>
        <v>Westfalia/Witter</v>
      </c>
    </row>
    <row r="899">
      <c r="A899" t="str">
        <f>IFERROR(__xludf.DUMMYFUNCTION("""COMPUTED_VALUE"""),"346124600001")</f>
        <v>346124600001</v>
      </c>
      <c r="B899" s="226" t="str">
        <f>IFERROR(__xludf.DUMMYFUNCTION("""COMPUTED_VALUE"""),"4250557542249")</f>
        <v>4250557542249</v>
      </c>
      <c r="C899" t="str">
        <f>IFERROR(__xludf.DUMMYFUNCTION("""COMPUTED_VALUE"""),"Westfalia/Witter")</f>
        <v>Westfalia/Witter</v>
      </c>
    </row>
    <row r="900">
      <c r="A900" t="str">
        <f>IFERROR(__xludf.DUMMYFUNCTION("""COMPUTED_VALUE"""),"348077600001")</f>
        <v>348077600001</v>
      </c>
      <c r="B900" s="226" t="str">
        <f>IFERROR(__xludf.DUMMYFUNCTION("""COMPUTED_VALUE"""),"4250557542355")</f>
        <v>4250557542355</v>
      </c>
      <c r="C900" t="str">
        <f>IFERROR(__xludf.DUMMYFUNCTION("""COMPUTED_VALUE"""),"Westfalia/Witter")</f>
        <v>Westfalia/Witter</v>
      </c>
    </row>
    <row r="901">
      <c r="A901" t="str">
        <f>IFERROR(__xludf.DUMMYFUNCTION("""COMPUTED_VALUE"""),"316389600001")</f>
        <v>316389600001</v>
      </c>
      <c r="B901" s="226" t="str">
        <f>IFERROR(__xludf.DUMMYFUNCTION("""COMPUTED_VALUE"""),"4250557542416")</f>
        <v>4250557542416</v>
      </c>
      <c r="C901" t="str">
        <f>IFERROR(__xludf.DUMMYFUNCTION("""COMPUTED_VALUE"""),"Westfalia/Witter")</f>
        <v>Westfalia/Witter</v>
      </c>
    </row>
    <row r="902">
      <c r="A902" t="str">
        <f>IFERROR(__xludf.DUMMYFUNCTION("""COMPUTED_VALUE"""),"316388600001")</f>
        <v>316388600001</v>
      </c>
      <c r="B902" s="226" t="str">
        <f>IFERROR(__xludf.DUMMYFUNCTION("""COMPUTED_VALUE"""),"4250557542423")</f>
        <v>4250557542423</v>
      </c>
      <c r="C902" t="str">
        <f>IFERROR(__xludf.DUMMYFUNCTION("""COMPUTED_VALUE"""),"Westfalia/Witter")</f>
        <v>Westfalia/Witter</v>
      </c>
    </row>
    <row r="903">
      <c r="A903" t="str">
        <f>IFERROR(__xludf.DUMMYFUNCTION("""COMPUTED_VALUE"""),"316453600001")</f>
        <v>316453600001</v>
      </c>
      <c r="B903" s="226" t="str">
        <f>IFERROR(__xludf.DUMMYFUNCTION("""COMPUTED_VALUE"""),"4250557542799")</f>
        <v>4250557542799</v>
      </c>
      <c r="C903" t="str">
        <f>IFERROR(__xludf.DUMMYFUNCTION("""COMPUTED_VALUE"""),"Westfalia/Witter")</f>
        <v>Westfalia/Witter</v>
      </c>
    </row>
    <row r="904">
      <c r="A904" t="str">
        <f>IFERROR(__xludf.DUMMYFUNCTION("""COMPUTED_VALUE"""),"314587600001")</f>
        <v>314587600001</v>
      </c>
      <c r="B904" s="226" t="str">
        <f>IFERROR(__xludf.DUMMYFUNCTION("""COMPUTED_VALUE"""),"4250557542829")</f>
        <v>4250557542829</v>
      </c>
      <c r="C904" t="str">
        <f>IFERROR(__xludf.DUMMYFUNCTION("""COMPUTED_VALUE"""),"Westfalia/Witter")</f>
        <v>Westfalia/Witter</v>
      </c>
    </row>
    <row r="905">
      <c r="A905" t="str">
        <f>IFERROR(__xludf.DUMMYFUNCTION("""COMPUTED_VALUE"""),"314588600001")</f>
        <v>314588600001</v>
      </c>
      <c r="B905" s="226" t="str">
        <f>IFERROR(__xludf.DUMMYFUNCTION("""COMPUTED_VALUE"""),"4250557542836")</f>
        <v>4250557542836</v>
      </c>
      <c r="C905" t="str">
        <f>IFERROR(__xludf.DUMMYFUNCTION("""COMPUTED_VALUE"""),"Westfalia/Witter")</f>
        <v>Westfalia/Witter</v>
      </c>
    </row>
    <row r="906">
      <c r="A906" t="str">
        <f>IFERROR(__xludf.DUMMYFUNCTION("""COMPUTED_VALUE"""),"307658600001")</f>
        <v>307658600001</v>
      </c>
      <c r="B906" s="226" t="str">
        <f>IFERROR(__xludf.DUMMYFUNCTION("""COMPUTED_VALUE"""),"4250557542904")</f>
        <v>4250557542904</v>
      </c>
      <c r="C906" t="str">
        <f>IFERROR(__xludf.DUMMYFUNCTION("""COMPUTED_VALUE"""),"Westfalia/Witter")</f>
        <v>Westfalia/Witter</v>
      </c>
    </row>
    <row r="907">
      <c r="A907" t="str">
        <f>IFERROR(__xludf.DUMMYFUNCTION("""COMPUTED_VALUE"""),"307659600001")</f>
        <v>307659600001</v>
      </c>
      <c r="B907" s="226" t="str">
        <f>IFERROR(__xludf.DUMMYFUNCTION("""COMPUTED_VALUE"""),"4250557542911")</f>
        <v>4250557542911</v>
      </c>
      <c r="C907" t="str">
        <f>IFERROR(__xludf.DUMMYFUNCTION("""COMPUTED_VALUE"""),"Westfalia/Witter")</f>
        <v>Westfalia/Witter</v>
      </c>
    </row>
    <row r="908">
      <c r="A908" t="str">
        <f>IFERROR(__xludf.DUMMYFUNCTION("""COMPUTED_VALUE"""),"316454600001")</f>
        <v>316454600001</v>
      </c>
      <c r="B908" s="226" t="str">
        <f>IFERROR(__xludf.DUMMYFUNCTION("""COMPUTED_VALUE"""),"4250557543017")</f>
        <v>4250557543017</v>
      </c>
      <c r="C908" t="str">
        <f>IFERROR(__xludf.DUMMYFUNCTION("""COMPUTED_VALUE"""),"Westfalia/Witter")</f>
        <v>Westfalia/Witter</v>
      </c>
    </row>
    <row r="909">
      <c r="A909" t="str">
        <f>IFERROR(__xludf.DUMMYFUNCTION("""COMPUTED_VALUE"""),"307652600001")</f>
        <v>307652600001</v>
      </c>
      <c r="B909" s="226" t="str">
        <f>IFERROR(__xludf.DUMMYFUNCTION("""COMPUTED_VALUE"""),"4250557543086")</f>
        <v>4250557543086</v>
      </c>
      <c r="C909" t="str">
        <f>IFERROR(__xludf.DUMMYFUNCTION("""COMPUTED_VALUE"""),"Westfalia/Witter")</f>
        <v>Westfalia/Witter</v>
      </c>
    </row>
    <row r="910">
      <c r="A910" t="str">
        <f>IFERROR(__xludf.DUMMYFUNCTION("""COMPUTED_VALUE"""),"307652600001")</f>
        <v>307652600001</v>
      </c>
      <c r="B910" s="226" t="str">
        <f>IFERROR(__xludf.DUMMYFUNCTION("""COMPUTED_VALUE"""),"4250557543086")</f>
        <v>4250557543086</v>
      </c>
      <c r="C910" t="str">
        <f>IFERROR(__xludf.DUMMYFUNCTION("""COMPUTED_VALUE"""),"Westfalia/Witter")</f>
        <v>Westfalia/Witter</v>
      </c>
    </row>
    <row r="911">
      <c r="A911" t="str">
        <f>IFERROR(__xludf.DUMMYFUNCTION("""COMPUTED_VALUE"""),"321814600001")</f>
        <v>321814600001</v>
      </c>
      <c r="B911" s="226" t="str">
        <f>IFERROR(__xludf.DUMMYFUNCTION("""COMPUTED_VALUE"""),"4250557543901")</f>
        <v>4250557543901</v>
      </c>
      <c r="C911" t="str">
        <f>IFERROR(__xludf.DUMMYFUNCTION("""COMPUTED_VALUE"""),"Westfalia/Witter")</f>
        <v>Westfalia/Witter</v>
      </c>
    </row>
    <row r="912">
      <c r="A912" t="str">
        <f>IFERROR(__xludf.DUMMYFUNCTION("""COMPUTED_VALUE"""),"332261600001")</f>
        <v>332261600001</v>
      </c>
      <c r="B912" s="226" t="str">
        <f>IFERROR(__xludf.DUMMYFUNCTION("""COMPUTED_VALUE"""),"4250557543918")</f>
        <v>4250557543918</v>
      </c>
      <c r="C912" t="str">
        <f>IFERROR(__xludf.DUMMYFUNCTION("""COMPUTED_VALUE"""),"Westfalia/Witter")</f>
        <v>Westfalia/Witter</v>
      </c>
    </row>
    <row r="913">
      <c r="A913" t="str">
        <f>IFERROR(__xludf.DUMMYFUNCTION("""COMPUTED_VALUE"""),"307337600001")</f>
        <v>307337600001</v>
      </c>
      <c r="B913" s="226" t="str">
        <f>IFERROR(__xludf.DUMMYFUNCTION("""COMPUTED_VALUE"""),"4250557543949")</f>
        <v>4250557543949</v>
      </c>
      <c r="C913" t="str">
        <f>IFERROR(__xludf.DUMMYFUNCTION("""COMPUTED_VALUE"""),"Westfalia/Witter")</f>
        <v>Westfalia/Witter</v>
      </c>
    </row>
    <row r="914">
      <c r="A914" t="str">
        <f>IFERROR(__xludf.DUMMYFUNCTION("""COMPUTED_VALUE"""),"316408600001")</f>
        <v>316408600001</v>
      </c>
      <c r="B914" s="226" t="str">
        <f>IFERROR(__xludf.DUMMYFUNCTION("""COMPUTED_VALUE"""),"4250557543994")</f>
        <v>4250557543994</v>
      </c>
      <c r="C914" t="str">
        <f>IFERROR(__xludf.DUMMYFUNCTION("""COMPUTED_VALUE"""),"Westfalia/Witter")</f>
        <v>Westfalia/Witter</v>
      </c>
    </row>
    <row r="915">
      <c r="A915" t="str">
        <f>IFERROR(__xludf.DUMMYFUNCTION("""COMPUTED_VALUE"""),"316408600001")</f>
        <v>316408600001</v>
      </c>
      <c r="B915" s="226" t="str">
        <f>IFERROR(__xludf.DUMMYFUNCTION("""COMPUTED_VALUE"""),"4250557543994")</f>
        <v>4250557543994</v>
      </c>
      <c r="C915" t="str">
        <f>IFERROR(__xludf.DUMMYFUNCTION("""COMPUTED_VALUE"""),"Westfalia/Witter")</f>
        <v>Westfalia/Witter</v>
      </c>
    </row>
    <row r="916">
      <c r="A916" t="str">
        <f>IFERROR(__xludf.DUMMYFUNCTION("""COMPUTED_VALUE"""),"316408600001")</f>
        <v>316408600001</v>
      </c>
      <c r="B916" s="226" t="str">
        <f>IFERROR(__xludf.DUMMYFUNCTION("""COMPUTED_VALUE"""),"4250557543994")</f>
        <v>4250557543994</v>
      </c>
      <c r="C916" t="str">
        <f>IFERROR(__xludf.DUMMYFUNCTION("""COMPUTED_VALUE"""),"Westfalia/Witter")</f>
        <v>Westfalia/Witter</v>
      </c>
    </row>
    <row r="917">
      <c r="A917" t="str">
        <f>IFERROR(__xludf.DUMMYFUNCTION("""COMPUTED_VALUE"""),"316408600001")</f>
        <v>316408600001</v>
      </c>
      <c r="B917" s="226" t="str">
        <f>IFERROR(__xludf.DUMMYFUNCTION("""COMPUTED_VALUE"""),"4250557543994")</f>
        <v>4250557543994</v>
      </c>
      <c r="C917" t="str">
        <f>IFERROR(__xludf.DUMMYFUNCTION("""COMPUTED_VALUE"""),"Westfalia/Witter")</f>
        <v>Westfalia/Witter</v>
      </c>
    </row>
    <row r="918">
      <c r="A918" t="str">
        <f>IFERROR(__xludf.DUMMYFUNCTION("""COMPUTED_VALUE"""),"313195600001")</f>
        <v>313195600001</v>
      </c>
      <c r="B918" s="226" t="str">
        <f>IFERROR(__xludf.DUMMYFUNCTION("""COMPUTED_VALUE"""),"4250557544014")</f>
        <v>4250557544014</v>
      </c>
      <c r="C918" t="str">
        <f>IFERROR(__xludf.DUMMYFUNCTION("""COMPUTED_VALUE"""),"Westfalia/Witter")</f>
        <v>Westfalia/Witter</v>
      </c>
    </row>
    <row r="919">
      <c r="A919" t="str">
        <f>IFERROR(__xludf.DUMMYFUNCTION("""COMPUTED_VALUE"""),"346125600001")</f>
        <v>346125600001</v>
      </c>
      <c r="B919" s="226" t="str">
        <f>IFERROR(__xludf.DUMMYFUNCTION("""COMPUTED_VALUE"""),"4250557544045")</f>
        <v>4250557544045</v>
      </c>
      <c r="C919" t="str">
        <f>IFERROR(__xludf.DUMMYFUNCTION("""COMPUTED_VALUE"""),"Westfalia/Witter")</f>
        <v>Westfalia/Witter</v>
      </c>
    </row>
    <row r="920">
      <c r="A920" t="str">
        <f>IFERROR(__xludf.DUMMYFUNCTION("""COMPUTED_VALUE"""),"316468600001")</f>
        <v>316468600001</v>
      </c>
      <c r="B920" s="226" t="str">
        <f>IFERROR(__xludf.DUMMYFUNCTION("""COMPUTED_VALUE"""),"4250557544243")</f>
        <v>4250557544243</v>
      </c>
      <c r="C920" t="str">
        <f>IFERROR(__xludf.DUMMYFUNCTION("""COMPUTED_VALUE"""),"Westfalia/Witter")</f>
        <v>Westfalia/Witter</v>
      </c>
    </row>
    <row r="921">
      <c r="A921" t="str">
        <f>IFERROR(__xludf.DUMMYFUNCTION("""COMPUTED_VALUE"""),"335322600001")</f>
        <v>335322600001</v>
      </c>
      <c r="B921" s="226" t="str">
        <f>IFERROR(__xludf.DUMMYFUNCTION("""COMPUTED_VALUE"""),"4250557544250")</f>
        <v>4250557544250</v>
      </c>
      <c r="C921" t="str">
        <f>IFERROR(__xludf.DUMMYFUNCTION("""COMPUTED_VALUE"""),"Westfalia/Witter")</f>
        <v>Westfalia/Witter</v>
      </c>
    </row>
    <row r="922">
      <c r="A922" t="str">
        <f>IFERROR(__xludf.DUMMYFUNCTION("""COMPUTED_VALUE"""),"306519600001")</f>
        <v>306519600001</v>
      </c>
      <c r="B922" s="226" t="str">
        <f>IFERROR(__xludf.DUMMYFUNCTION("""COMPUTED_VALUE"""),"4250557544380")</f>
        <v>4250557544380</v>
      </c>
      <c r="C922" t="str">
        <f>IFERROR(__xludf.DUMMYFUNCTION("""COMPUTED_VALUE"""),"Westfalia/Witter")</f>
        <v>Westfalia/Witter</v>
      </c>
    </row>
    <row r="923">
      <c r="A923" t="str">
        <f>IFERROR(__xludf.DUMMYFUNCTION("""COMPUTED_VALUE"""),"305445600001")</f>
        <v>305445600001</v>
      </c>
      <c r="B923" s="226" t="str">
        <f>IFERROR(__xludf.DUMMYFUNCTION("""COMPUTED_VALUE"""),"4250557544526")</f>
        <v>4250557544526</v>
      </c>
      <c r="C923" t="str">
        <f>IFERROR(__xludf.DUMMYFUNCTION("""COMPUTED_VALUE"""),"Westfalia/Witter")</f>
        <v>Westfalia/Witter</v>
      </c>
    </row>
    <row r="924">
      <c r="A924" t="str">
        <f>IFERROR(__xludf.DUMMYFUNCTION("""COMPUTED_VALUE"""),"305445600001")</f>
        <v>305445600001</v>
      </c>
      <c r="B924" s="226" t="str">
        <f>IFERROR(__xludf.DUMMYFUNCTION("""COMPUTED_VALUE"""),"4250557544526")</f>
        <v>4250557544526</v>
      </c>
      <c r="C924" t="str">
        <f>IFERROR(__xludf.DUMMYFUNCTION("""COMPUTED_VALUE"""),"Westfalia/Witter")</f>
        <v>Westfalia/Witter</v>
      </c>
    </row>
    <row r="925">
      <c r="A925" t="str">
        <f>IFERROR(__xludf.DUMMYFUNCTION("""COMPUTED_VALUE"""),"305445600001")</f>
        <v>305445600001</v>
      </c>
      <c r="B925" s="226" t="str">
        <f>IFERROR(__xludf.DUMMYFUNCTION("""COMPUTED_VALUE"""),"4250557544526")</f>
        <v>4250557544526</v>
      </c>
      <c r="C925" t="str">
        <f>IFERROR(__xludf.DUMMYFUNCTION("""COMPUTED_VALUE"""),"Westfalia/Witter")</f>
        <v>Westfalia/Witter</v>
      </c>
    </row>
    <row r="926">
      <c r="A926" t="str">
        <f>IFERROR(__xludf.DUMMYFUNCTION("""COMPUTED_VALUE"""),"305445600001")</f>
        <v>305445600001</v>
      </c>
      <c r="B926" s="226" t="str">
        <f>IFERROR(__xludf.DUMMYFUNCTION("""COMPUTED_VALUE"""),"4250557544526")</f>
        <v>4250557544526</v>
      </c>
      <c r="C926" t="str">
        <f>IFERROR(__xludf.DUMMYFUNCTION("""COMPUTED_VALUE"""),"Westfalia/Witter")</f>
        <v>Westfalia/Witter</v>
      </c>
    </row>
    <row r="927">
      <c r="A927" t="str">
        <f>IFERROR(__xludf.DUMMYFUNCTION("""COMPUTED_VALUE"""),"305445600001")</f>
        <v>305445600001</v>
      </c>
      <c r="B927" s="226" t="str">
        <f>IFERROR(__xludf.DUMMYFUNCTION("""COMPUTED_VALUE"""),"4250557544526")</f>
        <v>4250557544526</v>
      </c>
      <c r="C927" t="str">
        <f>IFERROR(__xludf.DUMMYFUNCTION("""COMPUTED_VALUE"""),"Westfalia/Witter")</f>
        <v>Westfalia/Witter</v>
      </c>
    </row>
    <row r="928">
      <c r="A928" t="str">
        <f>IFERROR(__xludf.DUMMYFUNCTION("""COMPUTED_VALUE"""),"320090600001")</f>
        <v>320090600001</v>
      </c>
      <c r="B928" s="226" t="str">
        <f>IFERROR(__xludf.DUMMYFUNCTION("""COMPUTED_VALUE"""),"4250557544571")</f>
        <v>4250557544571</v>
      </c>
      <c r="C928" t="str">
        <f>IFERROR(__xludf.DUMMYFUNCTION("""COMPUTED_VALUE"""),"Westfalia/Witter")</f>
        <v>Westfalia/Witter</v>
      </c>
    </row>
    <row r="929">
      <c r="A929" t="str">
        <f>IFERROR(__xludf.DUMMYFUNCTION("""COMPUTED_VALUE"""),"348079600001")</f>
        <v>348079600001</v>
      </c>
      <c r="B929" s="226" t="str">
        <f>IFERROR(__xludf.DUMMYFUNCTION("""COMPUTED_VALUE"""),"4250557544694")</f>
        <v>4250557544694</v>
      </c>
      <c r="C929" t="str">
        <f>IFERROR(__xludf.DUMMYFUNCTION("""COMPUTED_VALUE"""),"Westfalia/Witter")</f>
        <v>Westfalia/Witter</v>
      </c>
    </row>
    <row r="930">
      <c r="A930" t="str">
        <f>IFERROR(__xludf.DUMMYFUNCTION("""COMPUTED_VALUE"""),"345138600001")</f>
        <v>345138600001</v>
      </c>
      <c r="B930" s="226" t="str">
        <f>IFERROR(__xludf.DUMMYFUNCTION("""COMPUTED_VALUE"""),"4250557544724")</f>
        <v>4250557544724</v>
      </c>
      <c r="C930" t="str">
        <f>IFERROR(__xludf.DUMMYFUNCTION("""COMPUTED_VALUE"""),"Westfalia/Witter")</f>
        <v>Westfalia/Witter</v>
      </c>
    </row>
    <row r="931">
      <c r="A931" t="str">
        <f>IFERROR(__xludf.DUMMYFUNCTION("""COMPUTED_VALUE"""),"344110600001")</f>
        <v>344110600001</v>
      </c>
      <c r="B931" s="226" t="str">
        <f>IFERROR(__xludf.DUMMYFUNCTION("""COMPUTED_VALUE"""),"4250557545066")</f>
        <v>4250557545066</v>
      </c>
      <c r="C931" t="str">
        <f>IFERROR(__xludf.DUMMYFUNCTION("""COMPUTED_VALUE"""),"Westfalia/Witter")</f>
        <v>Westfalia/Witter</v>
      </c>
    </row>
    <row r="932">
      <c r="A932" t="str">
        <f>IFERROR(__xludf.DUMMYFUNCTION("""COMPUTED_VALUE"""),"344111600001")</f>
        <v>344111600001</v>
      </c>
      <c r="B932" s="226" t="str">
        <f>IFERROR(__xludf.DUMMYFUNCTION("""COMPUTED_VALUE"""),"4250557545073")</f>
        <v>4250557545073</v>
      </c>
      <c r="C932" t="str">
        <f>IFERROR(__xludf.DUMMYFUNCTION("""COMPUTED_VALUE"""),"Westfalia/Witter")</f>
        <v>Westfalia/Witter</v>
      </c>
    </row>
    <row r="933">
      <c r="A933" t="str">
        <f>IFERROR(__xludf.DUMMYFUNCTION("""COMPUTED_VALUE"""),"335345600001")</f>
        <v>335345600001</v>
      </c>
      <c r="B933" s="226" t="str">
        <f>IFERROR(__xludf.DUMMYFUNCTION("""COMPUTED_VALUE"""),"4250557545165")</f>
        <v>4250557545165</v>
      </c>
      <c r="C933" t="str">
        <f>IFERROR(__xludf.DUMMYFUNCTION("""COMPUTED_VALUE"""),"Westfalia/Witter")</f>
        <v>Westfalia/Witter</v>
      </c>
    </row>
    <row r="934">
      <c r="A934" t="str">
        <f>IFERROR(__xludf.DUMMYFUNCTION("""COMPUTED_VALUE"""),"303428600001")</f>
        <v>303428600001</v>
      </c>
      <c r="B934" s="226" t="str">
        <f>IFERROR(__xludf.DUMMYFUNCTION("""COMPUTED_VALUE"""),"4250557545189")</f>
        <v>4250557545189</v>
      </c>
      <c r="C934" t="str">
        <f>IFERROR(__xludf.DUMMYFUNCTION("""COMPUTED_VALUE"""),"Westfalia/Witter")</f>
        <v>Westfalia/Witter</v>
      </c>
    </row>
    <row r="935">
      <c r="A935" t="str">
        <f>IFERROR(__xludf.DUMMYFUNCTION("""COMPUTED_VALUE"""),"303428600001")</f>
        <v>303428600001</v>
      </c>
      <c r="B935" s="226" t="str">
        <f>IFERROR(__xludf.DUMMYFUNCTION("""COMPUTED_VALUE"""),"4250557545189")</f>
        <v>4250557545189</v>
      </c>
      <c r="C935" t="str">
        <f>IFERROR(__xludf.DUMMYFUNCTION("""COMPUTED_VALUE"""),"Westfalia/Witter")</f>
        <v>Westfalia/Witter</v>
      </c>
    </row>
    <row r="936">
      <c r="A936" t="str">
        <f>IFERROR(__xludf.DUMMYFUNCTION("""COMPUTED_VALUE"""),"314406600001")</f>
        <v>314406600001</v>
      </c>
      <c r="B936" s="226" t="str">
        <f>IFERROR(__xludf.DUMMYFUNCTION("""COMPUTED_VALUE"""),"4250557545196")</f>
        <v>4250557545196</v>
      </c>
      <c r="C936" t="str">
        <f>IFERROR(__xludf.DUMMYFUNCTION("""COMPUTED_VALUE"""),"Westfalia/Witter")</f>
        <v>Westfalia/Witter</v>
      </c>
    </row>
    <row r="937">
      <c r="A937" t="str">
        <f>IFERROR(__xludf.DUMMYFUNCTION("""COMPUTED_VALUE"""),"314496600001")</f>
        <v>314496600001</v>
      </c>
      <c r="B937" s="226" t="str">
        <f>IFERROR(__xludf.DUMMYFUNCTION("""COMPUTED_VALUE"""),"4250557545202")</f>
        <v>4250557545202</v>
      </c>
      <c r="C937" t="str">
        <f>IFERROR(__xludf.DUMMYFUNCTION("""COMPUTED_VALUE"""),"Westfalia/Witter")</f>
        <v>Westfalia/Witter</v>
      </c>
    </row>
    <row r="938">
      <c r="A938" t="str">
        <f>IFERROR(__xludf.DUMMYFUNCTION("""COMPUTED_VALUE"""),"321949600001")</f>
        <v>321949600001</v>
      </c>
      <c r="B938" s="226" t="str">
        <f>IFERROR(__xludf.DUMMYFUNCTION("""COMPUTED_VALUE"""),"4250557545295")</f>
        <v>4250557545295</v>
      </c>
      <c r="C938" t="str">
        <f>IFERROR(__xludf.DUMMYFUNCTION("""COMPUTED_VALUE"""),"Westfalia/Witter")</f>
        <v>Westfalia/Witter</v>
      </c>
    </row>
    <row r="939">
      <c r="A939" t="str">
        <f>IFERROR(__xludf.DUMMYFUNCTION("""COMPUTED_VALUE"""),"306349600001")</f>
        <v>306349600001</v>
      </c>
      <c r="B939" s="226" t="str">
        <f>IFERROR(__xludf.DUMMYFUNCTION("""COMPUTED_VALUE"""),"4250557545745")</f>
        <v>4250557545745</v>
      </c>
      <c r="C939" t="str">
        <f>IFERROR(__xludf.DUMMYFUNCTION("""COMPUTED_VALUE"""),"Westfalia/Witter")</f>
        <v>Westfalia/Witter</v>
      </c>
    </row>
    <row r="940">
      <c r="A940" t="str">
        <f>IFERROR(__xludf.DUMMYFUNCTION("""COMPUTED_VALUE"""),"306349600001")</f>
        <v>306349600001</v>
      </c>
      <c r="B940" s="226" t="str">
        <f>IFERROR(__xludf.DUMMYFUNCTION("""COMPUTED_VALUE"""),"4250557545745")</f>
        <v>4250557545745</v>
      </c>
      <c r="C940" t="str">
        <f>IFERROR(__xludf.DUMMYFUNCTION("""COMPUTED_VALUE"""),"Westfalia/Witter")</f>
        <v>Westfalia/Witter</v>
      </c>
    </row>
    <row r="941">
      <c r="A941" t="str">
        <f>IFERROR(__xludf.DUMMYFUNCTION("""COMPUTED_VALUE"""),"306349600001")</f>
        <v>306349600001</v>
      </c>
      <c r="B941" s="226" t="str">
        <f>IFERROR(__xludf.DUMMYFUNCTION("""COMPUTED_VALUE"""),"4250557545745")</f>
        <v>4250557545745</v>
      </c>
      <c r="C941" t="str">
        <f>IFERROR(__xludf.DUMMYFUNCTION("""COMPUTED_VALUE"""),"Westfalia/Witter")</f>
        <v>Westfalia/Witter</v>
      </c>
    </row>
    <row r="942">
      <c r="A942" t="str">
        <f>IFERROR(__xludf.DUMMYFUNCTION("""COMPUTED_VALUE"""),"306488600001")</f>
        <v>306488600001</v>
      </c>
      <c r="B942" s="226" t="str">
        <f>IFERROR(__xludf.DUMMYFUNCTION("""COMPUTED_VALUE"""),"4250557545820")</f>
        <v>4250557545820</v>
      </c>
      <c r="C942" t="str">
        <f>IFERROR(__xludf.DUMMYFUNCTION("""COMPUTED_VALUE"""),"Westfalia/Witter")</f>
        <v>Westfalia/Witter</v>
      </c>
    </row>
    <row r="943">
      <c r="A943" t="str">
        <f>IFERROR(__xludf.DUMMYFUNCTION("""COMPUTED_VALUE"""),"306488600001")</f>
        <v>306488600001</v>
      </c>
      <c r="B943" s="226" t="str">
        <f>IFERROR(__xludf.DUMMYFUNCTION("""COMPUTED_VALUE"""),"4250557545820")</f>
        <v>4250557545820</v>
      </c>
      <c r="C943" t="str">
        <f>IFERROR(__xludf.DUMMYFUNCTION("""COMPUTED_VALUE"""),"Westfalia/Witter")</f>
        <v>Westfalia/Witter</v>
      </c>
    </row>
    <row r="944">
      <c r="A944" t="str">
        <f>IFERROR(__xludf.DUMMYFUNCTION("""COMPUTED_VALUE"""),"317167600001")</f>
        <v>317167600001</v>
      </c>
      <c r="B944" s="226" t="str">
        <f>IFERROR(__xludf.DUMMYFUNCTION("""COMPUTED_VALUE"""),"4250557546391")</f>
        <v>4250557546391</v>
      </c>
      <c r="C944" t="str">
        <f>IFERROR(__xludf.DUMMYFUNCTION("""COMPUTED_VALUE"""),"Westfalia/Witter")</f>
        <v>Westfalia/Witter</v>
      </c>
    </row>
    <row r="945">
      <c r="A945" t="str">
        <f>IFERROR(__xludf.DUMMYFUNCTION("""COMPUTED_VALUE"""),"320171600001")</f>
        <v>320171600001</v>
      </c>
      <c r="B945" s="226" t="str">
        <f>IFERROR(__xludf.DUMMYFUNCTION("""COMPUTED_VALUE"""),"4250557546575")</f>
        <v>4250557546575</v>
      </c>
      <c r="C945" t="str">
        <f>IFERROR(__xludf.DUMMYFUNCTION("""COMPUTED_VALUE"""),"Westfalia/Witter")</f>
        <v>Westfalia/Witter</v>
      </c>
    </row>
    <row r="946">
      <c r="A946" t="str">
        <f>IFERROR(__xludf.DUMMYFUNCTION("""COMPUTED_VALUE"""),"320172600001")</f>
        <v>320172600001</v>
      </c>
      <c r="B946" s="226" t="str">
        <f>IFERROR(__xludf.DUMMYFUNCTION("""COMPUTED_VALUE"""),"4250557546599")</f>
        <v>4250557546599</v>
      </c>
      <c r="C946" t="str">
        <f>IFERROR(__xludf.DUMMYFUNCTION("""COMPUTED_VALUE"""),"Westfalia/Witter")</f>
        <v>Westfalia/Witter</v>
      </c>
    </row>
    <row r="947">
      <c r="A947" t="str">
        <f>IFERROR(__xludf.DUMMYFUNCTION("""COMPUTED_VALUE"""),"320169600001")</f>
        <v>320169600001</v>
      </c>
      <c r="B947" s="226" t="str">
        <f>IFERROR(__xludf.DUMMYFUNCTION("""COMPUTED_VALUE"""),"4250557547657")</f>
        <v>4250557547657</v>
      </c>
      <c r="C947" t="str">
        <f>IFERROR(__xludf.DUMMYFUNCTION("""COMPUTED_VALUE"""),"Westfalia/Witter")</f>
        <v>Westfalia/Witter</v>
      </c>
    </row>
    <row r="948">
      <c r="A948" t="str">
        <f>IFERROR(__xludf.DUMMYFUNCTION("""COMPUTED_VALUE"""),"320170600001")</f>
        <v>320170600001</v>
      </c>
      <c r="B948" s="226" t="str">
        <f>IFERROR(__xludf.DUMMYFUNCTION("""COMPUTED_VALUE"""),"4250557547664")</f>
        <v>4250557547664</v>
      </c>
      <c r="C948" t="str">
        <f>IFERROR(__xludf.DUMMYFUNCTION("""COMPUTED_VALUE"""),"Westfalia/Witter")</f>
        <v>Westfalia/Witter</v>
      </c>
    </row>
    <row r="949">
      <c r="A949" t="str">
        <f>IFERROR(__xludf.DUMMYFUNCTION("""COMPUTED_VALUE"""),"338127600001")</f>
        <v>338127600001</v>
      </c>
      <c r="B949" s="226" t="str">
        <f>IFERROR(__xludf.DUMMYFUNCTION("""COMPUTED_VALUE"""),"4250557547701")</f>
        <v>4250557547701</v>
      </c>
      <c r="C949" t="str">
        <f>IFERROR(__xludf.DUMMYFUNCTION("""COMPUTED_VALUE"""),"Westfalia/Witter")</f>
        <v>Westfalia/Witter</v>
      </c>
    </row>
    <row r="950">
      <c r="A950" t="str">
        <f>IFERROR(__xludf.DUMMYFUNCTION("""COMPUTED_VALUE"""),"338128600001")</f>
        <v>338128600001</v>
      </c>
      <c r="B950" s="226" t="str">
        <f>IFERROR(__xludf.DUMMYFUNCTION("""COMPUTED_VALUE"""),"4250557547718")</f>
        <v>4250557547718</v>
      </c>
      <c r="C950" t="str">
        <f>IFERROR(__xludf.DUMMYFUNCTION("""COMPUTED_VALUE"""),"Westfalia/Witter")</f>
        <v>Westfalia/Witter</v>
      </c>
    </row>
    <row r="951">
      <c r="A951" t="str">
        <f>IFERROR(__xludf.DUMMYFUNCTION("""COMPUTED_VALUE"""),"313639600001")</f>
        <v>313639600001</v>
      </c>
      <c r="B951" s="226" t="str">
        <f>IFERROR(__xludf.DUMMYFUNCTION("""COMPUTED_VALUE"""),"4250557547947")</f>
        <v>4250557547947</v>
      </c>
      <c r="C951" t="str">
        <f>IFERROR(__xludf.DUMMYFUNCTION("""COMPUTED_VALUE"""),"Westfalia/Witter")</f>
        <v>Westfalia/Witter</v>
      </c>
    </row>
    <row r="952">
      <c r="A952" t="str">
        <f>IFERROR(__xludf.DUMMYFUNCTION("""COMPUTED_VALUE"""),"313640600001")</f>
        <v>313640600001</v>
      </c>
      <c r="B952" s="226" t="str">
        <f>IFERROR(__xludf.DUMMYFUNCTION("""COMPUTED_VALUE"""),"4250557547954")</f>
        <v>4250557547954</v>
      </c>
      <c r="C952" t="str">
        <f>IFERROR(__xludf.DUMMYFUNCTION("""COMPUTED_VALUE"""),"Westfalia/Witter")</f>
        <v>Westfalia/Witter</v>
      </c>
    </row>
    <row r="953">
      <c r="A953" t="str">
        <f>IFERROR(__xludf.DUMMYFUNCTION("""COMPUTED_VALUE"""),"313640600001")</f>
        <v>313640600001</v>
      </c>
      <c r="B953" s="226" t="str">
        <f>IFERROR(__xludf.DUMMYFUNCTION("""COMPUTED_VALUE"""),"4250557547954")</f>
        <v>4250557547954</v>
      </c>
      <c r="C953" t="str">
        <f>IFERROR(__xludf.DUMMYFUNCTION("""COMPUTED_VALUE"""),"Westfalia/Witter")</f>
        <v>Westfalia/Witter</v>
      </c>
    </row>
    <row r="954">
      <c r="A954" t="str">
        <f>IFERROR(__xludf.DUMMYFUNCTION("""COMPUTED_VALUE"""),"303475600001")</f>
        <v>303475600001</v>
      </c>
      <c r="B954" s="226" t="str">
        <f>IFERROR(__xludf.DUMMYFUNCTION("""COMPUTED_VALUE"""),"4250557548449")</f>
        <v>4250557548449</v>
      </c>
      <c r="C954" t="str">
        <f>IFERROR(__xludf.DUMMYFUNCTION("""COMPUTED_VALUE"""),"Westfalia/Witter")</f>
        <v>Westfalia/Witter</v>
      </c>
    </row>
    <row r="955">
      <c r="A955" t="str">
        <f>IFERROR(__xludf.DUMMYFUNCTION("""COMPUTED_VALUE"""),"303476600001")</f>
        <v>303476600001</v>
      </c>
      <c r="B955" s="226" t="str">
        <f>IFERROR(__xludf.DUMMYFUNCTION("""COMPUTED_VALUE"""),"4250557548456")</f>
        <v>4250557548456</v>
      </c>
      <c r="C955" t="str">
        <f>IFERROR(__xludf.DUMMYFUNCTION("""COMPUTED_VALUE"""),"Westfalia/Witter")</f>
        <v>Westfalia/Witter</v>
      </c>
    </row>
    <row r="956">
      <c r="A956" t="str">
        <f>IFERROR(__xludf.DUMMYFUNCTION("""COMPUTED_VALUE"""),"305554600001")</f>
        <v>305554600001</v>
      </c>
      <c r="B956" s="226" t="str">
        <f>IFERROR(__xludf.DUMMYFUNCTION("""COMPUTED_VALUE"""),"4250557548708")</f>
        <v>4250557548708</v>
      </c>
      <c r="C956" t="str">
        <f>IFERROR(__xludf.DUMMYFUNCTION("""COMPUTED_VALUE"""),"Westfalia/Witter")</f>
        <v>Westfalia/Witter</v>
      </c>
    </row>
    <row r="957">
      <c r="A957" t="str">
        <f>IFERROR(__xludf.DUMMYFUNCTION("""COMPUTED_VALUE"""),"305555600001")</f>
        <v>305555600001</v>
      </c>
      <c r="B957" s="226" t="str">
        <f>IFERROR(__xludf.DUMMYFUNCTION("""COMPUTED_VALUE"""),"4250557548715")</f>
        <v>4250557548715</v>
      </c>
      <c r="C957" t="str">
        <f>IFERROR(__xludf.DUMMYFUNCTION("""COMPUTED_VALUE"""),"Westfalia/Witter")</f>
        <v>Westfalia/Witter</v>
      </c>
    </row>
    <row r="958">
      <c r="A958" t="str">
        <f>IFERROR(__xludf.DUMMYFUNCTION("""COMPUTED_VALUE"""),"332359600001")</f>
        <v>332359600001</v>
      </c>
      <c r="B958" s="226" t="str">
        <f>IFERROR(__xludf.DUMMYFUNCTION("""COMPUTED_VALUE"""),"4250557549408")</f>
        <v>4250557549408</v>
      </c>
      <c r="C958" t="str">
        <f>IFERROR(__xludf.DUMMYFUNCTION("""COMPUTED_VALUE"""),"Westfalia/Witter")</f>
        <v>Westfalia/Witter</v>
      </c>
    </row>
    <row r="959">
      <c r="A959" t="str">
        <f>IFERROR(__xludf.DUMMYFUNCTION("""COMPUTED_VALUE"""),"332360600001")</f>
        <v>332360600001</v>
      </c>
      <c r="B959" s="226" t="str">
        <f>IFERROR(__xludf.DUMMYFUNCTION("""COMPUTED_VALUE"""),"4250557549422")</f>
        <v>4250557549422</v>
      </c>
      <c r="C959" t="str">
        <f>IFERROR(__xludf.DUMMYFUNCTION("""COMPUTED_VALUE"""),"Westfalia/Witter")</f>
        <v>Westfalia/Witter</v>
      </c>
    </row>
    <row r="960">
      <c r="A960" t="str">
        <f>IFERROR(__xludf.DUMMYFUNCTION("""COMPUTED_VALUE"""),"307636600001")</f>
        <v>307636600001</v>
      </c>
      <c r="B960" s="226" t="str">
        <f>IFERROR(__xludf.DUMMYFUNCTION("""COMPUTED_VALUE"""),"4250557549545")</f>
        <v>4250557549545</v>
      </c>
      <c r="C960" t="str">
        <f>IFERROR(__xludf.DUMMYFUNCTION("""COMPUTED_VALUE"""),"Westfalia/Witter")</f>
        <v>Westfalia/Witter</v>
      </c>
    </row>
    <row r="961">
      <c r="A961" t="str">
        <f>IFERROR(__xludf.DUMMYFUNCTION("""COMPUTED_VALUE"""),"307637600001")</f>
        <v>307637600001</v>
      </c>
      <c r="B961" s="226" t="str">
        <f>IFERROR(__xludf.DUMMYFUNCTION("""COMPUTED_VALUE"""),"4250557549552")</f>
        <v>4250557549552</v>
      </c>
      <c r="C961" t="str">
        <f>IFERROR(__xludf.DUMMYFUNCTION("""COMPUTED_VALUE"""),"Westfalia/Witter")</f>
        <v>Westfalia/Witter</v>
      </c>
    </row>
    <row r="962">
      <c r="A962" t="str">
        <f>IFERROR(__xludf.DUMMYFUNCTION("""COMPUTED_VALUE"""),"307653600001")</f>
        <v>307653600001</v>
      </c>
      <c r="B962" s="226" t="str">
        <f>IFERROR(__xludf.DUMMYFUNCTION("""COMPUTED_VALUE"""),"4250557549583")</f>
        <v>4250557549583</v>
      </c>
      <c r="C962" t="str">
        <f>IFERROR(__xludf.DUMMYFUNCTION("""COMPUTED_VALUE"""),"Westfalia/Witter")</f>
        <v>Westfalia/Witter</v>
      </c>
    </row>
    <row r="963">
      <c r="A963" t="str">
        <f>IFERROR(__xludf.DUMMYFUNCTION("""COMPUTED_VALUE"""),"307653600001")</f>
        <v>307653600001</v>
      </c>
      <c r="B963" s="226" t="str">
        <f>IFERROR(__xludf.DUMMYFUNCTION("""COMPUTED_VALUE"""),"4250557549583")</f>
        <v>4250557549583</v>
      </c>
      <c r="C963" t="str">
        <f>IFERROR(__xludf.DUMMYFUNCTION("""COMPUTED_VALUE"""),"Westfalia/Witter")</f>
        <v>Westfalia/Witter</v>
      </c>
    </row>
    <row r="964">
      <c r="A964" t="str">
        <f>IFERROR(__xludf.DUMMYFUNCTION("""COMPUTED_VALUE"""),"303486600001")</f>
        <v>303486600001</v>
      </c>
      <c r="B964" s="226" t="str">
        <f>IFERROR(__xludf.DUMMYFUNCTION("""COMPUTED_VALUE"""),"4250557550268")</f>
        <v>4250557550268</v>
      </c>
      <c r="C964" t="str">
        <f>IFERROR(__xludf.DUMMYFUNCTION("""COMPUTED_VALUE"""),"Westfalia/Witter")</f>
        <v>Westfalia/Witter</v>
      </c>
    </row>
    <row r="965">
      <c r="A965" t="str">
        <f>IFERROR(__xludf.DUMMYFUNCTION("""COMPUTED_VALUE"""),"303487600001")</f>
        <v>303487600001</v>
      </c>
      <c r="B965" s="226" t="str">
        <f>IFERROR(__xludf.DUMMYFUNCTION("""COMPUTED_VALUE"""),"4250557550275")</f>
        <v>4250557550275</v>
      </c>
      <c r="C965" t="str">
        <f>IFERROR(__xludf.DUMMYFUNCTION("""COMPUTED_VALUE"""),"Westfalia/Witter")</f>
        <v>Westfalia/Witter</v>
      </c>
    </row>
    <row r="966">
      <c r="A966" t="str">
        <f>IFERROR(__xludf.DUMMYFUNCTION("""COMPUTED_VALUE"""),"341065600001")</f>
        <v>341065600001</v>
      </c>
      <c r="B966" s="226" t="str">
        <f>IFERROR(__xludf.DUMMYFUNCTION("""COMPUTED_VALUE"""),"4250557550466")</f>
        <v>4250557550466</v>
      </c>
      <c r="C966" t="str">
        <f>IFERROR(__xludf.DUMMYFUNCTION("""COMPUTED_VALUE"""),"Westfalia/Witter")</f>
        <v>Westfalia/Witter</v>
      </c>
    </row>
    <row r="967">
      <c r="A967" t="str">
        <f>IFERROR(__xludf.DUMMYFUNCTION("""COMPUTED_VALUE"""),"343112600001")</f>
        <v>343112600001</v>
      </c>
      <c r="B967" s="226" t="str">
        <f>IFERROR(__xludf.DUMMYFUNCTION("""COMPUTED_VALUE"""),"4250557550961")</f>
        <v>4250557550961</v>
      </c>
      <c r="C967" t="str">
        <f>IFERROR(__xludf.DUMMYFUNCTION("""COMPUTED_VALUE"""),"Westfalia/Witter")</f>
        <v>Westfalia/Witter</v>
      </c>
    </row>
    <row r="968">
      <c r="A968" t="str">
        <f>IFERROR(__xludf.DUMMYFUNCTION("""COMPUTED_VALUE"""),"307638600001")</f>
        <v>307638600001</v>
      </c>
      <c r="B968" s="226" t="str">
        <f>IFERROR(__xludf.DUMMYFUNCTION("""COMPUTED_VALUE"""),"4250557551036")</f>
        <v>4250557551036</v>
      </c>
      <c r="C968" t="str">
        <f>IFERROR(__xludf.DUMMYFUNCTION("""COMPUTED_VALUE"""),"Westfalia/Witter")</f>
        <v>Westfalia/Witter</v>
      </c>
    </row>
    <row r="969">
      <c r="A969" t="str">
        <f>IFERROR(__xludf.DUMMYFUNCTION("""COMPUTED_VALUE"""),"307639600001")</f>
        <v>307639600001</v>
      </c>
      <c r="B969" s="226" t="str">
        <f>IFERROR(__xludf.DUMMYFUNCTION("""COMPUTED_VALUE"""),"4250557551043")</f>
        <v>4250557551043</v>
      </c>
      <c r="C969" t="str">
        <f>IFERROR(__xludf.DUMMYFUNCTION("""COMPUTED_VALUE"""),"Westfalia/Witter")</f>
        <v>Westfalia/Witter</v>
      </c>
    </row>
    <row r="970">
      <c r="A970" t="str">
        <f>IFERROR(__xludf.DUMMYFUNCTION("""COMPUTED_VALUE"""),"306503600001")</f>
        <v>306503600001</v>
      </c>
      <c r="B970" s="226" t="str">
        <f>IFERROR(__xludf.DUMMYFUNCTION("""COMPUTED_VALUE"""),"4250557551418")</f>
        <v>4250557551418</v>
      </c>
      <c r="C970" t="str">
        <f>IFERROR(__xludf.DUMMYFUNCTION("""COMPUTED_VALUE"""),"Westfalia/Witter")</f>
        <v>Westfalia/Witter</v>
      </c>
    </row>
    <row r="971">
      <c r="A971" t="str">
        <f>IFERROR(__xludf.DUMMYFUNCTION("""COMPUTED_VALUE"""),"306503600001")</f>
        <v>306503600001</v>
      </c>
      <c r="B971" s="226" t="str">
        <f>IFERROR(__xludf.DUMMYFUNCTION("""COMPUTED_VALUE"""),"4250557551418")</f>
        <v>4250557551418</v>
      </c>
      <c r="C971" t="str">
        <f>IFERROR(__xludf.DUMMYFUNCTION("""COMPUTED_VALUE"""),"Westfalia/Witter")</f>
        <v>Westfalia/Witter</v>
      </c>
    </row>
    <row r="972">
      <c r="A972" t="str">
        <f>IFERROR(__xludf.DUMMYFUNCTION("""COMPUTED_VALUE"""),"306506600001")</f>
        <v>306506600001</v>
      </c>
      <c r="B972" s="226" t="str">
        <f>IFERROR(__xludf.DUMMYFUNCTION("""COMPUTED_VALUE"""),"4250557551425")</f>
        <v>4250557551425</v>
      </c>
      <c r="C972" t="str">
        <f>IFERROR(__xludf.DUMMYFUNCTION("""COMPUTED_VALUE"""),"Westfalia/Witter")</f>
        <v>Westfalia/Witter</v>
      </c>
    </row>
    <row r="973">
      <c r="A973" t="str">
        <f>IFERROR(__xludf.DUMMYFUNCTION("""COMPUTED_VALUE"""),"306506600001")</f>
        <v>306506600001</v>
      </c>
      <c r="B973" s="226" t="str">
        <f>IFERROR(__xludf.DUMMYFUNCTION("""COMPUTED_VALUE"""),"4250557551425")</f>
        <v>4250557551425</v>
      </c>
      <c r="C973" t="str">
        <f>IFERROR(__xludf.DUMMYFUNCTION("""COMPUTED_VALUE"""),"Westfalia/Witter")</f>
        <v>Westfalia/Witter</v>
      </c>
    </row>
    <row r="974">
      <c r="A974" t="str">
        <f>IFERROR(__xludf.DUMMYFUNCTION("""COMPUTED_VALUE"""),"307567600001")</f>
        <v>307567600001</v>
      </c>
      <c r="B974" s="226" t="str">
        <f>IFERROR(__xludf.DUMMYFUNCTION("""COMPUTED_VALUE"""),"4250557582630")</f>
        <v>4250557582630</v>
      </c>
      <c r="C974" t="str">
        <f>IFERROR(__xludf.DUMMYFUNCTION("""COMPUTED_VALUE"""),"Westfalia/Witter")</f>
        <v>Westfalia/Witter</v>
      </c>
    </row>
    <row r="975">
      <c r="A975" t="str">
        <f>IFERROR(__xludf.DUMMYFUNCTION("""COMPUTED_VALUE"""),"313439600001")</f>
        <v>313439600001</v>
      </c>
      <c r="B975" s="226" t="str">
        <f>IFERROR(__xludf.DUMMYFUNCTION("""COMPUTED_VALUE"""),"4250557598159")</f>
        <v>4250557598159</v>
      </c>
      <c r="C975" t="str">
        <f>IFERROR(__xludf.DUMMYFUNCTION("""COMPUTED_VALUE"""),"Westfalia/Witter")</f>
        <v>Westfalia/Witter</v>
      </c>
    </row>
    <row r="976">
      <c r="A976" t="str">
        <f>IFERROR(__xludf.DUMMYFUNCTION("""COMPUTED_VALUE"""),"313439600001")</f>
        <v>313439600001</v>
      </c>
      <c r="B976" s="226" t="str">
        <f>IFERROR(__xludf.DUMMYFUNCTION("""COMPUTED_VALUE"""),"4250557598159")</f>
        <v>4250557598159</v>
      </c>
      <c r="C976" t="str">
        <f>IFERROR(__xludf.DUMMYFUNCTION("""COMPUTED_VALUE"""),"Westfalia/Witter")</f>
        <v>Westfalia/Witter</v>
      </c>
    </row>
    <row r="977">
      <c r="A977" t="str">
        <f>IFERROR(__xludf.DUMMYFUNCTION("""COMPUTED_VALUE"""),"AD49AS")</f>
        <v>AD49AS</v>
      </c>
      <c r="B977" s="226" t="str">
        <f>IFERROR(__xludf.DUMMYFUNCTION("""COMPUTED_VALUE"""),"5056150100041")</f>
        <v>5056150100041</v>
      </c>
      <c r="C977" t="str">
        <f>IFERROR(__xludf.DUMMYFUNCTION("""COMPUTED_VALUE"""),"Westfalia/Witter")</f>
        <v>Westfalia/Witter</v>
      </c>
    </row>
    <row r="978">
      <c r="A978" t="str">
        <f>IFERROR(__xludf.DUMMYFUNCTION("""COMPUTED_VALUE"""),"AD51S")</f>
        <v>AD51S</v>
      </c>
      <c r="B978" s="226" t="str">
        <f>IFERROR(__xludf.DUMMYFUNCTION("""COMPUTED_VALUE"""),"5056150100058")</f>
        <v>5056150100058</v>
      </c>
      <c r="C978" t="str">
        <f>IFERROR(__xludf.DUMMYFUNCTION("""COMPUTED_VALUE"""),"Westfalia/Witter")</f>
        <v>Westfalia/Witter</v>
      </c>
    </row>
    <row r="979">
      <c r="A979" t="str">
        <f>IFERROR(__xludf.DUMMYFUNCTION("""COMPUTED_VALUE"""),"AD51S")</f>
        <v>AD51S</v>
      </c>
      <c r="B979" s="226" t="str">
        <f>IFERROR(__xludf.DUMMYFUNCTION("""COMPUTED_VALUE"""),"5056150100058")</f>
        <v>5056150100058</v>
      </c>
      <c r="C979" t="str">
        <f>IFERROR(__xludf.DUMMYFUNCTION("""COMPUTED_VALUE"""),"Westfalia/Witter")</f>
        <v>Westfalia/Witter</v>
      </c>
    </row>
    <row r="980">
      <c r="A980" t="str">
        <f>IFERROR(__xludf.DUMMYFUNCTION("""COMPUTED_VALUE"""),"AD51S")</f>
        <v>AD51S</v>
      </c>
      <c r="B980" s="226" t="str">
        <f>IFERROR(__xludf.DUMMYFUNCTION("""COMPUTED_VALUE"""),"5056150100058")</f>
        <v>5056150100058</v>
      </c>
      <c r="C980" t="str">
        <f>IFERROR(__xludf.DUMMYFUNCTION("""COMPUTED_VALUE"""),"Westfalia/Witter")</f>
        <v>Westfalia/Witter</v>
      </c>
    </row>
    <row r="981">
      <c r="A981" t="str">
        <f>IFERROR(__xludf.DUMMYFUNCTION("""COMPUTED_VALUE"""),"AD52S")</f>
        <v>AD52S</v>
      </c>
      <c r="B981" s="226" t="str">
        <f>IFERROR(__xludf.DUMMYFUNCTION("""COMPUTED_VALUE"""),"5056150100065")</f>
        <v>5056150100065</v>
      </c>
      <c r="C981" t="str">
        <f>IFERROR(__xludf.DUMMYFUNCTION("""COMPUTED_VALUE"""),"Westfalia/Witter")</f>
        <v>Westfalia/Witter</v>
      </c>
    </row>
    <row r="982">
      <c r="A982" t="str">
        <f>IFERROR(__xludf.DUMMYFUNCTION("""COMPUTED_VALUE"""),"AD53A")</f>
        <v>AD53A</v>
      </c>
      <c r="B982" s="226" t="str">
        <f>IFERROR(__xludf.DUMMYFUNCTION("""COMPUTED_VALUE"""),"5056150100072")</f>
        <v>5056150100072</v>
      </c>
      <c r="C982" t="str">
        <f>IFERROR(__xludf.DUMMYFUNCTION("""COMPUTED_VALUE"""),"Westfalia/Witter")</f>
        <v>Westfalia/Witter</v>
      </c>
    </row>
    <row r="983">
      <c r="A983" t="str">
        <f>IFERROR(__xludf.DUMMYFUNCTION("""COMPUTED_VALUE"""),"AD53AQ")</f>
        <v>AD53AQ</v>
      </c>
      <c r="B983" s="226" t="str">
        <f>IFERROR(__xludf.DUMMYFUNCTION("""COMPUTED_VALUE"""),"5056150100089")</f>
        <v>5056150100089</v>
      </c>
      <c r="C983" t="str">
        <f>IFERROR(__xludf.DUMMYFUNCTION("""COMPUTED_VALUE"""),"Westfalia/Witter")</f>
        <v>Westfalia/Witter</v>
      </c>
    </row>
    <row r="984">
      <c r="A984" t="str">
        <f>IFERROR(__xludf.DUMMYFUNCTION("""COMPUTED_VALUE"""),"AD53AS")</f>
        <v>AD53AS</v>
      </c>
      <c r="B984" s="226" t="str">
        <f>IFERROR(__xludf.DUMMYFUNCTION("""COMPUTED_VALUE"""),"5056150100102")</f>
        <v>5056150100102</v>
      </c>
      <c r="C984" t="str">
        <f>IFERROR(__xludf.DUMMYFUNCTION("""COMPUTED_VALUE"""),"Westfalia/Witter")</f>
        <v>Westfalia/Witter</v>
      </c>
    </row>
    <row r="985">
      <c r="A985" t="str">
        <f>IFERROR(__xludf.DUMMYFUNCTION("""COMPUTED_VALUE"""),"AD56Q")</f>
        <v>AD56Q</v>
      </c>
      <c r="B985" s="226" t="str">
        <f>IFERROR(__xludf.DUMMYFUNCTION("""COMPUTED_VALUE"""),"5056150100126")</f>
        <v>5056150100126</v>
      </c>
      <c r="C985" t="str">
        <f>IFERROR(__xludf.DUMMYFUNCTION("""COMPUTED_VALUE"""),"Westfalia/Witter")</f>
        <v>Westfalia/Witter</v>
      </c>
    </row>
    <row r="986">
      <c r="A986" t="str">
        <f>IFERROR(__xludf.DUMMYFUNCTION("""COMPUTED_VALUE"""),"AD56Q")</f>
        <v>AD56Q</v>
      </c>
      <c r="B986" s="226" t="str">
        <f>IFERROR(__xludf.DUMMYFUNCTION("""COMPUTED_VALUE"""),"5056150100126")</f>
        <v>5056150100126</v>
      </c>
      <c r="C986" t="str">
        <f>IFERROR(__xludf.DUMMYFUNCTION("""COMPUTED_VALUE"""),"Westfalia/Witter")</f>
        <v>Westfalia/Witter</v>
      </c>
    </row>
    <row r="987">
      <c r="A987" t="str">
        <f>IFERROR(__xludf.DUMMYFUNCTION("""COMPUTED_VALUE"""),"AD56Q")</f>
        <v>AD56Q</v>
      </c>
      <c r="B987" s="226" t="str">
        <f>IFERROR(__xludf.DUMMYFUNCTION("""COMPUTED_VALUE"""),"5056150100126")</f>
        <v>5056150100126</v>
      </c>
      <c r="C987" t="str">
        <f>IFERROR(__xludf.DUMMYFUNCTION("""COMPUTED_VALUE"""),"Westfalia/Witter")</f>
        <v>Westfalia/Witter</v>
      </c>
    </row>
    <row r="988">
      <c r="A988" t="str">
        <f>IFERROR(__xludf.DUMMYFUNCTION("""COMPUTED_VALUE"""),"AD56S")</f>
        <v>AD56S</v>
      </c>
      <c r="B988" s="226" t="str">
        <f>IFERROR(__xludf.DUMMYFUNCTION("""COMPUTED_VALUE"""),"5056150100140")</f>
        <v>5056150100140</v>
      </c>
      <c r="C988" t="str">
        <f>IFERROR(__xludf.DUMMYFUNCTION("""COMPUTED_VALUE"""),"Westfalia/Witter")</f>
        <v>Westfalia/Witter</v>
      </c>
    </row>
    <row r="989">
      <c r="A989" t="str">
        <f>IFERROR(__xludf.DUMMYFUNCTION("""COMPUTED_VALUE"""),"AD56S")</f>
        <v>AD56S</v>
      </c>
      <c r="B989" s="226" t="str">
        <f>IFERROR(__xludf.DUMMYFUNCTION("""COMPUTED_VALUE"""),"5056150100140")</f>
        <v>5056150100140</v>
      </c>
      <c r="C989" t="str">
        <f>IFERROR(__xludf.DUMMYFUNCTION("""COMPUTED_VALUE"""),"Westfalia/Witter")</f>
        <v>Westfalia/Witter</v>
      </c>
    </row>
    <row r="990">
      <c r="A990" t="str">
        <f>IFERROR(__xludf.DUMMYFUNCTION("""COMPUTED_VALUE"""),"AD56S")</f>
        <v>AD56S</v>
      </c>
      <c r="B990" s="226" t="str">
        <f>IFERROR(__xludf.DUMMYFUNCTION("""COMPUTED_VALUE"""),"5056150100140")</f>
        <v>5056150100140</v>
      </c>
      <c r="C990" t="str">
        <f>IFERROR(__xludf.DUMMYFUNCTION("""COMPUTED_VALUE"""),"Westfalia/Witter")</f>
        <v>Westfalia/Witter</v>
      </c>
    </row>
    <row r="991">
      <c r="A991" t="str">
        <f>IFERROR(__xludf.DUMMYFUNCTION("""COMPUTED_VALUE"""),"AL9")</f>
        <v>AL9</v>
      </c>
      <c r="B991" s="226" t="str">
        <f>IFERROR(__xludf.DUMMYFUNCTION("""COMPUTED_VALUE"""),"5056150100157")</f>
        <v>5056150100157</v>
      </c>
      <c r="C991" t="str">
        <f>IFERROR(__xludf.DUMMYFUNCTION("""COMPUTED_VALUE"""),"Westfalia/Witter")</f>
        <v>Westfalia/Witter</v>
      </c>
    </row>
    <row r="992">
      <c r="A992" t="str">
        <f>IFERROR(__xludf.DUMMYFUNCTION("""COMPUTED_VALUE"""),"AL9S")</f>
        <v>AL9S</v>
      </c>
      <c r="B992" s="226" t="str">
        <f>IFERROR(__xludf.DUMMYFUNCTION("""COMPUTED_VALUE"""),"5056150100171")</f>
        <v>5056150100171</v>
      </c>
      <c r="C992" t="str">
        <f>IFERROR(__xludf.DUMMYFUNCTION("""COMPUTED_VALUE"""),"Westfalia/Witter")</f>
        <v>Westfalia/Witter</v>
      </c>
    </row>
    <row r="993">
      <c r="A993" t="str">
        <f>IFERROR(__xludf.DUMMYFUNCTION("""COMPUTED_VALUE"""),"BM12A")</f>
        <v>BM12A</v>
      </c>
      <c r="B993" s="226" t="str">
        <f>IFERROR(__xludf.DUMMYFUNCTION("""COMPUTED_VALUE"""),"5056150100188")</f>
        <v>5056150100188</v>
      </c>
      <c r="C993" t="str">
        <f>IFERROR(__xludf.DUMMYFUNCTION("""COMPUTED_VALUE"""),"Westfalia/Witter")</f>
        <v>Westfalia/Witter</v>
      </c>
    </row>
    <row r="994">
      <c r="A994" t="str">
        <f>IFERROR(__xludf.DUMMYFUNCTION("""COMPUTED_VALUE"""),"BM14A")</f>
        <v>BM14A</v>
      </c>
      <c r="B994" s="226" t="str">
        <f>IFERROR(__xludf.DUMMYFUNCTION("""COMPUTED_VALUE"""),"5056150100201")</f>
        <v>5056150100201</v>
      </c>
      <c r="C994" t="str">
        <f>IFERROR(__xludf.DUMMYFUNCTION("""COMPUTED_VALUE"""),"Westfalia/Witter")</f>
        <v>Westfalia/Witter</v>
      </c>
    </row>
    <row r="995">
      <c r="A995" t="str">
        <f>IFERROR(__xludf.DUMMYFUNCTION("""COMPUTED_VALUE"""),"BM15BS")</f>
        <v>BM15BS</v>
      </c>
      <c r="B995" s="226" t="str">
        <f>IFERROR(__xludf.DUMMYFUNCTION("""COMPUTED_VALUE"""),"5056150100218")</f>
        <v>5056150100218</v>
      </c>
      <c r="C995" t="str">
        <f>IFERROR(__xludf.DUMMYFUNCTION("""COMPUTED_VALUE"""),"Westfalia/Witter")</f>
        <v>Westfalia/Witter</v>
      </c>
    </row>
    <row r="996">
      <c r="A996" t="str">
        <f>IFERROR(__xludf.DUMMYFUNCTION("""COMPUTED_VALUE"""),"BM15BS")</f>
        <v>BM15BS</v>
      </c>
      <c r="B996" s="226" t="str">
        <f>IFERROR(__xludf.DUMMYFUNCTION("""COMPUTED_VALUE"""),"5056150100218")</f>
        <v>5056150100218</v>
      </c>
      <c r="C996" t="str">
        <f>IFERROR(__xludf.DUMMYFUNCTION("""COMPUTED_VALUE"""),"Westfalia/Witter")</f>
        <v>Westfalia/Witter</v>
      </c>
    </row>
    <row r="997">
      <c r="A997" t="str">
        <f>IFERROR(__xludf.DUMMYFUNCTION("""COMPUTED_VALUE"""),"BM15BS")</f>
        <v>BM15BS</v>
      </c>
      <c r="B997" s="226" t="str">
        <f>IFERROR(__xludf.DUMMYFUNCTION("""COMPUTED_VALUE"""),"5056150100218")</f>
        <v>5056150100218</v>
      </c>
      <c r="C997" t="str">
        <f>IFERROR(__xludf.DUMMYFUNCTION("""COMPUTED_VALUE"""),"Westfalia/Witter")</f>
        <v>Westfalia/Witter</v>
      </c>
    </row>
    <row r="998">
      <c r="A998" t="str">
        <f>IFERROR(__xludf.DUMMYFUNCTION("""COMPUTED_VALUE"""),"BM15BS")</f>
        <v>BM15BS</v>
      </c>
      <c r="B998" s="226" t="str">
        <f>IFERROR(__xludf.DUMMYFUNCTION("""COMPUTED_VALUE"""),"5056150100218")</f>
        <v>5056150100218</v>
      </c>
      <c r="C998" t="str">
        <f>IFERROR(__xludf.DUMMYFUNCTION("""COMPUTED_VALUE"""),"Westfalia/Witter")</f>
        <v>Westfalia/Witter</v>
      </c>
    </row>
    <row r="999">
      <c r="A999" t="str">
        <f>IFERROR(__xludf.DUMMYFUNCTION("""COMPUTED_VALUE"""),"BM35AS")</f>
        <v>BM35AS</v>
      </c>
      <c r="B999" s="226" t="str">
        <f>IFERROR(__xludf.DUMMYFUNCTION("""COMPUTED_VALUE"""),"5056150100256")</f>
        <v>5056150100256</v>
      </c>
      <c r="C999" t="str">
        <f>IFERROR(__xludf.DUMMYFUNCTION("""COMPUTED_VALUE"""),"Westfalia/Witter")</f>
        <v>Westfalia/Witter</v>
      </c>
    </row>
    <row r="1000">
      <c r="A1000" t="str">
        <f>IFERROR(__xludf.DUMMYFUNCTION("""COMPUTED_VALUE"""),"BM37S")</f>
        <v>BM37S</v>
      </c>
      <c r="B1000" s="226" t="str">
        <f>IFERROR(__xludf.DUMMYFUNCTION("""COMPUTED_VALUE"""),"5056150100270")</f>
        <v>5056150100270</v>
      </c>
      <c r="C1000" t="str">
        <f>IFERROR(__xludf.DUMMYFUNCTION("""COMPUTED_VALUE"""),"Westfalia/Witter")</f>
        <v>Westfalia/Witter</v>
      </c>
    </row>
    <row r="1001">
      <c r="A1001" t="str">
        <f>IFERROR(__xludf.DUMMYFUNCTION("""COMPUTED_VALUE"""),"BM43")</f>
        <v>BM43</v>
      </c>
      <c r="B1001" s="226" t="str">
        <f>IFERROR(__xludf.DUMMYFUNCTION("""COMPUTED_VALUE"""),"5056150100287")</f>
        <v>5056150100287</v>
      </c>
      <c r="C1001" t="str">
        <f>IFERROR(__xludf.DUMMYFUNCTION("""COMPUTED_VALUE"""),"Westfalia/Witter")</f>
        <v>Westfalia/Witter</v>
      </c>
    </row>
    <row r="1002">
      <c r="A1002" t="str">
        <f>IFERROR(__xludf.DUMMYFUNCTION("""COMPUTED_VALUE"""),"BM43S")</f>
        <v>BM43S</v>
      </c>
      <c r="B1002" s="226" t="str">
        <f>IFERROR(__xludf.DUMMYFUNCTION("""COMPUTED_VALUE"""),"5056150100300")</f>
        <v>5056150100300</v>
      </c>
      <c r="C1002" t="str">
        <f>IFERROR(__xludf.DUMMYFUNCTION("""COMPUTED_VALUE"""),"Westfalia/Witter")</f>
        <v>Westfalia/Witter</v>
      </c>
    </row>
    <row r="1003">
      <c r="A1003" t="str">
        <f>IFERROR(__xludf.DUMMYFUNCTION("""COMPUTED_VALUE"""),"C26A")</f>
        <v>C26A</v>
      </c>
      <c r="B1003" s="226" t="str">
        <f>IFERROR(__xludf.DUMMYFUNCTION("""COMPUTED_VALUE"""),"5056150100317")</f>
        <v>5056150100317</v>
      </c>
      <c r="C1003" t="str">
        <f>IFERROR(__xludf.DUMMYFUNCTION("""COMPUTED_VALUE"""),"Westfalia/Witter")</f>
        <v>Westfalia/Witter</v>
      </c>
    </row>
    <row r="1004">
      <c r="A1004" t="str">
        <f>IFERROR(__xludf.DUMMYFUNCTION("""COMPUTED_VALUE"""),"C29AR")</f>
        <v>C29AR</v>
      </c>
      <c r="B1004" s="226" t="str">
        <f>IFERROR(__xludf.DUMMYFUNCTION("""COMPUTED_VALUE"""),"5056150100324")</f>
        <v>5056150100324</v>
      </c>
      <c r="C1004" t="str">
        <f>IFERROR(__xludf.DUMMYFUNCTION("""COMPUTED_VALUE"""),"Westfalia/Witter")</f>
        <v>Westfalia/Witter</v>
      </c>
    </row>
    <row r="1005">
      <c r="A1005" t="str">
        <f>IFERROR(__xludf.DUMMYFUNCTION("""COMPUTED_VALUE"""),"C35AQ")</f>
        <v>C35AQ</v>
      </c>
      <c r="B1005" s="226" t="str">
        <f>IFERROR(__xludf.DUMMYFUNCTION("""COMPUTED_VALUE"""),"5056150100348")</f>
        <v>5056150100348</v>
      </c>
      <c r="C1005" t="str">
        <f>IFERROR(__xludf.DUMMYFUNCTION("""COMPUTED_VALUE"""),"Westfalia/Witter")</f>
        <v>Westfalia/Witter</v>
      </c>
    </row>
    <row r="1006">
      <c r="A1006" t="str">
        <f>IFERROR(__xludf.DUMMYFUNCTION("""COMPUTED_VALUE"""),"C36AQ")</f>
        <v>C36AQ</v>
      </c>
      <c r="B1006" s="226" t="str">
        <f>IFERROR(__xludf.DUMMYFUNCTION("""COMPUTED_VALUE"""),"5056150100379")</f>
        <v>5056150100379</v>
      </c>
      <c r="C1006" t="str">
        <f>IFERROR(__xludf.DUMMYFUNCTION("""COMPUTED_VALUE"""),"Westfalia/Witter")</f>
        <v>Westfalia/Witter</v>
      </c>
    </row>
    <row r="1007">
      <c r="A1007" t="str">
        <f>IFERROR(__xludf.DUMMYFUNCTION("""COMPUTED_VALUE"""),"C36AS")</f>
        <v>C36AS</v>
      </c>
      <c r="B1007" s="226" t="str">
        <f>IFERROR(__xludf.DUMMYFUNCTION("""COMPUTED_VALUE"""),"5056150100393")</f>
        <v>5056150100393</v>
      </c>
      <c r="C1007" t="str">
        <f>IFERROR(__xludf.DUMMYFUNCTION("""COMPUTED_VALUE"""),"Westfalia/Witter")</f>
        <v>Westfalia/Witter</v>
      </c>
    </row>
    <row r="1008">
      <c r="A1008" t="str">
        <f>IFERROR(__xludf.DUMMYFUNCTION("""COMPUTED_VALUE"""),"C41Q")</f>
        <v>C41Q</v>
      </c>
      <c r="B1008" s="226" t="str">
        <f>IFERROR(__xludf.DUMMYFUNCTION("""COMPUTED_VALUE"""),"5056150100409")</f>
        <v>5056150100409</v>
      </c>
      <c r="C1008" t="str">
        <f>IFERROR(__xludf.DUMMYFUNCTION("""COMPUTED_VALUE"""),"Westfalia/Witter")</f>
        <v>Westfalia/Witter</v>
      </c>
    </row>
    <row r="1009">
      <c r="A1009" t="str">
        <f>IFERROR(__xludf.DUMMYFUNCTION("""COMPUTED_VALUE"""),"C48Q")</f>
        <v>C48Q</v>
      </c>
      <c r="B1009" s="226" t="str">
        <f>IFERROR(__xludf.DUMMYFUNCTION("""COMPUTED_VALUE"""),"5056150100485")</f>
        <v>5056150100485</v>
      </c>
      <c r="C1009" t="str">
        <f>IFERROR(__xludf.DUMMYFUNCTION("""COMPUTED_VALUE"""),"Westfalia/Witter")</f>
        <v>Westfalia/Witter</v>
      </c>
    </row>
    <row r="1010">
      <c r="A1010" t="str">
        <f>IFERROR(__xludf.DUMMYFUNCTION("""COMPUTED_VALUE"""),"C48Q")</f>
        <v>C48Q</v>
      </c>
      <c r="B1010" s="226" t="str">
        <f>IFERROR(__xludf.DUMMYFUNCTION("""COMPUTED_VALUE"""),"5056150100485")</f>
        <v>5056150100485</v>
      </c>
      <c r="C1010" t="str">
        <f>IFERROR(__xludf.DUMMYFUNCTION("""COMPUTED_VALUE"""),"Westfalia/Witter")</f>
        <v>Westfalia/Witter</v>
      </c>
    </row>
    <row r="1011">
      <c r="A1011" t="str">
        <f>IFERROR(__xludf.DUMMYFUNCTION("""COMPUTED_VALUE"""),"C48S")</f>
        <v>C48S</v>
      </c>
      <c r="B1011" s="226" t="str">
        <f>IFERROR(__xludf.DUMMYFUNCTION("""COMPUTED_VALUE"""),"5056150100492")</f>
        <v>5056150100492</v>
      </c>
      <c r="C1011" t="str">
        <f>IFERROR(__xludf.DUMMYFUNCTION("""COMPUTED_VALUE"""),"Westfalia/Witter")</f>
        <v>Westfalia/Witter</v>
      </c>
    </row>
    <row r="1012">
      <c r="A1012" t="str">
        <f>IFERROR(__xludf.DUMMYFUNCTION("""COMPUTED_VALUE"""),"C48S")</f>
        <v>C48S</v>
      </c>
      <c r="B1012" s="226" t="str">
        <f>IFERROR(__xludf.DUMMYFUNCTION("""COMPUTED_VALUE"""),"5056150100492")</f>
        <v>5056150100492</v>
      </c>
      <c r="C1012" t="str">
        <f>IFERROR(__xludf.DUMMYFUNCTION("""COMPUTED_VALUE"""),"Westfalia/Witter")</f>
        <v>Westfalia/Witter</v>
      </c>
    </row>
    <row r="1013">
      <c r="A1013" t="str">
        <f>IFERROR(__xludf.DUMMYFUNCTION("""COMPUTED_VALUE"""),"C52S")</f>
        <v>C52S</v>
      </c>
      <c r="B1013" s="226" t="str">
        <f>IFERROR(__xludf.DUMMYFUNCTION("""COMPUTED_VALUE"""),"5056150100515")</f>
        <v>5056150100515</v>
      </c>
      <c r="C1013" t="str">
        <f>IFERROR(__xludf.DUMMYFUNCTION("""COMPUTED_VALUE"""),"Westfalia/Witter")</f>
        <v>Westfalia/Witter</v>
      </c>
    </row>
    <row r="1014">
      <c r="A1014" t="str">
        <f>IFERROR(__xludf.DUMMYFUNCTION("""COMPUTED_VALUE"""),"CH18Q")</f>
        <v>CH18Q</v>
      </c>
      <c r="B1014" s="226" t="str">
        <f>IFERROR(__xludf.DUMMYFUNCTION("""COMPUTED_VALUE"""),"5056150100560")</f>
        <v>5056150100560</v>
      </c>
      <c r="C1014" t="str">
        <f>IFERROR(__xludf.DUMMYFUNCTION("""COMPUTED_VALUE"""),"Westfalia/Witter")</f>
        <v>Westfalia/Witter</v>
      </c>
    </row>
    <row r="1015">
      <c r="A1015" t="str">
        <f>IFERROR(__xludf.DUMMYFUNCTION("""COMPUTED_VALUE"""),"CH18S")</f>
        <v>CH18S</v>
      </c>
      <c r="B1015" s="226" t="str">
        <f>IFERROR(__xludf.DUMMYFUNCTION("""COMPUTED_VALUE"""),"5056150100584")</f>
        <v>5056150100584</v>
      </c>
      <c r="C1015" t="str">
        <f>IFERROR(__xludf.DUMMYFUNCTION("""COMPUTED_VALUE"""),"Westfalia/Witter")</f>
        <v>Westfalia/Witter</v>
      </c>
    </row>
    <row r="1016">
      <c r="A1016" t="str">
        <f>IFERROR(__xludf.DUMMYFUNCTION("""COMPUTED_VALUE"""),"CH19AQ")</f>
        <v>CH19AQ</v>
      </c>
      <c r="B1016" s="226" t="str">
        <f>IFERROR(__xludf.DUMMYFUNCTION("""COMPUTED_VALUE"""),"5056150100591")</f>
        <v>5056150100591</v>
      </c>
      <c r="C1016" t="str">
        <f>IFERROR(__xludf.DUMMYFUNCTION("""COMPUTED_VALUE"""),"Westfalia/Witter")</f>
        <v>Westfalia/Witter</v>
      </c>
    </row>
    <row r="1017">
      <c r="A1017" t="str">
        <f>IFERROR(__xludf.DUMMYFUNCTION("""COMPUTED_VALUE"""),"CH19AS")</f>
        <v>CH19AS</v>
      </c>
      <c r="B1017" s="226" t="str">
        <f>IFERROR(__xludf.DUMMYFUNCTION("""COMPUTED_VALUE"""),"5056150100614")</f>
        <v>5056150100614</v>
      </c>
      <c r="C1017" t="str">
        <f>IFERROR(__xludf.DUMMYFUNCTION("""COMPUTED_VALUE"""),"Westfalia/Witter")</f>
        <v>Westfalia/Witter</v>
      </c>
    </row>
    <row r="1018">
      <c r="A1018" t="str">
        <f>IFERROR(__xludf.DUMMYFUNCTION("""COMPUTED_VALUE"""),"CH6A")</f>
        <v>CH6A</v>
      </c>
      <c r="B1018" s="226" t="str">
        <f>IFERROR(__xludf.DUMMYFUNCTION("""COMPUTED_VALUE"""),"5056150100621")</f>
        <v>5056150100621</v>
      </c>
      <c r="C1018" t="str">
        <f>IFERROR(__xludf.DUMMYFUNCTION("""COMPUTED_VALUE"""),"Westfalia/Witter")</f>
        <v>Westfalia/Witter</v>
      </c>
    </row>
    <row r="1019">
      <c r="A1019" t="str">
        <f>IFERROR(__xludf.DUMMYFUNCTION("""COMPUTED_VALUE"""),"CL100BQ")</f>
        <v>CL100BQ</v>
      </c>
      <c r="B1019" s="226" t="str">
        <f>IFERROR(__xludf.DUMMYFUNCTION("""COMPUTED_VALUE"""),"5056150100638")</f>
        <v>5056150100638</v>
      </c>
      <c r="C1019" t="str">
        <f>IFERROR(__xludf.DUMMYFUNCTION("""COMPUTED_VALUE"""),"Westfalia/Witter")</f>
        <v>Westfalia/Witter</v>
      </c>
    </row>
    <row r="1020">
      <c r="A1020" t="str">
        <f>IFERROR(__xludf.DUMMYFUNCTION("""COMPUTED_VALUE"""),"CL104AQ")</f>
        <v>CL104AQ</v>
      </c>
      <c r="B1020" s="226" t="str">
        <f>IFERROR(__xludf.DUMMYFUNCTION("""COMPUTED_VALUE"""),"5056150100645")</f>
        <v>5056150100645</v>
      </c>
      <c r="C1020" t="str">
        <f>IFERROR(__xludf.DUMMYFUNCTION("""COMPUTED_VALUE"""),"Westfalia/Witter")</f>
        <v>Westfalia/Witter</v>
      </c>
    </row>
    <row r="1021">
      <c r="A1021" t="str">
        <f>IFERROR(__xludf.DUMMYFUNCTION("""COMPUTED_VALUE"""),"CL104AS")</f>
        <v>CL104AS</v>
      </c>
      <c r="B1021" s="226" t="str">
        <f>IFERROR(__xludf.DUMMYFUNCTION("""COMPUTED_VALUE"""),"5056150100652")</f>
        <v>5056150100652</v>
      </c>
      <c r="C1021" t="str">
        <f>IFERROR(__xludf.DUMMYFUNCTION("""COMPUTED_VALUE"""),"Westfalia/Witter")</f>
        <v>Westfalia/Witter</v>
      </c>
    </row>
    <row r="1022">
      <c r="A1022" t="str">
        <f>IFERROR(__xludf.DUMMYFUNCTION("""COMPUTED_VALUE"""),"CL107Z")</f>
        <v>CL107Z</v>
      </c>
      <c r="B1022" s="226" t="str">
        <f>IFERROR(__xludf.DUMMYFUNCTION("""COMPUTED_VALUE"""),"5056150100669")</f>
        <v>5056150100669</v>
      </c>
      <c r="C1022" t="str">
        <f>IFERROR(__xludf.DUMMYFUNCTION("""COMPUTED_VALUE"""),"Westfalia/Witter")</f>
        <v>Westfalia/Witter</v>
      </c>
    </row>
    <row r="1023">
      <c r="A1023" t="str">
        <f>IFERROR(__xludf.DUMMYFUNCTION("""COMPUTED_VALUE"""),"CL116A")</f>
        <v>CL116A</v>
      </c>
      <c r="B1023" s="226" t="str">
        <f>IFERROR(__xludf.DUMMYFUNCTION("""COMPUTED_VALUE"""),"5056150100683")</f>
        <v>5056150100683</v>
      </c>
      <c r="C1023" t="str">
        <f>IFERROR(__xludf.DUMMYFUNCTION("""COMPUTED_VALUE"""),"Westfalia/Witter")</f>
        <v>Westfalia/Witter</v>
      </c>
    </row>
    <row r="1024">
      <c r="A1024" t="str">
        <f>IFERROR(__xludf.DUMMYFUNCTION("""COMPUTED_VALUE"""),"CL56B")</f>
        <v>CL56B</v>
      </c>
      <c r="B1024" s="226" t="str">
        <f>IFERROR(__xludf.DUMMYFUNCTION("""COMPUTED_VALUE"""),"5056150100690")</f>
        <v>5056150100690</v>
      </c>
      <c r="C1024" t="str">
        <f>IFERROR(__xludf.DUMMYFUNCTION("""COMPUTED_VALUE"""),"Westfalia/Witter")</f>
        <v>Westfalia/Witter</v>
      </c>
    </row>
    <row r="1025">
      <c r="A1025" t="str">
        <f>IFERROR(__xludf.DUMMYFUNCTION("""COMPUTED_VALUE"""),"CL83BQ")</f>
        <v>CL83BQ</v>
      </c>
      <c r="B1025" s="226" t="str">
        <f>IFERROR(__xludf.DUMMYFUNCTION("""COMPUTED_VALUE"""),"5056150100706")</f>
        <v>5056150100706</v>
      </c>
      <c r="C1025" t="str">
        <f>IFERROR(__xludf.DUMMYFUNCTION("""COMPUTED_VALUE"""),"Westfalia/Witter")</f>
        <v>Westfalia/Witter</v>
      </c>
    </row>
    <row r="1026">
      <c r="A1026" t="str">
        <f>IFERROR(__xludf.DUMMYFUNCTION("""COMPUTED_VALUE"""),"CL84CQ")</f>
        <v>CL84CQ</v>
      </c>
      <c r="B1026" s="226" t="str">
        <f>IFERROR(__xludf.DUMMYFUNCTION("""COMPUTED_VALUE"""),"5056150100713")</f>
        <v>5056150100713</v>
      </c>
      <c r="C1026" t="str">
        <f>IFERROR(__xludf.DUMMYFUNCTION("""COMPUTED_VALUE"""),"Westfalia/Witter")</f>
        <v>Westfalia/Witter</v>
      </c>
    </row>
    <row r="1027">
      <c r="A1027" t="str">
        <f>IFERROR(__xludf.DUMMYFUNCTION("""COMPUTED_VALUE"""),"CL85AQ")</f>
        <v>CL85AQ</v>
      </c>
      <c r="B1027" s="226" t="str">
        <f>IFERROR(__xludf.DUMMYFUNCTION("""COMPUTED_VALUE"""),"5056150100720")</f>
        <v>5056150100720</v>
      </c>
      <c r="C1027" t="str">
        <f>IFERROR(__xludf.DUMMYFUNCTION("""COMPUTED_VALUE"""),"Westfalia/Witter")</f>
        <v>Westfalia/Witter</v>
      </c>
    </row>
    <row r="1028">
      <c r="A1028" t="str">
        <f>IFERROR(__xludf.DUMMYFUNCTION("""COMPUTED_VALUE"""),"CL85AS")</f>
        <v>CL85AS</v>
      </c>
      <c r="B1028" s="226" t="str">
        <f>IFERROR(__xludf.DUMMYFUNCTION("""COMPUTED_VALUE"""),"5056150100744")</f>
        <v>5056150100744</v>
      </c>
      <c r="C1028" t="str">
        <f>IFERROR(__xludf.DUMMYFUNCTION("""COMPUTED_VALUE"""),"Westfalia/Witter")</f>
        <v>Westfalia/Witter</v>
      </c>
    </row>
    <row r="1029">
      <c r="A1029" t="str">
        <f>IFERROR(__xludf.DUMMYFUNCTION("""COMPUTED_VALUE"""),"CL89AQ")</f>
        <v>CL89AQ</v>
      </c>
      <c r="B1029" s="226" t="str">
        <f>IFERROR(__xludf.DUMMYFUNCTION("""COMPUTED_VALUE"""),"5056150100782")</f>
        <v>5056150100782</v>
      </c>
      <c r="C1029" t="str">
        <f>IFERROR(__xludf.DUMMYFUNCTION("""COMPUTED_VALUE"""),"Westfalia/Witter")</f>
        <v>Westfalia/Witter</v>
      </c>
    </row>
    <row r="1030">
      <c r="A1030" t="str">
        <f>IFERROR(__xludf.DUMMYFUNCTION("""COMPUTED_VALUE"""),"CL98A")</f>
        <v>CL98A</v>
      </c>
      <c r="B1030" s="226" t="str">
        <f>IFERROR(__xludf.DUMMYFUNCTION("""COMPUTED_VALUE"""),"5056150100805")</f>
        <v>5056150100805</v>
      </c>
      <c r="C1030" t="str">
        <f>IFERROR(__xludf.DUMMYFUNCTION("""COMPUTED_VALUE"""),"Westfalia/Witter")</f>
        <v>Westfalia/Witter</v>
      </c>
    </row>
    <row r="1031">
      <c r="A1031" t="str">
        <f>IFERROR(__xludf.DUMMYFUNCTION("""COMPUTED_VALUE"""),"CL98AQ")</f>
        <v>CL98AQ</v>
      </c>
      <c r="B1031" s="226" t="str">
        <f>IFERROR(__xludf.DUMMYFUNCTION("""COMPUTED_VALUE"""),"5056150100812")</f>
        <v>5056150100812</v>
      </c>
      <c r="C1031" t="str">
        <f>IFERROR(__xludf.DUMMYFUNCTION("""COMPUTED_VALUE"""),"Westfalia/Witter")</f>
        <v>Westfalia/Witter</v>
      </c>
    </row>
    <row r="1032">
      <c r="A1032" t="str">
        <f>IFERROR(__xludf.DUMMYFUNCTION("""COMPUTED_VALUE"""),"CL98AS")</f>
        <v>CL98AS</v>
      </c>
      <c r="B1032" s="226" t="str">
        <f>IFERROR(__xludf.DUMMYFUNCTION("""COMPUTED_VALUE"""),"5056150100836")</f>
        <v>5056150100836</v>
      </c>
      <c r="C1032" t="str">
        <f>IFERROR(__xludf.DUMMYFUNCTION("""COMPUTED_VALUE"""),"Westfalia/Witter")</f>
        <v>Westfalia/Witter</v>
      </c>
    </row>
    <row r="1033">
      <c r="A1033" t="str">
        <f>IFERROR(__xludf.DUMMYFUNCTION("""COMPUTED_VALUE"""),"CV01A")</f>
        <v>CV01A</v>
      </c>
      <c r="B1033" s="226" t="str">
        <f>IFERROR(__xludf.DUMMYFUNCTION("""COMPUTED_VALUE"""),"5056150100843")</f>
        <v>5056150100843</v>
      </c>
      <c r="C1033" t="str">
        <f>IFERROR(__xludf.DUMMYFUNCTION("""COMPUTED_VALUE"""),"Westfalia/Witter")</f>
        <v>Westfalia/Witter</v>
      </c>
    </row>
    <row r="1034">
      <c r="A1034" t="str">
        <f>IFERROR(__xludf.DUMMYFUNCTION("""COMPUTED_VALUE"""),"CV01AQ")</f>
        <v>CV01AQ</v>
      </c>
      <c r="B1034" s="226" t="str">
        <f>IFERROR(__xludf.DUMMYFUNCTION("""COMPUTED_VALUE"""),"5056150100850")</f>
        <v>5056150100850</v>
      </c>
      <c r="C1034" t="str">
        <f>IFERROR(__xludf.DUMMYFUNCTION("""COMPUTED_VALUE"""),"Westfalia/Witter")</f>
        <v>Westfalia/Witter</v>
      </c>
    </row>
    <row r="1035">
      <c r="A1035" t="str">
        <f>IFERROR(__xludf.DUMMYFUNCTION("""COMPUTED_VALUE"""),"CV01AS")</f>
        <v>CV01AS</v>
      </c>
      <c r="B1035" s="226" t="str">
        <f>IFERROR(__xludf.DUMMYFUNCTION("""COMPUTED_VALUE"""),"5056150100874")</f>
        <v>5056150100874</v>
      </c>
      <c r="C1035" t="str">
        <f>IFERROR(__xludf.DUMMYFUNCTION("""COMPUTED_VALUE"""),"Westfalia/Witter")</f>
        <v>Westfalia/Witter</v>
      </c>
    </row>
    <row r="1036">
      <c r="A1036" t="str">
        <f>IFERROR(__xludf.DUMMYFUNCTION("""COMPUTED_VALUE"""),"CV02BS")</f>
        <v>CV02BS</v>
      </c>
      <c r="B1036" s="226" t="str">
        <f>IFERROR(__xludf.DUMMYFUNCTION("""COMPUTED_VALUE"""),"5056150100898")</f>
        <v>5056150100898</v>
      </c>
      <c r="C1036" t="str">
        <f>IFERROR(__xludf.DUMMYFUNCTION("""COMPUTED_VALUE"""),"Westfalia/Witter")</f>
        <v>Westfalia/Witter</v>
      </c>
    </row>
    <row r="1037">
      <c r="A1037" t="str">
        <f>IFERROR(__xludf.DUMMYFUNCTION("""COMPUTED_VALUE"""),"CV05Q")</f>
        <v>CV05Q</v>
      </c>
      <c r="B1037" s="226" t="str">
        <f>IFERROR(__xludf.DUMMYFUNCTION("""COMPUTED_VALUE"""),"5056150100928")</f>
        <v>5056150100928</v>
      </c>
      <c r="C1037" t="str">
        <f>IFERROR(__xludf.DUMMYFUNCTION("""COMPUTED_VALUE"""),"Westfalia/Witter")</f>
        <v>Westfalia/Witter</v>
      </c>
    </row>
    <row r="1038">
      <c r="A1038" t="str">
        <f>IFERROR(__xludf.DUMMYFUNCTION("""COMPUTED_VALUE"""),"CV06")</f>
        <v>CV06</v>
      </c>
      <c r="B1038" s="226" t="str">
        <f>IFERROR(__xludf.DUMMYFUNCTION("""COMPUTED_VALUE"""),"5056150100959")</f>
        <v>5056150100959</v>
      </c>
      <c r="C1038" t="str">
        <f>IFERROR(__xludf.DUMMYFUNCTION("""COMPUTED_VALUE"""),"Westfalia/Witter")</f>
        <v>Westfalia/Witter</v>
      </c>
    </row>
    <row r="1039">
      <c r="A1039" t="str">
        <f>IFERROR(__xludf.DUMMYFUNCTION("""COMPUTED_VALUE"""),"CV06Q")</f>
        <v>CV06Q</v>
      </c>
      <c r="B1039" s="226" t="str">
        <f>IFERROR(__xludf.DUMMYFUNCTION("""COMPUTED_VALUE"""),"5056150100966")</f>
        <v>5056150100966</v>
      </c>
      <c r="C1039" t="str">
        <f>IFERROR(__xludf.DUMMYFUNCTION("""COMPUTED_VALUE"""),"Westfalia/Witter")</f>
        <v>Westfalia/Witter</v>
      </c>
    </row>
    <row r="1040">
      <c r="A1040" t="str">
        <f>IFERROR(__xludf.DUMMYFUNCTION("""COMPUTED_VALUE"""),"CV06S")</f>
        <v>CV06S</v>
      </c>
      <c r="B1040" s="226" t="str">
        <f>IFERROR(__xludf.DUMMYFUNCTION("""COMPUTED_VALUE"""),"5056150100980")</f>
        <v>5056150100980</v>
      </c>
      <c r="C1040" t="str">
        <f>IFERROR(__xludf.DUMMYFUNCTION("""COMPUTED_VALUE"""),"Westfalia/Witter")</f>
        <v>Westfalia/Witter</v>
      </c>
    </row>
    <row r="1041">
      <c r="A1041" t="str">
        <f>IFERROR(__xludf.DUMMYFUNCTION("""COMPUTED_VALUE"""),"DA1A")</f>
        <v>DA1A</v>
      </c>
      <c r="B1041" s="226" t="str">
        <f>IFERROR(__xludf.DUMMYFUNCTION("""COMPUTED_VALUE"""),"5056150100997")</f>
        <v>5056150100997</v>
      </c>
      <c r="C1041" t="str">
        <f>IFERROR(__xludf.DUMMYFUNCTION("""COMPUTED_VALUE"""),"Westfalia/Witter")</f>
        <v>Westfalia/Witter</v>
      </c>
    </row>
    <row r="1042">
      <c r="A1042" t="str">
        <f>IFERROR(__xludf.DUMMYFUNCTION("""COMPUTED_VALUE"""),"DA1AQ")</f>
        <v>DA1AQ</v>
      </c>
      <c r="B1042" s="226" t="str">
        <f>IFERROR(__xludf.DUMMYFUNCTION("""COMPUTED_VALUE"""),"5056150101000")</f>
        <v>5056150101000</v>
      </c>
      <c r="C1042" t="str">
        <f>IFERROR(__xludf.DUMMYFUNCTION("""COMPUTED_VALUE"""),"Westfalia/Witter")</f>
        <v>Westfalia/Witter</v>
      </c>
    </row>
    <row r="1043">
      <c r="A1043" t="str">
        <f>IFERROR(__xludf.DUMMYFUNCTION("""COMPUTED_VALUE"""),"DA1AS")</f>
        <v>DA1AS</v>
      </c>
      <c r="B1043" s="226" t="str">
        <f>IFERROR(__xludf.DUMMYFUNCTION("""COMPUTED_VALUE"""),"5056150101024")</f>
        <v>5056150101024</v>
      </c>
      <c r="C1043" t="str">
        <f>IFERROR(__xludf.DUMMYFUNCTION("""COMPUTED_VALUE"""),"Westfalia/Witter")</f>
        <v>Westfalia/Witter</v>
      </c>
    </row>
    <row r="1044">
      <c r="A1044" t="str">
        <f>IFERROR(__xludf.DUMMYFUNCTION("""COMPUTED_VALUE"""),"DA2A")</f>
        <v>DA2A</v>
      </c>
      <c r="B1044" s="226" t="str">
        <f>IFERROR(__xludf.DUMMYFUNCTION("""COMPUTED_VALUE"""),"5056150101031")</f>
        <v>5056150101031</v>
      </c>
      <c r="C1044" t="str">
        <f>IFERROR(__xludf.DUMMYFUNCTION("""COMPUTED_VALUE"""),"Westfalia/Witter")</f>
        <v>Westfalia/Witter</v>
      </c>
    </row>
    <row r="1045">
      <c r="A1045" t="str">
        <f>IFERROR(__xludf.DUMMYFUNCTION("""COMPUTED_VALUE"""),"DA2AQ")</f>
        <v>DA2AQ</v>
      </c>
      <c r="B1045" s="226" t="str">
        <f>IFERROR(__xludf.DUMMYFUNCTION("""COMPUTED_VALUE"""),"5056150101048")</f>
        <v>5056150101048</v>
      </c>
      <c r="C1045" t="str">
        <f>IFERROR(__xludf.DUMMYFUNCTION("""COMPUTED_VALUE"""),"Westfalia/Witter")</f>
        <v>Westfalia/Witter</v>
      </c>
    </row>
    <row r="1046">
      <c r="A1046" t="str">
        <f>IFERROR(__xludf.DUMMYFUNCTION("""COMPUTED_VALUE"""),"DA2AS")</f>
        <v>DA2AS</v>
      </c>
      <c r="B1046" s="226" t="str">
        <f>IFERROR(__xludf.DUMMYFUNCTION("""COMPUTED_VALUE"""),"5056150101062")</f>
        <v>5056150101062</v>
      </c>
      <c r="C1046" t="str">
        <f>IFERROR(__xludf.DUMMYFUNCTION("""COMPUTED_VALUE"""),"Westfalia/Witter")</f>
        <v>Westfalia/Witter</v>
      </c>
    </row>
    <row r="1047">
      <c r="A1047" t="str">
        <f>IFERROR(__xludf.DUMMYFUNCTION("""COMPUTED_VALUE"""),"DA3A")</f>
        <v>DA3A</v>
      </c>
      <c r="B1047" s="226" t="str">
        <f>IFERROR(__xludf.DUMMYFUNCTION("""COMPUTED_VALUE"""),"5056150101079")</f>
        <v>5056150101079</v>
      </c>
      <c r="C1047" t="str">
        <f>IFERROR(__xludf.DUMMYFUNCTION("""COMPUTED_VALUE"""),"Westfalia/Witter")</f>
        <v>Westfalia/Witter</v>
      </c>
    </row>
    <row r="1048">
      <c r="A1048" t="str">
        <f>IFERROR(__xludf.DUMMYFUNCTION("""COMPUTED_VALUE"""),"DA3AQ")</f>
        <v>DA3AQ</v>
      </c>
      <c r="B1048" s="226" t="str">
        <f>IFERROR(__xludf.DUMMYFUNCTION("""COMPUTED_VALUE"""),"5056150101086")</f>
        <v>5056150101086</v>
      </c>
      <c r="C1048" t="str">
        <f>IFERROR(__xludf.DUMMYFUNCTION("""COMPUTED_VALUE"""),"Westfalia/Witter")</f>
        <v>Westfalia/Witter</v>
      </c>
    </row>
    <row r="1049">
      <c r="A1049" t="str">
        <f>IFERROR(__xludf.DUMMYFUNCTION("""COMPUTED_VALUE"""),"DA3AS")</f>
        <v>DA3AS</v>
      </c>
      <c r="B1049" s="226" t="str">
        <f>IFERROR(__xludf.DUMMYFUNCTION("""COMPUTED_VALUE"""),"5056150101109")</f>
        <v>5056150101109</v>
      </c>
      <c r="C1049" t="str">
        <f>IFERROR(__xludf.DUMMYFUNCTION("""COMPUTED_VALUE"""),"Westfalia/Witter")</f>
        <v>Westfalia/Witter</v>
      </c>
    </row>
    <row r="1050">
      <c r="A1050" t="str">
        <f>IFERROR(__xludf.DUMMYFUNCTION("""COMPUTED_VALUE"""),"DA4")</f>
        <v>DA4</v>
      </c>
      <c r="B1050" s="226" t="str">
        <f>IFERROR(__xludf.DUMMYFUNCTION("""COMPUTED_VALUE"""),"5056150101116")</f>
        <v>5056150101116</v>
      </c>
      <c r="C1050" t="str">
        <f>IFERROR(__xludf.DUMMYFUNCTION("""COMPUTED_VALUE"""),"Westfalia/Witter")</f>
        <v>Westfalia/Witter</v>
      </c>
    </row>
    <row r="1051">
      <c r="A1051" t="str">
        <f>IFERROR(__xludf.DUMMYFUNCTION("""COMPUTED_VALUE"""),"DA4Q")</f>
        <v>DA4Q</v>
      </c>
      <c r="B1051" s="226" t="str">
        <f>IFERROR(__xludf.DUMMYFUNCTION("""COMPUTED_VALUE"""),"5056150101123")</f>
        <v>5056150101123</v>
      </c>
      <c r="C1051" t="str">
        <f>IFERROR(__xludf.DUMMYFUNCTION("""COMPUTED_VALUE"""),"Westfalia/Witter")</f>
        <v>Westfalia/Witter</v>
      </c>
    </row>
    <row r="1052">
      <c r="A1052" t="str">
        <f>IFERROR(__xludf.DUMMYFUNCTION("""COMPUTED_VALUE"""),"DA4S")</f>
        <v>DA4S</v>
      </c>
      <c r="B1052" s="226" t="str">
        <f>IFERROR(__xludf.DUMMYFUNCTION("""COMPUTED_VALUE"""),"5056150101130")</f>
        <v>5056150101130</v>
      </c>
      <c r="C1052" t="str">
        <f>IFERROR(__xludf.DUMMYFUNCTION("""COMPUTED_VALUE"""),"Westfalia/Witter")</f>
        <v>Westfalia/Witter</v>
      </c>
    </row>
    <row r="1053">
      <c r="A1053" t="str">
        <f>IFERROR(__xludf.DUMMYFUNCTION("""COMPUTED_VALUE"""),"DA6Q")</f>
        <v>DA6Q</v>
      </c>
      <c r="B1053" s="226" t="str">
        <f>IFERROR(__xludf.DUMMYFUNCTION("""COMPUTED_VALUE"""),"5056150101147")</f>
        <v>5056150101147</v>
      </c>
      <c r="C1053" t="str">
        <f>IFERROR(__xludf.DUMMYFUNCTION("""COMPUTED_VALUE"""),"Westfalia/Witter")</f>
        <v>Westfalia/Witter</v>
      </c>
    </row>
    <row r="1054">
      <c r="A1054" t="str">
        <f>IFERROR(__xludf.DUMMYFUNCTION("""COMPUTED_VALUE"""),"DA7Q")</f>
        <v>DA7Q</v>
      </c>
      <c r="B1054" s="226" t="str">
        <f>IFERROR(__xludf.DUMMYFUNCTION("""COMPUTED_VALUE"""),"5056150101161")</f>
        <v>5056150101161</v>
      </c>
      <c r="C1054" t="str">
        <f>IFERROR(__xludf.DUMMYFUNCTION("""COMPUTED_VALUE"""),"Westfalia/Witter")</f>
        <v>Westfalia/Witter</v>
      </c>
    </row>
    <row r="1055">
      <c r="A1055" t="str">
        <f>IFERROR(__xludf.DUMMYFUNCTION("""COMPUTED_VALUE"""),"DA7S")</f>
        <v>DA7S</v>
      </c>
      <c r="B1055" s="226" t="str">
        <f>IFERROR(__xludf.DUMMYFUNCTION("""COMPUTED_VALUE"""),"5056150101178")</f>
        <v>5056150101178</v>
      </c>
      <c r="C1055" t="str">
        <f>IFERROR(__xludf.DUMMYFUNCTION("""COMPUTED_VALUE"""),"Westfalia/Witter")</f>
        <v>Westfalia/Witter</v>
      </c>
    </row>
    <row r="1056">
      <c r="A1056" t="str">
        <f>IFERROR(__xludf.DUMMYFUNCTION("""COMPUTED_VALUE"""),"DH18AQ")</f>
        <v>DH18AQ</v>
      </c>
      <c r="B1056" s="226" t="str">
        <f>IFERROR(__xludf.DUMMYFUNCTION("""COMPUTED_VALUE"""),"5056150101185")</f>
        <v>5056150101185</v>
      </c>
      <c r="C1056" t="str">
        <f>IFERROR(__xludf.DUMMYFUNCTION("""COMPUTED_VALUE"""),"Westfalia/Witter")</f>
        <v>Westfalia/Witter</v>
      </c>
    </row>
    <row r="1057">
      <c r="A1057" t="str">
        <f>IFERROR(__xludf.DUMMYFUNCTION("""COMPUTED_VALUE"""),"DH20AQ")</f>
        <v>DH20AQ</v>
      </c>
      <c r="B1057" s="226" t="str">
        <f>IFERROR(__xludf.DUMMYFUNCTION("""COMPUTED_VALUE"""),"5056150101192")</f>
        <v>5056150101192</v>
      </c>
      <c r="C1057" t="str">
        <f>IFERROR(__xludf.DUMMYFUNCTION("""COMPUTED_VALUE"""),"Westfalia/Witter")</f>
        <v>Westfalia/Witter</v>
      </c>
    </row>
    <row r="1058">
      <c r="A1058" t="str">
        <f>IFERROR(__xludf.DUMMYFUNCTION("""COMPUTED_VALUE"""),"DH20AS")</f>
        <v>DH20AS</v>
      </c>
      <c r="B1058" s="226" t="str">
        <f>IFERROR(__xludf.DUMMYFUNCTION("""COMPUTED_VALUE"""),"5056150101215")</f>
        <v>5056150101215</v>
      </c>
      <c r="C1058" t="str">
        <f>IFERROR(__xludf.DUMMYFUNCTION("""COMPUTED_VALUE"""),"Westfalia/Witter")</f>
        <v>Westfalia/Witter</v>
      </c>
    </row>
    <row r="1059">
      <c r="A1059" t="str">
        <f>IFERROR(__xludf.DUMMYFUNCTION("""COMPUTED_VALUE"""),"DH22AQ")</f>
        <v>DH22AQ</v>
      </c>
      <c r="B1059" s="226" t="str">
        <f>IFERROR(__xludf.DUMMYFUNCTION("""COMPUTED_VALUE"""),"5056150101222")</f>
        <v>5056150101222</v>
      </c>
      <c r="C1059" t="str">
        <f>IFERROR(__xludf.DUMMYFUNCTION("""COMPUTED_VALUE"""),"Westfalia/Witter")</f>
        <v>Westfalia/Witter</v>
      </c>
    </row>
    <row r="1060">
      <c r="A1060" t="str">
        <f>IFERROR(__xludf.DUMMYFUNCTION("""COMPUTED_VALUE"""),"DH22AS")</f>
        <v>DH22AS</v>
      </c>
      <c r="B1060" s="226" t="str">
        <f>IFERROR(__xludf.DUMMYFUNCTION("""COMPUTED_VALUE"""),"5056150101246")</f>
        <v>5056150101246</v>
      </c>
      <c r="C1060" t="str">
        <f>IFERROR(__xludf.DUMMYFUNCTION("""COMPUTED_VALUE"""),"Westfalia/Witter")</f>
        <v>Westfalia/Witter</v>
      </c>
    </row>
    <row r="1061">
      <c r="A1061" t="str">
        <f>IFERROR(__xludf.DUMMYFUNCTION("""COMPUTED_VALUE"""),"DT133AQ")</f>
        <v>DT133AQ</v>
      </c>
      <c r="B1061" s="226" t="str">
        <f>IFERROR(__xludf.DUMMYFUNCTION("""COMPUTED_VALUE"""),"5056150101260")</f>
        <v>5056150101260</v>
      </c>
      <c r="C1061" t="str">
        <f>IFERROR(__xludf.DUMMYFUNCTION("""COMPUTED_VALUE"""),"Westfalia/Witter")</f>
        <v>Westfalia/Witter</v>
      </c>
    </row>
    <row r="1062">
      <c r="A1062" t="str">
        <f>IFERROR(__xludf.DUMMYFUNCTION("""COMPUTED_VALUE"""),"DT139Q")</f>
        <v>DT139Q</v>
      </c>
      <c r="B1062" s="226" t="str">
        <f>IFERROR(__xludf.DUMMYFUNCTION("""COMPUTED_VALUE"""),"5056150101307")</f>
        <v>5056150101307</v>
      </c>
      <c r="C1062" t="str">
        <f>IFERROR(__xludf.DUMMYFUNCTION("""COMPUTED_VALUE"""),"Westfalia/Witter")</f>
        <v>Westfalia/Witter</v>
      </c>
    </row>
    <row r="1063">
      <c r="A1063" t="str">
        <f>IFERROR(__xludf.DUMMYFUNCTION("""COMPUTED_VALUE"""),"DT143Q")</f>
        <v>DT143Q</v>
      </c>
      <c r="B1063" s="226" t="str">
        <f>IFERROR(__xludf.DUMMYFUNCTION("""COMPUTED_VALUE"""),"5056150101321")</f>
        <v>5056150101321</v>
      </c>
      <c r="C1063" t="str">
        <f>IFERROR(__xludf.DUMMYFUNCTION("""COMPUTED_VALUE"""),"Westfalia/Witter")</f>
        <v>Westfalia/Witter</v>
      </c>
    </row>
    <row r="1064">
      <c r="A1064" t="str">
        <f>IFERROR(__xludf.DUMMYFUNCTION("""COMPUTED_VALUE"""),"DT146Q")</f>
        <v>DT146Q</v>
      </c>
      <c r="B1064" s="226" t="str">
        <f>IFERROR(__xludf.DUMMYFUNCTION("""COMPUTED_VALUE"""),"5056150101345")</f>
        <v>5056150101345</v>
      </c>
      <c r="C1064" t="str">
        <f>IFERROR(__xludf.DUMMYFUNCTION("""COMPUTED_VALUE"""),"Westfalia/Witter")</f>
        <v>Westfalia/Witter</v>
      </c>
    </row>
    <row r="1065">
      <c r="A1065" t="str">
        <f>IFERROR(__xludf.DUMMYFUNCTION("""COMPUTED_VALUE"""),"DT146S")</f>
        <v>DT146S</v>
      </c>
      <c r="B1065" s="226" t="str">
        <f>IFERROR(__xludf.DUMMYFUNCTION("""COMPUTED_VALUE"""),"5056150101369")</f>
        <v>5056150101369</v>
      </c>
      <c r="C1065" t="str">
        <f>IFERROR(__xludf.DUMMYFUNCTION("""COMPUTED_VALUE"""),"Westfalia/Witter")</f>
        <v>Westfalia/Witter</v>
      </c>
    </row>
    <row r="1066">
      <c r="A1066" t="str">
        <f>IFERROR(__xludf.DUMMYFUNCTION("""COMPUTED_VALUE"""),"DT99A")</f>
        <v>DT99A</v>
      </c>
      <c r="B1066" s="226" t="str">
        <f>IFERROR(__xludf.DUMMYFUNCTION("""COMPUTED_VALUE"""),"5056150101376")</f>
        <v>5056150101376</v>
      </c>
      <c r="C1066" t="str">
        <f>IFERROR(__xludf.DUMMYFUNCTION("""COMPUTED_VALUE"""),"Westfalia/Witter")</f>
        <v>Westfalia/Witter</v>
      </c>
    </row>
    <row r="1067">
      <c r="A1067" t="str">
        <f>IFERROR(__xludf.DUMMYFUNCTION("""COMPUTED_VALUE"""),"DT99A")</f>
        <v>DT99A</v>
      </c>
      <c r="B1067" s="226" t="str">
        <f>IFERROR(__xludf.DUMMYFUNCTION("""COMPUTED_VALUE"""),"5056150101376")</f>
        <v>5056150101376</v>
      </c>
      <c r="C1067" t="str">
        <f>IFERROR(__xludf.DUMMYFUNCTION("""COMPUTED_VALUE"""),"Westfalia/Witter")</f>
        <v>Westfalia/Witter</v>
      </c>
    </row>
    <row r="1068">
      <c r="A1068" t="str">
        <f>IFERROR(__xludf.DUMMYFUNCTION("""COMPUTED_VALUE"""),"DW15A")</f>
        <v>DW15A</v>
      </c>
      <c r="B1068" s="226" t="str">
        <f>IFERROR(__xludf.DUMMYFUNCTION("""COMPUTED_VALUE"""),"5056150101383")</f>
        <v>5056150101383</v>
      </c>
      <c r="C1068" t="str">
        <f>IFERROR(__xludf.DUMMYFUNCTION("""COMPUTED_VALUE"""),"Westfalia/Witter")</f>
        <v>Westfalia/Witter</v>
      </c>
    </row>
    <row r="1069">
      <c r="A1069" t="str">
        <f>IFERROR(__xludf.DUMMYFUNCTION("""COMPUTED_VALUE"""),"DW18A")</f>
        <v>DW18A</v>
      </c>
      <c r="B1069" s="226" t="str">
        <f>IFERROR(__xludf.DUMMYFUNCTION("""COMPUTED_VALUE"""),"5056150101390")</f>
        <v>5056150101390</v>
      </c>
      <c r="C1069" t="str">
        <f>IFERROR(__xludf.DUMMYFUNCTION("""COMPUTED_VALUE"""),"Westfalia/Witter")</f>
        <v>Westfalia/Witter</v>
      </c>
    </row>
    <row r="1070">
      <c r="A1070" t="str">
        <f>IFERROR(__xludf.DUMMYFUNCTION("""COMPUTED_VALUE"""),"DW18AQ")</f>
        <v>DW18AQ</v>
      </c>
      <c r="B1070" s="226" t="str">
        <f>IFERROR(__xludf.DUMMYFUNCTION("""COMPUTED_VALUE"""),"5056150101406")</f>
        <v>5056150101406</v>
      </c>
      <c r="C1070" t="str">
        <f>IFERROR(__xludf.DUMMYFUNCTION("""COMPUTED_VALUE"""),"Westfalia/Witter")</f>
        <v>Westfalia/Witter</v>
      </c>
    </row>
    <row r="1071">
      <c r="A1071" t="str">
        <f>IFERROR(__xludf.DUMMYFUNCTION("""COMPUTED_VALUE"""),"DW18AS")</f>
        <v>DW18AS</v>
      </c>
      <c r="B1071" s="226" t="str">
        <f>IFERROR(__xludf.DUMMYFUNCTION("""COMPUTED_VALUE"""),"5056150101420")</f>
        <v>5056150101420</v>
      </c>
      <c r="C1071" t="str">
        <f>IFERROR(__xludf.DUMMYFUNCTION("""COMPUTED_VALUE"""),"Westfalia/Witter")</f>
        <v>Westfalia/Witter</v>
      </c>
    </row>
    <row r="1072">
      <c r="A1072" t="str">
        <f>IFERROR(__xludf.DUMMYFUNCTION("""COMPUTED_VALUE"""),"DW19CQ")</f>
        <v>DW19CQ</v>
      </c>
      <c r="B1072" s="226" t="str">
        <f>IFERROR(__xludf.DUMMYFUNCTION("""COMPUTED_VALUE"""),"5056150101437")</f>
        <v>5056150101437</v>
      </c>
      <c r="C1072" t="str">
        <f>IFERROR(__xludf.DUMMYFUNCTION("""COMPUTED_VALUE"""),"Westfalia/Witter")</f>
        <v>Westfalia/Witter</v>
      </c>
    </row>
    <row r="1073">
      <c r="A1073" t="str">
        <f>IFERROR(__xludf.DUMMYFUNCTION("""COMPUTED_VALUE"""),"DW19CS")</f>
        <v>DW19CS</v>
      </c>
      <c r="B1073" s="226" t="str">
        <f>IFERROR(__xludf.DUMMYFUNCTION("""COMPUTED_VALUE"""),"5056150101451")</f>
        <v>5056150101451</v>
      </c>
      <c r="C1073" t="str">
        <f>IFERROR(__xludf.DUMMYFUNCTION("""COMPUTED_VALUE"""),"Westfalia/Witter")</f>
        <v>Westfalia/Witter</v>
      </c>
    </row>
    <row r="1074">
      <c r="A1074" t="str">
        <f>IFERROR(__xludf.DUMMYFUNCTION("""COMPUTED_VALUE"""),"F109")</f>
        <v>F109</v>
      </c>
      <c r="B1074" s="226" t="str">
        <f>IFERROR(__xludf.DUMMYFUNCTION("""COMPUTED_VALUE"""),"5056150101482")</f>
        <v>5056150101482</v>
      </c>
      <c r="C1074" t="str">
        <f>IFERROR(__xludf.DUMMYFUNCTION("""COMPUTED_VALUE"""),"Westfalia/Witter")</f>
        <v>Westfalia/Witter</v>
      </c>
    </row>
    <row r="1075">
      <c r="A1075" t="str">
        <f>IFERROR(__xludf.DUMMYFUNCTION("""COMPUTED_VALUE"""),"F116AQ")</f>
        <v>F116AQ</v>
      </c>
      <c r="B1075" s="226" t="str">
        <f>IFERROR(__xludf.DUMMYFUNCTION("""COMPUTED_VALUE"""),"5056150101499")</f>
        <v>5056150101499</v>
      </c>
      <c r="C1075" t="str">
        <f>IFERROR(__xludf.DUMMYFUNCTION("""COMPUTED_VALUE"""),"Westfalia/Witter")</f>
        <v>Westfalia/Witter</v>
      </c>
    </row>
    <row r="1076">
      <c r="A1076" t="str">
        <f>IFERROR(__xludf.DUMMYFUNCTION("""COMPUTED_VALUE"""),"F116AS")</f>
        <v>F116AS</v>
      </c>
      <c r="B1076" s="226" t="str">
        <f>IFERROR(__xludf.DUMMYFUNCTION("""COMPUTED_VALUE"""),"5056150101505")</f>
        <v>5056150101505</v>
      </c>
      <c r="C1076" t="str">
        <f>IFERROR(__xludf.DUMMYFUNCTION("""COMPUTED_VALUE"""),"Westfalia/Witter")</f>
        <v>Westfalia/Witter</v>
      </c>
    </row>
    <row r="1077">
      <c r="A1077" t="str">
        <f>IFERROR(__xludf.DUMMYFUNCTION("""COMPUTED_VALUE"""),"F157Q")</f>
        <v>F157Q</v>
      </c>
      <c r="B1077" s="226" t="str">
        <f>IFERROR(__xludf.DUMMYFUNCTION("""COMPUTED_VALUE"""),"5056150101543")</f>
        <v>5056150101543</v>
      </c>
      <c r="C1077" t="str">
        <f>IFERROR(__xludf.DUMMYFUNCTION("""COMPUTED_VALUE"""),"Westfalia/Witter")</f>
        <v>Westfalia/Witter</v>
      </c>
    </row>
    <row r="1078">
      <c r="A1078" t="str">
        <f>IFERROR(__xludf.DUMMYFUNCTION("""COMPUTED_VALUE"""),"F161S")</f>
        <v>F161S</v>
      </c>
      <c r="B1078" s="226" t="str">
        <f>IFERROR(__xludf.DUMMYFUNCTION("""COMPUTED_VALUE"""),"5056150101567")</f>
        <v>5056150101567</v>
      </c>
      <c r="C1078" t="str">
        <f>IFERROR(__xludf.DUMMYFUNCTION("""COMPUTED_VALUE"""),"Westfalia/Witter")</f>
        <v>Westfalia/Witter</v>
      </c>
    </row>
    <row r="1079">
      <c r="A1079" t="str">
        <f>IFERROR(__xludf.DUMMYFUNCTION("""COMPUTED_VALUE"""),"F64C")</f>
        <v>F64C</v>
      </c>
      <c r="B1079" s="226" t="str">
        <f>IFERROR(__xludf.DUMMYFUNCTION("""COMPUTED_VALUE"""),"5056150101581")</f>
        <v>5056150101581</v>
      </c>
      <c r="C1079" t="str">
        <f>IFERROR(__xludf.DUMMYFUNCTION("""COMPUTED_VALUE"""),"Westfalia/Witter")</f>
        <v>Westfalia/Witter</v>
      </c>
    </row>
    <row r="1080">
      <c r="A1080" t="str">
        <f>IFERROR(__xludf.DUMMYFUNCTION("""COMPUTED_VALUE"""),"F71B")</f>
        <v>F71B</v>
      </c>
      <c r="B1080" s="226" t="str">
        <f>IFERROR(__xludf.DUMMYFUNCTION("""COMPUTED_VALUE"""),"5056150101598")</f>
        <v>5056150101598</v>
      </c>
      <c r="C1080" t="str">
        <f>IFERROR(__xludf.DUMMYFUNCTION("""COMPUTED_VALUE"""),"Westfalia/Witter")</f>
        <v>Westfalia/Witter</v>
      </c>
    </row>
    <row r="1081">
      <c r="A1081" t="str">
        <f>IFERROR(__xludf.DUMMYFUNCTION("""COMPUTED_VALUE"""),"F76")</f>
        <v>F76</v>
      </c>
      <c r="B1081" s="226" t="str">
        <f>IFERROR(__xludf.DUMMYFUNCTION("""COMPUTED_VALUE"""),"5056150101604")</f>
        <v>5056150101604</v>
      </c>
      <c r="C1081" t="str">
        <f>IFERROR(__xludf.DUMMYFUNCTION("""COMPUTED_VALUE"""),"Westfalia/Witter")</f>
        <v>Westfalia/Witter</v>
      </c>
    </row>
    <row r="1082">
      <c r="A1082" t="str">
        <f>IFERROR(__xludf.DUMMYFUNCTION("""COMPUTED_VALUE"""),"F92AR")</f>
        <v>F92AR</v>
      </c>
      <c r="B1082" s="226" t="str">
        <f>IFERROR(__xludf.DUMMYFUNCTION("""COMPUTED_VALUE"""),"5056150101611")</f>
        <v>5056150101611</v>
      </c>
      <c r="C1082" t="str">
        <f>IFERROR(__xludf.DUMMYFUNCTION("""COMPUTED_VALUE"""),"Westfalia/Witter")</f>
        <v>Westfalia/Witter</v>
      </c>
    </row>
    <row r="1083">
      <c r="A1083" t="str">
        <f>IFERROR(__xludf.DUMMYFUNCTION("""COMPUTED_VALUE"""),"F92AR")</f>
        <v>F92AR</v>
      </c>
      <c r="B1083" s="226" t="str">
        <f>IFERROR(__xludf.DUMMYFUNCTION("""COMPUTED_VALUE"""),"5056150101611")</f>
        <v>5056150101611</v>
      </c>
      <c r="C1083" t="str">
        <f>IFERROR(__xludf.DUMMYFUNCTION("""COMPUTED_VALUE"""),"Westfalia/Witter")</f>
        <v>Westfalia/Witter</v>
      </c>
    </row>
    <row r="1084">
      <c r="A1084" t="str">
        <f>IFERROR(__xludf.DUMMYFUNCTION("""COMPUTED_VALUE"""),"FT64A")</f>
        <v>FT64A</v>
      </c>
      <c r="B1084" s="226" t="str">
        <f>IFERROR(__xludf.DUMMYFUNCTION("""COMPUTED_VALUE"""),"5056150101666")</f>
        <v>5056150101666</v>
      </c>
      <c r="C1084" t="str">
        <f>IFERROR(__xludf.DUMMYFUNCTION("""COMPUTED_VALUE"""),"Westfalia/Witter")</f>
        <v>Westfalia/Witter</v>
      </c>
    </row>
    <row r="1085">
      <c r="A1085" t="str">
        <f>IFERROR(__xludf.DUMMYFUNCTION("""COMPUTED_VALUE"""),"FT71Q")</f>
        <v>FT71Q</v>
      </c>
      <c r="B1085" s="226" t="str">
        <f>IFERROR(__xludf.DUMMYFUNCTION("""COMPUTED_VALUE"""),"5056150101673")</f>
        <v>5056150101673</v>
      </c>
      <c r="C1085" t="str">
        <f>IFERROR(__xludf.DUMMYFUNCTION("""COMPUTED_VALUE"""),"Westfalia/Witter")</f>
        <v>Westfalia/Witter</v>
      </c>
    </row>
    <row r="1086">
      <c r="A1086" t="str">
        <f>IFERROR(__xludf.DUMMYFUNCTION("""COMPUTED_VALUE"""),"FT75Q")</f>
        <v>FT75Q</v>
      </c>
      <c r="B1086" s="226" t="str">
        <f>IFERROR(__xludf.DUMMYFUNCTION("""COMPUTED_VALUE"""),"5056150101697")</f>
        <v>5056150101697</v>
      </c>
      <c r="C1086" t="str">
        <f>IFERROR(__xludf.DUMMYFUNCTION("""COMPUTED_VALUE"""),"Westfalia/Witter")</f>
        <v>Westfalia/Witter</v>
      </c>
    </row>
    <row r="1087">
      <c r="A1087" t="str">
        <f>IFERROR(__xludf.DUMMYFUNCTION("""COMPUTED_VALUE"""),"FT75S")</f>
        <v>FT75S</v>
      </c>
      <c r="B1087" s="226" t="str">
        <f>IFERROR(__xludf.DUMMYFUNCTION("""COMPUTED_VALUE"""),"5056150101710")</f>
        <v>5056150101710</v>
      </c>
      <c r="C1087" t="str">
        <f>IFERROR(__xludf.DUMMYFUNCTION("""COMPUTED_VALUE"""),"Westfalia/Witter")</f>
        <v>Westfalia/Witter</v>
      </c>
    </row>
    <row r="1088">
      <c r="A1088" t="str">
        <f>IFERROR(__xludf.DUMMYFUNCTION("""COMPUTED_VALUE"""),"FT77Q")</f>
        <v>FT77Q</v>
      </c>
      <c r="B1088" s="226" t="str">
        <f>IFERROR(__xludf.DUMMYFUNCTION("""COMPUTED_VALUE"""),"5056150101727")</f>
        <v>5056150101727</v>
      </c>
      <c r="C1088" t="str">
        <f>IFERROR(__xludf.DUMMYFUNCTION("""COMPUTED_VALUE"""),"Westfalia/Witter")</f>
        <v>Westfalia/Witter</v>
      </c>
    </row>
    <row r="1089">
      <c r="A1089" t="str">
        <f>IFERROR(__xludf.DUMMYFUNCTION("""COMPUTED_VALUE"""),"FT77S")</f>
        <v>FT77S</v>
      </c>
      <c r="B1089" s="226" t="str">
        <f>IFERROR(__xludf.DUMMYFUNCTION("""COMPUTED_VALUE"""),"5056150101741")</f>
        <v>5056150101741</v>
      </c>
      <c r="C1089" t="str">
        <f>IFERROR(__xludf.DUMMYFUNCTION("""COMPUTED_VALUE"""),"Westfalia/Witter")</f>
        <v>Westfalia/Witter</v>
      </c>
    </row>
    <row r="1090">
      <c r="A1090" t="str">
        <f>IFERROR(__xludf.DUMMYFUNCTION("""COMPUTED_VALUE"""),"G114Q")</f>
        <v>G114Q</v>
      </c>
      <c r="B1090" s="226" t="str">
        <f>IFERROR(__xludf.DUMMYFUNCTION("""COMPUTED_VALUE"""),"5056150101789")</f>
        <v>5056150101789</v>
      </c>
      <c r="C1090" t="str">
        <f>IFERROR(__xludf.DUMMYFUNCTION("""COMPUTED_VALUE"""),"Westfalia/Witter")</f>
        <v>Westfalia/Witter</v>
      </c>
    </row>
    <row r="1091">
      <c r="A1091" t="str">
        <f>IFERROR(__xludf.DUMMYFUNCTION("""COMPUTED_VALUE"""),"G114Q")</f>
        <v>G114Q</v>
      </c>
      <c r="B1091" s="226" t="str">
        <f>IFERROR(__xludf.DUMMYFUNCTION("""COMPUTED_VALUE"""),"5056150101789")</f>
        <v>5056150101789</v>
      </c>
      <c r="C1091" t="str">
        <f>IFERROR(__xludf.DUMMYFUNCTION("""COMPUTED_VALUE"""),"Westfalia/Witter")</f>
        <v>Westfalia/Witter</v>
      </c>
    </row>
    <row r="1092">
      <c r="A1092" t="str">
        <f>IFERROR(__xludf.DUMMYFUNCTION("""COMPUTED_VALUE"""),"G118Q")</f>
        <v>G118Q</v>
      </c>
      <c r="B1092" s="226" t="str">
        <f>IFERROR(__xludf.DUMMYFUNCTION("""COMPUTED_VALUE"""),"5056150101796")</f>
        <v>5056150101796</v>
      </c>
      <c r="C1092" t="str">
        <f>IFERROR(__xludf.DUMMYFUNCTION("""COMPUTED_VALUE"""),"Westfalia/Witter")</f>
        <v>Westfalia/Witter</v>
      </c>
    </row>
    <row r="1093">
      <c r="A1093" t="str">
        <f>IFERROR(__xludf.DUMMYFUNCTION("""COMPUTED_VALUE"""),"G121S")</f>
        <v>G121S</v>
      </c>
      <c r="B1093" s="226" t="str">
        <f>IFERROR(__xludf.DUMMYFUNCTION("""COMPUTED_VALUE"""),"5056150101802")</f>
        <v>5056150101802</v>
      </c>
      <c r="C1093" t="str">
        <f>IFERROR(__xludf.DUMMYFUNCTION("""COMPUTED_VALUE"""),"Westfalia/Witter")</f>
        <v>Westfalia/Witter</v>
      </c>
    </row>
    <row r="1094">
      <c r="A1094" t="str">
        <f>IFERROR(__xludf.DUMMYFUNCTION("""COMPUTED_VALUE"""),"G121S")</f>
        <v>G121S</v>
      </c>
      <c r="B1094" s="226" t="str">
        <f>IFERROR(__xludf.DUMMYFUNCTION("""COMPUTED_VALUE"""),"5056150101802")</f>
        <v>5056150101802</v>
      </c>
      <c r="C1094" t="str">
        <f>IFERROR(__xludf.DUMMYFUNCTION("""COMPUTED_VALUE"""),"Westfalia/Witter")</f>
        <v>Westfalia/Witter</v>
      </c>
    </row>
    <row r="1095">
      <c r="A1095" t="str">
        <f>IFERROR(__xludf.DUMMYFUNCTION("""COMPUTED_VALUE"""),"G123")</f>
        <v>G123</v>
      </c>
      <c r="B1095" s="226" t="str">
        <f>IFERROR(__xludf.DUMMYFUNCTION("""COMPUTED_VALUE"""),"5056150101826")</f>
        <v>5056150101826</v>
      </c>
      <c r="C1095" t="str">
        <f>IFERROR(__xludf.DUMMYFUNCTION("""COMPUTED_VALUE"""),"Westfalia/Witter")</f>
        <v>Westfalia/Witter</v>
      </c>
    </row>
    <row r="1096">
      <c r="A1096" t="str">
        <f>IFERROR(__xludf.DUMMYFUNCTION("""COMPUTED_VALUE"""),"G123Q")</f>
        <v>G123Q</v>
      </c>
      <c r="B1096" s="226" t="str">
        <f>IFERROR(__xludf.DUMMYFUNCTION("""COMPUTED_VALUE"""),"5056150101833")</f>
        <v>5056150101833</v>
      </c>
      <c r="C1096" t="str">
        <f>IFERROR(__xludf.DUMMYFUNCTION("""COMPUTED_VALUE"""),"Westfalia/Witter")</f>
        <v>Westfalia/Witter</v>
      </c>
    </row>
    <row r="1097">
      <c r="A1097" t="str">
        <f>IFERROR(__xludf.DUMMYFUNCTION("""COMPUTED_VALUE"""),"G123S")</f>
        <v>G123S</v>
      </c>
      <c r="B1097" s="226" t="str">
        <f>IFERROR(__xludf.DUMMYFUNCTION("""COMPUTED_VALUE"""),"5056150101840")</f>
        <v>5056150101840</v>
      </c>
      <c r="C1097" t="str">
        <f>IFERROR(__xludf.DUMMYFUNCTION("""COMPUTED_VALUE"""),"Westfalia/Witter")</f>
        <v>Westfalia/Witter</v>
      </c>
    </row>
    <row r="1098">
      <c r="A1098" t="str">
        <f>IFERROR(__xludf.DUMMYFUNCTION("""COMPUTED_VALUE"""),"G74A")</f>
        <v>G74A</v>
      </c>
      <c r="B1098" s="226" t="str">
        <f>IFERROR(__xludf.DUMMYFUNCTION("""COMPUTED_VALUE"""),"5056150101857")</f>
        <v>5056150101857</v>
      </c>
      <c r="C1098" t="str">
        <f>IFERROR(__xludf.DUMMYFUNCTION("""COMPUTED_VALUE"""),"Westfalia/Witter")</f>
        <v>Westfalia/Witter</v>
      </c>
    </row>
    <row r="1099">
      <c r="A1099" t="str">
        <f>IFERROR(__xludf.DUMMYFUNCTION("""COMPUTED_VALUE"""),"G81AQ")</f>
        <v>G81AQ</v>
      </c>
      <c r="B1099" s="226" t="str">
        <f>IFERROR(__xludf.DUMMYFUNCTION("""COMPUTED_VALUE"""),"5056150101864")</f>
        <v>5056150101864</v>
      </c>
      <c r="C1099" t="str">
        <f>IFERROR(__xludf.DUMMYFUNCTION("""COMPUTED_VALUE"""),"Westfalia/Witter")</f>
        <v>Westfalia/Witter</v>
      </c>
    </row>
    <row r="1100">
      <c r="A1100" t="str">
        <f>IFERROR(__xludf.DUMMYFUNCTION("""COMPUTED_VALUE"""),"G81AS")</f>
        <v>G81AS</v>
      </c>
      <c r="B1100" s="226" t="str">
        <f>IFERROR(__xludf.DUMMYFUNCTION("""COMPUTED_VALUE"""),"5056150101871")</f>
        <v>5056150101871</v>
      </c>
      <c r="C1100" t="str">
        <f>IFERROR(__xludf.DUMMYFUNCTION("""COMPUTED_VALUE"""),"Westfalia/Witter")</f>
        <v>Westfalia/Witter</v>
      </c>
    </row>
    <row r="1101">
      <c r="A1101" t="str">
        <f>IFERROR(__xludf.DUMMYFUNCTION("""COMPUTED_VALUE"""),"G82AQ")</f>
        <v>G82AQ</v>
      </c>
      <c r="B1101" s="226" t="str">
        <f>IFERROR(__xludf.DUMMYFUNCTION("""COMPUTED_VALUE"""),"5056150101888")</f>
        <v>5056150101888</v>
      </c>
      <c r="C1101" t="str">
        <f>IFERROR(__xludf.DUMMYFUNCTION("""COMPUTED_VALUE"""),"Westfalia/Witter")</f>
        <v>Westfalia/Witter</v>
      </c>
    </row>
    <row r="1102">
      <c r="A1102" t="str">
        <f>IFERROR(__xludf.DUMMYFUNCTION("""COMPUTED_VALUE"""),"G82AS")</f>
        <v>G82AS</v>
      </c>
      <c r="B1102" s="226" t="str">
        <f>IFERROR(__xludf.DUMMYFUNCTION("""COMPUTED_VALUE"""),"5056150101895")</f>
        <v>5056150101895</v>
      </c>
      <c r="C1102" t="str">
        <f>IFERROR(__xludf.DUMMYFUNCTION("""COMPUTED_VALUE"""),"Westfalia/Witter")</f>
        <v>Westfalia/Witter</v>
      </c>
    </row>
    <row r="1103">
      <c r="A1103" t="str">
        <f>IFERROR(__xludf.DUMMYFUNCTION("""COMPUTED_VALUE"""),"G83AQ")</f>
        <v>G83AQ</v>
      </c>
      <c r="B1103" s="226" t="str">
        <f>IFERROR(__xludf.DUMMYFUNCTION("""COMPUTED_VALUE"""),"5056150101901")</f>
        <v>5056150101901</v>
      </c>
      <c r="C1103" t="str">
        <f>IFERROR(__xludf.DUMMYFUNCTION("""COMPUTED_VALUE"""),"Westfalia/Witter")</f>
        <v>Westfalia/Witter</v>
      </c>
    </row>
    <row r="1104">
      <c r="A1104" t="str">
        <f>IFERROR(__xludf.DUMMYFUNCTION("""COMPUTED_VALUE"""),"HN44A")</f>
        <v>HN44A</v>
      </c>
      <c r="B1104" s="226" t="str">
        <f>IFERROR(__xludf.DUMMYFUNCTION("""COMPUTED_VALUE"""),"5056150101932")</f>
        <v>5056150101932</v>
      </c>
      <c r="C1104" t="str">
        <f>IFERROR(__xludf.DUMMYFUNCTION("""COMPUTED_VALUE"""),"Westfalia/Witter")</f>
        <v>Westfalia/Witter</v>
      </c>
    </row>
    <row r="1105">
      <c r="A1105" t="str">
        <f>IFERROR(__xludf.DUMMYFUNCTION("""COMPUTED_VALUE"""),"HN52A")</f>
        <v>HN52A</v>
      </c>
      <c r="B1105" s="226" t="str">
        <f>IFERROR(__xludf.DUMMYFUNCTION("""COMPUTED_VALUE"""),"5056150101949")</f>
        <v>5056150101949</v>
      </c>
      <c r="C1105" t="str">
        <f>IFERROR(__xludf.DUMMYFUNCTION("""COMPUTED_VALUE"""),"Westfalia/Witter")</f>
        <v>Westfalia/Witter</v>
      </c>
    </row>
    <row r="1106">
      <c r="A1106" t="str">
        <f>IFERROR(__xludf.DUMMYFUNCTION("""COMPUTED_VALUE"""),"HN55AQ")</f>
        <v>HN55AQ</v>
      </c>
      <c r="B1106" s="226" t="str">
        <f>IFERROR(__xludf.DUMMYFUNCTION("""COMPUTED_VALUE"""),"5056150101956")</f>
        <v>5056150101956</v>
      </c>
      <c r="C1106" t="str">
        <f>IFERROR(__xludf.DUMMYFUNCTION("""COMPUTED_VALUE"""),"Westfalia/Witter")</f>
        <v>Westfalia/Witter</v>
      </c>
    </row>
    <row r="1107">
      <c r="A1107" t="str">
        <f>IFERROR(__xludf.DUMMYFUNCTION("""COMPUTED_VALUE"""),"HN55AQ")</f>
        <v>HN55AQ</v>
      </c>
      <c r="B1107" s="226" t="str">
        <f>IFERROR(__xludf.DUMMYFUNCTION("""COMPUTED_VALUE"""),"5056150101956")</f>
        <v>5056150101956</v>
      </c>
      <c r="C1107" t="str">
        <f>IFERROR(__xludf.DUMMYFUNCTION("""COMPUTED_VALUE"""),"Westfalia/Witter")</f>
        <v>Westfalia/Witter</v>
      </c>
    </row>
    <row r="1108">
      <c r="A1108" t="str">
        <f>IFERROR(__xludf.DUMMYFUNCTION("""COMPUTED_VALUE"""),"HN55AS")</f>
        <v>HN55AS</v>
      </c>
      <c r="B1108" s="226" t="str">
        <f>IFERROR(__xludf.DUMMYFUNCTION("""COMPUTED_VALUE"""),"5056150101970")</f>
        <v>5056150101970</v>
      </c>
      <c r="C1108" t="str">
        <f>IFERROR(__xludf.DUMMYFUNCTION("""COMPUTED_VALUE"""),"Westfalia/Witter")</f>
        <v>Westfalia/Witter</v>
      </c>
    </row>
    <row r="1109">
      <c r="A1109" t="str">
        <f>IFERROR(__xludf.DUMMYFUNCTION("""COMPUTED_VALUE"""),"HN55AS")</f>
        <v>HN55AS</v>
      </c>
      <c r="B1109" s="226" t="str">
        <f>IFERROR(__xludf.DUMMYFUNCTION("""COMPUTED_VALUE"""),"5056150101970")</f>
        <v>5056150101970</v>
      </c>
      <c r="C1109" t="str">
        <f>IFERROR(__xludf.DUMMYFUNCTION("""COMPUTED_VALUE"""),"Westfalia/Witter")</f>
        <v>Westfalia/Witter</v>
      </c>
    </row>
    <row r="1110">
      <c r="A1110" t="str">
        <f>IFERROR(__xludf.DUMMYFUNCTION("""COMPUTED_VALUE"""),"HN57AQ")</f>
        <v>HN57AQ</v>
      </c>
      <c r="B1110" s="226" t="str">
        <f>IFERROR(__xludf.DUMMYFUNCTION("""COMPUTED_VALUE"""),"5056150101994")</f>
        <v>5056150101994</v>
      </c>
      <c r="C1110" t="str">
        <f>IFERROR(__xludf.DUMMYFUNCTION("""COMPUTED_VALUE"""),"Westfalia/Witter")</f>
        <v>Westfalia/Witter</v>
      </c>
    </row>
    <row r="1111">
      <c r="A1111" t="str">
        <f>IFERROR(__xludf.DUMMYFUNCTION("""COMPUTED_VALUE"""),"HN57AS")</f>
        <v>HN57AS</v>
      </c>
      <c r="B1111" s="226" t="str">
        <f>IFERROR(__xludf.DUMMYFUNCTION("""COMPUTED_VALUE"""),"5056150102007")</f>
        <v>5056150102007</v>
      </c>
      <c r="C1111" t="str">
        <f>IFERROR(__xludf.DUMMYFUNCTION("""COMPUTED_VALUE"""),"Westfalia/Witter")</f>
        <v>Westfalia/Witter</v>
      </c>
    </row>
    <row r="1112">
      <c r="A1112" t="str">
        <f>IFERROR(__xludf.DUMMYFUNCTION("""COMPUTED_VALUE"""),"HN66AQ")</f>
        <v>HN66AQ</v>
      </c>
      <c r="B1112" s="226" t="str">
        <f>IFERROR(__xludf.DUMMYFUNCTION("""COMPUTED_VALUE"""),"5056150102014")</f>
        <v>5056150102014</v>
      </c>
      <c r="C1112" t="str">
        <f>IFERROR(__xludf.DUMMYFUNCTION("""COMPUTED_VALUE"""),"Westfalia/Witter")</f>
        <v>Westfalia/Witter</v>
      </c>
    </row>
    <row r="1113">
      <c r="A1113" t="str">
        <f>IFERROR(__xludf.DUMMYFUNCTION("""COMPUTED_VALUE"""),"HN66AQ")</f>
        <v>HN66AQ</v>
      </c>
      <c r="B1113" s="226" t="str">
        <f>IFERROR(__xludf.DUMMYFUNCTION("""COMPUTED_VALUE"""),"5056150102014")</f>
        <v>5056150102014</v>
      </c>
      <c r="C1113" t="str">
        <f>IFERROR(__xludf.DUMMYFUNCTION("""COMPUTED_VALUE"""),"Westfalia/Witter")</f>
        <v>Westfalia/Witter</v>
      </c>
    </row>
    <row r="1114">
      <c r="A1114" t="str">
        <f>IFERROR(__xludf.DUMMYFUNCTION("""COMPUTED_VALUE"""),"HN67AQ")</f>
        <v>HN67AQ</v>
      </c>
      <c r="B1114" s="226" t="str">
        <f>IFERROR(__xludf.DUMMYFUNCTION("""COMPUTED_VALUE"""),"5056150102021")</f>
        <v>5056150102021</v>
      </c>
      <c r="C1114" t="str">
        <f>IFERROR(__xludf.DUMMYFUNCTION("""COMPUTED_VALUE"""),"Westfalia/Witter")</f>
        <v>Westfalia/Witter</v>
      </c>
    </row>
    <row r="1115">
      <c r="A1115" t="str">
        <f>IFERROR(__xludf.DUMMYFUNCTION("""COMPUTED_VALUE"""),"HN67AS")</f>
        <v>HN67AS</v>
      </c>
      <c r="B1115" s="226" t="str">
        <f>IFERROR(__xludf.DUMMYFUNCTION("""COMPUTED_VALUE"""),"5056150102045")</f>
        <v>5056150102045</v>
      </c>
      <c r="C1115" t="str">
        <f>IFERROR(__xludf.DUMMYFUNCTION("""COMPUTED_VALUE"""),"Westfalia/Witter")</f>
        <v>Westfalia/Witter</v>
      </c>
    </row>
    <row r="1116">
      <c r="A1116" t="str">
        <f>IFERROR(__xludf.DUMMYFUNCTION("""COMPUTED_VALUE"""),"HN72")</f>
        <v>HN72</v>
      </c>
      <c r="B1116" s="226" t="str">
        <f>IFERROR(__xludf.DUMMYFUNCTION("""COMPUTED_VALUE"""),"5056150102069")</f>
        <v>5056150102069</v>
      </c>
      <c r="C1116" t="str">
        <f>IFERROR(__xludf.DUMMYFUNCTION("""COMPUTED_VALUE"""),"Westfalia/Witter")</f>
        <v>Westfalia/Witter</v>
      </c>
    </row>
    <row r="1117">
      <c r="A1117" t="str">
        <f>IFERROR(__xludf.DUMMYFUNCTION("""COMPUTED_VALUE"""),"HN72Q")</f>
        <v>HN72Q</v>
      </c>
      <c r="B1117" s="226" t="str">
        <f>IFERROR(__xludf.DUMMYFUNCTION("""COMPUTED_VALUE"""),"5056150102076")</f>
        <v>5056150102076</v>
      </c>
      <c r="C1117" t="str">
        <f>IFERROR(__xludf.DUMMYFUNCTION("""COMPUTED_VALUE"""),"Westfalia/Witter")</f>
        <v>Westfalia/Witter</v>
      </c>
    </row>
    <row r="1118">
      <c r="A1118" t="str">
        <f>IFERROR(__xludf.DUMMYFUNCTION("""COMPUTED_VALUE"""),"HN72S")</f>
        <v>HN72S</v>
      </c>
      <c r="B1118" s="226" t="str">
        <f>IFERROR(__xludf.DUMMYFUNCTION("""COMPUTED_VALUE"""),"5056150102090")</f>
        <v>5056150102090</v>
      </c>
      <c r="C1118" t="str">
        <f>IFERROR(__xludf.DUMMYFUNCTION("""COMPUTED_VALUE"""),"Westfalia/Witter")</f>
        <v>Westfalia/Witter</v>
      </c>
    </row>
    <row r="1119">
      <c r="A1119" t="str">
        <f>IFERROR(__xludf.DUMMYFUNCTION("""COMPUTED_VALUE"""),"HY19B")</f>
        <v>HY19B</v>
      </c>
      <c r="B1119" s="226" t="str">
        <f>IFERROR(__xludf.DUMMYFUNCTION("""COMPUTED_VALUE"""),"5056150102106")</f>
        <v>5056150102106</v>
      </c>
      <c r="C1119" t="str">
        <f>IFERROR(__xludf.DUMMYFUNCTION("""COMPUTED_VALUE"""),"Westfalia/Witter")</f>
        <v>Westfalia/Witter</v>
      </c>
    </row>
    <row r="1120">
      <c r="A1120" t="str">
        <f>IFERROR(__xludf.DUMMYFUNCTION("""COMPUTED_VALUE"""),"HY36AQ")</f>
        <v>HY36AQ</v>
      </c>
      <c r="B1120" s="226" t="str">
        <f>IFERROR(__xludf.DUMMYFUNCTION("""COMPUTED_VALUE"""),"5056150102113")</f>
        <v>5056150102113</v>
      </c>
      <c r="C1120" t="str">
        <f>IFERROR(__xludf.DUMMYFUNCTION("""COMPUTED_VALUE"""),"Westfalia/Witter")</f>
        <v>Westfalia/Witter</v>
      </c>
    </row>
    <row r="1121">
      <c r="A1121" t="str">
        <f>IFERROR(__xludf.DUMMYFUNCTION("""COMPUTED_VALUE"""),"HY38A")</f>
        <v>HY38A</v>
      </c>
      <c r="B1121" s="226" t="str">
        <f>IFERROR(__xludf.DUMMYFUNCTION("""COMPUTED_VALUE"""),"5056150102137")</f>
        <v>5056150102137</v>
      </c>
      <c r="C1121" t="str">
        <f>IFERROR(__xludf.DUMMYFUNCTION("""COMPUTED_VALUE"""),"Westfalia/Witter")</f>
        <v>Westfalia/Witter</v>
      </c>
    </row>
    <row r="1122">
      <c r="A1122" t="str">
        <f>IFERROR(__xludf.DUMMYFUNCTION("""COMPUTED_VALUE"""),"HY38AQ")</f>
        <v>HY38AQ</v>
      </c>
      <c r="B1122" s="226" t="str">
        <f>IFERROR(__xludf.DUMMYFUNCTION("""COMPUTED_VALUE"""),"5056150102144")</f>
        <v>5056150102144</v>
      </c>
      <c r="C1122" t="str">
        <f>IFERROR(__xludf.DUMMYFUNCTION("""COMPUTED_VALUE"""),"Westfalia/Witter")</f>
        <v>Westfalia/Witter</v>
      </c>
    </row>
    <row r="1123">
      <c r="A1123" t="str">
        <f>IFERROR(__xludf.DUMMYFUNCTION("""COMPUTED_VALUE"""),"HY39AQ")</f>
        <v>HY39AQ</v>
      </c>
      <c r="B1123" s="226" t="str">
        <f>IFERROR(__xludf.DUMMYFUNCTION("""COMPUTED_VALUE"""),"5056150102175")</f>
        <v>5056150102175</v>
      </c>
      <c r="C1123" t="str">
        <f>IFERROR(__xludf.DUMMYFUNCTION("""COMPUTED_VALUE"""),"Westfalia/Witter")</f>
        <v>Westfalia/Witter</v>
      </c>
    </row>
    <row r="1124">
      <c r="A1124" t="str">
        <f>IFERROR(__xludf.DUMMYFUNCTION("""COMPUTED_VALUE"""),"HY39AS")</f>
        <v>HY39AS</v>
      </c>
      <c r="B1124" s="226" t="str">
        <f>IFERROR(__xludf.DUMMYFUNCTION("""COMPUTED_VALUE"""),"5056150102199")</f>
        <v>5056150102199</v>
      </c>
      <c r="C1124" t="str">
        <f>IFERROR(__xludf.DUMMYFUNCTION("""COMPUTED_VALUE"""),"Westfalia/Witter")</f>
        <v>Westfalia/Witter</v>
      </c>
    </row>
    <row r="1125">
      <c r="A1125" t="str">
        <f>IFERROR(__xludf.DUMMYFUNCTION("""COMPUTED_VALUE"""),"HY44")</f>
        <v>HY44</v>
      </c>
      <c r="B1125" s="226" t="str">
        <f>IFERROR(__xludf.DUMMYFUNCTION("""COMPUTED_VALUE"""),"5056150102205")</f>
        <v>5056150102205</v>
      </c>
      <c r="C1125" t="str">
        <f>IFERROR(__xludf.DUMMYFUNCTION("""COMPUTED_VALUE"""),"Westfalia/Witter")</f>
        <v>Westfalia/Witter</v>
      </c>
    </row>
    <row r="1126">
      <c r="A1126" t="str">
        <f>IFERROR(__xludf.DUMMYFUNCTION("""COMPUTED_VALUE"""),"HY54Q")</f>
        <v>HY54Q</v>
      </c>
      <c r="B1126" s="226" t="str">
        <f>IFERROR(__xludf.DUMMYFUNCTION("""COMPUTED_VALUE"""),"5056150102243")</f>
        <v>5056150102243</v>
      </c>
      <c r="C1126" t="str">
        <f>IFERROR(__xludf.DUMMYFUNCTION("""COMPUTED_VALUE"""),"Westfalia/Witter")</f>
        <v>Westfalia/Witter</v>
      </c>
    </row>
    <row r="1127">
      <c r="A1127" t="str">
        <f>IFERROR(__xludf.DUMMYFUNCTION("""COMPUTED_VALUE"""),"HY61")</f>
        <v>HY61</v>
      </c>
      <c r="B1127" s="226" t="str">
        <f>IFERROR(__xludf.DUMMYFUNCTION("""COMPUTED_VALUE"""),"5056150102281")</f>
        <v>5056150102281</v>
      </c>
      <c r="C1127" t="str">
        <f>IFERROR(__xludf.DUMMYFUNCTION("""COMPUTED_VALUE"""),"Westfalia/Witter")</f>
        <v>Westfalia/Witter</v>
      </c>
    </row>
    <row r="1128">
      <c r="A1128" t="str">
        <f>IFERROR(__xludf.DUMMYFUNCTION("""COMPUTED_VALUE"""),"HY61Q")</f>
        <v>HY61Q</v>
      </c>
      <c r="B1128" s="226" t="str">
        <f>IFERROR(__xludf.DUMMYFUNCTION("""COMPUTED_VALUE"""),"5056150102298")</f>
        <v>5056150102298</v>
      </c>
      <c r="C1128" t="str">
        <f>IFERROR(__xludf.DUMMYFUNCTION("""COMPUTED_VALUE"""),"Westfalia/Witter")</f>
        <v>Westfalia/Witter</v>
      </c>
    </row>
    <row r="1129">
      <c r="A1129" t="str">
        <f>IFERROR(__xludf.DUMMYFUNCTION("""COMPUTED_VALUE"""),"HY61S")</f>
        <v>HY61S</v>
      </c>
      <c r="B1129" s="226" t="str">
        <f>IFERROR(__xludf.DUMMYFUNCTION("""COMPUTED_VALUE"""),"5056150102304")</f>
        <v>5056150102304</v>
      </c>
      <c r="C1129" t="str">
        <f>IFERROR(__xludf.DUMMYFUNCTION("""COMPUTED_VALUE"""),"Westfalia/Witter")</f>
        <v>Westfalia/Witter</v>
      </c>
    </row>
    <row r="1130">
      <c r="A1130" t="str">
        <f>IFERROR(__xludf.DUMMYFUNCTION("""COMPUTED_VALUE"""),"J17")</f>
        <v>J17</v>
      </c>
      <c r="B1130" s="226" t="str">
        <f>IFERROR(__xludf.DUMMYFUNCTION("""COMPUTED_VALUE"""),"5056150102311")</f>
        <v>5056150102311</v>
      </c>
      <c r="C1130" t="str">
        <f>IFERROR(__xludf.DUMMYFUNCTION("""COMPUTED_VALUE"""),"Westfalia/Witter")</f>
        <v>Westfalia/Witter</v>
      </c>
    </row>
    <row r="1131">
      <c r="A1131" t="str">
        <f>IFERROR(__xludf.DUMMYFUNCTION("""COMPUTED_VALUE"""),"J17S")</f>
        <v>J17S</v>
      </c>
      <c r="B1131" s="226" t="str">
        <f>IFERROR(__xludf.DUMMYFUNCTION("""COMPUTED_VALUE"""),"5056150102328")</f>
        <v>5056150102328</v>
      </c>
      <c r="C1131" t="str">
        <f>IFERROR(__xludf.DUMMYFUNCTION("""COMPUTED_VALUE"""),"Westfalia/Witter")</f>
        <v>Westfalia/Witter</v>
      </c>
    </row>
    <row r="1132">
      <c r="A1132" t="str">
        <f>IFERROR(__xludf.DUMMYFUNCTION("""COMPUTED_VALUE"""),"J18")</f>
        <v>J18</v>
      </c>
      <c r="B1132" s="226" t="str">
        <f>IFERROR(__xludf.DUMMYFUNCTION("""COMPUTED_VALUE"""),"5056150102335")</f>
        <v>5056150102335</v>
      </c>
      <c r="C1132" t="str">
        <f>IFERROR(__xludf.DUMMYFUNCTION("""COMPUTED_VALUE"""),"Westfalia/Witter")</f>
        <v>Westfalia/Witter</v>
      </c>
    </row>
    <row r="1133">
      <c r="A1133" t="str">
        <f>IFERROR(__xludf.DUMMYFUNCTION("""COMPUTED_VALUE"""),"J18Q")</f>
        <v>J18Q</v>
      </c>
      <c r="B1133" s="226" t="str">
        <f>IFERROR(__xludf.DUMMYFUNCTION("""COMPUTED_VALUE"""),"5056150102342")</f>
        <v>5056150102342</v>
      </c>
      <c r="C1133" t="str">
        <f>IFERROR(__xludf.DUMMYFUNCTION("""COMPUTED_VALUE"""),"Westfalia/Witter")</f>
        <v>Westfalia/Witter</v>
      </c>
    </row>
    <row r="1134">
      <c r="A1134" t="str">
        <f>IFERROR(__xludf.DUMMYFUNCTION("""COMPUTED_VALUE"""),"J18S")</f>
        <v>J18S</v>
      </c>
      <c r="B1134" s="226" t="str">
        <f>IFERROR(__xludf.DUMMYFUNCTION("""COMPUTED_VALUE"""),"5056150102359")</f>
        <v>5056150102359</v>
      </c>
      <c r="C1134" t="str">
        <f>IFERROR(__xludf.DUMMYFUNCTION("""COMPUTED_VALUE"""),"Westfalia/Witter")</f>
        <v>Westfalia/Witter</v>
      </c>
    </row>
    <row r="1135">
      <c r="A1135" t="str">
        <f>IFERROR(__xludf.DUMMYFUNCTION("""COMPUTED_VALUE"""),"KA13AQ")</f>
        <v>KA13AQ</v>
      </c>
      <c r="B1135" s="226" t="str">
        <f>IFERROR(__xludf.DUMMYFUNCTION("""COMPUTED_VALUE"""),"5056150102366")</f>
        <v>5056150102366</v>
      </c>
      <c r="C1135" t="str">
        <f>IFERROR(__xludf.DUMMYFUNCTION("""COMPUTED_VALUE"""),"Westfalia/Witter")</f>
        <v>Westfalia/Witter</v>
      </c>
    </row>
    <row r="1136">
      <c r="A1136" t="str">
        <f>IFERROR(__xludf.DUMMYFUNCTION("""COMPUTED_VALUE"""),"KA13AS")</f>
        <v>KA13AS</v>
      </c>
      <c r="B1136" s="226" t="str">
        <f>IFERROR(__xludf.DUMMYFUNCTION("""COMPUTED_VALUE"""),"5056150102373")</f>
        <v>5056150102373</v>
      </c>
      <c r="C1136" t="str">
        <f>IFERROR(__xludf.DUMMYFUNCTION("""COMPUTED_VALUE"""),"Westfalia/Witter")</f>
        <v>Westfalia/Witter</v>
      </c>
    </row>
    <row r="1137">
      <c r="A1137" t="str">
        <f>IFERROR(__xludf.DUMMYFUNCTION("""COMPUTED_VALUE"""),"KA20AQ")</f>
        <v>KA20AQ</v>
      </c>
      <c r="B1137" s="226" t="str">
        <f>IFERROR(__xludf.DUMMYFUNCTION("""COMPUTED_VALUE"""),"5056150102410")</f>
        <v>5056150102410</v>
      </c>
      <c r="C1137" t="str">
        <f>IFERROR(__xludf.DUMMYFUNCTION("""COMPUTED_VALUE"""),"Westfalia/Witter")</f>
        <v>Westfalia/Witter</v>
      </c>
    </row>
    <row r="1138">
      <c r="A1138" t="str">
        <f>IFERROR(__xludf.DUMMYFUNCTION("""COMPUTED_VALUE"""),"KA21AQ")</f>
        <v>KA21AQ</v>
      </c>
      <c r="B1138" s="226" t="str">
        <f>IFERROR(__xludf.DUMMYFUNCTION("""COMPUTED_VALUE"""),"5056150102427")</f>
        <v>5056150102427</v>
      </c>
      <c r="C1138" t="str">
        <f>IFERROR(__xludf.DUMMYFUNCTION("""COMPUTED_VALUE"""),"Westfalia/Witter")</f>
        <v>Westfalia/Witter</v>
      </c>
    </row>
    <row r="1139">
      <c r="A1139" t="str">
        <f>IFERROR(__xludf.DUMMYFUNCTION("""COMPUTED_VALUE"""),"KA32Q")</f>
        <v>KA32Q</v>
      </c>
      <c r="B1139" s="226" t="str">
        <f>IFERROR(__xludf.DUMMYFUNCTION("""COMPUTED_VALUE"""),"5056150102557")</f>
        <v>5056150102557</v>
      </c>
      <c r="C1139" t="str">
        <f>IFERROR(__xludf.DUMMYFUNCTION("""COMPUTED_VALUE"""),"Westfalia/Witter")</f>
        <v>Westfalia/Witter</v>
      </c>
    </row>
    <row r="1140">
      <c r="A1140" t="str">
        <f>IFERROR(__xludf.DUMMYFUNCTION("""COMPUTED_VALUE"""),"KA33Q")</f>
        <v>KA33Q</v>
      </c>
      <c r="B1140" s="226" t="str">
        <f>IFERROR(__xludf.DUMMYFUNCTION("""COMPUTED_VALUE"""),"5056150102564")</f>
        <v>5056150102564</v>
      </c>
      <c r="C1140" t="str">
        <f>IFERROR(__xludf.DUMMYFUNCTION("""COMPUTED_VALUE"""),"Westfalia/Witter")</f>
        <v>Westfalia/Witter</v>
      </c>
    </row>
    <row r="1141">
      <c r="A1141" t="str">
        <f>IFERROR(__xludf.DUMMYFUNCTION("""COMPUTED_VALUE"""),"KA40S")</f>
        <v>KA40S</v>
      </c>
      <c r="B1141" s="226" t="str">
        <f>IFERROR(__xludf.DUMMYFUNCTION("""COMPUTED_VALUE"""),"5056150102632")</f>
        <v>5056150102632</v>
      </c>
      <c r="C1141" t="str">
        <f>IFERROR(__xludf.DUMMYFUNCTION("""COMPUTED_VALUE"""),"Westfalia/Witter")</f>
        <v>Westfalia/Witter</v>
      </c>
    </row>
    <row r="1142">
      <c r="A1142" t="str">
        <f>IFERROR(__xludf.DUMMYFUNCTION("""COMPUTED_VALUE"""),"KA43")</f>
        <v>KA43</v>
      </c>
      <c r="B1142" s="226" t="str">
        <f>IFERROR(__xludf.DUMMYFUNCTION("""COMPUTED_VALUE"""),"5056150102649")</f>
        <v>5056150102649</v>
      </c>
      <c r="C1142" t="str">
        <f>IFERROR(__xludf.DUMMYFUNCTION("""COMPUTED_VALUE"""),"Westfalia/Witter")</f>
        <v>Westfalia/Witter</v>
      </c>
    </row>
    <row r="1143">
      <c r="A1143" t="str">
        <f>IFERROR(__xludf.DUMMYFUNCTION("""COMPUTED_VALUE"""),"KA43Q")</f>
        <v>KA43Q</v>
      </c>
      <c r="B1143" s="226" t="str">
        <f>IFERROR(__xludf.DUMMYFUNCTION("""COMPUTED_VALUE"""),"5056150102656")</f>
        <v>5056150102656</v>
      </c>
      <c r="C1143" t="str">
        <f>IFERROR(__xludf.DUMMYFUNCTION("""COMPUTED_VALUE"""),"Westfalia/Witter")</f>
        <v>Westfalia/Witter</v>
      </c>
    </row>
    <row r="1144">
      <c r="A1144" t="str">
        <f>IFERROR(__xludf.DUMMYFUNCTION("""COMPUTED_VALUE"""),"KA43S")</f>
        <v>KA43S</v>
      </c>
      <c r="B1144" s="226" t="str">
        <f>IFERROR(__xludf.DUMMYFUNCTION("""COMPUTED_VALUE"""),"5056150102670")</f>
        <v>5056150102670</v>
      </c>
      <c r="C1144" t="str">
        <f>IFERROR(__xludf.DUMMYFUNCTION("""COMPUTED_VALUE"""),"Westfalia/Witter")</f>
        <v>Westfalia/Witter</v>
      </c>
    </row>
    <row r="1145">
      <c r="A1145" t="str">
        <f>IFERROR(__xludf.DUMMYFUNCTION("""COMPUTED_VALUE"""),"LX2S")</f>
        <v>LX2S</v>
      </c>
      <c r="B1145" s="226" t="str">
        <f>IFERROR(__xludf.DUMMYFUNCTION("""COMPUTED_VALUE"""),"5056150102748")</f>
        <v>5056150102748</v>
      </c>
      <c r="C1145" t="str">
        <f>IFERROR(__xludf.DUMMYFUNCTION("""COMPUTED_VALUE"""),"Westfalia/Witter")</f>
        <v>Westfalia/Witter</v>
      </c>
    </row>
    <row r="1146">
      <c r="A1146" t="str">
        <f>IFERROR(__xludf.DUMMYFUNCTION("""COMPUTED_VALUE"""),"MR24AS")</f>
        <v>MR24AS</v>
      </c>
      <c r="B1146" s="226" t="str">
        <f>IFERROR(__xludf.DUMMYFUNCTION("""COMPUTED_VALUE"""),"5056150102762")</f>
        <v>5056150102762</v>
      </c>
      <c r="C1146" t="str">
        <f>IFERROR(__xludf.DUMMYFUNCTION("""COMPUTED_VALUE"""),"Westfalia/Witter")</f>
        <v>Westfalia/Witter</v>
      </c>
    </row>
    <row r="1147">
      <c r="A1147" t="str">
        <f>IFERROR(__xludf.DUMMYFUNCTION("""COMPUTED_VALUE"""),"MR24AS")</f>
        <v>MR24AS</v>
      </c>
      <c r="B1147" s="226" t="str">
        <f>IFERROR(__xludf.DUMMYFUNCTION("""COMPUTED_VALUE"""),"5056150102762")</f>
        <v>5056150102762</v>
      </c>
      <c r="C1147" t="str">
        <f>IFERROR(__xludf.DUMMYFUNCTION("""COMPUTED_VALUE"""),"Westfalia/Witter")</f>
        <v>Westfalia/Witter</v>
      </c>
    </row>
    <row r="1148">
      <c r="A1148" t="str">
        <f>IFERROR(__xludf.DUMMYFUNCTION("""COMPUTED_VALUE"""),"MR36AS")</f>
        <v>MR36AS</v>
      </c>
      <c r="B1148" s="226" t="str">
        <f>IFERROR(__xludf.DUMMYFUNCTION("""COMPUTED_VALUE"""),"5056150102823")</f>
        <v>5056150102823</v>
      </c>
      <c r="C1148" t="str">
        <f>IFERROR(__xludf.DUMMYFUNCTION("""COMPUTED_VALUE"""),"Westfalia/Witter")</f>
        <v>Westfalia/Witter</v>
      </c>
    </row>
    <row r="1149">
      <c r="A1149" t="str">
        <f>IFERROR(__xludf.DUMMYFUNCTION("""COMPUTED_VALUE"""),"MR49S")</f>
        <v>MR49S</v>
      </c>
      <c r="B1149" s="226" t="str">
        <f>IFERROR(__xludf.DUMMYFUNCTION("""COMPUTED_VALUE"""),"5056150102847")</f>
        <v>5056150102847</v>
      </c>
      <c r="C1149" t="str">
        <f>IFERROR(__xludf.DUMMYFUNCTION("""COMPUTED_VALUE"""),"Westfalia/Witter")</f>
        <v>Westfalia/Witter</v>
      </c>
    </row>
    <row r="1150">
      <c r="A1150" t="str">
        <f>IFERROR(__xludf.DUMMYFUNCTION("""COMPUTED_VALUE"""),"MR60")</f>
        <v>MR60</v>
      </c>
      <c r="B1150" s="226" t="str">
        <f>IFERROR(__xludf.DUMMYFUNCTION("""COMPUTED_VALUE"""),"5056150102854")</f>
        <v>5056150102854</v>
      </c>
      <c r="C1150" t="str">
        <f>IFERROR(__xludf.DUMMYFUNCTION("""COMPUTED_VALUE"""),"Westfalia/Witter")</f>
        <v>Westfalia/Witter</v>
      </c>
    </row>
    <row r="1151">
      <c r="A1151" t="str">
        <f>IFERROR(__xludf.DUMMYFUNCTION("""COMPUTED_VALUE"""),"MR60")</f>
        <v>MR60</v>
      </c>
      <c r="B1151" s="226" t="str">
        <f>IFERROR(__xludf.DUMMYFUNCTION("""COMPUTED_VALUE"""),"5056150102854")</f>
        <v>5056150102854</v>
      </c>
      <c r="C1151" t="str">
        <f>IFERROR(__xludf.DUMMYFUNCTION("""COMPUTED_VALUE"""),"Westfalia/Witter")</f>
        <v>Westfalia/Witter</v>
      </c>
    </row>
    <row r="1152">
      <c r="A1152" t="str">
        <f>IFERROR(__xludf.DUMMYFUNCTION("""COMPUTED_VALUE"""),"MR60")</f>
        <v>MR60</v>
      </c>
      <c r="B1152" s="226" t="str">
        <f>IFERROR(__xludf.DUMMYFUNCTION("""COMPUTED_VALUE"""),"5056150102854")</f>
        <v>5056150102854</v>
      </c>
      <c r="C1152" t="str">
        <f>IFERROR(__xludf.DUMMYFUNCTION("""COMPUTED_VALUE"""),"Westfalia/Witter")</f>
        <v>Westfalia/Witter</v>
      </c>
    </row>
    <row r="1153">
      <c r="A1153" t="str">
        <f>IFERROR(__xludf.DUMMYFUNCTION("""COMPUTED_VALUE"""),"MR60")</f>
        <v>MR60</v>
      </c>
      <c r="B1153" s="226" t="str">
        <f>IFERROR(__xludf.DUMMYFUNCTION("""COMPUTED_VALUE"""),"5056150102854")</f>
        <v>5056150102854</v>
      </c>
      <c r="C1153" t="str">
        <f>IFERROR(__xludf.DUMMYFUNCTION("""COMPUTED_VALUE"""),"Westfalia/Witter")</f>
        <v>Westfalia/Witter</v>
      </c>
    </row>
    <row r="1154">
      <c r="A1154" t="str">
        <f>IFERROR(__xludf.DUMMYFUNCTION("""COMPUTED_VALUE"""),"MR60S")</f>
        <v>MR60S</v>
      </c>
      <c r="B1154" s="226" t="str">
        <f>IFERROR(__xludf.DUMMYFUNCTION("""COMPUTED_VALUE"""),"5056150102861")</f>
        <v>5056150102861</v>
      </c>
      <c r="C1154" t="str">
        <f>IFERROR(__xludf.DUMMYFUNCTION("""COMPUTED_VALUE"""),"Westfalia/Witter")</f>
        <v>Westfalia/Witter</v>
      </c>
    </row>
    <row r="1155">
      <c r="A1155" t="str">
        <f>IFERROR(__xludf.DUMMYFUNCTION("""COMPUTED_VALUE"""),"MR60S")</f>
        <v>MR60S</v>
      </c>
      <c r="B1155" s="226" t="str">
        <f>IFERROR(__xludf.DUMMYFUNCTION("""COMPUTED_VALUE"""),"5056150102861")</f>
        <v>5056150102861</v>
      </c>
      <c r="C1155" t="str">
        <f>IFERROR(__xludf.DUMMYFUNCTION("""COMPUTED_VALUE"""),"Westfalia/Witter")</f>
        <v>Westfalia/Witter</v>
      </c>
    </row>
    <row r="1156">
      <c r="A1156" t="str">
        <f>IFERROR(__xludf.DUMMYFUNCTION("""COMPUTED_VALUE"""),"MR60S")</f>
        <v>MR60S</v>
      </c>
      <c r="B1156" s="226" t="str">
        <f>IFERROR(__xludf.DUMMYFUNCTION("""COMPUTED_VALUE"""),"5056150102861")</f>
        <v>5056150102861</v>
      </c>
      <c r="C1156" t="str">
        <f>IFERROR(__xludf.DUMMYFUNCTION("""COMPUTED_VALUE"""),"Westfalia/Witter")</f>
        <v>Westfalia/Witter</v>
      </c>
    </row>
    <row r="1157">
      <c r="A1157" t="str">
        <f>IFERROR(__xludf.DUMMYFUNCTION("""COMPUTED_VALUE"""),"MR60S")</f>
        <v>MR60S</v>
      </c>
      <c r="B1157" s="226" t="str">
        <f>IFERROR(__xludf.DUMMYFUNCTION("""COMPUTED_VALUE"""),"5056150102861")</f>
        <v>5056150102861</v>
      </c>
      <c r="C1157" t="str">
        <f>IFERROR(__xludf.DUMMYFUNCTION("""COMPUTED_VALUE"""),"Westfalia/Witter")</f>
        <v>Westfalia/Witter</v>
      </c>
    </row>
    <row r="1158">
      <c r="A1158" t="str">
        <f>IFERROR(__xludf.DUMMYFUNCTION("""COMPUTED_VALUE"""),"MR61")</f>
        <v>MR61</v>
      </c>
      <c r="B1158" s="226" t="str">
        <f>IFERROR(__xludf.DUMMYFUNCTION("""COMPUTED_VALUE"""),"5056150102878")</f>
        <v>5056150102878</v>
      </c>
      <c r="C1158" t="str">
        <f>IFERROR(__xludf.DUMMYFUNCTION("""COMPUTED_VALUE"""),"Westfalia/Witter")</f>
        <v>Westfalia/Witter</v>
      </c>
    </row>
    <row r="1159">
      <c r="A1159" t="str">
        <f>IFERROR(__xludf.DUMMYFUNCTION("""COMPUTED_VALUE"""),"MR61S")</f>
        <v>MR61S</v>
      </c>
      <c r="B1159" s="226" t="str">
        <f>IFERROR(__xludf.DUMMYFUNCTION("""COMPUTED_VALUE"""),"5056150102885")</f>
        <v>5056150102885</v>
      </c>
      <c r="C1159" t="str">
        <f>IFERROR(__xludf.DUMMYFUNCTION("""COMPUTED_VALUE"""),"Westfalia/Witter")</f>
        <v>Westfalia/Witter</v>
      </c>
    </row>
    <row r="1160">
      <c r="A1160" t="str">
        <f>IFERROR(__xludf.DUMMYFUNCTION("""COMPUTED_VALUE"""),"MR61S")</f>
        <v>MR61S</v>
      </c>
      <c r="B1160" s="226" t="str">
        <f>IFERROR(__xludf.DUMMYFUNCTION("""COMPUTED_VALUE"""),"5056150102885")</f>
        <v>5056150102885</v>
      </c>
      <c r="C1160" t="str">
        <f>IFERROR(__xludf.DUMMYFUNCTION("""COMPUTED_VALUE"""),"Westfalia/Witter")</f>
        <v>Westfalia/Witter</v>
      </c>
    </row>
    <row r="1161">
      <c r="A1161" t="str">
        <f>IFERROR(__xludf.DUMMYFUNCTION("""COMPUTED_VALUE"""),"MR62")</f>
        <v>MR62</v>
      </c>
      <c r="B1161" s="226" t="str">
        <f>IFERROR(__xludf.DUMMYFUNCTION("""COMPUTED_VALUE"""),"5056150102892")</f>
        <v>5056150102892</v>
      </c>
      <c r="C1161" t="str">
        <f>IFERROR(__xludf.DUMMYFUNCTION("""COMPUTED_VALUE"""),"Westfalia/Witter")</f>
        <v>Westfalia/Witter</v>
      </c>
    </row>
    <row r="1162">
      <c r="A1162" t="str">
        <f>IFERROR(__xludf.DUMMYFUNCTION("""COMPUTED_VALUE"""),"MR62S")</f>
        <v>MR62S</v>
      </c>
      <c r="B1162" s="226" t="str">
        <f>IFERROR(__xludf.DUMMYFUNCTION("""COMPUTED_VALUE"""),"5056150102908")</f>
        <v>5056150102908</v>
      </c>
      <c r="C1162" t="str">
        <f>IFERROR(__xludf.DUMMYFUNCTION("""COMPUTED_VALUE"""),"Westfalia/Witter")</f>
        <v>Westfalia/Witter</v>
      </c>
    </row>
    <row r="1163">
      <c r="A1163" t="str">
        <f>IFERROR(__xludf.DUMMYFUNCTION("""COMPUTED_VALUE"""),"MR65")</f>
        <v>MR65</v>
      </c>
      <c r="B1163" s="226" t="str">
        <f>IFERROR(__xludf.DUMMYFUNCTION("""COMPUTED_VALUE"""),"5056150102915")</f>
        <v>5056150102915</v>
      </c>
      <c r="C1163" t="str">
        <f>IFERROR(__xludf.DUMMYFUNCTION("""COMPUTED_VALUE"""),"Westfalia/Witter")</f>
        <v>Westfalia/Witter</v>
      </c>
    </row>
    <row r="1164">
      <c r="A1164" t="str">
        <f>IFERROR(__xludf.DUMMYFUNCTION("""COMPUTED_VALUE"""),"MR65S")</f>
        <v>MR65S</v>
      </c>
      <c r="B1164" s="226" t="str">
        <f>IFERROR(__xludf.DUMMYFUNCTION("""COMPUTED_VALUE"""),"5056150102922")</f>
        <v>5056150102922</v>
      </c>
      <c r="C1164" t="str">
        <f>IFERROR(__xludf.DUMMYFUNCTION("""COMPUTED_VALUE"""),"Westfalia/Witter")</f>
        <v>Westfalia/Witter</v>
      </c>
    </row>
    <row r="1165">
      <c r="A1165" t="str">
        <f>IFERROR(__xludf.DUMMYFUNCTION("""COMPUTED_VALUE"""),"MR67")</f>
        <v>MR67</v>
      </c>
      <c r="B1165" s="226" t="str">
        <f>IFERROR(__xludf.DUMMYFUNCTION("""COMPUTED_VALUE"""),"5056150102939")</f>
        <v>5056150102939</v>
      </c>
      <c r="C1165" t="str">
        <f>IFERROR(__xludf.DUMMYFUNCTION("""COMPUTED_VALUE"""),"Westfalia/Witter")</f>
        <v>Westfalia/Witter</v>
      </c>
    </row>
    <row r="1166">
      <c r="A1166" t="str">
        <f>IFERROR(__xludf.DUMMYFUNCTION("""COMPUTED_VALUE"""),"MR67S")</f>
        <v>MR67S</v>
      </c>
      <c r="B1166" s="226" t="str">
        <f>IFERROR(__xludf.DUMMYFUNCTION("""COMPUTED_VALUE"""),"5056150102946")</f>
        <v>5056150102946</v>
      </c>
      <c r="C1166" t="str">
        <f>IFERROR(__xludf.DUMMYFUNCTION("""COMPUTED_VALUE"""),"Westfalia/Witter")</f>
        <v>Westfalia/Witter</v>
      </c>
    </row>
    <row r="1167">
      <c r="A1167" t="str">
        <f>IFERROR(__xludf.DUMMYFUNCTION("""COMPUTED_VALUE"""),"MR68")</f>
        <v>MR68</v>
      </c>
      <c r="B1167" s="226" t="str">
        <f>IFERROR(__xludf.DUMMYFUNCTION("""COMPUTED_VALUE"""),"5056150102953")</f>
        <v>5056150102953</v>
      </c>
      <c r="C1167" t="str">
        <f>IFERROR(__xludf.DUMMYFUNCTION("""COMPUTED_VALUE"""),"Westfalia/Witter")</f>
        <v>Westfalia/Witter</v>
      </c>
    </row>
    <row r="1168">
      <c r="A1168" t="str">
        <f>IFERROR(__xludf.DUMMYFUNCTION("""COMPUTED_VALUE"""),"MR68")</f>
        <v>MR68</v>
      </c>
      <c r="B1168" s="226" t="str">
        <f>IFERROR(__xludf.DUMMYFUNCTION("""COMPUTED_VALUE"""),"5056150102953")</f>
        <v>5056150102953</v>
      </c>
      <c r="C1168" t="str">
        <f>IFERROR(__xludf.DUMMYFUNCTION("""COMPUTED_VALUE"""),"Westfalia/Witter")</f>
        <v>Westfalia/Witter</v>
      </c>
    </row>
    <row r="1169">
      <c r="A1169" t="str">
        <f>IFERROR(__xludf.DUMMYFUNCTION("""COMPUTED_VALUE"""),"MR70Q")</f>
        <v>MR70Q</v>
      </c>
      <c r="B1169" s="226" t="str">
        <f>IFERROR(__xludf.DUMMYFUNCTION("""COMPUTED_VALUE"""),"5056150102960")</f>
        <v>5056150102960</v>
      </c>
      <c r="C1169" t="str">
        <f>IFERROR(__xludf.DUMMYFUNCTION("""COMPUTED_VALUE"""),"Westfalia/Witter")</f>
        <v>Westfalia/Witter</v>
      </c>
    </row>
    <row r="1170">
      <c r="A1170" t="str">
        <f>IFERROR(__xludf.DUMMYFUNCTION("""COMPUTED_VALUE"""),"MR70Q")</f>
        <v>MR70Q</v>
      </c>
      <c r="B1170" s="226" t="str">
        <f>IFERROR(__xludf.DUMMYFUNCTION("""COMPUTED_VALUE"""),"5056150102960")</f>
        <v>5056150102960</v>
      </c>
      <c r="C1170" t="str">
        <f>IFERROR(__xludf.DUMMYFUNCTION("""COMPUTED_VALUE"""),"Westfalia/Witter")</f>
        <v>Westfalia/Witter</v>
      </c>
    </row>
    <row r="1171">
      <c r="A1171" t="str">
        <f>IFERROR(__xludf.DUMMYFUNCTION("""COMPUTED_VALUE"""),"MR70Q")</f>
        <v>MR70Q</v>
      </c>
      <c r="B1171" s="226" t="str">
        <f>IFERROR(__xludf.DUMMYFUNCTION("""COMPUTED_VALUE"""),"5056150102960")</f>
        <v>5056150102960</v>
      </c>
      <c r="C1171" t="str">
        <f>IFERROR(__xludf.DUMMYFUNCTION("""COMPUTED_VALUE"""),"Westfalia/Witter")</f>
        <v>Westfalia/Witter</v>
      </c>
    </row>
    <row r="1172">
      <c r="A1172" t="str">
        <f>IFERROR(__xludf.DUMMYFUNCTION("""COMPUTED_VALUE"""),"MZ29")</f>
        <v>MZ29</v>
      </c>
      <c r="B1172" s="226" t="str">
        <f>IFERROR(__xludf.DUMMYFUNCTION("""COMPUTED_VALUE"""),"5056150102977")</f>
        <v>5056150102977</v>
      </c>
      <c r="C1172" t="str">
        <f>IFERROR(__xludf.DUMMYFUNCTION("""COMPUTED_VALUE"""),"Westfalia/Witter")</f>
        <v>Westfalia/Witter</v>
      </c>
    </row>
    <row r="1173">
      <c r="A1173" t="str">
        <f>IFERROR(__xludf.DUMMYFUNCTION("""COMPUTED_VALUE"""),"MZ37A")</f>
        <v>MZ37A</v>
      </c>
      <c r="B1173" s="226" t="str">
        <f>IFERROR(__xludf.DUMMYFUNCTION("""COMPUTED_VALUE"""),"5056150102984")</f>
        <v>5056150102984</v>
      </c>
      <c r="C1173" t="str">
        <f>IFERROR(__xludf.DUMMYFUNCTION("""COMPUTED_VALUE"""),"Westfalia/Witter")</f>
        <v>Westfalia/Witter</v>
      </c>
    </row>
    <row r="1174">
      <c r="A1174" t="str">
        <f>IFERROR(__xludf.DUMMYFUNCTION("""COMPUTED_VALUE"""),"MZ43AS")</f>
        <v>MZ43AS</v>
      </c>
      <c r="B1174" s="226" t="str">
        <f>IFERROR(__xludf.DUMMYFUNCTION("""COMPUTED_VALUE"""),"5056150103011")</f>
        <v>5056150103011</v>
      </c>
      <c r="C1174" t="str">
        <f>IFERROR(__xludf.DUMMYFUNCTION("""COMPUTED_VALUE"""),"Westfalia/Witter")</f>
        <v>Westfalia/Witter</v>
      </c>
    </row>
    <row r="1175">
      <c r="A1175" t="str">
        <f>IFERROR(__xludf.DUMMYFUNCTION("""COMPUTED_VALUE"""),"MZ49Q")</f>
        <v>MZ49Q</v>
      </c>
      <c r="B1175" s="226" t="str">
        <f>IFERROR(__xludf.DUMMYFUNCTION("""COMPUTED_VALUE"""),"5056150103042")</f>
        <v>5056150103042</v>
      </c>
      <c r="C1175" t="str">
        <f>IFERROR(__xludf.DUMMYFUNCTION("""COMPUTED_VALUE"""),"Westfalia/Witter")</f>
        <v>Westfalia/Witter</v>
      </c>
    </row>
    <row r="1176">
      <c r="A1176" t="str">
        <f>IFERROR(__xludf.DUMMYFUNCTION("""COMPUTED_VALUE"""),"MZ49Q")</f>
        <v>MZ49Q</v>
      </c>
      <c r="B1176" s="226" t="str">
        <f>IFERROR(__xludf.DUMMYFUNCTION("""COMPUTED_VALUE"""),"5056150103042")</f>
        <v>5056150103042</v>
      </c>
      <c r="C1176" t="str">
        <f>IFERROR(__xludf.DUMMYFUNCTION("""COMPUTED_VALUE"""),"Westfalia/Witter")</f>
        <v>Westfalia/Witter</v>
      </c>
    </row>
    <row r="1177">
      <c r="A1177" t="str">
        <f>IFERROR(__xludf.DUMMYFUNCTION("""COMPUTED_VALUE"""),"MZ49S")</f>
        <v>MZ49S</v>
      </c>
      <c r="B1177" s="226" t="str">
        <f>IFERROR(__xludf.DUMMYFUNCTION("""COMPUTED_VALUE"""),"5056150103066")</f>
        <v>5056150103066</v>
      </c>
      <c r="C1177" t="str">
        <f>IFERROR(__xludf.DUMMYFUNCTION("""COMPUTED_VALUE"""),"Westfalia/Witter")</f>
        <v>Westfalia/Witter</v>
      </c>
    </row>
    <row r="1178">
      <c r="A1178" t="str">
        <f>IFERROR(__xludf.DUMMYFUNCTION("""COMPUTED_VALUE"""),"MZ54AS")</f>
        <v>MZ54AS</v>
      </c>
      <c r="B1178" s="226" t="str">
        <f>IFERROR(__xludf.DUMMYFUNCTION("""COMPUTED_VALUE"""),"5056150103080")</f>
        <v>5056150103080</v>
      </c>
      <c r="C1178" t="str">
        <f>IFERROR(__xludf.DUMMYFUNCTION("""COMPUTED_VALUE"""),"Westfalia/Witter")</f>
        <v>Westfalia/Witter</v>
      </c>
    </row>
    <row r="1179">
      <c r="A1179" t="str">
        <f>IFERROR(__xludf.DUMMYFUNCTION("""COMPUTED_VALUE"""),"MZ55S")</f>
        <v>MZ55S</v>
      </c>
      <c r="B1179" s="226" t="str">
        <f>IFERROR(__xludf.DUMMYFUNCTION("""COMPUTED_VALUE"""),"5056150103103")</f>
        <v>5056150103103</v>
      </c>
      <c r="C1179" t="str">
        <f>IFERROR(__xludf.DUMMYFUNCTION("""COMPUTED_VALUE"""),"Westfalia/Witter")</f>
        <v>Westfalia/Witter</v>
      </c>
    </row>
    <row r="1180">
      <c r="A1180" t="str">
        <f>IFERROR(__xludf.DUMMYFUNCTION("""COMPUTED_VALUE"""),"PG35BQ")</f>
        <v>PG35BQ</v>
      </c>
      <c r="B1180" s="226" t="str">
        <f>IFERROR(__xludf.DUMMYFUNCTION("""COMPUTED_VALUE"""),"5056150103127")</f>
        <v>5056150103127</v>
      </c>
      <c r="C1180" t="str">
        <f>IFERROR(__xludf.DUMMYFUNCTION("""COMPUTED_VALUE"""),"Westfalia/Witter")</f>
        <v>Westfalia/Witter</v>
      </c>
    </row>
    <row r="1181">
      <c r="A1181" t="str">
        <f>IFERROR(__xludf.DUMMYFUNCTION("""COMPUTED_VALUE"""),"PG35BQ")</f>
        <v>PG35BQ</v>
      </c>
      <c r="B1181" s="226" t="str">
        <f>IFERROR(__xludf.DUMMYFUNCTION("""COMPUTED_VALUE"""),"5056150103127")</f>
        <v>5056150103127</v>
      </c>
      <c r="C1181" t="str">
        <f>IFERROR(__xludf.DUMMYFUNCTION("""COMPUTED_VALUE"""),"Westfalia/Witter")</f>
        <v>Westfalia/Witter</v>
      </c>
    </row>
    <row r="1182">
      <c r="A1182" t="str">
        <f>IFERROR(__xludf.DUMMYFUNCTION("""COMPUTED_VALUE"""),"PG38A")</f>
        <v>PG38A</v>
      </c>
      <c r="B1182" s="226" t="str">
        <f>IFERROR(__xludf.DUMMYFUNCTION("""COMPUTED_VALUE"""),"5056150103141")</f>
        <v>5056150103141</v>
      </c>
      <c r="C1182" t="str">
        <f>IFERROR(__xludf.DUMMYFUNCTION("""COMPUTED_VALUE"""),"Westfalia/Witter")</f>
        <v>Westfalia/Witter</v>
      </c>
    </row>
    <row r="1183">
      <c r="A1183" t="str">
        <f>IFERROR(__xludf.DUMMYFUNCTION("""COMPUTED_VALUE"""),"PG38AQ")</f>
        <v>PG38AQ</v>
      </c>
      <c r="B1183" s="226" t="str">
        <f>IFERROR(__xludf.DUMMYFUNCTION("""COMPUTED_VALUE"""),"5056150103158")</f>
        <v>5056150103158</v>
      </c>
      <c r="C1183" t="str">
        <f>IFERROR(__xludf.DUMMYFUNCTION("""COMPUTED_VALUE"""),"Westfalia/Witter")</f>
        <v>Westfalia/Witter</v>
      </c>
    </row>
    <row r="1184">
      <c r="A1184" t="str">
        <f>IFERROR(__xludf.DUMMYFUNCTION("""COMPUTED_VALUE"""),"PG38AS")</f>
        <v>PG38AS</v>
      </c>
      <c r="B1184" s="226" t="str">
        <f>IFERROR(__xludf.DUMMYFUNCTION("""COMPUTED_VALUE"""),"5056150103165")</f>
        <v>5056150103165</v>
      </c>
      <c r="C1184" t="str">
        <f>IFERROR(__xludf.DUMMYFUNCTION("""COMPUTED_VALUE"""),"Westfalia/Witter")</f>
        <v>Westfalia/Witter</v>
      </c>
    </row>
    <row r="1185">
      <c r="A1185" t="str">
        <f>IFERROR(__xludf.DUMMYFUNCTION("""COMPUTED_VALUE"""),"PG40BQ")</f>
        <v>PG40BQ</v>
      </c>
      <c r="B1185" s="226" t="str">
        <f>IFERROR(__xludf.DUMMYFUNCTION("""COMPUTED_VALUE"""),"5056150103172")</f>
        <v>5056150103172</v>
      </c>
      <c r="C1185" t="str">
        <f>IFERROR(__xludf.DUMMYFUNCTION("""COMPUTED_VALUE"""),"Westfalia/Witter")</f>
        <v>Westfalia/Witter</v>
      </c>
    </row>
    <row r="1186">
      <c r="A1186" t="str">
        <f>IFERROR(__xludf.DUMMYFUNCTION("""COMPUTED_VALUE"""),"PG45AS")</f>
        <v>PG45AS</v>
      </c>
      <c r="B1186" s="226" t="str">
        <f>IFERROR(__xludf.DUMMYFUNCTION("""COMPUTED_VALUE"""),"5056150103196")</f>
        <v>5056150103196</v>
      </c>
      <c r="C1186" t="str">
        <f>IFERROR(__xludf.DUMMYFUNCTION("""COMPUTED_VALUE"""),"Westfalia/Witter")</f>
        <v>Westfalia/Witter</v>
      </c>
    </row>
    <row r="1187">
      <c r="A1187" t="str">
        <f>IFERROR(__xludf.DUMMYFUNCTION("""COMPUTED_VALUE"""),"PG45AS")</f>
        <v>PG45AS</v>
      </c>
      <c r="B1187" s="226" t="str">
        <f>IFERROR(__xludf.DUMMYFUNCTION("""COMPUTED_VALUE"""),"5056150103196")</f>
        <v>5056150103196</v>
      </c>
      <c r="C1187" t="str">
        <f>IFERROR(__xludf.DUMMYFUNCTION("""COMPUTED_VALUE"""),"Westfalia/Witter")</f>
        <v>Westfalia/Witter</v>
      </c>
    </row>
    <row r="1188">
      <c r="A1188" t="str">
        <f>IFERROR(__xludf.DUMMYFUNCTION("""COMPUTED_VALUE"""),"PG49AQ")</f>
        <v>PG49AQ</v>
      </c>
      <c r="B1188" s="226" t="str">
        <f>IFERROR(__xludf.DUMMYFUNCTION("""COMPUTED_VALUE"""),"5056150103202")</f>
        <v>5056150103202</v>
      </c>
      <c r="C1188" t="str">
        <f>IFERROR(__xludf.DUMMYFUNCTION("""COMPUTED_VALUE"""),"Westfalia/Witter")</f>
        <v>Westfalia/Witter</v>
      </c>
    </row>
    <row r="1189">
      <c r="A1189" t="str">
        <f>IFERROR(__xludf.DUMMYFUNCTION("""COMPUTED_VALUE"""),"PG59S")</f>
        <v>PG59S</v>
      </c>
      <c r="B1189" s="226" t="str">
        <f>IFERROR(__xludf.DUMMYFUNCTION("""COMPUTED_VALUE"""),"5056150103240")</f>
        <v>5056150103240</v>
      </c>
      <c r="C1189" t="str">
        <f>IFERROR(__xludf.DUMMYFUNCTION("""COMPUTED_VALUE"""),"Westfalia/Witter")</f>
        <v>Westfalia/Witter</v>
      </c>
    </row>
    <row r="1190">
      <c r="A1190" t="str">
        <f>IFERROR(__xludf.DUMMYFUNCTION("""COMPUTED_VALUE"""),"PG60")</f>
        <v>PG60</v>
      </c>
      <c r="B1190" s="226" t="str">
        <f>IFERROR(__xludf.DUMMYFUNCTION("""COMPUTED_VALUE"""),"5056150103257")</f>
        <v>5056150103257</v>
      </c>
      <c r="C1190" t="str">
        <f>IFERROR(__xludf.DUMMYFUNCTION("""COMPUTED_VALUE"""),"Westfalia/Witter")</f>
        <v>Westfalia/Witter</v>
      </c>
    </row>
    <row r="1191">
      <c r="A1191" t="str">
        <f>IFERROR(__xludf.DUMMYFUNCTION("""COMPUTED_VALUE"""),"PG60Q")</f>
        <v>PG60Q</v>
      </c>
      <c r="B1191" s="226" t="str">
        <f>IFERROR(__xludf.DUMMYFUNCTION("""COMPUTED_VALUE"""),"5056150103264")</f>
        <v>5056150103264</v>
      </c>
      <c r="C1191" t="str">
        <f>IFERROR(__xludf.DUMMYFUNCTION("""COMPUTED_VALUE"""),"Westfalia/Witter")</f>
        <v>Westfalia/Witter</v>
      </c>
    </row>
    <row r="1192">
      <c r="A1192" t="str">
        <f>IFERROR(__xludf.DUMMYFUNCTION("""COMPUTED_VALUE"""),"PG60S")</f>
        <v>PG60S</v>
      </c>
      <c r="B1192" s="226" t="str">
        <f>IFERROR(__xludf.DUMMYFUNCTION("""COMPUTED_VALUE"""),"5056150103271")</f>
        <v>5056150103271</v>
      </c>
      <c r="C1192" t="str">
        <f>IFERROR(__xludf.DUMMYFUNCTION("""COMPUTED_VALUE"""),"Westfalia/Witter")</f>
        <v>Westfalia/Witter</v>
      </c>
    </row>
    <row r="1193">
      <c r="A1193" t="str">
        <f>IFERROR(__xludf.DUMMYFUNCTION("""COMPUTED_VALUE"""),"PR3B")</f>
        <v>PR3B</v>
      </c>
      <c r="B1193" s="226" t="str">
        <f>IFERROR(__xludf.DUMMYFUNCTION("""COMPUTED_VALUE"""),"5056150103288")</f>
        <v>5056150103288</v>
      </c>
      <c r="C1193" t="str">
        <f>IFERROR(__xludf.DUMMYFUNCTION("""COMPUTED_VALUE"""),"Westfalia/Witter")</f>
        <v>Westfalia/Witter</v>
      </c>
    </row>
    <row r="1194">
      <c r="A1194" t="str">
        <f>IFERROR(__xludf.DUMMYFUNCTION("""COMPUTED_VALUE"""),"PR5A")</f>
        <v>PR5A</v>
      </c>
      <c r="B1194" s="226" t="str">
        <f>IFERROR(__xludf.DUMMYFUNCTION("""COMPUTED_VALUE"""),"5056150103295")</f>
        <v>5056150103295</v>
      </c>
      <c r="C1194" t="str">
        <f>IFERROR(__xludf.DUMMYFUNCTION("""COMPUTED_VALUE"""),"Westfalia/Witter")</f>
        <v>Westfalia/Witter</v>
      </c>
    </row>
    <row r="1195">
      <c r="A1195" t="str">
        <f>IFERROR(__xludf.DUMMYFUNCTION("""COMPUTED_VALUE"""),"PR8A")</f>
        <v>PR8A</v>
      </c>
      <c r="B1195" s="226" t="str">
        <f>IFERROR(__xludf.DUMMYFUNCTION("""COMPUTED_VALUE"""),"5056150103301")</f>
        <v>5056150103301</v>
      </c>
      <c r="C1195" t="str">
        <f>IFERROR(__xludf.DUMMYFUNCTION("""COMPUTED_VALUE"""),"Westfalia/Witter")</f>
        <v>Westfalia/Witter</v>
      </c>
    </row>
    <row r="1196">
      <c r="A1196" t="str">
        <f>IFERROR(__xludf.DUMMYFUNCTION("""COMPUTED_VALUE"""),"R18B")</f>
        <v>R18B</v>
      </c>
      <c r="B1196" s="226" t="str">
        <f>IFERROR(__xludf.DUMMYFUNCTION("""COMPUTED_VALUE"""),"5056150103318")</f>
        <v>5056150103318</v>
      </c>
      <c r="C1196" t="str">
        <f>IFERROR(__xludf.DUMMYFUNCTION("""COMPUTED_VALUE"""),"Westfalia/Witter")</f>
        <v>Westfalia/Witter</v>
      </c>
    </row>
    <row r="1197">
      <c r="A1197" t="str">
        <f>IFERROR(__xludf.DUMMYFUNCTION("""COMPUTED_VALUE"""),"R35A")</f>
        <v>R35A</v>
      </c>
      <c r="B1197" s="226" t="str">
        <f>IFERROR(__xludf.DUMMYFUNCTION("""COMPUTED_VALUE"""),"5056150103325")</f>
        <v>5056150103325</v>
      </c>
      <c r="C1197" t="str">
        <f>IFERROR(__xludf.DUMMYFUNCTION("""COMPUTED_VALUE"""),"Westfalia/Witter")</f>
        <v>Westfalia/Witter</v>
      </c>
    </row>
    <row r="1198">
      <c r="A1198" t="str">
        <f>IFERROR(__xludf.DUMMYFUNCTION("""COMPUTED_VALUE"""),"R35AQ")</f>
        <v>R35AQ</v>
      </c>
      <c r="B1198" s="226" t="str">
        <f>IFERROR(__xludf.DUMMYFUNCTION("""COMPUTED_VALUE"""),"5056150103332")</f>
        <v>5056150103332</v>
      </c>
      <c r="C1198" t="str">
        <f>IFERROR(__xludf.DUMMYFUNCTION("""COMPUTED_VALUE"""),"Westfalia/Witter")</f>
        <v>Westfalia/Witter</v>
      </c>
    </row>
    <row r="1199">
      <c r="A1199" t="str">
        <f>IFERROR(__xludf.DUMMYFUNCTION("""COMPUTED_VALUE"""),"R35AS")</f>
        <v>R35AS</v>
      </c>
      <c r="B1199" s="226" t="str">
        <f>IFERROR(__xludf.DUMMYFUNCTION("""COMPUTED_VALUE"""),"5056150103349")</f>
        <v>5056150103349</v>
      </c>
      <c r="C1199" t="str">
        <f>IFERROR(__xludf.DUMMYFUNCTION("""COMPUTED_VALUE"""),"Westfalia/Witter")</f>
        <v>Westfalia/Witter</v>
      </c>
    </row>
    <row r="1200">
      <c r="A1200" t="str">
        <f>IFERROR(__xludf.DUMMYFUNCTION("""COMPUTED_VALUE"""),"R43Q")</f>
        <v>R43Q</v>
      </c>
      <c r="B1200" s="226" t="str">
        <f>IFERROR(__xludf.DUMMYFUNCTION("""COMPUTED_VALUE"""),"5056150103356")</f>
        <v>5056150103356</v>
      </c>
      <c r="C1200" t="str">
        <f>IFERROR(__xludf.DUMMYFUNCTION("""COMPUTED_VALUE"""),"Westfalia/Witter")</f>
        <v>Westfalia/Witter</v>
      </c>
    </row>
    <row r="1201">
      <c r="A1201" t="str">
        <f>IFERROR(__xludf.DUMMYFUNCTION("""COMPUTED_VALUE"""),"R43S")</f>
        <v>R43S</v>
      </c>
      <c r="B1201" s="226" t="str">
        <f>IFERROR(__xludf.DUMMYFUNCTION("""COMPUTED_VALUE"""),"5056150103363")</f>
        <v>5056150103363</v>
      </c>
      <c r="C1201" t="str">
        <f>IFERROR(__xludf.DUMMYFUNCTION("""COMPUTED_VALUE"""),"Westfalia/Witter")</f>
        <v>Westfalia/Witter</v>
      </c>
    </row>
    <row r="1202">
      <c r="A1202" t="str">
        <f>IFERROR(__xludf.DUMMYFUNCTION("""COMPUTED_VALUE"""),"R48")</f>
        <v>R48</v>
      </c>
      <c r="B1202" s="226" t="str">
        <f>IFERROR(__xludf.DUMMYFUNCTION("""COMPUTED_VALUE"""),"5056150103370")</f>
        <v>5056150103370</v>
      </c>
      <c r="C1202" t="str">
        <f>IFERROR(__xludf.DUMMYFUNCTION("""COMPUTED_VALUE"""),"Westfalia/Witter")</f>
        <v>Westfalia/Witter</v>
      </c>
    </row>
    <row r="1203">
      <c r="A1203" t="str">
        <f>IFERROR(__xludf.DUMMYFUNCTION("""COMPUTED_VALUE"""),"R48Q")</f>
        <v>R48Q</v>
      </c>
      <c r="B1203" s="226" t="str">
        <f>IFERROR(__xludf.DUMMYFUNCTION("""COMPUTED_VALUE"""),"5056150103387")</f>
        <v>5056150103387</v>
      </c>
      <c r="C1203" t="str">
        <f>IFERROR(__xludf.DUMMYFUNCTION("""COMPUTED_VALUE"""),"Westfalia/Witter")</f>
        <v>Westfalia/Witter</v>
      </c>
    </row>
    <row r="1204">
      <c r="A1204" t="str">
        <f>IFERROR(__xludf.DUMMYFUNCTION("""COMPUTED_VALUE"""),"R48S")</f>
        <v>R48S</v>
      </c>
      <c r="B1204" s="226" t="str">
        <f>IFERROR(__xludf.DUMMYFUNCTION("""COMPUTED_VALUE"""),"5056150103400")</f>
        <v>5056150103400</v>
      </c>
      <c r="C1204" t="str">
        <f>IFERROR(__xludf.DUMMYFUNCTION("""COMPUTED_VALUE"""),"Westfalia/Witter")</f>
        <v>Westfalia/Witter</v>
      </c>
    </row>
    <row r="1205">
      <c r="A1205" t="str">
        <f>IFERROR(__xludf.DUMMYFUNCTION("""COMPUTED_VALUE"""),"RN108Q")</f>
        <v>RN108Q</v>
      </c>
      <c r="B1205" s="226" t="str">
        <f>IFERROR(__xludf.DUMMYFUNCTION("""COMPUTED_VALUE"""),"5056150103417")</f>
        <v>5056150103417</v>
      </c>
      <c r="C1205" t="str">
        <f>IFERROR(__xludf.DUMMYFUNCTION("""COMPUTED_VALUE"""),"Westfalia/Witter")</f>
        <v>Westfalia/Witter</v>
      </c>
    </row>
    <row r="1206">
      <c r="A1206" t="str">
        <f>IFERROR(__xludf.DUMMYFUNCTION("""COMPUTED_VALUE"""),"RN72BQ")</f>
        <v>RN72BQ</v>
      </c>
      <c r="B1206" s="226" t="str">
        <f>IFERROR(__xludf.DUMMYFUNCTION("""COMPUTED_VALUE"""),"5056150103448")</f>
        <v>5056150103448</v>
      </c>
      <c r="C1206" t="str">
        <f>IFERROR(__xludf.DUMMYFUNCTION("""COMPUTED_VALUE"""),"Westfalia/Witter")</f>
        <v>Westfalia/Witter</v>
      </c>
    </row>
    <row r="1207">
      <c r="A1207" t="str">
        <f>IFERROR(__xludf.DUMMYFUNCTION("""COMPUTED_VALUE"""),"RN73BQ")</f>
        <v>RN73BQ</v>
      </c>
      <c r="B1207" s="226" t="str">
        <f>IFERROR(__xludf.DUMMYFUNCTION("""COMPUTED_VALUE"""),"5056150103455")</f>
        <v>5056150103455</v>
      </c>
      <c r="C1207" t="str">
        <f>IFERROR(__xludf.DUMMYFUNCTION("""COMPUTED_VALUE"""),"Westfalia/Witter")</f>
        <v>Westfalia/Witter</v>
      </c>
    </row>
    <row r="1208">
      <c r="A1208" t="str">
        <f>IFERROR(__xludf.DUMMYFUNCTION("""COMPUTED_VALUE"""),"RN73BS")</f>
        <v>RN73BS</v>
      </c>
      <c r="B1208" s="226" t="str">
        <f>IFERROR(__xludf.DUMMYFUNCTION("""COMPUTED_VALUE"""),"5056150103462")</f>
        <v>5056150103462</v>
      </c>
      <c r="C1208" t="str">
        <f>IFERROR(__xludf.DUMMYFUNCTION("""COMPUTED_VALUE"""),"Westfalia/Witter")</f>
        <v>Westfalia/Witter</v>
      </c>
    </row>
    <row r="1209">
      <c r="A1209" t="str">
        <f>IFERROR(__xludf.DUMMYFUNCTION("""COMPUTED_VALUE"""),"RN75AQ")</f>
        <v>RN75AQ</v>
      </c>
      <c r="B1209" s="226" t="str">
        <f>IFERROR(__xludf.DUMMYFUNCTION("""COMPUTED_VALUE"""),"5056150103479")</f>
        <v>5056150103479</v>
      </c>
      <c r="C1209" t="str">
        <f>IFERROR(__xludf.DUMMYFUNCTION("""COMPUTED_VALUE"""),"Westfalia/Witter")</f>
        <v>Westfalia/Witter</v>
      </c>
    </row>
    <row r="1210">
      <c r="A1210" t="str">
        <f>IFERROR(__xludf.DUMMYFUNCTION("""COMPUTED_VALUE"""),"RN75AS")</f>
        <v>RN75AS</v>
      </c>
      <c r="B1210" s="226" t="str">
        <f>IFERROR(__xludf.DUMMYFUNCTION("""COMPUTED_VALUE"""),"5056150103493")</f>
        <v>5056150103493</v>
      </c>
      <c r="C1210" t="str">
        <f>IFERROR(__xludf.DUMMYFUNCTION("""COMPUTED_VALUE"""),"Westfalia/Witter")</f>
        <v>Westfalia/Witter</v>
      </c>
    </row>
    <row r="1211">
      <c r="A1211" t="str">
        <f>IFERROR(__xludf.DUMMYFUNCTION("""COMPUTED_VALUE"""),"RN77AQ")</f>
        <v>RN77AQ</v>
      </c>
      <c r="B1211" s="226" t="str">
        <f>IFERROR(__xludf.DUMMYFUNCTION("""COMPUTED_VALUE"""),"5056150103509")</f>
        <v>5056150103509</v>
      </c>
      <c r="C1211" t="str">
        <f>IFERROR(__xludf.DUMMYFUNCTION("""COMPUTED_VALUE"""),"Westfalia/Witter")</f>
        <v>Westfalia/Witter</v>
      </c>
    </row>
    <row r="1212">
      <c r="A1212" t="str">
        <f>IFERROR(__xludf.DUMMYFUNCTION("""COMPUTED_VALUE"""),"RN77AS")</f>
        <v>RN77AS</v>
      </c>
      <c r="B1212" s="226" t="str">
        <f>IFERROR(__xludf.DUMMYFUNCTION("""COMPUTED_VALUE"""),"5056150103523")</f>
        <v>5056150103523</v>
      </c>
      <c r="C1212" t="str">
        <f>IFERROR(__xludf.DUMMYFUNCTION("""COMPUTED_VALUE"""),"Westfalia/Witter")</f>
        <v>Westfalia/Witter</v>
      </c>
    </row>
    <row r="1213">
      <c r="A1213" t="str">
        <f>IFERROR(__xludf.DUMMYFUNCTION("""COMPUTED_VALUE"""),"RN83AQ")</f>
        <v>RN83AQ</v>
      </c>
      <c r="B1213" s="226" t="str">
        <f>IFERROR(__xludf.DUMMYFUNCTION("""COMPUTED_VALUE"""),"5056150103530")</f>
        <v>5056150103530</v>
      </c>
      <c r="C1213" t="str">
        <f>IFERROR(__xludf.DUMMYFUNCTION("""COMPUTED_VALUE"""),"Westfalia/Witter")</f>
        <v>Westfalia/Witter</v>
      </c>
    </row>
    <row r="1214">
      <c r="A1214" t="str">
        <f>IFERROR(__xludf.DUMMYFUNCTION("""COMPUTED_VALUE"""),"RN83AS")</f>
        <v>RN83AS</v>
      </c>
      <c r="B1214" s="226" t="str">
        <f>IFERROR(__xludf.DUMMYFUNCTION("""COMPUTED_VALUE"""),"5056150103554")</f>
        <v>5056150103554</v>
      </c>
      <c r="C1214" t="str">
        <f>IFERROR(__xludf.DUMMYFUNCTION("""COMPUTED_VALUE"""),"Westfalia/Witter")</f>
        <v>Westfalia/Witter</v>
      </c>
    </row>
    <row r="1215">
      <c r="A1215" t="str">
        <f>IFERROR(__xludf.DUMMYFUNCTION("""COMPUTED_VALUE"""),"RN92AQ")</f>
        <v>RN92AQ</v>
      </c>
      <c r="B1215" s="226" t="str">
        <f>IFERROR(__xludf.DUMMYFUNCTION("""COMPUTED_VALUE"""),"5056150103561")</f>
        <v>5056150103561</v>
      </c>
      <c r="C1215" t="str">
        <f>IFERROR(__xludf.DUMMYFUNCTION("""COMPUTED_VALUE"""),"Westfalia/Witter")</f>
        <v>Westfalia/Witter</v>
      </c>
    </row>
    <row r="1216">
      <c r="A1216" t="str">
        <f>IFERROR(__xludf.DUMMYFUNCTION("""COMPUTED_VALUE"""),"RN93BQ")</f>
        <v>RN93BQ</v>
      </c>
      <c r="B1216" s="226" t="str">
        <f>IFERROR(__xludf.DUMMYFUNCTION("""COMPUTED_VALUE"""),"5056150103585")</f>
        <v>5056150103585</v>
      </c>
      <c r="C1216" t="str">
        <f>IFERROR(__xludf.DUMMYFUNCTION("""COMPUTED_VALUE"""),"Westfalia/Witter")</f>
        <v>Westfalia/Witter</v>
      </c>
    </row>
    <row r="1217">
      <c r="A1217" t="str">
        <f>IFERROR(__xludf.DUMMYFUNCTION("""COMPUTED_VALUE"""),"RN93BS")</f>
        <v>RN93BS</v>
      </c>
      <c r="B1217" s="226" t="str">
        <f>IFERROR(__xludf.DUMMYFUNCTION("""COMPUTED_VALUE"""),"5056150103608")</f>
        <v>5056150103608</v>
      </c>
      <c r="C1217" t="str">
        <f>IFERROR(__xludf.DUMMYFUNCTION("""COMPUTED_VALUE"""),"Westfalia/Witter")</f>
        <v>Westfalia/Witter</v>
      </c>
    </row>
    <row r="1218">
      <c r="A1218" t="str">
        <f>IFERROR(__xludf.DUMMYFUNCTION("""COMPUTED_VALUE"""),"RN95AQ")</f>
        <v>RN95AQ</v>
      </c>
      <c r="B1218" s="226" t="str">
        <f>IFERROR(__xludf.DUMMYFUNCTION("""COMPUTED_VALUE"""),"5056150103639")</f>
        <v>5056150103639</v>
      </c>
      <c r="C1218" t="str">
        <f>IFERROR(__xludf.DUMMYFUNCTION("""COMPUTED_VALUE"""),"Westfalia/Witter")</f>
        <v>Westfalia/Witter</v>
      </c>
    </row>
    <row r="1219">
      <c r="A1219" t="str">
        <f>IFERROR(__xludf.DUMMYFUNCTION("""COMPUTED_VALUE"""),"RN95AS")</f>
        <v>RN95AS</v>
      </c>
      <c r="B1219" s="226" t="str">
        <f>IFERROR(__xludf.DUMMYFUNCTION("""COMPUTED_VALUE"""),"5056150103653")</f>
        <v>5056150103653</v>
      </c>
      <c r="C1219" t="str">
        <f>IFERROR(__xludf.DUMMYFUNCTION("""COMPUTED_VALUE"""),"Westfalia/Witter")</f>
        <v>Westfalia/Witter</v>
      </c>
    </row>
    <row r="1220">
      <c r="A1220" t="str">
        <f>IFERROR(__xludf.DUMMYFUNCTION("""COMPUTED_VALUE"""),"SA20S")</f>
        <v>SA20S</v>
      </c>
      <c r="B1220" s="226" t="str">
        <f>IFERROR(__xludf.DUMMYFUNCTION("""COMPUTED_VALUE"""),"5056150103721")</f>
        <v>5056150103721</v>
      </c>
      <c r="C1220" t="str">
        <f>IFERROR(__xludf.DUMMYFUNCTION("""COMPUTED_VALUE"""),"Westfalia/Witter")</f>
        <v>Westfalia/Witter</v>
      </c>
    </row>
    <row r="1221">
      <c r="A1221" t="str">
        <f>IFERROR(__xludf.DUMMYFUNCTION("""COMPUTED_VALUE"""),"SA21AQ")</f>
        <v>SA21AQ</v>
      </c>
      <c r="B1221" s="226" t="str">
        <f>IFERROR(__xludf.DUMMYFUNCTION("""COMPUTED_VALUE"""),"5056150103738")</f>
        <v>5056150103738</v>
      </c>
      <c r="C1221" t="str">
        <f>IFERROR(__xludf.DUMMYFUNCTION("""COMPUTED_VALUE"""),"Westfalia/Witter")</f>
        <v>Westfalia/Witter</v>
      </c>
    </row>
    <row r="1222">
      <c r="A1222" t="str">
        <f>IFERROR(__xludf.DUMMYFUNCTION("""COMPUTED_VALUE"""),"SA21AS")</f>
        <v>SA21AS</v>
      </c>
      <c r="B1222" s="226" t="str">
        <f>IFERROR(__xludf.DUMMYFUNCTION("""COMPUTED_VALUE"""),"5056150103752")</f>
        <v>5056150103752</v>
      </c>
      <c r="C1222" t="str">
        <f>IFERROR(__xludf.DUMMYFUNCTION("""COMPUTED_VALUE"""),"Westfalia/Witter")</f>
        <v>Westfalia/Witter</v>
      </c>
    </row>
    <row r="1223">
      <c r="A1223" t="str">
        <f>IFERROR(__xludf.DUMMYFUNCTION("""COMPUTED_VALUE"""),"SK19AQ")</f>
        <v>SK19AQ</v>
      </c>
      <c r="B1223" s="226" t="str">
        <f>IFERROR(__xludf.DUMMYFUNCTION("""COMPUTED_VALUE"""),"5056150103769")</f>
        <v>5056150103769</v>
      </c>
      <c r="C1223" t="str">
        <f>IFERROR(__xludf.DUMMYFUNCTION("""COMPUTED_VALUE"""),"Westfalia/Witter")</f>
        <v>Westfalia/Witter</v>
      </c>
    </row>
    <row r="1224">
      <c r="A1224" t="str">
        <f>IFERROR(__xludf.DUMMYFUNCTION("""COMPUTED_VALUE"""),"SK19AS")</f>
        <v>SK19AS</v>
      </c>
      <c r="B1224" s="226" t="str">
        <f>IFERROR(__xludf.DUMMYFUNCTION("""COMPUTED_VALUE"""),"5056150103783")</f>
        <v>5056150103783</v>
      </c>
      <c r="C1224" t="str">
        <f>IFERROR(__xludf.DUMMYFUNCTION("""COMPUTED_VALUE"""),"Westfalia/Witter")</f>
        <v>Westfalia/Witter</v>
      </c>
    </row>
    <row r="1225">
      <c r="A1225" t="str">
        <f>IFERROR(__xludf.DUMMYFUNCTION("""COMPUTED_VALUE"""),"SK23AS")</f>
        <v>SK23AS</v>
      </c>
      <c r="B1225" s="226" t="str">
        <f>IFERROR(__xludf.DUMMYFUNCTION("""COMPUTED_VALUE"""),"5056150103806")</f>
        <v>5056150103806</v>
      </c>
      <c r="C1225" t="str">
        <f>IFERROR(__xludf.DUMMYFUNCTION("""COMPUTED_VALUE"""),"Westfalia/Witter")</f>
        <v>Westfalia/Witter</v>
      </c>
    </row>
    <row r="1226">
      <c r="A1226" t="str">
        <f>IFERROR(__xludf.DUMMYFUNCTION("""COMPUTED_VALUE"""),"SK25")</f>
        <v>SK25</v>
      </c>
      <c r="B1226" s="226" t="str">
        <f>IFERROR(__xludf.DUMMYFUNCTION("""COMPUTED_VALUE"""),"5056150103813")</f>
        <v>5056150103813</v>
      </c>
      <c r="C1226" t="str">
        <f>IFERROR(__xludf.DUMMYFUNCTION("""COMPUTED_VALUE"""),"Westfalia/Witter")</f>
        <v>Westfalia/Witter</v>
      </c>
    </row>
    <row r="1227">
      <c r="A1227" t="str">
        <f>IFERROR(__xludf.DUMMYFUNCTION("""COMPUTED_VALUE"""),"SK25Q")</f>
        <v>SK25Q</v>
      </c>
      <c r="B1227" s="226" t="str">
        <f>IFERROR(__xludf.DUMMYFUNCTION("""COMPUTED_VALUE"""),"5056150103820")</f>
        <v>5056150103820</v>
      </c>
      <c r="C1227" t="str">
        <f>IFERROR(__xludf.DUMMYFUNCTION("""COMPUTED_VALUE"""),"Westfalia/Witter")</f>
        <v>Westfalia/Witter</v>
      </c>
    </row>
    <row r="1228">
      <c r="A1228" t="str">
        <f>IFERROR(__xludf.DUMMYFUNCTION("""COMPUTED_VALUE"""),"SK25Q")</f>
        <v>SK25Q</v>
      </c>
      <c r="B1228" s="226" t="str">
        <f>IFERROR(__xludf.DUMMYFUNCTION("""COMPUTED_VALUE"""),"5056150103820")</f>
        <v>5056150103820</v>
      </c>
      <c r="C1228" t="str">
        <f>IFERROR(__xludf.DUMMYFUNCTION("""COMPUTED_VALUE"""),"Westfalia/Witter")</f>
        <v>Westfalia/Witter</v>
      </c>
    </row>
    <row r="1229">
      <c r="A1229" t="str">
        <f>IFERROR(__xludf.DUMMYFUNCTION("""COMPUTED_VALUE"""),"SK25S")</f>
        <v>SK25S</v>
      </c>
      <c r="B1229" s="226" t="str">
        <f>IFERROR(__xludf.DUMMYFUNCTION("""COMPUTED_VALUE"""),"5056150103844")</f>
        <v>5056150103844</v>
      </c>
      <c r="C1229" t="str">
        <f>IFERROR(__xludf.DUMMYFUNCTION("""COMPUTED_VALUE"""),"Westfalia/Witter")</f>
        <v>Westfalia/Witter</v>
      </c>
    </row>
    <row r="1230">
      <c r="A1230" t="str">
        <f>IFERROR(__xludf.DUMMYFUNCTION("""COMPUTED_VALUE"""),"SK28Q")</f>
        <v>SK28Q</v>
      </c>
      <c r="B1230" s="226" t="str">
        <f>IFERROR(__xludf.DUMMYFUNCTION("""COMPUTED_VALUE"""),"5056150103851")</f>
        <v>5056150103851</v>
      </c>
      <c r="C1230" t="str">
        <f>IFERROR(__xludf.DUMMYFUNCTION("""COMPUTED_VALUE"""),"Westfalia/Witter")</f>
        <v>Westfalia/Witter</v>
      </c>
    </row>
    <row r="1231">
      <c r="A1231" t="str">
        <f>IFERROR(__xludf.DUMMYFUNCTION("""COMPUTED_VALUE"""),"SK28S")</f>
        <v>SK28S</v>
      </c>
      <c r="B1231" s="226" t="str">
        <f>IFERROR(__xludf.DUMMYFUNCTION("""COMPUTED_VALUE"""),"5056150103875")</f>
        <v>5056150103875</v>
      </c>
      <c r="C1231" t="str">
        <f>IFERROR(__xludf.DUMMYFUNCTION("""COMPUTED_VALUE"""),"Westfalia/Witter")</f>
        <v>Westfalia/Witter</v>
      </c>
    </row>
    <row r="1232">
      <c r="A1232" t="str">
        <f>IFERROR(__xludf.DUMMYFUNCTION("""COMPUTED_VALUE"""),"SK30Q")</f>
        <v>SK30Q</v>
      </c>
      <c r="B1232" s="226" t="str">
        <f>IFERROR(__xludf.DUMMYFUNCTION("""COMPUTED_VALUE"""),"5056150103899")</f>
        <v>5056150103899</v>
      </c>
      <c r="C1232" t="str">
        <f>IFERROR(__xludf.DUMMYFUNCTION("""COMPUTED_VALUE"""),"Westfalia/Witter")</f>
        <v>Westfalia/Witter</v>
      </c>
    </row>
    <row r="1233">
      <c r="A1233" t="str">
        <f>IFERROR(__xludf.DUMMYFUNCTION("""COMPUTED_VALUE"""),"SK30S")</f>
        <v>SK30S</v>
      </c>
      <c r="B1233" s="226" t="str">
        <f>IFERROR(__xludf.DUMMYFUNCTION("""COMPUTED_VALUE"""),"5056150103912")</f>
        <v>5056150103912</v>
      </c>
      <c r="C1233" t="str">
        <f>IFERROR(__xludf.DUMMYFUNCTION("""COMPUTED_VALUE"""),"Westfalia/Witter")</f>
        <v>Westfalia/Witter</v>
      </c>
    </row>
    <row r="1234">
      <c r="A1234" t="str">
        <f>IFERROR(__xludf.DUMMYFUNCTION("""COMPUTED_VALUE"""),"SK7B")</f>
        <v>SK7B</v>
      </c>
      <c r="B1234" s="226" t="str">
        <f>IFERROR(__xludf.DUMMYFUNCTION("""COMPUTED_VALUE"""),"5056150103929")</f>
        <v>5056150103929</v>
      </c>
      <c r="C1234" t="str">
        <f>IFERROR(__xludf.DUMMYFUNCTION("""COMPUTED_VALUE"""),"Westfalia/Witter")</f>
        <v>Westfalia/Witter</v>
      </c>
    </row>
    <row r="1235">
      <c r="A1235" t="str">
        <f>IFERROR(__xludf.DUMMYFUNCTION("""COMPUTED_VALUE"""),"SU15B")</f>
        <v>SU15B</v>
      </c>
      <c r="B1235" s="226" t="str">
        <f>IFERROR(__xludf.DUMMYFUNCTION("""COMPUTED_VALUE"""),"5056150103936")</f>
        <v>5056150103936</v>
      </c>
      <c r="C1235" t="str">
        <f>IFERROR(__xludf.DUMMYFUNCTION("""COMPUTED_VALUE"""),"Westfalia/Witter")</f>
        <v>Westfalia/Witter</v>
      </c>
    </row>
    <row r="1236">
      <c r="A1236" t="str">
        <f>IFERROR(__xludf.DUMMYFUNCTION("""COMPUTED_VALUE"""),"SU22A")</f>
        <v>SU22A</v>
      </c>
      <c r="B1236" s="226" t="str">
        <f>IFERROR(__xludf.DUMMYFUNCTION("""COMPUTED_VALUE"""),"5056150103943")</f>
        <v>5056150103943</v>
      </c>
      <c r="C1236" t="str">
        <f>IFERROR(__xludf.DUMMYFUNCTION("""COMPUTED_VALUE"""),"Westfalia/Witter")</f>
        <v>Westfalia/Witter</v>
      </c>
    </row>
    <row r="1237">
      <c r="A1237" t="str">
        <f>IFERROR(__xludf.DUMMYFUNCTION("""COMPUTED_VALUE"""),"SU28AS")</f>
        <v>SU28AS</v>
      </c>
      <c r="B1237" s="226" t="str">
        <f>IFERROR(__xludf.DUMMYFUNCTION("""COMPUTED_VALUE"""),"5056150104018")</f>
        <v>5056150104018</v>
      </c>
      <c r="C1237" t="str">
        <f>IFERROR(__xludf.DUMMYFUNCTION("""COMPUTED_VALUE"""),"Westfalia/Witter")</f>
        <v>Westfalia/Witter</v>
      </c>
    </row>
    <row r="1238">
      <c r="A1238" t="str">
        <f>IFERROR(__xludf.DUMMYFUNCTION("""COMPUTED_VALUE"""),"SU30A")</f>
        <v>SU30A</v>
      </c>
      <c r="B1238" s="226" t="str">
        <f>IFERROR(__xludf.DUMMYFUNCTION("""COMPUTED_VALUE"""),"5056150104025")</f>
        <v>5056150104025</v>
      </c>
      <c r="C1238" t="str">
        <f>IFERROR(__xludf.DUMMYFUNCTION("""COMPUTED_VALUE"""),"Westfalia/Witter")</f>
        <v>Westfalia/Witter</v>
      </c>
    </row>
    <row r="1239">
      <c r="A1239" t="str">
        <f>IFERROR(__xludf.DUMMYFUNCTION("""COMPUTED_VALUE"""),"SU30AQ")</f>
        <v>SU30AQ</v>
      </c>
      <c r="B1239" s="226" t="str">
        <f>IFERROR(__xludf.DUMMYFUNCTION("""COMPUTED_VALUE"""),"5056150104032")</f>
        <v>5056150104032</v>
      </c>
      <c r="C1239" t="str">
        <f>IFERROR(__xludf.DUMMYFUNCTION("""COMPUTED_VALUE"""),"Westfalia/Witter")</f>
        <v>Westfalia/Witter</v>
      </c>
    </row>
    <row r="1240">
      <c r="A1240" t="str">
        <f>IFERROR(__xludf.DUMMYFUNCTION("""COMPUTED_VALUE"""),"SU30AS")</f>
        <v>SU30AS</v>
      </c>
      <c r="B1240" s="226" t="str">
        <f>IFERROR(__xludf.DUMMYFUNCTION("""COMPUTED_VALUE"""),"5056150104056")</f>
        <v>5056150104056</v>
      </c>
      <c r="C1240" t="str">
        <f>IFERROR(__xludf.DUMMYFUNCTION("""COMPUTED_VALUE"""),"Westfalia/Witter")</f>
        <v>Westfalia/Witter</v>
      </c>
    </row>
    <row r="1241">
      <c r="A1241" t="str">
        <f>IFERROR(__xludf.DUMMYFUNCTION("""COMPUTED_VALUE"""),"SU31AQ")</f>
        <v>SU31AQ</v>
      </c>
      <c r="B1241" s="226" t="str">
        <f>IFERROR(__xludf.DUMMYFUNCTION("""COMPUTED_VALUE"""),"5056150104063")</f>
        <v>5056150104063</v>
      </c>
      <c r="C1241" t="str">
        <f>IFERROR(__xludf.DUMMYFUNCTION("""COMPUTED_VALUE"""),"Westfalia/Witter")</f>
        <v>Westfalia/Witter</v>
      </c>
    </row>
    <row r="1242">
      <c r="A1242" t="str">
        <f>IFERROR(__xludf.DUMMYFUNCTION("""COMPUTED_VALUE"""),"SU34S")</f>
        <v>SU34S</v>
      </c>
      <c r="B1242" s="226" t="str">
        <f>IFERROR(__xludf.DUMMYFUNCTION("""COMPUTED_VALUE"""),"5056150104087")</f>
        <v>5056150104087</v>
      </c>
      <c r="C1242" t="str">
        <f>IFERROR(__xludf.DUMMYFUNCTION("""COMPUTED_VALUE"""),"Westfalia/Witter")</f>
        <v>Westfalia/Witter</v>
      </c>
    </row>
    <row r="1243">
      <c r="A1243" t="str">
        <f>IFERROR(__xludf.DUMMYFUNCTION("""COMPUTED_VALUE"""),"SU35S")</f>
        <v>SU35S</v>
      </c>
      <c r="B1243" s="226" t="str">
        <f>IFERROR(__xludf.DUMMYFUNCTION("""COMPUTED_VALUE"""),"5056150104100")</f>
        <v>5056150104100</v>
      </c>
      <c r="C1243" t="str">
        <f>IFERROR(__xludf.DUMMYFUNCTION("""COMPUTED_VALUE"""),"Westfalia/Witter")</f>
        <v>Westfalia/Witter</v>
      </c>
    </row>
    <row r="1244">
      <c r="A1244" t="str">
        <f>IFERROR(__xludf.DUMMYFUNCTION("""COMPUTED_VALUE"""),"SU42")</f>
        <v>SU42</v>
      </c>
      <c r="B1244" s="226" t="str">
        <f>IFERROR(__xludf.DUMMYFUNCTION("""COMPUTED_VALUE"""),"5056150104131")</f>
        <v>5056150104131</v>
      </c>
      <c r="C1244" t="str">
        <f>IFERROR(__xludf.DUMMYFUNCTION("""COMPUTED_VALUE"""),"Westfalia/Witter")</f>
        <v>Westfalia/Witter</v>
      </c>
    </row>
    <row r="1245">
      <c r="A1245" t="str">
        <f>IFERROR(__xludf.DUMMYFUNCTION("""COMPUTED_VALUE"""),"SU42S")</f>
        <v>SU42S</v>
      </c>
      <c r="B1245" s="226" t="str">
        <f>IFERROR(__xludf.DUMMYFUNCTION("""COMPUTED_VALUE"""),"5056150104155")</f>
        <v>5056150104155</v>
      </c>
      <c r="C1245" t="str">
        <f>IFERROR(__xludf.DUMMYFUNCTION("""COMPUTED_VALUE"""),"Westfalia/Witter")</f>
        <v>Westfalia/Witter</v>
      </c>
    </row>
    <row r="1246">
      <c r="A1246" t="str">
        <f>IFERROR(__xludf.DUMMYFUNCTION("""COMPUTED_VALUE"""),"SZ11S")</f>
        <v>SZ11S</v>
      </c>
      <c r="B1246" s="226" t="str">
        <f>IFERROR(__xludf.DUMMYFUNCTION("""COMPUTED_VALUE"""),"5056150104223")</f>
        <v>5056150104223</v>
      </c>
      <c r="C1246" t="str">
        <f>IFERROR(__xludf.DUMMYFUNCTION("""COMPUTED_VALUE"""),"Westfalia/Witter")</f>
        <v>Westfalia/Witter</v>
      </c>
    </row>
    <row r="1247">
      <c r="A1247" t="str">
        <f>IFERROR(__xludf.DUMMYFUNCTION("""COMPUTED_VALUE"""),"SZ12AS")</f>
        <v>SZ12AS</v>
      </c>
      <c r="B1247" s="226" t="str">
        <f>IFERROR(__xludf.DUMMYFUNCTION("""COMPUTED_VALUE"""),"5056150104254")</f>
        <v>5056150104254</v>
      </c>
      <c r="C1247" t="str">
        <f>IFERROR(__xludf.DUMMYFUNCTION("""COMPUTED_VALUE"""),"Westfalia/Witter")</f>
        <v>Westfalia/Witter</v>
      </c>
    </row>
    <row r="1248">
      <c r="A1248" t="str">
        <f>IFERROR(__xludf.DUMMYFUNCTION("""COMPUTED_VALUE"""),"SZ16BQ")</f>
        <v>SZ16BQ</v>
      </c>
      <c r="B1248" s="226" t="str">
        <f>IFERROR(__xludf.DUMMYFUNCTION("""COMPUTED_VALUE"""),"5056150104308")</f>
        <v>5056150104308</v>
      </c>
      <c r="C1248" t="str">
        <f>IFERROR(__xludf.DUMMYFUNCTION("""COMPUTED_VALUE"""),"Westfalia/Witter")</f>
        <v>Westfalia/Witter</v>
      </c>
    </row>
    <row r="1249">
      <c r="A1249" t="str">
        <f>IFERROR(__xludf.DUMMYFUNCTION("""COMPUTED_VALUE"""),"SZ17Q")</f>
        <v>SZ17Q</v>
      </c>
      <c r="B1249" s="226" t="str">
        <f>IFERROR(__xludf.DUMMYFUNCTION("""COMPUTED_VALUE"""),"5056150104322")</f>
        <v>5056150104322</v>
      </c>
      <c r="C1249" t="str">
        <f>IFERROR(__xludf.DUMMYFUNCTION("""COMPUTED_VALUE"""),"Westfalia/Witter")</f>
        <v>Westfalia/Witter</v>
      </c>
    </row>
    <row r="1250">
      <c r="A1250" t="str">
        <f>IFERROR(__xludf.DUMMYFUNCTION("""COMPUTED_VALUE"""),"SZ17S")</f>
        <v>SZ17S</v>
      </c>
      <c r="B1250" s="226" t="str">
        <f>IFERROR(__xludf.DUMMYFUNCTION("""COMPUTED_VALUE"""),"5056150104346")</f>
        <v>5056150104346</v>
      </c>
      <c r="C1250" t="str">
        <f>IFERROR(__xludf.DUMMYFUNCTION("""COMPUTED_VALUE"""),"Westfalia/Witter")</f>
        <v>Westfalia/Witter</v>
      </c>
    </row>
    <row r="1251">
      <c r="A1251" t="str">
        <f>IFERROR(__xludf.DUMMYFUNCTION("""COMPUTED_VALUE"""),"SZ18Q")</f>
        <v>SZ18Q</v>
      </c>
      <c r="B1251" s="226" t="str">
        <f>IFERROR(__xludf.DUMMYFUNCTION("""COMPUTED_VALUE"""),"5056150104353")</f>
        <v>5056150104353</v>
      </c>
      <c r="C1251" t="str">
        <f>IFERROR(__xludf.DUMMYFUNCTION("""COMPUTED_VALUE"""),"Westfalia/Witter")</f>
        <v>Westfalia/Witter</v>
      </c>
    </row>
    <row r="1252">
      <c r="A1252" t="str">
        <f>IFERROR(__xludf.DUMMYFUNCTION("""COMPUTED_VALUE"""),"SZ18S")</f>
        <v>SZ18S</v>
      </c>
      <c r="B1252" s="226" t="str">
        <f>IFERROR(__xludf.DUMMYFUNCTION("""COMPUTED_VALUE"""),"5056150104377")</f>
        <v>5056150104377</v>
      </c>
      <c r="C1252" t="str">
        <f>IFERROR(__xludf.DUMMYFUNCTION("""COMPUTED_VALUE"""),"Westfalia/Witter")</f>
        <v>Westfalia/Witter</v>
      </c>
    </row>
    <row r="1253">
      <c r="A1253" t="str">
        <f>IFERROR(__xludf.DUMMYFUNCTION("""COMPUTED_VALUE"""),"TY112A")</f>
        <v>TY112A</v>
      </c>
      <c r="B1253" s="226" t="str">
        <f>IFERROR(__xludf.DUMMYFUNCTION("""COMPUTED_VALUE"""),"5056150104391")</f>
        <v>5056150104391</v>
      </c>
      <c r="C1253" t="str">
        <f>IFERROR(__xludf.DUMMYFUNCTION("""COMPUTED_VALUE"""),"Westfalia/Witter")</f>
        <v>Westfalia/Witter</v>
      </c>
    </row>
    <row r="1254">
      <c r="A1254" t="str">
        <f>IFERROR(__xludf.DUMMYFUNCTION("""COMPUTED_VALUE"""),"TY113A")</f>
        <v>TY113A</v>
      </c>
      <c r="B1254" s="226" t="str">
        <f>IFERROR(__xludf.DUMMYFUNCTION("""COMPUTED_VALUE"""),"5056150104407")</f>
        <v>5056150104407</v>
      </c>
      <c r="C1254" t="str">
        <f>IFERROR(__xludf.DUMMYFUNCTION("""COMPUTED_VALUE"""),"Westfalia/Witter")</f>
        <v>Westfalia/Witter</v>
      </c>
    </row>
    <row r="1255">
      <c r="A1255" t="str">
        <f>IFERROR(__xludf.DUMMYFUNCTION("""COMPUTED_VALUE"""),"TY131AQ")</f>
        <v>TY131AQ</v>
      </c>
      <c r="B1255" s="226" t="str">
        <f>IFERROR(__xludf.DUMMYFUNCTION("""COMPUTED_VALUE"""),"5056150104414")</f>
        <v>5056150104414</v>
      </c>
      <c r="C1255" t="str">
        <f>IFERROR(__xludf.DUMMYFUNCTION("""COMPUTED_VALUE"""),"Westfalia/Witter")</f>
        <v>Westfalia/Witter</v>
      </c>
    </row>
    <row r="1256">
      <c r="A1256" t="str">
        <f>IFERROR(__xludf.DUMMYFUNCTION("""COMPUTED_VALUE"""),"TY133CQ")</f>
        <v>TY133CQ</v>
      </c>
      <c r="B1256" s="226" t="str">
        <f>IFERROR(__xludf.DUMMYFUNCTION("""COMPUTED_VALUE"""),"5056150104469")</f>
        <v>5056150104469</v>
      </c>
      <c r="C1256" t="str">
        <f>IFERROR(__xludf.DUMMYFUNCTION("""COMPUTED_VALUE"""),"Westfalia/Witter")</f>
        <v>Westfalia/Witter</v>
      </c>
    </row>
    <row r="1257">
      <c r="A1257" t="str">
        <f>IFERROR(__xludf.DUMMYFUNCTION("""COMPUTED_VALUE"""),"TY133CS")</f>
        <v>TY133CS</v>
      </c>
      <c r="B1257" s="226" t="str">
        <f>IFERROR(__xludf.DUMMYFUNCTION("""COMPUTED_VALUE"""),"5056150104483")</f>
        <v>5056150104483</v>
      </c>
      <c r="C1257" t="str">
        <f>IFERROR(__xludf.DUMMYFUNCTION("""COMPUTED_VALUE"""),"Westfalia/Witter")</f>
        <v>Westfalia/Witter</v>
      </c>
    </row>
    <row r="1258">
      <c r="A1258" t="str">
        <f>IFERROR(__xludf.DUMMYFUNCTION("""COMPUTED_VALUE"""),"TY135BS")</f>
        <v>TY135BS</v>
      </c>
      <c r="B1258" s="226" t="str">
        <f>IFERROR(__xludf.DUMMYFUNCTION("""COMPUTED_VALUE"""),"5056150104506")</f>
        <v>5056150104506</v>
      </c>
      <c r="C1258" t="str">
        <f>IFERROR(__xludf.DUMMYFUNCTION("""COMPUTED_VALUE"""),"Westfalia/Witter")</f>
        <v>Westfalia/Witter</v>
      </c>
    </row>
    <row r="1259">
      <c r="A1259" t="str">
        <f>IFERROR(__xludf.DUMMYFUNCTION("""COMPUTED_VALUE"""),"TY138AQ")</f>
        <v>TY138AQ</v>
      </c>
      <c r="B1259" s="226" t="str">
        <f>IFERROR(__xludf.DUMMYFUNCTION("""COMPUTED_VALUE"""),"5056150104513")</f>
        <v>5056150104513</v>
      </c>
      <c r="C1259" t="str">
        <f>IFERROR(__xludf.DUMMYFUNCTION("""COMPUTED_VALUE"""),"Westfalia/Witter")</f>
        <v>Westfalia/Witter</v>
      </c>
    </row>
    <row r="1260">
      <c r="A1260" t="str">
        <f>IFERROR(__xludf.DUMMYFUNCTION("""COMPUTED_VALUE"""),"TY157AQ")</f>
        <v>TY157AQ</v>
      </c>
      <c r="B1260" s="226" t="str">
        <f>IFERROR(__xludf.DUMMYFUNCTION("""COMPUTED_VALUE"""),"5056150104537")</f>
        <v>5056150104537</v>
      </c>
      <c r="C1260" t="str">
        <f>IFERROR(__xludf.DUMMYFUNCTION("""COMPUTED_VALUE"""),"Westfalia/Witter")</f>
        <v>Westfalia/Witter</v>
      </c>
    </row>
    <row r="1261">
      <c r="A1261" t="str">
        <f>IFERROR(__xludf.DUMMYFUNCTION("""COMPUTED_VALUE"""),"TY157AS")</f>
        <v>TY157AS</v>
      </c>
      <c r="B1261" s="226" t="str">
        <f>IFERROR(__xludf.DUMMYFUNCTION("""COMPUTED_VALUE"""),"5056150104551")</f>
        <v>5056150104551</v>
      </c>
      <c r="C1261" t="str">
        <f>IFERROR(__xludf.DUMMYFUNCTION("""COMPUTED_VALUE"""),"Westfalia/Witter")</f>
        <v>Westfalia/Witter</v>
      </c>
    </row>
    <row r="1262">
      <c r="A1262" t="str">
        <f>IFERROR(__xludf.DUMMYFUNCTION("""COMPUTED_VALUE"""),"TY88B")</f>
        <v>TY88B</v>
      </c>
      <c r="B1262" s="226" t="str">
        <f>IFERROR(__xludf.DUMMYFUNCTION("""COMPUTED_VALUE"""),"5056150104575")</f>
        <v>5056150104575</v>
      </c>
      <c r="C1262" t="str">
        <f>IFERROR(__xludf.DUMMYFUNCTION("""COMPUTED_VALUE"""),"Westfalia/Witter")</f>
        <v>Westfalia/Witter</v>
      </c>
    </row>
    <row r="1263">
      <c r="A1263" t="str">
        <f>IFERROR(__xludf.DUMMYFUNCTION("""COMPUTED_VALUE"""),"VL46AS")</f>
        <v>VL46AS</v>
      </c>
      <c r="B1263" s="226" t="str">
        <f>IFERROR(__xludf.DUMMYFUNCTION("""COMPUTED_VALUE"""),"5056150104582")</f>
        <v>5056150104582</v>
      </c>
      <c r="C1263" t="str">
        <f>IFERROR(__xludf.DUMMYFUNCTION("""COMPUTED_VALUE"""),"Westfalia/Witter")</f>
        <v>Westfalia/Witter</v>
      </c>
    </row>
    <row r="1264">
      <c r="A1264" t="str">
        <f>IFERROR(__xludf.DUMMYFUNCTION("""COMPUTED_VALUE"""),"VL52S")</f>
        <v>VL52S</v>
      </c>
      <c r="B1264" s="226" t="str">
        <f>IFERROR(__xludf.DUMMYFUNCTION("""COMPUTED_VALUE"""),"5056150104643")</f>
        <v>5056150104643</v>
      </c>
      <c r="C1264" t="str">
        <f>IFERROR(__xludf.DUMMYFUNCTION("""COMPUTED_VALUE"""),"Westfalia/Witter")</f>
        <v>Westfalia/Witter</v>
      </c>
    </row>
    <row r="1265">
      <c r="A1265" t="str">
        <f>IFERROR(__xludf.DUMMYFUNCTION("""COMPUTED_VALUE"""),"VL53Q")</f>
        <v>VL53Q</v>
      </c>
      <c r="B1265" s="226" t="str">
        <f>IFERROR(__xludf.DUMMYFUNCTION("""COMPUTED_VALUE"""),"5056150104650")</f>
        <v>5056150104650</v>
      </c>
      <c r="C1265" t="str">
        <f>IFERROR(__xludf.DUMMYFUNCTION("""COMPUTED_VALUE"""),"Westfalia/Witter")</f>
        <v>Westfalia/Witter</v>
      </c>
    </row>
    <row r="1266">
      <c r="A1266" t="str">
        <f>IFERROR(__xludf.DUMMYFUNCTION("""COMPUTED_VALUE"""),"VW51AQ")</f>
        <v>VW51AQ</v>
      </c>
      <c r="B1266" s="226" t="str">
        <f>IFERROR(__xludf.DUMMYFUNCTION("""COMPUTED_VALUE"""),"5056150104698")</f>
        <v>5056150104698</v>
      </c>
      <c r="C1266" t="str">
        <f>IFERROR(__xludf.DUMMYFUNCTION("""COMPUTED_VALUE"""),"Westfalia/Witter")</f>
        <v>Westfalia/Witter</v>
      </c>
    </row>
    <row r="1267">
      <c r="A1267" t="str">
        <f>IFERROR(__xludf.DUMMYFUNCTION("""COMPUTED_VALUE"""),"VW51AS")</f>
        <v>VW51AS</v>
      </c>
      <c r="B1267" s="226" t="str">
        <f>IFERROR(__xludf.DUMMYFUNCTION("""COMPUTED_VALUE"""),"5056150104704")</f>
        <v>5056150104704</v>
      </c>
      <c r="C1267" t="str">
        <f>IFERROR(__xludf.DUMMYFUNCTION("""COMPUTED_VALUE"""),"Westfalia/Witter")</f>
        <v>Westfalia/Witter</v>
      </c>
    </row>
    <row r="1268">
      <c r="A1268" t="str">
        <f>IFERROR(__xludf.DUMMYFUNCTION("""COMPUTED_VALUE"""),"VW66Q")</f>
        <v>VW66Q</v>
      </c>
      <c r="B1268" s="226" t="str">
        <f>IFERROR(__xludf.DUMMYFUNCTION("""COMPUTED_VALUE"""),"5056150104728")</f>
        <v>5056150104728</v>
      </c>
      <c r="C1268" t="str">
        <f>IFERROR(__xludf.DUMMYFUNCTION("""COMPUTED_VALUE"""),"Westfalia/Witter")</f>
        <v>Westfalia/Witter</v>
      </c>
    </row>
    <row r="1269">
      <c r="A1269" t="str">
        <f>IFERROR(__xludf.DUMMYFUNCTION("""COMPUTED_VALUE"""),"VW66S")</f>
        <v>VW66S</v>
      </c>
      <c r="B1269" s="226" t="str">
        <f>IFERROR(__xludf.DUMMYFUNCTION("""COMPUTED_VALUE"""),"5056150104742")</f>
        <v>5056150104742</v>
      </c>
      <c r="C1269" t="str">
        <f>IFERROR(__xludf.DUMMYFUNCTION("""COMPUTED_VALUE"""),"Westfalia/Witter")</f>
        <v>Westfalia/Witter</v>
      </c>
    </row>
    <row r="1270">
      <c r="A1270" t="str">
        <f>IFERROR(__xludf.DUMMYFUNCTION("""COMPUTED_VALUE"""),"VW71A")</f>
        <v>VW71A</v>
      </c>
      <c r="B1270" s="226" t="str">
        <f>IFERROR(__xludf.DUMMYFUNCTION("""COMPUTED_VALUE"""),"5056150104759")</f>
        <v>5056150104759</v>
      </c>
      <c r="C1270" t="str">
        <f>IFERROR(__xludf.DUMMYFUNCTION("""COMPUTED_VALUE"""),"Westfalia/Witter")</f>
        <v>Westfalia/Witter</v>
      </c>
    </row>
    <row r="1271">
      <c r="A1271" t="str">
        <f>IFERROR(__xludf.DUMMYFUNCTION("""COMPUTED_VALUE"""),"VW71AS")</f>
        <v>VW71AS</v>
      </c>
      <c r="B1271" s="226" t="str">
        <f>IFERROR(__xludf.DUMMYFUNCTION("""COMPUTED_VALUE"""),"5056150104766")</f>
        <v>5056150104766</v>
      </c>
      <c r="C1271" t="str">
        <f>IFERROR(__xludf.DUMMYFUNCTION("""COMPUTED_VALUE"""),"Westfalia/Witter")</f>
        <v>Westfalia/Witter</v>
      </c>
    </row>
    <row r="1272">
      <c r="A1272" t="str">
        <f>IFERROR(__xludf.DUMMYFUNCTION("""COMPUTED_VALUE"""),"VW81S")</f>
        <v>VW81S</v>
      </c>
      <c r="B1272" s="226" t="str">
        <f>IFERROR(__xludf.DUMMYFUNCTION("""COMPUTED_VALUE"""),"5056150104797")</f>
        <v>5056150104797</v>
      </c>
      <c r="C1272" t="str">
        <f>IFERROR(__xludf.DUMMYFUNCTION("""COMPUTED_VALUE"""),"Westfalia/Witter")</f>
        <v>Westfalia/Witter</v>
      </c>
    </row>
    <row r="1273">
      <c r="A1273" t="str">
        <f>IFERROR(__xludf.DUMMYFUNCTION("""COMPUTED_VALUE"""),"VW83Q")</f>
        <v>VW83Q</v>
      </c>
      <c r="B1273" s="226" t="str">
        <f>IFERROR(__xludf.DUMMYFUNCTION("""COMPUTED_VALUE"""),"5056150104803")</f>
        <v>5056150104803</v>
      </c>
      <c r="C1273" t="str">
        <f>IFERROR(__xludf.DUMMYFUNCTION("""COMPUTED_VALUE"""),"Westfalia/Witter")</f>
        <v>Westfalia/Witter</v>
      </c>
    </row>
    <row r="1274">
      <c r="A1274" t="str">
        <f>IFERROR(__xludf.DUMMYFUNCTION("""COMPUTED_VALUE"""),"VW83S")</f>
        <v>VW83S</v>
      </c>
      <c r="B1274" s="226" t="str">
        <f>IFERROR(__xludf.DUMMYFUNCTION("""COMPUTED_VALUE"""),"5056150104827")</f>
        <v>5056150104827</v>
      </c>
      <c r="C1274" t="str">
        <f>IFERROR(__xludf.DUMMYFUNCTION("""COMPUTED_VALUE"""),"Westfalia/Witter")</f>
        <v>Westfalia/Witter</v>
      </c>
    </row>
    <row r="1275">
      <c r="A1275" t="str">
        <f>IFERROR(__xludf.DUMMYFUNCTION("""COMPUTED_VALUE"""),"KA46S")</f>
        <v>KA46S</v>
      </c>
      <c r="B1275" s="226" t="str">
        <f>IFERROR(__xludf.DUMMYFUNCTION("""COMPUTED_VALUE"""),"5056150105527")</f>
        <v>5056150105527</v>
      </c>
      <c r="C1275" t="str">
        <f>IFERROR(__xludf.DUMMYFUNCTION("""COMPUTED_VALUE"""),"Westfalia/Witter")</f>
        <v>Westfalia/Witter</v>
      </c>
    </row>
    <row r="1276">
      <c r="A1276" t="str">
        <f>IFERROR(__xludf.DUMMYFUNCTION("""COMPUTED_VALUE"""),"SK31S")</f>
        <v>SK31S</v>
      </c>
      <c r="B1276" s="226" t="str">
        <f>IFERROR(__xludf.DUMMYFUNCTION("""COMPUTED_VALUE"""),"5056150110453")</f>
        <v>5056150110453</v>
      </c>
      <c r="C1276" t="str">
        <f>IFERROR(__xludf.DUMMYFUNCTION("""COMPUTED_VALUE"""),"Westfalia/Witter")</f>
        <v>Westfalia/Witter</v>
      </c>
    </row>
    <row r="1277">
      <c r="A1277" t="str">
        <f>IFERROR(__xludf.DUMMYFUNCTION("""COMPUTED_VALUE"""),"SK31Q")</f>
        <v>SK31Q</v>
      </c>
      <c r="B1277" s="226" t="str">
        <f>IFERROR(__xludf.DUMMYFUNCTION("""COMPUTED_VALUE"""),"5056150110460")</f>
        <v>5056150110460</v>
      </c>
      <c r="C1277" t="str">
        <f>IFERROR(__xludf.DUMMYFUNCTION("""COMPUTED_VALUE"""),"Westfalia/Witter")</f>
        <v>Westfalia/Witter</v>
      </c>
    </row>
    <row r="1278">
      <c r="A1278" t="str">
        <f>IFERROR(__xludf.DUMMYFUNCTION("""COMPUTED_VALUE"""),"SU43S")</f>
        <v>SU43S</v>
      </c>
      <c r="B1278" s="226" t="str">
        <f>IFERROR(__xludf.DUMMYFUNCTION("""COMPUTED_VALUE"""),"5056150110491")</f>
        <v>5056150110491</v>
      </c>
      <c r="C1278" t="str">
        <f>IFERROR(__xludf.DUMMYFUNCTION("""COMPUTED_VALUE"""),"Westfalia/Witter")</f>
        <v>Westfalia/Witter</v>
      </c>
    </row>
    <row r="1279">
      <c r="A1279" t="str">
        <f>IFERROR(__xludf.DUMMYFUNCTION("""COMPUTED_VALUE"""),"SU43Q")</f>
        <v>SU43Q</v>
      </c>
      <c r="B1279" s="226" t="str">
        <f>IFERROR(__xludf.DUMMYFUNCTION("""COMPUTED_VALUE"""),"5056150110507")</f>
        <v>5056150110507</v>
      </c>
      <c r="C1279" t="str">
        <f>IFERROR(__xludf.DUMMYFUNCTION("""COMPUTED_VALUE"""),"Westfalia/Witter")</f>
        <v>Westfalia/Witter</v>
      </c>
    </row>
    <row r="1280">
      <c r="A1280" t="str">
        <f>IFERROR(__xludf.DUMMYFUNCTION("""COMPUTED_VALUE"""),"TY189Q")</f>
        <v>TY189Q</v>
      </c>
      <c r="B1280" s="226" t="str">
        <f>IFERROR(__xludf.DUMMYFUNCTION("""COMPUTED_VALUE"""),"5056150201404")</f>
        <v>5056150201404</v>
      </c>
      <c r="C1280" t="str">
        <f>IFERROR(__xludf.DUMMYFUNCTION("""COMPUTED_VALUE"""),"Westfalia/Witter")</f>
        <v>Westfalia/Witter</v>
      </c>
    </row>
    <row r="1281">
      <c r="A1281" t="str">
        <f>IFERROR(__xludf.DUMMYFUNCTION("""COMPUTED_VALUE"""),"AD37B")</f>
        <v>AD37B</v>
      </c>
      <c r="B1281" s="226" t="str">
        <f>IFERROR(__xludf.DUMMYFUNCTION("""COMPUTED_VALUE"""),"5060128530006")</f>
        <v>5060128530006</v>
      </c>
      <c r="C1281" t="str">
        <f>IFERROR(__xludf.DUMMYFUNCTION("""COMPUTED_VALUE"""),"Westfalia/Witter")</f>
        <v>Westfalia/Witter</v>
      </c>
    </row>
    <row r="1282">
      <c r="A1282" t="str">
        <f>IFERROR(__xludf.DUMMYFUNCTION("""COMPUTED_VALUE"""),"AD41C")</f>
        <v>AD41C</v>
      </c>
      <c r="B1282" s="226" t="str">
        <f>IFERROR(__xludf.DUMMYFUNCTION("""COMPUTED_VALUE"""),"5060128530020")</f>
        <v>5060128530020</v>
      </c>
      <c r="C1282" t="str">
        <f>IFERROR(__xludf.DUMMYFUNCTION("""COMPUTED_VALUE"""),"Westfalia/Witter")</f>
        <v>Westfalia/Witter</v>
      </c>
    </row>
    <row r="1283">
      <c r="A1283" t="str">
        <f>IFERROR(__xludf.DUMMYFUNCTION("""COMPUTED_VALUE"""),"AD42A")</f>
        <v>AD42A</v>
      </c>
      <c r="B1283" s="226" t="str">
        <f>IFERROR(__xludf.DUMMYFUNCTION("""COMPUTED_VALUE"""),"5060128530037")</f>
        <v>5060128530037</v>
      </c>
      <c r="C1283" t="str">
        <f>IFERROR(__xludf.DUMMYFUNCTION("""COMPUTED_VALUE"""),"Westfalia/Witter")</f>
        <v>Westfalia/Witter</v>
      </c>
    </row>
    <row r="1284">
      <c r="A1284" t="str">
        <f>IFERROR(__xludf.DUMMYFUNCTION("""COMPUTED_VALUE"""),"AD43A")</f>
        <v>AD43A</v>
      </c>
      <c r="B1284" s="226" t="str">
        <f>IFERROR(__xludf.DUMMYFUNCTION("""COMPUTED_VALUE"""),"5060128530044")</f>
        <v>5060128530044</v>
      </c>
      <c r="C1284" t="str">
        <f>IFERROR(__xludf.DUMMYFUNCTION("""COMPUTED_VALUE"""),"Westfalia/Witter")</f>
        <v>Westfalia/Witter</v>
      </c>
    </row>
    <row r="1285">
      <c r="A1285" t="str">
        <f>IFERROR(__xludf.DUMMYFUNCTION("""COMPUTED_VALUE"""),"AD43AQ")</f>
        <v>AD43AQ</v>
      </c>
      <c r="B1285" s="226" t="str">
        <f>IFERROR(__xludf.DUMMYFUNCTION("""COMPUTED_VALUE"""),"5060128530051")</f>
        <v>5060128530051</v>
      </c>
      <c r="C1285" t="str">
        <f>IFERROR(__xludf.DUMMYFUNCTION("""COMPUTED_VALUE"""),"Westfalia/Witter")</f>
        <v>Westfalia/Witter</v>
      </c>
    </row>
    <row r="1286">
      <c r="A1286" t="str">
        <f>IFERROR(__xludf.DUMMYFUNCTION("""COMPUTED_VALUE"""),"AD43AQ")</f>
        <v>AD43AQ</v>
      </c>
      <c r="B1286" s="226" t="str">
        <f>IFERROR(__xludf.DUMMYFUNCTION("""COMPUTED_VALUE"""),"5060128530051")</f>
        <v>5060128530051</v>
      </c>
      <c r="C1286" t="str">
        <f>IFERROR(__xludf.DUMMYFUNCTION("""COMPUTED_VALUE"""),"Westfalia/Witter")</f>
        <v>Westfalia/Witter</v>
      </c>
    </row>
    <row r="1287">
      <c r="A1287" t="str">
        <f>IFERROR(__xludf.DUMMYFUNCTION("""COMPUTED_VALUE"""),"AD43AS")</f>
        <v>AD43AS</v>
      </c>
      <c r="B1287" s="226" t="str">
        <f>IFERROR(__xludf.DUMMYFUNCTION("""COMPUTED_VALUE"""),"5060128530068")</f>
        <v>5060128530068</v>
      </c>
      <c r="C1287" t="str">
        <f>IFERROR(__xludf.DUMMYFUNCTION("""COMPUTED_VALUE"""),"Westfalia/Witter")</f>
        <v>Westfalia/Witter</v>
      </c>
    </row>
    <row r="1288">
      <c r="A1288" t="str">
        <f>IFERROR(__xludf.DUMMYFUNCTION("""COMPUTED_VALUE"""),"AD44A")</f>
        <v>AD44A</v>
      </c>
      <c r="B1288" s="226" t="str">
        <f>IFERROR(__xludf.DUMMYFUNCTION("""COMPUTED_VALUE"""),"5060128530075")</f>
        <v>5060128530075</v>
      </c>
      <c r="C1288" t="str">
        <f>IFERROR(__xludf.DUMMYFUNCTION("""COMPUTED_VALUE"""),"Westfalia/Witter")</f>
        <v>Westfalia/Witter</v>
      </c>
    </row>
    <row r="1289">
      <c r="A1289" t="str">
        <f>IFERROR(__xludf.DUMMYFUNCTION("""COMPUTED_VALUE"""),"AD44AQ")</f>
        <v>AD44AQ</v>
      </c>
      <c r="B1289" s="226" t="str">
        <f>IFERROR(__xludf.DUMMYFUNCTION("""COMPUTED_VALUE"""),"5060128530082")</f>
        <v>5060128530082</v>
      </c>
      <c r="C1289" t="str">
        <f>IFERROR(__xludf.DUMMYFUNCTION("""COMPUTED_VALUE"""),"Westfalia/Witter")</f>
        <v>Westfalia/Witter</v>
      </c>
    </row>
    <row r="1290">
      <c r="A1290" t="str">
        <f>IFERROR(__xludf.DUMMYFUNCTION("""COMPUTED_VALUE"""),"AD44AQ")</f>
        <v>AD44AQ</v>
      </c>
      <c r="B1290" s="226" t="str">
        <f>IFERROR(__xludf.DUMMYFUNCTION("""COMPUTED_VALUE"""),"5060128530082")</f>
        <v>5060128530082</v>
      </c>
      <c r="C1290" t="str">
        <f>IFERROR(__xludf.DUMMYFUNCTION("""COMPUTED_VALUE"""),"Westfalia/Witter")</f>
        <v>Westfalia/Witter</v>
      </c>
    </row>
    <row r="1291">
      <c r="A1291" t="str">
        <f>IFERROR(__xludf.DUMMYFUNCTION("""COMPUTED_VALUE"""),"AD44AQ")</f>
        <v>AD44AQ</v>
      </c>
      <c r="B1291" s="226" t="str">
        <f>IFERROR(__xludf.DUMMYFUNCTION("""COMPUTED_VALUE"""),"5060128530082")</f>
        <v>5060128530082</v>
      </c>
      <c r="C1291" t="str">
        <f>IFERROR(__xludf.DUMMYFUNCTION("""COMPUTED_VALUE"""),"Westfalia/Witter")</f>
        <v>Westfalia/Witter</v>
      </c>
    </row>
    <row r="1292">
      <c r="A1292" t="str">
        <f>IFERROR(__xludf.DUMMYFUNCTION("""COMPUTED_VALUE"""),"AD44AS")</f>
        <v>AD44AS</v>
      </c>
      <c r="B1292" s="226" t="str">
        <f>IFERROR(__xludf.DUMMYFUNCTION("""COMPUTED_VALUE"""),"5060128530099")</f>
        <v>5060128530099</v>
      </c>
      <c r="C1292" t="str">
        <f>IFERROR(__xludf.DUMMYFUNCTION("""COMPUTED_VALUE"""),"Westfalia/Witter")</f>
        <v>Westfalia/Witter</v>
      </c>
    </row>
    <row r="1293">
      <c r="A1293" t="str">
        <f>IFERROR(__xludf.DUMMYFUNCTION("""COMPUTED_VALUE"""),"AD44AS")</f>
        <v>AD44AS</v>
      </c>
      <c r="B1293" s="226" t="str">
        <f>IFERROR(__xludf.DUMMYFUNCTION("""COMPUTED_VALUE"""),"5060128530099")</f>
        <v>5060128530099</v>
      </c>
      <c r="C1293" t="str">
        <f>IFERROR(__xludf.DUMMYFUNCTION("""COMPUTED_VALUE"""),"Westfalia/Witter")</f>
        <v>Westfalia/Witter</v>
      </c>
    </row>
    <row r="1294">
      <c r="A1294" t="str">
        <f>IFERROR(__xludf.DUMMYFUNCTION("""COMPUTED_VALUE"""),"AD44AS")</f>
        <v>AD44AS</v>
      </c>
      <c r="B1294" s="226" t="str">
        <f>IFERROR(__xludf.DUMMYFUNCTION("""COMPUTED_VALUE"""),"5060128530099")</f>
        <v>5060128530099</v>
      </c>
      <c r="C1294" t="str">
        <f>IFERROR(__xludf.DUMMYFUNCTION("""COMPUTED_VALUE"""),"Westfalia/Witter")</f>
        <v>Westfalia/Witter</v>
      </c>
    </row>
    <row r="1295">
      <c r="A1295" t="str">
        <f>IFERROR(__xludf.DUMMYFUNCTION("""COMPUTED_VALUE"""),"AD48BQ")</f>
        <v>AD48BQ</v>
      </c>
      <c r="B1295" s="226" t="str">
        <f>IFERROR(__xludf.DUMMYFUNCTION("""COMPUTED_VALUE"""),"5060128530112")</f>
        <v>5060128530112</v>
      </c>
      <c r="C1295" t="str">
        <f>IFERROR(__xludf.DUMMYFUNCTION("""COMPUTED_VALUE"""),"Westfalia/Witter")</f>
        <v>Westfalia/Witter</v>
      </c>
    </row>
    <row r="1296">
      <c r="A1296" t="str">
        <f>IFERROR(__xludf.DUMMYFUNCTION("""COMPUTED_VALUE"""),"AD48BQ")</f>
        <v>AD48BQ</v>
      </c>
      <c r="B1296" s="226" t="str">
        <f>IFERROR(__xludf.DUMMYFUNCTION("""COMPUTED_VALUE"""),"5060128530112")</f>
        <v>5060128530112</v>
      </c>
      <c r="C1296" t="str">
        <f>IFERROR(__xludf.DUMMYFUNCTION("""COMPUTED_VALUE"""),"Westfalia/Witter")</f>
        <v>Westfalia/Witter</v>
      </c>
    </row>
    <row r="1297">
      <c r="A1297" t="str">
        <f>IFERROR(__xludf.DUMMYFUNCTION("""COMPUTED_VALUE"""),"AD48BS")</f>
        <v>AD48BS</v>
      </c>
      <c r="B1297" s="226" t="str">
        <f>IFERROR(__xludf.DUMMYFUNCTION("""COMPUTED_VALUE"""),"5060128530136")</f>
        <v>5060128530136</v>
      </c>
      <c r="C1297" t="str">
        <f>IFERROR(__xludf.DUMMYFUNCTION("""COMPUTED_VALUE"""),"Westfalia/Witter")</f>
        <v>Westfalia/Witter</v>
      </c>
    </row>
    <row r="1298">
      <c r="A1298" t="str">
        <f>IFERROR(__xludf.DUMMYFUNCTION("""COMPUTED_VALUE"""),"AD48BS")</f>
        <v>AD48BS</v>
      </c>
      <c r="B1298" s="226" t="str">
        <f>IFERROR(__xludf.DUMMYFUNCTION("""COMPUTED_VALUE"""),"5060128530136")</f>
        <v>5060128530136</v>
      </c>
      <c r="C1298" t="str">
        <f>IFERROR(__xludf.DUMMYFUNCTION("""COMPUTED_VALUE"""),"Westfalia/Witter")</f>
        <v>Westfalia/Witter</v>
      </c>
    </row>
    <row r="1299">
      <c r="A1299" t="str">
        <f>IFERROR(__xludf.DUMMYFUNCTION("""COMPUTED_VALUE"""),"AD49A")</f>
        <v>AD49A</v>
      </c>
      <c r="B1299" s="226" t="str">
        <f>IFERROR(__xludf.DUMMYFUNCTION("""COMPUTED_VALUE"""),"5060128530143")</f>
        <v>5060128530143</v>
      </c>
      <c r="C1299" t="str">
        <f>IFERROR(__xludf.DUMMYFUNCTION("""COMPUTED_VALUE"""),"Westfalia/Witter")</f>
        <v>Westfalia/Witter</v>
      </c>
    </row>
    <row r="1300">
      <c r="A1300" t="str">
        <f>IFERROR(__xludf.DUMMYFUNCTION("""COMPUTED_VALUE"""),"AD49AQ")</f>
        <v>AD49AQ</v>
      </c>
      <c r="B1300" s="226" t="str">
        <f>IFERROR(__xludf.DUMMYFUNCTION("""COMPUTED_VALUE"""),"5060128530150")</f>
        <v>5060128530150</v>
      </c>
      <c r="C1300" t="str">
        <f>IFERROR(__xludf.DUMMYFUNCTION("""COMPUTED_VALUE"""),"Westfalia/Witter")</f>
        <v>Westfalia/Witter</v>
      </c>
    </row>
    <row r="1301">
      <c r="A1301" t="str">
        <f>IFERROR(__xludf.DUMMYFUNCTION("""COMPUTED_VALUE"""),"AD51")</f>
        <v>AD51</v>
      </c>
      <c r="B1301" s="226" t="str">
        <f>IFERROR(__xludf.DUMMYFUNCTION("""COMPUTED_VALUE"""),"5060128530174")</f>
        <v>5060128530174</v>
      </c>
      <c r="C1301" t="str">
        <f>IFERROR(__xludf.DUMMYFUNCTION("""COMPUTED_VALUE"""),"Westfalia/Witter")</f>
        <v>Westfalia/Witter</v>
      </c>
    </row>
    <row r="1302">
      <c r="A1302" t="str">
        <f>IFERROR(__xludf.DUMMYFUNCTION("""COMPUTED_VALUE"""),"AD51Q")</f>
        <v>AD51Q</v>
      </c>
      <c r="B1302" s="226" t="str">
        <f>IFERROR(__xludf.DUMMYFUNCTION("""COMPUTED_VALUE"""),"5060128530181")</f>
        <v>5060128530181</v>
      </c>
      <c r="C1302" t="str">
        <f>IFERROR(__xludf.DUMMYFUNCTION("""COMPUTED_VALUE"""),"Westfalia/Witter")</f>
        <v>Westfalia/Witter</v>
      </c>
    </row>
    <row r="1303">
      <c r="A1303" t="str">
        <f>IFERROR(__xludf.DUMMYFUNCTION("""COMPUTED_VALUE"""),"AD51Q")</f>
        <v>AD51Q</v>
      </c>
      <c r="B1303" s="226" t="str">
        <f>IFERROR(__xludf.DUMMYFUNCTION("""COMPUTED_VALUE"""),"5060128530181")</f>
        <v>5060128530181</v>
      </c>
      <c r="C1303" t="str">
        <f>IFERROR(__xludf.DUMMYFUNCTION("""COMPUTED_VALUE"""),"Westfalia/Witter")</f>
        <v>Westfalia/Witter</v>
      </c>
    </row>
    <row r="1304">
      <c r="A1304" t="str">
        <f>IFERROR(__xludf.DUMMYFUNCTION("""COMPUTED_VALUE"""),"AD51Q")</f>
        <v>AD51Q</v>
      </c>
      <c r="B1304" s="226" t="str">
        <f>IFERROR(__xludf.DUMMYFUNCTION("""COMPUTED_VALUE"""),"5060128530181")</f>
        <v>5060128530181</v>
      </c>
      <c r="C1304" t="str">
        <f>IFERROR(__xludf.DUMMYFUNCTION("""COMPUTED_VALUE"""),"Westfalia/Witter")</f>
        <v>Westfalia/Witter</v>
      </c>
    </row>
    <row r="1305">
      <c r="A1305" t="str">
        <f>IFERROR(__xludf.DUMMYFUNCTION("""COMPUTED_VALUE"""),"AD52")</f>
        <v>AD52</v>
      </c>
      <c r="B1305" s="226" t="str">
        <f>IFERROR(__xludf.DUMMYFUNCTION("""COMPUTED_VALUE"""),"5060128530198")</f>
        <v>5060128530198</v>
      </c>
      <c r="C1305" t="str">
        <f>IFERROR(__xludf.DUMMYFUNCTION("""COMPUTED_VALUE"""),"Westfalia/Witter")</f>
        <v>Westfalia/Witter</v>
      </c>
    </row>
    <row r="1306">
      <c r="A1306" t="str">
        <f>IFERROR(__xludf.DUMMYFUNCTION("""COMPUTED_VALUE"""),"AD52Q")</f>
        <v>AD52Q</v>
      </c>
      <c r="B1306" s="226" t="str">
        <f>IFERROR(__xludf.DUMMYFUNCTION("""COMPUTED_VALUE"""),"5060128530204")</f>
        <v>5060128530204</v>
      </c>
      <c r="C1306" t="str">
        <f>IFERROR(__xludf.DUMMYFUNCTION("""COMPUTED_VALUE"""),"Westfalia/Witter")</f>
        <v>Westfalia/Witter</v>
      </c>
    </row>
    <row r="1307">
      <c r="A1307" t="str">
        <f>IFERROR(__xludf.DUMMYFUNCTION("""COMPUTED_VALUE"""),"AD54")</f>
        <v>AD54</v>
      </c>
      <c r="B1307" s="226" t="str">
        <f>IFERROR(__xludf.DUMMYFUNCTION("""COMPUTED_VALUE"""),"5060128530228")</f>
        <v>5060128530228</v>
      </c>
      <c r="C1307" t="str">
        <f>IFERROR(__xludf.DUMMYFUNCTION("""COMPUTED_VALUE"""),"Westfalia/Witter")</f>
        <v>Westfalia/Witter</v>
      </c>
    </row>
    <row r="1308">
      <c r="A1308" t="str">
        <f>IFERROR(__xludf.DUMMYFUNCTION("""COMPUTED_VALUE"""),"AD54Q")</f>
        <v>AD54Q</v>
      </c>
      <c r="B1308" s="226" t="str">
        <f>IFERROR(__xludf.DUMMYFUNCTION("""COMPUTED_VALUE"""),"5060128530235")</f>
        <v>5060128530235</v>
      </c>
      <c r="C1308" t="str">
        <f>IFERROR(__xludf.DUMMYFUNCTION("""COMPUTED_VALUE"""),"Westfalia/Witter")</f>
        <v>Westfalia/Witter</v>
      </c>
    </row>
    <row r="1309">
      <c r="A1309" t="str">
        <f>IFERROR(__xludf.DUMMYFUNCTION("""COMPUTED_VALUE"""),"AD54S")</f>
        <v>AD54S</v>
      </c>
      <c r="B1309" s="226" t="str">
        <f>IFERROR(__xludf.DUMMYFUNCTION("""COMPUTED_VALUE"""),"5060128530242")</f>
        <v>5060128530242</v>
      </c>
      <c r="C1309" t="str">
        <f>IFERROR(__xludf.DUMMYFUNCTION("""COMPUTED_VALUE"""),"Westfalia/Witter")</f>
        <v>Westfalia/Witter</v>
      </c>
    </row>
    <row r="1310">
      <c r="A1310" t="str">
        <f>IFERROR(__xludf.DUMMYFUNCTION("""COMPUTED_VALUE"""),"AD55Q")</f>
        <v>AD55Q</v>
      </c>
      <c r="B1310" s="226" t="str">
        <f>IFERROR(__xludf.DUMMYFUNCTION("""COMPUTED_VALUE"""),"5060128530259")</f>
        <v>5060128530259</v>
      </c>
      <c r="C1310" t="str">
        <f>IFERROR(__xludf.DUMMYFUNCTION("""COMPUTED_VALUE"""),"Westfalia/Witter")</f>
        <v>Westfalia/Witter</v>
      </c>
    </row>
    <row r="1311">
      <c r="A1311" t="str">
        <f>IFERROR(__xludf.DUMMYFUNCTION("""COMPUTED_VALUE"""),"AD55S")</f>
        <v>AD55S</v>
      </c>
      <c r="B1311" s="226" t="str">
        <f>IFERROR(__xludf.DUMMYFUNCTION("""COMPUTED_VALUE"""),"5060128530266")</f>
        <v>5060128530266</v>
      </c>
      <c r="C1311" t="str">
        <f>IFERROR(__xludf.DUMMYFUNCTION("""COMPUTED_VALUE"""),"Westfalia/Witter")</f>
        <v>Westfalia/Witter</v>
      </c>
    </row>
    <row r="1312">
      <c r="A1312" t="str">
        <f>IFERROR(__xludf.DUMMYFUNCTION("""COMPUTED_VALUE"""),"AD59Q")</f>
        <v>AD59Q</v>
      </c>
      <c r="B1312" s="226" t="str">
        <f>IFERROR(__xludf.DUMMYFUNCTION("""COMPUTED_VALUE"""),"5060128530273")</f>
        <v>5060128530273</v>
      </c>
      <c r="C1312" t="str">
        <f>IFERROR(__xludf.DUMMYFUNCTION("""COMPUTED_VALUE"""),"Westfalia/Witter")</f>
        <v>Westfalia/Witter</v>
      </c>
    </row>
    <row r="1313">
      <c r="A1313" t="str">
        <f>IFERROR(__xludf.DUMMYFUNCTION("""COMPUTED_VALUE"""),"AL7B")</f>
        <v>AL7B</v>
      </c>
      <c r="B1313" s="226" t="str">
        <f>IFERROR(__xludf.DUMMYFUNCTION("""COMPUTED_VALUE"""),"5060128530280")</f>
        <v>5060128530280</v>
      </c>
      <c r="C1313" t="str">
        <f>IFERROR(__xludf.DUMMYFUNCTION("""COMPUTED_VALUE"""),"Westfalia/Witter")</f>
        <v>Westfalia/Witter</v>
      </c>
    </row>
    <row r="1314">
      <c r="A1314" t="str">
        <f>IFERROR(__xludf.DUMMYFUNCTION("""COMPUTED_VALUE"""),"AL9Q")</f>
        <v>AL9Q</v>
      </c>
      <c r="B1314" s="226" t="str">
        <f>IFERROR(__xludf.DUMMYFUNCTION("""COMPUTED_VALUE"""),"5060128530297")</f>
        <v>5060128530297</v>
      </c>
      <c r="C1314" t="str">
        <f>IFERROR(__xludf.DUMMYFUNCTION("""COMPUTED_VALUE"""),"Westfalia/Witter")</f>
        <v>Westfalia/Witter</v>
      </c>
    </row>
    <row r="1315">
      <c r="A1315" t="str">
        <f>IFERROR(__xludf.DUMMYFUNCTION("""COMPUTED_VALUE"""),"BM10C")</f>
        <v>BM10C</v>
      </c>
      <c r="B1315" s="226" t="str">
        <f>IFERROR(__xludf.DUMMYFUNCTION("""COMPUTED_VALUE"""),"5060128530303")</f>
        <v>5060128530303</v>
      </c>
      <c r="C1315" t="str">
        <f>IFERROR(__xludf.DUMMYFUNCTION("""COMPUTED_VALUE"""),"Westfalia/Witter")</f>
        <v>Westfalia/Witter</v>
      </c>
    </row>
    <row r="1316">
      <c r="A1316" t="str">
        <f>IFERROR(__xludf.DUMMYFUNCTION("""COMPUTED_VALUE"""),"BM15B")</f>
        <v>BM15B</v>
      </c>
      <c r="B1316" s="226" t="str">
        <f>IFERROR(__xludf.DUMMYFUNCTION("""COMPUTED_VALUE"""),"5060128530327")</f>
        <v>5060128530327</v>
      </c>
      <c r="C1316" t="str">
        <f>IFERROR(__xludf.DUMMYFUNCTION("""COMPUTED_VALUE"""),"Westfalia/Witter")</f>
        <v>Westfalia/Witter</v>
      </c>
    </row>
    <row r="1317">
      <c r="A1317" t="str">
        <f>IFERROR(__xludf.DUMMYFUNCTION("""COMPUTED_VALUE"""),"BM15BQ")</f>
        <v>BM15BQ</v>
      </c>
      <c r="B1317" s="226" t="str">
        <f>IFERROR(__xludf.DUMMYFUNCTION("""COMPUTED_VALUE"""),"5060128530334")</f>
        <v>5060128530334</v>
      </c>
      <c r="C1317" t="str">
        <f>IFERROR(__xludf.DUMMYFUNCTION("""COMPUTED_VALUE"""),"Westfalia/Witter")</f>
        <v>Westfalia/Witter</v>
      </c>
    </row>
    <row r="1318">
      <c r="A1318" t="str">
        <f>IFERROR(__xludf.DUMMYFUNCTION("""COMPUTED_VALUE"""),"BM15BQ")</f>
        <v>BM15BQ</v>
      </c>
      <c r="B1318" s="226" t="str">
        <f>IFERROR(__xludf.DUMMYFUNCTION("""COMPUTED_VALUE"""),"5060128530334")</f>
        <v>5060128530334</v>
      </c>
      <c r="C1318" t="str">
        <f>IFERROR(__xludf.DUMMYFUNCTION("""COMPUTED_VALUE"""),"Westfalia/Witter")</f>
        <v>Westfalia/Witter</v>
      </c>
    </row>
    <row r="1319">
      <c r="A1319" t="str">
        <f>IFERROR(__xludf.DUMMYFUNCTION("""COMPUTED_VALUE"""),"BM15BQ")</f>
        <v>BM15BQ</v>
      </c>
      <c r="B1319" s="226" t="str">
        <f>IFERROR(__xludf.DUMMYFUNCTION("""COMPUTED_VALUE"""),"5060128530334")</f>
        <v>5060128530334</v>
      </c>
      <c r="C1319" t="str">
        <f>IFERROR(__xludf.DUMMYFUNCTION("""COMPUTED_VALUE"""),"Westfalia/Witter")</f>
        <v>Westfalia/Witter</v>
      </c>
    </row>
    <row r="1320">
      <c r="A1320" t="str">
        <f>IFERROR(__xludf.DUMMYFUNCTION("""COMPUTED_VALUE"""),"BM15BQ")</f>
        <v>BM15BQ</v>
      </c>
      <c r="B1320" s="226" t="str">
        <f>IFERROR(__xludf.DUMMYFUNCTION("""COMPUTED_VALUE"""),"5060128530334")</f>
        <v>5060128530334</v>
      </c>
      <c r="C1320" t="str">
        <f>IFERROR(__xludf.DUMMYFUNCTION("""COMPUTED_VALUE"""),"Westfalia/Witter")</f>
        <v>Westfalia/Witter</v>
      </c>
    </row>
    <row r="1321">
      <c r="A1321" t="str">
        <f>IFERROR(__xludf.DUMMYFUNCTION("""COMPUTED_VALUE"""),"BM16A")</f>
        <v>BM16A</v>
      </c>
      <c r="B1321" s="226" t="str">
        <f>IFERROR(__xludf.DUMMYFUNCTION("""COMPUTED_VALUE"""),"5060128530341")</f>
        <v>5060128530341</v>
      </c>
      <c r="C1321" t="str">
        <f>IFERROR(__xludf.DUMMYFUNCTION("""COMPUTED_VALUE"""),"Westfalia/Witter")</f>
        <v>Westfalia/Witter</v>
      </c>
    </row>
    <row r="1322">
      <c r="A1322" t="str">
        <f>IFERROR(__xludf.DUMMYFUNCTION("""COMPUTED_VALUE"""),"BM17A")</f>
        <v>BM17A</v>
      </c>
      <c r="B1322" s="226" t="str">
        <f>IFERROR(__xludf.DUMMYFUNCTION("""COMPUTED_VALUE"""),"5060128530358")</f>
        <v>5060128530358</v>
      </c>
      <c r="C1322" t="str">
        <f>IFERROR(__xludf.DUMMYFUNCTION("""COMPUTED_VALUE"""),"Westfalia/Witter")</f>
        <v>Westfalia/Witter</v>
      </c>
    </row>
    <row r="1323">
      <c r="A1323" t="str">
        <f>IFERROR(__xludf.DUMMYFUNCTION("""COMPUTED_VALUE"""),"BM19C")</f>
        <v>BM19C</v>
      </c>
      <c r="B1323" s="226" t="str">
        <f>IFERROR(__xludf.DUMMYFUNCTION("""COMPUTED_VALUE"""),"5060128530365")</f>
        <v>5060128530365</v>
      </c>
      <c r="C1323" t="str">
        <f>IFERROR(__xludf.DUMMYFUNCTION("""COMPUTED_VALUE"""),"Westfalia/Witter")</f>
        <v>Westfalia/Witter</v>
      </c>
    </row>
    <row r="1324">
      <c r="A1324" t="str">
        <f>IFERROR(__xludf.DUMMYFUNCTION("""COMPUTED_VALUE"""),"BM19CQ")</f>
        <v>BM19CQ</v>
      </c>
      <c r="B1324" s="226" t="str">
        <f>IFERROR(__xludf.DUMMYFUNCTION("""COMPUTED_VALUE"""),"5060128530372")</f>
        <v>5060128530372</v>
      </c>
      <c r="C1324" t="str">
        <f>IFERROR(__xludf.DUMMYFUNCTION("""COMPUTED_VALUE"""),"Westfalia/Witter")</f>
        <v>Westfalia/Witter</v>
      </c>
    </row>
    <row r="1325">
      <c r="A1325" t="str">
        <f>IFERROR(__xludf.DUMMYFUNCTION("""COMPUTED_VALUE"""),"BM19CQ")</f>
        <v>BM19CQ</v>
      </c>
      <c r="B1325" s="226" t="str">
        <f>IFERROR(__xludf.DUMMYFUNCTION("""COMPUTED_VALUE"""),"5060128530372")</f>
        <v>5060128530372</v>
      </c>
      <c r="C1325" t="str">
        <f>IFERROR(__xludf.DUMMYFUNCTION("""COMPUTED_VALUE"""),"Westfalia/Witter")</f>
        <v>Westfalia/Witter</v>
      </c>
    </row>
    <row r="1326">
      <c r="A1326" t="str">
        <f>IFERROR(__xludf.DUMMYFUNCTION("""COMPUTED_VALUE"""),"BM19CS")</f>
        <v>BM19CS</v>
      </c>
      <c r="B1326" s="226" t="str">
        <f>IFERROR(__xludf.DUMMYFUNCTION("""COMPUTED_VALUE"""),"5060128530396")</f>
        <v>5060128530396</v>
      </c>
      <c r="C1326" t="str">
        <f>IFERROR(__xludf.DUMMYFUNCTION("""COMPUTED_VALUE"""),"Westfalia/Witter")</f>
        <v>Westfalia/Witter</v>
      </c>
    </row>
    <row r="1327">
      <c r="A1327" t="str">
        <f>IFERROR(__xludf.DUMMYFUNCTION("""COMPUTED_VALUE"""),"BM21B")</f>
        <v>BM21B</v>
      </c>
      <c r="B1327" s="226" t="str">
        <f>IFERROR(__xludf.DUMMYFUNCTION("""COMPUTED_VALUE"""),"5060128530402")</f>
        <v>5060128530402</v>
      </c>
      <c r="C1327" t="str">
        <f>IFERROR(__xludf.DUMMYFUNCTION("""COMPUTED_VALUE"""),"Westfalia/Witter")</f>
        <v>Westfalia/Witter</v>
      </c>
    </row>
    <row r="1328">
      <c r="A1328" t="str">
        <f>IFERROR(__xludf.DUMMYFUNCTION("""COMPUTED_VALUE"""),"BM21BQ")</f>
        <v>BM21BQ</v>
      </c>
      <c r="B1328" s="226" t="str">
        <f>IFERROR(__xludf.DUMMYFUNCTION("""COMPUTED_VALUE"""),"5060128530419")</f>
        <v>5060128530419</v>
      </c>
      <c r="C1328" t="str">
        <f>IFERROR(__xludf.DUMMYFUNCTION("""COMPUTED_VALUE"""),"Westfalia/Witter")</f>
        <v>Westfalia/Witter</v>
      </c>
    </row>
    <row r="1329">
      <c r="A1329" t="str">
        <f>IFERROR(__xludf.DUMMYFUNCTION("""COMPUTED_VALUE"""),"BM21BS")</f>
        <v>BM21BS</v>
      </c>
      <c r="B1329" s="226" t="str">
        <f>IFERROR(__xludf.DUMMYFUNCTION("""COMPUTED_VALUE"""),"5060128530426")</f>
        <v>5060128530426</v>
      </c>
      <c r="C1329" t="str">
        <f>IFERROR(__xludf.DUMMYFUNCTION("""COMPUTED_VALUE"""),"Westfalia/Witter")</f>
        <v>Westfalia/Witter</v>
      </c>
    </row>
    <row r="1330">
      <c r="A1330" t="str">
        <f>IFERROR(__xludf.DUMMYFUNCTION("""COMPUTED_VALUE"""),"BM22Q")</f>
        <v>BM22Q</v>
      </c>
      <c r="B1330" s="226" t="str">
        <f>IFERROR(__xludf.DUMMYFUNCTION("""COMPUTED_VALUE"""),"5060128530433")</f>
        <v>5060128530433</v>
      </c>
      <c r="C1330" t="str">
        <f>IFERROR(__xludf.DUMMYFUNCTION("""COMPUTED_VALUE"""),"Westfalia/Witter")</f>
        <v>Westfalia/Witter</v>
      </c>
    </row>
    <row r="1331">
      <c r="A1331" t="str">
        <f>IFERROR(__xludf.DUMMYFUNCTION("""COMPUTED_VALUE"""),"BM23A")</f>
        <v>BM23A</v>
      </c>
      <c r="B1331" s="226" t="str">
        <f>IFERROR(__xludf.DUMMYFUNCTION("""COMPUTED_VALUE"""),"5060128530440")</f>
        <v>5060128530440</v>
      </c>
      <c r="C1331" t="str">
        <f>IFERROR(__xludf.DUMMYFUNCTION("""COMPUTED_VALUE"""),"Westfalia/Witter")</f>
        <v>Westfalia/Witter</v>
      </c>
    </row>
    <row r="1332">
      <c r="A1332" t="str">
        <f>IFERROR(__xludf.DUMMYFUNCTION("""COMPUTED_VALUE"""),"BM23AQ")</f>
        <v>BM23AQ</v>
      </c>
      <c r="B1332" s="226" t="str">
        <f>IFERROR(__xludf.DUMMYFUNCTION("""COMPUTED_VALUE"""),"5060128530457")</f>
        <v>5060128530457</v>
      </c>
      <c r="C1332" t="str">
        <f>IFERROR(__xludf.DUMMYFUNCTION("""COMPUTED_VALUE"""),"Westfalia/Witter")</f>
        <v>Westfalia/Witter</v>
      </c>
    </row>
    <row r="1333">
      <c r="A1333" t="str">
        <f>IFERROR(__xludf.DUMMYFUNCTION("""COMPUTED_VALUE"""),"BM23AS")</f>
        <v>BM23AS</v>
      </c>
      <c r="B1333" s="226" t="str">
        <f>IFERROR(__xludf.DUMMYFUNCTION("""COMPUTED_VALUE"""),"5060128530464")</f>
        <v>5060128530464</v>
      </c>
      <c r="C1333" t="str">
        <f>IFERROR(__xludf.DUMMYFUNCTION("""COMPUTED_VALUE"""),"Westfalia/Witter")</f>
        <v>Westfalia/Witter</v>
      </c>
    </row>
    <row r="1334">
      <c r="A1334" t="str">
        <f>IFERROR(__xludf.DUMMYFUNCTION("""COMPUTED_VALUE"""),"BM24C")</f>
        <v>BM24C</v>
      </c>
      <c r="B1334" s="226" t="str">
        <f>IFERROR(__xludf.DUMMYFUNCTION("""COMPUTED_VALUE"""),"5060128530471")</f>
        <v>5060128530471</v>
      </c>
      <c r="C1334" t="str">
        <f>IFERROR(__xludf.DUMMYFUNCTION("""COMPUTED_VALUE"""),"Westfalia/Witter")</f>
        <v>Westfalia/Witter</v>
      </c>
    </row>
    <row r="1335">
      <c r="A1335" t="str">
        <f>IFERROR(__xludf.DUMMYFUNCTION("""COMPUTED_VALUE"""),"BM24CQ")</f>
        <v>BM24CQ</v>
      </c>
      <c r="B1335" s="226" t="str">
        <f>IFERROR(__xludf.DUMMYFUNCTION("""COMPUTED_VALUE"""),"5060128530488")</f>
        <v>5060128530488</v>
      </c>
      <c r="C1335" t="str">
        <f>IFERROR(__xludf.DUMMYFUNCTION("""COMPUTED_VALUE"""),"Westfalia/Witter")</f>
        <v>Westfalia/Witter</v>
      </c>
    </row>
    <row r="1336">
      <c r="A1336" t="str">
        <f>IFERROR(__xludf.DUMMYFUNCTION("""COMPUTED_VALUE"""),"BM24CQ")</f>
        <v>BM24CQ</v>
      </c>
      <c r="B1336" s="226" t="str">
        <f>IFERROR(__xludf.DUMMYFUNCTION("""COMPUTED_VALUE"""),"5060128530488")</f>
        <v>5060128530488</v>
      </c>
      <c r="C1336" t="str">
        <f>IFERROR(__xludf.DUMMYFUNCTION("""COMPUTED_VALUE"""),"Westfalia/Witter")</f>
        <v>Westfalia/Witter</v>
      </c>
    </row>
    <row r="1337">
      <c r="A1337" t="str">
        <f>IFERROR(__xludf.DUMMYFUNCTION("""COMPUTED_VALUE"""),"BM24CQ")</f>
        <v>BM24CQ</v>
      </c>
      <c r="B1337" s="226" t="str">
        <f>IFERROR(__xludf.DUMMYFUNCTION("""COMPUTED_VALUE"""),"5060128530488")</f>
        <v>5060128530488</v>
      </c>
      <c r="C1337" t="str">
        <f>IFERROR(__xludf.DUMMYFUNCTION("""COMPUTED_VALUE"""),"Westfalia/Witter")</f>
        <v>Westfalia/Witter</v>
      </c>
    </row>
    <row r="1338">
      <c r="A1338" t="str">
        <f>IFERROR(__xludf.DUMMYFUNCTION("""COMPUTED_VALUE"""),"BM24CS")</f>
        <v>BM24CS</v>
      </c>
      <c r="B1338" s="226" t="str">
        <f>IFERROR(__xludf.DUMMYFUNCTION("""COMPUTED_VALUE"""),"5060128530501")</f>
        <v>5060128530501</v>
      </c>
      <c r="C1338" t="str">
        <f>IFERROR(__xludf.DUMMYFUNCTION("""COMPUTED_VALUE"""),"Westfalia/Witter")</f>
        <v>Westfalia/Witter</v>
      </c>
    </row>
    <row r="1339">
      <c r="A1339" t="str">
        <f>IFERROR(__xludf.DUMMYFUNCTION("""COMPUTED_VALUE"""),"BM24CS")</f>
        <v>BM24CS</v>
      </c>
      <c r="B1339" s="226" t="str">
        <f>IFERROR(__xludf.DUMMYFUNCTION("""COMPUTED_VALUE"""),"5060128530501")</f>
        <v>5060128530501</v>
      </c>
      <c r="C1339" t="str">
        <f>IFERROR(__xludf.DUMMYFUNCTION("""COMPUTED_VALUE"""),"Westfalia/Witter")</f>
        <v>Westfalia/Witter</v>
      </c>
    </row>
    <row r="1340">
      <c r="A1340" t="str">
        <f>IFERROR(__xludf.DUMMYFUNCTION("""COMPUTED_VALUE"""),"BM24CS")</f>
        <v>BM24CS</v>
      </c>
      <c r="B1340" s="226" t="str">
        <f>IFERROR(__xludf.DUMMYFUNCTION("""COMPUTED_VALUE"""),"5060128530501")</f>
        <v>5060128530501</v>
      </c>
      <c r="C1340" t="str">
        <f>IFERROR(__xludf.DUMMYFUNCTION("""COMPUTED_VALUE"""),"Westfalia/Witter")</f>
        <v>Westfalia/Witter</v>
      </c>
    </row>
    <row r="1341">
      <c r="A1341" t="str">
        <f>IFERROR(__xludf.DUMMYFUNCTION("""COMPUTED_VALUE"""),"BM29AQ")</f>
        <v>BM29AQ</v>
      </c>
      <c r="B1341" s="226" t="str">
        <f>IFERROR(__xludf.DUMMYFUNCTION("""COMPUTED_VALUE"""),"5060128530518")</f>
        <v>5060128530518</v>
      </c>
      <c r="C1341" t="str">
        <f>IFERROR(__xludf.DUMMYFUNCTION("""COMPUTED_VALUE"""),"Westfalia/Witter")</f>
        <v>Westfalia/Witter</v>
      </c>
    </row>
    <row r="1342">
      <c r="A1342" t="str">
        <f>IFERROR(__xludf.DUMMYFUNCTION("""COMPUTED_VALUE"""),"BM29AS")</f>
        <v>BM29AS</v>
      </c>
      <c r="B1342" s="226" t="str">
        <f>IFERROR(__xludf.DUMMYFUNCTION("""COMPUTED_VALUE"""),"5060128530532")</f>
        <v>5060128530532</v>
      </c>
      <c r="C1342" t="str">
        <f>IFERROR(__xludf.DUMMYFUNCTION("""COMPUTED_VALUE"""),"Westfalia/Witter")</f>
        <v>Westfalia/Witter</v>
      </c>
    </row>
    <row r="1343">
      <c r="A1343" t="str">
        <f>IFERROR(__xludf.DUMMYFUNCTION("""COMPUTED_VALUE"""),"BM30A")</f>
        <v>BM30A</v>
      </c>
      <c r="B1343" s="226" t="str">
        <f>IFERROR(__xludf.DUMMYFUNCTION("""COMPUTED_VALUE"""),"5060128530549")</f>
        <v>5060128530549</v>
      </c>
      <c r="C1343" t="str">
        <f>IFERROR(__xludf.DUMMYFUNCTION("""COMPUTED_VALUE"""),"Westfalia/Witter")</f>
        <v>Westfalia/Witter</v>
      </c>
    </row>
    <row r="1344">
      <c r="A1344" t="str">
        <f>IFERROR(__xludf.DUMMYFUNCTION("""COMPUTED_VALUE"""),"BM31Q")</f>
        <v>BM31Q</v>
      </c>
      <c r="B1344" s="226" t="str">
        <f>IFERROR(__xludf.DUMMYFUNCTION("""COMPUTED_VALUE"""),"5060128530556")</f>
        <v>5060128530556</v>
      </c>
      <c r="C1344" t="str">
        <f>IFERROR(__xludf.DUMMYFUNCTION("""COMPUTED_VALUE"""),"Westfalia/Witter")</f>
        <v>Westfalia/Witter</v>
      </c>
    </row>
    <row r="1345">
      <c r="A1345" t="str">
        <f>IFERROR(__xludf.DUMMYFUNCTION("""COMPUTED_VALUE"""),"BM31Q")</f>
        <v>BM31Q</v>
      </c>
      <c r="B1345" s="226" t="str">
        <f>IFERROR(__xludf.DUMMYFUNCTION("""COMPUTED_VALUE"""),"5060128530556")</f>
        <v>5060128530556</v>
      </c>
      <c r="C1345" t="str">
        <f>IFERROR(__xludf.DUMMYFUNCTION("""COMPUTED_VALUE"""),"Westfalia/Witter")</f>
        <v>Westfalia/Witter</v>
      </c>
    </row>
    <row r="1346">
      <c r="A1346" t="str">
        <f>IFERROR(__xludf.DUMMYFUNCTION("""COMPUTED_VALUE"""),"BM31S")</f>
        <v>BM31S</v>
      </c>
      <c r="B1346" s="226" t="str">
        <f>IFERROR(__xludf.DUMMYFUNCTION("""COMPUTED_VALUE"""),"5060128530563")</f>
        <v>5060128530563</v>
      </c>
      <c r="C1346" t="str">
        <f>IFERROR(__xludf.DUMMYFUNCTION("""COMPUTED_VALUE"""),"Westfalia/Witter")</f>
        <v>Westfalia/Witter</v>
      </c>
    </row>
    <row r="1347">
      <c r="A1347" t="str">
        <f>IFERROR(__xludf.DUMMYFUNCTION("""COMPUTED_VALUE"""),"BM31S")</f>
        <v>BM31S</v>
      </c>
      <c r="B1347" s="226" t="str">
        <f>IFERROR(__xludf.DUMMYFUNCTION("""COMPUTED_VALUE"""),"5060128530563")</f>
        <v>5060128530563</v>
      </c>
      <c r="C1347" t="str">
        <f>IFERROR(__xludf.DUMMYFUNCTION("""COMPUTED_VALUE"""),"Westfalia/Witter")</f>
        <v>Westfalia/Witter</v>
      </c>
    </row>
    <row r="1348">
      <c r="A1348" t="str">
        <f>IFERROR(__xludf.DUMMYFUNCTION("""COMPUTED_VALUE"""),"BM32Q")</f>
        <v>BM32Q</v>
      </c>
      <c r="B1348" s="226" t="str">
        <f>IFERROR(__xludf.DUMMYFUNCTION("""COMPUTED_VALUE"""),"5060128530570")</f>
        <v>5060128530570</v>
      </c>
      <c r="C1348" t="str">
        <f>IFERROR(__xludf.DUMMYFUNCTION("""COMPUTED_VALUE"""),"Westfalia/Witter")</f>
        <v>Westfalia/Witter</v>
      </c>
    </row>
    <row r="1349">
      <c r="A1349" t="str">
        <f>IFERROR(__xludf.DUMMYFUNCTION("""COMPUTED_VALUE"""),"BM32Q")</f>
        <v>BM32Q</v>
      </c>
      <c r="B1349" s="226" t="str">
        <f>IFERROR(__xludf.DUMMYFUNCTION("""COMPUTED_VALUE"""),"5060128530570")</f>
        <v>5060128530570</v>
      </c>
      <c r="C1349" t="str">
        <f>IFERROR(__xludf.DUMMYFUNCTION("""COMPUTED_VALUE"""),"Westfalia/Witter")</f>
        <v>Westfalia/Witter</v>
      </c>
    </row>
    <row r="1350">
      <c r="A1350" t="str">
        <f>IFERROR(__xludf.DUMMYFUNCTION("""COMPUTED_VALUE"""),"BM33")</f>
        <v>BM33</v>
      </c>
      <c r="B1350" s="226" t="str">
        <f>IFERROR(__xludf.DUMMYFUNCTION("""COMPUTED_VALUE"""),"5060128530587")</f>
        <v>5060128530587</v>
      </c>
      <c r="C1350" t="str">
        <f>IFERROR(__xludf.DUMMYFUNCTION("""COMPUTED_VALUE"""),"Westfalia/Witter")</f>
        <v>Westfalia/Witter</v>
      </c>
    </row>
    <row r="1351">
      <c r="A1351" t="str">
        <f>IFERROR(__xludf.DUMMYFUNCTION("""COMPUTED_VALUE"""),"BM33Q")</f>
        <v>BM33Q</v>
      </c>
      <c r="B1351" s="226" t="str">
        <f>IFERROR(__xludf.DUMMYFUNCTION("""COMPUTED_VALUE"""),"5060128530594")</f>
        <v>5060128530594</v>
      </c>
      <c r="C1351" t="str">
        <f>IFERROR(__xludf.DUMMYFUNCTION("""COMPUTED_VALUE"""),"Westfalia/Witter")</f>
        <v>Westfalia/Witter</v>
      </c>
    </row>
    <row r="1352">
      <c r="A1352" t="str">
        <f>IFERROR(__xludf.DUMMYFUNCTION("""COMPUTED_VALUE"""),"BM33S")</f>
        <v>BM33S</v>
      </c>
      <c r="B1352" s="226" t="str">
        <f>IFERROR(__xludf.DUMMYFUNCTION("""COMPUTED_VALUE"""),"5060128530617")</f>
        <v>5060128530617</v>
      </c>
      <c r="C1352" t="str">
        <f>IFERROR(__xludf.DUMMYFUNCTION("""COMPUTED_VALUE"""),"Westfalia/Witter")</f>
        <v>Westfalia/Witter</v>
      </c>
    </row>
    <row r="1353">
      <c r="A1353" t="str">
        <f>IFERROR(__xludf.DUMMYFUNCTION("""COMPUTED_VALUE"""),"BM35A")</f>
        <v>BM35A</v>
      </c>
      <c r="B1353" s="226" t="str">
        <f>IFERROR(__xludf.DUMMYFUNCTION("""COMPUTED_VALUE"""),"5060128530624")</f>
        <v>5060128530624</v>
      </c>
      <c r="C1353" t="str">
        <f>IFERROR(__xludf.DUMMYFUNCTION("""COMPUTED_VALUE"""),"Westfalia/Witter")</f>
        <v>Westfalia/Witter</v>
      </c>
    </row>
    <row r="1354">
      <c r="A1354" t="str">
        <f>IFERROR(__xludf.DUMMYFUNCTION("""COMPUTED_VALUE"""),"BM35AQ")</f>
        <v>BM35AQ</v>
      </c>
      <c r="B1354" s="226" t="str">
        <f>IFERROR(__xludf.DUMMYFUNCTION("""COMPUTED_VALUE"""),"5060128530631")</f>
        <v>5060128530631</v>
      </c>
      <c r="C1354" t="str">
        <f>IFERROR(__xludf.DUMMYFUNCTION("""COMPUTED_VALUE"""),"Westfalia/Witter")</f>
        <v>Westfalia/Witter</v>
      </c>
    </row>
    <row r="1355">
      <c r="A1355" t="str">
        <f>IFERROR(__xludf.DUMMYFUNCTION("""COMPUTED_VALUE"""),"BM35AQ")</f>
        <v>BM35AQ</v>
      </c>
      <c r="B1355" s="226" t="str">
        <f>IFERROR(__xludf.DUMMYFUNCTION("""COMPUTED_VALUE"""),"5060128530631")</f>
        <v>5060128530631</v>
      </c>
      <c r="C1355" t="str">
        <f>IFERROR(__xludf.DUMMYFUNCTION("""COMPUTED_VALUE"""),"Westfalia/Witter")</f>
        <v>Westfalia/Witter</v>
      </c>
    </row>
    <row r="1356">
      <c r="A1356" t="str">
        <f>IFERROR(__xludf.DUMMYFUNCTION("""COMPUTED_VALUE"""),"BM36")</f>
        <v>BM36</v>
      </c>
      <c r="B1356" s="226" t="str">
        <f>IFERROR(__xludf.DUMMYFUNCTION("""COMPUTED_VALUE"""),"5060128530655")</f>
        <v>5060128530655</v>
      </c>
      <c r="C1356" t="str">
        <f>IFERROR(__xludf.DUMMYFUNCTION("""COMPUTED_VALUE"""),"Westfalia/Witter")</f>
        <v>Westfalia/Witter</v>
      </c>
    </row>
    <row r="1357">
      <c r="A1357" t="str">
        <f>IFERROR(__xludf.DUMMYFUNCTION("""COMPUTED_VALUE"""),"BM36Q")</f>
        <v>BM36Q</v>
      </c>
      <c r="B1357" s="226" t="str">
        <f>IFERROR(__xludf.DUMMYFUNCTION("""COMPUTED_VALUE"""),"5060128530662")</f>
        <v>5060128530662</v>
      </c>
      <c r="C1357" t="str">
        <f>IFERROR(__xludf.DUMMYFUNCTION("""COMPUTED_VALUE"""),"Westfalia/Witter")</f>
        <v>Westfalia/Witter</v>
      </c>
    </row>
    <row r="1358">
      <c r="A1358" t="str">
        <f>IFERROR(__xludf.DUMMYFUNCTION("""COMPUTED_VALUE"""),"BM36S")</f>
        <v>BM36S</v>
      </c>
      <c r="B1358" s="226" t="str">
        <f>IFERROR(__xludf.DUMMYFUNCTION("""COMPUTED_VALUE"""),"5060128530686")</f>
        <v>5060128530686</v>
      </c>
      <c r="C1358" t="str">
        <f>IFERROR(__xludf.DUMMYFUNCTION("""COMPUTED_VALUE"""),"Westfalia/Witter")</f>
        <v>Westfalia/Witter</v>
      </c>
    </row>
    <row r="1359">
      <c r="A1359" t="str">
        <f>IFERROR(__xludf.DUMMYFUNCTION("""COMPUTED_VALUE"""),"BM37")</f>
        <v>BM37</v>
      </c>
      <c r="B1359" s="226" t="str">
        <f>IFERROR(__xludf.DUMMYFUNCTION("""COMPUTED_VALUE"""),"5060128530693")</f>
        <v>5060128530693</v>
      </c>
      <c r="C1359" t="str">
        <f>IFERROR(__xludf.DUMMYFUNCTION("""COMPUTED_VALUE"""),"Westfalia/Witter")</f>
        <v>Westfalia/Witter</v>
      </c>
    </row>
    <row r="1360">
      <c r="A1360" t="str">
        <f>IFERROR(__xludf.DUMMYFUNCTION("""COMPUTED_VALUE"""),"BM37Q")</f>
        <v>BM37Q</v>
      </c>
      <c r="B1360" s="226" t="str">
        <f>IFERROR(__xludf.DUMMYFUNCTION("""COMPUTED_VALUE"""),"5060128530709")</f>
        <v>5060128530709</v>
      </c>
      <c r="C1360" t="str">
        <f>IFERROR(__xludf.DUMMYFUNCTION("""COMPUTED_VALUE"""),"Westfalia/Witter")</f>
        <v>Westfalia/Witter</v>
      </c>
    </row>
    <row r="1361">
      <c r="A1361" t="str">
        <f>IFERROR(__xludf.DUMMYFUNCTION("""COMPUTED_VALUE"""),"BM38")</f>
        <v>BM38</v>
      </c>
      <c r="B1361" s="226" t="str">
        <f>IFERROR(__xludf.DUMMYFUNCTION("""COMPUTED_VALUE"""),"5060128530716")</f>
        <v>5060128530716</v>
      </c>
      <c r="C1361" t="str">
        <f>IFERROR(__xludf.DUMMYFUNCTION("""COMPUTED_VALUE"""),"Westfalia/Witter")</f>
        <v>Westfalia/Witter</v>
      </c>
    </row>
    <row r="1362">
      <c r="A1362" t="str">
        <f>IFERROR(__xludf.DUMMYFUNCTION("""COMPUTED_VALUE"""),"BM38Q")</f>
        <v>BM38Q</v>
      </c>
      <c r="B1362" s="226" t="str">
        <f>IFERROR(__xludf.DUMMYFUNCTION("""COMPUTED_VALUE"""),"5060128530723")</f>
        <v>5060128530723</v>
      </c>
      <c r="C1362" t="str">
        <f>IFERROR(__xludf.DUMMYFUNCTION("""COMPUTED_VALUE"""),"Westfalia/Witter")</f>
        <v>Westfalia/Witter</v>
      </c>
    </row>
    <row r="1363">
      <c r="A1363" t="str">
        <f>IFERROR(__xludf.DUMMYFUNCTION("""COMPUTED_VALUE"""),"BM38S")</f>
        <v>BM38S</v>
      </c>
      <c r="B1363" s="226" t="str">
        <f>IFERROR(__xludf.DUMMYFUNCTION("""COMPUTED_VALUE"""),"5060128530747")</f>
        <v>5060128530747</v>
      </c>
      <c r="C1363" t="str">
        <f>IFERROR(__xludf.DUMMYFUNCTION("""COMPUTED_VALUE"""),"Westfalia/Witter")</f>
        <v>Westfalia/Witter</v>
      </c>
    </row>
    <row r="1364">
      <c r="A1364" t="str">
        <f>IFERROR(__xludf.DUMMYFUNCTION("""COMPUTED_VALUE"""),"BM39Q")</f>
        <v>BM39Q</v>
      </c>
      <c r="B1364" s="226" t="str">
        <f>IFERROR(__xludf.DUMMYFUNCTION("""COMPUTED_VALUE"""),"5060128530754")</f>
        <v>5060128530754</v>
      </c>
      <c r="C1364" t="str">
        <f>IFERROR(__xludf.DUMMYFUNCTION("""COMPUTED_VALUE"""),"Westfalia/Witter")</f>
        <v>Westfalia/Witter</v>
      </c>
    </row>
    <row r="1365">
      <c r="A1365" t="str">
        <f>IFERROR(__xludf.DUMMYFUNCTION("""COMPUTED_VALUE"""),"BM40Q")</f>
        <v>BM40Q</v>
      </c>
      <c r="B1365" s="226" t="str">
        <f>IFERROR(__xludf.DUMMYFUNCTION("""COMPUTED_VALUE"""),"5060128530761")</f>
        <v>5060128530761</v>
      </c>
      <c r="C1365" t="str">
        <f>IFERROR(__xludf.DUMMYFUNCTION("""COMPUTED_VALUE"""),"Westfalia/Witter")</f>
        <v>Westfalia/Witter</v>
      </c>
    </row>
    <row r="1366">
      <c r="A1366" t="str">
        <f>IFERROR(__xludf.DUMMYFUNCTION("""COMPUTED_VALUE"""),"BM43Q")</f>
        <v>BM43Q</v>
      </c>
      <c r="B1366" s="226" t="str">
        <f>IFERROR(__xludf.DUMMYFUNCTION("""COMPUTED_VALUE"""),"5060128530778")</f>
        <v>5060128530778</v>
      </c>
      <c r="C1366" t="str">
        <f>IFERROR(__xludf.DUMMYFUNCTION("""COMPUTED_VALUE"""),"Westfalia/Witter")</f>
        <v>Westfalia/Witter</v>
      </c>
    </row>
    <row r="1367">
      <c r="A1367" t="str">
        <f>IFERROR(__xludf.DUMMYFUNCTION("""COMPUTED_VALUE"""),"BM44")</f>
        <v>BM44</v>
      </c>
      <c r="B1367" s="226" t="str">
        <f>IFERROR(__xludf.DUMMYFUNCTION("""COMPUTED_VALUE"""),"5060128530785")</f>
        <v>5060128530785</v>
      </c>
      <c r="C1367" t="str">
        <f>IFERROR(__xludf.DUMMYFUNCTION("""COMPUTED_VALUE"""),"Westfalia/Witter")</f>
        <v>Westfalia/Witter</v>
      </c>
    </row>
    <row r="1368">
      <c r="A1368" t="str">
        <f>IFERROR(__xludf.DUMMYFUNCTION("""COMPUTED_VALUE"""),"BM44Q")</f>
        <v>BM44Q</v>
      </c>
      <c r="B1368" s="226" t="str">
        <f>IFERROR(__xludf.DUMMYFUNCTION("""COMPUTED_VALUE"""),"5060128530792")</f>
        <v>5060128530792</v>
      </c>
      <c r="C1368" t="str">
        <f>IFERROR(__xludf.DUMMYFUNCTION("""COMPUTED_VALUE"""),"Westfalia/Witter")</f>
        <v>Westfalia/Witter</v>
      </c>
    </row>
    <row r="1369">
      <c r="A1369" t="str">
        <f>IFERROR(__xludf.DUMMYFUNCTION("""COMPUTED_VALUE"""),"BM44S")</f>
        <v>BM44S</v>
      </c>
      <c r="B1369" s="226" t="str">
        <f>IFERROR(__xludf.DUMMYFUNCTION("""COMPUTED_VALUE"""),"5060128530815")</f>
        <v>5060128530815</v>
      </c>
      <c r="C1369" t="str">
        <f>IFERROR(__xludf.DUMMYFUNCTION("""COMPUTED_VALUE"""),"Westfalia/Witter")</f>
        <v>Westfalia/Witter</v>
      </c>
    </row>
    <row r="1370">
      <c r="A1370" t="str">
        <f>IFERROR(__xludf.DUMMYFUNCTION("""COMPUTED_VALUE"""),"C24B")</f>
        <v>C24B</v>
      </c>
      <c r="B1370" s="226" t="str">
        <f>IFERROR(__xludf.DUMMYFUNCTION("""COMPUTED_VALUE"""),"5060128530846")</f>
        <v>5060128530846</v>
      </c>
      <c r="C1370" t="str">
        <f>IFERROR(__xludf.DUMMYFUNCTION("""COMPUTED_VALUE"""),"Westfalia/Witter")</f>
        <v>Westfalia/Witter</v>
      </c>
    </row>
    <row r="1371">
      <c r="A1371" t="str">
        <f>IFERROR(__xludf.DUMMYFUNCTION("""COMPUTED_VALUE"""),"C25A")</f>
        <v>C25A</v>
      </c>
      <c r="B1371" s="226" t="str">
        <f>IFERROR(__xludf.DUMMYFUNCTION("""COMPUTED_VALUE"""),"5060128530853")</f>
        <v>5060128530853</v>
      </c>
      <c r="C1371" t="str">
        <f>IFERROR(__xludf.DUMMYFUNCTION("""COMPUTED_VALUE"""),"Westfalia/Witter")</f>
        <v>Westfalia/Witter</v>
      </c>
    </row>
    <row r="1372">
      <c r="A1372" t="str">
        <f>IFERROR(__xludf.DUMMYFUNCTION("""COMPUTED_VALUE"""),"C27D")</f>
        <v>C27D</v>
      </c>
      <c r="B1372" s="226" t="str">
        <f>IFERROR(__xludf.DUMMYFUNCTION("""COMPUTED_VALUE"""),"5060128530860")</f>
        <v>5060128530860</v>
      </c>
      <c r="C1372" t="str">
        <f>IFERROR(__xludf.DUMMYFUNCTION("""COMPUTED_VALUE"""),"Westfalia/Witter")</f>
        <v>Westfalia/Witter</v>
      </c>
    </row>
    <row r="1373">
      <c r="A1373" t="str">
        <f>IFERROR(__xludf.DUMMYFUNCTION("""COMPUTED_VALUE"""),"C29A")</f>
        <v>C29A</v>
      </c>
      <c r="B1373" s="226" t="str">
        <f>IFERROR(__xludf.DUMMYFUNCTION("""COMPUTED_VALUE"""),"5060128530884")</f>
        <v>5060128530884</v>
      </c>
      <c r="C1373" t="str">
        <f>IFERROR(__xludf.DUMMYFUNCTION("""COMPUTED_VALUE"""),"Westfalia/Witter")</f>
        <v>Westfalia/Witter</v>
      </c>
    </row>
    <row r="1374">
      <c r="A1374" t="str">
        <f>IFERROR(__xludf.DUMMYFUNCTION("""COMPUTED_VALUE"""),"C31A")</f>
        <v>C31A</v>
      </c>
      <c r="B1374" s="226" t="str">
        <f>IFERROR(__xludf.DUMMYFUNCTION("""COMPUTED_VALUE"""),"5060128530891")</f>
        <v>5060128530891</v>
      </c>
      <c r="C1374" t="str">
        <f>IFERROR(__xludf.DUMMYFUNCTION("""COMPUTED_VALUE"""),"Westfalia/Witter")</f>
        <v>Westfalia/Witter</v>
      </c>
    </row>
    <row r="1375">
      <c r="A1375" t="str">
        <f>IFERROR(__xludf.DUMMYFUNCTION("""COMPUTED_VALUE"""),"C33A")</f>
        <v>C33A</v>
      </c>
      <c r="B1375" s="226" t="str">
        <f>IFERROR(__xludf.DUMMYFUNCTION("""COMPUTED_VALUE"""),"5060128530907")</f>
        <v>5060128530907</v>
      </c>
      <c r="C1375" t="str">
        <f>IFERROR(__xludf.DUMMYFUNCTION("""COMPUTED_VALUE"""),"Westfalia/Witter")</f>
        <v>Westfalia/Witter</v>
      </c>
    </row>
    <row r="1376">
      <c r="A1376" t="str">
        <f>IFERROR(__xludf.DUMMYFUNCTION("""COMPUTED_VALUE"""),"C35A")</f>
        <v>C35A</v>
      </c>
      <c r="B1376" s="226" t="str">
        <f>IFERROR(__xludf.DUMMYFUNCTION("""COMPUTED_VALUE"""),"5060128530921")</f>
        <v>5060128530921</v>
      </c>
      <c r="C1376" t="str">
        <f>IFERROR(__xludf.DUMMYFUNCTION("""COMPUTED_VALUE"""),"Westfalia/Witter")</f>
        <v>Westfalia/Witter</v>
      </c>
    </row>
    <row r="1377">
      <c r="A1377" t="str">
        <f>IFERROR(__xludf.DUMMYFUNCTION("""COMPUTED_VALUE"""),"C36A")</f>
        <v>C36A</v>
      </c>
      <c r="B1377" s="226" t="str">
        <f>IFERROR(__xludf.DUMMYFUNCTION("""COMPUTED_VALUE"""),"5060128530938")</f>
        <v>5060128530938</v>
      </c>
      <c r="C1377" t="str">
        <f>IFERROR(__xludf.DUMMYFUNCTION("""COMPUTED_VALUE"""),"Westfalia/Witter")</f>
        <v>Westfalia/Witter</v>
      </c>
    </row>
    <row r="1378">
      <c r="A1378" t="str">
        <f>IFERROR(__xludf.DUMMYFUNCTION("""COMPUTED_VALUE"""),"C39B")</f>
        <v>C39B</v>
      </c>
      <c r="B1378" s="226" t="str">
        <f>IFERROR(__xludf.DUMMYFUNCTION("""COMPUTED_VALUE"""),"5060128530945")</f>
        <v>5060128530945</v>
      </c>
      <c r="C1378" t="str">
        <f>IFERROR(__xludf.DUMMYFUNCTION("""COMPUTED_VALUE"""),"Westfalia/Witter")</f>
        <v>Westfalia/Witter</v>
      </c>
    </row>
    <row r="1379">
      <c r="A1379" t="str">
        <f>IFERROR(__xludf.DUMMYFUNCTION("""COMPUTED_VALUE"""),"C40AQ")</f>
        <v>C40AQ</v>
      </c>
      <c r="B1379" s="226" t="str">
        <f>IFERROR(__xludf.DUMMYFUNCTION("""COMPUTED_VALUE"""),"5060128530952")</f>
        <v>5060128530952</v>
      </c>
      <c r="C1379" t="str">
        <f>IFERROR(__xludf.DUMMYFUNCTION("""COMPUTED_VALUE"""),"Westfalia/Witter")</f>
        <v>Westfalia/Witter</v>
      </c>
    </row>
    <row r="1380">
      <c r="A1380" t="str">
        <f>IFERROR(__xludf.DUMMYFUNCTION("""COMPUTED_VALUE"""),"C40AS")</f>
        <v>C40AS</v>
      </c>
      <c r="B1380" s="226" t="str">
        <f>IFERROR(__xludf.DUMMYFUNCTION("""COMPUTED_VALUE"""),"5060128530969")</f>
        <v>5060128530969</v>
      </c>
      <c r="C1380" t="str">
        <f>IFERROR(__xludf.DUMMYFUNCTION("""COMPUTED_VALUE"""),"Westfalia/Witter")</f>
        <v>Westfalia/Witter</v>
      </c>
    </row>
    <row r="1381">
      <c r="A1381" t="str">
        <f>IFERROR(__xludf.DUMMYFUNCTION("""COMPUTED_VALUE"""),"C41")</f>
        <v>C41</v>
      </c>
      <c r="B1381" s="226" t="str">
        <f>IFERROR(__xludf.DUMMYFUNCTION("""COMPUTED_VALUE"""),"5060128530976")</f>
        <v>5060128530976</v>
      </c>
      <c r="C1381" t="str">
        <f>IFERROR(__xludf.DUMMYFUNCTION("""COMPUTED_VALUE"""),"Westfalia/Witter")</f>
        <v>Westfalia/Witter</v>
      </c>
    </row>
    <row r="1382">
      <c r="A1382" t="str">
        <f>IFERROR(__xludf.DUMMYFUNCTION("""COMPUTED_VALUE"""),"C41S")</f>
        <v>C41S</v>
      </c>
      <c r="B1382" s="226" t="str">
        <f>IFERROR(__xludf.DUMMYFUNCTION("""COMPUTED_VALUE"""),"5060128530983")</f>
        <v>5060128530983</v>
      </c>
      <c r="C1382" t="str">
        <f>IFERROR(__xludf.DUMMYFUNCTION("""COMPUTED_VALUE"""),"Westfalia/Witter")</f>
        <v>Westfalia/Witter</v>
      </c>
    </row>
    <row r="1383">
      <c r="A1383" t="str">
        <f>IFERROR(__xludf.DUMMYFUNCTION("""COMPUTED_VALUE"""),"C46A")</f>
        <v>C46A</v>
      </c>
      <c r="B1383" s="226" t="str">
        <f>IFERROR(__xludf.DUMMYFUNCTION("""COMPUTED_VALUE"""),"5060128531027")</f>
        <v>5060128531027</v>
      </c>
      <c r="C1383" t="str">
        <f>IFERROR(__xludf.DUMMYFUNCTION("""COMPUTED_VALUE"""),"Westfalia/Witter")</f>
        <v>Westfalia/Witter</v>
      </c>
    </row>
    <row r="1384">
      <c r="A1384" t="str">
        <f>IFERROR(__xludf.DUMMYFUNCTION("""COMPUTED_VALUE"""),"C47AQ")</f>
        <v>C47AQ</v>
      </c>
      <c r="B1384" s="226" t="str">
        <f>IFERROR(__xludf.DUMMYFUNCTION("""COMPUTED_VALUE"""),"5060128531034")</f>
        <v>5060128531034</v>
      </c>
      <c r="C1384" t="str">
        <f>IFERROR(__xludf.DUMMYFUNCTION("""COMPUTED_VALUE"""),"Westfalia/Witter")</f>
        <v>Westfalia/Witter</v>
      </c>
    </row>
    <row r="1385">
      <c r="A1385" t="str">
        <f>IFERROR(__xludf.DUMMYFUNCTION("""COMPUTED_VALUE"""),"C47AS")</f>
        <v>C47AS</v>
      </c>
      <c r="B1385" s="226" t="str">
        <f>IFERROR(__xludf.DUMMYFUNCTION("""COMPUTED_VALUE"""),"5060128531041")</f>
        <v>5060128531041</v>
      </c>
      <c r="C1385" t="str">
        <f>IFERROR(__xludf.DUMMYFUNCTION("""COMPUTED_VALUE"""),"Westfalia/Witter")</f>
        <v>Westfalia/Witter</v>
      </c>
    </row>
    <row r="1386">
      <c r="A1386" t="str">
        <f>IFERROR(__xludf.DUMMYFUNCTION("""COMPUTED_VALUE"""),"C49")</f>
        <v>C49</v>
      </c>
      <c r="B1386" s="226" t="str">
        <f>IFERROR(__xludf.DUMMYFUNCTION("""COMPUTED_VALUE"""),"5060128531058")</f>
        <v>5060128531058</v>
      </c>
      <c r="C1386" t="str">
        <f>IFERROR(__xludf.DUMMYFUNCTION("""COMPUTED_VALUE"""),"Westfalia/Witter")</f>
        <v>Westfalia/Witter</v>
      </c>
    </row>
    <row r="1387">
      <c r="A1387" t="str">
        <f>IFERROR(__xludf.DUMMYFUNCTION("""COMPUTED_VALUE"""),"C49Q")</f>
        <v>C49Q</v>
      </c>
      <c r="B1387" s="226" t="str">
        <f>IFERROR(__xludf.DUMMYFUNCTION("""COMPUTED_VALUE"""),"5060128531065")</f>
        <v>5060128531065</v>
      </c>
      <c r="C1387" t="str">
        <f>IFERROR(__xludf.DUMMYFUNCTION("""COMPUTED_VALUE"""),"Westfalia/Witter")</f>
        <v>Westfalia/Witter</v>
      </c>
    </row>
    <row r="1388">
      <c r="A1388" t="str">
        <f>IFERROR(__xludf.DUMMYFUNCTION("""COMPUTED_VALUE"""),"C49S")</f>
        <v>C49S</v>
      </c>
      <c r="B1388" s="226" t="str">
        <f>IFERROR(__xludf.DUMMYFUNCTION("""COMPUTED_VALUE"""),"5060128531072")</f>
        <v>5060128531072</v>
      </c>
      <c r="C1388" t="str">
        <f>IFERROR(__xludf.DUMMYFUNCTION("""COMPUTED_VALUE"""),"Westfalia/Witter")</f>
        <v>Westfalia/Witter</v>
      </c>
    </row>
    <row r="1389">
      <c r="A1389" t="str">
        <f>IFERROR(__xludf.DUMMYFUNCTION("""COMPUTED_VALUE"""),"C49S")</f>
        <v>C49S</v>
      </c>
      <c r="B1389" s="226" t="str">
        <f>IFERROR(__xludf.DUMMYFUNCTION("""COMPUTED_VALUE"""),"5060128531072")</f>
        <v>5060128531072</v>
      </c>
      <c r="C1389" t="str">
        <f>IFERROR(__xludf.DUMMYFUNCTION("""COMPUTED_VALUE"""),"Westfalia/Witter")</f>
        <v>Westfalia/Witter</v>
      </c>
    </row>
    <row r="1390">
      <c r="A1390" t="str">
        <f>IFERROR(__xludf.DUMMYFUNCTION("""COMPUTED_VALUE"""),"C51")</f>
        <v>C51</v>
      </c>
      <c r="B1390" s="226" t="str">
        <f>IFERROR(__xludf.DUMMYFUNCTION("""COMPUTED_VALUE"""),"5060128531089")</f>
        <v>5060128531089</v>
      </c>
      <c r="C1390" t="str">
        <f>IFERROR(__xludf.DUMMYFUNCTION("""COMPUTED_VALUE"""),"Westfalia/Witter")</f>
        <v>Westfalia/Witter</v>
      </c>
    </row>
    <row r="1391">
      <c r="A1391" t="str">
        <f>IFERROR(__xludf.DUMMYFUNCTION("""COMPUTED_VALUE"""),"C51Q")</f>
        <v>C51Q</v>
      </c>
      <c r="B1391" s="226" t="str">
        <f>IFERROR(__xludf.DUMMYFUNCTION("""COMPUTED_VALUE"""),"5060128531096")</f>
        <v>5060128531096</v>
      </c>
      <c r="C1391" t="str">
        <f>IFERROR(__xludf.DUMMYFUNCTION("""COMPUTED_VALUE"""),"Westfalia/Witter")</f>
        <v>Westfalia/Witter</v>
      </c>
    </row>
    <row r="1392">
      <c r="A1392" t="str">
        <f>IFERROR(__xludf.DUMMYFUNCTION("""COMPUTED_VALUE"""),"C51S")</f>
        <v>C51S</v>
      </c>
      <c r="B1392" s="226" t="str">
        <f>IFERROR(__xludf.DUMMYFUNCTION("""COMPUTED_VALUE"""),"5060128531102")</f>
        <v>5060128531102</v>
      </c>
      <c r="C1392" t="str">
        <f>IFERROR(__xludf.DUMMYFUNCTION("""COMPUTED_VALUE"""),"Westfalia/Witter")</f>
        <v>Westfalia/Witter</v>
      </c>
    </row>
    <row r="1393">
      <c r="A1393" t="str">
        <f>IFERROR(__xludf.DUMMYFUNCTION("""COMPUTED_VALUE"""),"C52")</f>
        <v>C52</v>
      </c>
      <c r="B1393" s="226" t="str">
        <f>IFERROR(__xludf.DUMMYFUNCTION("""COMPUTED_VALUE"""),"5060128531119")</f>
        <v>5060128531119</v>
      </c>
      <c r="C1393" t="str">
        <f>IFERROR(__xludf.DUMMYFUNCTION("""COMPUTED_VALUE"""),"Westfalia/Witter")</f>
        <v>Westfalia/Witter</v>
      </c>
    </row>
    <row r="1394">
      <c r="A1394" t="str">
        <f>IFERROR(__xludf.DUMMYFUNCTION("""COMPUTED_VALUE"""),"C52Q")</f>
        <v>C52Q</v>
      </c>
      <c r="B1394" s="226" t="str">
        <f>IFERROR(__xludf.DUMMYFUNCTION("""COMPUTED_VALUE"""),"5060128531126")</f>
        <v>5060128531126</v>
      </c>
      <c r="C1394" t="str">
        <f>IFERROR(__xludf.DUMMYFUNCTION("""COMPUTED_VALUE"""),"Westfalia/Witter")</f>
        <v>Westfalia/Witter</v>
      </c>
    </row>
    <row r="1395">
      <c r="A1395" t="str">
        <f>IFERROR(__xludf.DUMMYFUNCTION("""COMPUTED_VALUE"""),"C53A")</f>
        <v>C53A</v>
      </c>
      <c r="B1395" s="226" t="str">
        <f>IFERROR(__xludf.DUMMYFUNCTION("""COMPUTED_VALUE"""),"5060128531133")</f>
        <v>5060128531133</v>
      </c>
      <c r="C1395" t="str">
        <f>IFERROR(__xludf.DUMMYFUNCTION("""COMPUTED_VALUE"""),"Westfalia/Witter")</f>
        <v>Westfalia/Witter</v>
      </c>
    </row>
    <row r="1396">
      <c r="A1396" t="str">
        <f>IFERROR(__xludf.DUMMYFUNCTION("""COMPUTED_VALUE"""),"C53AQ")</f>
        <v>C53AQ</v>
      </c>
      <c r="B1396" s="226" t="str">
        <f>IFERROR(__xludf.DUMMYFUNCTION("""COMPUTED_VALUE"""),"5060128531140")</f>
        <v>5060128531140</v>
      </c>
      <c r="C1396" t="str">
        <f>IFERROR(__xludf.DUMMYFUNCTION("""COMPUTED_VALUE"""),"Westfalia/Witter")</f>
        <v>Westfalia/Witter</v>
      </c>
    </row>
    <row r="1397">
      <c r="A1397" t="str">
        <f>IFERROR(__xludf.DUMMYFUNCTION("""COMPUTED_VALUE"""),"C53AQ")</f>
        <v>C53AQ</v>
      </c>
      <c r="B1397" s="226" t="str">
        <f>IFERROR(__xludf.DUMMYFUNCTION("""COMPUTED_VALUE"""),"5060128531140")</f>
        <v>5060128531140</v>
      </c>
      <c r="C1397" t="str">
        <f>IFERROR(__xludf.DUMMYFUNCTION("""COMPUTED_VALUE"""),"Westfalia/Witter")</f>
        <v>Westfalia/Witter</v>
      </c>
    </row>
    <row r="1398">
      <c r="A1398" t="str">
        <f>IFERROR(__xludf.DUMMYFUNCTION("""COMPUTED_VALUE"""),"C53AQ")</f>
        <v>C53AQ</v>
      </c>
      <c r="B1398" s="226" t="str">
        <f>IFERROR(__xludf.DUMMYFUNCTION("""COMPUTED_VALUE"""),"5060128531140")</f>
        <v>5060128531140</v>
      </c>
      <c r="C1398" t="str">
        <f>IFERROR(__xludf.DUMMYFUNCTION("""COMPUTED_VALUE"""),"Westfalia/Witter")</f>
        <v>Westfalia/Witter</v>
      </c>
    </row>
    <row r="1399">
      <c r="A1399" t="str">
        <f>IFERROR(__xludf.DUMMYFUNCTION("""COMPUTED_VALUE"""),"C53AQ")</f>
        <v>C53AQ</v>
      </c>
      <c r="B1399" s="226" t="str">
        <f>IFERROR(__xludf.DUMMYFUNCTION("""COMPUTED_VALUE"""),"5060128531140")</f>
        <v>5060128531140</v>
      </c>
      <c r="C1399" t="str">
        <f>IFERROR(__xludf.DUMMYFUNCTION("""COMPUTED_VALUE"""),"Westfalia/Witter")</f>
        <v>Westfalia/Witter</v>
      </c>
    </row>
    <row r="1400">
      <c r="A1400" t="str">
        <f>IFERROR(__xludf.DUMMYFUNCTION("""COMPUTED_VALUE"""),"C53AS")</f>
        <v>C53AS</v>
      </c>
      <c r="B1400" s="226" t="str">
        <f>IFERROR(__xludf.DUMMYFUNCTION("""COMPUTED_VALUE"""),"5060128531157")</f>
        <v>5060128531157</v>
      </c>
      <c r="C1400" t="str">
        <f>IFERROR(__xludf.DUMMYFUNCTION("""COMPUTED_VALUE"""),"Westfalia/Witter")</f>
        <v>Westfalia/Witter</v>
      </c>
    </row>
    <row r="1401">
      <c r="A1401" t="str">
        <f>IFERROR(__xludf.DUMMYFUNCTION("""COMPUTED_VALUE"""),"C53AS")</f>
        <v>C53AS</v>
      </c>
      <c r="B1401" s="226" t="str">
        <f>IFERROR(__xludf.DUMMYFUNCTION("""COMPUTED_VALUE"""),"5060128531157")</f>
        <v>5060128531157</v>
      </c>
      <c r="C1401" t="str">
        <f>IFERROR(__xludf.DUMMYFUNCTION("""COMPUTED_VALUE"""),"Westfalia/Witter")</f>
        <v>Westfalia/Witter</v>
      </c>
    </row>
    <row r="1402">
      <c r="A1402" t="str">
        <f>IFERROR(__xludf.DUMMYFUNCTION("""COMPUTED_VALUE"""),"C53AS")</f>
        <v>C53AS</v>
      </c>
      <c r="B1402" s="226" t="str">
        <f>IFERROR(__xludf.DUMMYFUNCTION("""COMPUTED_VALUE"""),"5060128531157")</f>
        <v>5060128531157</v>
      </c>
      <c r="C1402" t="str">
        <f>IFERROR(__xludf.DUMMYFUNCTION("""COMPUTED_VALUE"""),"Westfalia/Witter")</f>
        <v>Westfalia/Witter</v>
      </c>
    </row>
    <row r="1403">
      <c r="A1403" t="str">
        <f>IFERROR(__xludf.DUMMYFUNCTION("""COMPUTED_VALUE"""),"C53AS")</f>
        <v>C53AS</v>
      </c>
      <c r="B1403" s="226" t="str">
        <f>IFERROR(__xludf.DUMMYFUNCTION("""COMPUTED_VALUE"""),"5060128531157")</f>
        <v>5060128531157</v>
      </c>
      <c r="C1403" t="str">
        <f>IFERROR(__xludf.DUMMYFUNCTION("""COMPUTED_VALUE"""),"Westfalia/Witter")</f>
        <v>Westfalia/Witter</v>
      </c>
    </row>
    <row r="1404">
      <c r="A1404" t="str">
        <f>IFERROR(__xludf.DUMMYFUNCTION("""COMPUTED_VALUE"""),"C54")</f>
        <v>C54</v>
      </c>
      <c r="B1404" s="226" t="str">
        <f>IFERROR(__xludf.DUMMYFUNCTION("""COMPUTED_VALUE"""),"5060128531164")</f>
        <v>5060128531164</v>
      </c>
      <c r="C1404" t="str">
        <f>IFERROR(__xludf.DUMMYFUNCTION("""COMPUTED_VALUE"""),"Westfalia/Witter")</f>
        <v>Westfalia/Witter</v>
      </c>
    </row>
    <row r="1405">
      <c r="A1405" t="str">
        <f>IFERROR(__xludf.DUMMYFUNCTION("""COMPUTED_VALUE"""),"C54Q")</f>
        <v>C54Q</v>
      </c>
      <c r="B1405" s="226" t="str">
        <f>IFERROR(__xludf.DUMMYFUNCTION("""COMPUTED_VALUE"""),"5060128531171")</f>
        <v>5060128531171</v>
      </c>
      <c r="C1405" t="str">
        <f>IFERROR(__xludf.DUMMYFUNCTION("""COMPUTED_VALUE"""),"Westfalia/Witter")</f>
        <v>Westfalia/Witter</v>
      </c>
    </row>
    <row r="1406">
      <c r="A1406" t="str">
        <f>IFERROR(__xludf.DUMMYFUNCTION("""COMPUTED_VALUE"""),"C54S")</f>
        <v>C54S</v>
      </c>
      <c r="B1406" s="226" t="str">
        <f>IFERROR(__xludf.DUMMYFUNCTION("""COMPUTED_VALUE"""),"5060128531188")</f>
        <v>5060128531188</v>
      </c>
      <c r="C1406" t="str">
        <f>IFERROR(__xludf.DUMMYFUNCTION("""COMPUTED_VALUE"""),"Westfalia/Witter")</f>
        <v>Westfalia/Witter</v>
      </c>
    </row>
    <row r="1407">
      <c r="A1407" t="str">
        <f>IFERROR(__xludf.DUMMYFUNCTION("""COMPUTED_VALUE"""),"CH12A")</f>
        <v>CH12A</v>
      </c>
      <c r="B1407" s="226" t="str">
        <f>IFERROR(__xludf.DUMMYFUNCTION("""COMPUTED_VALUE"""),"5060128531249")</f>
        <v>5060128531249</v>
      </c>
      <c r="C1407" t="str">
        <f>IFERROR(__xludf.DUMMYFUNCTION("""COMPUTED_VALUE"""),"Westfalia/Witter")</f>
        <v>Westfalia/Witter</v>
      </c>
    </row>
    <row r="1408">
      <c r="A1408" t="str">
        <f>IFERROR(__xludf.DUMMYFUNCTION("""COMPUTED_VALUE"""),"CH14B")</f>
        <v>CH14B</v>
      </c>
      <c r="B1408" s="226" t="str">
        <f>IFERROR(__xludf.DUMMYFUNCTION("""COMPUTED_VALUE"""),"5060128531256")</f>
        <v>5060128531256</v>
      </c>
      <c r="C1408" t="str">
        <f>IFERROR(__xludf.DUMMYFUNCTION("""COMPUTED_VALUE"""),"Westfalia/Witter")</f>
        <v>Westfalia/Witter</v>
      </c>
    </row>
    <row r="1409">
      <c r="A1409" t="str">
        <f>IFERROR(__xludf.DUMMYFUNCTION("""COMPUTED_VALUE"""),"CH14BQ")</f>
        <v>CH14BQ</v>
      </c>
      <c r="B1409" s="226" t="str">
        <f>IFERROR(__xludf.DUMMYFUNCTION("""COMPUTED_VALUE"""),"5060128531263")</f>
        <v>5060128531263</v>
      </c>
      <c r="C1409" t="str">
        <f>IFERROR(__xludf.DUMMYFUNCTION("""COMPUTED_VALUE"""),"Westfalia/Witter")</f>
        <v>Westfalia/Witter</v>
      </c>
    </row>
    <row r="1410">
      <c r="A1410" t="str">
        <f>IFERROR(__xludf.DUMMYFUNCTION("""COMPUTED_VALUE"""),"CH14BS")</f>
        <v>CH14BS</v>
      </c>
      <c r="B1410" s="226" t="str">
        <f>IFERROR(__xludf.DUMMYFUNCTION("""COMPUTED_VALUE"""),"5060128531270")</f>
        <v>5060128531270</v>
      </c>
      <c r="C1410" t="str">
        <f>IFERROR(__xludf.DUMMYFUNCTION("""COMPUTED_VALUE"""),"Westfalia/Witter")</f>
        <v>Westfalia/Witter</v>
      </c>
    </row>
    <row r="1411">
      <c r="A1411" t="str">
        <f>IFERROR(__xludf.DUMMYFUNCTION("""COMPUTED_VALUE"""),"CH15A")</f>
        <v>CH15A</v>
      </c>
      <c r="B1411" s="226" t="str">
        <f>IFERROR(__xludf.DUMMYFUNCTION("""COMPUTED_VALUE"""),"5060128531287")</f>
        <v>5060128531287</v>
      </c>
      <c r="C1411" t="str">
        <f>IFERROR(__xludf.DUMMYFUNCTION("""COMPUTED_VALUE"""),"Westfalia/Witter")</f>
        <v>Westfalia/Witter</v>
      </c>
    </row>
    <row r="1412">
      <c r="A1412" t="str">
        <f>IFERROR(__xludf.DUMMYFUNCTION("""COMPUTED_VALUE"""),"CH15R")</f>
        <v>CH15R</v>
      </c>
      <c r="B1412" s="226" t="str">
        <f>IFERROR(__xludf.DUMMYFUNCTION("""COMPUTED_VALUE"""),"5060128531294")</f>
        <v>5060128531294</v>
      </c>
      <c r="C1412" t="str">
        <f>IFERROR(__xludf.DUMMYFUNCTION("""COMPUTED_VALUE"""),"Westfalia/Witter")</f>
        <v>Westfalia/Witter</v>
      </c>
    </row>
    <row r="1413">
      <c r="A1413" t="str">
        <f>IFERROR(__xludf.DUMMYFUNCTION("""COMPUTED_VALUE"""),"CH16B")</f>
        <v>CH16B</v>
      </c>
      <c r="B1413" s="226" t="str">
        <f>IFERROR(__xludf.DUMMYFUNCTION("""COMPUTED_VALUE"""),"5060128531300")</f>
        <v>5060128531300</v>
      </c>
      <c r="C1413" t="str">
        <f>IFERROR(__xludf.DUMMYFUNCTION("""COMPUTED_VALUE"""),"Westfalia/Witter")</f>
        <v>Westfalia/Witter</v>
      </c>
    </row>
    <row r="1414">
      <c r="A1414" t="str">
        <f>IFERROR(__xludf.DUMMYFUNCTION("""COMPUTED_VALUE"""),"CH17AQ")</f>
        <v>CH17AQ</v>
      </c>
      <c r="B1414" s="226" t="str">
        <f>IFERROR(__xludf.DUMMYFUNCTION("""COMPUTED_VALUE"""),"5060128531317")</f>
        <v>5060128531317</v>
      </c>
      <c r="C1414" t="str">
        <f>IFERROR(__xludf.DUMMYFUNCTION("""COMPUTED_VALUE"""),"Westfalia/Witter")</f>
        <v>Westfalia/Witter</v>
      </c>
    </row>
    <row r="1415">
      <c r="A1415" t="str">
        <f>IFERROR(__xludf.DUMMYFUNCTION("""COMPUTED_VALUE"""),"CH18")</f>
        <v>CH18</v>
      </c>
      <c r="B1415" s="226" t="str">
        <f>IFERROR(__xludf.DUMMYFUNCTION("""COMPUTED_VALUE"""),"5060128531324")</f>
        <v>5060128531324</v>
      </c>
      <c r="C1415" t="str">
        <f>IFERROR(__xludf.DUMMYFUNCTION("""COMPUTED_VALUE"""),"Westfalia/Witter")</f>
        <v>Westfalia/Witter</v>
      </c>
    </row>
    <row r="1416">
      <c r="A1416" t="str">
        <f>IFERROR(__xludf.DUMMYFUNCTION("""COMPUTED_VALUE"""),"CH20A")</f>
        <v>CH20A</v>
      </c>
      <c r="B1416" s="226" t="str">
        <f>IFERROR(__xludf.DUMMYFUNCTION("""COMPUTED_VALUE"""),"5060128531331")</f>
        <v>5060128531331</v>
      </c>
      <c r="C1416" t="str">
        <f>IFERROR(__xludf.DUMMYFUNCTION("""COMPUTED_VALUE"""),"Westfalia/Witter")</f>
        <v>Westfalia/Witter</v>
      </c>
    </row>
    <row r="1417">
      <c r="A1417" t="str">
        <f>IFERROR(__xludf.DUMMYFUNCTION("""COMPUTED_VALUE"""),"CH24")</f>
        <v>CH24</v>
      </c>
      <c r="B1417" s="226" t="str">
        <f>IFERROR(__xludf.DUMMYFUNCTION("""COMPUTED_VALUE"""),"5060128531348")</f>
        <v>5060128531348</v>
      </c>
      <c r="C1417" t="str">
        <f>IFERROR(__xludf.DUMMYFUNCTION("""COMPUTED_VALUE"""),"Westfalia/Witter")</f>
        <v>Westfalia/Witter</v>
      </c>
    </row>
    <row r="1418">
      <c r="A1418" t="str">
        <f>IFERROR(__xludf.DUMMYFUNCTION("""COMPUTED_VALUE"""),"CH24Q")</f>
        <v>CH24Q</v>
      </c>
      <c r="B1418" s="226" t="str">
        <f>IFERROR(__xludf.DUMMYFUNCTION("""COMPUTED_VALUE"""),"5060128531355")</f>
        <v>5060128531355</v>
      </c>
      <c r="C1418" t="str">
        <f>IFERROR(__xludf.DUMMYFUNCTION("""COMPUTED_VALUE"""),"Westfalia/Witter")</f>
        <v>Westfalia/Witter</v>
      </c>
    </row>
    <row r="1419">
      <c r="A1419" t="str">
        <f>IFERROR(__xludf.DUMMYFUNCTION("""COMPUTED_VALUE"""),"CH24S")</f>
        <v>CH24S</v>
      </c>
      <c r="B1419" s="226" t="str">
        <f>IFERROR(__xludf.DUMMYFUNCTION("""COMPUTED_VALUE"""),"5060128531362")</f>
        <v>5060128531362</v>
      </c>
      <c r="C1419" t="str">
        <f>IFERROR(__xludf.DUMMYFUNCTION("""COMPUTED_VALUE"""),"Westfalia/Witter")</f>
        <v>Westfalia/Witter</v>
      </c>
    </row>
    <row r="1420">
      <c r="A1420" t="str">
        <f>IFERROR(__xludf.DUMMYFUNCTION("""COMPUTED_VALUE"""),"CH9B")</f>
        <v>CH9B</v>
      </c>
      <c r="B1420" s="226" t="str">
        <f>IFERROR(__xludf.DUMMYFUNCTION("""COMPUTED_VALUE"""),"5060128531379")</f>
        <v>5060128531379</v>
      </c>
      <c r="C1420" t="str">
        <f>IFERROR(__xludf.DUMMYFUNCTION("""COMPUTED_VALUE"""),"Westfalia/Witter")</f>
        <v>Westfalia/Witter</v>
      </c>
    </row>
    <row r="1421">
      <c r="A1421" t="str">
        <f>IFERROR(__xludf.DUMMYFUNCTION("""COMPUTED_VALUE"""),"CL100A")</f>
        <v>CL100A</v>
      </c>
      <c r="B1421" s="226" t="str">
        <f>IFERROR(__xludf.DUMMYFUNCTION("""COMPUTED_VALUE"""),"5060128531386")</f>
        <v>5060128531386</v>
      </c>
      <c r="C1421" t="str">
        <f>IFERROR(__xludf.DUMMYFUNCTION("""COMPUTED_VALUE"""),"Westfalia/Witter")</f>
        <v>Westfalia/Witter</v>
      </c>
    </row>
    <row r="1422">
      <c r="A1422" t="str">
        <f>IFERROR(__xludf.DUMMYFUNCTION("""COMPUTED_VALUE"""),"CL104A")</f>
        <v>CL104A</v>
      </c>
      <c r="B1422" s="226" t="str">
        <f>IFERROR(__xludf.DUMMYFUNCTION("""COMPUTED_VALUE"""),"5060128531416")</f>
        <v>5060128531416</v>
      </c>
      <c r="C1422" t="str">
        <f>IFERROR(__xludf.DUMMYFUNCTION("""COMPUTED_VALUE"""),"Westfalia/Witter")</f>
        <v>Westfalia/Witter</v>
      </c>
    </row>
    <row r="1423">
      <c r="A1423" t="str">
        <f>IFERROR(__xludf.DUMMYFUNCTION("""COMPUTED_VALUE"""),"CL105")</f>
        <v>CL105</v>
      </c>
      <c r="B1423" s="226" t="str">
        <f>IFERROR(__xludf.DUMMYFUNCTION("""COMPUTED_VALUE"""),"5060128531423")</f>
        <v>5060128531423</v>
      </c>
      <c r="C1423" t="str">
        <f>IFERROR(__xludf.DUMMYFUNCTION("""COMPUTED_VALUE"""),"Westfalia/Witter")</f>
        <v>Westfalia/Witter</v>
      </c>
    </row>
    <row r="1424">
      <c r="A1424" t="str">
        <f>IFERROR(__xludf.DUMMYFUNCTION("""COMPUTED_VALUE"""),"CL109A")</f>
        <v>CL109A</v>
      </c>
      <c r="B1424" s="226" t="str">
        <f>IFERROR(__xludf.DUMMYFUNCTION("""COMPUTED_VALUE"""),"5060128531430")</f>
        <v>5060128531430</v>
      </c>
      <c r="C1424" t="str">
        <f>IFERROR(__xludf.DUMMYFUNCTION("""COMPUTED_VALUE"""),"Westfalia/Witter")</f>
        <v>Westfalia/Witter</v>
      </c>
    </row>
    <row r="1425">
      <c r="A1425" t="str">
        <f>IFERROR(__xludf.DUMMYFUNCTION("""COMPUTED_VALUE"""),"CL109AQ")</f>
        <v>CL109AQ</v>
      </c>
      <c r="B1425" s="226" t="str">
        <f>IFERROR(__xludf.DUMMYFUNCTION("""COMPUTED_VALUE"""),"5060128531447")</f>
        <v>5060128531447</v>
      </c>
      <c r="C1425" t="str">
        <f>IFERROR(__xludf.DUMMYFUNCTION("""COMPUTED_VALUE"""),"Westfalia/Witter")</f>
        <v>Westfalia/Witter</v>
      </c>
    </row>
    <row r="1426">
      <c r="A1426" t="str">
        <f>IFERROR(__xludf.DUMMYFUNCTION("""COMPUTED_VALUE"""),"CL109AS")</f>
        <v>CL109AS</v>
      </c>
      <c r="B1426" s="226" t="str">
        <f>IFERROR(__xludf.DUMMYFUNCTION("""COMPUTED_VALUE"""),"5060128531454")</f>
        <v>5060128531454</v>
      </c>
      <c r="C1426" t="str">
        <f>IFERROR(__xludf.DUMMYFUNCTION("""COMPUTED_VALUE"""),"Westfalia/Witter")</f>
        <v>Westfalia/Witter</v>
      </c>
    </row>
    <row r="1427">
      <c r="A1427" t="str">
        <f>IFERROR(__xludf.DUMMYFUNCTION("""COMPUTED_VALUE"""),"CL112Q")</f>
        <v>CL112Q</v>
      </c>
      <c r="B1427" s="226" t="str">
        <f>IFERROR(__xludf.DUMMYFUNCTION("""COMPUTED_VALUE"""),"5060128531461")</f>
        <v>5060128531461</v>
      </c>
      <c r="C1427" t="str">
        <f>IFERROR(__xludf.DUMMYFUNCTION("""COMPUTED_VALUE"""),"Westfalia/Witter")</f>
        <v>Westfalia/Witter</v>
      </c>
    </row>
    <row r="1428">
      <c r="A1428" t="str">
        <f>IFERROR(__xludf.DUMMYFUNCTION("""COMPUTED_VALUE"""),"CL113")</f>
        <v>CL113</v>
      </c>
      <c r="B1428" s="226" t="str">
        <f>IFERROR(__xludf.DUMMYFUNCTION("""COMPUTED_VALUE"""),"5060128531478")</f>
        <v>5060128531478</v>
      </c>
      <c r="C1428" t="str">
        <f>IFERROR(__xludf.DUMMYFUNCTION("""COMPUTED_VALUE"""),"Westfalia/Witter")</f>
        <v>Westfalia/Witter</v>
      </c>
    </row>
    <row r="1429">
      <c r="A1429" t="str">
        <f>IFERROR(__xludf.DUMMYFUNCTION("""COMPUTED_VALUE"""),"CL114B")</f>
        <v>CL114B</v>
      </c>
      <c r="B1429" s="226" t="str">
        <f>IFERROR(__xludf.DUMMYFUNCTION("""COMPUTED_VALUE"""),"5060128531485")</f>
        <v>5060128531485</v>
      </c>
      <c r="C1429" t="str">
        <f>IFERROR(__xludf.DUMMYFUNCTION("""COMPUTED_VALUE"""),"Westfalia/Witter")</f>
        <v>Westfalia/Witter</v>
      </c>
    </row>
    <row r="1430">
      <c r="A1430" t="str">
        <f>IFERROR(__xludf.DUMMYFUNCTION("""COMPUTED_VALUE"""),"CL114BQ")</f>
        <v>CL114BQ</v>
      </c>
      <c r="B1430" s="226" t="str">
        <f>IFERROR(__xludf.DUMMYFUNCTION("""COMPUTED_VALUE"""),"5060128531492")</f>
        <v>5060128531492</v>
      </c>
      <c r="C1430" t="str">
        <f>IFERROR(__xludf.DUMMYFUNCTION("""COMPUTED_VALUE"""),"Westfalia/Witter")</f>
        <v>Westfalia/Witter</v>
      </c>
    </row>
    <row r="1431">
      <c r="A1431" t="str">
        <f>IFERROR(__xludf.DUMMYFUNCTION("""COMPUTED_VALUE"""),"CL114BS")</f>
        <v>CL114BS</v>
      </c>
      <c r="B1431" s="226" t="str">
        <f>IFERROR(__xludf.DUMMYFUNCTION("""COMPUTED_VALUE"""),"5060128531515")</f>
        <v>5060128531515</v>
      </c>
      <c r="C1431" t="str">
        <f>IFERROR(__xludf.DUMMYFUNCTION("""COMPUTED_VALUE"""),"Westfalia/Witter")</f>
        <v>Westfalia/Witter</v>
      </c>
    </row>
    <row r="1432">
      <c r="A1432" t="str">
        <f>IFERROR(__xludf.DUMMYFUNCTION("""COMPUTED_VALUE"""),"CL115A")</f>
        <v>CL115A</v>
      </c>
      <c r="B1432" s="226" t="str">
        <f>IFERROR(__xludf.DUMMYFUNCTION("""COMPUTED_VALUE"""),"5060128531522")</f>
        <v>5060128531522</v>
      </c>
      <c r="C1432" t="str">
        <f>IFERROR(__xludf.DUMMYFUNCTION("""COMPUTED_VALUE"""),"Westfalia/Witter")</f>
        <v>Westfalia/Witter</v>
      </c>
    </row>
    <row r="1433">
      <c r="A1433" t="str">
        <f>IFERROR(__xludf.DUMMYFUNCTION("""COMPUTED_VALUE"""),"CL118")</f>
        <v>CL118</v>
      </c>
      <c r="B1433" s="226" t="str">
        <f>IFERROR(__xludf.DUMMYFUNCTION("""COMPUTED_VALUE"""),"5060128531546")</f>
        <v>5060128531546</v>
      </c>
      <c r="C1433" t="str">
        <f>IFERROR(__xludf.DUMMYFUNCTION("""COMPUTED_VALUE"""),"Westfalia/Witter")</f>
        <v>Westfalia/Witter</v>
      </c>
    </row>
    <row r="1434">
      <c r="A1434" t="str">
        <f>IFERROR(__xludf.DUMMYFUNCTION("""COMPUTED_VALUE"""),"CL121B")</f>
        <v>CL121B</v>
      </c>
      <c r="B1434" s="226" t="str">
        <f>IFERROR(__xludf.DUMMYFUNCTION("""COMPUTED_VALUE"""),"5060128531560")</f>
        <v>5060128531560</v>
      </c>
      <c r="C1434" t="str">
        <f>IFERROR(__xludf.DUMMYFUNCTION("""COMPUTED_VALUE"""),"Westfalia/Witter")</f>
        <v>Westfalia/Witter</v>
      </c>
    </row>
    <row r="1435">
      <c r="A1435" t="str">
        <f>IFERROR(__xludf.DUMMYFUNCTION("""COMPUTED_VALUE"""),"CL126")</f>
        <v>CL126</v>
      </c>
      <c r="B1435" s="226" t="str">
        <f>IFERROR(__xludf.DUMMYFUNCTION("""COMPUTED_VALUE"""),"5060128531577")</f>
        <v>5060128531577</v>
      </c>
      <c r="C1435" t="str">
        <f>IFERROR(__xludf.DUMMYFUNCTION("""COMPUTED_VALUE"""),"Westfalia/Witter")</f>
        <v>Westfalia/Witter</v>
      </c>
    </row>
    <row r="1436">
      <c r="A1436" t="str">
        <f>IFERROR(__xludf.DUMMYFUNCTION("""COMPUTED_VALUE"""),"CL66A")</f>
        <v>CL66A</v>
      </c>
      <c r="B1436" s="226" t="str">
        <f>IFERROR(__xludf.DUMMYFUNCTION("""COMPUTED_VALUE"""),"5060128531584")</f>
        <v>5060128531584</v>
      </c>
      <c r="C1436" t="str">
        <f>IFERROR(__xludf.DUMMYFUNCTION("""COMPUTED_VALUE"""),"Westfalia/Witter")</f>
        <v>Westfalia/Witter</v>
      </c>
    </row>
    <row r="1437">
      <c r="A1437" t="str">
        <f>IFERROR(__xludf.DUMMYFUNCTION("""COMPUTED_VALUE"""),"CL71B")</f>
        <v>CL71B</v>
      </c>
      <c r="B1437" s="226" t="str">
        <f>IFERROR(__xludf.DUMMYFUNCTION("""COMPUTED_VALUE"""),"5060128531591")</f>
        <v>5060128531591</v>
      </c>
      <c r="C1437" t="str">
        <f>IFERROR(__xludf.DUMMYFUNCTION("""COMPUTED_VALUE"""),"Westfalia/Witter")</f>
        <v>Westfalia/Witter</v>
      </c>
    </row>
    <row r="1438">
      <c r="A1438" t="str">
        <f>IFERROR(__xludf.DUMMYFUNCTION("""COMPUTED_VALUE"""),"CL78A")</f>
        <v>CL78A</v>
      </c>
      <c r="B1438" s="226" t="str">
        <f>IFERROR(__xludf.DUMMYFUNCTION("""COMPUTED_VALUE"""),"5060128531614")</f>
        <v>5060128531614</v>
      </c>
      <c r="C1438" t="str">
        <f>IFERROR(__xludf.DUMMYFUNCTION("""COMPUTED_VALUE"""),"Westfalia/Witter")</f>
        <v>Westfalia/Witter</v>
      </c>
    </row>
    <row r="1439">
      <c r="A1439" t="str">
        <f>IFERROR(__xludf.DUMMYFUNCTION("""COMPUTED_VALUE"""),"CL82C")</f>
        <v>CL82C</v>
      </c>
      <c r="B1439" s="226" t="str">
        <f>IFERROR(__xludf.DUMMYFUNCTION("""COMPUTED_VALUE"""),"5060128531621")</f>
        <v>5060128531621</v>
      </c>
      <c r="C1439" t="str">
        <f>IFERROR(__xludf.DUMMYFUNCTION("""COMPUTED_VALUE"""),"Westfalia/Witter")</f>
        <v>Westfalia/Witter</v>
      </c>
    </row>
    <row r="1440">
      <c r="A1440" t="str">
        <f>IFERROR(__xludf.DUMMYFUNCTION("""COMPUTED_VALUE"""),"CL83A")</f>
        <v>CL83A</v>
      </c>
      <c r="B1440" s="226" t="str">
        <f>IFERROR(__xludf.DUMMYFUNCTION("""COMPUTED_VALUE"""),"5060128531638")</f>
        <v>5060128531638</v>
      </c>
      <c r="C1440" t="str">
        <f>IFERROR(__xludf.DUMMYFUNCTION("""COMPUTED_VALUE"""),"Westfalia/Witter")</f>
        <v>Westfalia/Witter</v>
      </c>
    </row>
    <row r="1441">
      <c r="A1441" t="str">
        <f>IFERROR(__xludf.DUMMYFUNCTION("""COMPUTED_VALUE"""),"CL84C")</f>
        <v>CL84C</v>
      </c>
      <c r="B1441" s="226" t="str">
        <f>IFERROR(__xludf.DUMMYFUNCTION("""COMPUTED_VALUE"""),"5060128531645")</f>
        <v>5060128531645</v>
      </c>
      <c r="C1441" t="str">
        <f>IFERROR(__xludf.DUMMYFUNCTION("""COMPUTED_VALUE"""),"Westfalia/Witter")</f>
        <v>Westfalia/Witter</v>
      </c>
    </row>
    <row r="1442">
      <c r="A1442" t="str">
        <f>IFERROR(__xludf.DUMMYFUNCTION("""COMPUTED_VALUE"""),"CL85A")</f>
        <v>CL85A</v>
      </c>
      <c r="B1442" s="226" t="str">
        <f>IFERROR(__xludf.DUMMYFUNCTION("""COMPUTED_VALUE"""),"5060128531652")</f>
        <v>5060128531652</v>
      </c>
      <c r="C1442" t="str">
        <f>IFERROR(__xludf.DUMMYFUNCTION("""COMPUTED_VALUE"""),"Westfalia/Witter")</f>
        <v>Westfalia/Witter</v>
      </c>
    </row>
    <row r="1443">
      <c r="A1443" t="str">
        <f>IFERROR(__xludf.DUMMYFUNCTION("""COMPUTED_VALUE"""),"CL92")</f>
        <v>CL92</v>
      </c>
      <c r="B1443" s="226" t="str">
        <f>IFERROR(__xludf.DUMMYFUNCTION("""COMPUTED_VALUE"""),"5060128531676")</f>
        <v>5060128531676</v>
      </c>
      <c r="C1443" t="str">
        <f>IFERROR(__xludf.DUMMYFUNCTION("""COMPUTED_VALUE"""),"Westfalia/Witter")</f>
        <v>Westfalia/Witter</v>
      </c>
    </row>
    <row r="1444">
      <c r="A1444" t="str">
        <f>IFERROR(__xludf.DUMMYFUNCTION("""COMPUTED_VALUE"""),"CL93A")</f>
        <v>CL93A</v>
      </c>
      <c r="B1444" s="226" t="str">
        <f>IFERROR(__xludf.DUMMYFUNCTION("""COMPUTED_VALUE"""),"5060128531683")</f>
        <v>5060128531683</v>
      </c>
      <c r="C1444" t="str">
        <f>IFERROR(__xludf.DUMMYFUNCTION("""COMPUTED_VALUE"""),"Westfalia/Witter")</f>
        <v>Westfalia/Witter</v>
      </c>
    </row>
    <row r="1445">
      <c r="A1445" t="str">
        <f>IFERROR(__xludf.DUMMYFUNCTION("""COMPUTED_VALUE"""),"CL99AQ")</f>
        <v>CL99AQ</v>
      </c>
      <c r="B1445" s="226" t="str">
        <f>IFERROR(__xludf.DUMMYFUNCTION("""COMPUTED_VALUE"""),"5060128531690")</f>
        <v>5060128531690</v>
      </c>
      <c r="C1445" t="str">
        <f>IFERROR(__xludf.DUMMYFUNCTION("""COMPUTED_VALUE"""),"Westfalia/Witter")</f>
        <v>Westfalia/Witter</v>
      </c>
    </row>
    <row r="1446">
      <c r="A1446" t="str">
        <f>IFERROR(__xludf.DUMMYFUNCTION("""COMPUTED_VALUE"""),"CV02B")</f>
        <v>CV02B</v>
      </c>
      <c r="B1446" s="226" t="str">
        <f>IFERROR(__xludf.DUMMYFUNCTION("""COMPUTED_VALUE"""),"5060128531706")</f>
        <v>5060128531706</v>
      </c>
      <c r="C1446" t="str">
        <f>IFERROR(__xludf.DUMMYFUNCTION("""COMPUTED_VALUE"""),"Westfalia/Witter")</f>
        <v>Westfalia/Witter</v>
      </c>
    </row>
    <row r="1447">
      <c r="A1447" t="str">
        <f>IFERROR(__xludf.DUMMYFUNCTION("""COMPUTED_VALUE"""),"CV02BQ")</f>
        <v>CV02BQ</v>
      </c>
      <c r="B1447" s="226" t="str">
        <f>IFERROR(__xludf.DUMMYFUNCTION("""COMPUTED_VALUE"""),"5060128531713")</f>
        <v>5060128531713</v>
      </c>
      <c r="C1447" t="str">
        <f>IFERROR(__xludf.DUMMYFUNCTION("""COMPUTED_VALUE"""),"Westfalia/Witter")</f>
        <v>Westfalia/Witter</v>
      </c>
    </row>
    <row r="1448">
      <c r="A1448" t="str">
        <f>IFERROR(__xludf.DUMMYFUNCTION("""COMPUTED_VALUE"""),"DA4A")</f>
        <v>DA4A</v>
      </c>
      <c r="B1448" s="226" t="str">
        <f>IFERROR(__xludf.DUMMYFUNCTION("""COMPUTED_VALUE"""),"5060128531768")</f>
        <v>5060128531768</v>
      </c>
      <c r="C1448" t="str">
        <f>IFERROR(__xludf.DUMMYFUNCTION("""COMPUTED_VALUE"""),"Westfalia/Witter")</f>
        <v>Westfalia/Witter</v>
      </c>
    </row>
    <row r="1449">
      <c r="A1449" t="str">
        <f>IFERROR(__xludf.DUMMYFUNCTION("""COMPUTED_VALUE"""),"DA4AQ")</f>
        <v>DA4AQ</v>
      </c>
      <c r="B1449" s="226" t="str">
        <f>IFERROR(__xludf.DUMMYFUNCTION("""COMPUTED_VALUE"""),"5060128531775")</f>
        <v>5060128531775</v>
      </c>
      <c r="C1449" t="str">
        <f>IFERROR(__xludf.DUMMYFUNCTION("""COMPUTED_VALUE"""),"Westfalia/Witter")</f>
        <v>Westfalia/Witter</v>
      </c>
    </row>
    <row r="1450">
      <c r="A1450" t="str">
        <f>IFERROR(__xludf.DUMMYFUNCTION("""COMPUTED_VALUE"""),"DA4AS")</f>
        <v>DA4AS</v>
      </c>
      <c r="B1450" s="226" t="str">
        <f>IFERROR(__xludf.DUMMYFUNCTION("""COMPUTED_VALUE"""),"5060128531782")</f>
        <v>5060128531782</v>
      </c>
      <c r="C1450" t="str">
        <f>IFERROR(__xludf.DUMMYFUNCTION("""COMPUTED_VALUE"""),"Westfalia/Witter")</f>
        <v>Westfalia/Witter</v>
      </c>
    </row>
    <row r="1451">
      <c r="A1451" t="str">
        <f>IFERROR(__xludf.DUMMYFUNCTION("""COMPUTED_VALUE"""),"DA6")</f>
        <v>DA6</v>
      </c>
      <c r="B1451" s="226" t="str">
        <f>IFERROR(__xludf.DUMMYFUNCTION("""COMPUTED_VALUE"""),"5060128531799")</f>
        <v>5060128531799</v>
      </c>
      <c r="C1451" t="str">
        <f>IFERROR(__xludf.DUMMYFUNCTION("""COMPUTED_VALUE"""),"Westfalia/Witter")</f>
        <v>Westfalia/Witter</v>
      </c>
    </row>
    <row r="1452">
      <c r="A1452" t="str">
        <f>IFERROR(__xludf.DUMMYFUNCTION("""COMPUTED_VALUE"""),"DA7")</f>
        <v>DA7</v>
      </c>
      <c r="B1452" s="226" t="str">
        <f>IFERROR(__xludf.DUMMYFUNCTION("""COMPUTED_VALUE"""),"5060128531812")</f>
        <v>5060128531812</v>
      </c>
      <c r="C1452" t="str">
        <f>IFERROR(__xludf.DUMMYFUNCTION("""COMPUTED_VALUE"""),"Westfalia/Witter")</f>
        <v>Westfalia/Witter</v>
      </c>
    </row>
    <row r="1453">
      <c r="A1453" t="str">
        <f>IFERROR(__xludf.DUMMYFUNCTION("""COMPUTED_VALUE"""),"DF4B")</f>
        <v>DF4B</v>
      </c>
      <c r="B1453" s="226" t="str">
        <f>IFERROR(__xludf.DUMMYFUNCTION("""COMPUTED_VALUE"""),"5060128531836")</f>
        <v>5060128531836</v>
      </c>
      <c r="C1453" t="str">
        <f>IFERROR(__xludf.DUMMYFUNCTION("""COMPUTED_VALUE"""),"Westfalia/Witter")</f>
        <v>Westfalia/Witter</v>
      </c>
    </row>
    <row r="1454">
      <c r="A1454" t="str">
        <f>IFERROR(__xludf.DUMMYFUNCTION("""COMPUTED_VALUE"""),"DF5")</f>
        <v>DF5</v>
      </c>
      <c r="B1454" s="226" t="str">
        <f>IFERROR(__xludf.DUMMYFUNCTION("""COMPUTED_VALUE"""),"5060128531843")</f>
        <v>5060128531843</v>
      </c>
      <c r="C1454" t="str">
        <f>IFERROR(__xludf.DUMMYFUNCTION("""COMPUTED_VALUE"""),"Westfalia/Witter")</f>
        <v>Westfalia/Witter</v>
      </c>
    </row>
    <row r="1455">
      <c r="A1455" t="str">
        <f>IFERROR(__xludf.DUMMYFUNCTION("""COMPUTED_VALUE"""),"DH20A")</f>
        <v>DH20A</v>
      </c>
      <c r="B1455" s="226" t="str">
        <f>IFERROR(__xludf.DUMMYFUNCTION("""COMPUTED_VALUE"""),"5060128531850")</f>
        <v>5060128531850</v>
      </c>
      <c r="C1455" t="str">
        <f>IFERROR(__xludf.DUMMYFUNCTION("""COMPUTED_VALUE"""),"Westfalia/Witter")</f>
        <v>Westfalia/Witter</v>
      </c>
    </row>
    <row r="1456">
      <c r="A1456" t="str">
        <f>IFERROR(__xludf.DUMMYFUNCTION("""COMPUTED_VALUE"""),"DH21A")</f>
        <v>DH21A</v>
      </c>
      <c r="B1456" s="226" t="str">
        <f>IFERROR(__xludf.DUMMYFUNCTION("""COMPUTED_VALUE"""),"5060128531867")</f>
        <v>5060128531867</v>
      </c>
      <c r="C1456" t="str">
        <f>IFERROR(__xludf.DUMMYFUNCTION("""COMPUTED_VALUE"""),"Westfalia/Witter")</f>
        <v>Westfalia/Witter</v>
      </c>
    </row>
    <row r="1457">
      <c r="A1457" t="str">
        <f>IFERROR(__xludf.DUMMYFUNCTION("""COMPUTED_VALUE"""),"DH22A")</f>
        <v>DH22A</v>
      </c>
      <c r="B1457" s="226" t="str">
        <f>IFERROR(__xludf.DUMMYFUNCTION("""COMPUTED_VALUE"""),"5060128531874")</f>
        <v>5060128531874</v>
      </c>
      <c r="C1457" t="str">
        <f>IFERROR(__xludf.DUMMYFUNCTION("""COMPUTED_VALUE"""),"Westfalia/Witter")</f>
        <v>Westfalia/Witter</v>
      </c>
    </row>
    <row r="1458">
      <c r="A1458" t="str">
        <f>IFERROR(__xludf.DUMMYFUNCTION("""COMPUTED_VALUE"""),"DT105A")</f>
        <v>DT105A</v>
      </c>
      <c r="B1458" s="226" t="str">
        <f>IFERROR(__xludf.DUMMYFUNCTION("""COMPUTED_VALUE"""),"5060128531881")</f>
        <v>5060128531881</v>
      </c>
      <c r="C1458" t="str">
        <f>IFERROR(__xludf.DUMMYFUNCTION("""COMPUTED_VALUE"""),"Westfalia/Witter")</f>
        <v>Westfalia/Witter</v>
      </c>
    </row>
    <row r="1459">
      <c r="A1459" t="str">
        <f>IFERROR(__xludf.DUMMYFUNCTION("""COMPUTED_VALUE"""),"DT107A")</f>
        <v>DT107A</v>
      </c>
      <c r="B1459" s="226" t="str">
        <f>IFERROR(__xludf.DUMMYFUNCTION("""COMPUTED_VALUE"""),"5060128531904")</f>
        <v>5060128531904</v>
      </c>
      <c r="C1459" t="str">
        <f>IFERROR(__xludf.DUMMYFUNCTION("""COMPUTED_VALUE"""),"Westfalia/Witter")</f>
        <v>Westfalia/Witter</v>
      </c>
    </row>
    <row r="1460">
      <c r="A1460" t="str">
        <f>IFERROR(__xludf.DUMMYFUNCTION("""COMPUTED_VALUE"""),"DT115")</f>
        <v>DT115</v>
      </c>
      <c r="B1460" s="226" t="str">
        <f>IFERROR(__xludf.DUMMYFUNCTION("""COMPUTED_VALUE"""),"5060128531928")</f>
        <v>5060128531928</v>
      </c>
      <c r="C1460" t="str">
        <f>IFERROR(__xludf.DUMMYFUNCTION("""COMPUTED_VALUE"""),"Westfalia/Witter")</f>
        <v>Westfalia/Witter</v>
      </c>
    </row>
    <row r="1461">
      <c r="A1461" t="str">
        <f>IFERROR(__xludf.DUMMYFUNCTION("""COMPUTED_VALUE"""),"DT116")</f>
        <v>DT116</v>
      </c>
      <c r="B1461" s="226" t="str">
        <f>IFERROR(__xludf.DUMMYFUNCTION("""COMPUTED_VALUE"""),"5060128531935")</f>
        <v>5060128531935</v>
      </c>
      <c r="C1461" t="str">
        <f>IFERROR(__xludf.DUMMYFUNCTION("""COMPUTED_VALUE"""),"Westfalia/Witter")</f>
        <v>Westfalia/Witter</v>
      </c>
    </row>
    <row r="1462">
      <c r="A1462" t="str">
        <f>IFERROR(__xludf.DUMMYFUNCTION("""COMPUTED_VALUE"""),"DT117A")</f>
        <v>DT117A</v>
      </c>
      <c r="B1462" s="226" t="str">
        <f>IFERROR(__xludf.DUMMYFUNCTION("""COMPUTED_VALUE"""),"5060128531942")</f>
        <v>5060128531942</v>
      </c>
      <c r="C1462" t="str">
        <f>IFERROR(__xludf.DUMMYFUNCTION("""COMPUTED_VALUE"""),"Westfalia/Witter")</f>
        <v>Westfalia/Witter</v>
      </c>
    </row>
    <row r="1463">
      <c r="A1463" t="str">
        <f>IFERROR(__xludf.DUMMYFUNCTION("""COMPUTED_VALUE"""),"DT117A")</f>
        <v>DT117A</v>
      </c>
      <c r="B1463" s="226" t="str">
        <f>IFERROR(__xludf.DUMMYFUNCTION("""COMPUTED_VALUE"""),"5060128531942")</f>
        <v>5060128531942</v>
      </c>
      <c r="C1463" t="str">
        <f>IFERROR(__xludf.DUMMYFUNCTION("""COMPUTED_VALUE"""),"Westfalia/Witter")</f>
        <v>Westfalia/Witter</v>
      </c>
    </row>
    <row r="1464">
      <c r="A1464" t="str">
        <f>IFERROR(__xludf.DUMMYFUNCTION("""COMPUTED_VALUE"""),"DT117A")</f>
        <v>DT117A</v>
      </c>
      <c r="B1464" s="226" t="str">
        <f>IFERROR(__xludf.DUMMYFUNCTION("""COMPUTED_VALUE"""),"5060128531942")</f>
        <v>5060128531942</v>
      </c>
      <c r="C1464" t="str">
        <f>IFERROR(__xludf.DUMMYFUNCTION("""COMPUTED_VALUE"""),"Westfalia/Witter")</f>
        <v>Westfalia/Witter</v>
      </c>
    </row>
    <row r="1465">
      <c r="A1465" t="str">
        <f>IFERROR(__xludf.DUMMYFUNCTION("""COMPUTED_VALUE"""),"DT118A")</f>
        <v>DT118A</v>
      </c>
      <c r="B1465" s="226" t="str">
        <f>IFERROR(__xludf.DUMMYFUNCTION("""COMPUTED_VALUE"""),"5060128531959")</f>
        <v>5060128531959</v>
      </c>
      <c r="C1465" t="str">
        <f>IFERROR(__xludf.DUMMYFUNCTION("""COMPUTED_VALUE"""),"Westfalia/Witter")</f>
        <v>Westfalia/Witter</v>
      </c>
    </row>
    <row r="1466">
      <c r="A1466" t="str">
        <f>IFERROR(__xludf.DUMMYFUNCTION("""COMPUTED_VALUE"""),"DT119A")</f>
        <v>DT119A</v>
      </c>
      <c r="B1466" s="226" t="str">
        <f>IFERROR(__xludf.DUMMYFUNCTION("""COMPUTED_VALUE"""),"5060128531966")</f>
        <v>5060128531966</v>
      </c>
      <c r="C1466" t="str">
        <f>IFERROR(__xludf.DUMMYFUNCTION("""COMPUTED_VALUE"""),"Westfalia/Witter")</f>
        <v>Westfalia/Witter</v>
      </c>
    </row>
    <row r="1467">
      <c r="A1467" t="str">
        <f>IFERROR(__xludf.DUMMYFUNCTION("""COMPUTED_VALUE"""),"DT121B")</f>
        <v>DT121B</v>
      </c>
      <c r="B1467" s="226" t="str">
        <f>IFERROR(__xludf.DUMMYFUNCTION("""COMPUTED_VALUE"""),"5060128531973")</f>
        <v>5060128531973</v>
      </c>
      <c r="C1467" t="str">
        <f>IFERROR(__xludf.DUMMYFUNCTION("""COMPUTED_VALUE"""),"Westfalia/Witter")</f>
        <v>Westfalia/Witter</v>
      </c>
    </row>
    <row r="1468">
      <c r="A1468" t="str">
        <f>IFERROR(__xludf.DUMMYFUNCTION("""COMPUTED_VALUE"""),"DT123")</f>
        <v>DT123</v>
      </c>
      <c r="B1468" s="226" t="str">
        <f>IFERROR(__xludf.DUMMYFUNCTION("""COMPUTED_VALUE"""),"5060128531980")</f>
        <v>5060128531980</v>
      </c>
      <c r="C1468" t="str">
        <f>IFERROR(__xludf.DUMMYFUNCTION("""COMPUTED_VALUE"""),"Westfalia/Witter")</f>
        <v>Westfalia/Witter</v>
      </c>
    </row>
    <row r="1469">
      <c r="A1469" t="str">
        <f>IFERROR(__xludf.DUMMYFUNCTION("""COMPUTED_VALUE"""),"DT124B")</f>
        <v>DT124B</v>
      </c>
      <c r="B1469" s="226" t="str">
        <f>IFERROR(__xludf.DUMMYFUNCTION("""COMPUTED_VALUE"""),"5060128531997")</f>
        <v>5060128531997</v>
      </c>
      <c r="C1469" t="str">
        <f>IFERROR(__xludf.DUMMYFUNCTION("""COMPUTED_VALUE"""),"Westfalia/Witter")</f>
        <v>Westfalia/Witter</v>
      </c>
    </row>
    <row r="1470">
      <c r="A1470" t="str">
        <f>IFERROR(__xludf.DUMMYFUNCTION("""COMPUTED_VALUE"""),"DT130A")</f>
        <v>DT130A</v>
      </c>
      <c r="B1470" s="226" t="str">
        <f>IFERROR(__xludf.DUMMYFUNCTION("""COMPUTED_VALUE"""),"5060128532000")</f>
        <v>5060128532000</v>
      </c>
      <c r="C1470" t="str">
        <f>IFERROR(__xludf.DUMMYFUNCTION("""COMPUTED_VALUE"""),"Westfalia/Witter")</f>
        <v>Westfalia/Witter</v>
      </c>
    </row>
    <row r="1471">
      <c r="A1471" t="str">
        <f>IFERROR(__xludf.DUMMYFUNCTION("""COMPUTED_VALUE"""),"DT131AQ")</f>
        <v>DT131AQ</v>
      </c>
      <c r="B1471" s="226" t="str">
        <f>IFERROR(__xludf.DUMMYFUNCTION("""COMPUTED_VALUE"""),"5060128532017")</f>
        <v>5060128532017</v>
      </c>
      <c r="C1471" t="str">
        <f>IFERROR(__xludf.DUMMYFUNCTION("""COMPUTED_VALUE"""),"Westfalia/Witter")</f>
        <v>Westfalia/Witter</v>
      </c>
    </row>
    <row r="1472">
      <c r="A1472" t="str">
        <f>IFERROR(__xludf.DUMMYFUNCTION("""COMPUTED_VALUE"""),"DT131AS")</f>
        <v>DT131AS</v>
      </c>
      <c r="B1472" s="226" t="str">
        <f>IFERROR(__xludf.DUMMYFUNCTION("""COMPUTED_VALUE"""),"5060128532024")</f>
        <v>5060128532024</v>
      </c>
      <c r="C1472" t="str">
        <f>IFERROR(__xludf.DUMMYFUNCTION("""COMPUTED_VALUE"""),"Westfalia/Witter")</f>
        <v>Westfalia/Witter</v>
      </c>
    </row>
    <row r="1473">
      <c r="A1473" t="str">
        <f>IFERROR(__xludf.DUMMYFUNCTION("""COMPUTED_VALUE"""),"DT136A")</f>
        <v>DT136A</v>
      </c>
      <c r="B1473" s="226" t="str">
        <f>IFERROR(__xludf.DUMMYFUNCTION("""COMPUTED_VALUE"""),"5060128532031")</f>
        <v>5060128532031</v>
      </c>
      <c r="C1473" t="str">
        <f>IFERROR(__xludf.DUMMYFUNCTION("""COMPUTED_VALUE"""),"Westfalia/Witter")</f>
        <v>Westfalia/Witter</v>
      </c>
    </row>
    <row r="1474">
      <c r="A1474" t="str">
        <f>IFERROR(__xludf.DUMMYFUNCTION("""COMPUTED_VALUE"""),"DT136AQ")</f>
        <v>DT136AQ</v>
      </c>
      <c r="B1474" s="226" t="str">
        <f>IFERROR(__xludf.DUMMYFUNCTION("""COMPUTED_VALUE"""),"5060128532048")</f>
        <v>5060128532048</v>
      </c>
      <c r="C1474" t="str">
        <f>IFERROR(__xludf.DUMMYFUNCTION("""COMPUTED_VALUE"""),"Westfalia/Witter")</f>
        <v>Westfalia/Witter</v>
      </c>
    </row>
    <row r="1475">
      <c r="A1475" t="str">
        <f>IFERROR(__xludf.DUMMYFUNCTION("""COMPUTED_VALUE"""),"DT136AS")</f>
        <v>DT136AS</v>
      </c>
      <c r="B1475" s="226" t="str">
        <f>IFERROR(__xludf.DUMMYFUNCTION("""COMPUTED_VALUE"""),"5060128532062")</f>
        <v>5060128532062</v>
      </c>
      <c r="C1475" t="str">
        <f>IFERROR(__xludf.DUMMYFUNCTION("""COMPUTED_VALUE"""),"Westfalia/Witter")</f>
        <v>Westfalia/Witter</v>
      </c>
    </row>
    <row r="1476">
      <c r="A1476" t="str">
        <f>IFERROR(__xludf.DUMMYFUNCTION("""COMPUTED_VALUE"""),"DT138")</f>
        <v>DT138</v>
      </c>
      <c r="B1476" s="226" t="str">
        <f>IFERROR(__xludf.DUMMYFUNCTION("""COMPUTED_VALUE"""),"5060128532079")</f>
        <v>5060128532079</v>
      </c>
      <c r="C1476" t="str">
        <f>IFERROR(__xludf.DUMMYFUNCTION("""COMPUTED_VALUE"""),"Westfalia/Witter")</f>
        <v>Westfalia/Witter</v>
      </c>
    </row>
    <row r="1477">
      <c r="A1477" t="str">
        <f>IFERROR(__xludf.DUMMYFUNCTION("""COMPUTED_VALUE"""),"DT140Q")</f>
        <v>DT140Q</v>
      </c>
      <c r="B1477" s="226" t="str">
        <f>IFERROR(__xludf.DUMMYFUNCTION("""COMPUTED_VALUE"""),"5060128532086")</f>
        <v>5060128532086</v>
      </c>
      <c r="C1477" t="str">
        <f>IFERROR(__xludf.DUMMYFUNCTION("""COMPUTED_VALUE"""),"Westfalia/Witter")</f>
        <v>Westfalia/Witter</v>
      </c>
    </row>
    <row r="1478">
      <c r="A1478" t="str">
        <f>IFERROR(__xludf.DUMMYFUNCTION("""COMPUTED_VALUE"""),"DT143")</f>
        <v>DT143</v>
      </c>
      <c r="B1478" s="226" t="str">
        <f>IFERROR(__xludf.DUMMYFUNCTION("""COMPUTED_VALUE"""),"5060128532116")</f>
        <v>5060128532116</v>
      </c>
      <c r="C1478" t="str">
        <f>IFERROR(__xludf.DUMMYFUNCTION("""COMPUTED_VALUE"""),"Westfalia/Witter")</f>
        <v>Westfalia/Witter</v>
      </c>
    </row>
    <row r="1479">
      <c r="A1479" t="str">
        <f>IFERROR(__xludf.DUMMYFUNCTION("""COMPUTED_VALUE"""),"DT143S")</f>
        <v>DT143S</v>
      </c>
      <c r="B1479" s="226" t="str">
        <f>IFERROR(__xludf.DUMMYFUNCTION("""COMPUTED_VALUE"""),"5060128532123")</f>
        <v>5060128532123</v>
      </c>
      <c r="C1479" t="str">
        <f>IFERROR(__xludf.DUMMYFUNCTION("""COMPUTED_VALUE"""),"Westfalia/Witter")</f>
        <v>Westfalia/Witter</v>
      </c>
    </row>
    <row r="1480">
      <c r="A1480" t="str">
        <f>IFERROR(__xludf.DUMMYFUNCTION("""COMPUTED_VALUE"""),"DT144A")</f>
        <v>DT144A</v>
      </c>
      <c r="B1480" s="226" t="str">
        <f>IFERROR(__xludf.DUMMYFUNCTION("""COMPUTED_VALUE"""),"5060128532130")</f>
        <v>5060128532130</v>
      </c>
      <c r="C1480" t="str">
        <f>IFERROR(__xludf.DUMMYFUNCTION("""COMPUTED_VALUE"""),"Westfalia/Witter")</f>
        <v>Westfalia/Witter</v>
      </c>
    </row>
    <row r="1481">
      <c r="A1481" t="str">
        <f>IFERROR(__xludf.DUMMYFUNCTION("""COMPUTED_VALUE"""),"DT144AQ")</f>
        <v>DT144AQ</v>
      </c>
      <c r="B1481" s="226" t="str">
        <f>IFERROR(__xludf.DUMMYFUNCTION("""COMPUTED_VALUE"""),"5060128532147")</f>
        <v>5060128532147</v>
      </c>
      <c r="C1481" t="str">
        <f>IFERROR(__xludf.DUMMYFUNCTION("""COMPUTED_VALUE"""),"Westfalia/Witter")</f>
        <v>Westfalia/Witter</v>
      </c>
    </row>
    <row r="1482">
      <c r="A1482" t="str">
        <f>IFERROR(__xludf.DUMMYFUNCTION("""COMPUTED_VALUE"""),"DT144AS")</f>
        <v>DT144AS</v>
      </c>
      <c r="B1482" s="226" t="str">
        <f>IFERROR(__xludf.DUMMYFUNCTION("""COMPUTED_VALUE"""),"5060128532161")</f>
        <v>5060128532161</v>
      </c>
      <c r="C1482" t="str">
        <f>IFERROR(__xludf.DUMMYFUNCTION("""COMPUTED_VALUE"""),"Westfalia/Witter")</f>
        <v>Westfalia/Witter</v>
      </c>
    </row>
    <row r="1483">
      <c r="A1483" t="str">
        <f>IFERROR(__xludf.DUMMYFUNCTION("""COMPUTED_VALUE"""),"DT145")</f>
        <v>DT145</v>
      </c>
      <c r="B1483" s="226" t="str">
        <f>IFERROR(__xludf.DUMMYFUNCTION("""COMPUTED_VALUE"""),"5060128532178")</f>
        <v>5060128532178</v>
      </c>
      <c r="C1483" t="str">
        <f>IFERROR(__xludf.DUMMYFUNCTION("""COMPUTED_VALUE"""),"Westfalia/Witter")</f>
        <v>Westfalia/Witter</v>
      </c>
    </row>
    <row r="1484">
      <c r="A1484" t="str">
        <f>IFERROR(__xludf.DUMMYFUNCTION("""COMPUTED_VALUE"""),"DT145Q")</f>
        <v>DT145Q</v>
      </c>
      <c r="B1484" s="226" t="str">
        <f>IFERROR(__xludf.DUMMYFUNCTION("""COMPUTED_VALUE"""),"5060128532185")</f>
        <v>5060128532185</v>
      </c>
      <c r="C1484" t="str">
        <f>IFERROR(__xludf.DUMMYFUNCTION("""COMPUTED_VALUE"""),"Westfalia/Witter")</f>
        <v>Westfalia/Witter</v>
      </c>
    </row>
    <row r="1485">
      <c r="A1485" t="str">
        <f>IFERROR(__xludf.DUMMYFUNCTION("""COMPUTED_VALUE"""),"DT145S")</f>
        <v>DT145S</v>
      </c>
      <c r="B1485" s="226" t="str">
        <f>IFERROR(__xludf.DUMMYFUNCTION("""COMPUTED_VALUE"""),"5060128532208")</f>
        <v>5060128532208</v>
      </c>
      <c r="C1485" t="str">
        <f>IFERROR(__xludf.DUMMYFUNCTION("""COMPUTED_VALUE"""),"Westfalia/Witter")</f>
        <v>Westfalia/Witter</v>
      </c>
    </row>
    <row r="1486">
      <c r="A1486" t="str">
        <f>IFERROR(__xludf.DUMMYFUNCTION("""COMPUTED_VALUE"""),"DT146")</f>
        <v>DT146</v>
      </c>
      <c r="B1486" s="226" t="str">
        <f>IFERROR(__xludf.DUMMYFUNCTION("""COMPUTED_VALUE"""),"5060128532215")</f>
        <v>5060128532215</v>
      </c>
      <c r="C1486" t="str">
        <f>IFERROR(__xludf.DUMMYFUNCTION("""COMPUTED_VALUE"""),"Westfalia/Witter")</f>
        <v>Westfalia/Witter</v>
      </c>
    </row>
    <row r="1487">
      <c r="A1487" t="str">
        <f>IFERROR(__xludf.DUMMYFUNCTION("""COMPUTED_VALUE"""),"DT148A")</f>
        <v>DT148A</v>
      </c>
      <c r="B1487" s="226" t="str">
        <f>IFERROR(__xludf.DUMMYFUNCTION("""COMPUTED_VALUE"""),"5060128532222")</f>
        <v>5060128532222</v>
      </c>
      <c r="C1487" t="str">
        <f>IFERROR(__xludf.DUMMYFUNCTION("""COMPUTED_VALUE"""),"Westfalia/Witter")</f>
        <v>Westfalia/Witter</v>
      </c>
    </row>
    <row r="1488">
      <c r="A1488" t="str">
        <f>IFERROR(__xludf.DUMMYFUNCTION("""COMPUTED_VALUE"""),"DT148A")</f>
        <v>DT148A</v>
      </c>
      <c r="B1488" s="226" t="str">
        <f>IFERROR(__xludf.DUMMYFUNCTION("""COMPUTED_VALUE"""),"5060128532222")</f>
        <v>5060128532222</v>
      </c>
      <c r="C1488" t="str">
        <f>IFERROR(__xludf.DUMMYFUNCTION("""COMPUTED_VALUE"""),"Westfalia/Witter")</f>
        <v>Westfalia/Witter</v>
      </c>
    </row>
    <row r="1489">
      <c r="A1489" t="str">
        <f>IFERROR(__xludf.DUMMYFUNCTION("""COMPUTED_VALUE"""),"DT148A")</f>
        <v>DT148A</v>
      </c>
      <c r="B1489" s="226" t="str">
        <f>IFERROR(__xludf.DUMMYFUNCTION("""COMPUTED_VALUE"""),"5060128532222")</f>
        <v>5060128532222</v>
      </c>
      <c r="C1489" t="str">
        <f>IFERROR(__xludf.DUMMYFUNCTION("""COMPUTED_VALUE"""),"Westfalia/Witter")</f>
        <v>Westfalia/Witter</v>
      </c>
    </row>
    <row r="1490">
      <c r="A1490" t="str">
        <f>IFERROR(__xludf.DUMMYFUNCTION("""COMPUTED_VALUE"""),"DT93C")</f>
        <v>DT93C</v>
      </c>
      <c r="B1490" s="226" t="str">
        <f>IFERROR(__xludf.DUMMYFUNCTION("""COMPUTED_VALUE"""),"5060128532239")</f>
        <v>5060128532239</v>
      </c>
      <c r="C1490" t="str">
        <f>IFERROR(__xludf.DUMMYFUNCTION("""COMPUTED_VALUE"""),"Westfalia/Witter")</f>
        <v>Westfalia/Witter</v>
      </c>
    </row>
    <row r="1491">
      <c r="A1491" t="str">
        <f>IFERROR(__xludf.DUMMYFUNCTION("""COMPUTED_VALUE"""),"DW19C")</f>
        <v>DW19C</v>
      </c>
      <c r="B1491" s="226" t="str">
        <f>IFERROR(__xludf.DUMMYFUNCTION("""COMPUTED_VALUE"""),"5060128532253")</f>
        <v>5060128532253</v>
      </c>
      <c r="C1491" t="str">
        <f>IFERROR(__xludf.DUMMYFUNCTION("""COMPUTED_VALUE"""),"Westfalia/Witter")</f>
        <v>Westfalia/Witter</v>
      </c>
    </row>
    <row r="1492">
      <c r="A1492" t="str">
        <f>IFERROR(__xludf.DUMMYFUNCTION("""COMPUTED_VALUE"""),"F104A")</f>
        <v>F104A</v>
      </c>
      <c r="B1492" s="226" t="str">
        <f>IFERROR(__xludf.DUMMYFUNCTION("""COMPUTED_VALUE"""),"5060128532277")</f>
        <v>5060128532277</v>
      </c>
      <c r="C1492" t="str">
        <f>IFERROR(__xludf.DUMMYFUNCTION("""COMPUTED_VALUE"""),"Westfalia/Witter")</f>
        <v>Westfalia/Witter</v>
      </c>
    </row>
    <row r="1493">
      <c r="A1493" t="str">
        <f>IFERROR(__xludf.DUMMYFUNCTION("""COMPUTED_VALUE"""),"F104AQ")</f>
        <v>F104AQ</v>
      </c>
      <c r="B1493" s="226" t="str">
        <f>IFERROR(__xludf.DUMMYFUNCTION("""COMPUTED_VALUE"""),"5060128532284")</f>
        <v>5060128532284</v>
      </c>
      <c r="C1493" t="str">
        <f>IFERROR(__xludf.DUMMYFUNCTION("""COMPUTED_VALUE"""),"Westfalia/Witter")</f>
        <v>Westfalia/Witter</v>
      </c>
    </row>
    <row r="1494">
      <c r="A1494" t="str">
        <f>IFERROR(__xludf.DUMMYFUNCTION("""COMPUTED_VALUE"""),"F104AS")</f>
        <v>F104AS</v>
      </c>
      <c r="B1494" s="226" t="str">
        <f>IFERROR(__xludf.DUMMYFUNCTION("""COMPUTED_VALUE"""),"5060128532291")</f>
        <v>5060128532291</v>
      </c>
      <c r="C1494" t="str">
        <f>IFERROR(__xludf.DUMMYFUNCTION("""COMPUTED_VALUE"""),"Westfalia/Witter")</f>
        <v>Westfalia/Witter</v>
      </c>
    </row>
    <row r="1495">
      <c r="A1495" t="str">
        <f>IFERROR(__xludf.DUMMYFUNCTION("""COMPUTED_VALUE"""),"F108C")</f>
        <v>F108C</v>
      </c>
      <c r="B1495" s="226" t="str">
        <f>IFERROR(__xludf.DUMMYFUNCTION("""COMPUTED_VALUE"""),"5060128532314")</f>
        <v>5060128532314</v>
      </c>
      <c r="C1495" t="str">
        <f>IFERROR(__xludf.DUMMYFUNCTION("""COMPUTED_VALUE"""),"Westfalia/Witter")</f>
        <v>Westfalia/Witter</v>
      </c>
    </row>
    <row r="1496">
      <c r="A1496" t="str">
        <f>IFERROR(__xludf.DUMMYFUNCTION("""COMPUTED_VALUE"""),"F108CQ")</f>
        <v>F108CQ</v>
      </c>
      <c r="B1496" s="226" t="str">
        <f>IFERROR(__xludf.DUMMYFUNCTION("""COMPUTED_VALUE"""),"5060128532321")</f>
        <v>5060128532321</v>
      </c>
      <c r="C1496" t="str">
        <f>IFERROR(__xludf.DUMMYFUNCTION("""COMPUTED_VALUE"""),"Westfalia/Witter")</f>
        <v>Westfalia/Witter</v>
      </c>
    </row>
    <row r="1497">
      <c r="A1497" t="str">
        <f>IFERROR(__xludf.DUMMYFUNCTION("""COMPUTED_VALUE"""),"F108CQ")</f>
        <v>F108CQ</v>
      </c>
      <c r="B1497" s="226" t="str">
        <f>IFERROR(__xludf.DUMMYFUNCTION("""COMPUTED_VALUE"""),"5060128532321")</f>
        <v>5060128532321</v>
      </c>
      <c r="C1497" t="str">
        <f>IFERROR(__xludf.DUMMYFUNCTION("""COMPUTED_VALUE"""),"Westfalia/Witter")</f>
        <v>Westfalia/Witter</v>
      </c>
    </row>
    <row r="1498">
      <c r="A1498" t="str">
        <f>IFERROR(__xludf.DUMMYFUNCTION("""COMPUTED_VALUE"""),"F108CS")</f>
        <v>F108CS</v>
      </c>
      <c r="B1498" s="226" t="str">
        <f>IFERROR(__xludf.DUMMYFUNCTION("""COMPUTED_VALUE"""),"5060128532338")</f>
        <v>5060128532338</v>
      </c>
      <c r="C1498" t="str">
        <f>IFERROR(__xludf.DUMMYFUNCTION("""COMPUTED_VALUE"""),"Westfalia/Witter")</f>
        <v>Westfalia/Witter</v>
      </c>
    </row>
    <row r="1499">
      <c r="A1499" t="str">
        <f>IFERROR(__xludf.DUMMYFUNCTION("""COMPUTED_VALUE"""),"F108CS")</f>
        <v>F108CS</v>
      </c>
      <c r="B1499" s="226" t="str">
        <f>IFERROR(__xludf.DUMMYFUNCTION("""COMPUTED_VALUE"""),"5060128532338")</f>
        <v>5060128532338</v>
      </c>
      <c r="C1499" t="str">
        <f>IFERROR(__xludf.DUMMYFUNCTION("""COMPUTED_VALUE"""),"Westfalia/Witter")</f>
        <v>Westfalia/Witter</v>
      </c>
    </row>
    <row r="1500">
      <c r="A1500" t="str">
        <f>IFERROR(__xludf.DUMMYFUNCTION("""COMPUTED_VALUE"""),"F111A")</f>
        <v>F111A</v>
      </c>
      <c r="B1500" s="226" t="str">
        <f>IFERROR(__xludf.DUMMYFUNCTION("""COMPUTED_VALUE"""),"5060128532345")</f>
        <v>5060128532345</v>
      </c>
      <c r="C1500" t="str">
        <f>IFERROR(__xludf.DUMMYFUNCTION("""COMPUTED_VALUE"""),"Westfalia/Witter")</f>
        <v>Westfalia/Witter</v>
      </c>
    </row>
    <row r="1501">
      <c r="A1501" t="str">
        <f>IFERROR(__xludf.DUMMYFUNCTION("""COMPUTED_VALUE"""),"F112AQ")</f>
        <v>F112AQ</v>
      </c>
      <c r="B1501" s="226" t="str">
        <f>IFERROR(__xludf.DUMMYFUNCTION("""COMPUTED_VALUE"""),"5060128532352")</f>
        <v>5060128532352</v>
      </c>
      <c r="C1501" t="str">
        <f>IFERROR(__xludf.DUMMYFUNCTION("""COMPUTED_VALUE"""),"Westfalia/Witter")</f>
        <v>Westfalia/Witter</v>
      </c>
    </row>
    <row r="1502">
      <c r="A1502" t="str">
        <f>IFERROR(__xludf.DUMMYFUNCTION("""COMPUTED_VALUE"""),"F112AS")</f>
        <v>F112AS</v>
      </c>
      <c r="B1502" s="226" t="str">
        <f>IFERROR(__xludf.DUMMYFUNCTION("""COMPUTED_VALUE"""),"5060128532369")</f>
        <v>5060128532369</v>
      </c>
      <c r="C1502" t="str">
        <f>IFERROR(__xludf.DUMMYFUNCTION("""COMPUTED_VALUE"""),"Westfalia/Witter")</f>
        <v>Westfalia/Witter</v>
      </c>
    </row>
    <row r="1503">
      <c r="A1503" t="str">
        <f>IFERROR(__xludf.DUMMYFUNCTION("""COMPUTED_VALUE"""),"F118A")</f>
        <v>F118A</v>
      </c>
      <c r="B1503" s="226" t="str">
        <f>IFERROR(__xludf.DUMMYFUNCTION("""COMPUTED_VALUE"""),"5060128532390")</f>
        <v>5060128532390</v>
      </c>
      <c r="C1503" t="str">
        <f>IFERROR(__xludf.DUMMYFUNCTION("""COMPUTED_VALUE"""),"Westfalia/Witter")</f>
        <v>Westfalia/Witter</v>
      </c>
    </row>
    <row r="1504">
      <c r="A1504" t="str">
        <f>IFERROR(__xludf.DUMMYFUNCTION("""COMPUTED_VALUE"""),"F124A")</f>
        <v>F124A</v>
      </c>
      <c r="B1504" s="226" t="str">
        <f>IFERROR(__xludf.DUMMYFUNCTION("""COMPUTED_VALUE"""),"5060128532406")</f>
        <v>5060128532406</v>
      </c>
      <c r="C1504" t="str">
        <f>IFERROR(__xludf.DUMMYFUNCTION("""COMPUTED_VALUE"""),"Westfalia/Witter")</f>
        <v>Westfalia/Witter</v>
      </c>
    </row>
    <row r="1505">
      <c r="A1505" t="str">
        <f>IFERROR(__xludf.DUMMYFUNCTION("""COMPUTED_VALUE"""),"F125AQ")</f>
        <v>F125AQ</v>
      </c>
      <c r="B1505" s="226" t="str">
        <f>IFERROR(__xludf.DUMMYFUNCTION("""COMPUTED_VALUE"""),"5060128532413")</f>
        <v>5060128532413</v>
      </c>
      <c r="C1505" t="str">
        <f>IFERROR(__xludf.DUMMYFUNCTION("""COMPUTED_VALUE"""),"Westfalia/Witter")</f>
        <v>Westfalia/Witter</v>
      </c>
    </row>
    <row r="1506">
      <c r="A1506" t="str">
        <f>IFERROR(__xludf.DUMMYFUNCTION("""COMPUTED_VALUE"""),"F125AS")</f>
        <v>F125AS</v>
      </c>
      <c r="B1506" s="226" t="str">
        <f>IFERROR(__xludf.DUMMYFUNCTION("""COMPUTED_VALUE"""),"5060128532420")</f>
        <v>5060128532420</v>
      </c>
      <c r="C1506" t="str">
        <f>IFERROR(__xludf.DUMMYFUNCTION("""COMPUTED_VALUE"""),"Westfalia/Witter")</f>
        <v>Westfalia/Witter</v>
      </c>
    </row>
    <row r="1507">
      <c r="A1507" t="str">
        <f>IFERROR(__xludf.DUMMYFUNCTION("""COMPUTED_VALUE"""),"F125AS")</f>
        <v>F125AS</v>
      </c>
      <c r="B1507" s="226" t="str">
        <f>IFERROR(__xludf.DUMMYFUNCTION("""COMPUTED_VALUE"""),"5060128532420")</f>
        <v>5060128532420</v>
      </c>
      <c r="C1507" t="str">
        <f>IFERROR(__xludf.DUMMYFUNCTION("""COMPUTED_VALUE"""),"Westfalia/Witter")</f>
        <v>Westfalia/Witter</v>
      </c>
    </row>
    <row r="1508">
      <c r="A1508" t="str">
        <f>IFERROR(__xludf.DUMMYFUNCTION("""COMPUTED_VALUE"""),"F127B")</f>
        <v>F127B</v>
      </c>
      <c r="B1508" s="226" t="str">
        <f>IFERROR(__xludf.DUMMYFUNCTION("""COMPUTED_VALUE"""),"5060128532437")</f>
        <v>5060128532437</v>
      </c>
      <c r="C1508" t="str">
        <f>IFERROR(__xludf.DUMMYFUNCTION("""COMPUTED_VALUE"""),"Westfalia/Witter")</f>
        <v>Westfalia/Witter</v>
      </c>
    </row>
    <row r="1509">
      <c r="A1509" t="str">
        <f>IFERROR(__xludf.DUMMYFUNCTION("""COMPUTED_VALUE"""),"F128A")</f>
        <v>F128A</v>
      </c>
      <c r="B1509" s="226" t="str">
        <f>IFERROR(__xludf.DUMMYFUNCTION("""COMPUTED_VALUE"""),"5060128532444")</f>
        <v>5060128532444</v>
      </c>
      <c r="C1509" t="str">
        <f>IFERROR(__xludf.DUMMYFUNCTION("""COMPUTED_VALUE"""),"Westfalia/Witter")</f>
        <v>Westfalia/Witter</v>
      </c>
    </row>
    <row r="1510">
      <c r="A1510" t="str">
        <f>IFERROR(__xludf.DUMMYFUNCTION("""COMPUTED_VALUE"""),"F129AQ")</f>
        <v>F129AQ</v>
      </c>
      <c r="B1510" s="226" t="str">
        <f>IFERROR(__xludf.DUMMYFUNCTION("""COMPUTED_VALUE"""),"5060128532451")</f>
        <v>5060128532451</v>
      </c>
      <c r="C1510" t="str">
        <f>IFERROR(__xludf.DUMMYFUNCTION("""COMPUTED_VALUE"""),"Westfalia/Witter")</f>
        <v>Westfalia/Witter</v>
      </c>
    </row>
    <row r="1511">
      <c r="A1511" t="str">
        <f>IFERROR(__xludf.DUMMYFUNCTION("""COMPUTED_VALUE"""),"F129AS")</f>
        <v>F129AS</v>
      </c>
      <c r="B1511" s="226" t="str">
        <f>IFERROR(__xludf.DUMMYFUNCTION("""COMPUTED_VALUE"""),"5060128532475")</f>
        <v>5060128532475</v>
      </c>
      <c r="C1511" t="str">
        <f>IFERROR(__xludf.DUMMYFUNCTION("""COMPUTED_VALUE"""),"Westfalia/Witter")</f>
        <v>Westfalia/Witter</v>
      </c>
    </row>
    <row r="1512">
      <c r="A1512" t="str">
        <f>IFERROR(__xludf.DUMMYFUNCTION("""COMPUTED_VALUE"""),"F130A")</f>
        <v>F130A</v>
      </c>
      <c r="B1512" s="226" t="str">
        <f>IFERROR(__xludf.DUMMYFUNCTION("""COMPUTED_VALUE"""),"5060128532482")</f>
        <v>5060128532482</v>
      </c>
      <c r="C1512" t="str">
        <f>IFERROR(__xludf.DUMMYFUNCTION("""COMPUTED_VALUE"""),"Westfalia/Witter")</f>
        <v>Westfalia/Witter</v>
      </c>
    </row>
    <row r="1513">
      <c r="A1513" t="str">
        <f>IFERROR(__xludf.DUMMYFUNCTION("""COMPUTED_VALUE"""),"F130A")</f>
        <v>F130A</v>
      </c>
      <c r="B1513" s="226" t="str">
        <f>IFERROR(__xludf.DUMMYFUNCTION("""COMPUTED_VALUE"""),"5060128532482")</f>
        <v>5060128532482</v>
      </c>
      <c r="C1513" t="str">
        <f>IFERROR(__xludf.DUMMYFUNCTION("""COMPUTED_VALUE"""),"Westfalia/Witter")</f>
        <v>Westfalia/Witter</v>
      </c>
    </row>
    <row r="1514">
      <c r="A1514" t="str">
        <f>IFERROR(__xludf.DUMMYFUNCTION("""COMPUTED_VALUE"""),"F131A")</f>
        <v>F131A</v>
      </c>
      <c r="B1514" s="226" t="str">
        <f>IFERROR(__xludf.DUMMYFUNCTION("""COMPUTED_VALUE"""),"5060128532499")</f>
        <v>5060128532499</v>
      </c>
      <c r="C1514" t="str">
        <f>IFERROR(__xludf.DUMMYFUNCTION("""COMPUTED_VALUE"""),"Westfalia/Witter")</f>
        <v>Westfalia/Witter</v>
      </c>
    </row>
    <row r="1515">
      <c r="A1515" t="str">
        <f>IFERROR(__xludf.DUMMYFUNCTION("""COMPUTED_VALUE"""),"F131AQ")</f>
        <v>F131AQ</v>
      </c>
      <c r="B1515" s="226" t="str">
        <f>IFERROR(__xludf.DUMMYFUNCTION("""COMPUTED_VALUE"""),"5060128532505")</f>
        <v>5060128532505</v>
      </c>
      <c r="C1515" t="str">
        <f>IFERROR(__xludf.DUMMYFUNCTION("""COMPUTED_VALUE"""),"Westfalia/Witter")</f>
        <v>Westfalia/Witter</v>
      </c>
    </row>
    <row r="1516">
      <c r="A1516" t="str">
        <f>IFERROR(__xludf.DUMMYFUNCTION("""COMPUTED_VALUE"""),"F131AS")</f>
        <v>F131AS</v>
      </c>
      <c r="B1516" s="226" t="str">
        <f>IFERROR(__xludf.DUMMYFUNCTION("""COMPUTED_VALUE"""),"5060128532512")</f>
        <v>5060128532512</v>
      </c>
      <c r="C1516" t="str">
        <f>IFERROR(__xludf.DUMMYFUNCTION("""COMPUTED_VALUE"""),"Westfalia/Witter")</f>
        <v>Westfalia/Witter</v>
      </c>
    </row>
    <row r="1517">
      <c r="A1517" t="str">
        <f>IFERROR(__xludf.DUMMYFUNCTION("""COMPUTED_VALUE"""),"F131AS")</f>
        <v>F131AS</v>
      </c>
      <c r="B1517" s="226" t="str">
        <f>IFERROR(__xludf.DUMMYFUNCTION("""COMPUTED_VALUE"""),"5060128532512")</f>
        <v>5060128532512</v>
      </c>
      <c r="C1517" t="str">
        <f>IFERROR(__xludf.DUMMYFUNCTION("""COMPUTED_VALUE"""),"Westfalia/Witter")</f>
        <v>Westfalia/Witter</v>
      </c>
    </row>
    <row r="1518">
      <c r="A1518" t="str">
        <f>IFERROR(__xludf.DUMMYFUNCTION("""COMPUTED_VALUE"""),"F131AS")</f>
        <v>F131AS</v>
      </c>
      <c r="B1518" s="226" t="str">
        <f>IFERROR(__xludf.DUMMYFUNCTION("""COMPUTED_VALUE"""),"5060128532512")</f>
        <v>5060128532512</v>
      </c>
      <c r="C1518" t="str">
        <f>IFERROR(__xludf.DUMMYFUNCTION("""COMPUTED_VALUE"""),"Westfalia/Witter")</f>
        <v>Westfalia/Witter</v>
      </c>
    </row>
    <row r="1519">
      <c r="A1519" t="str">
        <f>IFERROR(__xludf.DUMMYFUNCTION("""COMPUTED_VALUE"""),"F133A")</f>
        <v>F133A</v>
      </c>
      <c r="B1519" s="226" t="str">
        <f>IFERROR(__xludf.DUMMYFUNCTION("""COMPUTED_VALUE"""),"5060128532529")</f>
        <v>5060128532529</v>
      </c>
      <c r="C1519" t="str">
        <f>IFERROR(__xludf.DUMMYFUNCTION("""COMPUTED_VALUE"""),"Westfalia/Witter")</f>
        <v>Westfalia/Witter</v>
      </c>
    </row>
    <row r="1520">
      <c r="A1520" t="str">
        <f>IFERROR(__xludf.DUMMYFUNCTION("""COMPUTED_VALUE"""),"F134A")</f>
        <v>F134A</v>
      </c>
      <c r="B1520" s="226" t="str">
        <f>IFERROR(__xludf.DUMMYFUNCTION("""COMPUTED_VALUE"""),"5060128532536")</f>
        <v>5060128532536</v>
      </c>
      <c r="C1520" t="str">
        <f>IFERROR(__xludf.DUMMYFUNCTION("""COMPUTED_VALUE"""),"Westfalia/Witter")</f>
        <v>Westfalia/Witter</v>
      </c>
    </row>
    <row r="1521">
      <c r="A1521" t="str">
        <f>IFERROR(__xludf.DUMMYFUNCTION("""COMPUTED_VALUE"""),"F135AQ")</f>
        <v>F135AQ</v>
      </c>
      <c r="B1521" s="226" t="str">
        <f>IFERROR(__xludf.DUMMYFUNCTION("""COMPUTED_VALUE"""),"5060128532550")</f>
        <v>5060128532550</v>
      </c>
      <c r="C1521" t="str">
        <f>IFERROR(__xludf.DUMMYFUNCTION("""COMPUTED_VALUE"""),"Westfalia/Witter")</f>
        <v>Westfalia/Witter</v>
      </c>
    </row>
    <row r="1522">
      <c r="A1522" t="str">
        <f>IFERROR(__xludf.DUMMYFUNCTION("""COMPUTED_VALUE"""),"F144")</f>
        <v>F144</v>
      </c>
      <c r="B1522" s="226" t="str">
        <f>IFERROR(__xludf.DUMMYFUNCTION("""COMPUTED_VALUE"""),"5060128532574")</f>
        <v>5060128532574</v>
      </c>
      <c r="C1522" t="str">
        <f>IFERROR(__xludf.DUMMYFUNCTION("""COMPUTED_VALUE"""),"Westfalia/Witter")</f>
        <v>Westfalia/Witter</v>
      </c>
    </row>
    <row r="1523">
      <c r="A1523" t="str">
        <f>IFERROR(__xludf.DUMMYFUNCTION("""COMPUTED_VALUE"""),"F144Q")</f>
        <v>F144Q</v>
      </c>
      <c r="B1523" s="226" t="str">
        <f>IFERROR(__xludf.DUMMYFUNCTION("""COMPUTED_VALUE"""),"5060128532581")</f>
        <v>5060128532581</v>
      </c>
      <c r="C1523" t="str">
        <f>IFERROR(__xludf.DUMMYFUNCTION("""COMPUTED_VALUE"""),"Westfalia/Witter")</f>
        <v>Westfalia/Witter</v>
      </c>
    </row>
    <row r="1524">
      <c r="A1524" t="str">
        <f>IFERROR(__xludf.DUMMYFUNCTION("""COMPUTED_VALUE"""),"F144Q")</f>
        <v>F144Q</v>
      </c>
      <c r="B1524" s="226" t="str">
        <f>IFERROR(__xludf.DUMMYFUNCTION("""COMPUTED_VALUE"""),"5060128532581")</f>
        <v>5060128532581</v>
      </c>
      <c r="C1524" t="str">
        <f>IFERROR(__xludf.DUMMYFUNCTION("""COMPUTED_VALUE"""),"Westfalia/Witter")</f>
        <v>Westfalia/Witter</v>
      </c>
    </row>
    <row r="1525">
      <c r="A1525" t="str">
        <f>IFERROR(__xludf.DUMMYFUNCTION("""COMPUTED_VALUE"""),"F146")</f>
        <v>F146</v>
      </c>
      <c r="B1525" s="226" t="str">
        <f>IFERROR(__xludf.DUMMYFUNCTION("""COMPUTED_VALUE"""),"5060128532611")</f>
        <v>5060128532611</v>
      </c>
      <c r="C1525" t="str">
        <f>IFERROR(__xludf.DUMMYFUNCTION("""COMPUTED_VALUE"""),"Westfalia/Witter")</f>
        <v>Westfalia/Witter</v>
      </c>
    </row>
    <row r="1526">
      <c r="A1526" t="str">
        <f>IFERROR(__xludf.DUMMYFUNCTION("""COMPUTED_VALUE"""),"F146Q")</f>
        <v>F146Q</v>
      </c>
      <c r="B1526" s="226" t="str">
        <f>IFERROR(__xludf.DUMMYFUNCTION("""COMPUTED_VALUE"""),"5060128532628")</f>
        <v>5060128532628</v>
      </c>
      <c r="C1526" t="str">
        <f>IFERROR(__xludf.DUMMYFUNCTION("""COMPUTED_VALUE"""),"Westfalia/Witter")</f>
        <v>Westfalia/Witter</v>
      </c>
    </row>
    <row r="1527">
      <c r="A1527" t="str">
        <f>IFERROR(__xludf.DUMMYFUNCTION("""COMPUTED_VALUE"""),"F146S")</f>
        <v>F146S</v>
      </c>
      <c r="B1527" s="226" t="str">
        <f>IFERROR(__xludf.DUMMYFUNCTION("""COMPUTED_VALUE"""),"5060128532635")</f>
        <v>5060128532635</v>
      </c>
      <c r="C1527" t="str">
        <f>IFERROR(__xludf.DUMMYFUNCTION("""COMPUTED_VALUE"""),"Westfalia/Witter")</f>
        <v>Westfalia/Witter</v>
      </c>
    </row>
    <row r="1528">
      <c r="A1528" t="str">
        <f>IFERROR(__xludf.DUMMYFUNCTION("""COMPUTED_VALUE"""),"F148")</f>
        <v>F148</v>
      </c>
      <c r="B1528" s="226" t="str">
        <f>IFERROR(__xludf.DUMMYFUNCTION("""COMPUTED_VALUE"""),"5060128532642")</f>
        <v>5060128532642</v>
      </c>
      <c r="C1528" t="str">
        <f>IFERROR(__xludf.DUMMYFUNCTION("""COMPUTED_VALUE"""),"Westfalia/Witter")</f>
        <v>Westfalia/Witter</v>
      </c>
    </row>
    <row r="1529">
      <c r="A1529" t="str">
        <f>IFERROR(__xludf.DUMMYFUNCTION("""COMPUTED_VALUE"""),"F149Q")</f>
        <v>F149Q</v>
      </c>
      <c r="B1529" s="226" t="str">
        <f>IFERROR(__xludf.DUMMYFUNCTION("""COMPUTED_VALUE"""),"5060128532659")</f>
        <v>5060128532659</v>
      </c>
      <c r="C1529" t="str">
        <f>IFERROR(__xludf.DUMMYFUNCTION("""COMPUTED_VALUE"""),"Westfalia/Witter")</f>
        <v>Westfalia/Witter</v>
      </c>
    </row>
    <row r="1530">
      <c r="A1530" t="str">
        <f>IFERROR(__xludf.DUMMYFUNCTION("""COMPUTED_VALUE"""),"F149Q")</f>
        <v>F149Q</v>
      </c>
      <c r="B1530" s="226" t="str">
        <f>IFERROR(__xludf.DUMMYFUNCTION("""COMPUTED_VALUE"""),"5060128532659")</f>
        <v>5060128532659</v>
      </c>
      <c r="C1530" t="str">
        <f>IFERROR(__xludf.DUMMYFUNCTION("""COMPUTED_VALUE"""),"Westfalia/Witter")</f>
        <v>Westfalia/Witter</v>
      </c>
    </row>
    <row r="1531">
      <c r="A1531" t="str">
        <f>IFERROR(__xludf.DUMMYFUNCTION("""COMPUTED_VALUE"""),"F149S")</f>
        <v>F149S</v>
      </c>
      <c r="B1531" s="226" t="str">
        <f>IFERROR(__xludf.DUMMYFUNCTION("""COMPUTED_VALUE"""),"5060128532666")</f>
        <v>5060128532666</v>
      </c>
      <c r="C1531" t="str">
        <f>IFERROR(__xludf.DUMMYFUNCTION("""COMPUTED_VALUE"""),"Westfalia/Witter")</f>
        <v>Westfalia/Witter</v>
      </c>
    </row>
    <row r="1532">
      <c r="A1532" t="str">
        <f>IFERROR(__xludf.DUMMYFUNCTION("""COMPUTED_VALUE"""),"F149S")</f>
        <v>F149S</v>
      </c>
      <c r="B1532" s="226" t="str">
        <f>IFERROR(__xludf.DUMMYFUNCTION("""COMPUTED_VALUE"""),"5060128532666")</f>
        <v>5060128532666</v>
      </c>
      <c r="C1532" t="str">
        <f>IFERROR(__xludf.DUMMYFUNCTION("""COMPUTED_VALUE"""),"Westfalia/Witter")</f>
        <v>Westfalia/Witter</v>
      </c>
    </row>
    <row r="1533">
      <c r="A1533" t="str">
        <f>IFERROR(__xludf.DUMMYFUNCTION("""COMPUTED_VALUE"""),"F151")</f>
        <v>F151</v>
      </c>
      <c r="B1533" s="226" t="str">
        <f>IFERROR(__xludf.DUMMYFUNCTION("""COMPUTED_VALUE"""),"5060128532680")</f>
        <v>5060128532680</v>
      </c>
      <c r="C1533" t="str">
        <f>IFERROR(__xludf.DUMMYFUNCTION("""COMPUTED_VALUE"""),"Westfalia/Witter")</f>
        <v>Westfalia/Witter</v>
      </c>
    </row>
    <row r="1534">
      <c r="A1534" t="str">
        <f>IFERROR(__xludf.DUMMYFUNCTION("""COMPUTED_VALUE"""),"F151Q")</f>
        <v>F151Q</v>
      </c>
      <c r="B1534" s="226" t="str">
        <f>IFERROR(__xludf.DUMMYFUNCTION("""COMPUTED_VALUE"""),"5060128532697")</f>
        <v>5060128532697</v>
      </c>
      <c r="C1534" t="str">
        <f>IFERROR(__xludf.DUMMYFUNCTION("""COMPUTED_VALUE"""),"Westfalia/Witter")</f>
        <v>Westfalia/Witter</v>
      </c>
    </row>
    <row r="1535">
      <c r="A1535" t="str">
        <f>IFERROR(__xludf.DUMMYFUNCTION("""COMPUTED_VALUE"""),"F151S")</f>
        <v>F151S</v>
      </c>
      <c r="B1535" s="226" t="str">
        <f>IFERROR(__xludf.DUMMYFUNCTION("""COMPUTED_VALUE"""),"5060128532710")</f>
        <v>5060128532710</v>
      </c>
      <c r="C1535" t="str">
        <f>IFERROR(__xludf.DUMMYFUNCTION("""COMPUTED_VALUE"""),"Westfalia/Witter")</f>
        <v>Westfalia/Witter</v>
      </c>
    </row>
    <row r="1536">
      <c r="A1536" t="str">
        <f>IFERROR(__xludf.DUMMYFUNCTION("""COMPUTED_VALUE"""),"F158A")</f>
        <v>F158A</v>
      </c>
      <c r="B1536" s="226" t="str">
        <f>IFERROR(__xludf.DUMMYFUNCTION("""COMPUTED_VALUE"""),"5060128532727")</f>
        <v>5060128532727</v>
      </c>
      <c r="C1536" t="str">
        <f>IFERROR(__xludf.DUMMYFUNCTION("""COMPUTED_VALUE"""),"Westfalia/Witter")</f>
        <v>Westfalia/Witter</v>
      </c>
    </row>
    <row r="1537">
      <c r="A1537" t="str">
        <f>IFERROR(__xludf.DUMMYFUNCTION("""COMPUTED_VALUE"""),"F159")</f>
        <v>F159</v>
      </c>
      <c r="B1537" s="226" t="str">
        <f>IFERROR(__xludf.DUMMYFUNCTION("""COMPUTED_VALUE"""),"5060128532734")</f>
        <v>5060128532734</v>
      </c>
      <c r="C1537" t="str">
        <f>IFERROR(__xludf.DUMMYFUNCTION("""COMPUTED_VALUE"""),"Westfalia/Witter")</f>
        <v>Westfalia/Witter</v>
      </c>
    </row>
    <row r="1538">
      <c r="A1538" t="str">
        <f>IFERROR(__xludf.DUMMYFUNCTION("""COMPUTED_VALUE"""),"F161")</f>
        <v>F161</v>
      </c>
      <c r="B1538" s="226" t="str">
        <f>IFERROR(__xludf.DUMMYFUNCTION("""COMPUTED_VALUE"""),"5060128532741")</f>
        <v>5060128532741</v>
      </c>
      <c r="C1538" t="str">
        <f>IFERROR(__xludf.DUMMYFUNCTION("""COMPUTED_VALUE"""),"Westfalia/Witter")</f>
        <v>Westfalia/Witter</v>
      </c>
    </row>
    <row r="1539">
      <c r="A1539" t="str">
        <f>IFERROR(__xludf.DUMMYFUNCTION("""COMPUTED_VALUE"""),"F161Q")</f>
        <v>F161Q</v>
      </c>
      <c r="B1539" s="226" t="str">
        <f>IFERROR(__xludf.DUMMYFUNCTION("""COMPUTED_VALUE"""),"5060128532758")</f>
        <v>5060128532758</v>
      </c>
      <c r="C1539" t="str">
        <f>IFERROR(__xludf.DUMMYFUNCTION("""COMPUTED_VALUE"""),"Westfalia/Witter")</f>
        <v>Westfalia/Witter</v>
      </c>
    </row>
    <row r="1540">
      <c r="A1540" t="str">
        <f>IFERROR(__xludf.DUMMYFUNCTION("""COMPUTED_VALUE"""),"F162Q")</f>
        <v>F162Q</v>
      </c>
      <c r="B1540" s="226" t="str">
        <f>IFERROR(__xludf.DUMMYFUNCTION("""COMPUTED_VALUE"""),"5060128532765")</f>
        <v>5060128532765</v>
      </c>
      <c r="C1540" t="str">
        <f>IFERROR(__xludf.DUMMYFUNCTION("""COMPUTED_VALUE"""),"Westfalia/Witter")</f>
        <v>Westfalia/Witter</v>
      </c>
    </row>
    <row r="1541">
      <c r="A1541" t="str">
        <f>IFERROR(__xludf.DUMMYFUNCTION("""COMPUTED_VALUE"""),"F163")</f>
        <v>F163</v>
      </c>
      <c r="B1541" s="226" t="str">
        <f>IFERROR(__xludf.DUMMYFUNCTION("""COMPUTED_VALUE"""),"5060128532772")</f>
        <v>5060128532772</v>
      </c>
      <c r="C1541" t="str">
        <f>IFERROR(__xludf.DUMMYFUNCTION("""COMPUTED_VALUE"""),"Westfalia/Witter")</f>
        <v>Westfalia/Witter</v>
      </c>
    </row>
    <row r="1542">
      <c r="A1542" t="str">
        <f>IFERROR(__xludf.DUMMYFUNCTION("""COMPUTED_VALUE"""),"F165A")</f>
        <v>F165A</v>
      </c>
      <c r="B1542" s="226" t="str">
        <f>IFERROR(__xludf.DUMMYFUNCTION("""COMPUTED_VALUE"""),"5060128532789")</f>
        <v>5060128532789</v>
      </c>
      <c r="C1542" t="str">
        <f>IFERROR(__xludf.DUMMYFUNCTION("""COMPUTED_VALUE"""),"Westfalia/Witter")</f>
        <v>Westfalia/Witter</v>
      </c>
    </row>
    <row r="1543">
      <c r="A1543" t="str">
        <f>IFERROR(__xludf.DUMMYFUNCTION("""COMPUTED_VALUE"""),"F165AQ")</f>
        <v>F165AQ</v>
      </c>
      <c r="B1543" s="226" t="str">
        <f>IFERROR(__xludf.DUMMYFUNCTION("""COMPUTED_VALUE"""),"5060128532796")</f>
        <v>5060128532796</v>
      </c>
      <c r="C1543" t="str">
        <f>IFERROR(__xludf.DUMMYFUNCTION("""COMPUTED_VALUE"""),"Westfalia/Witter")</f>
        <v>Westfalia/Witter</v>
      </c>
    </row>
    <row r="1544">
      <c r="A1544" t="str">
        <f>IFERROR(__xludf.DUMMYFUNCTION("""COMPUTED_VALUE"""),"F165AS")</f>
        <v>F165AS</v>
      </c>
      <c r="B1544" s="226" t="str">
        <f>IFERROR(__xludf.DUMMYFUNCTION("""COMPUTED_VALUE"""),"5060128532819")</f>
        <v>5060128532819</v>
      </c>
      <c r="C1544" t="str">
        <f>IFERROR(__xludf.DUMMYFUNCTION("""COMPUTED_VALUE"""),"Westfalia/Witter")</f>
        <v>Westfalia/Witter</v>
      </c>
    </row>
    <row r="1545">
      <c r="A1545" t="str">
        <f>IFERROR(__xludf.DUMMYFUNCTION("""COMPUTED_VALUE"""),"F166")</f>
        <v>F166</v>
      </c>
      <c r="B1545" s="226" t="str">
        <f>IFERROR(__xludf.DUMMYFUNCTION("""COMPUTED_VALUE"""),"5060128532826")</f>
        <v>5060128532826</v>
      </c>
      <c r="C1545" t="str">
        <f>IFERROR(__xludf.DUMMYFUNCTION("""COMPUTED_VALUE"""),"Westfalia/Witter")</f>
        <v>Westfalia/Witter</v>
      </c>
    </row>
    <row r="1546">
      <c r="A1546" t="str">
        <f>IFERROR(__xludf.DUMMYFUNCTION("""COMPUTED_VALUE"""),"F166Q")</f>
        <v>F166Q</v>
      </c>
      <c r="B1546" s="226" t="str">
        <f>IFERROR(__xludf.DUMMYFUNCTION("""COMPUTED_VALUE"""),"5060128532833")</f>
        <v>5060128532833</v>
      </c>
      <c r="C1546" t="str">
        <f>IFERROR(__xludf.DUMMYFUNCTION("""COMPUTED_VALUE"""),"Westfalia/Witter")</f>
        <v>Westfalia/Witter</v>
      </c>
    </row>
    <row r="1547">
      <c r="A1547" t="str">
        <f>IFERROR(__xludf.DUMMYFUNCTION("""COMPUTED_VALUE"""),"F166S")</f>
        <v>F166S</v>
      </c>
      <c r="B1547" s="226" t="str">
        <f>IFERROR(__xludf.DUMMYFUNCTION("""COMPUTED_VALUE"""),"5060128532840")</f>
        <v>5060128532840</v>
      </c>
      <c r="C1547" t="str">
        <f>IFERROR(__xludf.DUMMYFUNCTION("""COMPUTED_VALUE"""),"Westfalia/Witter")</f>
        <v>Westfalia/Witter</v>
      </c>
    </row>
    <row r="1548">
      <c r="A1548" t="str">
        <f>IFERROR(__xludf.DUMMYFUNCTION("""COMPUTED_VALUE"""),"F167")</f>
        <v>F167</v>
      </c>
      <c r="B1548" s="226" t="str">
        <f>IFERROR(__xludf.DUMMYFUNCTION("""COMPUTED_VALUE"""),"5060128532857")</f>
        <v>5060128532857</v>
      </c>
      <c r="C1548" t="str">
        <f>IFERROR(__xludf.DUMMYFUNCTION("""COMPUTED_VALUE"""),"Westfalia/Witter")</f>
        <v>Westfalia/Witter</v>
      </c>
    </row>
    <row r="1549">
      <c r="A1549" t="str">
        <f>IFERROR(__xludf.DUMMYFUNCTION("""COMPUTED_VALUE"""),"F168")</f>
        <v>F168</v>
      </c>
      <c r="B1549" s="226" t="str">
        <f>IFERROR(__xludf.DUMMYFUNCTION("""COMPUTED_VALUE"""),"5060128532864")</f>
        <v>5060128532864</v>
      </c>
      <c r="C1549" t="str">
        <f>IFERROR(__xludf.DUMMYFUNCTION("""COMPUTED_VALUE"""),"Westfalia/Witter")</f>
        <v>Westfalia/Witter</v>
      </c>
    </row>
    <row r="1550">
      <c r="A1550" t="str">
        <f>IFERROR(__xludf.DUMMYFUNCTION("""COMPUTED_VALUE"""),"F169")</f>
        <v>F169</v>
      </c>
      <c r="B1550" s="226" t="str">
        <f>IFERROR(__xludf.DUMMYFUNCTION("""COMPUTED_VALUE"""),"5060128532871")</f>
        <v>5060128532871</v>
      </c>
      <c r="C1550" t="str">
        <f>IFERROR(__xludf.DUMMYFUNCTION("""COMPUTED_VALUE"""),"Westfalia/Witter")</f>
        <v>Westfalia/Witter</v>
      </c>
    </row>
    <row r="1551">
      <c r="A1551" t="str">
        <f>IFERROR(__xludf.DUMMYFUNCTION("""COMPUTED_VALUE"""),"F173")</f>
        <v>F173</v>
      </c>
      <c r="B1551" s="226" t="str">
        <f>IFERROR(__xludf.DUMMYFUNCTION("""COMPUTED_VALUE"""),"5060128532888")</f>
        <v>5060128532888</v>
      </c>
      <c r="C1551" t="str">
        <f>IFERROR(__xludf.DUMMYFUNCTION("""COMPUTED_VALUE"""),"Westfalia/Witter")</f>
        <v>Westfalia/Witter</v>
      </c>
    </row>
    <row r="1552">
      <c r="A1552" t="str">
        <f>IFERROR(__xludf.DUMMYFUNCTION("""COMPUTED_VALUE"""),"F173Q")</f>
        <v>F173Q</v>
      </c>
      <c r="B1552" s="226" t="str">
        <f>IFERROR(__xludf.DUMMYFUNCTION("""COMPUTED_VALUE"""),"5060128532895")</f>
        <v>5060128532895</v>
      </c>
      <c r="C1552" t="str">
        <f>IFERROR(__xludf.DUMMYFUNCTION("""COMPUTED_VALUE"""),"Westfalia/Witter")</f>
        <v>Westfalia/Witter</v>
      </c>
    </row>
    <row r="1553">
      <c r="A1553" t="str">
        <f>IFERROR(__xludf.DUMMYFUNCTION("""COMPUTED_VALUE"""),"F173S")</f>
        <v>F173S</v>
      </c>
      <c r="B1553" s="226" t="str">
        <f>IFERROR(__xludf.DUMMYFUNCTION("""COMPUTED_VALUE"""),"5060128532918")</f>
        <v>5060128532918</v>
      </c>
      <c r="C1553" t="str">
        <f>IFERROR(__xludf.DUMMYFUNCTION("""COMPUTED_VALUE"""),"Westfalia/Witter")</f>
        <v>Westfalia/Witter</v>
      </c>
    </row>
    <row r="1554">
      <c r="A1554" t="str">
        <f>IFERROR(__xludf.DUMMYFUNCTION("""COMPUTED_VALUE"""),"F174")</f>
        <v>F174</v>
      </c>
      <c r="B1554" s="226" t="str">
        <f>IFERROR(__xludf.DUMMYFUNCTION("""COMPUTED_VALUE"""),"5060128532925")</f>
        <v>5060128532925</v>
      </c>
      <c r="C1554" t="str">
        <f>IFERROR(__xludf.DUMMYFUNCTION("""COMPUTED_VALUE"""),"Westfalia/Witter")</f>
        <v>Westfalia/Witter</v>
      </c>
    </row>
    <row r="1555">
      <c r="A1555" t="str">
        <f>IFERROR(__xludf.DUMMYFUNCTION("""COMPUTED_VALUE"""),"F177Q")</f>
        <v>F177Q</v>
      </c>
      <c r="B1555" s="226" t="str">
        <f>IFERROR(__xludf.DUMMYFUNCTION("""COMPUTED_VALUE"""),"5060128532932")</f>
        <v>5060128532932</v>
      </c>
      <c r="C1555" t="str">
        <f>IFERROR(__xludf.DUMMYFUNCTION("""COMPUTED_VALUE"""),"Westfalia/Witter")</f>
        <v>Westfalia/Witter</v>
      </c>
    </row>
    <row r="1556">
      <c r="A1556" t="str">
        <f>IFERROR(__xludf.DUMMYFUNCTION("""COMPUTED_VALUE"""),"F177Q")</f>
        <v>F177Q</v>
      </c>
      <c r="B1556" s="226" t="str">
        <f>IFERROR(__xludf.DUMMYFUNCTION("""COMPUTED_VALUE"""),"5060128532932")</f>
        <v>5060128532932</v>
      </c>
      <c r="C1556" t="str">
        <f>IFERROR(__xludf.DUMMYFUNCTION("""COMPUTED_VALUE"""),"Westfalia/Witter")</f>
        <v>Westfalia/Witter</v>
      </c>
    </row>
    <row r="1557">
      <c r="A1557" t="str">
        <f>IFERROR(__xludf.DUMMYFUNCTION("""COMPUTED_VALUE"""),"F177S")</f>
        <v>F177S</v>
      </c>
      <c r="B1557" s="226" t="str">
        <f>IFERROR(__xludf.DUMMYFUNCTION("""COMPUTED_VALUE"""),"5060128532949")</f>
        <v>5060128532949</v>
      </c>
      <c r="C1557" t="str">
        <f>IFERROR(__xludf.DUMMYFUNCTION("""COMPUTED_VALUE"""),"Westfalia/Witter")</f>
        <v>Westfalia/Witter</v>
      </c>
    </row>
    <row r="1558">
      <c r="A1558" t="str">
        <f>IFERROR(__xludf.DUMMYFUNCTION("""COMPUTED_VALUE"""),"F178Q")</f>
        <v>F178Q</v>
      </c>
      <c r="B1558" s="226" t="str">
        <f>IFERROR(__xludf.DUMMYFUNCTION("""COMPUTED_VALUE"""),"5060128532956")</f>
        <v>5060128532956</v>
      </c>
      <c r="C1558" t="str">
        <f>IFERROR(__xludf.DUMMYFUNCTION("""COMPUTED_VALUE"""),"Westfalia/Witter")</f>
        <v>Westfalia/Witter</v>
      </c>
    </row>
    <row r="1559">
      <c r="A1559" t="str">
        <f>IFERROR(__xludf.DUMMYFUNCTION("""COMPUTED_VALUE"""),"F178S")</f>
        <v>F178S</v>
      </c>
      <c r="B1559" s="226" t="str">
        <f>IFERROR(__xludf.DUMMYFUNCTION("""COMPUTED_VALUE"""),"5060128532963")</f>
        <v>5060128532963</v>
      </c>
      <c r="C1559" t="str">
        <f>IFERROR(__xludf.DUMMYFUNCTION("""COMPUTED_VALUE"""),"Westfalia/Witter")</f>
        <v>Westfalia/Witter</v>
      </c>
    </row>
    <row r="1560">
      <c r="A1560" t="str">
        <f>IFERROR(__xludf.DUMMYFUNCTION("""COMPUTED_VALUE"""),"F180AQ")</f>
        <v>F180AQ</v>
      </c>
      <c r="B1560" s="226" t="str">
        <f>IFERROR(__xludf.DUMMYFUNCTION("""COMPUTED_VALUE"""),"5060128532970")</f>
        <v>5060128532970</v>
      </c>
      <c r="C1560" t="str">
        <f>IFERROR(__xludf.DUMMYFUNCTION("""COMPUTED_VALUE"""),"Westfalia/Witter")</f>
        <v>Westfalia/Witter</v>
      </c>
    </row>
    <row r="1561">
      <c r="A1561" t="str">
        <f>IFERROR(__xludf.DUMMYFUNCTION("""COMPUTED_VALUE"""),"F180AS")</f>
        <v>F180AS</v>
      </c>
      <c r="B1561" s="226" t="str">
        <f>IFERROR(__xludf.DUMMYFUNCTION("""COMPUTED_VALUE"""),"5060128532987")</f>
        <v>5060128532987</v>
      </c>
      <c r="C1561" t="str">
        <f>IFERROR(__xludf.DUMMYFUNCTION("""COMPUTED_VALUE"""),"Westfalia/Witter")</f>
        <v>Westfalia/Witter</v>
      </c>
    </row>
    <row r="1562">
      <c r="A1562" t="str">
        <f>IFERROR(__xludf.DUMMYFUNCTION("""COMPUTED_VALUE"""),"F77A")</f>
        <v>F77A</v>
      </c>
      <c r="B1562" s="226" t="str">
        <f>IFERROR(__xludf.DUMMYFUNCTION("""COMPUTED_VALUE"""),"5060128533014")</f>
        <v>5060128533014</v>
      </c>
      <c r="C1562" t="str">
        <f>IFERROR(__xludf.DUMMYFUNCTION("""COMPUTED_VALUE"""),"Westfalia/Witter")</f>
        <v>Westfalia/Witter</v>
      </c>
    </row>
    <row r="1563">
      <c r="A1563" t="str">
        <f>IFERROR(__xludf.DUMMYFUNCTION("""COMPUTED_VALUE"""),"F81A")</f>
        <v>F81A</v>
      </c>
      <c r="B1563" s="226" t="str">
        <f>IFERROR(__xludf.DUMMYFUNCTION("""COMPUTED_VALUE"""),"5060128533021")</f>
        <v>5060128533021</v>
      </c>
      <c r="C1563" t="str">
        <f>IFERROR(__xludf.DUMMYFUNCTION("""COMPUTED_VALUE"""),"Westfalia/Witter")</f>
        <v>Westfalia/Witter</v>
      </c>
    </row>
    <row r="1564">
      <c r="A1564" t="str">
        <f>IFERROR(__xludf.DUMMYFUNCTION("""COMPUTED_VALUE"""),"F82A")</f>
        <v>F82A</v>
      </c>
      <c r="B1564" s="226" t="str">
        <f>IFERROR(__xludf.DUMMYFUNCTION("""COMPUTED_VALUE"""),"5060128533038")</f>
        <v>5060128533038</v>
      </c>
      <c r="C1564" t="str">
        <f>IFERROR(__xludf.DUMMYFUNCTION("""COMPUTED_VALUE"""),"Westfalia/Witter")</f>
        <v>Westfalia/Witter</v>
      </c>
    </row>
    <row r="1565">
      <c r="A1565" t="str">
        <f>IFERROR(__xludf.DUMMYFUNCTION("""COMPUTED_VALUE"""),"F83A")</f>
        <v>F83A</v>
      </c>
      <c r="B1565" s="226" t="str">
        <f>IFERROR(__xludf.DUMMYFUNCTION("""COMPUTED_VALUE"""),"5060128533045")</f>
        <v>5060128533045</v>
      </c>
      <c r="C1565" t="str">
        <f>IFERROR(__xludf.DUMMYFUNCTION("""COMPUTED_VALUE"""),"Westfalia/Witter")</f>
        <v>Westfalia/Witter</v>
      </c>
    </row>
    <row r="1566">
      <c r="A1566" t="str">
        <f>IFERROR(__xludf.DUMMYFUNCTION("""COMPUTED_VALUE"""),"F87B")</f>
        <v>F87B</v>
      </c>
      <c r="B1566" s="226" t="str">
        <f>IFERROR(__xludf.DUMMYFUNCTION("""COMPUTED_VALUE"""),"5060128533052")</f>
        <v>5060128533052</v>
      </c>
      <c r="C1566" t="str">
        <f>IFERROR(__xludf.DUMMYFUNCTION("""COMPUTED_VALUE"""),"Westfalia/Witter")</f>
        <v>Westfalia/Witter</v>
      </c>
    </row>
    <row r="1567">
      <c r="A1567" t="str">
        <f>IFERROR(__xludf.DUMMYFUNCTION("""COMPUTED_VALUE"""),"F88A")</f>
        <v>F88A</v>
      </c>
      <c r="B1567" s="226" t="str">
        <f>IFERROR(__xludf.DUMMYFUNCTION("""COMPUTED_VALUE"""),"5060128533069")</f>
        <v>5060128533069</v>
      </c>
      <c r="C1567" t="str">
        <f>IFERROR(__xludf.DUMMYFUNCTION("""COMPUTED_VALUE"""),"Westfalia/Witter")</f>
        <v>Westfalia/Witter</v>
      </c>
    </row>
    <row r="1568">
      <c r="A1568" t="str">
        <f>IFERROR(__xludf.DUMMYFUNCTION("""COMPUTED_VALUE"""),"F89B")</f>
        <v>F89B</v>
      </c>
      <c r="B1568" s="226" t="str">
        <f>IFERROR(__xludf.DUMMYFUNCTION("""COMPUTED_VALUE"""),"5060128533076")</f>
        <v>5060128533076</v>
      </c>
      <c r="C1568" t="str">
        <f>IFERROR(__xludf.DUMMYFUNCTION("""COMPUTED_VALUE"""),"Westfalia/Witter")</f>
        <v>Westfalia/Witter</v>
      </c>
    </row>
    <row r="1569">
      <c r="A1569" t="str">
        <f>IFERROR(__xludf.DUMMYFUNCTION("""COMPUTED_VALUE"""),"F92C")</f>
        <v>F92C</v>
      </c>
      <c r="B1569" s="226" t="str">
        <f>IFERROR(__xludf.DUMMYFUNCTION("""COMPUTED_VALUE"""),"5060128533083")</f>
        <v>5060128533083</v>
      </c>
      <c r="C1569" t="str">
        <f>IFERROR(__xludf.DUMMYFUNCTION("""COMPUTED_VALUE"""),"Westfalia/Witter")</f>
        <v>Westfalia/Witter</v>
      </c>
    </row>
    <row r="1570">
      <c r="A1570" t="str">
        <f>IFERROR(__xludf.DUMMYFUNCTION("""COMPUTED_VALUE"""),"F94A")</f>
        <v>F94A</v>
      </c>
      <c r="B1570" s="226" t="str">
        <f>IFERROR(__xludf.DUMMYFUNCTION("""COMPUTED_VALUE"""),"5060128533090")</f>
        <v>5060128533090</v>
      </c>
      <c r="C1570" t="str">
        <f>IFERROR(__xludf.DUMMYFUNCTION("""COMPUTED_VALUE"""),"Westfalia/Witter")</f>
        <v>Westfalia/Witter</v>
      </c>
    </row>
    <row r="1571">
      <c r="A1571" t="str">
        <f>IFERROR(__xludf.DUMMYFUNCTION("""COMPUTED_VALUE"""),"F97A")</f>
        <v>F97A</v>
      </c>
      <c r="B1571" s="226" t="str">
        <f>IFERROR(__xludf.DUMMYFUNCTION("""COMPUTED_VALUE"""),"5060128533106")</f>
        <v>5060128533106</v>
      </c>
      <c r="C1571" t="str">
        <f>IFERROR(__xludf.DUMMYFUNCTION("""COMPUTED_VALUE"""),"Westfalia/Witter")</f>
        <v>Westfalia/Witter</v>
      </c>
    </row>
    <row r="1572">
      <c r="A1572" t="str">
        <f>IFERROR(__xludf.DUMMYFUNCTION("""COMPUTED_VALUE"""),"F98D")</f>
        <v>F98D</v>
      </c>
      <c r="B1572" s="226" t="str">
        <f>IFERROR(__xludf.DUMMYFUNCTION("""COMPUTED_VALUE"""),"5060128533113")</f>
        <v>5060128533113</v>
      </c>
      <c r="C1572" t="str">
        <f>IFERROR(__xludf.DUMMYFUNCTION("""COMPUTED_VALUE"""),"Westfalia/Witter")</f>
        <v>Westfalia/Witter</v>
      </c>
    </row>
    <row r="1573">
      <c r="A1573" t="str">
        <f>IFERROR(__xludf.DUMMYFUNCTION("""COMPUTED_VALUE"""),"F99C")</f>
        <v>F99C</v>
      </c>
      <c r="B1573" s="226" t="str">
        <f>IFERROR(__xludf.DUMMYFUNCTION("""COMPUTED_VALUE"""),"5060128533120")</f>
        <v>5060128533120</v>
      </c>
      <c r="C1573" t="str">
        <f>IFERROR(__xludf.DUMMYFUNCTION("""COMPUTED_VALUE"""),"Westfalia/Witter")</f>
        <v>Westfalia/Witter</v>
      </c>
    </row>
    <row r="1574">
      <c r="A1574" t="str">
        <f>IFERROR(__xludf.DUMMYFUNCTION("""COMPUTED_VALUE"""),"F99CQ")</f>
        <v>F99CQ</v>
      </c>
      <c r="B1574" s="226" t="str">
        <f>IFERROR(__xludf.DUMMYFUNCTION("""COMPUTED_VALUE"""),"5060128533137")</f>
        <v>5060128533137</v>
      </c>
      <c r="C1574" t="str">
        <f>IFERROR(__xludf.DUMMYFUNCTION("""COMPUTED_VALUE"""),"Westfalia/Witter")</f>
        <v>Westfalia/Witter</v>
      </c>
    </row>
    <row r="1575">
      <c r="A1575" t="str">
        <f>IFERROR(__xludf.DUMMYFUNCTION("""COMPUTED_VALUE"""),"F99CQ")</f>
        <v>F99CQ</v>
      </c>
      <c r="B1575" s="226" t="str">
        <f>IFERROR(__xludf.DUMMYFUNCTION("""COMPUTED_VALUE"""),"5060128533137")</f>
        <v>5060128533137</v>
      </c>
      <c r="C1575" t="str">
        <f>IFERROR(__xludf.DUMMYFUNCTION("""COMPUTED_VALUE"""),"Westfalia/Witter")</f>
        <v>Westfalia/Witter</v>
      </c>
    </row>
    <row r="1576">
      <c r="A1576" t="str">
        <f>IFERROR(__xludf.DUMMYFUNCTION("""COMPUTED_VALUE"""),"F99CQ")</f>
        <v>F99CQ</v>
      </c>
      <c r="B1576" s="226" t="str">
        <f>IFERROR(__xludf.DUMMYFUNCTION("""COMPUTED_VALUE"""),"5060128533137")</f>
        <v>5060128533137</v>
      </c>
      <c r="C1576" t="str">
        <f>IFERROR(__xludf.DUMMYFUNCTION("""COMPUTED_VALUE"""),"Westfalia/Witter")</f>
        <v>Westfalia/Witter</v>
      </c>
    </row>
    <row r="1577">
      <c r="A1577" t="str">
        <f>IFERROR(__xludf.DUMMYFUNCTION("""COMPUTED_VALUE"""),"F99CS")</f>
        <v>F99CS</v>
      </c>
      <c r="B1577" s="226" t="str">
        <f>IFERROR(__xludf.DUMMYFUNCTION("""COMPUTED_VALUE"""),"5060128533151")</f>
        <v>5060128533151</v>
      </c>
      <c r="C1577" t="str">
        <f>IFERROR(__xludf.DUMMYFUNCTION("""COMPUTED_VALUE"""),"Westfalia/Witter")</f>
        <v>Westfalia/Witter</v>
      </c>
    </row>
    <row r="1578">
      <c r="A1578" t="str">
        <f>IFERROR(__xludf.DUMMYFUNCTION("""COMPUTED_VALUE"""),"F99CS")</f>
        <v>F99CS</v>
      </c>
      <c r="B1578" s="226" t="str">
        <f>IFERROR(__xludf.DUMMYFUNCTION("""COMPUTED_VALUE"""),"5060128533151")</f>
        <v>5060128533151</v>
      </c>
      <c r="C1578" t="str">
        <f>IFERROR(__xludf.DUMMYFUNCTION("""COMPUTED_VALUE"""),"Westfalia/Witter")</f>
        <v>Westfalia/Witter</v>
      </c>
    </row>
    <row r="1579">
      <c r="A1579" t="str">
        <f>IFERROR(__xludf.DUMMYFUNCTION("""COMPUTED_VALUE"""),"F99CS")</f>
        <v>F99CS</v>
      </c>
      <c r="B1579" s="226" t="str">
        <f>IFERROR(__xludf.DUMMYFUNCTION("""COMPUTED_VALUE"""),"5060128533151")</f>
        <v>5060128533151</v>
      </c>
      <c r="C1579" t="str">
        <f>IFERROR(__xludf.DUMMYFUNCTION("""COMPUTED_VALUE"""),"Westfalia/Witter")</f>
        <v>Westfalia/Witter</v>
      </c>
    </row>
    <row r="1580">
      <c r="A1580" t="str">
        <f>IFERROR(__xludf.DUMMYFUNCTION("""COMPUTED_VALUE"""),"FT57A")</f>
        <v>FT57A</v>
      </c>
      <c r="B1580" s="226" t="str">
        <f>IFERROR(__xludf.DUMMYFUNCTION("""COMPUTED_VALUE"""),"5060128533168")</f>
        <v>5060128533168</v>
      </c>
      <c r="C1580" t="str">
        <f>IFERROR(__xludf.DUMMYFUNCTION("""COMPUTED_VALUE"""),"Westfalia/Witter")</f>
        <v>Westfalia/Witter</v>
      </c>
    </row>
    <row r="1581">
      <c r="A1581" t="str">
        <f>IFERROR(__xludf.DUMMYFUNCTION("""COMPUTED_VALUE"""),"FT58A")</f>
        <v>FT58A</v>
      </c>
      <c r="B1581" s="226" t="str">
        <f>IFERROR(__xludf.DUMMYFUNCTION("""COMPUTED_VALUE"""),"5060128533175")</f>
        <v>5060128533175</v>
      </c>
      <c r="C1581" t="str">
        <f>IFERROR(__xludf.DUMMYFUNCTION("""COMPUTED_VALUE"""),"Westfalia/Witter")</f>
        <v>Westfalia/Witter</v>
      </c>
    </row>
    <row r="1582">
      <c r="A1582" t="str">
        <f>IFERROR(__xludf.DUMMYFUNCTION("""COMPUTED_VALUE"""),"FT59A")</f>
        <v>FT59A</v>
      </c>
      <c r="B1582" s="226" t="str">
        <f>IFERROR(__xludf.DUMMYFUNCTION("""COMPUTED_VALUE"""),"5060128533182")</f>
        <v>5060128533182</v>
      </c>
      <c r="C1582" t="str">
        <f>IFERROR(__xludf.DUMMYFUNCTION("""COMPUTED_VALUE"""),"Westfalia/Witter")</f>
        <v>Westfalia/Witter</v>
      </c>
    </row>
    <row r="1583">
      <c r="A1583" t="str">
        <f>IFERROR(__xludf.DUMMYFUNCTION("""COMPUTED_VALUE"""),"FT61B")</f>
        <v>FT61B</v>
      </c>
      <c r="B1583" s="226" t="str">
        <f>IFERROR(__xludf.DUMMYFUNCTION("""COMPUTED_VALUE"""),"5060128533199")</f>
        <v>5060128533199</v>
      </c>
      <c r="C1583" t="str">
        <f>IFERROR(__xludf.DUMMYFUNCTION("""COMPUTED_VALUE"""),"Westfalia/Witter")</f>
        <v>Westfalia/Witter</v>
      </c>
    </row>
    <row r="1584">
      <c r="A1584" t="str">
        <f>IFERROR(__xludf.DUMMYFUNCTION("""COMPUTED_VALUE"""),"FT63A")</f>
        <v>FT63A</v>
      </c>
      <c r="B1584" s="226" t="str">
        <f>IFERROR(__xludf.DUMMYFUNCTION("""COMPUTED_VALUE"""),"5060128533205")</f>
        <v>5060128533205</v>
      </c>
      <c r="C1584" t="str">
        <f>IFERROR(__xludf.DUMMYFUNCTION("""COMPUTED_VALUE"""),"Westfalia/Witter")</f>
        <v>Westfalia/Witter</v>
      </c>
    </row>
    <row r="1585">
      <c r="A1585" t="str">
        <f>IFERROR(__xludf.DUMMYFUNCTION("""COMPUTED_VALUE"""),"FT68B")</f>
        <v>FT68B</v>
      </c>
      <c r="B1585" s="226" t="str">
        <f>IFERROR(__xludf.DUMMYFUNCTION("""COMPUTED_VALUE"""),"5060128533212")</f>
        <v>5060128533212</v>
      </c>
      <c r="C1585" t="str">
        <f>IFERROR(__xludf.DUMMYFUNCTION("""COMPUTED_VALUE"""),"Westfalia/Witter")</f>
        <v>Westfalia/Witter</v>
      </c>
    </row>
    <row r="1586">
      <c r="A1586" t="str">
        <f>IFERROR(__xludf.DUMMYFUNCTION("""COMPUTED_VALUE"""),"FT72A")</f>
        <v>FT72A</v>
      </c>
      <c r="B1586" s="226" t="str">
        <f>IFERROR(__xludf.DUMMYFUNCTION("""COMPUTED_VALUE"""),"5060128533229")</f>
        <v>5060128533229</v>
      </c>
      <c r="C1586" t="str">
        <f>IFERROR(__xludf.DUMMYFUNCTION("""COMPUTED_VALUE"""),"Westfalia/Witter")</f>
        <v>Westfalia/Witter</v>
      </c>
    </row>
    <row r="1587">
      <c r="A1587" t="str">
        <f>IFERROR(__xludf.DUMMYFUNCTION("""COMPUTED_VALUE"""),"FT73")</f>
        <v>FT73</v>
      </c>
      <c r="B1587" s="226" t="str">
        <f>IFERROR(__xludf.DUMMYFUNCTION("""COMPUTED_VALUE"""),"5060128533236")</f>
        <v>5060128533236</v>
      </c>
      <c r="C1587" t="str">
        <f>IFERROR(__xludf.DUMMYFUNCTION("""COMPUTED_VALUE"""),"Westfalia/Witter")</f>
        <v>Westfalia/Witter</v>
      </c>
    </row>
    <row r="1588">
      <c r="A1588" t="str">
        <f>IFERROR(__xludf.DUMMYFUNCTION("""COMPUTED_VALUE"""),"FT73Q")</f>
        <v>FT73Q</v>
      </c>
      <c r="B1588" s="226" t="str">
        <f>IFERROR(__xludf.DUMMYFUNCTION("""COMPUTED_VALUE"""),"5060128533243")</f>
        <v>5060128533243</v>
      </c>
      <c r="C1588" t="str">
        <f>IFERROR(__xludf.DUMMYFUNCTION("""COMPUTED_VALUE"""),"Westfalia/Witter")</f>
        <v>Westfalia/Witter</v>
      </c>
    </row>
    <row r="1589">
      <c r="A1589" t="str">
        <f>IFERROR(__xludf.DUMMYFUNCTION("""COMPUTED_VALUE"""),"FT73S")</f>
        <v>FT73S</v>
      </c>
      <c r="B1589" s="226" t="str">
        <f>IFERROR(__xludf.DUMMYFUNCTION("""COMPUTED_VALUE"""),"5060128533250")</f>
        <v>5060128533250</v>
      </c>
      <c r="C1589" t="str">
        <f>IFERROR(__xludf.DUMMYFUNCTION("""COMPUTED_VALUE"""),"Westfalia/Witter")</f>
        <v>Westfalia/Witter</v>
      </c>
    </row>
    <row r="1590">
      <c r="A1590" t="str">
        <f>IFERROR(__xludf.DUMMYFUNCTION("""COMPUTED_VALUE"""),"FT74A")</f>
        <v>FT74A</v>
      </c>
      <c r="B1590" s="226" t="str">
        <f>IFERROR(__xludf.DUMMYFUNCTION("""COMPUTED_VALUE"""),"5060128533274")</f>
        <v>5060128533274</v>
      </c>
      <c r="C1590" t="str">
        <f>IFERROR(__xludf.DUMMYFUNCTION("""COMPUTED_VALUE"""),"Westfalia/Witter")</f>
        <v>Westfalia/Witter</v>
      </c>
    </row>
    <row r="1591">
      <c r="A1591" t="str">
        <f>IFERROR(__xludf.DUMMYFUNCTION("""COMPUTED_VALUE"""),"FT74AQ")</f>
        <v>FT74AQ</v>
      </c>
      <c r="B1591" s="226" t="str">
        <f>IFERROR(__xludf.DUMMYFUNCTION("""COMPUTED_VALUE"""),"5060128533281")</f>
        <v>5060128533281</v>
      </c>
      <c r="C1591" t="str">
        <f>IFERROR(__xludf.DUMMYFUNCTION("""COMPUTED_VALUE"""),"Westfalia/Witter")</f>
        <v>Westfalia/Witter</v>
      </c>
    </row>
    <row r="1592">
      <c r="A1592" t="str">
        <f>IFERROR(__xludf.DUMMYFUNCTION("""COMPUTED_VALUE"""),"FT74AQ")</f>
        <v>FT74AQ</v>
      </c>
      <c r="B1592" s="226" t="str">
        <f>IFERROR(__xludf.DUMMYFUNCTION("""COMPUTED_VALUE"""),"5060128533281")</f>
        <v>5060128533281</v>
      </c>
      <c r="C1592" t="str">
        <f>IFERROR(__xludf.DUMMYFUNCTION("""COMPUTED_VALUE"""),"Westfalia/Witter")</f>
        <v>Westfalia/Witter</v>
      </c>
    </row>
    <row r="1593">
      <c r="A1593" t="str">
        <f>IFERROR(__xludf.DUMMYFUNCTION("""COMPUTED_VALUE"""),"FT74AS")</f>
        <v>FT74AS</v>
      </c>
      <c r="B1593" s="226" t="str">
        <f>IFERROR(__xludf.DUMMYFUNCTION("""COMPUTED_VALUE"""),"5060128533298")</f>
        <v>5060128533298</v>
      </c>
      <c r="C1593" t="str">
        <f>IFERROR(__xludf.DUMMYFUNCTION("""COMPUTED_VALUE"""),"Westfalia/Witter")</f>
        <v>Westfalia/Witter</v>
      </c>
    </row>
    <row r="1594">
      <c r="A1594" t="str">
        <f>IFERROR(__xludf.DUMMYFUNCTION("""COMPUTED_VALUE"""),"FT74AS")</f>
        <v>FT74AS</v>
      </c>
      <c r="B1594" s="226" t="str">
        <f>IFERROR(__xludf.DUMMYFUNCTION("""COMPUTED_VALUE"""),"5060128533298")</f>
        <v>5060128533298</v>
      </c>
      <c r="C1594" t="str">
        <f>IFERROR(__xludf.DUMMYFUNCTION("""COMPUTED_VALUE"""),"Westfalia/Witter")</f>
        <v>Westfalia/Witter</v>
      </c>
    </row>
    <row r="1595">
      <c r="A1595" t="str">
        <f>IFERROR(__xludf.DUMMYFUNCTION("""COMPUTED_VALUE"""),"FT77")</f>
        <v>FT77</v>
      </c>
      <c r="B1595" s="226" t="str">
        <f>IFERROR(__xludf.DUMMYFUNCTION("""COMPUTED_VALUE"""),"5060128533304")</f>
        <v>5060128533304</v>
      </c>
      <c r="C1595" t="str">
        <f>IFERROR(__xludf.DUMMYFUNCTION("""COMPUTED_VALUE"""),"Westfalia/Witter")</f>
        <v>Westfalia/Witter</v>
      </c>
    </row>
    <row r="1596">
      <c r="A1596" t="str">
        <f>IFERROR(__xludf.DUMMYFUNCTION("""COMPUTED_VALUE"""),"FT78")</f>
        <v>FT78</v>
      </c>
      <c r="B1596" s="226" t="str">
        <f>IFERROR(__xludf.DUMMYFUNCTION("""COMPUTED_VALUE"""),"5060128533311")</f>
        <v>5060128533311</v>
      </c>
      <c r="C1596" t="str">
        <f>IFERROR(__xludf.DUMMYFUNCTION("""COMPUTED_VALUE"""),"Westfalia/Witter")</f>
        <v>Westfalia/Witter</v>
      </c>
    </row>
    <row r="1597">
      <c r="A1597" t="str">
        <f>IFERROR(__xludf.DUMMYFUNCTION("""COMPUTED_VALUE"""),"FT78Q")</f>
        <v>FT78Q</v>
      </c>
      <c r="B1597" s="226" t="str">
        <f>IFERROR(__xludf.DUMMYFUNCTION("""COMPUTED_VALUE"""),"5060128533328")</f>
        <v>5060128533328</v>
      </c>
      <c r="C1597" t="str">
        <f>IFERROR(__xludf.DUMMYFUNCTION("""COMPUTED_VALUE"""),"Westfalia/Witter")</f>
        <v>Westfalia/Witter</v>
      </c>
    </row>
    <row r="1598">
      <c r="A1598" t="str">
        <f>IFERROR(__xludf.DUMMYFUNCTION("""COMPUTED_VALUE"""),"FT78S")</f>
        <v>FT78S</v>
      </c>
      <c r="B1598" s="226" t="str">
        <f>IFERROR(__xludf.DUMMYFUNCTION("""COMPUTED_VALUE"""),"5060128533335")</f>
        <v>5060128533335</v>
      </c>
      <c r="C1598" t="str">
        <f>IFERROR(__xludf.DUMMYFUNCTION("""COMPUTED_VALUE"""),"Westfalia/Witter")</f>
        <v>Westfalia/Witter</v>
      </c>
    </row>
    <row r="1599">
      <c r="A1599" t="str">
        <f>IFERROR(__xludf.DUMMYFUNCTION("""COMPUTED_VALUE"""),"FT79")</f>
        <v>FT79</v>
      </c>
      <c r="B1599" s="226" t="str">
        <f>IFERROR(__xludf.DUMMYFUNCTION("""COMPUTED_VALUE"""),"5060128533342")</f>
        <v>5060128533342</v>
      </c>
      <c r="C1599" t="str">
        <f>IFERROR(__xludf.DUMMYFUNCTION("""COMPUTED_VALUE"""),"Westfalia/Witter")</f>
        <v>Westfalia/Witter</v>
      </c>
    </row>
    <row r="1600">
      <c r="A1600" t="str">
        <f>IFERROR(__xludf.DUMMYFUNCTION("""COMPUTED_VALUE"""),"FT79Q")</f>
        <v>FT79Q</v>
      </c>
      <c r="B1600" s="226" t="str">
        <f>IFERROR(__xludf.DUMMYFUNCTION("""COMPUTED_VALUE"""),"5060128533359")</f>
        <v>5060128533359</v>
      </c>
      <c r="C1600" t="str">
        <f>IFERROR(__xludf.DUMMYFUNCTION("""COMPUTED_VALUE"""),"Westfalia/Witter")</f>
        <v>Westfalia/Witter</v>
      </c>
    </row>
    <row r="1601">
      <c r="A1601" t="str">
        <f>IFERROR(__xludf.DUMMYFUNCTION("""COMPUTED_VALUE"""),"FT79Q")</f>
        <v>FT79Q</v>
      </c>
      <c r="B1601" s="226" t="str">
        <f>IFERROR(__xludf.DUMMYFUNCTION("""COMPUTED_VALUE"""),"5060128533359")</f>
        <v>5060128533359</v>
      </c>
      <c r="C1601" t="str">
        <f>IFERROR(__xludf.DUMMYFUNCTION("""COMPUTED_VALUE"""),"Westfalia/Witter")</f>
        <v>Westfalia/Witter</v>
      </c>
    </row>
    <row r="1602">
      <c r="A1602" t="str">
        <f>IFERROR(__xludf.DUMMYFUNCTION("""COMPUTED_VALUE"""),"FT79S")</f>
        <v>FT79S</v>
      </c>
      <c r="B1602" s="226" t="str">
        <f>IFERROR(__xludf.DUMMYFUNCTION("""COMPUTED_VALUE"""),"5060128533366")</f>
        <v>5060128533366</v>
      </c>
      <c r="C1602" t="str">
        <f>IFERROR(__xludf.DUMMYFUNCTION("""COMPUTED_VALUE"""),"Westfalia/Witter")</f>
        <v>Westfalia/Witter</v>
      </c>
    </row>
    <row r="1603">
      <c r="A1603" t="str">
        <f>IFERROR(__xludf.DUMMYFUNCTION("""COMPUTED_VALUE"""),"FT79S")</f>
        <v>FT79S</v>
      </c>
      <c r="B1603" s="226" t="str">
        <f>IFERROR(__xludf.DUMMYFUNCTION("""COMPUTED_VALUE"""),"5060128533366")</f>
        <v>5060128533366</v>
      </c>
      <c r="C1603" t="str">
        <f>IFERROR(__xludf.DUMMYFUNCTION("""COMPUTED_VALUE"""),"Westfalia/Witter")</f>
        <v>Westfalia/Witter</v>
      </c>
    </row>
    <row r="1604">
      <c r="A1604" t="str">
        <f>IFERROR(__xludf.DUMMYFUNCTION("""COMPUTED_VALUE"""),"FT80")</f>
        <v>FT80</v>
      </c>
      <c r="B1604" s="226" t="str">
        <f>IFERROR(__xludf.DUMMYFUNCTION("""COMPUTED_VALUE"""),"5060128533373")</f>
        <v>5060128533373</v>
      </c>
      <c r="C1604" t="str">
        <f>IFERROR(__xludf.DUMMYFUNCTION("""COMPUTED_VALUE"""),"Westfalia/Witter")</f>
        <v>Westfalia/Witter</v>
      </c>
    </row>
    <row r="1605">
      <c r="A1605" t="str">
        <f>IFERROR(__xludf.DUMMYFUNCTION("""COMPUTED_VALUE"""),"FT80Q")</f>
        <v>FT80Q</v>
      </c>
      <c r="B1605" s="226" t="str">
        <f>IFERROR(__xludf.DUMMYFUNCTION("""COMPUTED_VALUE"""),"5060128533380")</f>
        <v>5060128533380</v>
      </c>
      <c r="C1605" t="str">
        <f>IFERROR(__xludf.DUMMYFUNCTION("""COMPUTED_VALUE"""),"Westfalia/Witter")</f>
        <v>Westfalia/Witter</v>
      </c>
    </row>
    <row r="1606">
      <c r="A1606" t="str">
        <f>IFERROR(__xludf.DUMMYFUNCTION("""COMPUTED_VALUE"""),"FT80S")</f>
        <v>FT80S</v>
      </c>
      <c r="B1606" s="226" t="str">
        <f>IFERROR(__xludf.DUMMYFUNCTION("""COMPUTED_VALUE"""),"5060128533397")</f>
        <v>5060128533397</v>
      </c>
      <c r="C1606" t="str">
        <f>IFERROR(__xludf.DUMMYFUNCTION("""COMPUTED_VALUE"""),"Westfalia/Witter")</f>
        <v>Westfalia/Witter</v>
      </c>
    </row>
    <row r="1607">
      <c r="A1607" t="str">
        <f>IFERROR(__xludf.DUMMYFUNCTION("""COMPUTED_VALUE"""),"G101A")</f>
        <v>G101A</v>
      </c>
      <c r="B1607" s="226" t="str">
        <f>IFERROR(__xludf.DUMMYFUNCTION("""COMPUTED_VALUE"""),"5060128533403")</f>
        <v>5060128533403</v>
      </c>
      <c r="C1607" t="str">
        <f>IFERROR(__xludf.DUMMYFUNCTION("""COMPUTED_VALUE"""),"Westfalia/Witter")</f>
        <v>Westfalia/Witter</v>
      </c>
    </row>
    <row r="1608">
      <c r="A1608" t="str">
        <f>IFERROR(__xludf.DUMMYFUNCTION("""COMPUTED_VALUE"""),"G103A")</f>
        <v>G103A</v>
      </c>
      <c r="B1608" s="226" t="str">
        <f>IFERROR(__xludf.DUMMYFUNCTION("""COMPUTED_VALUE"""),"5060128533410")</f>
        <v>5060128533410</v>
      </c>
      <c r="C1608" t="str">
        <f>IFERROR(__xludf.DUMMYFUNCTION("""COMPUTED_VALUE"""),"Westfalia/Witter")</f>
        <v>Westfalia/Witter</v>
      </c>
    </row>
    <row r="1609">
      <c r="A1609" t="str">
        <f>IFERROR(__xludf.DUMMYFUNCTION("""COMPUTED_VALUE"""),"G104A")</f>
        <v>G104A</v>
      </c>
      <c r="B1609" s="226" t="str">
        <f>IFERROR(__xludf.DUMMYFUNCTION("""COMPUTED_VALUE"""),"5060128533427")</f>
        <v>5060128533427</v>
      </c>
      <c r="C1609" t="str">
        <f>IFERROR(__xludf.DUMMYFUNCTION("""COMPUTED_VALUE"""),"Westfalia/Witter")</f>
        <v>Westfalia/Witter</v>
      </c>
    </row>
    <row r="1610">
      <c r="A1610" t="str">
        <f>IFERROR(__xludf.DUMMYFUNCTION("""COMPUTED_VALUE"""),"G104AQ")</f>
        <v>G104AQ</v>
      </c>
      <c r="B1610" s="226" t="str">
        <f>IFERROR(__xludf.DUMMYFUNCTION("""COMPUTED_VALUE"""),"5060128533434")</f>
        <v>5060128533434</v>
      </c>
      <c r="C1610" t="str">
        <f>IFERROR(__xludf.DUMMYFUNCTION("""COMPUTED_VALUE"""),"Westfalia/Witter")</f>
        <v>Westfalia/Witter</v>
      </c>
    </row>
    <row r="1611">
      <c r="A1611" t="str">
        <f>IFERROR(__xludf.DUMMYFUNCTION("""COMPUTED_VALUE"""),"G104AS")</f>
        <v>G104AS</v>
      </c>
      <c r="B1611" s="226" t="str">
        <f>IFERROR(__xludf.DUMMYFUNCTION("""COMPUTED_VALUE"""),"5060128533458")</f>
        <v>5060128533458</v>
      </c>
      <c r="C1611" t="str">
        <f>IFERROR(__xludf.DUMMYFUNCTION("""COMPUTED_VALUE"""),"Westfalia/Witter")</f>
        <v>Westfalia/Witter</v>
      </c>
    </row>
    <row r="1612">
      <c r="A1612" t="str">
        <f>IFERROR(__xludf.DUMMYFUNCTION("""COMPUTED_VALUE"""),"G107")</f>
        <v>G107</v>
      </c>
      <c r="B1612" s="226" t="str">
        <f>IFERROR(__xludf.DUMMYFUNCTION("""COMPUTED_VALUE"""),"5060128533465")</f>
        <v>5060128533465</v>
      </c>
      <c r="C1612" t="str">
        <f>IFERROR(__xludf.DUMMYFUNCTION("""COMPUTED_VALUE"""),"Westfalia/Witter")</f>
        <v>Westfalia/Witter</v>
      </c>
    </row>
    <row r="1613">
      <c r="A1613" t="str">
        <f>IFERROR(__xludf.DUMMYFUNCTION("""COMPUTED_VALUE"""),"G107Q")</f>
        <v>G107Q</v>
      </c>
      <c r="B1613" s="226" t="str">
        <f>IFERROR(__xludf.DUMMYFUNCTION("""COMPUTED_VALUE"""),"5060128533472")</f>
        <v>5060128533472</v>
      </c>
      <c r="C1613" t="str">
        <f>IFERROR(__xludf.DUMMYFUNCTION("""COMPUTED_VALUE"""),"Westfalia/Witter")</f>
        <v>Westfalia/Witter</v>
      </c>
    </row>
    <row r="1614">
      <c r="A1614" t="str">
        <f>IFERROR(__xludf.DUMMYFUNCTION("""COMPUTED_VALUE"""),"G107S")</f>
        <v>G107S</v>
      </c>
      <c r="B1614" s="226" t="str">
        <f>IFERROR(__xludf.DUMMYFUNCTION("""COMPUTED_VALUE"""),"5060128533489")</f>
        <v>5060128533489</v>
      </c>
      <c r="C1614" t="str">
        <f>IFERROR(__xludf.DUMMYFUNCTION("""COMPUTED_VALUE"""),"Westfalia/Witter")</f>
        <v>Westfalia/Witter</v>
      </c>
    </row>
    <row r="1615">
      <c r="A1615" t="str">
        <f>IFERROR(__xludf.DUMMYFUNCTION("""COMPUTED_VALUE"""),"G108Q")</f>
        <v>G108Q</v>
      </c>
      <c r="B1615" s="226" t="str">
        <f>IFERROR(__xludf.DUMMYFUNCTION("""COMPUTED_VALUE"""),"5060128533502")</f>
        <v>5060128533502</v>
      </c>
      <c r="C1615" t="str">
        <f>IFERROR(__xludf.DUMMYFUNCTION("""COMPUTED_VALUE"""),"Westfalia/Witter")</f>
        <v>Westfalia/Witter</v>
      </c>
    </row>
    <row r="1616">
      <c r="A1616" t="str">
        <f>IFERROR(__xludf.DUMMYFUNCTION("""COMPUTED_VALUE"""),"G108Q")</f>
        <v>G108Q</v>
      </c>
      <c r="B1616" s="226" t="str">
        <f>IFERROR(__xludf.DUMMYFUNCTION("""COMPUTED_VALUE"""),"5060128533502")</f>
        <v>5060128533502</v>
      </c>
      <c r="C1616" t="str">
        <f>IFERROR(__xludf.DUMMYFUNCTION("""COMPUTED_VALUE"""),"Westfalia/Witter")</f>
        <v>Westfalia/Witter</v>
      </c>
    </row>
    <row r="1617">
      <c r="A1617" t="str">
        <f>IFERROR(__xludf.DUMMYFUNCTION("""COMPUTED_VALUE"""),"G108S")</f>
        <v>G108S</v>
      </c>
      <c r="B1617" s="226" t="str">
        <f>IFERROR(__xludf.DUMMYFUNCTION("""COMPUTED_VALUE"""),"5060128533519")</f>
        <v>5060128533519</v>
      </c>
      <c r="C1617" t="str">
        <f>IFERROR(__xludf.DUMMYFUNCTION("""COMPUTED_VALUE"""),"Westfalia/Witter")</f>
        <v>Westfalia/Witter</v>
      </c>
    </row>
    <row r="1618">
      <c r="A1618" t="str">
        <f>IFERROR(__xludf.DUMMYFUNCTION("""COMPUTED_VALUE"""),"G110")</f>
        <v>G110</v>
      </c>
      <c r="B1618" s="226" t="str">
        <f>IFERROR(__xludf.DUMMYFUNCTION("""COMPUTED_VALUE"""),"5060128533526")</f>
        <v>5060128533526</v>
      </c>
      <c r="C1618" t="str">
        <f>IFERROR(__xludf.DUMMYFUNCTION("""COMPUTED_VALUE"""),"Westfalia/Witter")</f>
        <v>Westfalia/Witter</v>
      </c>
    </row>
    <row r="1619">
      <c r="A1619" t="str">
        <f>IFERROR(__xludf.DUMMYFUNCTION("""COMPUTED_VALUE"""),"G110Q")</f>
        <v>G110Q</v>
      </c>
      <c r="B1619" s="226" t="str">
        <f>IFERROR(__xludf.DUMMYFUNCTION("""COMPUTED_VALUE"""),"5060128533533")</f>
        <v>5060128533533</v>
      </c>
      <c r="C1619" t="str">
        <f>IFERROR(__xludf.DUMMYFUNCTION("""COMPUTED_VALUE"""),"Westfalia/Witter")</f>
        <v>Westfalia/Witter</v>
      </c>
    </row>
    <row r="1620">
      <c r="A1620" t="str">
        <f>IFERROR(__xludf.DUMMYFUNCTION("""COMPUTED_VALUE"""),"G110S")</f>
        <v>G110S</v>
      </c>
      <c r="B1620" s="226" t="str">
        <f>IFERROR(__xludf.DUMMYFUNCTION("""COMPUTED_VALUE"""),"5060128533540")</f>
        <v>5060128533540</v>
      </c>
      <c r="C1620" t="str">
        <f>IFERROR(__xludf.DUMMYFUNCTION("""COMPUTED_VALUE"""),"Westfalia/Witter")</f>
        <v>Westfalia/Witter</v>
      </c>
    </row>
    <row r="1621">
      <c r="A1621" t="str">
        <f>IFERROR(__xludf.DUMMYFUNCTION("""COMPUTED_VALUE"""),"G111")</f>
        <v>G111</v>
      </c>
      <c r="B1621" s="226" t="str">
        <f>IFERROR(__xludf.DUMMYFUNCTION("""COMPUTED_VALUE"""),"5060128533557")</f>
        <v>5060128533557</v>
      </c>
      <c r="C1621" t="str">
        <f>IFERROR(__xludf.DUMMYFUNCTION("""COMPUTED_VALUE"""),"Westfalia/Witter")</f>
        <v>Westfalia/Witter</v>
      </c>
    </row>
    <row r="1622">
      <c r="A1622" t="str">
        <f>IFERROR(__xludf.DUMMYFUNCTION("""COMPUTED_VALUE"""),"G111Q")</f>
        <v>G111Q</v>
      </c>
      <c r="B1622" s="226" t="str">
        <f>IFERROR(__xludf.DUMMYFUNCTION("""COMPUTED_VALUE"""),"5060128533564")</f>
        <v>5060128533564</v>
      </c>
      <c r="C1622" t="str">
        <f>IFERROR(__xludf.DUMMYFUNCTION("""COMPUTED_VALUE"""),"Westfalia/Witter")</f>
        <v>Westfalia/Witter</v>
      </c>
    </row>
    <row r="1623">
      <c r="A1623" t="str">
        <f>IFERROR(__xludf.DUMMYFUNCTION("""COMPUTED_VALUE"""),"G111S")</f>
        <v>G111S</v>
      </c>
      <c r="B1623" s="226" t="str">
        <f>IFERROR(__xludf.DUMMYFUNCTION("""COMPUTED_VALUE"""),"5060128533571")</f>
        <v>5060128533571</v>
      </c>
      <c r="C1623" t="str">
        <f>IFERROR(__xludf.DUMMYFUNCTION("""COMPUTED_VALUE"""),"Westfalia/Witter")</f>
        <v>Westfalia/Witter</v>
      </c>
    </row>
    <row r="1624">
      <c r="A1624" t="str">
        <f>IFERROR(__xludf.DUMMYFUNCTION("""COMPUTED_VALUE"""),"G113")</f>
        <v>G113</v>
      </c>
      <c r="B1624" s="226" t="str">
        <f>IFERROR(__xludf.DUMMYFUNCTION("""COMPUTED_VALUE"""),"5060128533588")</f>
        <v>5060128533588</v>
      </c>
      <c r="C1624" t="str">
        <f>IFERROR(__xludf.DUMMYFUNCTION("""COMPUTED_VALUE"""),"Westfalia/Witter")</f>
        <v>Westfalia/Witter</v>
      </c>
    </row>
    <row r="1625">
      <c r="A1625" t="str">
        <f>IFERROR(__xludf.DUMMYFUNCTION("""COMPUTED_VALUE"""),"G114S")</f>
        <v>G114S</v>
      </c>
      <c r="B1625" s="226" t="str">
        <f>IFERROR(__xludf.DUMMYFUNCTION("""COMPUTED_VALUE"""),"5060128533595")</f>
        <v>5060128533595</v>
      </c>
      <c r="C1625" t="str">
        <f>IFERROR(__xludf.DUMMYFUNCTION("""COMPUTED_VALUE"""),"Westfalia/Witter")</f>
        <v>Westfalia/Witter</v>
      </c>
    </row>
    <row r="1626">
      <c r="A1626" t="str">
        <f>IFERROR(__xludf.DUMMYFUNCTION("""COMPUTED_VALUE"""),"G114S")</f>
        <v>G114S</v>
      </c>
      <c r="B1626" s="226" t="str">
        <f>IFERROR(__xludf.DUMMYFUNCTION("""COMPUTED_VALUE"""),"5060128533595")</f>
        <v>5060128533595</v>
      </c>
      <c r="C1626" t="str">
        <f>IFERROR(__xludf.DUMMYFUNCTION("""COMPUTED_VALUE"""),"Westfalia/Witter")</f>
        <v>Westfalia/Witter</v>
      </c>
    </row>
    <row r="1627">
      <c r="A1627" t="str">
        <f>IFERROR(__xludf.DUMMYFUNCTION("""COMPUTED_VALUE"""),"G115")</f>
        <v>G115</v>
      </c>
      <c r="B1627" s="226" t="str">
        <f>IFERROR(__xludf.DUMMYFUNCTION("""COMPUTED_VALUE"""),"5060128533601")</f>
        <v>5060128533601</v>
      </c>
      <c r="C1627" t="str">
        <f>IFERROR(__xludf.DUMMYFUNCTION("""COMPUTED_VALUE"""),"Westfalia/Witter")</f>
        <v>Westfalia/Witter</v>
      </c>
    </row>
    <row r="1628">
      <c r="A1628" t="str">
        <f>IFERROR(__xludf.DUMMYFUNCTION("""COMPUTED_VALUE"""),"G116Q")</f>
        <v>G116Q</v>
      </c>
      <c r="B1628" s="226" t="str">
        <f>IFERROR(__xludf.DUMMYFUNCTION("""COMPUTED_VALUE"""),"5060128533618")</f>
        <v>5060128533618</v>
      </c>
      <c r="C1628" t="str">
        <f>IFERROR(__xludf.DUMMYFUNCTION("""COMPUTED_VALUE"""),"Westfalia/Witter")</f>
        <v>Westfalia/Witter</v>
      </c>
    </row>
    <row r="1629">
      <c r="A1629" t="str">
        <f>IFERROR(__xludf.DUMMYFUNCTION("""COMPUTED_VALUE"""),"G116S")</f>
        <v>G116S</v>
      </c>
      <c r="B1629" s="226" t="str">
        <f>IFERROR(__xludf.DUMMYFUNCTION("""COMPUTED_VALUE"""),"5060128533625")</f>
        <v>5060128533625</v>
      </c>
      <c r="C1629" t="str">
        <f>IFERROR(__xludf.DUMMYFUNCTION("""COMPUTED_VALUE"""),"Westfalia/Witter")</f>
        <v>Westfalia/Witter</v>
      </c>
    </row>
    <row r="1630">
      <c r="A1630" t="str">
        <f>IFERROR(__xludf.DUMMYFUNCTION("""COMPUTED_VALUE"""),"G117")</f>
        <v>G117</v>
      </c>
      <c r="B1630" s="226" t="str">
        <f>IFERROR(__xludf.DUMMYFUNCTION("""COMPUTED_VALUE"""),"5060128533632")</f>
        <v>5060128533632</v>
      </c>
      <c r="C1630" t="str">
        <f>IFERROR(__xludf.DUMMYFUNCTION("""COMPUTED_VALUE"""),"Westfalia/Witter")</f>
        <v>Westfalia/Witter</v>
      </c>
    </row>
    <row r="1631">
      <c r="A1631" t="str">
        <f>IFERROR(__xludf.DUMMYFUNCTION("""COMPUTED_VALUE"""),"G118S")</f>
        <v>G118S</v>
      </c>
      <c r="B1631" s="226" t="str">
        <f>IFERROR(__xludf.DUMMYFUNCTION("""COMPUTED_VALUE"""),"5060128533649")</f>
        <v>5060128533649</v>
      </c>
      <c r="C1631" t="str">
        <f>IFERROR(__xludf.DUMMYFUNCTION("""COMPUTED_VALUE"""),"Westfalia/Witter")</f>
        <v>Westfalia/Witter</v>
      </c>
    </row>
    <row r="1632">
      <c r="A1632" t="str">
        <f>IFERROR(__xludf.DUMMYFUNCTION("""COMPUTED_VALUE"""),"G120")</f>
        <v>G120</v>
      </c>
      <c r="B1632" s="226" t="str">
        <f>IFERROR(__xludf.DUMMYFUNCTION("""COMPUTED_VALUE"""),"5060128533656")</f>
        <v>5060128533656</v>
      </c>
      <c r="C1632" t="str">
        <f>IFERROR(__xludf.DUMMYFUNCTION("""COMPUTED_VALUE"""),"Westfalia/Witter")</f>
        <v>Westfalia/Witter</v>
      </c>
    </row>
    <row r="1633">
      <c r="A1633" t="str">
        <f>IFERROR(__xludf.DUMMYFUNCTION("""COMPUTED_VALUE"""),"G120Q")</f>
        <v>G120Q</v>
      </c>
      <c r="B1633" s="226" t="str">
        <f>IFERROR(__xludf.DUMMYFUNCTION("""COMPUTED_VALUE"""),"5060128533663")</f>
        <v>5060128533663</v>
      </c>
      <c r="C1633" t="str">
        <f>IFERROR(__xludf.DUMMYFUNCTION("""COMPUTED_VALUE"""),"Westfalia/Witter")</f>
        <v>Westfalia/Witter</v>
      </c>
    </row>
    <row r="1634">
      <c r="A1634" t="str">
        <f>IFERROR(__xludf.DUMMYFUNCTION("""COMPUTED_VALUE"""),"G120Q")</f>
        <v>G120Q</v>
      </c>
      <c r="B1634" s="226" t="str">
        <f>IFERROR(__xludf.DUMMYFUNCTION("""COMPUTED_VALUE"""),"5060128533663")</f>
        <v>5060128533663</v>
      </c>
      <c r="C1634" t="str">
        <f>IFERROR(__xludf.DUMMYFUNCTION("""COMPUTED_VALUE"""),"Westfalia/Witter")</f>
        <v>Westfalia/Witter</v>
      </c>
    </row>
    <row r="1635">
      <c r="A1635" t="str">
        <f>IFERROR(__xludf.DUMMYFUNCTION("""COMPUTED_VALUE"""),"G120S")</f>
        <v>G120S</v>
      </c>
      <c r="B1635" s="226" t="str">
        <f>IFERROR(__xludf.DUMMYFUNCTION("""COMPUTED_VALUE"""),"5060128533687")</f>
        <v>5060128533687</v>
      </c>
      <c r="C1635" t="str">
        <f>IFERROR(__xludf.DUMMYFUNCTION("""COMPUTED_VALUE"""),"Westfalia/Witter")</f>
        <v>Westfalia/Witter</v>
      </c>
    </row>
    <row r="1636">
      <c r="A1636" t="str">
        <f>IFERROR(__xludf.DUMMYFUNCTION("""COMPUTED_VALUE"""),"G120S")</f>
        <v>G120S</v>
      </c>
      <c r="B1636" s="226" t="str">
        <f>IFERROR(__xludf.DUMMYFUNCTION("""COMPUTED_VALUE"""),"5060128533687")</f>
        <v>5060128533687</v>
      </c>
      <c r="C1636" t="str">
        <f>IFERROR(__xludf.DUMMYFUNCTION("""COMPUTED_VALUE"""),"Westfalia/Witter")</f>
        <v>Westfalia/Witter</v>
      </c>
    </row>
    <row r="1637">
      <c r="A1637" t="str">
        <f>IFERROR(__xludf.DUMMYFUNCTION("""COMPUTED_VALUE"""),"G121")</f>
        <v>G121</v>
      </c>
      <c r="B1637" s="226" t="str">
        <f>IFERROR(__xludf.DUMMYFUNCTION("""COMPUTED_VALUE"""),"5060128533694")</f>
        <v>5060128533694</v>
      </c>
      <c r="C1637" t="str">
        <f>IFERROR(__xludf.DUMMYFUNCTION("""COMPUTED_VALUE"""),"Westfalia/Witter")</f>
        <v>Westfalia/Witter</v>
      </c>
    </row>
    <row r="1638">
      <c r="A1638" t="str">
        <f>IFERROR(__xludf.DUMMYFUNCTION("""COMPUTED_VALUE"""),"G121Q")</f>
        <v>G121Q</v>
      </c>
      <c r="B1638" s="226" t="str">
        <f>IFERROR(__xludf.DUMMYFUNCTION("""COMPUTED_VALUE"""),"5060128533700")</f>
        <v>5060128533700</v>
      </c>
      <c r="C1638" t="str">
        <f>IFERROR(__xludf.DUMMYFUNCTION("""COMPUTED_VALUE"""),"Westfalia/Witter")</f>
        <v>Westfalia/Witter</v>
      </c>
    </row>
    <row r="1639">
      <c r="A1639" t="str">
        <f>IFERROR(__xludf.DUMMYFUNCTION("""COMPUTED_VALUE"""),"G122")</f>
        <v>G122</v>
      </c>
      <c r="B1639" s="226" t="str">
        <f>IFERROR(__xludf.DUMMYFUNCTION("""COMPUTED_VALUE"""),"5060128533717")</f>
        <v>5060128533717</v>
      </c>
      <c r="C1639" t="str">
        <f>IFERROR(__xludf.DUMMYFUNCTION("""COMPUTED_VALUE"""),"Westfalia/Witter")</f>
        <v>Westfalia/Witter</v>
      </c>
    </row>
    <row r="1640">
      <c r="A1640" t="str">
        <f>IFERROR(__xludf.DUMMYFUNCTION("""COMPUTED_VALUE"""),"G122Q")</f>
        <v>G122Q</v>
      </c>
      <c r="B1640" s="226" t="str">
        <f>IFERROR(__xludf.DUMMYFUNCTION("""COMPUTED_VALUE"""),"5060128533724")</f>
        <v>5060128533724</v>
      </c>
      <c r="C1640" t="str">
        <f>IFERROR(__xludf.DUMMYFUNCTION("""COMPUTED_VALUE"""),"Westfalia/Witter")</f>
        <v>Westfalia/Witter</v>
      </c>
    </row>
    <row r="1641">
      <c r="A1641" t="str">
        <f>IFERROR(__xludf.DUMMYFUNCTION("""COMPUTED_VALUE"""),"G122S")</f>
        <v>G122S</v>
      </c>
      <c r="B1641" s="226" t="str">
        <f>IFERROR(__xludf.DUMMYFUNCTION("""COMPUTED_VALUE"""),"5060128533731")</f>
        <v>5060128533731</v>
      </c>
      <c r="C1641" t="str">
        <f>IFERROR(__xludf.DUMMYFUNCTION("""COMPUTED_VALUE"""),"Westfalia/Witter")</f>
        <v>Westfalia/Witter</v>
      </c>
    </row>
    <row r="1642">
      <c r="A1642" t="str">
        <f>IFERROR(__xludf.DUMMYFUNCTION("""COMPUTED_VALUE"""),"G66B")</f>
        <v>G66B</v>
      </c>
      <c r="B1642" s="226" t="str">
        <f>IFERROR(__xludf.DUMMYFUNCTION("""COMPUTED_VALUE"""),"5060128533755")</f>
        <v>5060128533755</v>
      </c>
      <c r="C1642" t="str">
        <f>IFERROR(__xludf.DUMMYFUNCTION("""COMPUTED_VALUE"""),"Westfalia/Witter")</f>
        <v>Westfalia/Witter</v>
      </c>
    </row>
    <row r="1643">
      <c r="A1643" t="str">
        <f>IFERROR(__xludf.DUMMYFUNCTION("""COMPUTED_VALUE"""),"G69A")</f>
        <v>G69A</v>
      </c>
      <c r="B1643" s="226" t="str">
        <f>IFERROR(__xludf.DUMMYFUNCTION("""COMPUTED_VALUE"""),"5060128533779")</f>
        <v>5060128533779</v>
      </c>
      <c r="C1643" t="str">
        <f>IFERROR(__xludf.DUMMYFUNCTION("""COMPUTED_VALUE"""),"Westfalia/Witter")</f>
        <v>Westfalia/Witter</v>
      </c>
    </row>
    <row r="1644">
      <c r="A1644" t="str">
        <f>IFERROR(__xludf.DUMMYFUNCTION("""COMPUTED_VALUE"""),"G71A")</f>
        <v>G71A</v>
      </c>
      <c r="B1644" s="226" t="str">
        <f>IFERROR(__xludf.DUMMYFUNCTION("""COMPUTED_VALUE"""),"5060128533786")</f>
        <v>5060128533786</v>
      </c>
      <c r="C1644" t="str">
        <f>IFERROR(__xludf.DUMMYFUNCTION("""COMPUTED_VALUE"""),"Westfalia/Witter")</f>
        <v>Westfalia/Witter</v>
      </c>
    </row>
    <row r="1645">
      <c r="A1645" t="str">
        <f>IFERROR(__xludf.DUMMYFUNCTION("""COMPUTED_VALUE"""),"G73A")</f>
        <v>G73A</v>
      </c>
      <c r="B1645" s="226" t="str">
        <f>IFERROR(__xludf.DUMMYFUNCTION("""COMPUTED_VALUE"""),"5060128533793")</f>
        <v>5060128533793</v>
      </c>
      <c r="C1645" t="str">
        <f>IFERROR(__xludf.DUMMYFUNCTION("""COMPUTED_VALUE"""),"Westfalia/Witter")</f>
        <v>Westfalia/Witter</v>
      </c>
    </row>
    <row r="1646">
      <c r="A1646" t="str">
        <f>IFERROR(__xludf.DUMMYFUNCTION("""COMPUTED_VALUE"""),"G77A")</f>
        <v>G77A</v>
      </c>
      <c r="B1646" s="226" t="str">
        <f>IFERROR(__xludf.DUMMYFUNCTION("""COMPUTED_VALUE"""),"5060128533809")</f>
        <v>5060128533809</v>
      </c>
      <c r="C1646" t="str">
        <f>IFERROR(__xludf.DUMMYFUNCTION("""COMPUTED_VALUE"""),"Westfalia/Witter")</f>
        <v>Westfalia/Witter</v>
      </c>
    </row>
    <row r="1647">
      <c r="A1647" t="str">
        <f>IFERROR(__xludf.DUMMYFUNCTION("""COMPUTED_VALUE"""),"G78B")</f>
        <v>G78B</v>
      </c>
      <c r="B1647" s="226" t="str">
        <f>IFERROR(__xludf.DUMMYFUNCTION("""COMPUTED_VALUE"""),"5060128533816")</f>
        <v>5060128533816</v>
      </c>
      <c r="C1647" t="str">
        <f>IFERROR(__xludf.DUMMYFUNCTION("""COMPUTED_VALUE"""),"Westfalia/Witter")</f>
        <v>Westfalia/Witter</v>
      </c>
    </row>
    <row r="1648">
      <c r="A1648" t="str">
        <f>IFERROR(__xludf.DUMMYFUNCTION("""COMPUTED_VALUE"""),"G82A")</f>
        <v>G82A</v>
      </c>
      <c r="B1648" s="226" t="str">
        <f>IFERROR(__xludf.DUMMYFUNCTION("""COMPUTED_VALUE"""),"5060128533823")</f>
        <v>5060128533823</v>
      </c>
      <c r="C1648" t="str">
        <f>IFERROR(__xludf.DUMMYFUNCTION("""COMPUTED_VALUE"""),"Westfalia/Witter")</f>
        <v>Westfalia/Witter</v>
      </c>
    </row>
    <row r="1649">
      <c r="A1649" t="str">
        <f>IFERROR(__xludf.DUMMYFUNCTION("""COMPUTED_VALUE"""),"G87B")</f>
        <v>G87B</v>
      </c>
      <c r="B1649" s="226" t="str">
        <f>IFERROR(__xludf.DUMMYFUNCTION("""COMPUTED_VALUE"""),"5060128533861")</f>
        <v>5060128533861</v>
      </c>
      <c r="C1649" t="str">
        <f>IFERROR(__xludf.DUMMYFUNCTION("""COMPUTED_VALUE"""),"Westfalia/Witter")</f>
        <v>Westfalia/Witter</v>
      </c>
    </row>
    <row r="1650">
      <c r="A1650" t="str">
        <f>IFERROR(__xludf.DUMMYFUNCTION("""COMPUTED_VALUE"""),"G88A")</f>
        <v>G88A</v>
      </c>
      <c r="B1650" s="226" t="str">
        <f>IFERROR(__xludf.DUMMYFUNCTION("""COMPUTED_VALUE"""),"5060128533878")</f>
        <v>5060128533878</v>
      </c>
      <c r="C1650" t="str">
        <f>IFERROR(__xludf.DUMMYFUNCTION("""COMPUTED_VALUE"""),"Westfalia/Witter")</f>
        <v>Westfalia/Witter</v>
      </c>
    </row>
    <row r="1651">
      <c r="A1651" t="str">
        <f>IFERROR(__xludf.DUMMYFUNCTION("""COMPUTED_VALUE"""),"G92BQ")</f>
        <v>G92BQ</v>
      </c>
      <c r="B1651" s="226" t="str">
        <f>IFERROR(__xludf.DUMMYFUNCTION("""COMPUTED_VALUE"""),"5060128533885")</f>
        <v>5060128533885</v>
      </c>
      <c r="C1651" t="str">
        <f>IFERROR(__xludf.DUMMYFUNCTION("""COMPUTED_VALUE"""),"Westfalia/Witter")</f>
        <v>Westfalia/Witter</v>
      </c>
    </row>
    <row r="1652">
      <c r="A1652" t="str">
        <f>IFERROR(__xludf.DUMMYFUNCTION("""COMPUTED_VALUE"""),"G92BQ")</f>
        <v>G92BQ</v>
      </c>
      <c r="B1652" s="226" t="str">
        <f>IFERROR(__xludf.DUMMYFUNCTION("""COMPUTED_VALUE"""),"5060128533885")</f>
        <v>5060128533885</v>
      </c>
      <c r="C1652" t="str">
        <f>IFERROR(__xludf.DUMMYFUNCTION("""COMPUTED_VALUE"""),"Westfalia/Witter")</f>
        <v>Westfalia/Witter</v>
      </c>
    </row>
    <row r="1653">
      <c r="A1653" t="str">
        <f>IFERROR(__xludf.DUMMYFUNCTION("""COMPUTED_VALUE"""),"G92BS")</f>
        <v>G92BS</v>
      </c>
      <c r="B1653" s="226" t="str">
        <f>IFERROR(__xludf.DUMMYFUNCTION("""COMPUTED_VALUE"""),"5060128533892")</f>
        <v>5060128533892</v>
      </c>
      <c r="C1653" t="str">
        <f>IFERROR(__xludf.DUMMYFUNCTION("""COMPUTED_VALUE"""),"Westfalia/Witter")</f>
        <v>Westfalia/Witter</v>
      </c>
    </row>
    <row r="1654">
      <c r="A1654" t="str">
        <f>IFERROR(__xludf.DUMMYFUNCTION("""COMPUTED_VALUE"""),"G92BS")</f>
        <v>G92BS</v>
      </c>
      <c r="B1654" s="226" t="str">
        <f>IFERROR(__xludf.DUMMYFUNCTION("""COMPUTED_VALUE"""),"5060128533892")</f>
        <v>5060128533892</v>
      </c>
      <c r="C1654" t="str">
        <f>IFERROR(__xludf.DUMMYFUNCTION("""COMPUTED_VALUE"""),"Westfalia/Witter")</f>
        <v>Westfalia/Witter</v>
      </c>
    </row>
    <row r="1655">
      <c r="A1655" t="str">
        <f>IFERROR(__xludf.DUMMYFUNCTION("""COMPUTED_VALUE"""),"G94AQ")</f>
        <v>G94AQ</v>
      </c>
      <c r="B1655" s="226" t="str">
        <f>IFERROR(__xludf.DUMMYFUNCTION("""COMPUTED_VALUE"""),"5060128533908")</f>
        <v>5060128533908</v>
      </c>
      <c r="C1655" t="str">
        <f>IFERROR(__xludf.DUMMYFUNCTION("""COMPUTED_VALUE"""),"Westfalia/Witter")</f>
        <v>Westfalia/Witter</v>
      </c>
    </row>
    <row r="1656">
      <c r="A1656" t="str">
        <f>IFERROR(__xludf.DUMMYFUNCTION("""COMPUTED_VALUE"""),"G94AS")</f>
        <v>G94AS</v>
      </c>
      <c r="B1656" s="226" t="str">
        <f>IFERROR(__xludf.DUMMYFUNCTION("""COMPUTED_VALUE"""),"5060128533915")</f>
        <v>5060128533915</v>
      </c>
      <c r="C1656" t="str">
        <f>IFERROR(__xludf.DUMMYFUNCTION("""COMPUTED_VALUE"""),"Westfalia/Witter")</f>
        <v>Westfalia/Witter</v>
      </c>
    </row>
    <row r="1657">
      <c r="A1657" t="str">
        <f>IFERROR(__xludf.DUMMYFUNCTION("""COMPUTED_VALUE"""),"G98AQ")</f>
        <v>G98AQ</v>
      </c>
      <c r="B1657" s="226" t="str">
        <f>IFERROR(__xludf.DUMMYFUNCTION("""COMPUTED_VALUE"""),"5060128533922")</f>
        <v>5060128533922</v>
      </c>
      <c r="C1657" t="str">
        <f>IFERROR(__xludf.DUMMYFUNCTION("""COMPUTED_VALUE"""),"Westfalia/Witter")</f>
        <v>Westfalia/Witter</v>
      </c>
    </row>
    <row r="1658">
      <c r="A1658" t="str">
        <f>IFERROR(__xludf.DUMMYFUNCTION("""COMPUTED_VALUE"""),"G98AS")</f>
        <v>G98AS</v>
      </c>
      <c r="B1658" s="226" t="str">
        <f>IFERROR(__xludf.DUMMYFUNCTION("""COMPUTED_VALUE"""),"5060128533946")</f>
        <v>5060128533946</v>
      </c>
      <c r="C1658" t="str">
        <f>IFERROR(__xludf.DUMMYFUNCTION("""COMPUTED_VALUE"""),"Westfalia/Witter")</f>
        <v>Westfalia/Witter</v>
      </c>
    </row>
    <row r="1659">
      <c r="A1659" t="str">
        <f>IFERROR(__xludf.DUMMYFUNCTION("""COMPUTED_VALUE"""),"G99A")</f>
        <v>G99A</v>
      </c>
      <c r="B1659" s="226" t="str">
        <f>IFERROR(__xludf.DUMMYFUNCTION("""COMPUTED_VALUE"""),"5060128533953")</f>
        <v>5060128533953</v>
      </c>
      <c r="C1659" t="str">
        <f>IFERROR(__xludf.DUMMYFUNCTION("""COMPUTED_VALUE"""),"Westfalia/Witter")</f>
        <v>Westfalia/Witter</v>
      </c>
    </row>
    <row r="1660">
      <c r="A1660" t="str">
        <f>IFERROR(__xludf.DUMMYFUNCTION("""COMPUTED_VALUE"""),"GW1")</f>
        <v>GW1</v>
      </c>
      <c r="B1660" s="226" t="str">
        <f>IFERROR(__xludf.DUMMYFUNCTION("""COMPUTED_VALUE"""),"5060128533960")</f>
        <v>5060128533960</v>
      </c>
      <c r="C1660" t="str">
        <f>IFERROR(__xludf.DUMMYFUNCTION("""COMPUTED_VALUE"""),"Westfalia/Witter")</f>
        <v>Westfalia/Witter</v>
      </c>
    </row>
    <row r="1661">
      <c r="A1661" t="str">
        <f>IFERROR(__xludf.DUMMYFUNCTION("""COMPUTED_VALUE"""),"HN43A")</f>
        <v>HN43A</v>
      </c>
      <c r="B1661" s="226" t="str">
        <f>IFERROR(__xludf.DUMMYFUNCTION("""COMPUTED_VALUE"""),"5060128533977")</f>
        <v>5060128533977</v>
      </c>
      <c r="C1661" t="str">
        <f>IFERROR(__xludf.DUMMYFUNCTION("""COMPUTED_VALUE"""),"Westfalia/Witter")</f>
        <v>Westfalia/Witter</v>
      </c>
    </row>
    <row r="1662">
      <c r="A1662" t="str">
        <f>IFERROR(__xludf.DUMMYFUNCTION("""COMPUTED_VALUE"""),"HN45A")</f>
        <v>HN45A</v>
      </c>
      <c r="B1662" s="226" t="str">
        <f>IFERROR(__xludf.DUMMYFUNCTION("""COMPUTED_VALUE"""),"5060128533984")</f>
        <v>5060128533984</v>
      </c>
      <c r="C1662" t="str">
        <f>IFERROR(__xludf.DUMMYFUNCTION("""COMPUTED_VALUE"""),"Westfalia/Witter")</f>
        <v>Westfalia/Witter</v>
      </c>
    </row>
    <row r="1663">
      <c r="A1663" t="str">
        <f>IFERROR(__xludf.DUMMYFUNCTION("""COMPUTED_VALUE"""),"HN47A")</f>
        <v>HN47A</v>
      </c>
      <c r="B1663" s="226" t="str">
        <f>IFERROR(__xludf.DUMMYFUNCTION("""COMPUTED_VALUE"""),"5060128534004")</f>
        <v>5060128534004</v>
      </c>
      <c r="C1663" t="str">
        <f>IFERROR(__xludf.DUMMYFUNCTION("""COMPUTED_VALUE"""),"Westfalia/Witter")</f>
        <v>Westfalia/Witter</v>
      </c>
    </row>
    <row r="1664">
      <c r="A1664" t="str">
        <f>IFERROR(__xludf.DUMMYFUNCTION("""COMPUTED_VALUE"""),"HN51A")</f>
        <v>HN51A</v>
      </c>
      <c r="B1664" s="226" t="str">
        <f>IFERROR(__xludf.DUMMYFUNCTION("""COMPUTED_VALUE"""),"5060128534011")</f>
        <v>5060128534011</v>
      </c>
      <c r="C1664" t="str">
        <f>IFERROR(__xludf.DUMMYFUNCTION("""COMPUTED_VALUE"""),"Westfalia/Witter")</f>
        <v>Westfalia/Witter</v>
      </c>
    </row>
    <row r="1665">
      <c r="A1665" t="str">
        <f>IFERROR(__xludf.DUMMYFUNCTION("""COMPUTED_VALUE"""),"HN53B")</f>
        <v>HN53B</v>
      </c>
      <c r="B1665" s="226" t="str">
        <f>IFERROR(__xludf.DUMMYFUNCTION("""COMPUTED_VALUE"""),"5060128534035")</f>
        <v>5060128534035</v>
      </c>
      <c r="C1665" t="str">
        <f>IFERROR(__xludf.DUMMYFUNCTION("""COMPUTED_VALUE"""),"Westfalia/Witter")</f>
        <v>Westfalia/Witter</v>
      </c>
    </row>
    <row r="1666">
      <c r="A1666" t="str">
        <f>IFERROR(__xludf.DUMMYFUNCTION("""COMPUTED_VALUE"""),"HN54A")</f>
        <v>HN54A</v>
      </c>
      <c r="B1666" s="226" t="str">
        <f>IFERROR(__xludf.DUMMYFUNCTION("""COMPUTED_VALUE"""),"5060128534042")</f>
        <v>5060128534042</v>
      </c>
      <c r="C1666" t="str">
        <f>IFERROR(__xludf.DUMMYFUNCTION("""COMPUTED_VALUE"""),"Westfalia/Witter")</f>
        <v>Westfalia/Witter</v>
      </c>
    </row>
    <row r="1667">
      <c r="A1667" t="str">
        <f>IFERROR(__xludf.DUMMYFUNCTION("""COMPUTED_VALUE"""),"HN55A")</f>
        <v>HN55A</v>
      </c>
      <c r="B1667" s="226" t="str">
        <f>IFERROR(__xludf.DUMMYFUNCTION("""COMPUTED_VALUE"""),"5060128534059")</f>
        <v>5060128534059</v>
      </c>
      <c r="C1667" t="str">
        <f>IFERROR(__xludf.DUMMYFUNCTION("""COMPUTED_VALUE"""),"Westfalia/Witter")</f>
        <v>Westfalia/Witter</v>
      </c>
    </row>
    <row r="1668">
      <c r="A1668" t="str">
        <f>IFERROR(__xludf.DUMMYFUNCTION("""COMPUTED_VALUE"""),"HN56A")</f>
        <v>HN56A</v>
      </c>
      <c r="B1668" s="226" t="str">
        <f>IFERROR(__xludf.DUMMYFUNCTION("""COMPUTED_VALUE"""),"5060128534066")</f>
        <v>5060128534066</v>
      </c>
      <c r="C1668" t="str">
        <f>IFERROR(__xludf.DUMMYFUNCTION("""COMPUTED_VALUE"""),"Westfalia/Witter")</f>
        <v>Westfalia/Witter</v>
      </c>
    </row>
    <row r="1669">
      <c r="A1669" t="str">
        <f>IFERROR(__xludf.DUMMYFUNCTION("""COMPUTED_VALUE"""),"HN56AQ")</f>
        <v>HN56AQ</v>
      </c>
      <c r="B1669" s="226" t="str">
        <f>IFERROR(__xludf.DUMMYFUNCTION("""COMPUTED_VALUE"""),"5060128534073")</f>
        <v>5060128534073</v>
      </c>
      <c r="C1669" t="str">
        <f>IFERROR(__xludf.DUMMYFUNCTION("""COMPUTED_VALUE"""),"Westfalia/Witter")</f>
        <v>Westfalia/Witter</v>
      </c>
    </row>
    <row r="1670">
      <c r="A1670" t="str">
        <f>IFERROR(__xludf.DUMMYFUNCTION("""COMPUTED_VALUE"""),"HN56AQ")</f>
        <v>HN56AQ</v>
      </c>
      <c r="B1670" s="226" t="str">
        <f>IFERROR(__xludf.DUMMYFUNCTION("""COMPUTED_VALUE"""),"5060128534073")</f>
        <v>5060128534073</v>
      </c>
      <c r="C1670" t="str">
        <f>IFERROR(__xludf.DUMMYFUNCTION("""COMPUTED_VALUE"""),"Westfalia/Witter")</f>
        <v>Westfalia/Witter</v>
      </c>
    </row>
    <row r="1671">
      <c r="A1671" t="str">
        <f>IFERROR(__xludf.DUMMYFUNCTION("""COMPUTED_VALUE"""),"HN56AS")</f>
        <v>HN56AS</v>
      </c>
      <c r="B1671" s="226" t="str">
        <f>IFERROR(__xludf.DUMMYFUNCTION("""COMPUTED_VALUE"""),"5060128534080")</f>
        <v>5060128534080</v>
      </c>
      <c r="C1671" t="str">
        <f>IFERROR(__xludf.DUMMYFUNCTION("""COMPUTED_VALUE"""),"Westfalia/Witter")</f>
        <v>Westfalia/Witter</v>
      </c>
    </row>
    <row r="1672">
      <c r="A1672" t="str">
        <f>IFERROR(__xludf.DUMMYFUNCTION("""COMPUTED_VALUE"""),"HN56AS")</f>
        <v>HN56AS</v>
      </c>
      <c r="B1672" s="226" t="str">
        <f>IFERROR(__xludf.DUMMYFUNCTION("""COMPUTED_VALUE"""),"5060128534080")</f>
        <v>5060128534080</v>
      </c>
      <c r="C1672" t="str">
        <f>IFERROR(__xludf.DUMMYFUNCTION("""COMPUTED_VALUE"""),"Westfalia/Witter")</f>
        <v>Westfalia/Witter</v>
      </c>
    </row>
    <row r="1673">
      <c r="A1673" t="str">
        <f>IFERROR(__xludf.DUMMYFUNCTION("""COMPUTED_VALUE"""),"HN57A")</f>
        <v>HN57A</v>
      </c>
      <c r="B1673" s="226" t="str">
        <f>IFERROR(__xludf.DUMMYFUNCTION("""COMPUTED_VALUE"""),"5060128534097")</f>
        <v>5060128534097</v>
      </c>
      <c r="C1673" t="str">
        <f>IFERROR(__xludf.DUMMYFUNCTION("""COMPUTED_VALUE"""),"Westfalia/Witter")</f>
        <v>Westfalia/Witter</v>
      </c>
    </row>
    <row r="1674">
      <c r="A1674" t="str">
        <f>IFERROR(__xludf.DUMMYFUNCTION("""COMPUTED_VALUE"""),"HN58A")</f>
        <v>HN58A</v>
      </c>
      <c r="B1674" s="226" t="str">
        <f>IFERROR(__xludf.DUMMYFUNCTION("""COMPUTED_VALUE"""),"5060128534103")</f>
        <v>5060128534103</v>
      </c>
      <c r="C1674" t="str">
        <f>IFERROR(__xludf.DUMMYFUNCTION("""COMPUTED_VALUE"""),"Westfalia/Witter")</f>
        <v>Westfalia/Witter</v>
      </c>
    </row>
    <row r="1675">
      <c r="A1675" t="str">
        <f>IFERROR(__xludf.DUMMYFUNCTION("""COMPUTED_VALUE"""),"HN58AQ")</f>
        <v>HN58AQ</v>
      </c>
      <c r="B1675" s="226" t="str">
        <f>IFERROR(__xludf.DUMMYFUNCTION("""COMPUTED_VALUE"""),"5060128534110")</f>
        <v>5060128534110</v>
      </c>
      <c r="C1675" t="str">
        <f>IFERROR(__xludf.DUMMYFUNCTION("""COMPUTED_VALUE"""),"Westfalia/Witter")</f>
        <v>Westfalia/Witter</v>
      </c>
    </row>
    <row r="1676">
      <c r="A1676" t="str">
        <f>IFERROR(__xludf.DUMMYFUNCTION("""COMPUTED_VALUE"""),"HN60A")</f>
        <v>HN60A</v>
      </c>
      <c r="B1676" s="226" t="str">
        <f>IFERROR(__xludf.DUMMYFUNCTION("""COMPUTED_VALUE"""),"5060128534127")</f>
        <v>5060128534127</v>
      </c>
      <c r="C1676" t="str">
        <f>IFERROR(__xludf.DUMMYFUNCTION("""COMPUTED_VALUE"""),"Westfalia/Witter")</f>
        <v>Westfalia/Witter</v>
      </c>
    </row>
    <row r="1677">
      <c r="A1677" t="str">
        <f>IFERROR(__xludf.DUMMYFUNCTION("""COMPUTED_VALUE"""),"HN61AQ")</f>
        <v>HN61AQ</v>
      </c>
      <c r="B1677" s="226" t="str">
        <f>IFERROR(__xludf.DUMMYFUNCTION("""COMPUTED_VALUE"""),"5060128534134")</f>
        <v>5060128534134</v>
      </c>
      <c r="C1677" t="str">
        <f>IFERROR(__xludf.DUMMYFUNCTION("""COMPUTED_VALUE"""),"Westfalia/Witter")</f>
        <v>Westfalia/Witter</v>
      </c>
    </row>
    <row r="1678">
      <c r="A1678" t="str">
        <f>IFERROR(__xludf.DUMMYFUNCTION("""COMPUTED_VALUE"""),"HN62AQ")</f>
        <v>HN62AQ</v>
      </c>
      <c r="B1678" s="226" t="str">
        <f>IFERROR(__xludf.DUMMYFUNCTION("""COMPUTED_VALUE"""),"5060128534158")</f>
        <v>5060128534158</v>
      </c>
      <c r="C1678" t="str">
        <f>IFERROR(__xludf.DUMMYFUNCTION("""COMPUTED_VALUE"""),"Westfalia/Witter")</f>
        <v>Westfalia/Witter</v>
      </c>
    </row>
    <row r="1679">
      <c r="A1679" t="str">
        <f>IFERROR(__xludf.DUMMYFUNCTION("""COMPUTED_VALUE"""),"HN62B")</f>
        <v>HN62B</v>
      </c>
      <c r="B1679" s="226" t="str">
        <f>IFERROR(__xludf.DUMMYFUNCTION("""COMPUTED_VALUE"""),"5060128534165")</f>
        <v>5060128534165</v>
      </c>
      <c r="C1679" t="str">
        <f>IFERROR(__xludf.DUMMYFUNCTION("""COMPUTED_VALUE"""),"Westfalia/Witter")</f>
        <v>Westfalia/Witter</v>
      </c>
    </row>
    <row r="1680">
      <c r="A1680" t="str">
        <f>IFERROR(__xludf.DUMMYFUNCTION("""COMPUTED_VALUE"""),"HN66A")</f>
        <v>HN66A</v>
      </c>
      <c r="B1680" s="226" t="str">
        <f>IFERROR(__xludf.DUMMYFUNCTION("""COMPUTED_VALUE"""),"5060128534172")</f>
        <v>5060128534172</v>
      </c>
      <c r="C1680" t="str">
        <f>IFERROR(__xludf.DUMMYFUNCTION("""COMPUTED_VALUE"""),"Westfalia/Witter")</f>
        <v>Westfalia/Witter</v>
      </c>
    </row>
    <row r="1681">
      <c r="A1681" t="str">
        <f>IFERROR(__xludf.DUMMYFUNCTION("""COMPUTED_VALUE"""),"HN66AS")</f>
        <v>HN66AS</v>
      </c>
      <c r="B1681" s="226" t="str">
        <f>IFERROR(__xludf.DUMMYFUNCTION("""COMPUTED_VALUE"""),"5060128534189")</f>
        <v>5060128534189</v>
      </c>
      <c r="C1681" t="str">
        <f>IFERROR(__xludf.DUMMYFUNCTION("""COMPUTED_VALUE"""),"Westfalia/Witter")</f>
        <v>Westfalia/Witter</v>
      </c>
    </row>
    <row r="1682">
      <c r="A1682" t="str">
        <f>IFERROR(__xludf.DUMMYFUNCTION("""COMPUTED_VALUE"""),"HN66AS")</f>
        <v>HN66AS</v>
      </c>
      <c r="B1682" s="226" t="str">
        <f>IFERROR(__xludf.DUMMYFUNCTION("""COMPUTED_VALUE"""),"5060128534189")</f>
        <v>5060128534189</v>
      </c>
      <c r="C1682" t="str">
        <f>IFERROR(__xludf.DUMMYFUNCTION("""COMPUTED_VALUE"""),"Westfalia/Witter")</f>
        <v>Westfalia/Witter</v>
      </c>
    </row>
    <row r="1683">
      <c r="A1683" t="str">
        <f>IFERROR(__xludf.DUMMYFUNCTION("""COMPUTED_VALUE"""),"HN67A")</f>
        <v>HN67A</v>
      </c>
      <c r="B1683" s="226" t="str">
        <f>IFERROR(__xludf.DUMMYFUNCTION("""COMPUTED_VALUE"""),"5060128534196")</f>
        <v>5060128534196</v>
      </c>
      <c r="C1683" t="str">
        <f>IFERROR(__xludf.DUMMYFUNCTION("""COMPUTED_VALUE"""),"Westfalia/Witter")</f>
        <v>Westfalia/Witter</v>
      </c>
    </row>
    <row r="1684">
      <c r="A1684" t="str">
        <f>IFERROR(__xludf.DUMMYFUNCTION("""COMPUTED_VALUE"""),"HN68")</f>
        <v>HN68</v>
      </c>
      <c r="B1684" s="226" t="str">
        <f>IFERROR(__xludf.DUMMYFUNCTION("""COMPUTED_VALUE"""),"5060128534202")</f>
        <v>5060128534202</v>
      </c>
      <c r="C1684" t="str">
        <f>IFERROR(__xludf.DUMMYFUNCTION("""COMPUTED_VALUE"""),"Westfalia/Witter")</f>
        <v>Westfalia/Witter</v>
      </c>
    </row>
    <row r="1685">
      <c r="A1685" t="str">
        <f>IFERROR(__xludf.DUMMYFUNCTION("""COMPUTED_VALUE"""),"HN68Q")</f>
        <v>HN68Q</v>
      </c>
      <c r="B1685" s="226" t="str">
        <f>IFERROR(__xludf.DUMMYFUNCTION("""COMPUTED_VALUE"""),"5060128534219")</f>
        <v>5060128534219</v>
      </c>
      <c r="C1685" t="str">
        <f>IFERROR(__xludf.DUMMYFUNCTION("""COMPUTED_VALUE"""),"Westfalia/Witter")</f>
        <v>Westfalia/Witter</v>
      </c>
    </row>
    <row r="1686">
      <c r="A1686" t="str">
        <f>IFERROR(__xludf.DUMMYFUNCTION("""COMPUTED_VALUE"""),"HN68S")</f>
        <v>HN68S</v>
      </c>
      <c r="B1686" s="226" t="str">
        <f>IFERROR(__xludf.DUMMYFUNCTION("""COMPUTED_VALUE"""),"5060128534226")</f>
        <v>5060128534226</v>
      </c>
      <c r="C1686" t="str">
        <f>IFERROR(__xludf.DUMMYFUNCTION("""COMPUTED_VALUE"""),"Westfalia/Witter")</f>
        <v>Westfalia/Witter</v>
      </c>
    </row>
    <row r="1687">
      <c r="A1687" t="str">
        <f>IFERROR(__xludf.DUMMYFUNCTION("""COMPUTED_VALUE"""),"HN69A")</f>
        <v>HN69A</v>
      </c>
      <c r="B1687" s="226" t="str">
        <f>IFERROR(__xludf.DUMMYFUNCTION("""COMPUTED_VALUE"""),"5060128534233")</f>
        <v>5060128534233</v>
      </c>
      <c r="C1687" t="str">
        <f>IFERROR(__xludf.DUMMYFUNCTION("""COMPUTED_VALUE"""),"Westfalia/Witter")</f>
        <v>Westfalia/Witter</v>
      </c>
    </row>
    <row r="1688">
      <c r="A1688" t="str">
        <f>IFERROR(__xludf.DUMMYFUNCTION("""COMPUTED_VALUE"""),"HN69AQ")</f>
        <v>HN69AQ</v>
      </c>
      <c r="B1688" s="226" t="str">
        <f>IFERROR(__xludf.DUMMYFUNCTION("""COMPUTED_VALUE"""),"5060128534240")</f>
        <v>5060128534240</v>
      </c>
      <c r="C1688" t="str">
        <f>IFERROR(__xludf.DUMMYFUNCTION("""COMPUTED_VALUE"""),"Westfalia/Witter")</f>
        <v>Westfalia/Witter</v>
      </c>
    </row>
    <row r="1689">
      <c r="A1689" t="str">
        <f>IFERROR(__xludf.DUMMYFUNCTION("""COMPUTED_VALUE"""),"HN69AS")</f>
        <v>HN69AS</v>
      </c>
      <c r="B1689" s="226" t="str">
        <f>IFERROR(__xludf.DUMMYFUNCTION("""COMPUTED_VALUE"""),"5060128534264")</f>
        <v>5060128534264</v>
      </c>
      <c r="C1689" t="str">
        <f>IFERROR(__xludf.DUMMYFUNCTION("""COMPUTED_VALUE"""),"Westfalia/Witter")</f>
        <v>Westfalia/Witter</v>
      </c>
    </row>
    <row r="1690">
      <c r="A1690" t="str">
        <f>IFERROR(__xludf.DUMMYFUNCTION("""COMPUTED_VALUE"""),"HN70")</f>
        <v>HN70</v>
      </c>
      <c r="B1690" s="226" t="str">
        <f>IFERROR(__xludf.DUMMYFUNCTION("""COMPUTED_VALUE"""),"5060128534271")</f>
        <v>5060128534271</v>
      </c>
      <c r="C1690" t="str">
        <f>IFERROR(__xludf.DUMMYFUNCTION("""COMPUTED_VALUE"""),"Westfalia/Witter")</f>
        <v>Westfalia/Witter</v>
      </c>
    </row>
    <row r="1691">
      <c r="A1691" t="str">
        <f>IFERROR(__xludf.DUMMYFUNCTION("""COMPUTED_VALUE"""),"HN70Q")</f>
        <v>HN70Q</v>
      </c>
      <c r="B1691" s="226" t="str">
        <f>IFERROR(__xludf.DUMMYFUNCTION("""COMPUTED_VALUE"""),"5060128534288")</f>
        <v>5060128534288</v>
      </c>
      <c r="C1691" t="str">
        <f>IFERROR(__xludf.DUMMYFUNCTION("""COMPUTED_VALUE"""),"Westfalia/Witter")</f>
        <v>Westfalia/Witter</v>
      </c>
    </row>
    <row r="1692">
      <c r="A1692" t="str">
        <f>IFERROR(__xludf.DUMMYFUNCTION("""COMPUTED_VALUE"""),"HN70S")</f>
        <v>HN70S</v>
      </c>
      <c r="B1692" s="226" t="str">
        <f>IFERROR(__xludf.DUMMYFUNCTION("""COMPUTED_VALUE"""),"5060128534295")</f>
        <v>5060128534295</v>
      </c>
      <c r="C1692" t="str">
        <f>IFERROR(__xludf.DUMMYFUNCTION("""COMPUTED_VALUE"""),"Westfalia/Witter")</f>
        <v>Westfalia/Witter</v>
      </c>
    </row>
    <row r="1693">
      <c r="A1693" t="str">
        <f>IFERROR(__xludf.DUMMYFUNCTION("""COMPUTED_VALUE"""),"HN71")</f>
        <v>HN71</v>
      </c>
      <c r="B1693" s="226" t="str">
        <f>IFERROR(__xludf.DUMMYFUNCTION("""COMPUTED_VALUE"""),"5060128534301")</f>
        <v>5060128534301</v>
      </c>
      <c r="C1693" t="str">
        <f>IFERROR(__xludf.DUMMYFUNCTION("""COMPUTED_VALUE"""),"Westfalia/Witter")</f>
        <v>Westfalia/Witter</v>
      </c>
    </row>
    <row r="1694">
      <c r="A1694" t="str">
        <f>IFERROR(__xludf.DUMMYFUNCTION("""COMPUTED_VALUE"""),"HN71Q")</f>
        <v>HN71Q</v>
      </c>
      <c r="B1694" s="226" t="str">
        <f>IFERROR(__xludf.DUMMYFUNCTION("""COMPUTED_VALUE"""),"5060128534318")</f>
        <v>5060128534318</v>
      </c>
      <c r="C1694" t="str">
        <f>IFERROR(__xludf.DUMMYFUNCTION("""COMPUTED_VALUE"""),"Westfalia/Witter")</f>
        <v>Westfalia/Witter</v>
      </c>
    </row>
    <row r="1695">
      <c r="A1695" t="str">
        <f>IFERROR(__xludf.DUMMYFUNCTION("""COMPUTED_VALUE"""),"HN71S")</f>
        <v>HN71S</v>
      </c>
      <c r="B1695" s="226" t="str">
        <f>IFERROR(__xludf.DUMMYFUNCTION("""COMPUTED_VALUE"""),"5060128534325")</f>
        <v>5060128534325</v>
      </c>
      <c r="C1695" t="str">
        <f>IFERROR(__xludf.DUMMYFUNCTION("""COMPUTED_VALUE"""),"Westfalia/Witter")</f>
        <v>Westfalia/Witter</v>
      </c>
    </row>
    <row r="1696">
      <c r="A1696" t="str">
        <f>IFERROR(__xludf.DUMMYFUNCTION("""COMPUTED_VALUE"""),"HY26A")</f>
        <v>HY26A</v>
      </c>
      <c r="B1696" s="226" t="str">
        <f>IFERROR(__xludf.DUMMYFUNCTION("""COMPUTED_VALUE"""),"5060128534332")</f>
        <v>5060128534332</v>
      </c>
      <c r="C1696" t="str">
        <f>IFERROR(__xludf.DUMMYFUNCTION("""COMPUTED_VALUE"""),"Westfalia/Witter")</f>
        <v>Westfalia/Witter</v>
      </c>
    </row>
    <row r="1697">
      <c r="A1697" t="str">
        <f>IFERROR(__xludf.DUMMYFUNCTION("""COMPUTED_VALUE"""),"HY28A")</f>
        <v>HY28A</v>
      </c>
      <c r="B1697" s="226" t="str">
        <f>IFERROR(__xludf.DUMMYFUNCTION("""COMPUTED_VALUE"""),"5060128534349")</f>
        <v>5060128534349</v>
      </c>
      <c r="C1697" t="str">
        <f>IFERROR(__xludf.DUMMYFUNCTION("""COMPUTED_VALUE"""),"Westfalia/Witter")</f>
        <v>Westfalia/Witter</v>
      </c>
    </row>
    <row r="1698">
      <c r="A1698" t="str">
        <f>IFERROR(__xludf.DUMMYFUNCTION("""COMPUTED_VALUE"""),"HY29B")</f>
        <v>HY29B</v>
      </c>
      <c r="B1698" s="226" t="str">
        <f>IFERROR(__xludf.DUMMYFUNCTION("""COMPUTED_VALUE"""),"5060128534356")</f>
        <v>5060128534356</v>
      </c>
      <c r="C1698" t="str">
        <f>IFERROR(__xludf.DUMMYFUNCTION("""COMPUTED_VALUE"""),"Westfalia/Witter")</f>
        <v>Westfalia/Witter</v>
      </c>
    </row>
    <row r="1699">
      <c r="A1699" t="str">
        <f>IFERROR(__xludf.DUMMYFUNCTION("""COMPUTED_VALUE"""),"HY32R")</f>
        <v>HY32R</v>
      </c>
      <c r="B1699" s="226" t="str">
        <f>IFERROR(__xludf.DUMMYFUNCTION("""COMPUTED_VALUE"""),"5060128534363")</f>
        <v>5060128534363</v>
      </c>
      <c r="C1699" t="str">
        <f>IFERROR(__xludf.DUMMYFUNCTION("""COMPUTED_VALUE"""),"Westfalia/Witter")</f>
        <v>Westfalia/Witter</v>
      </c>
    </row>
    <row r="1700">
      <c r="A1700" t="str">
        <f>IFERROR(__xludf.DUMMYFUNCTION("""COMPUTED_VALUE"""),"HY33A")</f>
        <v>HY33A</v>
      </c>
      <c r="B1700" s="226" t="str">
        <f>IFERROR(__xludf.DUMMYFUNCTION("""COMPUTED_VALUE"""),"5060128534370")</f>
        <v>5060128534370</v>
      </c>
      <c r="C1700" t="str">
        <f>IFERROR(__xludf.DUMMYFUNCTION("""COMPUTED_VALUE"""),"Westfalia/Witter")</f>
        <v>Westfalia/Witter</v>
      </c>
    </row>
    <row r="1701">
      <c r="A1701" t="str">
        <f>IFERROR(__xludf.DUMMYFUNCTION("""COMPUTED_VALUE"""),"HY35D")</f>
        <v>HY35D</v>
      </c>
      <c r="B1701" s="226" t="str">
        <f>IFERROR(__xludf.DUMMYFUNCTION("""COMPUTED_VALUE"""),"5060128534387")</f>
        <v>5060128534387</v>
      </c>
      <c r="C1701" t="str">
        <f>IFERROR(__xludf.DUMMYFUNCTION("""COMPUTED_VALUE"""),"Westfalia/Witter")</f>
        <v>Westfalia/Witter</v>
      </c>
    </row>
    <row r="1702">
      <c r="A1702" t="str">
        <f>IFERROR(__xludf.DUMMYFUNCTION("""COMPUTED_VALUE"""),"HY36A")</f>
        <v>HY36A</v>
      </c>
      <c r="B1702" s="226" t="str">
        <f>IFERROR(__xludf.DUMMYFUNCTION("""COMPUTED_VALUE"""),"5060128534394")</f>
        <v>5060128534394</v>
      </c>
      <c r="C1702" t="str">
        <f>IFERROR(__xludf.DUMMYFUNCTION("""COMPUTED_VALUE"""),"Westfalia/Witter")</f>
        <v>Westfalia/Witter</v>
      </c>
    </row>
    <row r="1703">
      <c r="A1703" t="str">
        <f>IFERROR(__xludf.DUMMYFUNCTION("""COMPUTED_VALUE"""),"HY36AS")</f>
        <v>HY36AS</v>
      </c>
      <c r="B1703" s="226" t="str">
        <f>IFERROR(__xludf.DUMMYFUNCTION("""COMPUTED_VALUE"""),"5060128534400")</f>
        <v>5060128534400</v>
      </c>
      <c r="C1703" t="str">
        <f>IFERROR(__xludf.DUMMYFUNCTION("""COMPUTED_VALUE"""),"Westfalia/Witter")</f>
        <v>Westfalia/Witter</v>
      </c>
    </row>
    <row r="1704">
      <c r="A1704" t="str">
        <f>IFERROR(__xludf.DUMMYFUNCTION("""COMPUTED_VALUE"""),"HY39A")</f>
        <v>HY39A</v>
      </c>
      <c r="B1704" s="226" t="str">
        <f>IFERROR(__xludf.DUMMYFUNCTION("""COMPUTED_VALUE"""),"5060128534417")</f>
        <v>5060128534417</v>
      </c>
      <c r="C1704" t="str">
        <f>IFERROR(__xludf.DUMMYFUNCTION("""COMPUTED_VALUE"""),"Westfalia/Witter")</f>
        <v>Westfalia/Witter</v>
      </c>
    </row>
    <row r="1705">
      <c r="A1705" t="str">
        <f>IFERROR(__xludf.DUMMYFUNCTION("""COMPUTED_VALUE"""),"HY46B")</f>
        <v>HY46B</v>
      </c>
      <c r="B1705" s="226" t="str">
        <f>IFERROR(__xludf.DUMMYFUNCTION("""COMPUTED_VALUE"""),"5060128534424")</f>
        <v>5060128534424</v>
      </c>
      <c r="C1705" t="str">
        <f>IFERROR(__xludf.DUMMYFUNCTION("""COMPUTED_VALUE"""),"Westfalia/Witter")</f>
        <v>Westfalia/Witter</v>
      </c>
    </row>
    <row r="1706">
      <c r="A1706" t="str">
        <f>IFERROR(__xludf.DUMMYFUNCTION("""COMPUTED_VALUE"""),"HY46BQ")</f>
        <v>HY46BQ</v>
      </c>
      <c r="B1706" s="226" t="str">
        <f>IFERROR(__xludf.DUMMYFUNCTION("""COMPUTED_VALUE"""),"5060128534431")</f>
        <v>5060128534431</v>
      </c>
      <c r="C1706" t="str">
        <f>IFERROR(__xludf.DUMMYFUNCTION("""COMPUTED_VALUE"""),"Westfalia/Witter")</f>
        <v>Westfalia/Witter</v>
      </c>
    </row>
    <row r="1707">
      <c r="A1707" t="str">
        <f>IFERROR(__xludf.DUMMYFUNCTION("""COMPUTED_VALUE"""),"HY46BQ")</f>
        <v>HY46BQ</v>
      </c>
      <c r="B1707" s="226" t="str">
        <f>IFERROR(__xludf.DUMMYFUNCTION("""COMPUTED_VALUE"""),"5060128534431")</f>
        <v>5060128534431</v>
      </c>
      <c r="C1707" t="str">
        <f>IFERROR(__xludf.DUMMYFUNCTION("""COMPUTED_VALUE"""),"Westfalia/Witter")</f>
        <v>Westfalia/Witter</v>
      </c>
    </row>
    <row r="1708">
      <c r="A1708" t="str">
        <f>IFERROR(__xludf.DUMMYFUNCTION("""COMPUTED_VALUE"""),"HY46BS")</f>
        <v>HY46BS</v>
      </c>
      <c r="B1708" s="226" t="str">
        <f>IFERROR(__xludf.DUMMYFUNCTION("""COMPUTED_VALUE"""),"5060128534448")</f>
        <v>5060128534448</v>
      </c>
      <c r="C1708" t="str">
        <f>IFERROR(__xludf.DUMMYFUNCTION("""COMPUTED_VALUE"""),"Westfalia/Witter")</f>
        <v>Westfalia/Witter</v>
      </c>
    </row>
    <row r="1709">
      <c r="A1709" t="str">
        <f>IFERROR(__xludf.DUMMYFUNCTION("""COMPUTED_VALUE"""),"HY51")</f>
        <v>HY51</v>
      </c>
      <c r="B1709" s="226" t="str">
        <f>IFERROR(__xludf.DUMMYFUNCTION("""COMPUTED_VALUE"""),"5060128534486")</f>
        <v>5060128534486</v>
      </c>
      <c r="C1709" t="str">
        <f>IFERROR(__xludf.DUMMYFUNCTION("""COMPUTED_VALUE"""),"Westfalia/Witter")</f>
        <v>Westfalia/Witter</v>
      </c>
    </row>
    <row r="1710">
      <c r="A1710" t="str">
        <f>IFERROR(__xludf.DUMMYFUNCTION("""COMPUTED_VALUE"""),"HY51Q")</f>
        <v>HY51Q</v>
      </c>
      <c r="B1710" s="226" t="str">
        <f>IFERROR(__xludf.DUMMYFUNCTION("""COMPUTED_VALUE"""),"5060128534493")</f>
        <v>5060128534493</v>
      </c>
      <c r="C1710" t="str">
        <f>IFERROR(__xludf.DUMMYFUNCTION("""COMPUTED_VALUE"""),"Westfalia/Witter")</f>
        <v>Westfalia/Witter</v>
      </c>
    </row>
    <row r="1711">
      <c r="A1711" t="str">
        <f>IFERROR(__xludf.DUMMYFUNCTION("""COMPUTED_VALUE"""),"HY51S")</f>
        <v>HY51S</v>
      </c>
      <c r="B1711" s="226" t="str">
        <f>IFERROR(__xludf.DUMMYFUNCTION("""COMPUTED_VALUE"""),"5060128534516")</f>
        <v>5060128534516</v>
      </c>
      <c r="C1711" t="str">
        <f>IFERROR(__xludf.DUMMYFUNCTION("""COMPUTED_VALUE"""),"Westfalia/Witter")</f>
        <v>Westfalia/Witter</v>
      </c>
    </row>
    <row r="1712">
      <c r="A1712" t="str">
        <f>IFERROR(__xludf.DUMMYFUNCTION("""COMPUTED_VALUE"""),"HY54")</f>
        <v>HY54</v>
      </c>
      <c r="B1712" s="226" t="str">
        <f>IFERROR(__xludf.DUMMYFUNCTION("""COMPUTED_VALUE"""),"5060128534523")</f>
        <v>5060128534523</v>
      </c>
      <c r="C1712" t="str">
        <f>IFERROR(__xludf.DUMMYFUNCTION("""COMPUTED_VALUE"""),"Westfalia/Witter")</f>
        <v>Westfalia/Witter</v>
      </c>
    </row>
    <row r="1713">
      <c r="A1713" t="str">
        <f>IFERROR(__xludf.DUMMYFUNCTION("""COMPUTED_VALUE"""),"HY54S")</f>
        <v>HY54S</v>
      </c>
      <c r="B1713" s="226" t="str">
        <f>IFERROR(__xludf.DUMMYFUNCTION("""COMPUTED_VALUE"""),"5060128534530")</f>
        <v>5060128534530</v>
      </c>
      <c r="C1713" t="str">
        <f>IFERROR(__xludf.DUMMYFUNCTION("""COMPUTED_VALUE"""),"Westfalia/Witter")</f>
        <v>Westfalia/Witter</v>
      </c>
    </row>
    <row r="1714">
      <c r="A1714" t="str">
        <f>IFERROR(__xludf.DUMMYFUNCTION("""COMPUTED_VALUE"""),"HY55")</f>
        <v>HY55</v>
      </c>
      <c r="B1714" s="226" t="str">
        <f>IFERROR(__xludf.DUMMYFUNCTION("""COMPUTED_VALUE"""),"5060128534547")</f>
        <v>5060128534547</v>
      </c>
      <c r="C1714" t="str">
        <f>IFERROR(__xludf.DUMMYFUNCTION("""COMPUTED_VALUE"""),"Westfalia/Witter")</f>
        <v>Westfalia/Witter</v>
      </c>
    </row>
    <row r="1715">
      <c r="A1715" t="str">
        <f>IFERROR(__xludf.DUMMYFUNCTION("""COMPUTED_VALUE"""),"HY55Q")</f>
        <v>HY55Q</v>
      </c>
      <c r="B1715" s="226" t="str">
        <f>IFERROR(__xludf.DUMMYFUNCTION("""COMPUTED_VALUE"""),"5060128534554")</f>
        <v>5060128534554</v>
      </c>
      <c r="C1715" t="str">
        <f>IFERROR(__xludf.DUMMYFUNCTION("""COMPUTED_VALUE"""),"Westfalia/Witter")</f>
        <v>Westfalia/Witter</v>
      </c>
    </row>
    <row r="1716">
      <c r="A1716" t="str">
        <f>IFERROR(__xludf.DUMMYFUNCTION("""COMPUTED_VALUE"""),"HY55S")</f>
        <v>HY55S</v>
      </c>
      <c r="B1716" s="226" t="str">
        <f>IFERROR(__xludf.DUMMYFUNCTION("""COMPUTED_VALUE"""),"5060128534578")</f>
        <v>5060128534578</v>
      </c>
      <c r="C1716" t="str">
        <f>IFERROR(__xludf.DUMMYFUNCTION("""COMPUTED_VALUE"""),"Westfalia/Witter")</f>
        <v>Westfalia/Witter</v>
      </c>
    </row>
    <row r="1717">
      <c r="A1717" t="str">
        <f>IFERROR(__xludf.DUMMYFUNCTION("""COMPUTED_VALUE"""),"HY56Q")</f>
        <v>HY56Q</v>
      </c>
      <c r="B1717" s="226" t="str">
        <f>IFERROR(__xludf.DUMMYFUNCTION("""COMPUTED_VALUE"""),"5060128534585")</f>
        <v>5060128534585</v>
      </c>
      <c r="C1717" t="str">
        <f>IFERROR(__xludf.DUMMYFUNCTION("""COMPUTED_VALUE"""),"Westfalia/Witter")</f>
        <v>Westfalia/Witter</v>
      </c>
    </row>
    <row r="1718">
      <c r="A1718" t="str">
        <f>IFERROR(__xludf.DUMMYFUNCTION("""COMPUTED_VALUE"""),"HY57Q")</f>
        <v>HY57Q</v>
      </c>
      <c r="B1718" s="226" t="str">
        <f>IFERROR(__xludf.DUMMYFUNCTION("""COMPUTED_VALUE"""),"5060128534608")</f>
        <v>5060128534608</v>
      </c>
      <c r="C1718" t="str">
        <f>IFERROR(__xludf.DUMMYFUNCTION("""COMPUTED_VALUE"""),"Westfalia/Witter")</f>
        <v>Westfalia/Witter</v>
      </c>
    </row>
    <row r="1719">
      <c r="A1719" t="str">
        <f>IFERROR(__xludf.DUMMYFUNCTION("""COMPUTED_VALUE"""),"HY58")</f>
        <v>HY58</v>
      </c>
      <c r="B1719" s="226" t="str">
        <f>IFERROR(__xludf.DUMMYFUNCTION("""COMPUTED_VALUE"""),"5060128534622")</f>
        <v>5060128534622</v>
      </c>
      <c r="C1719" t="str">
        <f>IFERROR(__xludf.DUMMYFUNCTION("""COMPUTED_VALUE"""),"Westfalia/Witter")</f>
        <v>Westfalia/Witter</v>
      </c>
    </row>
    <row r="1720">
      <c r="A1720" t="str">
        <f>IFERROR(__xludf.DUMMYFUNCTION("""COMPUTED_VALUE"""),"HY58Q")</f>
        <v>HY58Q</v>
      </c>
      <c r="B1720" s="226" t="str">
        <f>IFERROR(__xludf.DUMMYFUNCTION("""COMPUTED_VALUE"""),"5060128534639")</f>
        <v>5060128534639</v>
      </c>
      <c r="C1720" t="str">
        <f>IFERROR(__xludf.DUMMYFUNCTION("""COMPUTED_VALUE"""),"Westfalia/Witter")</f>
        <v>Westfalia/Witter</v>
      </c>
    </row>
    <row r="1721">
      <c r="A1721" t="str">
        <f>IFERROR(__xludf.DUMMYFUNCTION("""COMPUTED_VALUE"""),"HY58S")</f>
        <v>HY58S</v>
      </c>
      <c r="B1721" s="226" t="str">
        <f>IFERROR(__xludf.DUMMYFUNCTION("""COMPUTED_VALUE"""),"5060128534646")</f>
        <v>5060128534646</v>
      </c>
      <c r="C1721" t="str">
        <f>IFERROR(__xludf.DUMMYFUNCTION("""COMPUTED_VALUE"""),"Westfalia/Witter")</f>
        <v>Westfalia/Witter</v>
      </c>
    </row>
    <row r="1722">
      <c r="A1722" t="str">
        <f>IFERROR(__xludf.DUMMYFUNCTION("""COMPUTED_VALUE"""),"HY59")</f>
        <v>HY59</v>
      </c>
      <c r="B1722" s="226" t="str">
        <f>IFERROR(__xludf.DUMMYFUNCTION("""COMPUTED_VALUE"""),"5060128534653")</f>
        <v>5060128534653</v>
      </c>
      <c r="C1722" t="str">
        <f>IFERROR(__xludf.DUMMYFUNCTION("""COMPUTED_VALUE"""),"Westfalia/Witter")</f>
        <v>Westfalia/Witter</v>
      </c>
    </row>
    <row r="1723">
      <c r="A1723" t="str">
        <f>IFERROR(__xludf.DUMMYFUNCTION("""COMPUTED_VALUE"""),"HY60Q")</f>
        <v>HY60Q</v>
      </c>
      <c r="B1723" s="226" t="str">
        <f>IFERROR(__xludf.DUMMYFUNCTION("""COMPUTED_VALUE"""),"5060128534660")</f>
        <v>5060128534660</v>
      </c>
      <c r="C1723" t="str">
        <f>IFERROR(__xludf.DUMMYFUNCTION("""COMPUTED_VALUE"""),"Westfalia/Witter")</f>
        <v>Westfalia/Witter</v>
      </c>
    </row>
    <row r="1724">
      <c r="A1724" t="str">
        <f>IFERROR(__xludf.DUMMYFUNCTION("""COMPUTED_VALUE"""),"HY60S")</f>
        <v>HY60S</v>
      </c>
      <c r="B1724" s="226" t="str">
        <f>IFERROR(__xludf.DUMMYFUNCTION("""COMPUTED_VALUE"""),"5060128534677")</f>
        <v>5060128534677</v>
      </c>
      <c r="C1724" t="str">
        <f>IFERROR(__xludf.DUMMYFUNCTION("""COMPUTED_VALUE"""),"Westfalia/Witter")</f>
        <v>Westfalia/Witter</v>
      </c>
    </row>
    <row r="1725">
      <c r="A1725" t="str">
        <f>IFERROR(__xludf.DUMMYFUNCTION("""COMPUTED_VALUE"""),"HY62B")</f>
        <v>HY62B</v>
      </c>
      <c r="B1725" s="226" t="str">
        <f>IFERROR(__xludf.DUMMYFUNCTION("""COMPUTED_VALUE"""),"5060128534691")</f>
        <v>5060128534691</v>
      </c>
      <c r="C1725" t="str">
        <f>IFERROR(__xludf.DUMMYFUNCTION("""COMPUTED_VALUE"""),"Westfalia/Witter")</f>
        <v>Westfalia/Witter</v>
      </c>
    </row>
    <row r="1726">
      <c r="A1726" t="str">
        <f>IFERROR(__xludf.DUMMYFUNCTION("""COMPUTED_VALUE"""),"HY62BQ")</f>
        <v>HY62BQ</v>
      </c>
      <c r="B1726" s="226" t="str">
        <f>IFERROR(__xludf.DUMMYFUNCTION("""COMPUTED_VALUE"""),"5060128534707")</f>
        <v>5060128534707</v>
      </c>
      <c r="C1726" t="str">
        <f>IFERROR(__xludf.DUMMYFUNCTION("""COMPUTED_VALUE"""),"Westfalia/Witter")</f>
        <v>Westfalia/Witter</v>
      </c>
    </row>
    <row r="1727">
      <c r="A1727" t="str">
        <f>IFERROR(__xludf.DUMMYFUNCTION("""COMPUTED_VALUE"""),"HY62BS")</f>
        <v>HY62BS</v>
      </c>
      <c r="B1727" s="226" t="str">
        <f>IFERROR(__xludf.DUMMYFUNCTION("""COMPUTED_VALUE"""),"5060128534714")</f>
        <v>5060128534714</v>
      </c>
      <c r="C1727" t="str">
        <f>IFERROR(__xludf.DUMMYFUNCTION("""COMPUTED_VALUE"""),"Westfalia/Witter")</f>
        <v>Westfalia/Witter</v>
      </c>
    </row>
    <row r="1728">
      <c r="A1728" t="str">
        <f>IFERROR(__xludf.DUMMYFUNCTION("""COMPUTED_VALUE"""),"HY63")</f>
        <v>HY63</v>
      </c>
      <c r="B1728" s="226" t="str">
        <f>IFERROR(__xludf.DUMMYFUNCTION("""COMPUTED_VALUE"""),"5060128534721")</f>
        <v>5060128534721</v>
      </c>
      <c r="C1728" t="str">
        <f>IFERROR(__xludf.DUMMYFUNCTION("""COMPUTED_VALUE"""),"Westfalia/Witter")</f>
        <v>Westfalia/Witter</v>
      </c>
    </row>
    <row r="1729">
      <c r="A1729" t="str">
        <f>IFERROR(__xludf.DUMMYFUNCTION("""COMPUTED_VALUE"""),"HY63Q")</f>
        <v>HY63Q</v>
      </c>
      <c r="B1729" s="226" t="str">
        <f>IFERROR(__xludf.DUMMYFUNCTION("""COMPUTED_VALUE"""),"5060128534738")</f>
        <v>5060128534738</v>
      </c>
      <c r="C1729" t="str">
        <f>IFERROR(__xludf.DUMMYFUNCTION("""COMPUTED_VALUE"""),"Westfalia/Witter")</f>
        <v>Westfalia/Witter</v>
      </c>
    </row>
    <row r="1730">
      <c r="A1730" t="str">
        <f>IFERROR(__xludf.DUMMYFUNCTION("""COMPUTED_VALUE"""),"HY63S")</f>
        <v>HY63S</v>
      </c>
      <c r="B1730" s="226" t="str">
        <f>IFERROR(__xludf.DUMMYFUNCTION("""COMPUTED_VALUE"""),"5060128534745")</f>
        <v>5060128534745</v>
      </c>
      <c r="C1730" t="str">
        <f>IFERROR(__xludf.DUMMYFUNCTION("""COMPUTED_VALUE"""),"Westfalia/Witter")</f>
        <v>Westfalia/Witter</v>
      </c>
    </row>
    <row r="1731">
      <c r="A1731" t="str">
        <f>IFERROR(__xludf.DUMMYFUNCTION("""COMPUTED_VALUE"""),"HY64")</f>
        <v>HY64</v>
      </c>
      <c r="B1731" s="226" t="str">
        <f>IFERROR(__xludf.DUMMYFUNCTION("""COMPUTED_VALUE"""),"5060128534752")</f>
        <v>5060128534752</v>
      </c>
      <c r="C1731" t="str">
        <f>IFERROR(__xludf.DUMMYFUNCTION("""COMPUTED_VALUE"""),"Westfalia/Witter")</f>
        <v>Westfalia/Witter</v>
      </c>
    </row>
    <row r="1732">
      <c r="A1732" t="str">
        <f>IFERROR(__xludf.DUMMYFUNCTION("""COMPUTED_VALUE"""),"HY64Q")</f>
        <v>HY64Q</v>
      </c>
      <c r="B1732" s="226" t="str">
        <f>IFERROR(__xludf.DUMMYFUNCTION("""COMPUTED_VALUE"""),"5060128534769")</f>
        <v>5060128534769</v>
      </c>
      <c r="C1732" t="str">
        <f>IFERROR(__xludf.DUMMYFUNCTION("""COMPUTED_VALUE"""),"Westfalia/Witter")</f>
        <v>Westfalia/Witter</v>
      </c>
    </row>
    <row r="1733">
      <c r="A1733" t="str">
        <f>IFERROR(__xludf.DUMMYFUNCTION("""COMPUTED_VALUE"""),"HY64Q")</f>
        <v>HY64Q</v>
      </c>
      <c r="B1733" s="226" t="str">
        <f>IFERROR(__xludf.DUMMYFUNCTION("""COMPUTED_VALUE"""),"5060128534769")</f>
        <v>5060128534769</v>
      </c>
      <c r="C1733" t="str">
        <f>IFERROR(__xludf.DUMMYFUNCTION("""COMPUTED_VALUE"""),"Westfalia/Witter")</f>
        <v>Westfalia/Witter</v>
      </c>
    </row>
    <row r="1734">
      <c r="A1734" t="str">
        <f>IFERROR(__xludf.DUMMYFUNCTION("""COMPUTED_VALUE"""),"HY64S")</f>
        <v>HY64S</v>
      </c>
      <c r="B1734" s="226" t="str">
        <f>IFERROR(__xludf.DUMMYFUNCTION("""COMPUTED_VALUE"""),"5060128534783")</f>
        <v>5060128534783</v>
      </c>
      <c r="C1734" t="str">
        <f>IFERROR(__xludf.DUMMYFUNCTION("""COMPUTED_VALUE"""),"Westfalia/Witter")</f>
        <v>Westfalia/Witter</v>
      </c>
    </row>
    <row r="1735">
      <c r="A1735" t="str">
        <f>IFERROR(__xludf.DUMMYFUNCTION("""COMPUTED_VALUE"""),"HY65")</f>
        <v>HY65</v>
      </c>
      <c r="B1735" s="226" t="str">
        <f>IFERROR(__xludf.DUMMYFUNCTION("""COMPUTED_VALUE"""),"5060128534790")</f>
        <v>5060128534790</v>
      </c>
      <c r="C1735" t="str">
        <f>IFERROR(__xludf.DUMMYFUNCTION("""COMPUTED_VALUE"""),"Westfalia/Witter")</f>
        <v>Westfalia/Witter</v>
      </c>
    </row>
    <row r="1736">
      <c r="A1736" t="str">
        <f>IFERROR(__xludf.DUMMYFUNCTION("""COMPUTED_VALUE"""),"HY65Q")</f>
        <v>HY65Q</v>
      </c>
      <c r="B1736" s="226" t="str">
        <f>IFERROR(__xludf.DUMMYFUNCTION("""COMPUTED_VALUE"""),"5060128534806")</f>
        <v>5060128534806</v>
      </c>
      <c r="C1736" t="str">
        <f>IFERROR(__xludf.DUMMYFUNCTION("""COMPUTED_VALUE"""),"Westfalia/Witter")</f>
        <v>Westfalia/Witter</v>
      </c>
    </row>
    <row r="1737">
      <c r="A1737" t="str">
        <f>IFERROR(__xludf.DUMMYFUNCTION("""COMPUTED_VALUE"""),"HY65S")</f>
        <v>HY65S</v>
      </c>
      <c r="B1737" s="226" t="str">
        <f>IFERROR(__xludf.DUMMYFUNCTION("""COMPUTED_VALUE"""),"5060128534813")</f>
        <v>5060128534813</v>
      </c>
      <c r="C1737" t="str">
        <f>IFERROR(__xludf.DUMMYFUNCTION("""COMPUTED_VALUE"""),"Westfalia/Witter")</f>
        <v>Westfalia/Witter</v>
      </c>
    </row>
    <row r="1738">
      <c r="A1738" t="str">
        <f>IFERROR(__xludf.DUMMYFUNCTION("""COMPUTED_VALUE"""),"IV07A")</f>
        <v>IV07A</v>
      </c>
      <c r="B1738" s="226" t="str">
        <f>IFERROR(__xludf.DUMMYFUNCTION("""COMPUTED_VALUE"""),"5060128534851")</f>
        <v>5060128534851</v>
      </c>
      <c r="C1738" t="str">
        <f>IFERROR(__xludf.DUMMYFUNCTION("""COMPUTED_VALUE"""),"Westfalia/Witter")</f>
        <v>Westfalia/Witter</v>
      </c>
    </row>
    <row r="1739">
      <c r="A1739" t="str">
        <f>IFERROR(__xludf.DUMMYFUNCTION("""COMPUTED_VALUE"""),"IV08")</f>
        <v>IV08</v>
      </c>
      <c r="B1739" s="226" t="str">
        <f>IFERROR(__xludf.DUMMYFUNCTION("""COMPUTED_VALUE"""),"5060128534868")</f>
        <v>5060128534868</v>
      </c>
      <c r="C1739" t="str">
        <f>IFERROR(__xludf.DUMMYFUNCTION("""COMPUTED_VALUE"""),"Westfalia/Witter")</f>
        <v>Westfalia/Witter</v>
      </c>
    </row>
    <row r="1740">
      <c r="A1740" t="str">
        <f>IFERROR(__xludf.DUMMYFUNCTION("""COMPUTED_VALUE"""),"IV09")</f>
        <v>IV09</v>
      </c>
      <c r="B1740" s="226" t="str">
        <f>IFERROR(__xludf.DUMMYFUNCTION("""COMPUTED_VALUE"""),"5060128534875")</f>
        <v>5060128534875</v>
      </c>
      <c r="C1740" t="str">
        <f>IFERROR(__xludf.DUMMYFUNCTION("""COMPUTED_VALUE"""),"Westfalia/Witter")</f>
        <v>Westfalia/Witter</v>
      </c>
    </row>
    <row r="1741">
      <c r="A1741" t="str">
        <f>IFERROR(__xludf.DUMMYFUNCTION("""COMPUTED_VALUE"""),"IZ26")</f>
        <v>IZ26</v>
      </c>
      <c r="B1741" s="226" t="str">
        <f>IFERROR(__xludf.DUMMYFUNCTION("""COMPUTED_VALUE"""),"5060128534882")</f>
        <v>5060128534882</v>
      </c>
      <c r="C1741" t="str">
        <f>IFERROR(__xludf.DUMMYFUNCTION("""COMPUTED_VALUE"""),"Westfalia/Witter")</f>
        <v>Westfalia/Witter</v>
      </c>
    </row>
    <row r="1742">
      <c r="A1742" t="str">
        <f>IFERROR(__xludf.DUMMYFUNCTION("""COMPUTED_VALUE"""),"IZ6")</f>
        <v>IZ6</v>
      </c>
      <c r="B1742" s="226" t="str">
        <f>IFERROR(__xludf.DUMMYFUNCTION("""COMPUTED_VALUE"""),"5060128534899")</f>
        <v>5060128534899</v>
      </c>
      <c r="C1742" t="str">
        <f>IFERROR(__xludf.DUMMYFUNCTION("""COMPUTED_VALUE"""),"Westfalia/Witter")</f>
        <v>Westfalia/Witter</v>
      </c>
    </row>
    <row r="1743">
      <c r="A1743" t="str">
        <f>IFERROR(__xludf.DUMMYFUNCTION("""COMPUTED_VALUE"""),"J12B")</f>
        <v>J12B</v>
      </c>
      <c r="B1743" s="226" t="str">
        <f>IFERROR(__xludf.DUMMYFUNCTION("""COMPUTED_VALUE"""),"5060128534905")</f>
        <v>5060128534905</v>
      </c>
      <c r="C1743" t="str">
        <f>IFERROR(__xludf.DUMMYFUNCTION("""COMPUTED_VALUE"""),"Westfalia/Witter")</f>
        <v>Westfalia/Witter</v>
      </c>
    </row>
    <row r="1744">
      <c r="A1744" t="str">
        <f>IFERROR(__xludf.DUMMYFUNCTION("""COMPUTED_VALUE"""),"J13B")</f>
        <v>J13B</v>
      </c>
      <c r="B1744" s="226" t="str">
        <f>IFERROR(__xludf.DUMMYFUNCTION("""COMPUTED_VALUE"""),"5060128534912")</f>
        <v>5060128534912</v>
      </c>
      <c r="C1744" t="str">
        <f>IFERROR(__xludf.DUMMYFUNCTION("""COMPUTED_VALUE"""),"Westfalia/Witter")</f>
        <v>Westfalia/Witter</v>
      </c>
    </row>
    <row r="1745">
      <c r="A1745" t="str">
        <f>IFERROR(__xludf.DUMMYFUNCTION("""COMPUTED_VALUE"""),"J13BQ")</f>
        <v>J13BQ</v>
      </c>
      <c r="B1745" s="226" t="str">
        <f>IFERROR(__xludf.DUMMYFUNCTION("""COMPUTED_VALUE"""),"5060128534929")</f>
        <v>5060128534929</v>
      </c>
      <c r="C1745" t="str">
        <f>IFERROR(__xludf.DUMMYFUNCTION("""COMPUTED_VALUE"""),"Westfalia/Witter")</f>
        <v>Westfalia/Witter</v>
      </c>
    </row>
    <row r="1746">
      <c r="A1746" t="str">
        <f>IFERROR(__xludf.DUMMYFUNCTION("""COMPUTED_VALUE"""),"J13BQ")</f>
        <v>J13BQ</v>
      </c>
      <c r="B1746" s="226" t="str">
        <f>IFERROR(__xludf.DUMMYFUNCTION("""COMPUTED_VALUE"""),"5060128534929")</f>
        <v>5060128534929</v>
      </c>
      <c r="C1746" t="str">
        <f>IFERROR(__xludf.DUMMYFUNCTION("""COMPUTED_VALUE"""),"Westfalia/Witter")</f>
        <v>Westfalia/Witter</v>
      </c>
    </row>
    <row r="1747">
      <c r="A1747" t="str">
        <f>IFERROR(__xludf.DUMMYFUNCTION("""COMPUTED_VALUE"""),"J13BS")</f>
        <v>J13BS</v>
      </c>
      <c r="B1747" s="226" t="str">
        <f>IFERROR(__xludf.DUMMYFUNCTION("""COMPUTED_VALUE"""),"5060128534943")</f>
        <v>5060128534943</v>
      </c>
      <c r="C1747" t="str">
        <f>IFERROR(__xludf.DUMMYFUNCTION("""COMPUTED_VALUE"""),"Westfalia/Witter")</f>
        <v>Westfalia/Witter</v>
      </c>
    </row>
    <row r="1748">
      <c r="A1748" t="str">
        <f>IFERROR(__xludf.DUMMYFUNCTION("""COMPUTED_VALUE"""),"J13BS")</f>
        <v>J13BS</v>
      </c>
      <c r="B1748" s="226" t="str">
        <f>IFERROR(__xludf.DUMMYFUNCTION("""COMPUTED_VALUE"""),"5060128534943")</f>
        <v>5060128534943</v>
      </c>
      <c r="C1748" t="str">
        <f>IFERROR(__xludf.DUMMYFUNCTION("""COMPUTED_VALUE"""),"Westfalia/Witter")</f>
        <v>Westfalia/Witter</v>
      </c>
    </row>
    <row r="1749">
      <c r="A1749" t="str">
        <f>IFERROR(__xludf.DUMMYFUNCTION("""COMPUTED_VALUE"""),"J16A")</f>
        <v>J16A</v>
      </c>
      <c r="B1749" s="226" t="str">
        <f>IFERROR(__xludf.DUMMYFUNCTION("""COMPUTED_VALUE"""),"5060128534950")</f>
        <v>5060128534950</v>
      </c>
      <c r="C1749" t="str">
        <f>IFERROR(__xludf.DUMMYFUNCTION("""COMPUTED_VALUE"""),"Westfalia/Witter")</f>
        <v>Westfalia/Witter</v>
      </c>
    </row>
    <row r="1750">
      <c r="A1750" t="str">
        <f>IFERROR(__xludf.DUMMYFUNCTION("""COMPUTED_VALUE"""),"J16AQ")</f>
        <v>J16AQ</v>
      </c>
      <c r="B1750" s="226" t="str">
        <f>IFERROR(__xludf.DUMMYFUNCTION("""COMPUTED_VALUE"""),"5060128534967")</f>
        <v>5060128534967</v>
      </c>
      <c r="C1750" t="str">
        <f>IFERROR(__xludf.DUMMYFUNCTION("""COMPUTED_VALUE"""),"Westfalia/Witter")</f>
        <v>Westfalia/Witter</v>
      </c>
    </row>
    <row r="1751">
      <c r="A1751" t="str">
        <f>IFERROR(__xludf.DUMMYFUNCTION("""COMPUTED_VALUE"""),"J16AS")</f>
        <v>J16AS</v>
      </c>
      <c r="B1751" s="226" t="str">
        <f>IFERROR(__xludf.DUMMYFUNCTION("""COMPUTED_VALUE"""),"5060128534981")</f>
        <v>5060128534981</v>
      </c>
      <c r="C1751" t="str">
        <f>IFERROR(__xludf.DUMMYFUNCTION("""COMPUTED_VALUE"""),"Westfalia/Witter")</f>
        <v>Westfalia/Witter</v>
      </c>
    </row>
    <row r="1752">
      <c r="A1752" t="str">
        <f>IFERROR(__xludf.DUMMYFUNCTION("""COMPUTED_VALUE"""),"J17Q")</f>
        <v>J17Q</v>
      </c>
      <c r="B1752" s="226" t="str">
        <f>IFERROR(__xludf.DUMMYFUNCTION("""COMPUTED_VALUE"""),"5060128534998")</f>
        <v>5060128534998</v>
      </c>
      <c r="C1752" t="str">
        <f>IFERROR(__xludf.DUMMYFUNCTION("""COMPUTED_VALUE"""),"Westfalia/Witter")</f>
        <v>Westfalia/Witter</v>
      </c>
    </row>
    <row r="1753">
      <c r="A1753" t="str">
        <f>IFERROR(__xludf.DUMMYFUNCTION("""COMPUTED_VALUE"""),"KA19A")</f>
        <v>KA19A</v>
      </c>
      <c r="B1753" s="226" t="str">
        <f>IFERROR(__xludf.DUMMYFUNCTION("""COMPUTED_VALUE"""),"5060128535063")</f>
        <v>5060128535063</v>
      </c>
      <c r="C1753" t="str">
        <f>IFERROR(__xludf.DUMMYFUNCTION("""COMPUTED_VALUE"""),"Westfalia/Witter")</f>
        <v>Westfalia/Witter</v>
      </c>
    </row>
    <row r="1754">
      <c r="A1754" t="str">
        <f>IFERROR(__xludf.DUMMYFUNCTION("""COMPUTED_VALUE"""),"KA19AQ")</f>
        <v>KA19AQ</v>
      </c>
      <c r="B1754" s="226" t="str">
        <f>IFERROR(__xludf.DUMMYFUNCTION("""COMPUTED_VALUE"""),"5060128535070")</f>
        <v>5060128535070</v>
      </c>
      <c r="C1754" t="str">
        <f>IFERROR(__xludf.DUMMYFUNCTION("""COMPUTED_VALUE"""),"Westfalia/Witter")</f>
        <v>Westfalia/Witter</v>
      </c>
    </row>
    <row r="1755">
      <c r="A1755" t="str">
        <f>IFERROR(__xludf.DUMMYFUNCTION("""COMPUTED_VALUE"""),"KA19AS")</f>
        <v>KA19AS</v>
      </c>
      <c r="B1755" s="226" t="str">
        <f>IFERROR(__xludf.DUMMYFUNCTION("""COMPUTED_VALUE"""),"5060128535087")</f>
        <v>5060128535087</v>
      </c>
      <c r="C1755" t="str">
        <f>IFERROR(__xludf.DUMMYFUNCTION("""COMPUTED_VALUE"""),"Westfalia/Witter")</f>
        <v>Westfalia/Witter</v>
      </c>
    </row>
    <row r="1756">
      <c r="A1756" t="str">
        <f>IFERROR(__xludf.DUMMYFUNCTION("""COMPUTED_VALUE"""),"KA19AS")</f>
        <v>KA19AS</v>
      </c>
      <c r="B1756" s="226" t="str">
        <f>IFERROR(__xludf.DUMMYFUNCTION("""COMPUTED_VALUE"""),"5060128535087")</f>
        <v>5060128535087</v>
      </c>
      <c r="C1756" t="str">
        <f>IFERROR(__xludf.DUMMYFUNCTION("""COMPUTED_VALUE"""),"Westfalia/Witter")</f>
        <v>Westfalia/Witter</v>
      </c>
    </row>
    <row r="1757">
      <c r="A1757" t="str">
        <f>IFERROR(__xludf.DUMMYFUNCTION("""COMPUTED_VALUE"""),"KA22A")</f>
        <v>KA22A</v>
      </c>
      <c r="B1757" s="226" t="str">
        <f>IFERROR(__xludf.DUMMYFUNCTION("""COMPUTED_VALUE"""),"5060128535094")</f>
        <v>5060128535094</v>
      </c>
      <c r="C1757" t="str">
        <f>IFERROR(__xludf.DUMMYFUNCTION("""COMPUTED_VALUE"""),"Westfalia/Witter")</f>
        <v>Westfalia/Witter</v>
      </c>
    </row>
    <row r="1758">
      <c r="A1758" t="str">
        <f>IFERROR(__xludf.DUMMYFUNCTION("""COMPUTED_VALUE"""),"KA23S")</f>
        <v>KA23S</v>
      </c>
      <c r="B1758" s="226" t="str">
        <f>IFERROR(__xludf.DUMMYFUNCTION("""COMPUTED_VALUE"""),"5060128535100")</f>
        <v>5060128535100</v>
      </c>
      <c r="C1758" t="str">
        <f>IFERROR(__xludf.DUMMYFUNCTION("""COMPUTED_VALUE"""),"Westfalia/Witter")</f>
        <v>Westfalia/Witter</v>
      </c>
    </row>
    <row r="1759">
      <c r="A1759" t="str">
        <f>IFERROR(__xludf.DUMMYFUNCTION("""COMPUTED_VALUE"""),"KA24AS")</f>
        <v>KA24AS</v>
      </c>
      <c r="B1759" s="226" t="str">
        <f>IFERROR(__xludf.DUMMYFUNCTION("""COMPUTED_VALUE"""),"5060128535124")</f>
        <v>5060128535124</v>
      </c>
      <c r="C1759" t="str">
        <f>IFERROR(__xludf.DUMMYFUNCTION("""COMPUTED_VALUE"""),"Westfalia/Witter")</f>
        <v>Westfalia/Witter</v>
      </c>
    </row>
    <row r="1760">
      <c r="A1760" t="str">
        <f>IFERROR(__xludf.DUMMYFUNCTION("""COMPUTED_VALUE"""),"KA24AS")</f>
        <v>KA24AS</v>
      </c>
      <c r="B1760" s="226" t="str">
        <f>IFERROR(__xludf.DUMMYFUNCTION("""COMPUTED_VALUE"""),"5060128535124")</f>
        <v>5060128535124</v>
      </c>
      <c r="C1760" t="str">
        <f>IFERROR(__xludf.DUMMYFUNCTION("""COMPUTED_VALUE"""),"Westfalia/Witter")</f>
        <v>Westfalia/Witter</v>
      </c>
    </row>
    <row r="1761">
      <c r="A1761" t="str">
        <f>IFERROR(__xludf.DUMMYFUNCTION("""COMPUTED_VALUE"""),"KA27A")</f>
        <v>KA27A</v>
      </c>
      <c r="B1761" s="226" t="str">
        <f>IFERROR(__xludf.DUMMYFUNCTION("""COMPUTED_VALUE"""),"5060128535148")</f>
        <v>5060128535148</v>
      </c>
      <c r="C1761" t="str">
        <f>IFERROR(__xludf.DUMMYFUNCTION("""COMPUTED_VALUE"""),"Westfalia/Witter")</f>
        <v>Westfalia/Witter</v>
      </c>
    </row>
    <row r="1762">
      <c r="A1762" t="str">
        <f>IFERROR(__xludf.DUMMYFUNCTION("""COMPUTED_VALUE"""),"KA28")</f>
        <v>KA28</v>
      </c>
      <c r="B1762" s="226" t="str">
        <f>IFERROR(__xludf.DUMMYFUNCTION("""COMPUTED_VALUE"""),"5060128535155")</f>
        <v>5060128535155</v>
      </c>
      <c r="C1762" t="str">
        <f>IFERROR(__xludf.DUMMYFUNCTION("""COMPUTED_VALUE"""),"Westfalia/Witter")</f>
        <v>Westfalia/Witter</v>
      </c>
    </row>
    <row r="1763">
      <c r="A1763" t="str">
        <f>IFERROR(__xludf.DUMMYFUNCTION("""COMPUTED_VALUE"""),"KA28Q")</f>
        <v>KA28Q</v>
      </c>
      <c r="B1763" s="226" t="str">
        <f>IFERROR(__xludf.DUMMYFUNCTION("""COMPUTED_VALUE"""),"5060128535162")</f>
        <v>5060128535162</v>
      </c>
      <c r="C1763" t="str">
        <f>IFERROR(__xludf.DUMMYFUNCTION("""COMPUTED_VALUE"""),"Westfalia/Witter")</f>
        <v>Westfalia/Witter</v>
      </c>
    </row>
    <row r="1764">
      <c r="A1764" t="str">
        <f>IFERROR(__xludf.DUMMYFUNCTION("""COMPUTED_VALUE"""),"KA28S")</f>
        <v>KA28S</v>
      </c>
      <c r="B1764" s="226" t="str">
        <f>IFERROR(__xludf.DUMMYFUNCTION("""COMPUTED_VALUE"""),"5060128535179")</f>
        <v>5060128535179</v>
      </c>
      <c r="C1764" t="str">
        <f>IFERROR(__xludf.DUMMYFUNCTION("""COMPUTED_VALUE"""),"Westfalia/Witter")</f>
        <v>Westfalia/Witter</v>
      </c>
    </row>
    <row r="1765">
      <c r="A1765" t="str">
        <f>IFERROR(__xludf.DUMMYFUNCTION("""COMPUTED_VALUE"""),"KA30Q")</f>
        <v>KA30Q</v>
      </c>
      <c r="B1765" s="226" t="str">
        <f>IFERROR(__xludf.DUMMYFUNCTION("""COMPUTED_VALUE"""),"5060128535186")</f>
        <v>5060128535186</v>
      </c>
      <c r="C1765" t="str">
        <f>IFERROR(__xludf.DUMMYFUNCTION("""COMPUTED_VALUE"""),"Westfalia/Witter")</f>
        <v>Westfalia/Witter</v>
      </c>
    </row>
    <row r="1766">
      <c r="A1766" t="str">
        <f>IFERROR(__xludf.DUMMYFUNCTION("""COMPUTED_VALUE"""),"KA31")</f>
        <v>KA31</v>
      </c>
      <c r="B1766" s="226" t="str">
        <f>IFERROR(__xludf.DUMMYFUNCTION("""COMPUTED_VALUE"""),"5060128535193")</f>
        <v>5060128535193</v>
      </c>
      <c r="C1766" t="str">
        <f>IFERROR(__xludf.DUMMYFUNCTION("""COMPUTED_VALUE"""),"Westfalia/Witter")</f>
        <v>Westfalia/Witter</v>
      </c>
    </row>
    <row r="1767">
      <c r="A1767" t="str">
        <f>IFERROR(__xludf.DUMMYFUNCTION("""COMPUTED_VALUE"""),"KA31Q")</f>
        <v>KA31Q</v>
      </c>
      <c r="B1767" s="226" t="str">
        <f>IFERROR(__xludf.DUMMYFUNCTION("""COMPUTED_VALUE"""),"5060128535209")</f>
        <v>5060128535209</v>
      </c>
      <c r="C1767" t="str">
        <f>IFERROR(__xludf.DUMMYFUNCTION("""COMPUTED_VALUE"""),"Westfalia/Witter")</f>
        <v>Westfalia/Witter</v>
      </c>
    </row>
    <row r="1768">
      <c r="A1768" t="str">
        <f>IFERROR(__xludf.DUMMYFUNCTION("""COMPUTED_VALUE"""),"KA31S")</f>
        <v>KA31S</v>
      </c>
      <c r="B1768" s="226" t="str">
        <f>IFERROR(__xludf.DUMMYFUNCTION("""COMPUTED_VALUE"""),"5060128535223")</f>
        <v>5060128535223</v>
      </c>
      <c r="C1768" t="str">
        <f>IFERROR(__xludf.DUMMYFUNCTION("""COMPUTED_VALUE"""),"Westfalia/Witter")</f>
        <v>Westfalia/Witter</v>
      </c>
    </row>
    <row r="1769">
      <c r="A1769" t="str">
        <f>IFERROR(__xludf.DUMMYFUNCTION("""COMPUTED_VALUE"""),"KA33S")</f>
        <v>KA33S</v>
      </c>
      <c r="B1769" s="226" t="str">
        <f>IFERROR(__xludf.DUMMYFUNCTION("""COMPUTED_VALUE"""),"5060128535230")</f>
        <v>5060128535230</v>
      </c>
      <c r="C1769" t="str">
        <f>IFERROR(__xludf.DUMMYFUNCTION("""COMPUTED_VALUE"""),"Westfalia/Witter")</f>
        <v>Westfalia/Witter</v>
      </c>
    </row>
    <row r="1770">
      <c r="A1770" t="str">
        <f>IFERROR(__xludf.DUMMYFUNCTION("""COMPUTED_VALUE"""),"KA36B")</f>
        <v>KA36B</v>
      </c>
      <c r="B1770" s="226" t="str">
        <f>IFERROR(__xludf.DUMMYFUNCTION("""COMPUTED_VALUE"""),"5060128535254")</f>
        <v>5060128535254</v>
      </c>
      <c r="C1770" t="str">
        <f>IFERROR(__xludf.DUMMYFUNCTION("""COMPUTED_VALUE"""),"Westfalia/Witter")</f>
        <v>Westfalia/Witter</v>
      </c>
    </row>
    <row r="1771">
      <c r="A1771" t="str">
        <f>IFERROR(__xludf.DUMMYFUNCTION("""COMPUTED_VALUE"""),"KA36BQ")</f>
        <v>KA36BQ</v>
      </c>
      <c r="B1771" s="226" t="str">
        <f>IFERROR(__xludf.DUMMYFUNCTION("""COMPUTED_VALUE"""),"5060128535261")</f>
        <v>5060128535261</v>
      </c>
      <c r="C1771" t="str">
        <f>IFERROR(__xludf.DUMMYFUNCTION("""COMPUTED_VALUE"""),"Westfalia/Witter")</f>
        <v>Westfalia/Witter</v>
      </c>
    </row>
    <row r="1772">
      <c r="A1772" t="str">
        <f>IFERROR(__xludf.DUMMYFUNCTION("""COMPUTED_VALUE"""),"KA36BS")</f>
        <v>KA36BS</v>
      </c>
      <c r="B1772" s="226" t="str">
        <f>IFERROR(__xludf.DUMMYFUNCTION("""COMPUTED_VALUE"""),"5060128535278")</f>
        <v>5060128535278</v>
      </c>
      <c r="C1772" t="str">
        <f>IFERROR(__xludf.DUMMYFUNCTION("""COMPUTED_VALUE"""),"Westfalia/Witter")</f>
        <v>Westfalia/Witter</v>
      </c>
    </row>
    <row r="1773">
      <c r="A1773" t="str">
        <f>IFERROR(__xludf.DUMMYFUNCTION("""COMPUTED_VALUE"""),"KA36BS")</f>
        <v>KA36BS</v>
      </c>
      <c r="B1773" s="226" t="str">
        <f>IFERROR(__xludf.DUMMYFUNCTION("""COMPUTED_VALUE"""),"5060128535278")</f>
        <v>5060128535278</v>
      </c>
      <c r="C1773" t="str">
        <f>IFERROR(__xludf.DUMMYFUNCTION("""COMPUTED_VALUE"""),"Westfalia/Witter")</f>
        <v>Westfalia/Witter</v>
      </c>
    </row>
    <row r="1774">
      <c r="A1774" t="str">
        <f>IFERROR(__xludf.DUMMYFUNCTION("""COMPUTED_VALUE"""),"KA38")</f>
        <v>KA38</v>
      </c>
      <c r="B1774" s="226" t="str">
        <f>IFERROR(__xludf.DUMMYFUNCTION("""COMPUTED_VALUE"""),"5060128535285")</f>
        <v>5060128535285</v>
      </c>
      <c r="C1774" t="str">
        <f>IFERROR(__xludf.DUMMYFUNCTION("""COMPUTED_VALUE"""),"Westfalia/Witter")</f>
        <v>Westfalia/Witter</v>
      </c>
    </row>
    <row r="1775">
      <c r="A1775" t="str">
        <f>IFERROR(__xludf.DUMMYFUNCTION("""COMPUTED_VALUE"""),"KA39Q")</f>
        <v>KA39Q</v>
      </c>
      <c r="B1775" s="226" t="str">
        <f>IFERROR(__xludf.DUMMYFUNCTION("""COMPUTED_VALUE"""),"5060128535292")</f>
        <v>5060128535292</v>
      </c>
      <c r="C1775" t="str">
        <f>IFERROR(__xludf.DUMMYFUNCTION("""COMPUTED_VALUE"""),"Westfalia/Witter")</f>
        <v>Westfalia/Witter</v>
      </c>
    </row>
    <row r="1776">
      <c r="A1776" t="str">
        <f>IFERROR(__xludf.DUMMYFUNCTION("""COMPUTED_VALUE"""),"KA40")</f>
        <v>KA40</v>
      </c>
      <c r="B1776" s="226" t="str">
        <f>IFERROR(__xludf.DUMMYFUNCTION("""COMPUTED_VALUE"""),"5060128535315")</f>
        <v>5060128535315</v>
      </c>
      <c r="C1776" t="str">
        <f>IFERROR(__xludf.DUMMYFUNCTION("""COMPUTED_VALUE"""),"Westfalia/Witter")</f>
        <v>Westfalia/Witter</v>
      </c>
    </row>
    <row r="1777">
      <c r="A1777" t="str">
        <f>IFERROR(__xludf.DUMMYFUNCTION("""COMPUTED_VALUE"""),"KA40Q")</f>
        <v>KA40Q</v>
      </c>
      <c r="B1777" s="226" t="str">
        <f>IFERROR(__xludf.DUMMYFUNCTION("""COMPUTED_VALUE"""),"5060128535322")</f>
        <v>5060128535322</v>
      </c>
      <c r="C1777" t="str">
        <f>IFERROR(__xludf.DUMMYFUNCTION("""COMPUTED_VALUE"""),"Westfalia/Witter")</f>
        <v>Westfalia/Witter</v>
      </c>
    </row>
    <row r="1778">
      <c r="A1778" t="str">
        <f>IFERROR(__xludf.DUMMYFUNCTION("""COMPUTED_VALUE"""),"KA41Q")</f>
        <v>KA41Q</v>
      </c>
      <c r="B1778" s="226" t="str">
        <f>IFERROR(__xludf.DUMMYFUNCTION("""COMPUTED_VALUE"""),"5060128535353")</f>
        <v>5060128535353</v>
      </c>
      <c r="C1778" t="str">
        <f>IFERROR(__xludf.DUMMYFUNCTION("""COMPUTED_VALUE"""),"Westfalia/Witter")</f>
        <v>Westfalia/Witter</v>
      </c>
    </row>
    <row r="1779">
      <c r="A1779" t="str">
        <f>IFERROR(__xludf.DUMMYFUNCTION("""COMPUTED_VALUE"""),"KA41S")</f>
        <v>KA41S</v>
      </c>
      <c r="B1779" s="226" t="str">
        <f>IFERROR(__xludf.DUMMYFUNCTION("""COMPUTED_VALUE"""),"5060128535360")</f>
        <v>5060128535360</v>
      </c>
      <c r="C1779" t="str">
        <f>IFERROR(__xludf.DUMMYFUNCTION("""COMPUTED_VALUE"""),"Westfalia/Witter")</f>
        <v>Westfalia/Witter</v>
      </c>
    </row>
    <row r="1780">
      <c r="A1780" t="str">
        <f>IFERROR(__xludf.DUMMYFUNCTION("""COMPUTED_VALUE"""),"KA42AQ")</f>
        <v>KA42AQ</v>
      </c>
      <c r="B1780" s="226" t="str">
        <f>IFERROR(__xludf.DUMMYFUNCTION("""COMPUTED_VALUE"""),"5060128535384")</f>
        <v>5060128535384</v>
      </c>
      <c r="C1780" t="str">
        <f>IFERROR(__xludf.DUMMYFUNCTION("""COMPUTED_VALUE"""),"Westfalia/Witter")</f>
        <v>Westfalia/Witter</v>
      </c>
    </row>
    <row r="1781">
      <c r="A1781" t="str">
        <f>IFERROR(__xludf.DUMMYFUNCTION("""COMPUTED_VALUE"""),"KA42AS")</f>
        <v>KA42AS</v>
      </c>
      <c r="B1781" s="226" t="str">
        <f>IFERROR(__xludf.DUMMYFUNCTION("""COMPUTED_VALUE"""),"5060128535391")</f>
        <v>5060128535391</v>
      </c>
      <c r="C1781" t="str">
        <f>IFERROR(__xludf.DUMMYFUNCTION("""COMPUTED_VALUE"""),"Westfalia/Witter")</f>
        <v>Westfalia/Witter</v>
      </c>
    </row>
    <row r="1782">
      <c r="A1782" t="str">
        <f>IFERROR(__xludf.DUMMYFUNCTION("""COMPUTED_VALUE"""),"KA5A")</f>
        <v>KA5A</v>
      </c>
      <c r="B1782" s="226" t="str">
        <f>IFERROR(__xludf.DUMMYFUNCTION("""COMPUTED_VALUE"""),"5060128535414")</f>
        <v>5060128535414</v>
      </c>
      <c r="C1782" t="str">
        <f>IFERROR(__xludf.DUMMYFUNCTION("""COMPUTED_VALUE"""),"Westfalia/Witter")</f>
        <v>Westfalia/Witter</v>
      </c>
    </row>
    <row r="1783">
      <c r="A1783" t="str">
        <f>IFERROR(__xludf.DUMMYFUNCTION("""COMPUTED_VALUE"""),"KA8A")</f>
        <v>KA8A</v>
      </c>
      <c r="B1783" s="226" t="str">
        <f>IFERROR(__xludf.DUMMYFUNCTION("""COMPUTED_VALUE"""),"5060128535438")</f>
        <v>5060128535438</v>
      </c>
      <c r="C1783" t="str">
        <f>IFERROR(__xludf.DUMMYFUNCTION("""COMPUTED_VALUE"""),"Westfalia/Witter")</f>
        <v>Westfalia/Witter</v>
      </c>
    </row>
    <row r="1784">
      <c r="A1784" t="str">
        <f>IFERROR(__xludf.DUMMYFUNCTION("""COMPUTED_VALUE"""),"KA9B")</f>
        <v>KA9B</v>
      </c>
      <c r="B1784" s="226" t="str">
        <f>IFERROR(__xludf.DUMMYFUNCTION("""COMPUTED_VALUE"""),"5060128535445")</f>
        <v>5060128535445</v>
      </c>
      <c r="C1784" t="str">
        <f>IFERROR(__xludf.DUMMYFUNCTION("""COMPUTED_VALUE"""),"Westfalia/Witter")</f>
        <v>Westfalia/Witter</v>
      </c>
    </row>
    <row r="1785">
      <c r="A1785" t="str">
        <f>IFERROR(__xludf.DUMMYFUNCTION("""COMPUTED_VALUE"""),"KA9BQ")</f>
        <v>KA9BQ</v>
      </c>
      <c r="B1785" s="226" t="str">
        <f>IFERROR(__xludf.DUMMYFUNCTION("""COMPUTED_VALUE"""),"5060128535452")</f>
        <v>5060128535452</v>
      </c>
      <c r="C1785" t="str">
        <f>IFERROR(__xludf.DUMMYFUNCTION("""COMPUTED_VALUE"""),"Westfalia/Witter")</f>
        <v>Westfalia/Witter</v>
      </c>
    </row>
    <row r="1786">
      <c r="A1786" t="str">
        <f>IFERROR(__xludf.DUMMYFUNCTION("""COMPUTED_VALUE"""),"KA9BS")</f>
        <v>KA9BS</v>
      </c>
      <c r="B1786" s="226" t="str">
        <f>IFERROR(__xludf.DUMMYFUNCTION("""COMPUTED_VALUE"""),"5060128535469")</f>
        <v>5060128535469</v>
      </c>
      <c r="C1786" t="str">
        <f>IFERROR(__xludf.DUMMYFUNCTION("""COMPUTED_VALUE"""),"Westfalia/Witter")</f>
        <v>Westfalia/Witter</v>
      </c>
    </row>
    <row r="1787">
      <c r="A1787" t="str">
        <f>IFERROR(__xludf.DUMMYFUNCTION("""COMPUTED_VALUE"""),"LX1A")</f>
        <v>LX1A</v>
      </c>
      <c r="B1787" s="226" t="str">
        <f>IFERROR(__xludf.DUMMYFUNCTION("""COMPUTED_VALUE"""),"5060128535476")</f>
        <v>5060128535476</v>
      </c>
      <c r="C1787" t="str">
        <f>IFERROR(__xludf.DUMMYFUNCTION("""COMPUTED_VALUE"""),"Westfalia/Witter")</f>
        <v>Westfalia/Witter</v>
      </c>
    </row>
    <row r="1788">
      <c r="A1788" t="str">
        <f>IFERROR(__xludf.DUMMYFUNCTION("""COMPUTED_VALUE"""),"LX1AQ")</f>
        <v>LX1AQ</v>
      </c>
      <c r="B1788" s="226" t="str">
        <f>IFERROR(__xludf.DUMMYFUNCTION("""COMPUTED_VALUE"""),"5060128535483")</f>
        <v>5060128535483</v>
      </c>
      <c r="C1788" t="str">
        <f>IFERROR(__xludf.DUMMYFUNCTION("""COMPUTED_VALUE"""),"Westfalia/Witter")</f>
        <v>Westfalia/Witter</v>
      </c>
    </row>
    <row r="1789">
      <c r="A1789" t="str">
        <f>IFERROR(__xludf.DUMMYFUNCTION("""COMPUTED_VALUE"""),"LX1AS")</f>
        <v>LX1AS</v>
      </c>
      <c r="B1789" s="226" t="str">
        <f>IFERROR(__xludf.DUMMYFUNCTION("""COMPUTED_VALUE"""),"5060128535490")</f>
        <v>5060128535490</v>
      </c>
      <c r="C1789" t="str">
        <f>IFERROR(__xludf.DUMMYFUNCTION("""COMPUTED_VALUE"""),"Westfalia/Witter")</f>
        <v>Westfalia/Witter</v>
      </c>
    </row>
    <row r="1790">
      <c r="A1790" t="str">
        <f>IFERROR(__xludf.DUMMYFUNCTION("""COMPUTED_VALUE"""),"LX2")</f>
        <v>LX2</v>
      </c>
      <c r="B1790" s="226" t="str">
        <f>IFERROR(__xludf.DUMMYFUNCTION("""COMPUTED_VALUE"""),"5060128535506")</f>
        <v>5060128535506</v>
      </c>
      <c r="C1790" t="str">
        <f>IFERROR(__xludf.DUMMYFUNCTION("""COMPUTED_VALUE"""),"Westfalia/Witter")</f>
        <v>Westfalia/Witter</v>
      </c>
    </row>
    <row r="1791">
      <c r="A1791" t="str">
        <f>IFERROR(__xludf.DUMMYFUNCTION("""COMPUTED_VALUE"""),"LX2Q")</f>
        <v>LX2Q</v>
      </c>
      <c r="B1791" s="226" t="str">
        <f>IFERROR(__xludf.DUMMYFUNCTION("""COMPUTED_VALUE"""),"5060128535513")</f>
        <v>5060128535513</v>
      </c>
      <c r="C1791" t="str">
        <f>IFERROR(__xludf.DUMMYFUNCTION("""COMPUTED_VALUE"""),"Westfalia/Witter")</f>
        <v>Westfalia/Witter</v>
      </c>
    </row>
    <row r="1792">
      <c r="A1792" t="str">
        <f>IFERROR(__xludf.DUMMYFUNCTION("""COMPUTED_VALUE"""),"MR14B")</f>
        <v>MR14B</v>
      </c>
      <c r="B1792" s="226" t="str">
        <f>IFERROR(__xludf.DUMMYFUNCTION("""COMPUTED_VALUE"""),"5060128535544")</f>
        <v>5060128535544</v>
      </c>
      <c r="C1792" t="str">
        <f>IFERROR(__xludf.DUMMYFUNCTION("""COMPUTED_VALUE"""),"Westfalia/Witter")</f>
        <v>Westfalia/Witter</v>
      </c>
    </row>
    <row r="1793">
      <c r="A1793" t="str">
        <f>IFERROR(__xludf.DUMMYFUNCTION("""COMPUTED_VALUE"""),"MR15A")</f>
        <v>MR15A</v>
      </c>
      <c r="B1793" s="226" t="str">
        <f>IFERROR(__xludf.DUMMYFUNCTION("""COMPUTED_VALUE"""),"5060128535551")</f>
        <v>5060128535551</v>
      </c>
      <c r="C1793" t="str">
        <f>IFERROR(__xludf.DUMMYFUNCTION("""COMPUTED_VALUE"""),"Westfalia/Witter")</f>
        <v>Westfalia/Witter</v>
      </c>
    </row>
    <row r="1794">
      <c r="A1794" t="str">
        <f>IFERROR(__xludf.DUMMYFUNCTION("""COMPUTED_VALUE"""),"MR16A")</f>
        <v>MR16A</v>
      </c>
      <c r="B1794" s="226" t="str">
        <f>IFERROR(__xludf.DUMMYFUNCTION("""COMPUTED_VALUE"""),"5060128535568")</f>
        <v>5060128535568</v>
      </c>
      <c r="C1794" t="str">
        <f>IFERROR(__xludf.DUMMYFUNCTION("""COMPUTED_VALUE"""),"Westfalia/Witter")</f>
        <v>Westfalia/Witter</v>
      </c>
    </row>
    <row r="1795">
      <c r="A1795" t="str">
        <f>IFERROR(__xludf.DUMMYFUNCTION("""COMPUTED_VALUE"""),"MR17A")</f>
        <v>MR17A</v>
      </c>
      <c r="B1795" s="226" t="str">
        <f>IFERROR(__xludf.DUMMYFUNCTION("""COMPUTED_VALUE"""),"5060128535575")</f>
        <v>5060128535575</v>
      </c>
      <c r="C1795" t="str">
        <f>IFERROR(__xludf.DUMMYFUNCTION("""COMPUTED_VALUE"""),"Westfalia/Witter")</f>
        <v>Westfalia/Witter</v>
      </c>
    </row>
    <row r="1796">
      <c r="A1796" t="str">
        <f>IFERROR(__xludf.DUMMYFUNCTION("""COMPUTED_VALUE"""),"MR18A")</f>
        <v>MR18A</v>
      </c>
      <c r="B1796" s="226" t="str">
        <f>IFERROR(__xludf.DUMMYFUNCTION("""COMPUTED_VALUE"""),"5060128535582")</f>
        <v>5060128535582</v>
      </c>
      <c r="C1796" t="str">
        <f>IFERROR(__xludf.DUMMYFUNCTION("""COMPUTED_VALUE"""),"Westfalia/Witter")</f>
        <v>Westfalia/Witter</v>
      </c>
    </row>
    <row r="1797">
      <c r="A1797" t="str">
        <f>IFERROR(__xludf.DUMMYFUNCTION("""COMPUTED_VALUE"""),"MR19A")</f>
        <v>MR19A</v>
      </c>
      <c r="B1797" s="226" t="str">
        <f>IFERROR(__xludf.DUMMYFUNCTION("""COMPUTED_VALUE"""),"5060128535599")</f>
        <v>5060128535599</v>
      </c>
      <c r="C1797" t="str">
        <f>IFERROR(__xludf.DUMMYFUNCTION("""COMPUTED_VALUE"""),"Westfalia/Witter")</f>
        <v>Westfalia/Witter</v>
      </c>
    </row>
    <row r="1798">
      <c r="A1798" t="str">
        <f>IFERROR(__xludf.DUMMYFUNCTION("""COMPUTED_VALUE"""),"MR21A")</f>
        <v>MR21A</v>
      </c>
      <c r="B1798" s="226" t="str">
        <f>IFERROR(__xludf.DUMMYFUNCTION("""COMPUTED_VALUE"""),"5060128535605")</f>
        <v>5060128535605</v>
      </c>
      <c r="C1798" t="str">
        <f>IFERROR(__xludf.DUMMYFUNCTION("""COMPUTED_VALUE"""),"Westfalia/Witter")</f>
        <v>Westfalia/Witter</v>
      </c>
    </row>
    <row r="1799">
      <c r="A1799" t="str">
        <f>IFERROR(__xludf.DUMMYFUNCTION("""COMPUTED_VALUE"""),"MR21R")</f>
        <v>MR21R</v>
      </c>
      <c r="B1799" s="226" t="str">
        <f>IFERROR(__xludf.DUMMYFUNCTION("""COMPUTED_VALUE"""),"5060128535612")</f>
        <v>5060128535612</v>
      </c>
      <c r="C1799" t="str">
        <f>IFERROR(__xludf.DUMMYFUNCTION("""COMPUTED_VALUE"""),"Westfalia/Witter")</f>
        <v>Westfalia/Witter</v>
      </c>
    </row>
    <row r="1800">
      <c r="A1800" t="str">
        <f>IFERROR(__xludf.DUMMYFUNCTION("""COMPUTED_VALUE"""),"MR21R")</f>
        <v>MR21R</v>
      </c>
      <c r="B1800" s="226" t="str">
        <f>IFERROR(__xludf.DUMMYFUNCTION("""COMPUTED_VALUE"""),"5060128535612")</f>
        <v>5060128535612</v>
      </c>
      <c r="C1800" t="str">
        <f>IFERROR(__xludf.DUMMYFUNCTION("""COMPUTED_VALUE"""),"Westfalia/Witter")</f>
        <v>Westfalia/Witter</v>
      </c>
    </row>
    <row r="1801">
      <c r="A1801" t="str">
        <f>IFERROR(__xludf.DUMMYFUNCTION("""COMPUTED_VALUE"""),"MR24A")</f>
        <v>MR24A</v>
      </c>
      <c r="B1801" s="226" t="str">
        <f>IFERROR(__xludf.DUMMYFUNCTION("""COMPUTED_VALUE"""),"5060128535629")</f>
        <v>5060128535629</v>
      </c>
      <c r="C1801" t="str">
        <f>IFERROR(__xludf.DUMMYFUNCTION("""COMPUTED_VALUE"""),"Westfalia/Witter")</f>
        <v>Westfalia/Witter</v>
      </c>
    </row>
    <row r="1802">
      <c r="A1802" t="str">
        <f>IFERROR(__xludf.DUMMYFUNCTION("""COMPUTED_VALUE"""),"MR24AQ")</f>
        <v>MR24AQ</v>
      </c>
      <c r="B1802" s="226" t="str">
        <f>IFERROR(__xludf.DUMMYFUNCTION("""COMPUTED_VALUE"""),"5060128535636")</f>
        <v>5060128535636</v>
      </c>
      <c r="C1802" t="str">
        <f>IFERROR(__xludf.DUMMYFUNCTION("""COMPUTED_VALUE"""),"Westfalia/Witter")</f>
        <v>Westfalia/Witter</v>
      </c>
    </row>
    <row r="1803">
      <c r="A1803" t="str">
        <f>IFERROR(__xludf.DUMMYFUNCTION("""COMPUTED_VALUE"""),"MR24AQ")</f>
        <v>MR24AQ</v>
      </c>
      <c r="B1803" s="226" t="str">
        <f>IFERROR(__xludf.DUMMYFUNCTION("""COMPUTED_VALUE"""),"5060128535636")</f>
        <v>5060128535636</v>
      </c>
      <c r="C1803" t="str">
        <f>IFERROR(__xludf.DUMMYFUNCTION("""COMPUTED_VALUE"""),"Westfalia/Witter")</f>
        <v>Westfalia/Witter</v>
      </c>
    </row>
    <row r="1804">
      <c r="A1804" t="str">
        <f>IFERROR(__xludf.DUMMYFUNCTION("""COMPUTED_VALUE"""),"MR25B")</f>
        <v>MR25B</v>
      </c>
      <c r="B1804" s="226" t="str">
        <f>IFERROR(__xludf.DUMMYFUNCTION("""COMPUTED_VALUE"""),"5060128535643")</f>
        <v>5060128535643</v>
      </c>
      <c r="C1804" t="str">
        <f>IFERROR(__xludf.DUMMYFUNCTION("""COMPUTED_VALUE"""),"Westfalia/Witter")</f>
        <v>Westfalia/Witter</v>
      </c>
    </row>
    <row r="1805">
      <c r="A1805" t="str">
        <f>IFERROR(__xludf.DUMMYFUNCTION("""COMPUTED_VALUE"""),"MR29A")</f>
        <v>MR29A</v>
      </c>
      <c r="B1805" s="226" t="str">
        <f>IFERROR(__xludf.DUMMYFUNCTION("""COMPUTED_VALUE"""),"5060128535674")</f>
        <v>5060128535674</v>
      </c>
      <c r="C1805" t="str">
        <f>IFERROR(__xludf.DUMMYFUNCTION("""COMPUTED_VALUE"""),"Westfalia/Witter")</f>
        <v>Westfalia/Witter</v>
      </c>
    </row>
    <row r="1806">
      <c r="A1806" t="str">
        <f>IFERROR(__xludf.DUMMYFUNCTION("""COMPUTED_VALUE"""),"MR29AQ")</f>
        <v>MR29AQ</v>
      </c>
      <c r="B1806" s="226" t="str">
        <f>IFERROR(__xludf.DUMMYFUNCTION("""COMPUTED_VALUE"""),"5060128535681")</f>
        <v>5060128535681</v>
      </c>
      <c r="C1806" t="str">
        <f>IFERROR(__xludf.DUMMYFUNCTION("""COMPUTED_VALUE"""),"Westfalia/Witter")</f>
        <v>Westfalia/Witter</v>
      </c>
    </row>
    <row r="1807">
      <c r="A1807" t="str">
        <f>IFERROR(__xludf.DUMMYFUNCTION("""COMPUTED_VALUE"""),"MR29AS")</f>
        <v>MR29AS</v>
      </c>
      <c r="B1807" s="226" t="str">
        <f>IFERROR(__xludf.DUMMYFUNCTION("""COMPUTED_VALUE"""),"5060128535698")</f>
        <v>5060128535698</v>
      </c>
      <c r="C1807" t="str">
        <f>IFERROR(__xludf.DUMMYFUNCTION("""COMPUTED_VALUE"""),"Westfalia/Witter")</f>
        <v>Westfalia/Witter</v>
      </c>
    </row>
    <row r="1808">
      <c r="A1808" t="str">
        <f>IFERROR(__xludf.DUMMYFUNCTION("""COMPUTED_VALUE"""),"MR30A")</f>
        <v>MR30A</v>
      </c>
      <c r="B1808" s="226" t="str">
        <f>IFERROR(__xludf.DUMMYFUNCTION("""COMPUTED_VALUE"""),"5060128535704")</f>
        <v>5060128535704</v>
      </c>
      <c r="C1808" t="str">
        <f>IFERROR(__xludf.DUMMYFUNCTION("""COMPUTED_VALUE"""),"Westfalia/Witter")</f>
        <v>Westfalia/Witter</v>
      </c>
    </row>
    <row r="1809">
      <c r="A1809" t="str">
        <f>IFERROR(__xludf.DUMMYFUNCTION("""COMPUTED_VALUE"""),"MR35B")</f>
        <v>MR35B</v>
      </c>
      <c r="B1809" s="226" t="str">
        <f>IFERROR(__xludf.DUMMYFUNCTION("""COMPUTED_VALUE"""),"5060128535735")</f>
        <v>5060128535735</v>
      </c>
      <c r="C1809" t="str">
        <f>IFERROR(__xludf.DUMMYFUNCTION("""COMPUTED_VALUE"""),"Westfalia/Witter")</f>
        <v>Westfalia/Witter</v>
      </c>
    </row>
    <row r="1810">
      <c r="A1810" t="str">
        <f>IFERROR(__xludf.DUMMYFUNCTION("""COMPUTED_VALUE"""),"MR35B")</f>
        <v>MR35B</v>
      </c>
      <c r="B1810" s="226" t="str">
        <f>IFERROR(__xludf.DUMMYFUNCTION("""COMPUTED_VALUE"""),"5060128535735")</f>
        <v>5060128535735</v>
      </c>
      <c r="C1810" t="str">
        <f>IFERROR(__xludf.DUMMYFUNCTION("""COMPUTED_VALUE"""),"Westfalia/Witter")</f>
        <v>Westfalia/Witter</v>
      </c>
    </row>
    <row r="1811">
      <c r="A1811" t="str">
        <f>IFERROR(__xludf.DUMMYFUNCTION("""COMPUTED_VALUE"""),"MR35B")</f>
        <v>MR35B</v>
      </c>
      <c r="B1811" s="226" t="str">
        <f>IFERROR(__xludf.DUMMYFUNCTION("""COMPUTED_VALUE"""),"5060128535735")</f>
        <v>5060128535735</v>
      </c>
      <c r="C1811" t="str">
        <f>IFERROR(__xludf.DUMMYFUNCTION("""COMPUTED_VALUE"""),"Westfalia/Witter")</f>
        <v>Westfalia/Witter</v>
      </c>
    </row>
    <row r="1812">
      <c r="A1812" t="str">
        <f>IFERROR(__xludf.DUMMYFUNCTION("""COMPUTED_VALUE"""),"MR35B")</f>
        <v>MR35B</v>
      </c>
      <c r="B1812" s="226" t="str">
        <f>IFERROR(__xludf.DUMMYFUNCTION("""COMPUTED_VALUE"""),"5060128535735")</f>
        <v>5060128535735</v>
      </c>
      <c r="C1812" t="str">
        <f>IFERROR(__xludf.DUMMYFUNCTION("""COMPUTED_VALUE"""),"Westfalia/Witter")</f>
        <v>Westfalia/Witter</v>
      </c>
    </row>
    <row r="1813">
      <c r="A1813" t="str">
        <f>IFERROR(__xludf.DUMMYFUNCTION("""COMPUTED_VALUE"""),"MR36AQ")</f>
        <v>MR36AQ</v>
      </c>
      <c r="B1813" s="226" t="str">
        <f>IFERROR(__xludf.DUMMYFUNCTION("""COMPUTED_VALUE"""),"5060128535742")</f>
        <v>5060128535742</v>
      </c>
      <c r="C1813" t="str">
        <f>IFERROR(__xludf.DUMMYFUNCTION("""COMPUTED_VALUE"""),"Westfalia/Witter")</f>
        <v>Westfalia/Witter</v>
      </c>
    </row>
    <row r="1814">
      <c r="A1814" t="str">
        <f>IFERROR(__xludf.DUMMYFUNCTION("""COMPUTED_VALUE"""),"MR38A")</f>
        <v>MR38A</v>
      </c>
      <c r="B1814" s="226" t="str">
        <f>IFERROR(__xludf.DUMMYFUNCTION("""COMPUTED_VALUE"""),"5060128535759")</f>
        <v>5060128535759</v>
      </c>
      <c r="C1814" t="str">
        <f>IFERROR(__xludf.DUMMYFUNCTION("""COMPUTED_VALUE"""),"Westfalia/Witter")</f>
        <v>Westfalia/Witter</v>
      </c>
    </row>
    <row r="1815">
      <c r="A1815" t="str">
        <f>IFERROR(__xludf.DUMMYFUNCTION("""COMPUTED_VALUE"""),"MR39")</f>
        <v>MR39</v>
      </c>
      <c r="B1815" s="226" t="str">
        <f>IFERROR(__xludf.DUMMYFUNCTION("""COMPUTED_VALUE"""),"5060128535766")</f>
        <v>5060128535766</v>
      </c>
      <c r="C1815" t="str">
        <f>IFERROR(__xludf.DUMMYFUNCTION("""COMPUTED_VALUE"""),"Westfalia/Witter")</f>
        <v>Westfalia/Witter</v>
      </c>
    </row>
    <row r="1816">
      <c r="A1816" t="str">
        <f>IFERROR(__xludf.DUMMYFUNCTION("""COMPUTED_VALUE"""),"MR41A")</f>
        <v>MR41A</v>
      </c>
      <c r="B1816" s="226" t="str">
        <f>IFERROR(__xludf.DUMMYFUNCTION("""COMPUTED_VALUE"""),"5060128535773")</f>
        <v>5060128535773</v>
      </c>
      <c r="C1816" t="str">
        <f>IFERROR(__xludf.DUMMYFUNCTION("""COMPUTED_VALUE"""),"Westfalia/Witter")</f>
        <v>Westfalia/Witter</v>
      </c>
    </row>
    <row r="1817">
      <c r="A1817" t="str">
        <f>IFERROR(__xludf.DUMMYFUNCTION("""COMPUTED_VALUE"""),"MR42BQ")</f>
        <v>MR42BQ</v>
      </c>
      <c r="B1817" s="226" t="str">
        <f>IFERROR(__xludf.DUMMYFUNCTION("""COMPUTED_VALUE"""),"5060128535780")</f>
        <v>5060128535780</v>
      </c>
      <c r="C1817" t="str">
        <f>IFERROR(__xludf.DUMMYFUNCTION("""COMPUTED_VALUE"""),"Westfalia/Witter")</f>
        <v>Westfalia/Witter</v>
      </c>
    </row>
    <row r="1818">
      <c r="A1818" t="str">
        <f>IFERROR(__xludf.DUMMYFUNCTION("""COMPUTED_VALUE"""),"MR42BQ")</f>
        <v>MR42BQ</v>
      </c>
      <c r="B1818" s="226" t="str">
        <f>IFERROR(__xludf.DUMMYFUNCTION("""COMPUTED_VALUE"""),"5060128535780")</f>
        <v>5060128535780</v>
      </c>
      <c r="C1818" t="str">
        <f>IFERROR(__xludf.DUMMYFUNCTION("""COMPUTED_VALUE"""),"Westfalia/Witter")</f>
        <v>Westfalia/Witter</v>
      </c>
    </row>
    <row r="1819">
      <c r="A1819" t="str">
        <f>IFERROR(__xludf.DUMMYFUNCTION("""COMPUTED_VALUE"""),"MR42BS")</f>
        <v>MR42BS</v>
      </c>
      <c r="B1819" s="226" t="str">
        <f>IFERROR(__xludf.DUMMYFUNCTION("""COMPUTED_VALUE"""),"5060128535797")</f>
        <v>5060128535797</v>
      </c>
      <c r="C1819" t="str">
        <f>IFERROR(__xludf.DUMMYFUNCTION("""COMPUTED_VALUE"""),"Westfalia/Witter")</f>
        <v>Westfalia/Witter</v>
      </c>
    </row>
    <row r="1820">
      <c r="A1820" t="str">
        <f>IFERROR(__xludf.DUMMYFUNCTION("""COMPUTED_VALUE"""),"MR42BS")</f>
        <v>MR42BS</v>
      </c>
      <c r="B1820" s="226" t="str">
        <f>IFERROR(__xludf.DUMMYFUNCTION("""COMPUTED_VALUE"""),"5060128535797")</f>
        <v>5060128535797</v>
      </c>
      <c r="C1820" t="str">
        <f>IFERROR(__xludf.DUMMYFUNCTION("""COMPUTED_VALUE"""),"Westfalia/Witter")</f>
        <v>Westfalia/Witter</v>
      </c>
    </row>
    <row r="1821">
      <c r="A1821" t="str">
        <f>IFERROR(__xludf.DUMMYFUNCTION("""COMPUTED_VALUE"""),"MR44Q")</f>
        <v>MR44Q</v>
      </c>
      <c r="B1821" s="226" t="str">
        <f>IFERROR(__xludf.DUMMYFUNCTION("""COMPUTED_VALUE"""),"5060128535803")</f>
        <v>5060128535803</v>
      </c>
      <c r="C1821" t="str">
        <f>IFERROR(__xludf.DUMMYFUNCTION("""COMPUTED_VALUE"""),"Westfalia/Witter")</f>
        <v>Westfalia/Witter</v>
      </c>
    </row>
    <row r="1822">
      <c r="A1822" t="str">
        <f>IFERROR(__xludf.DUMMYFUNCTION("""COMPUTED_VALUE"""),"MR44Q")</f>
        <v>MR44Q</v>
      </c>
      <c r="B1822" s="226" t="str">
        <f>IFERROR(__xludf.DUMMYFUNCTION("""COMPUTED_VALUE"""),"5060128535803")</f>
        <v>5060128535803</v>
      </c>
      <c r="C1822" t="str">
        <f>IFERROR(__xludf.DUMMYFUNCTION("""COMPUTED_VALUE"""),"Westfalia/Witter")</f>
        <v>Westfalia/Witter</v>
      </c>
    </row>
    <row r="1823">
      <c r="A1823" t="str">
        <f>IFERROR(__xludf.DUMMYFUNCTION("""COMPUTED_VALUE"""),"MR44Q")</f>
        <v>MR44Q</v>
      </c>
      <c r="B1823" s="226" t="str">
        <f>IFERROR(__xludf.DUMMYFUNCTION("""COMPUTED_VALUE"""),"5060128535803")</f>
        <v>5060128535803</v>
      </c>
      <c r="C1823" t="str">
        <f>IFERROR(__xludf.DUMMYFUNCTION("""COMPUTED_VALUE"""),"Westfalia/Witter")</f>
        <v>Westfalia/Witter</v>
      </c>
    </row>
    <row r="1824">
      <c r="A1824" t="str">
        <f>IFERROR(__xludf.DUMMYFUNCTION("""COMPUTED_VALUE"""),"MR44S")</f>
        <v>MR44S</v>
      </c>
      <c r="B1824" s="226" t="str">
        <f>IFERROR(__xludf.DUMMYFUNCTION("""COMPUTED_VALUE"""),"5060128535827")</f>
        <v>5060128535827</v>
      </c>
      <c r="C1824" t="str">
        <f>IFERROR(__xludf.DUMMYFUNCTION("""COMPUTED_VALUE"""),"Westfalia/Witter")</f>
        <v>Westfalia/Witter</v>
      </c>
    </row>
    <row r="1825">
      <c r="A1825" t="str">
        <f>IFERROR(__xludf.DUMMYFUNCTION("""COMPUTED_VALUE"""),"MR44S")</f>
        <v>MR44S</v>
      </c>
      <c r="B1825" s="226" t="str">
        <f>IFERROR(__xludf.DUMMYFUNCTION("""COMPUTED_VALUE"""),"5060128535827")</f>
        <v>5060128535827</v>
      </c>
      <c r="C1825" t="str">
        <f>IFERROR(__xludf.DUMMYFUNCTION("""COMPUTED_VALUE"""),"Westfalia/Witter")</f>
        <v>Westfalia/Witter</v>
      </c>
    </row>
    <row r="1826">
      <c r="A1826" t="str">
        <f>IFERROR(__xludf.DUMMYFUNCTION("""COMPUTED_VALUE"""),"MR44S")</f>
        <v>MR44S</v>
      </c>
      <c r="B1826" s="226" t="str">
        <f>IFERROR(__xludf.DUMMYFUNCTION("""COMPUTED_VALUE"""),"5060128535827")</f>
        <v>5060128535827</v>
      </c>
      <c r="C1826" t="str">
        <f>IFERROR(__xludf.DUMMYFUNCTION("""COMPUTED_VALUE"""),"Westfalia/Witter")</f>
        <v>Westfalia/Witter</v>
      </c>
    </row>
    <row r="1827">
      <c r="A1827" t="str">
        <f>IFERROR(__xludf.DUMMYFUNCTION("""COMPUTED_VALUE"""),"MR45B")</f>
        <v>MR45B</v>
      </c>
      <c r="B1827" s="226" t="str">
        <f>IFERROR(__xludf.DUMMYFUNCTION("""COMPUTED_VALUE"""),"5060128535834")</f>
        <v>5060128535834</v>
      </c>
      <c r="C1827" t="str">
        <f>IFERROR(__xludf.DUMMYFUNCTION("""COMPUTED_VALUE"""),"Westfalia/Witter")</f>
        <v>Westfalia/Witter</v>
      </c>
    </row>
    <row r="1828">
      <c r="A1828" t="str">
        <f>IFERROR(__xludf.DUMMYFUNCTION("""COMPUTED_VALUE"""),"MR46")</f>
        <v>MR46</v>
      </c>
      <c r="B1828" s="226" t="str">
        <f>IFERROR(__xludf.DUMMYFUNCTION("""COMPUTED_VALUE"""),"5060128535841")</f>
        <v>5060128535841</v>
      </c>
      <c r="C1828" t="str">
        <f>IFERROR(__xludf.DUMMYFUNCTION("""COMPUTED_VALUE"""),"Westfalia/Witter")</f>
        <v>Westfalia/Witter</v>
      </c>
    </row>
    <row r="1829">
      <c r="A1829" t="str">
        <f>IFERROR(__xludf.DUMMYFUNCTION("""COMPUTED_VALUE"""),"MR46Q")</f>
        <v>MR46Q</v>
      </c>
      <c r="B1829" s="226" t="str">
        <f>IFERROR(__xludf.DUMMYFUNCTION("""COMPUTED_VALUE"""),"5060128535858")</f>
        <v>5060128535858</v>
      </c>
      <c r="C1829" t="str">
        <f>IFERROR(__xludf.DUMMYFUNCTION("""COMPUTED_VALUE"""),"Westfalia/Witter")</f>
        <v>Westfalia/Witter</v>
      </c>
    </row>
    <row r="1830">
      <c r="A1830" t="str">
        <f>IFERROR(__xludf.DUMMYFUNCTION("""COMPUTED_VALUE"""),"MR46Q")</f>
        <v>MR46Q</v>
      </c>
      <c r="B1830" s="226" t="str">
        <f>IFERROR(__xludf.DUMMYFUNCTION("""COMPUTED_VALUE"""),"5060128535858")</f>
        <v>5060128535858</v>
      </c>
      <c r="C1830" t="str">
        <f>IFERROR(__xludf.DUMMYFUNCTION("""COMPUTED_VALUE"""),"Westfalia/Witter")</f>
        <v>Westfalia/Witter</v>
      </c>
    </row>
    <row r="1831">
      <c r="A1831" t="str">
        <f>IFERROR(__xludf.DUMMYFUNCTION("""COMPUTED_VALUE"""),"MR46S")</f>
        <v>MR46S</v>
      </c>
      <c r="B1831" s="226" t="str">
        <f>IFERROR(__xludf.DUMMYFUNCTION("""COMPUTED_VALUE"""),"5060128535865")</f>
        <v>5060128535865</v>
      </c>
      <c r="C1831" t="str">
        <f>IFERROR(__xludf.DUMMYFUNCTION("""COMPUTED_VALUE"""),"Westfalia/Witter")</f>
        <v>Westfalia/Witter</v>
      </c>
    </row>
    <row r="1832">
      <c r="A1832" t="str">
        <f>IFERROR(__xludf.DUMMYFUNCTION("""COMPUTED_VALUE"""),"MR49")</f>
        <v>MR49</v>
      </c>
      <c r="B1832" s="226" t="str">
        <f>IFERROR(__xludf.DUMMYFUNCTION("""COMPUTED_VALUE"""),"5060128535872")</f>
        <v>5060128535872</v>
      </c>
      <c r="C1832" t="str">
        <f>IFERROR(__xludf.DUMMYFUNCTION("""COMPUTED_VALUE"""),"Westfalia/Witter")</f>
        <v>Westfalia/Witter</v>
      </c>
    </row>
    <row r="1833">
      <c r="A1833" t="str">
        <f>IFERROR(__xludf.DUMMYFUNCTION("""COMPUTED_VALUE"""),"MR49Q")</f>
        <v>MR49Q</v>
      </c>
      <c r="B1833" s="226" t="str">
        <f>IFERROR(__xludf.DUMMYFUNCTION("""COMPUTED_VALUE"""),"5060128535889")</f>
        <v>5060128535889</v>
      </c>
      <c r="C1833" t="str">
        <f>IFERROR(__xludf.DUMMYFUNCTION("""COMPUTED_VALUE"""),"Westfalia/Witter")</f>
        <v>Westfalia/Witter</v>
      </c>
    </row>
    <row r="1834">
      <c r="A1834" t="str">
        <f>IFERROR(__xludf.DUMMYFUNCTION("""COMPUTED_VALUE"""),"MR57Q")</f>
        <v>MR57Q</v>
      </c>
      <c r="B1834" s="226" t="str">
        <f>IFERROR(__xludf.DUMMYFUNCTION("""COMPUTED_VALUE"""),"5060128535902")</f>
        <v>5060128535902</v>
      </c>
      <c r="C1834" t="str">
        <f>IFERROR(__xludf.DUMMYFUNCTION("""COMPUTED_VALUE"""),"Westfalia/Witter")</f>
        <v>Westfalia/Witter</v>
      </c>
    </row>
    <row r="1835">
      <c r="A1835" t="str">
        <f>IFERROR(__xludf.DUMMYFUNCTION("""COMPUTED_VALUE"""),"MR60Q")</f>
        <v>MR60Q</v>
      </c>
      <c r="B1835" s="226" t="str">
        <f>IFERROR(__xludf.DUMMYFUNCTION("""COMPUTED_VALUE"""),"5060128535957")</f>
        <v>5060128535957</v>
      </c>
      <c r="C1835" t="str">
        <f>IFERROR(__xludf.DUMMYFUNCTION("""COMPUTED_VALUE"""),"Westfalia/Witter")</f>
        <v>Westfalia/Witter</v>
      </c>
    </row>
    <row r="1836">
      <c r="A1836" t="str">
        <f>IFERROR(__xludf.DUMMYFUNCTION("""COMPUTED_VALUE"""),"MR60Q")</f>
        <v>MR60Q</v>
      </c>
      <c r="B1836" s="226" t="str">
        <f>IFERROR(__xludf.DUMMYFUNCTION("""COMPUTED_VALUE"""),"5060128535957")</f>
        <v>5060128535957</v>
      </c>
      <c r="C1836" t="str">
        <f>IFERROR(__xludf.DUMMYFUNCTION("""COMPUTED_VALUE"""),"Westfalia/Witter")</f>
        <v>Westfalia/Witter</v>
      </c>
    </row>
    <row r="1837">
      <c r="A1837" t="str">
        <f>IFERROR(__xludf.DUMMYFUNCTION("""COMPUTED_VALUE"""),"MR60Q")</f>
        <v>MR60Q</v>
      </c>
      <c r="B1837" s="226" t="str">
        <f>IFERROR(__xludf.DUMMYFUNCTION("""COMPUTED_VALUE"""),"5060128535957")</f>
        <v>5060128535957</v>
      </c>
      <c r="C1837" t="str">
        <f>IFERROR(__xludf.DUMMYFUNCTION("""COMPUTED_VALUE"""),"Westfalia/Witter")</f>
        <v>Westfalia/Witter</v>
      </c>
    </row>
    <row r="1838">
      <c r="A1838" t="str">
        <f>IFERROR(__xludf.DUMMYFUNCTION("""COMPUTED_VALUE"""),"MR60Q")</f>
        <v>MR60Q</v>
      </c>
      <c r="B1838" s="226" t="str">
        <f>IFERROR(__xludf.DUMMYFUNCTION("""COMPUTED_VALUE"""),"5060128535957")</f>
        <v>5060128535957</v>
      </c>
      <c r="C1838" t="str">
        <f>IFERROR(__xludf.DUMMYFUNCTION("""COMPUTED_VALUE"""),"Westfalia/Witter")</f>
        <v>Westfalia/Witter</v>
      </c>
    </row>
    <row r="1839">
      <c r="A1839" t="str">
        <f>IFERROR(__xludf.DUMMYFUNCTION("""COMPUTED_VALUE"""),"MR61Q")</f>
        <v>MR61Q</v>
      </c>
      <c r="B1839" s="226" t="str">
        <f>IFERROR(__xludf.DUMMYFUNCTION("""COMPUTED_VALUE"""),"5060128535964")</f>
        <v>5060128535964</v>
      </c>
      <c r="C1839" t="str">
        <f>IFERROR(__xludf.DUMMYFUNCTION("""COMPUTED_VALUE"""),"Westfalia/Witter")</f>
        <v>Westfalia/Witter</v>
      </c>
    </row>
    <row r="1840">
      <c r="A1840" t="str">
        <f>IFERROR(__xludf.DUMMYFUNCTION("""COMPUTED_VALUE"""),"MR61Q")</f>
        <v>MR61Q</v>
      </c>
      <c r="B1840" s="226" t="str">
        <f>IFERROR(__xludf.DUMMYFUNCTION("""COMPUTED_VALUE"""),"5060128535964")</f>
        <v>5060128535964</v>
      </c>
      <c r="C1840" t="str">
        <f>IFERROR(__xludf.DUMMYFUNCTION("""COMPUTED_VALUE"""),"Westfalia/Witter")</f>
        <v>Westfalia/Witter</v>
      </c>
    </row>
    <row r="1841">
      <c r="A1841" t="str">
        <f>IFERROR(__xludf.DUMMYFUNCTION("""COMPUTED_VALUE"""),"MR62Q")</f>
        <v>MR62Q</v>
      </c>
      <c r="B1841" s="226" t="str">
        <f>IFERROR(__xludf.DUMMYFUNCTION("""COMPUTED_VALUE"""),"5060128535971")</f>
        <v>5060128535971</v>
      </c>
      <c r="C1841" t="str">
        <f>IFERROR(__xludf.DUMMYFUNCTION("""COMPUTED_VALUE"""),"Westfalia/Witter")</f>
        <v>Westfalia/Witter</v>
      </c>
    </row>
    <row r="1842">
      <c r="A1842" t="str">
        <f>IFERROR(__xludf.DUMMYFUNCTION("""COMPUTED_VALUE"""),"MR63")</f>
        <v>MR63</v>
      </c>
      <c r="B1842" s="226" t="str">
        <f>IFERROR(__xludf.DUMMYFUNCTION("""COMPUTED_VALUE"""),"5060128535988")</f>
        <v>5060128535988</v>
      </c>
      <c r="C1842" t="str">
        <f>IFERROR(__xludf.DUMMYFUNCTION("""COMPUTED_VALUE"""),"Westfalia/Witter")</f>
        <v>Westfalia/Witter</v>
      </c>
    </row>
    <row r="1843">
      <c r="A1843" t="str">
        <f>IFERROR(__xludf.DUMMYFUNCTION("""COMPUTED_VALUE"""),"MR64Q")</f>
        <v>MR64Q</v>
      </c>
      <c r="B1843" s="226" t="str">
        <f>IFERROR(__xludf.DUMMYFUNCTION("""COMPUTED_VALUE"""),"5060128535995")</f>
        <v>5060128535995</v>
      </c>
      <c r="C1843" t="str">
        <f>IFERROR(__xludf.DUMMYFUNCTION("""COMPUTED_VALUE"""),"Westfalia/Witter")</f>
        <v>Westfalia/Witter</v>
      </c>
    </row>
    <row r="1844">
      <c r="A1844" t="str">
        <f>IFERROR(__xludf.DUMMYFUNCTION("""COMPUTED_VALUE"""),"MR65Q")</f>
        <v>MR65Q</v>
      </c>
      <c r="B1844" s="226" t="str">
        <f>IFERROR(__xludf.DUMMYFUNCTION("""COMPUTED_VALUE"""),"5060128536008")</f>
        <v>5060128536008</v>
      </c>
      <c r="C1844" t="str">
        <f>IFERROR(__xludf.DUMMYFUNCTION("""COMPUTED_VALUE"""),"Westfalia/Witter")</f>
        <v>Westfalia/Witter</v>
      </c>
    </row>
    <row r="1845">
      <c r="A1845" t="str">
        <f>IFERROR(__xludf.DUMMYFUNCTION("""COMPUTED_VALUE"""),"MR66Q")</f>
        <v>MR66Q</v>
      </c>
      <c r="B1845" s="226" t="str">
        <f>IFERROR(__xludf.DUMMYFUNCTION("""COMPUTED_VALUE"""),"5060128536015")</f>
        <v>5060128536015</v>
      </c>
      <c r="C1845" t="str">
        <f>IFERROR(__xludf.DUMMYFUNCTION("""COMPUTED_VALUE"""),"Westfalia/Witter")</f>
        <v>Westfalia/Witter</v>
      </c>
    </row>
    <row r="1846">
      <c r="A1846" t="str">
        <f>IFERROR(__xludf.DUMMYFUNCTION("""COMPUTED_VALUE"""),"MR67Q")</f>
        <v>MR67Q</v>
      </c>
      <c r="B1846" s="226" t="str">
        <f>IFERROR(__xludf.DUMMYFUNCTION("""COMPUTED_VALUE"""),"5060128536022")</f>
        <v>5060128536022</v>
      </c>
      <c r="C1846" t="str">
        <f>IFERROR(__xludf.DUMMYFUNCTION("""COMPUTED_VALUE"""),"Westfalia/Witter")</f>
        <v>Westfalia/Witter</v>
      </c>
    </row>
    <row r="1847">
      <c r="A1847" t="str">
        <f>IFERROR(__xludf.DUMMYFUNCTION("""COMPUTED_VALUE"""),"MR67Q")</f>
        <v>MR67Q</v>
      </c>
      <c r="B1847" s="226" t="str">
        <f>IFERROR(__xludf.DUMMYFUNCTION("""COMPUTED_VALUE"""),"5060128536022")</f>
        <v>5060128536022</v>
      </c>
      <c r="C1847" t="str">
        <f>IFERROR(__xludf.DUMMYFUNCTION("""COMPUTED_VALUE"""),"Westfalia/Witter")</f>
        <v>Westfalia/Witter</v>
      </c>
    </row>
    <row r="1848">
      <c r="A1848" t="str">
        <f>IFERROR(__xludf.DUMMYFUNCTION("""COMPUTED_VALUE"""),"MR70S")</f>
        <v>MR70S</v>
      </c>
      <c r="B1848" s="226" t="str">
        <f>IFERROR(__xludf.DUMMYFUNCTION("""COMPUTED_VALUE"""),"5060128536046")</f>
        <v>5060128536046</v>
      </c>
      <c r="C1848" t="str">
        <f>IFERROR(__xludf.DUMMYFUNCTION("""COMPUTED_VALUE"""),"Westfalia/Witter")</f>
        <v>Westfalia/Witter</v>
      </c>
    </row>
    <row r="1849">
      <c r="A1849" t="str">
        <f>IFERROR(__xludf.DUMMYFUNCTION("""COMPUTED_VALUE"""),"MR70S")</f>
        <v>MR70S</v>
      </c>
      <c r="B1849" s="226" t="str">
        <f>IFERROR(__xludf.DUMMYFUNCTION("""COMPUTED_VALUE"""),"5060128536046")</f>
        <v>5060128536046</v>
      </c>
      <c r="C1849" t="str">
        <f>IFERROR(__xludf.DUMMYFUNCTION("""COMPUTED_VALUE"""),"Westfalia/Witter")</f>
        <v>Westfalia/Witter</v>
      </c>
    </row>
    <row r="1850">
      <c r="A1850" t="str">
        <f>IFERROR(__xludf.DUMMYFUNCTION("""COMPUTED_VALUE"""),"MZ28A")</f>
        <v>MZ28A</v>
      </c>
      <c r="B1850" s="226" t="str">
        <f>IFERROR(__xludf.DUMMYFUNCTION("""COMPUTED_VALUE"""),"5060128536053")</f>
        <v>5060128536053</v>
      </c>
      <c r="C1850" t="str">
        <f>IFERROR(__xludf.DUMMYFUNCTION("""COMPUTED_VALUE"""),"Westfalia/Witter")</f>
        <v>Westfalia/Witter</v>
      </c>
    </row>
    <row r="1851">
      <c r="A1851" t="str">
        <f>IFERROR(__xludf.DUMMYFUNCTION("""COMPUTED_VALUE"""),"MZ38A")</f>
        <v>MZ38A</v>
      </c>
      <c r="B1851" s="226" t="str">
        <f>IFERROR(__xludf.DUMMYFUNCTION("""COMPUTED_VALUE"""),"5060128536060")</f>
        <v>5060128536060</v>
      </c>
      <c r="C1851" t="str">
        <f>IFERROR(__xludf.DUMMYFUNCTION("""COMPUTED_VALUE"""),"Westfalia/Witter")</f>
        <v>Westfalia/Witter</v>
      </c>
    </row>
    <row r="1852">
      <c r="A1852" t="str">
        <f>IFERROR(__xludf.DUMMYFUNCTION("""COMPUTED_VALUE"""),"MZ43AQ")</f>
        <v>MZ43AQ</v>
      </c>
      <c r="B1852" s="226" t="str">
        <f>IFERROR(__xludf.DUMMYFUNCTION("""COMPUTED_VALUE"""),"5060128536084")</f>
        <v>5060128536084</v>
      </c>
      <c r="C1852" t="str">
        <f>IFERROR(__xludf.DUMMYFUNCTION("""COMPUTED_VALUE"""),"Westfalia/Witter")</f>
        <v>Westfalia/Witter</v>
      </c>
    </row>
    <row r="1853">
      <c r="A1853" t="str">
        <f>IFERROR(__xludf.DUMMYFUNCTION("""COMPUTED_VALUE"""),"MZ47A")</f>
        <v>MZ47A</v>
      </c>
      <c r="B1853" s="226" t="str">
        <f>IFERROR(__xludf.DUMMYFUNCTION("""COMPUTED_VALUE"""),"5060128536091")</f>
        <v>5060128536091</v>
      </c>
      <c r="C1853" t="str">
        <f>IFERROR(__xludf.DUMMYFUNCTION("""COMPUTED_VALUE"""),"Westfalia/Witter")</f>
        <v>Westfalia/Witter</v>
      </c>
    </row>
    <row r="1854">
      <c r="A1854" t="str">
        <f>IFERROR(__xludf.DUMMYFUNCTION("""COMPUTED_VALUE"""),"MZ47AQ")</f>
        <v>MZ47AQ</v>
      </c>
      <c r="B1854" s="226" t="str">
        <f>IFERROR(__xludf.DUMMYFUNCTION("""COMPUTED_VALUE"""),"5060128536107")</f>
        <v>5060128536107</v>
      </c>
      <c r="C1854" t="str">
        <f>IFERROR(__xludf.DUMMYFUNCTION("""COMPUTED_VALUE"""),"Westfalia/Witter")</f>
        <v>Westfalia/Witter</v>
      </c>
    </row>
    <row r="1855">
      <c r="A1855" t="str">
        <f>IFERROR(__xludf.DUMMYFUNCTION("""COMPUTED_VALUE"""),"MZ47AS")</f>
        <v>MZ47AS</v>
      </c>
      <c r="B1855" s="226" t="str">
        <f>IFERROR(__xludf.DUMMYFUNCTION("""COMPUTED_VALUE"""),"5060128536114")</f>
        <v>5060128536114</v>
      </c>
      <c r="C1855" t="str">
        <f>IFERROR(__xludf.DUMMYFUNCTION("""COMPUTED_VALUE"""),"Westfalia/Witter")</f>
        <v>Westfalia/Witter</v>
      </c>
    </row>
    <row r="1856">
      <c r="A1856" t="str">
        <f>IFERROR(__xludf.DUMMYFUNCTION("""COMPUTED_VALUE"""),"MZ48A")</f>
        <v>MZ48A</v>
      </c>
      <c r="B1856" s="226" t="str">
        <f>IFERROR(__xludf.DUMMYFUNCTION("""COMPUTED_VALUE"""),"5060128536121")</f>
        <v>5060128536121</v>
      </c>
      <c r="C1856" t="str">
        <f>IFERROR(__xludf.DUMMYFUNCTION("""COMPUTED_VALUE"""),"Westfalia/Witter")</f>
        <v>Westfalia/Witter</v>
      </c>
    </row>
    <row r="1857">
      <c r="A1857" t="str">
        <f>IFERROR(__xludf.DUMMYFUNCTION("""COMPUTED_VALUE"""),"MZ48AQ")</f>
        <v>MZ48AQ</v>
      </c>
      <c r="B1857" s="226" t="str">
        <f>IFERROR(__xludf.DUMMYFUNCTION("""COMPUTED_VALUE"""),"5060128536138")</f>
        <v>5060128536138</v>
      </c>
      <c r="C1857" t="str">
        <f>IFERROR(__xludf.DUMMYFUNCTION("""COMPUTED_VALUE"""),"Westfalia/Witter")</f>
        <v>Westfalia/Witter</v>
      </c>
    </row>
    <row r="1858">
      <c r="A1858" t="str">
        <f>IFERROR(__xludf.DUMMYFUNCTION("""COMPUTED_VALUE"""),"MZ48AQ")</f>
        <v>MZ48AQ</v>
      </c>
      <c r="B1858" s="226" t="str">
        <f>IFERROR(__xludf.DUMMYFUNCTION("""COMPUTED_VALUE"""),"5060128536138")</f>
        <v>5060128536138</v>
      </c>
      <c r="C1858" t="str">
        <f>IFERROR(__xludf.DUMMYFUNCTION("""COMPUTED_VALUE"""),"Westfalia/Witter")</f>
        <v>Westfalia/Witter</v>
      </c>
    </row>
    <row r="1859">
      <c r="A1859" t="str">
        <f>IFERROR(__xludf.DUMMYFUNCTION("""COMPUTED_VALUE"""),"MZ48AQ")</f>
        <v>MZ48AQ</v>
      </c>
      <c r="B1859" s="226" t="str">
        <f>IFERROR(__xludf.DUMMYFUNCTION("""COMPUTED_VALUE"""),"5060128536138")</f>
        <v>5060128536138</v>
      </c>
      <c r="C1859" t="str">
        <f>IFERROR(__xludf.DUMMYFUNCTION("""COMPUTED_VALUE"""),"Westfalia/Witter")</f>
        <v>Westfalia/Witter</v>
      </c>
    </row>
    <row r="1860">
      <c r="A1860" t="str">
        <f>IFERROR(__xludf.DUMMYFUNCTION("""COMPUTED_VALUE"""),"MZ48AS")</f>
        <v>MZ48AS</v>
      </c>
      <c r="B1860" s="226" t="str">
        <f>IFERROR(__xludf.DUMMYFUNCTION("""COMPUTED_VALUE"""),"5060128536145")</f>
        <v>5060128536145</v>
      </c>
      <c r="C1860" t="str">
        <f>IFERROR(__xludf.DUMMYFUNCTION("""COMPUTED_VALUE"""),"Westfalia/Witter")</f>
        <v>Westfalia/Witter</v>
      </c>
    </row>
    <row r="1861">
      <c r="A1861" t="str">
        <f>IFERROR(__xludf.DUMMYFUNCTION("""COMPUTED_VALUE"""),"MZ48AS")</f>
        <v>MZ48AS</v>
      </c>
      <c r="B1861" s="226" t="str">
        <f>IFERROR(__xludf.DUMMYFUNCTION("""COMPUTED_VALUE"""),"5060128536145")</f>
        <v>5060128536145</v>
      </c>
      <c r="C1861" t="str">
        <f>IFERROR(__xludf.DUMMYFUNCTION("""COMPUTED_VALUE"""),"Westfalia/Witter")</f>
        <v>Westfalia/Witter</v>
      </c>
    </row>
    <row r="1862">
      <c r="A1862" t="str">
        <f>IFERROR(__xludf.DUMMYFUNCTION("""COMPUTED_VALUE"""),"MZ48AS")</f>
        <v>MZ48AS</v>
      </c>
      <c r="B1862" s="226" t="str">
        <f>IFERROR(__xludf.DUMMYFUNCTION("""COMPUTED_VALUE"""),"5060128536145")</f>
        <v>5060128536145</v>
      </c>
      <c r="C1862" t="str">
        <f>IFERROR(__xludf.DUMMYFUNCTION("""COMPUTED_VALUE"""),"Westfalia/Witter")</f>
        <v>Westfalia/Witter</v>
      </c>
    </row>
    <row r="1863">
      <c r="A1863" t="str">
        <f>IFERROR(__xludf.DUMMYFUNCTION("""COMPUTED_VALUE"""),"MZ50")</f>
        <v>MZ50</v>
      </c>
      <c r="B1863" s="226" t="str">
        <f>IFERROR(__xludf.DUMMYFUNCTION("""COMPUTED_VALUE"""),"5060128536152")</f>
        <v>5060128536152</v>
      </c>
      <c r="C1863" t="str">
        <f>IFERROR(__xludf.DUMMYFUNCTION("""COMPUTED_VALUE"""),"Westfalia/Witter")</f>
        <v>Westfalia/Witter</v>
      </c>
    </row>
    <row r="1864">
      <c r="A1864" t="str">
        <f>IFERROR(__xludf.DUMMYFUNCTION("""COMPUTED_VALUE"""),"MZ50Q")</f>
        <v>MZ50Q</v>
      </c>
      <c r="B1864" s="226" t="str">
        <f>IFERROR(__xludf.DUMMYFUNCTION("""COMPUTED_VALUE"""),"5060128536169")</f>
        <v>5060128536169</v>
      </c>
      <c r="C1864" t="str">
        <f>IFERROR(__xludf.DUMMYFUNCTION("""COMPUTED_VALUE"""),"Westfalia/Witter")</f>
        <v>Westfalia/Witter</v>
      </c>
    </row>
    <row r="1865">
      <c r="A1865" t="str">
        <f>IFERROR(__xludf.DUMMYFUNCTION("""COMPUTED_VALUE"""),"MZ52Q")</f>
        <v>MZ52Q</v>
      </c>
      <c r="B1865" s="226" t="str">
        <f>IFERROR(__xludf.DUMMYFUNCTION("""COMPUTED_VALUE"""),"5060128536169")</f>
        <v>5060128536169</v>
      </c>
      <c r="C1865" t="str">
        <f>IFERROR(__xludf.DUMMYFUNCTION("""COMPUTED_VALUE"""),"Westfalia/Witter")</f>
        <v>Westfalia/Witter</v>
      </c>
    </row>
    <row r="1866">
      <c r="A1866" t="str">
        <f>IFERROR(__xludf.DUMMYFUNCTION("""COMPUTED_VALUE"""),"MZ50S")</f>
        <v>MZ50S</v>
      </c>
      <c r="B1866" s="226" t="str">
        <f>IFERROR(__xludf.DUMMYFUNCTION("""COMPUTED_VALUE"""),"5060128536183")</f>
        <v>5060128536183</v>
      </c>
      <c r="C1866" t="str">
        <f>IFERROR(__xludf.DUMMYFUNCTION("""COMPUTED_VALUE"""),"Westfalia/Witter")</f>
        <v>Westfalia/Witter</v>
      </c>
    </row>
    <row r="1867">
      <c r="A1867" t="str">
        <f>IFERROR(__xludf.DUMMYFUNCTION("""COMPUTED_VALUE"""),"MZ52S")</f>
        <v>MZ52S</v>
      </c>
      <c r="B1867" s="226" t="str">
        <f>IFERROR(__xludf.DUMMYFUNCTION("""COMPUTED_VALUE"""),"5060128536183")</f>
        <v>5060128536183</v>
      </c>
      <c r="C1867" t="str">
        <f>IFERROR(__xludf.DUMMYFUNCTION("""COMPUTED_VALUE"""),"Westfalia/Witter")</f>
        <v>Westfalia/Witter</v>
      </c>
    </row>
    <row r="1868">
      <c r="A1868" t="str">
        <f>IFERROR(__xludf.DUMMYFUNCTION("""COMPUTED_VALUE"""),"MZ53")</f>
        <v>MZ53</v>
      </c>
      <c r="B1868" s="226" t="str">
        <f>IFERROR(__xludf.DUMMYFUNCTION("""COMPUTED_VALUE"""),"5060128536190")</f>
        <v>5060128536190</v>
      </c>
      <c r="C1868" t="str">
        <f>IFERROR(__xludf.DUMMYFUNCTION("""COMPUTED_VALUE"""),"Westfalia/Witter")</f>
        <v>Westfalia/Witter</v>
      </c>
    </row>
    <row r="1869">
      <c r="A1869" t="str">
        <f>IFERROR(__xludf.DUMMYFUNCTION("""COMPUTED_VALUE"""),"MZ52")</f>
        <v>MZ52</v>
      </c>
      <c r="B1869" s="226" t="str">
        <f>IFERROR(__xludf.DUMMYFUNCTION("""COMPUTED_VALUE"""),"5060128536190")</f>
        <v>5060128536190</v>
      </c>
      <c r="C1869" t="str">
        <f>IFERROR(__xludf.DUMMYFUNCTION("""COMPUTED_VALUE"""),"Westfalia/Witter")</f>
        <v>Westfalia/Witter</v>
      </c>
    </row>
    <row r="1870">
      <c r="A1870" t="str">
        <f>IFERROR(__xludf.DUMMYFUNCTION("""COMPUTED_VALUE"""),"MZ54")</f>
        <v>MZ54</v>
      </c>
      <c r="B1870" s="226" t="str">
        <f>IFERROR(__xludf.DUMMYFUNCTION("""COMPUTED_VALUE"""),"5060128536220")</f>
        <v>5060128536220</v>
      </c>
      <c r="C1870" t="str">
        <f>IFERROR(__xludf.DUMMYFUNCTION("""COMPUTED_VALUE"""),"Westfalia/Witter")</f>
        <v>Westfalia/Witter</v>
      </c>
    </row>
    <row r="1871">
      <c r="A1871" t="str">
        <f>IFERROR(__xludf.DUMMYFUNCTION("""COMPUTED_VALUE"""),"MZ54Q")</f>
        <v>MZ54Q</v>
      </c>
      <c r="B1871" s="226" t="str">
        <f>IFERROR(__xludf.DUMMYFUNCTION("""COMPUTED_VALUE"""),"5060128536237")</f>
        <v>5060128536237</v>
      </c>
      <c r="C1871" t="str">
        <f>IFERROR(__xludf.DUMMYFUNCTION("""COMPUTED_VALUE"""),"Westfalia/Witter")</f>
        <v>Westfalia/Witter</v>
      </c>
    </row>
    <row r="1872">
      <c r="A1872" t="str">
        <f>IFERROR(__xludf.DUMMYFUNCTION("""COMPUTED_VALUE"""),"MZ55")</f>
        <v>MZ55</v>
      </c>
      <c r="B1872" s="226" t="str">
        <f>IFERROR(__xludf.DUMMYFUNCTION("""COMPUTED_VALUE"""),"5060128536244")</f>
        <v>5060128536244</v>
      </c>
      <c r="C1872" t="str">
        <f>IFERROR(__xludf.DUMMYFUNCTION("""COMPUTED_VALUE"""),"Westfalia/Witter")</f>
        <v>Westfalia/Witter</v>
      </c>
    </row>
    <row r="1873">
      <c r="A1873" t="str">
        <f>IFERROR(__xludf.DUMMYFUNCTION("""COMPUTED_VALUE"""),"MZ55Q")</f>
        <v>MZ55Q</v>
      </c>
      <c r="B1873" s="226" t="str">
        <f>IFERROR(__xludf.DUMMYFUNCTION("""COMPUTED_VALUE"""),"5060128536251")</f>
        <v>5060128536251</v>
      </c>
      <c r="C1873" t="str">
        <f>IFERROR(__xludf.DUMMYFUNCTION("""COMPUTED_VALUE"""),"Westfalia/Witter")</f>
        <v>Westfalia/Witter</v>
      </c>
    </row>
    <row r="1874">
      <c r="A1874" t="str">
        <f>IFERROR(__xludf.DUMMYFUNCTION("""COMPUTED_VALUE"""),"PFC1E")</f>
        <v>PFC1E</v>
      </c>
      <c r="B1874" s="226" t="str">
        <f>IFERROR(__xludf.DUMMYFUNCTION("""COMPUTED_VALUE"""),"5060128536268")</f>
        <v>5060128536268</v>
      </c>
      <c r="C1874" t="str">
        <f>IFERROR(__xludf.DUMMYFUNCTION("""COMPUTED_VALUE"""),"Westfalia/Witter")</f>
        <v>Westfalia/Witter</v>
      </c>
    </row>
    <row r="1875">
      <c r="A1875" t="str">
        <f>IFERROR(__xludf.DUMMYFUNCTION("""COMPUTED_VALUE"""),"PFC2B")</f>
        <v>PFC2B</v>
      </c>
      <c r="B1875" s="226" t="str">
        <f>IFERROR(__xludf.DUMMYFUNCTION("""COMPUTED_VALUE"""),"5060128536275")</f>
        <v>5060128536275</v>
      </c>
      <c r="C1875" t="str">
        <f>IFERROR(__xludf.DUMMYFUNCTION("""COMPUTED_VALUE"""),"Westfalia/Witter")</f>
        <v>Westfalia/Witter</v>
      </c>
    </row>
    <row r="1876">
      <c r="A1876" t="str">
        <f>IFERROR(__xludf.DUMMYFUNCTION("""COMPUTED_VALUE"""),"PFC3A")</f>
        <v>PFC3A</v>
      </c>
      <c r="B1876" s="226" t="str">
        <f>IFERROR(__xludf.DUMMYFUNCTION("""COMPUTED_VALUE"""),"5060128536282")</f>
        <v>5060128536282</v>
      </c>
      <c r="C1876" t="str">
        <f>IFERROR(__xludf.DUMMYFUNCTION("""COMPUTED_VALUE"""),"Westfalia/Witter")</f>
        <v>Westfalia/Witter</v>
      </c>
    </row>
    <row r="1877">
      <c r="A1877" t="str">
        <f>IFERROR(__xludf.DUMMYFUNCTION("""COMPUTED_VALUE"""),"PFC3AQ")</f>
        <v>PFC3AQ</v>
      </c>
      <c r="B1877" s="226" t="str">
        <f>IFERROR(__xludf.DUMMYFUNCTION("""COMPUTED_VALUE"""),"5060128536299")</f>
        <v>5060128536299</v>
      </c>
      <c r="C1877" t="str">
        <f>IFERROR(__xludf.DUMMYFUNCTION("""COMPUTED_VALUE"""),"Westfalia/Witter")</f>
        <v>Westfalia/Witter</v>
      </c>
    </row>
    <row r="1878">
      <c r="A1878" t="str">
        <f>IFERROR(__xludf.DUMMYFUNCTION("""COMPUTED_VALUE"""),"PFC3AS")</f>
        <v>PFC3AS</v>
      </c>
      <c r="B1878" s="226" t="str">
        <f>IFERROR(__xludf.DUMMYFUNCTION("""COMPUTED_VALUE"""),"5060128536305")</f>
        <v>5060128536305</v>
      </c>
      <c r="C1878" t="str">
        <f>IFERROR(__xludf.DUMMYFUNCTION("""COMPUTED_VALUE"""),"Westfalia/Witter")</f>
        <v>Westfalia/Witter</v>
      </c>
    </row>
    <row r="1879">
      <c r="A1879" t="str">
        <f>IFERROR(__xludf.DUMMYFUNCTION("""COMPUTED_VALUE"""),"PFC5B")</f>
        <v>PFC5B</v>
      </c>
      <c r="B1879" s="226" t="str">
        <f>IFERROR(__xludf.DUMMYFUNCTION("""COMPUTED_VALUE"""),"5060128536312")</f>
        <v>5060128536312</v>
      </c>
      <c r="C1879" t="str">
        <f>IFERROR(__xludf.DUMMYFUNCTION("""COMPUTED_VALUE"""),"Westfalia/Witter")</f>
        <v>Westfalia/Witter</v>
      </c>
    </row>
    <row r="1880">
      <c r="A1880" t="str">
        <f>IFERROR(__xludf.DUMMYFUNCTION("""COMPUTED_VALUE"""),"PFC6B")</f>
        <v>PFC6B</v>
      </c>
      <c r="B1880" s="226" t="str">
        <f>IFERROR(__xludf.DUMMYFUNCTION("""COMPUTED_VALUE"""),"5060128536329")</f>
        <v>5060128536329</v>
      </c>
      <c r="C1880" t="str">
        <f>IFERROR(__xludf.DUMMYFUNCTION("""COMPUTED_VALUE"""),"Westfalia/Witter")</f>
        <v>Westfalia/Witter</v>
      </c>
    </row>
    <row r="1881">
      <c r="A1881" t="str">
        <f>IFERROR(__xludf.DUMMYFUNCTION("""COMPUTED_VALUE"""),"PFC6B")</f>
        <v>PFC6B</v>
      </c>
      <c r="B1881" s="226" t="str">
        <f>IFERROR(__xludf.DUMMYFUNCTION("""COMPUTED_VALUE"""),"5060128536329")</f>
        <v>5060128536329</v>
      </c>
      <c r="C1881" t="str">
        <f>IFERROR(__xludf.DUMMYFUNCTION("""COMPUTED_VALUE"""),"Westfalia/Witter")</f>
        <v>Westfalia/Witter</v>
      </c>
    </row>
    <row r="1882">
      <c r="A1882" t="str">
        <f>IFERROR(__xludf.DUMMYFUNCTION("""COMPUTED_VALUE"""),"PFC6B")</f>
        <v>PFC6B</v>
      </c>
      <c r="B1882" s="226" t="str">
        <f>IFERROR(__xludf.DUMMYFUNCTION("""COMPUTED_VALUE"""),"5060128536329")</f>
        <v>5060128536329</v>
      </c>
      <c r="C1882" t="str">
        <f>IFERROR(__xludf.DUMMYFUNCTION("""COMPUTED_VALUE"""),"Westfalia/Witter")</f>
        <v>Westfalia/Witter</v>
      </c>
    </row>
    <row r="1883">
      <c r="A1883" t="str">
        <f>IFERROR(__xludf.DUMMYFUNCTION("""COMPUTED_VALUE"""),"PFC7A")</f>
        <v>PFC7A</v>
      </c>
      <c r="B1883" s="226" t="str">
        <f>IFERROR(__xludf.DUMMYFUNCTION("""COMPUTED_VALUE"""),"5060128536336")</f>
        <v>5060128536336</v>
      </c>
      <c r="C1883" t="str">
        <f>IFERROR(__xludf.DUMMYFUNCTION("""COMPUTED_VALUE"""),"Westfalia/Witter")</f>
        <v>Westfalia/Witter</v>
      </c>
    </row>
    <row r="1884">
      <c r="A1884" t="str">
        <f>IFERROR(__xludf.DUMMYFUNCTION("""COMPUTED_VALUE"""),"PFC9")</f>
        <v>PFC9</v>
      </c>
      <c r="B1884" s="226" t="str">
        <f>IFERROR(__xludf.DUMMYFUNCTION("""COMPUTED_VALUE"""),"5060128536343")</f>
        <v>5060128536343</v>
      </c>
      <c r="C1884" t="str">
        <f>IFERROR(__xludf.DUMMYFUNCTION("""COMPUTED_VALUE"""),"Westfalia/Witter")</f>
        <v>Westfalia/Witter</v>
      </c>
    </row>
    <row r="1885">
      <c r="A1885" t="str">
        <f>IFERROR(__xludf.DUMMYFUNCTION("""COMPUTED_VALUE"""),"PG23B")</f>
        <v>PG23B</v>
      </c>
      <c r="B1885" s="226" t="str">
        <f>IFERROR(__xludf.DUMMYFUNCTION("""COMPUTED_VALUE"""),"5060128536350")</f>
        <v>5060128536350</v>
      </c>
      <c r="C1885" t="str">
        <f>IFERROR(__xludf.DUMMYFUNCTION("""COMPUTED_VALUE"""),"Westfalia/Witter")</f>
        <v>Westfalia/Witter</v>
      </c>
    </row>
    <row r="1886">
      <c r="A1886" t="str">
        <f>IFERROR(__xludf.DUMMYFUNCTION("""COMPUTED_VALUE"""),"PG25A")</f>
        <v>PG25A</v>
      </c>
      <c r="B1886" s="226" t="str">
        <f>IFERROR(__xludf.DUMMYFUNCTION("""COMPUTED_VALUE"""),"5060128536367")</f>
        <v>5060128536367</v>
      </c>
      <c r="C1886" t="str">
        <f>IFERROR(__xludf.DUMMYFUNCTION("""COMPUTED_VALUE"""),"Westfalia/Witter")</f>
        <v>Westfalia/Witter</v>
      </c>
    </row>
    <row r="1887">
      <c r="A1887" t="str">
        <f>IFERROR(__xludf.DUMMYFUNCTION("""COMPUTED_VALUE"""),"PG26A")</f>
        <v>PG26A</v>
      </c>
      <c r="B1887" s="226" t="str">
        <f>IFERROR(__xludf.DUMMYFUNCTION("""COMPUTED_VALUE"""),"5060128536374")</f>
        <v>5060128536374</v>
      </c>
      <c r="C1887" t="str">
        <f>IFERROR(__xludf.DUMMYFUNCTION("""COMPUTED_VALUE"""),"Westfalia/Witter")</f>
        <v>Westfalia/Witter</v>
      </c>
    </row>
    <row r="1888">
      <c r="A1888" t="str">
        <f>IFERROR(__xludf.DUMMYFUNCTION("""COMPUTED_VALUE"""),"PG27A")</f>
        <v>PG27A</v>
      </c>
      <c r="B1888" s="226" t="str">
        <f>IFERROR(__xludf.DUMMYFUNCTION("""COMPUTED_VALUE"""),"5060128536381")</f>
        <v>5060128536381</v>
      </c>
      <c r="C1888" t="str">
        <f>IFERROR(__xludf.DUMMYFUNCTION("""COMPUTED_VALUE"""),"Westfalia/Witter")</f>
        <v>Westfalia/Witter</v>
      </c>
    </row>
    <row r="1889">
      <c r="A1889" t="str">
        <f>IFERROR(__xludf.DUMMYFUNCTION("""COMPUTED_VALUE"""),"PG28A")</f>
        <v>PG28A</v>
      </c>
      <c r="B1889" s="226" t="str">
        <f>IFERROR(__xludf.DUMMYFUNCTION("""COMPUTED_VALUE"""),"5060128536398")</f>
        <v>5060128536398</v>
      </c>
      <c r="C1889" t="str">
        <f>IFERROR(__xludf.DUMMYFUNCTION("""COMPUTED_VALUE"""),"Westfalia/Witter")</f>
        <v>Westfalia/Witter</v>
      </c>
    </row>
    <row r="1890">
      <c r="A1890" t="str">
        <f>IFERROR(__xludf.DUMMYFUNCTION("""COMPUTED_VALUE"""),"PG32A")</f>
        <v>PG32A</v>
      </c>
      <c r="B1890" s="226" t="str">
        <f>IFERROR(__xludf.DUMMYFUNCTION("""COMPUTED_VALUE"""),"5060128536411")</f>
        <v>5060128536411</v>
      </c>
      <c r="C1890" t="str">
        <f>IFERROR(__xludf.DUMMYFUNCTION("""COMPUTED_VALUE"""),"Westfalia/Witter")</f>
        <v>Westfalia/Witter</v>
      </c>
    </row>
    <row r="1891">
      <c r="A1891" t="str">
        <f>IFERROR(__xludf.DUMMYFUNCTION("""COMPUTED_VALUE"""),"PG35B")</f>
        <v>PG35B</v>
      </c>
      <c r="B1891" s="226" t="str">
        <f>IFERROR(__xludf.DUMMYFUNCTION("""COMPUTED_VALUE"""),"5060128536435")</f>
        <v>5060128536435</v>
      </c>
      <c r="C1891" t="str">
        <f>IFERROR(__xludf.DUMMYFUNCTION("""COMPUTED_VALUE"""),"Westfalia/Witter")</f>
        <v>Westfalia/Witter</v>
      </c>
    </row>
    <row r="1892">
      <c r="A1892" t="str">
        <f>IFERROR(__xludf.DUMMYFUNCTION("""COMPUTED_VALUE"""),"PG35BS")</f>
        <v>PG35BS</v>
      </c>
      <c r="B1892" s="226" t="str">
        <f>IFERROR(__xludf.DUMMYFUNCTION("""COMPUTED_VALUE"""),"5060128536442")</f>
        <v>5060128536442</v>
      </c>
      <c r="C1892" t="str">
        <f>IFERROR(__xludf.DUMMYFUNCTION("""COMPUTED_VALUE"""),"Westfalia/Witter")</f>
        <v>Westfalia/Witter</v>
      </c>
    </row>
    <row r="1893">
      <c r="A1893" t="str">
        <f>IFERROR(__xludf.DUMMYFUNCTION("""COMPUTED_VALUE"""),"PG35BS")</f>
        <v>PG35BS</v>
      </c>
      <c r="B1893" s="226" t="str">
        <f>IFERROR(__xludf.DUMMYFUNCTION("""COMPUTED_VALUE"""),"5060128536442")</f>
        <v>5060128536442</v>
      </c>
      <c r="C1893" t="str">
        <f>IFERROR(__xludf.DUMMYFUNCTION("""COMPUTED_VALUE"""),"Westfalia/Witter")</f>
        <v>Westfalia/Witter</v>
      </c>
    </row>
    <row r="1894">
      <c r="A1894" t="str">
        <f>IFERROR(__xludf.DUMMYFUNCTION("""COMPUTED_VALUE"""),"PG40B")</f>
        <v>PG40B</v>
      </c>
      <c r="B1894" s="226" t="str">
        <f>IFERROR(__xludf.DUMMYFUNCTION("""COMPUTED_VALUE"""),"5060128536459")</f>
        <v>5060128536459</v>
      </c>
      <c r="C1894" t="str">
        <f>IFERROR(__xludf.DUMMYFUNCTION("""COMPUTED_VALUE"""),"Westfalia/Witter")</f>
        <v>Westfalia/Witter</v>
      </c>
    </row>
    <row r="1895">
      <c r="A1895" t="str">
        <f>IFERROR(__xludf.DUMMYFUNCTION("""COMPUTED_VALUE"""),"PG40BS")</f>
        <v>PG40BS</v>
      </c>
      <c r="B1895" s="226" t="str">
        <f>IFERROR(__xludf.DUMMYFUNCTION("""COMPUTED_VALUE"""),"5060128536466")</f>
        <v>5060128536466</v>
      </c>
      <c r="C1895" t="str">
        <f>IFERROR(__xludf.DUMMYFUNCTION("""COMPUTED_VALUE"""),"Westfalia/Witter")</f>
        <v>Westfalia/Witter</v>
      </c>
    </row>
    <row r="1896">
      <c r="A1896" t="str">
        <f>IFERROR(__xludf.DUMMYFUNCTION("""COMPUTED_VALUE"""),"PG43A")</f>
        <v>PG43A</v>
      </c>
      <c r="B1896" s="226" t="str">
        <f>IFERROR(__xludf.DUMMYFUNCTION("""COMPUTED_VALUE"""),"5060128536480")</f>
        <v>5060128536480</v>
      </c>
      <c r="C1896" t="str">
        <f>IFERROR(__xludf.DUMMYFUNCTION("""COMPUTED_VALUE"""),"Westfalia/Witter")</f>
        <v>Westfalia/Witter</v>
      </c>
    </row>
    <row r="1897">
      <c r="A1897" t="str">
        <f>IFERROR(__xludf.DUMMYFUNCTION("""COMPUTED_VALUE"""),"PG44A")</f>
        <v>PG44A</v>
      </c>
      <c r="B1897" s="226" t="str">
        <f>IFERROR(__xludf.DUMMYFUNCTION("""COMPUTED_VALUE"""),"5060128536497")</f>
        <v>5060128536497</v>
      </c>
      <c r="C1897" t="str">
        <f>IFERROR(__xludf.DUMMYFUNCTION("""COMPUTED_VALUE"""),"Westfalia/Witter")</f>
        <v>Westfalia/Witter</v>
      </c>
    </row>
    <row r="1898">
      <c r="A1898" t="str">
        <f>IFERROR(__xludf.DUMMYFUNCTION("""COMPUTED_VALUE"""),"PG45AQ")</f>
        <v>PG45AQ</v>
      </c>
      <c r="B1898" s="226" t="str">
        <f>IFERROR(__xludf.DUMMYFUNCTION("""COMPUTED_VALUE"""),"5060128536503")</f>
        <v>5060128536503</v>
      </c>
      <c r="C1898" t="str">
        <f>IFERROR(__xludf.DUMMYFUNCTION("""COMPUTED_VALUE"""),"Westfalia/Witter")</f>
        <v>Westfalia/Witter</v>
      </c>
    </row>
    <row r="1899">
      <c r="A1899" t="str">
        <f>IFERROR(__xludf.DUMMYFUNCTION("""COMPUTED_VALUE"""),"PG45AQ")</f>
        <v>PG45AQ</v>
      </c>
      <c r="B1899" s="226" t="str">
        <f>IFERROR(__xludf.DUMMYFUNCTION("""COMPUTED_VALUE"""),"5060128536503")</f>
        <v>5060128536503</v>
      </c>
      <c r="C1899" t="str">
        <f>IFERROR(__xludf.DUMMYFUNCTION("""COMPUTED_VALUE"""),"Westfalia/Witter")</f>
        <v>Westfalia/Witter</v>
      </c>
    </row>
    <row r="1900">
      <c r="A1900" t="str">
        <f>IFERROR(__xludf.DUMMYFUNCTION("""COMPUTED_VALUE"""),"PG46C")</f>
        <v>PG46C</v>
      </c>
      <c r="B1900" s="226" t="str">
        <f>IFERROR(__xludf.DUMMYFUNCTION("""COMPUTED_VALUE"""),"5060128536510")</f>
        <v>5060128536510</v>
      </c>
      <c r="C1900" t="str">
        <f>IFERROR(__xludf.DUMMYFUNCTION("""COMPUTED_VALUE"""),"Westfalia/Witter")</f>
        <v>Westfalia/Witter</v>
      </c>
    </row>
    <row r="1901">
      <c r="A1901" t="str">
        <f>IFERROR(__xludf.DUMMYFUNCTION("""COMPUTED_VALUE"""),"PG47A")</f>
        <v>PG47A</v>
      </c>
      <c r="B1901" s="226" t="str">
        <f>IFERROR(__xludf.DUMMYFUNCTION("""COMPUTED_VALUE"""),"5060128536527")</f>
        <v>5060128536527</v>
      </c>
      <c r="C1901" t="str">
        <f>IFERROR(__xludf.DUMMYFUNCTION("""COMPUTED_VALUE"""),"Westfalia/Witter")</f>
        <v>Westfalia/Witter</v>
      </c>
    </row>
    <row r="1902">
      <c r="A1902" t="str">
        <f>IFERROR(__xludf.DUMMYFUNCTION("""COMPUTED_VALUE"""),"PG48B")</f>
        <v>PG48B</v>
      </c>
      <c r="B1902" s="226" t="str">
        <f>IFERROR(__xludf.DUMMYFUNCTION("""COMPUTED_VALUE"""),"5060128536534")</f>
        <v>5060128536534</v>
      </c>
      <c r="C1902" t="str">
        <f>IFERROR(__xludf.DUMMYFUNCTION("""COMPUTED_VALUE"""),"Westfalia/Witter")</f>
        <v>Westfalia/Witter</v>
      </c>
    </row>
    <row r="1903">
      <c r="A1903" t="str">
        <f>IFERROR(__xludf.DUMMYFUNCTION("""COMPUTED_VALUE"""),"PG49A")</f>
        <v>PG49A</v>
      </c>
      <c r="B1903" s="226" t="str">
        <f>IFERROR(__xludf.DUMMYFUNCTION("""COMPUTED_VALUE"""),"5060128536541")</f>
        <v>5060128536541</v>
      </c>
      <c r="C1903" t="str">
        <f>IFERROR(__xludf.DUMMYFUNCTION("""COMPUTED_VALUE"""),"Westfalia/Witter")</f>
        <v>Westfalia/Witter</v>
      </c>
    </row>
    <row r="1904">
      <c r="A1904" t="str">
        <f>IFERROR(__xludf.DUMMYFUNCTION("""COMPUTED_VALUE"""),"PG53")</f>
        <v>PG53</v>
      </c>
      <c r="B1904" s="226" t="str">
        <f>IFERROR(__xludf.DUMMYFUNCTION("""COMPUTED_VALUE"""),"5060128536572")</f>
        <v>5060128536572</v>
      </c>
      <c r="C1904" t="str">
        <f>IFERROR(__xludf.DUMMYFUNCTION("""COMPUTED_VALUE"""),"Westfalia/Witter")</f>
        <v>Westfalia/Witter</v>
      </c>
    </row>
    <row r="1905">
      <c r="A1905" t="str">
        <f>IFERROR(__xludf.DUMMYFUNCTION("""COMPUTED_VALUE"""),"PG53Q")</f>
        <v>PG53Q</v>
      </c>
      <c r="B1905" s="226" t="str">
        <f>IFERROR(__xludf.DUMMYFUNCTION("""COMPUTED_VALUE"""),"5060128536589")</f>
        <v>5060128536589</v>
      </c>
      <c r="C1905" t="str">
        <f>IFERROR(__xludf.DUMMYFUNCTION("""COMPUTED_VALUE"""),"Westfalia/Witter")</f>
        <v>Westfalia/Witter</v>
      </c>
    </row>
    <row r="1906">
      <c r="A1906" t="str">
        <f>IFERROR(__xludf.DUMMYFUNCTION("""COMPUTED_VALUE"""),"PG53S")</f>
        <v>PG53S</v>
      </c>
      <c r="B1906" s="226" t="str">
        <f>IFERROR(__xludf.DUMMYFUNCTION("""COMPUTED_VALUE"""),"5060128536602")</f>
        <v>5060128536602</v>
      </c>
      <c r="C1906" t="str">
        <f>IFERROR(__xludf.DUMMYFUNCTION("""COMPUTED_VALUE"""),"Westfalia/Witter")</f>
        <v>Westfalia/Witter</v>
      </c>
    </row>
    <row r="1907">
      <c r="A1907" t="str">
        <f>IFERROR(__xludf.DUMMYFUNCTION("""COMPUTED_VALUE"""),"PG55Q")</f>
        <v>PG55Q</v>
      </c>
      <c r="B1907" s="226" t="str">
        <f>IFERROR(__xludf.DUMMYFUNCTION("""COMPUTED_VALUE"""),"5060128536619")</f>
        <v>5060128536619</v>
      </c>
      <c r="C1907" t="str">
        <f>IFERROR(__xludf.DUMMYFUNCTION("""COMPUTED_VALUE"""),"Westfalia/Witter")</f>
        <v>Westfalia/Witter</v>
      </c>
    </row>
    <row r="1908">
      <c r="A1908" t="str">
        <f>IFERROR(__xludf.DUMMYFUNCTION("""COMPUTED_VALUE"""),"PG55S")</f>
        <v>PG55S</v>
      </c>
      <c r="B1908" s="226" t="str">
        <f>IFERROR(__xludf.DUMMYFUNCTION("""COMPUTED_VALUE"""),"5060128536626")</f>
        <v>5060128536626</v>
      </c>
      <c r="C1908" t="str">
        <f>IFERROR(__xludf.DUMMYFUNCTION("""COMPUTED_VALUE"""),"Westfalia/Witter")</f>
        <v>Westfalia/Witter</v>
      </c>
    </row>
    <row r="1909">
      <c r="A1909" t="str">
        <f>IFERROR(__xludf.DUMMYFUNCTION("""COMPUTED_VALUE"""),"PG56")</f>
        <v>PG56</v>
      </c>
      <c r="B1909" s="226" t="str">
        <f>IFERROR(__xludf.DUMMYFUNCTION("""COMPUTED_VALUE"""),"5060128536633")</f>
        <v>5060128536633</v>
      </c>
      <c r="C1909" t="str">
        <f>IFERROR(__xludf.DUMMYFUNCTION("""COMPUTED_VALUE"""),"Westfalia/Witter")</f>
        <v>Westfalia/Witter</v>
      </c>
    </row>
    <row r="1910">
      <c r="A1910" t="str">
        <f>IFERROR(__xludf.DUMMYFUNCTION("""COMPUTED_VALUE"""),"PG58")</f>
        <v>PG58</v>
      </c>
      <c r="B1910" s="226" t="str">
        <f>IFERROR(__xludf.DUMMYFUNCTION("""COMPUTED_VALUE"""),"5060128536657")</f>
        <v>5060128536657</v>
      </c>
      <c r="C1910" t="str">
        <f>IFERROR(__xludf.DUMMYFUNCTION("""COMPUTED_VALUE"""),"Westfalia/Witter")</f>
        <v>Westfalia/Witter</v>
      </c>
    </row>
    <row r="1911">
      <c r="A1911" t="str">
        <f>IFERROR(__xludf.DUMMYFUNCTION("""COMPUTED_VALUE"""),"PG58Q")</f>
        <v>PG58Q</v>
      </c>
      <c r="B1911" s="226" t="str">
        <f>IFERROR(__xludf.DUMMYFUNCTION("""COMPUTED_VALUE"""),"5060128536664")</f>
        <v>5060128536664</v>
      </c>
      <c r="C1911" t="str">
        <f>IFERROR(__xludf.DUMMYFUNCTION("""COMPUTED_VALUE"""),"Westfalia/Witter")</f>
        <v>Westfalia/Witter</v>
      </c>
    </row>
    <row r="1912">
      <c r="A1912" t="str">
        <f>IFERROR(__xludf.DUMMYFUNCTION("""COMPUTED_VALUE"""),"PG58S")</f>
        <v>PG58S</v>
      </c>
      <c r="B1912" s="226" t="str">
        <f>IFERROR(__xludf.DUMMYFUNCTION("""COMPUTED_VALUE"""),"5060128536671")</f>
        <v>5060128536671</v>
      </c>
      <c r="C1912" t="str">
        <f>IFERROR(__xludf.DUMMYFUNCTION("""COMPUTED_VALUE"""),"Westfalia/Witter")</f>
        <v>Westfalia/Witter</v>
      </c>
    </row>
    <row r="1913">
      <c r="A1913" t="str">
        <f>IFERROR(__xludf.DUMMYFUNCTION("""COMPUTED_VALUE"""),"PG59")</f>
        <v>PG59</v>
      </c>
      <c r="B1913" s="226" t="str">
        <f>IFERROR(__xludf.DUMMYFUNCTION("""COMPUTED_VALUE"""),"5060128536688")</f>
        <v>5060128536688</v>
      </c>
      <c r="C1913" t="str">
        <f>IFERROR(__xludf.DUMMYFUNCTION("""COMPUTED_VALUE"""),"Westfalia/Witter")</f>
        <v>Westfalia/Witter</v>
      </c>
    </row>
    <row r="1914">
      <c r="A1914" t="str">
        <f>IFERROR(__xludf.DUMMYFUNCTION("""COMPUTED_VALUE"""),"PG59Q")</f>
        <v>PG59Q</v>
      </c>
      <c r="B1914" s="226" t="str">
        <f>IFERROR(__xludf.DUMMYFUNCTION("""COMPUTED_VALUE"""),"5060128536695")</f>
        <v>5060128536695</v>
      </c>
      <c r="C1914" t="str">
        <f>IFERROR(__xludf.DUMMYFUNCTION("""COMPUTED_VALUE"""),"Westfalia/Witter")</f>
        <v>Westfalia/Witter</v>
      </c>
    </row>
    <row r="1915">
      <c r="A1915" t="str">
        <f>IFERROR(__xludf.DUMMYFUNCTION("""COMPUTED_VALUE"""),"R19B")</f>
        <v>R19B</v>
      </c>
      <c r="B1915" s="226" t="str">
        <f>IFERROR(__xludf.DUMMYFUNCTION("""COMPUTED_VALUE"""),"5060128536718")</f>
        <v>5060128536718</v>
      </c>
      <c r="C1915" t="str">
        <f>IFERROR(__xludf.DUMMYFUNCTION("""COMPUTED_VALUE"""),"Westfalia/Witter")</f>
        <v>Westfalia/Witter</v>
      </c>
    </row>
    <row r="1916">
      <c r="A1916" t="str">
        <f>IFERROR(__xludf.DUMMYFUNCTION("""COMPUTED_VALUE"""),"R21B")</f>
        <v>R21B</v>
      </c>
      <c r="B1916" s="226" t="str">
        <f>IFERROR(__xludf.DUMMYFUNCTION("""COMPUTED_VALUE"""),"5060128536725")</f>
        <v>5060128536725</v>
      </c>
      <c r="C1916" t="str">
        <f>IFERROR(__xludf.DUMMYFUNCTION("""COMPUTED_VALUE"""),"Westfalia/Witter")</f>
        <v>Westfalia/Witter</v>
      </c>
    </row>
    <row r="1917">
      <c r="A1917" t="str">
        <f>IFERROR(__xludf.DUMMYFUNCTION("""COMPUTED_VALUE"""),"R22B")</f>
        <v>R22B</v>
      </c>
      <c r="B1917" s="226" t="str">
        <f>IFERROR(__xludf.DUMMYFUNCTION("""COMPUTED_VALUE"""),"5060128536732")</f>
        <v>5060128536732</v>
      </c>
      <c r="C1917" t="str">
        <f>IFERROR(__xludf.DUMMYFUNCTION("""COMPUTED_VALUE"""),"Westfalia/Witter")</f>
        <v>Westfalia/Witter</v>
      </c>
    </row>
    <row r="1918">
      <c r="A1918" t="str">
        <f>IFERROR(__xludf.DUMMYFUNCTION("""COMPUTED_VALUE"""),"R23B")</f>
        <v>R23B</v>
      </c>
      <c r="B1918" s="226" t="str">
        <f>IFERROR(__xludf.DUMMYFUNCTION("""COMPUTED_VALUE"""),"5060128536749")</f>
        <v>5060128536749</v>
      </c>
      <c r="C1918" t="str">
        <f>IFERROR(__xludf.DUMMYFUNCTION("""COMPUTED_VALUE"""),"Westfalia/Witter")</f>
        <v>Westfalia/Witter</v>
      </c>
    </row>
    <row r="1919">
      <c r="A1919" t="str">
        <f>IFERROR(__xludf.DUMMYFUNCTION("""COMPUTED_VALUE"""),"R24A")</f>
        <v>R24A</v>
      </c>
      <c r="B1919" s="226" t="str">
        <f>IFERROR(__xludf.DUMMYFUNCTION("""COMPUTED_VALUE"""),"5060128536756")</f>
        <v>5060128536756</v>
      </c>
      <c r="C1919" t="str">
        <f>IFERROR(__xludf.DUMMYFUNCTION("""COMPUTED_VALUE"""),"Westfalia/Witter")</f>
        <v>Westfalia/Witter</v>
      </c>
    </row>
    <row r="1920">
      <c r="A1920" t="str">
        <f>IFERROR(__xludf.DUMMYFUNCTION("""COMPUTED_VALUE"""),"R25B")</f>
        <v>R25B</v>
      </c>
      <c r="B1920" s="226" t="str">
        <f>IFERROR(__xludf.DUMMYFUNCTION("""COMPUTED_VALUE"""),"5060128536763")</f>
        <v>5060128536763</v>
      </c>
      <c r="C1920" t="str">
        <f>IFERROR(__xludf.DUMMYFUNCTION("""COMPUTED_VALUE"""),"Westfalia/Witter")</f>
        <v>Westfalia/Witter</v>
      </c>
    </row>
    <row r="1921">
      <c r="A1921" t="str">
        <f>IFERROR(__xludf.DUMMYFUNCTION("""COMPUTED_VALUE"""),"R26")</f>
        <v>R26</v>
      </c>
      <c r="B1921" s="226" t="str">
        <f>IFERROR(__xludf.DUMMYFUNCTION("""COMPUTED_VALUE"""),"5060128536770")</f>
        <v>5060128536770</v>
      </c>
      <c r="C1921" t="str">
        <f>IFERROR(__xludf.DUMMYFUNCTION("""COMPUTED_VALUE"""),"Westfalia/Witter")</f>
        <v>Westfalia/Witter</v>
      </c>
    </row>
    <row r="1922">
      <c r="A1922" t="str">
        <f>IFERROR(__xludf.DUMMYFUNCTION("""COMPUTED_VALUE"""),"R28")</f>
        <v>R28</v>
      </c>
      <c r="B1922" s="226" t="str">
        <f>IFERROR(__xludf.DUMMYFUNCTION("""COMPUTED_VALUE"""),"5060128536787")</f>
        <v>5060128536787</v>
      </c>
      <c r="C1922" t="str">
        <f>IFERROR(__xludf.DUMMYFUNCTION("""COMPUTED_VALUE"""),"Westfalia/Witter")</f>
        <v>Westfalia/Witter</v>
      </c>
    </row>
    <row r="1923">
      <c r="A1923" t="str">
        <f>IFERROR(__xludf.DUMMYFUNCTION("""COMPUTED_VALUE"""),"R29A")</f>
        <v>R29A</v>
      </c>
      <c r="B1923" s="226" t="str">
        <f>IFERROR(__xludf.DUMMYFUNCTION("""COMPUTED_VALUE"""),"5060128536794")</f>
        <v>5060128536794</v>
      </c>
      <c r="C1923" t="str">
        <f>IFERROR(__xludf.DUMMYFUNCTION("""COMPUTED_VALUE"""),"Westfalia/Witter")</f>
        <v>Westfalia/Witter</v>
      </c>
    </row>
    <row r="1924">
      <c r="A1924" t="str">
        <f>IFERROR(__xludf.DUMMYFUNCTION("""COMPUTED_VALUE"""),"R31AR")</f>
        <v>R31AR</v>
      </c>
      <c r="B1924" s="226" t="str">
        <f>IFERROR(__xludf.DUMMYFUNCTION("""COMPUTED_VALUE"""),"5060128536800")</f>
        <v>5060128536800</v>
      </c>
      <c r="C1924" t="str">
        <f>IFERROR(__xludf.DUMMYFUNCTION("""COMPUTED_VALUE"""),"Westfalia/Witter")</f>
        <v>Westfalia/Witter</v>
      </c>
    </row>
    <row r="1925">
      <c r="A1925" t="str">
        <f>IFERROR(__xludf.DUMMYFUNCTION("""COMPUTED_VALUE"""),"R31B")</f>
        <v>R31B</v>
      </c>
      <c r="B1925" s="226" t="str">
        <f>IFERROR(__xludf.DUMMYFUNCTION("""COMPUTED_VALUE"""),"5060128536817")</f>
        <v>5060128536817</v>
      </c>
      <c r="C1925" t="str">
        <f>IFERROR(__xludf.DUMMYFUNCTION("""COMPUTED_VALUE"""),"Westfalia/Witter")</f>
        <v>Westfalia/Witter</v>
      </c>
    </row>
    <row r="1926">
      <c r="A1926" t="str">
        <f>IFERROR(__xludf.DUMMYFUNCTION("""COMPUTED_VALUE"""),"R32B")</f>
        <v>R32B</v>
      </c>
      <c r="B1926" s="226" t="str">
        <f>IFERROR(__xludf.DUMMYFUNCTION("""COMPUTED_VALUE"""),"5060128536824")</f>
        <v>5060128536824</v>
      </c>
      <c r="C1926" t="str">
        <f>IFERROR(__xludf.DUMMYFUNCTION("""COMPUTED_VALUE"""),"Westfalia/Witter")</f>
        <v>Westfalia/Witter</v>
      </c>
    </row>
    <row r="1927">
      <c r="A1927" t="str">
        <f>IFERROR(__xludf.DUMMYFUNCTION("""COMPUTED_VALUE"""),"R37S")</f>
        <v>R37S</v>
      </c>
      <c r="B1927" s="226" t="str">
        <f>IFERROR(__xludf.DUMMYFUNCTION("""COMPUTED_VALUE"""),"5060128536831")</f>
        <v>5060128536831</v>
      </c>
      <c r="C1927" t="str">
        <f>IFERROR(__xludf.DUMMYFUNCTION("""COMPUTED_VALUE"""),"Westfalia/Witter")</f>
        <v>Westfalia/Witter</v>
      </c>
    </row>
    <row r="1928">
      <c r="A1928" t="str">
        <f>IFERROR(__xludf.DUMMYFUNCTION("""COMPUTED_VALUE"""),"R38AQ")</f>
        <v>R38AQ</v>
      </c>
      <c r="B1928" s="226" t="str">
        <f>IFERROR(__xludf.DUMMYFUNCTION("""COMPUTED_VALUE"""),"5060128536848")</f>
        <v>5060128536848</v>
      </c>
      <c r="C1928" t="str">
        <f>IFERROR(__xludf.DUMMYFUNCTION("""COMPUTED_VALUE"""),"Westfalia/Witter")</f>
        <v>Westfalia/Witter</v>
      </c>
    </row>
    <row r="1929">
      <c r="A1929" t="str">
        <f>IFERROR(__xludf.DUMMYFUNCTION("""COMPUTED_VALUE"""),"R39A")</f>
        <v>R39A</v>
      </c>
      <c r="B1929" s="226" t="str">
        <f>IFERROR(__xludf.DUMMYFUNCTION("""COMPUTED_VALUE"""),"5060128536855")</f>
        <v>5060128536855</v>
      </c>
      <c r="C1929" t="str">
        <f>IFERROR(__xludf.DUMMYFUNCTION("""COMPUTED_VALUE"""),"Westfalia/Witter")</f>
        <v>Westfalia/Witter</v>
      </c>
    </row>
    <row r="1930">
      <c r="A1930" t="str">
        <f>IFERROR(__xludf.DUMMYFUNCTION("""COMPUTED_VALUE"""),"R40A")</f>
        <v>R40A</v>
      </c>
      <c r="B1930" s="226" t="str">
        <f>IFERROR(__xludf.DUMMYFUNCTION("""COMPUTED_VALUE"""),"5060128536862")</f>
        <v>5060128536862</v>
      </c>
      <c r="C1930" t="str">
        <f>IFERROR(__xludf.DUMMYFUNCTION("""COMPUTED_VALUE"""),"Westfalia/Witter")</f>
        <v>Westfalia/Witter</v>
      </c>
    </row>
    <row r="1931">
      <c r="A1931" t="str">
        <f>IFERROR(__xludf.DUMMYFUNCTION("""COMPUTED_VALUE"""),"R41AQ")</f>
        <v>R41AQ</v>
      </c>
      <c r="B1931" s="226" t="str">
        <f>IFERROR(__xludf.DUMMYFUNCTION("""COMPUTED_VALUE"""),"5060128536879")</f>
        <v>5060128536879</v>
      </c>
      <c r="C1931" t="str">
        <f>IFERROR(__xludf.DUMMYFUNCTION("""COMPUTED_VALUE"""),"Westfalia/Witter")</f>
        <v>Westfalia/Witter</v>
      </c>
    </row>
    <row r="1932">
      <c r="A1932" t="str">
        <f>IFERROR(__xludf.DUMMYFUNCTION("""COMPUTED_VALUE"""),"R41AS")</f>
        <v>R41AS</v>
      </c>
      <c r="B1932" s="226" t="str">
        <f>IFERROR(__xludf.DUMMYFUNCTION("""COMPUTED_VALUE"""),"5060128536893")</f>
        <v>5060128536893</v>
      </c>
      <c r="C1932" t="str">
        <f>IFERROR(__xludf.DUMMYFUNCTION("""COMPUTED_VALUE"""),"Westfalia/Witter")</f>
        <v>Westfalia/Witter</v>
      </c>
    </row>
    <row r="1933">
      <c r="A1933" t="str">
        <f>IFERROR(__xludf.DUMMYFUNCTION("""COMPUTED_VALUE"""),"R42AQ")</f>
        <v>R42AQ</v>
      </c>
      <c r="B1933" s="226" t="str">
        <f>IFERROR(__xludf.DUMMYFUNCTION("""COMPUTED_VALUE"""),"5060128536909")</f>
        <v>5060128536909</v>
      </c>
      <c r="C1933" t="str">
        <f>IFERROR(__xludf.DUMMYFUNCTION("""COMPUTED_VALUE"""),"Westfalia/Witter")</f>
        <v>Westfalia/Witter</v>
      </c>
    </row>
    <row r="1934">
      <c r="A1934" t="str">
        <f>IFERROR(__xludf.DUMMYFUNCTION("""COMPUTED_VALUE"""),"R43")</f>
        <v>R43</v>
      </c>
      <c r="B1934" s="226" t="str">
        <f>IFERROR(__xludf.DUMMYFUNCTION("""COMPUTED_VALUE"""),"5060128536916")</f>
        <v>5060128536916</v>
      </c>
      <c r="C1934" t="str">
        <f>IFERROR(__xludf.DUMMYFUNCTION("""COMPUTED_VALUE"""),"Westfalia/Witter")</f>
        <v>Westfalia/Witter</v>
      </c>
    </row>
    <row r="1935">
      <c r="A1935" t="str">
        <f>IFERROR(__xludf.DUMMYFUNCTION("""COMPUTED_VALUE"""),"R44")</f>
        <v>R44</v>
      </c>
      <c r="B1935" s="226" t="str">
        <f>IFERROR(__xludf.DUMMYFUNCTION("""COMPUTED_VALUE"""),"5060128536923")</f>
        <v>5060128536923</v>
      </c>
      <c r="C1935" t="str">
        <f>IFERROR(__xludf.DUMMYFUNCTION("""COMPUTED_VALUE"""),"Westfalia/Witter")</f>
        <v>Westfalia/Witter</v>
      </c>
    </row>
    <row r="1936">
      <c r="A1936" t="str">
        <f>IFERROR(__xludf.DUMMYFUNCTION("""COMPUTED_VALUE"""),"VW61A")</f>
        <v>VW61A</v>
      </c>
      <c r="B1936" s="226" t="str">
        <f>IFERROR(__xludf.DUMMYFUNCTION("""COMPUTED_VALUE"""),"5060128536927")</f>
        <v>5060128536927</v>
      </c>
      <c r="C1936" t="str">
        <f>IFERROR(__xludf.DUMMYFUNCTION("""COMPUTED_VALUE"""),"Westfalia/Witter")</f>
        <v>Westfalia/Witter</v>
      </c>
    </row>
    <row r="1937">
      <c r="A1937" t="str">
        <f>IFERROR(__xludf.DUMMYFUNCTION("""COMPUTED_VALUE"""),"R44Q")</f>
        <v>R44Q</v>
      </c>
      <c r="B1937" s="226" t="str">
        <f>IFERROR(__xludf.DUMMYFUNCTION("""COMPUTED_VALUE"""),"5060128536930")</f>
        <v>5060128536930</v>
      </c>
      <c r="C1937" t="str">
        <f>IFERROR(__xludf.DUMMYFUNCTION("""COMPUTED_VALUE"""),"Westfalia/Witter")</f>
        <v>Westfalia/Witter</v>
      </c>
    </row>
    <row r="1938">
      <c r="A1938" t="str">
        <f>IFERROR(__xludf.DUMMYFUNCTION("""COMPUTED_VALUE"""),"R44S")</f>
        <v>R44S</v>
      </c>
      <c r="B1938" s="226" t="str">
        <f>IFERROR(__xludf.DUMMYFUNCTION("""COMPUTED_VALUE"""),"5060128536954")</f>
        <v>5060128536954</v>
      </c>
      <c r="C1938" t="str">
        <f>IFERROR(__xludf.DUMMYFUNCTION("""COMPUTED_VALUE"""),"Westfalia/Witter")</f>
        <v>Westfalia/Witter</v>
      </c>
    </row>
    <row r="1939">
      <c r="A1939" t="str">
        <f>IFERROR(__xludf.DUMMYFUNCTION("""COMPUTED_VALUE"""),"R47Q")</f>
        <v>R47Q</v>
      </c>
      <c r="B1939" s="226" t="str">
        <f>IFERROR(__xludf.DUMMYFUNCTION("""COMPUTED_VALUE"""),"5060128536961")</f>
        <v>5060128536961</v>
      </c>
      <c r="C1939" t="str">
        <f>IFERROR(__xludf.DUMMYFUNCTION("""COMPUTED_VALUE"""),"Westfalia/Witter")</f>
        <v>Westfalia/Witter</v>
      </c>
    </row>
    <row r="1940">
      <c r="A1940" t="str">
        <f>IFERROR(__xludf.DUMMYFUNCTION("""COMPUTED_VALUE"""),"R50Q")</f>
        <v>R50Q</v>
      </c>
      <c r="B1940" s="226" t="str">
        <f>IFERROR(__xludf.DUMMYFUNCTION("""COMPUTED_VALUE"""),"5060128536978")</f>
        <v>5060128536978</v>
      </c>
      <c r="C1940" t="str">
        <f>IFERROR(__xludf.DUMMYFUNCTION("""COMPUTED_VALUE"""),"Westfalia/Witter")</f>
        <v>Westfalia/Witter</v>
      </c>
    </row>
    <row r="1941">
      <c r="A1941" t="str">
        <f>IFERROR(__xludf.DUMMYFUNCTION("""COMPUTED_VALUE"""),"RN100Q")</f>
        <v>RN100Q</v>
      </c>
      <c r="B1941" s="226" t="str">
        <f>IFERROR(__xludf.DUMMYFUNCTION("""COMPUTED_VALUE"""),"5060128537005")</f>
        <v>5060128537005</v>
      </c>
      <c r="C1941" t="str">
        <f>IFERROR(__xludf.DUMMYFUNCTION("""COMPUTED_VALUE"""),"Westfalia/Witter")</f>
        <v>Westfalia/Witter</v>
      </c>
    </row>
    <row r="1942">
      <c r="A1942" t="str">
        <f>IFERROR(__xludf.DUMMYFUNCTION("""COMPUTED_VALUE"""),"RN100S")</f>
        <v>RN100S</v>
      </c>
      <c r="B1942" s="226" t="str">
        <f>IFERROR(__xludf.DUMMYFUNCTION("""COMPUTED_VALUE"""),"5060128537012")</f>
        <v>5060128537012</v>
      </c>
      <c r="C1942" t="str">
        <f>IFERROR(__xludf.DUMMYFUNCTION("""COMPUTED_VALUE"""),"Westfalia/Witter")</f>
        <v>Westfalia/Witter</v>
      </c>
    </row>
    <row r="1943">
      <c r="A1943" t="str">
        <f>IFERROR(__xludf.DUMMYFUNCTION("""COMPUTED_VALUE"""),"RN101A")</f>
        <v>RN101A</v>
      </c>
      <c r="B1943" s="226" t="str">
        <f>IFERROR(__xludf.DUMMYFUNCTION("""COMPUTED_VALUE"""),"5060128537029")</f>
        <v>5060128537029</v>
      </c>
      <c r="C1943" t="str">
        <f>IFERROR(__xludf.DUMMYFUNCTION("""COMPUTED_VALUE"""),"Westfalia/Witter")</f>
        <v>Westfalia/Witter</v>
      </c>
    </row>
    <row r="1944">
      <c r="A1944" t="str">
        <f>IFERROR(__xludf.DUMMYFUNCTION("""COMPUTED_VALUE"""),"RN103A")</f>
        <v>RN103A</v>
      </c>
      <c r="B1944" s="226" t="str">
        <f>IFERROR(__xludf.DUMMYFUNCTION("""COMPUTED_VALUE"""),"5060128537036")</f>
        <v>5060128537036</v>
      </c>
      <c r="C1944" t="str">
        <f>IFERROR(__xludf.DUMMYFUNCTION("""COMPUTED_VALUE"""),"Westfalia/Witter")</f>
        <v>Westfalia/Witter</v>
      </c>
    </row>
    <row r="1945">
      <c r="A1945" t="str">
        <f>IFERROR(__xludf.DUMMYFUNCTION("""COMPUTED_VALUE"""),"RN103A")</f>
        <v>RN103A</v>
      </c>
      <c r="B1945" s="226" t="str">
        <f>IFERROR(__xludf.DUMMYFUNCTION("""COMPUTED_VALUE"""),"5060128537036")</f>
        <v>5060128537036</v>
      </c>
      <c r="C1945" t="str">
        <f>IFERROR(__xludf.DUMMYFUNCTION("""COMPUTED_VALUE"""),"Westfalia/Witter")</f>
        <v>Westfalia/Witter</v>
      </c>
    </row>
    <row r="1946">
      <c r="A1946" t="str">
        <f>IFERROR(__xludf.DUMMYFUNCTION("""COMPUTED_VALUE"""),"RN103A")</f>
        <v>RN103A</v>
      </c>
      <c r="B1946" s="226" t="str">
        <f>IFERROR(__xludf.DUMMYFUNCTION("""COMPUTED_VALUE"""),"5060128537036")</f>
        <v>5060128537036</v>
      </c>
      <c r="C1946" t="str">
        <f>IFERROR(__xludf.DUMMYFUNCTION("""COMPUTED_VALUE"""),"Westfalia/Witter")</f>
        <v>Westfalia/Witter</v>
      </c>
    </row>
    <row r="1947">
      <c r="A1947" t="str">
        <f>IFERROR(__xludf.DUMMYFUNCTION("""COMPUTED_VALUE"""),"RN104A")</f>
        <v>RN104A</v>
      </c>
      <c r="B1947" s="226" t="str">
        <f>IFERROR(__xludf.DUMMYFUNCTION("""COMPUTED_VALUE"""),"5060128537043")</f>
        <v>5060128537043</v>
      </c>
      <c r="C1947" t="str">
        <f>IFERROR(__xludf.DUMMYFUNCTION("""COMPUTED_VALUE"""),"Westfalia/Witter")</f>
        <v>Westfalia/Witter</v>
      </c>
    </row>
    <row r="1948">
      <c r="A1948" t="str">
        <f>IFERROR(__xludf.DUMMYFUNCTION("""COMPUTED_VALUE"""),"RN105A")</f>
        <v>RN105A</v>
      </c>
      <c r="B1948" s="226" t="str">
        <f>IFERROR(__xludf.DUMMYFUNCTION("""COMPUTED_VALUE"""),"5060128537050")</f>
        <v>5060128537050</v>
      </c>
      <c r="C1948" t="str">
        <f>IFERROR(__xludf.DUMMYFUNCTION("""COMPUTED_VALUE"""),"Westfalia/Witter")</f>
        <v>Westfalia/Witter</v>
      </c>
    </row>
    <row r="1949">
      <c r="A1949" t="str">
        <f>IFERROR(__xludf.DUMMYFUNCTION("""COMPUTED_VALUE"""),"RN106B")</f>
        <v>RN106B</v>
      </c>
      <c r="B1949" s="226" t="str">
        <f>IFERROR(__xludf.DUMMYFUNCTION("""COMPUTED_VALUE"""),"5060128537067")</f>
        <v>5060128537067</v>
      </c>
      <c r="C1949" t="str">
        <f>IFERROR(__xludf.DUMMYFUNCTION("""COMPUTED_VALUE"""),"Westfalia/Witter")</f>
        <v>Westfalia/Witter</v>
      </c>
    </row>
    <row r="1950">
      <c r="A1950" t="str">
        <f>IFERROR(__xludf.DUMMYFUNCTION("""COMPUTED_VALUE"""),"RN107A")</f>
        <v>RN107A</v>
      </c>
      <c r="B1950" s="226" t="str">
        <f>IFERROR(__xludf.DUMMYFUNCTION("""COMPUTED_VALUE"""),"5060128537074")</f>
        <v>5060128537074</v>
      </c>
      <c r="C1950" t="str">
        <f>IFERROR(__xludf.DUMMYFUNCTION("""COMPUTED_VALUE"""),"Westfalia/Witter")</f>
        <v>Westfalia/Witter</v>
      </c>
    </row>
    <row r="1951">
      <c r="A1951" t="str">
        <f>IFERROR(__xludf.DUMMYFUNCTION("""COMPUTED_VALUE"""),"RN108")</f>
        <v>RN108</v>
      </c>
      <c r="B1951" s="226" t="str">
        <f>IFERROR(__xludf.DUMMYFUNCTION("""COMPUTED_VALUE"""),"5060128537081")</f>
        <v>5060128537081</v>
      </c>
      <c r="C1951" t="str">
        <f>IFERROR(__xludf.DUMMYFUNCTION("""COMPUTED_VALUE"""),"Westfalia/Witter")</f>
        <v>Westfalia/Witter</v>
      </c>
    </row>
    <row r="1952">
      <c r="A1952" t="str">
        <f>IFERROR(__xludf.DUMMYFUNCTION("""COMPUTED_VALUE"""),"RN108S")</f>
        <v>RN108S</v>
      </c>
      <c r="B1952" s="226" t="str">
        <f>IFERROR(__xludf.DUMMYFUNCTION("""COMPUTED_VALUE"""),"5060128537098")</f>
        <v>5060128537098</v>
      </c>
      <c r="C1952" t="str">
        <f>IFERROR(__xludf.DUMMYFUNCTION("""COMPUTED_VALUE"""),"Westfalia/Witter")</f>
        <v>Westfalia/Witter</v>
      </c>
    </row>
    <row r="1953">
      <c r="A1953" t="str">
        <f>IFERROR(__xludf.DUMMYFUNCTION("""COMPUTED_VALUE"""),"RN111")</f>
        <v>RN111</v>
      </c>
      <c r="B1953" s="226" t="str">
        <f>IFERROR(__xludf.DUMMYFUNCTION("""COMPUTED_VALUE"""),"5060128537111")</f>
        <v>5060128537111</v>
      </c>
      <c r="C1953" t="str">
        <f>IFERROR(__xludf.DUMMYFUNCTION("""COMPUTED_VALUE"""),"Westfalia/Witter")</f>
        <v>Westfalia/Witter</v>
      </c>
    </row>
    <row r="1954">
      <c r="A1954" t="str">
        <f>IFERROR(__xludf.DUMMYFUNCTION("""COMPUTED_VALUE"""),"RN111Q")</f>
        <v>RN111Q</v>
      </c>
      <c r="B1954" s="226" t="str">
        <f>IFERROR(__xludf.DUMMYFUNCTION("""COMPUTED_VALUE"""),"5060128537128")</f>
        <v>5060128537128</v>
      </c>
      <c r="C1954" t="str">
        <f>IFERROR(__xludf.DUMMYFUNCTION("""COMPUTED_VALUE"""),"Westfalia/Witter")</f>
        <v>Westfalia/Witter</v>
      </c>
    </row>
    <row r="1955">
      <c r="A1955" t="str">
        <f>IFERROR(__xludf.DUMMYFUNCTION("""COMPUTED_VALUE"""),"RN111S")</f>
        <v>RN111S</v>
      </c>
      <c r="B1955" s="226" t="str">
        <f>IFERROR(__xludf.DUMMYFUNCTION("""COMPUTED_VALUE"""),"5060128537135")</f>
        <v>5060128537135</v>
      </c>
      <c r="C1955" t="str">
        <f>IFERROR(__xludf.DUMMYFUNCTION("""COMPUTED_VALUE"""),"Westfalia/Witter")</f>
        <v>Westfalia/Witter</v>
      </c>
    </row>
    <row r="1956">
      <c r="A1956" t="str">
        <f>IFERROR(__xludf.DUMMYFUNCTION("""COMPUTED_VALUE"""),"RN112")</f>
        <v>RN112</v>
      </c>
      <c r="B1956" s="226" t="str">
        <f>IFERROR(__xludf.DUMMYFUNCTION("""COMPUTED_VALUE"""),"5060128537142")</f>
        <v>5060128537142</v>
      </c>
      <c r="C1956" t="str">
        <f>IFERROR(__xludf.DUMMYFUNCTION("""COMPUTED_VALUE"""),"Westfalia/Witter")</f>
        <v>Westfalia/Witter</v>
      </c>
    </row>
    <row r="1957">
      <c r="A1957" t="str">
        <f>IFERROR(__xludf.DUMMYFUNCTION("""COMPUTED_VALUE"""),"RN112")</f>
        <v>RN112</v>
      </c>
      <c r="B1957" s="226" t="str">
        <f>IFERROR(__xludf.DUMMYFUNCTION("""COMPUTED_VALUE"""),"5060128537142")</f>
        <v>5060128537142</v>
      </c>
      <c r="C1957" t="str">
        <f>IFERROR(__xludf.DUMMYFUNCTION("""COMPUTED_VALUE"""),"Westfalia/Witter")</f>
        <v>Westfalia/Witter</v>
      </c>
    </row>
    <row r="1958">
      <c r="A1958" t="str">
        <f>IFERROR(__xludf.DUMMYFUNCTION("""COMPUTED_VALUE"""),"RN114")</f>
        <v>RN114</v>
      </c>
      <c r="B1958" s="226" t="str">
        <f>IFERROR(__xludf.DUMMYFUNCTION("""COMPUTED_VALUE"""),"5060128537159")</f>
        <v>5060128537159</v>
      </c>
      <c r="C1958" t="str">
        <f>IFERROR(__xludf.DUMMYFUNCTION("""COMPUTED_VALUE"""),"Westfalia/Witter")</f>
        <v>Westfalia/Witter</v>
      </c>
    </row>
    <row r="1959">
      <c r="A1959" t="str">
        <f>IFERROR(__xludf.DUMMYFUNCTION("""COMPUTED_VALUE"""),"RN114Q")</f>
        <v>RN114Q</v>
      </c>
      <c r="B1959" s="226" t="str">
        <f>IFERROR(__xludf.DUMMYFUNCTION("""COMPUTED_VALUE"""),"5060128537166")</f>
        <v>5060128537166</v>
      </c>
      <c r="C1959" t="str">
        <f>IFERROR(__xludf.DUMMYFUNCTION("""COMPUTED_VALUE"""),"Westfalia/Witter")</f>
        <v>Westfalia/Witter</v>
      </c>
    </row>
    <row r="1960">
      <c r="A1960" t="str">
        <f>IFERROR(__xludf.DUMMYFUNCTION("""COMPUTED_VALUE"""),"RN114S")</f>
        <v>RN114S</v>
      </c>
      <c r="B1960" s="226" t="str">
        <f>IFERROR(__xludf.DUMMYFUNCTION("""COMPUTED_VALUE"""),"5060128537173")</f>
        <v>5060128537173</v>
      </c>
      <c r="C1960" t="str">
        <f>IFERROR(__xludf.DUMMYFUNCTION("""COMPUTED_VALUE"""),"Westfalia/Witter")</f>
        <v>Westfalia/Witter</v>
      </c>
    </row>
    <row r="1961">
      <c r="A1961" t="str">
        <f>IFERROR(__xludf.DUMMYFUNCTION("""COMPUTED_VALUE"""),"RN54B")</f>
        <v>RN54B</v>
      </c>
      <c r="B1961" s="226" t="str">
        <f>IFERROR(__xludf.DUMMYFUNCTION("""COMPUTED_VALUE"""),"5060128537180")</f>
        <v>5060128537180</v>
      </c>
      <c r="C1961" t="str">
        <f>IFERROR(__xludf.DUMMYFUNCTION("""COMPUTED_VALUE"""),"Westfalia/Witter")</f>
        <v>Westfalia/Witter</v>
      </c>
    </row>
    <row r="1962">
      <c r="A1962" t="str">
        <f>IFERROR(__xludf.DUMMYFUNCTION("""COMPUTED_VALUE"""),"RN56A")</f>
        <v>RN56A</v>
      </c>
      <c r="B1962" s="226" t="str">
        <f>IFERROR(__xludf.DUMMYFUNCTION("""COMPUTED_VALUE"""),"5060128537197")</f>
        <v>5060128537197</v>
      </c>
      <c r="C1962" t="str">
        <f>IFERROR(__xludf.DUMMYFUNCTION("""COMPUTED_VALUE"""),"Westfalia/Witter")</f>
        <v>Westfalia/Witter</v>
      </c>
    </row>
    <row r="1963">
      <c r="A1963" t="str">
        <f>IFERROR(__xludf.DUMMYFUNCTION("""COMPUTED_VALUE"""),"RN58A")</f>
        <v>RN58A</v>
      </c>
      <c r="B1963" s="226" t="str">
        <f>IFERROR(__xludf.DUMMYFUNCTION("""COMPUTED_VALUE"""),"5060128537203")</f>
        <v>5060128537203</v>
      </c>
      <c r="C1963" t="str">
        <f>IFERROR(__xludf.DUMMYFUNCTION("""COMPUTED_VALUE"""),"Westfalia/Witter")</f>
        <v>Westfalia/Witter</v>
      </c>
    </row>
    <row r="1964">
      <c r="A1964" t="str">
        <f>IFERROR(__xludf.DUMMYFUNCTION("""COMPUTED_VALUE"""),"RN61")</f>
        <v>RN61</v>
      </c>
      <c r="B1964" s="226" t="str">
        <f>IFERROR(__xludf.DUMMYFUNCTION("""COMPUTED_VALUE"""),"5060128537210")</f>
        <v>5060128537210</v>
      </c>
      <c r="C1964" t="str">
        <f>IFERROR(__xludf.DUMMYFUNCTION("""COMPUTED_VALUE"""),"Westfalia/Witter")</f>
        <v>Westfalia/Witter</v>
      </c>
    </row>
    <row r="1965">
      <c r="A1965" t="str">
        <f>IFERROR(__xludf.DUMMYFUNCTION("""COMPUTED_VALUE"""),"RN61")</f>
        <v>RN61</v>
      </c>
      <c r="B1965" s="226" t="str">
        <f>IFERROR(__xludf.DUMMYFUNCTION("""COMPUTED_VALUE"""),"5060128537210")</f>
        <v>5060128537210</v>
      </c>
      <c r="C1965" t="str">
        <f>IFERROR(__xludf.DUMMYFUNCTION("""COMPUTED_VALUE"""),"Westfalia/Witter")</f>
        <v>Westfalia/Witter</v>
      </c>
    </row>
    <row r="1966">
      <c r="A1966" t="str">
        <f>IFERROR(__xludf.DUMMYFUNCTION("""COMPUTED_VALUE"""),"RN63A")</f>
        <v>RN63A</v>
      </c>
      <c r="B1966" s="226" t="str">
        <f>IFERROR(__xludf.DUMMYFUNCTION("""COMPUTED_VALUE"""),"5060128537227")</f>
        <v>5060128537227</v>
      </c>
      <c r="C1966" t="str">
        <f>IFERROR(__xludf.DUMMYFUNCTION("""COMPUTED_VALUE"""),"Westfalia/Witter")</f>
        <v>Westfalia/Witter</v>
      </c>
    </row>
    <row r="1967">
      <c r="A1967" t="str">
        <f>IFERROR(__xludf.DUMMYFUNCTION("""COMPUTED_VALUE"""),"RN66A")</f>
        <v>RN66A</v>
      </c>
      <c r="B1967" s="226" t="str">
        <f>IFERROR(__xludf.DUMMYFUNCTION("""COMPUTED_VALUE"""),"5060128537234")</f>
        <v>5060128537234</v>
      </c>
      <c r="C1967" t="str">
        <f>IFERROR(__xludf.DUMMYFUNCTION("""COMPUTED_VALUE"""),"Westfalia/Witter")</f>
        <v>Westfalia/Witter</v>
      </c>
    </row>
    <row r="1968">
      <c r="A1968" t="str">
        <f>IFERROR(__xludf.DUMMYFUNCTION("""COMPUTED_VALUE"""),"RN70A")</f>
        <v>RN70A</v>
      </c>
      <c r="B1968" s="226" t="str">
        <f>IFERROR(__xludf.DUMMYFUNCTION("""COMPUTED_VALUE"""),"5060128537241")</f>
        <v>5060128537241</v>
      </c>
      <c r="C1968" t="str">
        <f>IFERROR(__xludf.DUMMYFUNCTION("""COMPUTED_VALUE"""),"Westfalia/Witter")</f>
        <v>Westfalia/Witter</v>
      </c>
    </row>
    <row r="1969">
      <c r="A1969" t="str">
        <f>IFERROR(__xludf.DUMMYFUNCTION("""COMPUTED_VALUE"""),"RN72B")</f>
        <v>RN72B</v>
      </c>
      <c r="B1969" s="226" t="str">
        <f>IFERROR(__xludf.DUMMYFUNCTION("""COMPUTED_VALUE"""),"5060128537258")</f>
        <v>5060128537258</v>
      </c>
      <c r="C1969" t="str">
        <f>IFERROR(__xludf.DUMMYFUNCTION("""COMPUTED_VALUE"""),"Westfalia/Witter")</f>
        <v>Westfalia/Witter</v>
      </c>
    </row>
    <row r="1970">
      <c r="A1970" t="str">
        <f>IFERROR(__xludf.DUMMYFUNCTION("""COMPUTED_VALUE"""),"RN72BS")</f>
        <v>RN72BS</v>
      </c>
      <c r="B1970" s="226" t="str">
        <f>IFERROR(__xludf.DUMMYFUNCTION("""COMPUTED_VALUE"""),"5060128537265")</f>
        <v>5060128537265</v>
      </c>
      <c r="C1970" t="str">
        <f>IFERROR(__xludf.DUMMYFUNCTION("""COMPUTED_VALUE"""),"Westfalia/Witter")</f>
        <v>Westfalia/Witter</v>
      </c>
    </row>
    <row r="1971">
      <c r="A1971" t="str">
        <f>IFERROR(__xludf.DUMMYFUNCTION("""COMPUTED_VALUE"""),"RN73B")</f>
        <v>RN73B</v>
      </c>
      <c r="B1971" s="226" t="str">
        <f>IFERROR(__xludf.DUMMYFUNCTION("""COMPUTED_VALUE"""),"5060128537272")</f>
        <v>5060128537272</v>
      </c>
      <c r="C1971" t="str">
        <f>IFERROR(__xludf.DUMMYFUNCTION("""COMPUTED_VALUE"""),"Westfalia/Witter")</f>
        <v>Westfalia/Witter</v>
      </c>
    </row>
    <row r="1972">
      <c r="A1972" t="str">
        <f>IFERROR(__xludf.DUMMYFUNCTION("""COMPUTED_VALUE"""),"RN74B")</f>
        <v>RN74B</v>
      </c>
      <c r="B1972" s="226" t="str">
        <f>IFERROR(__xludf.DUMMYFUNCTION("""COMPUTED_VALUE"""),"5060128537289")</f>
        <v>5060128537289</v>
      </c>
      <c r="C1972" t="str">
        <f>IFERROR(__xludf.DUMMYFUNCTION("""COMPUTED_VALUE"""),"Westfalia/Witter")</f>
        <v>Westfalia/Witter</v>
      </c>
    </row>
    <row r="1973">
      <c r="A1973" t="str">
        <f>IFERROR(__xludf.DUMMYFUNCTION("""COMPUTED_VALUE"""),"RN75A")</f>
        <v>RN75A</v>
      </c>
      <c r="B1973" s="226" t="str">
        <f>IFERROR(__xludf.DUMMYFUNCTION("""COMPUTED_VALUE"""),"5060128537296")</f>
        <v>5060128537296</v>
      </c>
      <c r="C1973" t="str">
        <f>IFERROR(__xludf.DUMMYFUNCTION("""COMPUTED_VALUE"""),"Westfalia/Witter")</f>
        <v>Westfalia/Witter</v>
      </c>
    </row>
    <row r="1974">
      <c r="A1974" t="str">
        <f>IFERROR(__xludf.DUMMYFUNCTION("""COMPUTED_VALUE"""),"RN77A")</f>
        <v>RN77A</v>
      </c>
      <c r="B1974" s="226" t="str">
        <f>IFERROR(__xludf.DUMMYFUNCTION("""COMPUTED_VALUE"""),"5060128537302")</f>
        <v>5060128537302</v>
      </c>
      <c r="C1974" t="str">
        <f>IFERROR(__xludf.DUMMYFUNCTION("""COMPUTED_VALUE"""),"Westfalia/Witter")</f>
        <v>Westfalia/Witter</v>
      </c>
    </row>
    <row r="1975">
      <c r="A1975" t="str">
        <f>IFERROR(__xludf.DUMMYFUNCTION("""COMPUTED_VALUE"""),"RN83A")</f>
        <v>RN83A</v>
      </c>
      <c r="B1975" s="226" t="str">
        <f>IFERROR(__xludf.DUMMYFUNCTION("""COMPUTED_VALUE"""),"5060128537319")</f>
        <v>5060128537319</v>
      </c>
      <c r="C1975" t="str">
        <f>IFERROR(__xludf.DUMMYFUNCTION("""COMPUTED_VALUE"""),"Westfalia/Witter")</f>
        <v>Westfalia/Witter</v>
      </c>
    </row>
    <row r="1976">
      <c r="A1976" t="str">
        <f>IFERROR(__xludf.DUMMYFUNCTION("""COMPUTED_VALUE"""),"RN86A")</f>
        <v>RN86A</v>
      </c>
      <c r="B1976" s="226" t="str">
        <f>IFERROR(__xludf.DUMMYFUNCTION("""COMPUTED_VALUE"""),"5060128537326")</f>
        <v>5060128537326</v>
      </c>
      <c r="C1976" t="str">
        <f>IFERROR(__xludf.DUMMYFUNCTION("""COMPUTED_VALUE"""),"Westfalia/Witter")</f>
        <v>Westfalia/Witter</v>
      </c>
    </row>
    <row r="1977">
      <c r="A1977" t="str">
        <f>IFERROR(__xludf.DUMMYFUNCTION("""COMPUTED_VALUE"""),"RN88A")</f>
        <v>RN88A</v>
      </c>
      <c r="B1977" s="226" t="str">
        <f>IFERROR(__xludf.DUMMYFUNCTION("""COMPUTED_VALUE"""),"5060128537333")</f>
        <v>5060128537333</v>
      </c>
      <c r="C1977" t="str">
        <f>IFERROR(__xludf.DUMMYFUNCTION("""COMPUTED_VALUE"""),"Westfalia/Witter")</f>
        <v>Westfalia/Witter</v>
      </c>
    </row>
    <row r="1978">
      <c r="A1978" t="str">
        <f>IFERROR(__xludf.DUMMYFUNCTION("""COMPUTED_VALUE"""),"RN89A")</f>
        <v>RN89A</v>
      </c>
      <c r="B1978" s="226" t="str">
        <f>IFERROR(__xludf.DUMMYFUNCTION("""COMPUTED_VALUE"""),"5060128537340")</f>
        <v>5060128537340</v>
      </c>
      <c r="C1978" t="str">
        <f>IFERROR(__xludf.DUMMYFUNCTION("""COMPUTED_VALUE"""),"Westfalia/Witter")</f>
        <v>Westfalia/Witter</v>
      </c>
    </row>
    <row r="1979">
      <c r="A1979" t="str">
        <f>IFERROR(__xludf.DUMMYFUNCTION("""COMPUTED_VALUE"""),"RN91A")</f>
        <v>RN91A</v>
      </c>
      <c r="B1979" s="226" t="str">
        <f>IFERROR(__xludf.DUMMYFUNCTION("""COMPUTED_VALUE"""),"5060128537364")</f>
        <v>5060128537364</v>
      </c>
      <c r="C1979" t="str">
        <f>IFERROR(__xludf.DUMMYFUNCTION("""COMPUTED_VALUE"""),"Westfalia/Witter")</f>
        <v>Westfalia/Witter</v>
      </c>
    </row>
    <row r="1980">
      <c r="A1980" t="str">
        <f>IFERROR(__xludf.DUMMYFUNCTION("""COMPUTED_VALUE"""),"RN91AQ")</f>
        <v>RN91AQ</v>
      </c>
      <c r="B1980" s="226" t="str">
        <f>IFERROR(__xludf.DUMMYFUNCTION("""COMPUTED_VALUE"""),"5060128537371")</f>
        <v>5060128537371</v>
      </c>
      <c r="C1980" t="str">
        <f>IFERROR(__xludf.DUMMYFUNCTION("""COMPUTED_VALUE"""),"Westfalia/Witter")</f>
        <v>Westfalia/Witter</v>
      </c>
    </row>
    <row r="1981">
      <c r="A1981" t="str">
        <f>IFERROR(__xludf.DUMMYFUNCTION("""COMPUTED_VALUE"""),"RN91AS")</f>
        <v>RN91AS</v>
      </c>
      <c r="B1981" s="226" t="str">
        <f>IFERROR(__xludf.DUMMYFUNCTION("""COMPUTED_VALUE"""),"5060128537388")</f>
        <v>5060128537388</v>
      </c>
      <c r="C1981" t="str">
        <f>IFERROR(__xludf.DUMMYFUNCTION("""COMPUTED_VALUE"""),"Westfalia/Witter")</f>
        <v>Westfalia/Witter</v>
      </c>
    </row>
    <row r="1982">
      <c r="A1982" t="str">
        <f>IFERROR(__xludf.DUMMYFUNCTION("""COMPUTED_VALUE"""),"RN92A")</f>
        <v>RN92A</v>
      </c>
      <c r="B1982" s="226" t="str">
        <f>IFERROR(__xludf.DUMMYFUNCTION("""COMPUTED_VALUE"""),"5060128537395")</f>
        <v>5060128537395</v>
      </c>
      <c r="C1982" t="str">
        <f>IFERROR(__xludf.DUMMYFUNCTION("""COMPUTED_VALUE"""),"Westfalia/Witter")</f>
        <v>Westfalia/Witter</v>
      </c>
    </row>
    <row r="1983">
      <c r="A1983" t="str">
        <f>IFERROR(__xludf.DUMMYFUNCTION("""COMPUTED_VALUE"""),"RN92AS")</f>
        <v>RN92AS</v>
      </c>
      <c r="B1983" s="226" t="str">
        <f>IFERROR(__xludf.DUMMYFUNCTION("""COMPUTED_VALUE"""),"5060128537401")</f>
        <v>5060128537401</v>
      </c>
      <c r="C1983" t="str">
        <f>IFERROR(__xludf.DUMMYFUNCTION("""COMPUTED_VALUE"""),"Westfalia/Witter")</f>
        <v>Westfalia/Witter</v>
      </c>
    </row>
    <row r="1984">
      <c r="A1984" t="str">
        <f>IFERROR(__xludf.DUMMYFUNCTION("""COMPUTED_VALUE"""),"RN93B")</f>
        <v>RN93B</v>
      </c>
      <c r="B1984" s="226" t="str">
        <f>IFERROR(__xludf.DUMMYFUNCTION("""COMPUTED_VALUE"""),"5060128537418")</f>
        <v>5060128537418</v>
      </c>
      <c r="C1984" t="str">
        <f>IFERROR(__xludf.DUMMYFUNCTION("""COMPUTED_VALUE"""),"Westfalia/Witter")</f>
        <v>Westfalia/Witter</v>
      </c>
    </row>
    <row r="1985">
      <c r="A1985" t="str">
        <f>IFERROR(__xludf.DUMMYFUNCTION("""COMPUTED_VALUE"""),"RN94A")</f>
        <v>RN94A</v>
      </c>
      <c r="B1985" s="226" t="str">
        <f>IFERROR(__xludf.DUMMYFUNCTION("""COMPUTED_VALUE"""),"5060128537425")</f>
        <v>5060128537425</v>
      </c>
      <c r="C1985" t="str">
        <f>IFERROR(__xludf.DUMMYFUNCTION("""COMPUTED_VALUE"""),"Westfalia/Witter")</f>
        <v>Westfalia/Witter</v>
      </c>
    </row>
    <row r="1986">
      <c r="A1986" t="str">
        <f>IFERROR(__xludf.DUMMYFUNCTION("""COMPUTED_VALUE"""),"RN94AS")</f>
        <v>RN94AS</v>
      </c>
      <c r="B1986" s="226" t="str">
        <f>IFERROR(__xludf.DUMMYFUNCTION("""COMPUTED_VALUE"""),"5060128537432")</f>
        <v>5060128537432</v>
      </c>
      <c r="C1986" t="str">
        <f>IFERROR(__xludf.DUMMYFUNCTION("""COMPUTED_VALUE"""),"Westfalia/Witter")</f>
        <v>Westfalia/Witter</v>
      </c>
    </row>
    <row r="1987">
      <c r="A1987" t="str">
        <f>IFERROR(__xludf.DUMMYFUNCTION("""COMPUTED_VALUE"""),"RN95A")</f>
        <v>RN95A</v>
      </c>
      <c r="B1987" s="226" t="str">
        <f>IFERROR(__xludf.DUMMYFUNCTION("""COMPUTED_VALUE"""),"5060128537449")</f>
        <v>5060128537449</v>
      </c>
      <c r="C1987" t="str">
        <f>IFERROR(__xludf.DUMMYFUNCTION("""COMPUTED_VALUE"""),"Westfalia/Witter")</f>
        <v>Westfalia/Witter</v>
      </c>
    </row>
    <row r="1988">
      <c r="A1988" t="str">
        <f>IFERROR(__xludf.DUMMYFUNCTION("""COMPUTED_VALUE"""),"RN96A")</f>
        <v>RN96A</v>
      </c>
      <c r="B1988" s="226" t="str">
        <f>IFERROR(__xludf.DUMMYFUNCTION("""COMPUTED_VALUE"""),"5060128537456")</f>
        <v>5060128537456</v>
      </c>
      <c r="C1988" t="str">
        <f>IFERROR(__xludf.DUMMYFUNCTION("""COMPUTED_VALUE"""),"Westfalia/Witter")</f>
        <v>Westfalia/Witter</v>
      </c>
    </row>
    <row r="1989">
      <c r="A1989" t="str">
        <f>IFERROR(__xludf.DUMMYFUNCTION("""COMPUTED_VALUE"""),"RN96A")</f>
        <v>RN96A</v>
      </c>
      <c r="B1989" s="226" t="str">
        <f>IFERROR(__xludf.DUMMYFUNCTION("""COMPUTED_VALUE"""),"5060128537456")</f>
        <v>5060128537456</v>
      </c>
      <c r="C1989" t="str">
        <f>IFERROR(__xludf.DUMMYFUNCTION("""COMPUTED_VALUE"""),"Westfalia/Witter")</f>
        <v>Westfalia/Witter</v>
      </c>
    </row>
    <row r="1990">
      <c r="A1990" t="str">
        <f>IFERROR(__xludf.DUMMYFUNCTION("""COMPUTED_VALUE"""),"RN97A")</f>
        <v>RN97A</v>
      </c>
      <c r="B1990" s="226" t="str">
        <f>IFERROR(__xludf.DUMMYFUNCTION("""COMPUTED_VALUE"""),"5060128537463")</f>
        <v>5060128537463</v>
      </c>
      <c r="C1990" t="str">
        <f>IFERROR(__xludf.DUMMYFUNCTION("""COMPUTED_VALUE"""),"Westfalia/Witter")</f>
        <v>Westfalia/Witter</v>
      </c>
    </row>
    <row r="1991">
      <c r="A1991" t="str">
        <f>IFERROR(__xludf.DUMMYFUNCTION("""COMPUTED_VALUE"""),"RN97AQ")</f>
        <v>RN97AQ</v>
      </c>
      <c r="B1991" s="226" t="str">
        <f>IFERROR(__xludf.DUMMYFUNCTION("""COMPUTED_VALUE"""),"5060128537470")</f>
        <v>5060128537470</v>
      </c>
      <c r="C1991" t="str">
        <f>IFERROR(__xludf.DUMMYFUNCTION("""COMPUTED_VALUE"""),"Westfalia/Witter")</f>
        <v>Westfalia/Witter</v>
      </c>
    </row>
    <row r="1992">
      <c r="A1992" t="str">
        <f>IFERROR(__xludf.DUMMYFUNCTION("""COMPUTED_VALUE"""),"RN97AS")</f>
        <v>RN97AS</v>
      </c>
      <c r="B1992" s="226" t="str">
        <f>IFERROR(__xludf.DUMMYFUNCTION("""COMPUTED_VALUE"""),"5060128537487")</f>
        <v>5060128537487</v>
      </c>
      <c r="C1992" t="str">
        <f>IFERROR(__xludf.DUMMYFUNCTION("""COMPUTED_VALUE"""),"Westfalia/Witter")</f>
        <v>Westfalia/Witter</v>
      </c>
    </row>
    <row r="1993">
      <c r="A1993" t="str">
        <f>IFERROR(__xludf.DUMMYFUNCTION("""COMPUTED_VALUE"""),"RN98A")</f>
        <v>RN98A</v>
      </c>
      <c r="B1993" s="226" t="str">
        <f>IFERROR(__xludf.DUMMYFUNCTION("""COMPUTED_VALUE"""),"5060128537494")</f>
        <v>5060128537494</v>
      </c>
      <c r="C1993" t="str">
        <f>IFERROR(__xludf.DUMMYFUNCTION("""COMPUTED_VALUE"""),"Westfalia/Witter")</f>
        <v>Westfalia/Witter</v>
      </c>
    </row>
    <row r="1994">
      <c r="A1994" t="str">
        <f>IFERROR(__xludf.DUMMYFUNCTION("""COMPUTED_VALUE"""),"RN98AQ")</f>
        <v>RN98AQ</v>
      </c>
      <c r="B1994" s="226" t="str">
        <f>IFERROR(__xludf.DUMMYFUNCTION("""COMPUTED_VALUE"""),"5060128537500")</f>
        <v>5060128537500</v>
      </c>
      <c r="C1994" t="str">
        <f>IFERROR(__xludf.DUMMYFUNCTION("""COMPUTED_VALUE"""),"Westfalia/Witter")</f>
        <v>Westfalia/Witter</v>
      </c>
    </row>
    <row r="1995">
      <c r="A1995" t="str">
        <f>IFERROR(__xludf.DUMMYFUNCTION("""COMPUTED_VALUE"""),"RN98AQ")</f>
        <v>RN98AQ</v>
      </c>
      <c r="B1995" s="226" t="str">
        <f>IFERROR(__xludf.DUMMYFUNCTION("""COMPUTED_VALUE"""),"5060128537500")</f>
        <v>5060128537500</v>
      </c>
      <c r="C1995" t="str">
        <f>IFERROR(__xludf.DUMMYFUNCTION("""COMPUTED_VALUE"""),"Westfalia/Witter")</f>
        <v>Westfalia/Witter</v>
      </c>
    </row>
    <row r="1996">
      <c r="A1996" t="str">
        <f>IFERROR(__xludf.DUMMYFUNCTION("""COMPUTED_VALUE"""),"RN98AS")</f>
        <v>RN98AS</v>
      </c>
      <c r="B1996" s="226" t="str">
        <f>IFERROR(__xludf.DUMMYFUNCTION("""COMPUTED_VALUE"""),"5060128537517")</f>
        <v>5060128537517</v>
      </c>
      <c r="C1996" t="str">
        <f>IFERROR(__xludf.DUMMYFUNCTION("""COMPUTED_VALUE"""),"Westfalia/Witter")</f>
        <v>Westfalia/Witter</v>
      </c>
    </row>
    <row r="1997">
      <c r="A1997" t="str">
        <f>IFERROR(__xludf.DUMMYFUNCTION("""COMPUTED_VALUE"""),"RN98AS")</f>
        <v>RN98AS</v>
      </c>
      <c r="B1997" s="226" t="str">
        <f>IFERROR(__xludf.DUMMYFUNCTION("""COMPUTED_VALUE"""),"5060128537517")</f>
        <v>5060128537517</v>
      </c>
      <c r="C1997" t="str">
        <f>IFERROR(__xludf.DUMMYFUNCTION("""COMPUTED_VALUE"""),"Westfalia/Witter")</f>
        <v>Westfalia/Witter</v>
      </c>
    </row>
    <row r="1998">
      <c r="A1998" t="str">
        <f>IFERROR(__xludf.DUMMYFUNCTION("""COMPUTED_VALUE"""),"RN99")</f>
        <v>RN99</v>
      </c>
      <c r="B1998" s="226" t="str">
        <f>IFERROR(__xludf.DUMMYFUNCTION("""COMPUTED_VALUE"""),"5060128537524")</f>
        <v>5060128537524</v>
      </c>
      <c r="C1998" t="str">
        <f>IFERROR(__xludf.DUMMYFUNCTION("""COMPUTED_VALUE"""),"Westfalia/Witter")</f>
        <v>Westfalia/Witter</v>
      </c>
    </row>
    <row r="1999">
      <c r="A1999" t="str">
        <f>IFERROR(__xludf.DUMMYFUNCTION("""COMPUTED_VALUE"""),"RN99Q")</f>
        <v>RN99Q</v>
      </c>
      <c r="B1999" s="226" t="str">
        <f>IFERROR(__xludf.DUMMYFUNCTION("""COMPUTED_VALUE"""),"5060128537531")</f>
        <v>5060128537531</v>
      </c>
      <c r="C1999" t="str">
        <f>IFERROR(__xludf.DUMMYFUNCTION("""COMPUTED_VALUE"""),"Westfalia/Witter")</f>
        <v>Westfalia/Witter</v>
      </c>
    </row>
    <row r="2000">
      <c r="A2000" t="str">
        <f>IFERROR(__xludf.DUMMYFUNCTION("""COMPUTED_VALUE"""),"RN99S")</f>
        <v>RN99S</v>
      </c>
      <c r="B2000" s="226" t="str">
        <f>IFERROR(__xludf.DUMMYFUNCTION("""COMPUTED_VALUE"""),"5060128537548")</f>
        <v>5060128537548</v>
      </c>
      <c r="C2000" t="str">
        <f>IFERROR(__xludf.DUMMYFUNCTION("""COMPUTED_VALUE"""),"Westfalia/Witter")</f>
        <v>Westfalia/Witter</v>
      </c>
    </row>
    <row r="2001">
      <c r="A2001" t="str">
        <f>IFERROR(__xludf.DUMMYFUNCTION("""COMPUTED_VALUE"""),"SA14A")</f>
        <v>SA14A</v>
      </c>
      <c r="B2001" s="226" t="str">
        <f>IFERROR(__xludf.DUMMYFUNCTION("""COMPUTED_VALUE"""),"5060128537562")</f>
        <v>5060128537562</v>
      </c>
      <c r="C2001" t="str">
        <f>IFERROR(__xludf.DUMMYFUNCTION("""COMPUTED_VALUE"""),"Westfalia/Witter")</f>
        <v>Westfalia/Witter</v>
      </c>
    </row>
    <row r="2002">
      <c r="A2002" t="str">
        <f>IFERROR(__xludf.DUMMYFUNCTION("""COMPUTED_VALUE"""),"SA15AQ")</f>
        <v>SA15AQ</v>
      </c>
      <c r="B2002" s="226" t="str">
        <f>IFERROR(__xludf.DUMMYFUNCTION("""COMPUTED_VALUE"""),"5060128537579")</f>
        <v>5060128537579</v>
      </c>
      <c r="C2002" t="str">
        <f>IFERROR(__xludf.DUMMYFUNCTION("""COMPUTED_VALUE"""),"Westfalia/Witter")</f>
        <v>Westfalia/Witter</v>
      </c>
    </row>
    <row r="2003">
      <c r="A2003" t="str">
        <f>IFERROR(__xludf.DUMMYFUNCTION("""COMPUTED_VALUE"""),"SA15AS")</f>
        <v>SA15AS</v>
      </c>
      <c r="B2003" s="226" t="str">
        <f>IFERROR(__xludf.DUMMYFUNCTION("""COMPUTED_VALUE"""),"5060128537586")</f>
        <v>5060128537586</v>
      </c>
      <c r="C2003" t="str">
        <f>IFERROR(__xludf.DUMMYFUNCTION("""COMPUTED_VALUE"""),"Westfalia/Witter")</f>
        <v>Westfalia/Witter</v>
      </c>
    </row>
    <row r="2004">
      <c r="A2004" t="str">
        <f>IFERROR(__xludf.DUMMYFUNCTION("""COMPUTED_VALUE"""),"SA17A")</f>
        <v>SA17A</v>
      </c>
      <c r="B2004" s="226" t="str">
        <f>IFERROR(__xludf.DUMMYFUNCTION("""COMPUTED_VALUE"""),"5060128537593")</f>
        <v>5060128537593</v>
      </c>
      <c r="C2004" t="str">
        <f>IFERROR(__xludf.DUMMYFUNCTION("""COMPUTED_VALUE"""),"Westfalia/Witter")</f>
        <v>Westfalia/Witter</v>
      </c>
    </row>
    <row r="2005">
      <c r="A2005" t="str">
        <f>IFERROR(__xludf.DUMMYFUNCTION("""COMPUTED_VALUE"""),"SA17AQ")</f>
        <v>SA17AQ</v>
      </c>
      <c r="B2005" s="226" t="str">
        <f>IFERROR(__xludf.DUMMYFUNCTION("""COMPUTED_VALUE"""),"5060128537609")</f>
        <v>5060128537609</v>
      </c>
      <c r="C2005" t="str">
        <f>IFERROR(__xludf.DUMMYFUNCTION("""COMPUTED_VALUE"""),"Westfalia/Witter")</f>
        <v>Westfalia/Witter</v>
      </c>
    </row>
    <row r="2006">
      <c r="A2006" t="str">
        <f>IFERROR(__xludf.DUMMYFUNCTION("""COMPUTED_VALUE"""),"SA17AS")</f>
        <v>SA17AS</v>
      </c>
      <c r="B2006" s="226" t="str">
        <f>IFERROR(__xludf.DUMMYFUNCTION("""COMPUTED_VALUE"""),"5060128537616")</f>
        <v>5060128537616</v>
      </c>
      <c r="C2006" t="str">
        <f>IFERROR(__xludf.DUMMYFUNCTION("""COMPUTED_VALUE"""),"Westfalia/Witter")</f>
        <v>Westfalia/Witter</v>
      </c>
    </row>
    <row r="2007">
      <c r="A2007" t="str">
        <f>IFERROR(__xludf.DUMMYFUNCTION("""COMPUTED_VALUE"""),"SA19Q")</f>
        <v>SA19Q</v>
      </c>
      <c r="B2007" s="226" t="str">
        <f>IFERROR(__xludf.DUMMYFUNCTION("""COMPUTED_VALUE"""),"5060128537623")</f>
        <v>5060128537623</v>
      </c>
      <c r="C2007" t="str">
        <f>IFERROR(__xludf.DUMMYFUNCTION("""COMPUTED_VALUE"""),"Westfalia/Witter")</f>
        <v>Westfalia/Witter</v>
      </c>
    </row>
    <row r="2008">
      <c r="A2008" t="str">
        <f>IFERROR(__xludf.DUMMYFUNCTION("""COMPUTED_VALUE"""),"SA20")</f>
        <v>SA20</v>
      </c>
      <c r="B2008" s="226" t="str">
        <f>IFERROR(__xludf.DUMMYFUNCTION("""COMPUTED_VALUE"""),"5060128537630")</f>
        <v>5060128537630</v>
      </c>
      <c r="C2008" t="str">
        <f>IFERROR(__xludf.DUMMYFUNCTION("""COMPUTED_VALUE"""),"Westfalia/Witter")</f>
        <v>Westfalia/Witter</v>
      </c>
    </row>
    <row r="2009">
      <c r="A2009" t="str">
        <f>IFERROR(__xludf.DUMMYFUNCTION("""COMPUTED_VALUE"""),"SA20Q")</f>
        <v>SA20Q</v>
      </c>
      <c r="B2009" s="226" t="str">
        <f>IFERROR(__xludf.DUMMYFUNCTION("""COMPUTED_VALUE"""),"5060128537647")</f>
        <v>5060128537647</v>
      </c>
      <c r="C2009" t="str">
        <f>IFERROR(__xludf.DUMMYFUNCTION("""COMPUTED_VALUE"""),"Westfalia/Witter")</f>
        <v>Westfalia/Witter</v>
      </c>
    </row>
    <row r="2010">
      <c r="A2010" t="str">
        <f>IFERROR(__xludf.DUMMYFUNCTION("""COMPUTED_VALUE"""),"SA21A")</f>
        <v>SA21A</v>
      </c>
      <c r="B2010" s="226" t="str">
        <f>IFERROR(__xludf.DUMMYFUNCTION("""COMPUTED_VALUE"""),"5060128537654")</f>
        <v>5060128537654</v>
      </c>
      <c r="C2010" t="str">
        <f>IFERROR(__xludf.DUMMYFUNCTION("""COMPUTED_VALUE"""),"Westfalia/Witter")</f>
        <v>Westfalia/Witter</v>
      </c>
    </row>
    <row r="2011">
      <c r="A2011" t="str">
        <f>IFERROR(__xludf.DUMMYFUNCTION("""COMPUTED_VALUE"""),"SB26B")</f>
        <v>SB26B</v>
      </c>
      <c r="B2011" s="226" t="str">
        <f>IFERROR(__xludf.DUMMYFUNCTION("""COMPUTED_VALUE"""),"5060128537661")</f>
        <v>5060128537661</v>
      </c>
      <c r="C2011" t="str">
        <f>IFERROR(__xludf.DUMMYFUNCTION("""COMPUTED_VALUE"""),"Westfalia/Witter")</f>
        <v>Westfalia/Witter</v>
      </c>
    </row>
    <row r="2012">
      <c r="A2012" t="str">
        <f>IFERROR(__xludf.DUMMYFUNCTION("""COMPUTED_VALUE"""),"SB28C")</f>
        <v>SB28C</v>
      </c>
      <c r="B2012" s="226" t="str">
        <f>IFERROR(__xludf.DUMMYFUNCTION("""COMPUTED_VALUE"""),"5060128537678")</f>
        <v>5060128537678</v>
      </c>
      <c r="C2012" t="str">
        <f>IFERROR(__xludf.DUMMYFUNCTION("""COMPUTED_VALUE"""),"Westfalia/Witter")</f>
        <v>Westfalia/Witter</v>
      </c>
    </row>
    <row r="2013">
      <c r="A2013" t="str">
        <f>IFERROR(__xludf.DUMMYFUNCTION("""COMPUTED_VALUE"""),"SB28C")</f>
        <v>SB28C</v>
      </c>
      <c r="B2013" s="226" t="str">
        <f>IFERROR(__xludf.DUMMYFUNCTION("""COMPUTED_VALUE"""),"5060128537678")</f>
        <v>5060128537678</v>
      </c>
      <c r="C2013" t="str">
        <f>IFERROR(__xludf.DUMMYFUNCTION("""COMPUTED_VALUE"""),"Westfalia/Witter")</f>
        <v>Westfalia/Witter</v>
      </c>
    </row>
    <row r="2014">
      <c r="A2014" t="str">
        <f>IFERROR(__xludf.DUMMYFUNCTION("""COMPUTED_VALUE"""),"SK11B")</f>
        <v>SK11B</v>
      </c>
      <c r="B2014" s="226" t="str">
        <f>IFERROR(__xludf.DUMMYFUNCTION("""COMPUTED_VALUE"""),"5060128537715")</f>
        <v>5060128537715</v>
      </c>
      <c r="C2014" t="str">
        <f>IFERROR(__xludf.DUMMYFUNCTION("""COMPUTED_VALUE"""),"Westfalia/Witter")</f>
        <v>Westfalia/Witter</v>
      </c>
    </row>
    <row r="2015">
      <c r="A2015" t="str">
        <f>IFERROR(__xludf.DUMMYFUNCTION("""COMPUTED_VALUE"""),"SK17A")</f>
        <v>SK17A</v>
      </c>
      <c r="B2015" s="226" t="str">
        <f>IFERROR(__xludf.DUMMYFUNCTION("""COMPUTED_VALUE"""),"5060128537722")</f>
        <v>5060128537722</v>
      </c>
      <c r="C2015" t="str">
        <f>IFERROR(__xludf.DUMMYFUNCTION("""COMPUTED_VALUE"""),"Westfalia/Witter")</f>
        <v>Westfalia/Witter</v>
      </c>
    </row>
    <row r="2016">
      <c r="A2016" t="str">
        <f>IFERROR(__xludf.DUMMYFUNCTION("""COMPUTED_VALUE"""),"SK19A")</f>
        <v>SK19A</v>
      </c>
      <c r="B2016" s="226" t="str">
        <f>IFERROR(__xludf.DUMMYFUNCTION("""COMPUTED_VALUE"""),"5060128537739")</f>
        <v>5060128537739</v>
      </c>
      <c r="C2016" t="str">
        <f>IFERROR(__xludf.DUMMYFUNCTION("""COMPUTED_VALUE"""),"Westfalia/Witter")</f>
        <v>Westfalia/Witter</v>
      </c>
    </row>
    <row r="2017">
      <c r="A2017" t="str">
        <f>IFERROR(__xludf.DUMMYFUNCTION("""COMPUTED_VALUE"""),"SK21")</f>
        <v>SK21</v>
      </c>
      <c r="B2017" s="226" t="str">
        <f>IFERROR(__xludf.DUMMYFUNCTION("""COMPUTED_VALUE"""),"5060128537746")</f>
        <v>5060128537746</v>
      </c>
      <c r="C2017" t="str">
        <f>IFERROR(__xludf.DUMMYFUNCTION("""COMPUTED_VALUE"""),"Westfalia/Witter")</f>
        <v>Westfalia/Witter</v>
      </c>
    </row>
    <row r="2018">
      <c r="A2018" t="str">
        <f>IFERROR(__xludf.DUMMYFUNCTION("""COMPUTED_VALUE"""),"SK21Q")</f>
        <v>SK21Q</v>
      </c>
      <c r="B2018" s="226" t="str">
        <f>IFERROR(__xludf.DUMMYFUNCTION("""COMPUTED_VALUE"""),"5060128537753")</f>
        <v>5060128537753</v>
      </c>
      <c r="C2018" t="str">
        <f>IFERROR(__xludf.DUMMYFUNCTION("""COMPUTED_VALUE"""),"Westfalia/Witter")</f>
        <v>Westfalia/Witter</v>
      </c>
    </row>
    <row r="2019">
      <c r="A2019" t="str">
        <f>IFERROR(__xludf.DUMMYFUNCTION("""COMPUTED_VALUE"""),"SK21S")</f>
        <v>SK21S</v>
      </c>
      <c r="B2019" s="226" t="str">
        <f>IFERROR(__xludf.DUMMYFUNCTION("""COMPUTED_VALUE"""),"5060128537760")</f>
        <v>5060128537760</v>
      </c>
      <c r="C2019" t="str">
        <f>IFERROR(__xludf.DUMMYFUNCTION("""COMPUTED_VALUE"""),"Westfalia/Witter")</f>
        <v>Westfalia/Witter</v>
      </c>
    </row>
    <row r="2020">
      <c r="A2020" t="str">
        <f>IFERROR(__xludf.DUMMYFUNCTION("""COMPUTED_VALUE"""),"SK22A")</f>
        <v>SK22A</v>
      </c>
      <c r="B2020" s="226" t="str">
        <f>IFERROR(__xludf.DUMMYFUNCTION("""COMPUTED_VALUE"""),"5060128537777")</f>
        <v>5060128537777</v>
      </c>
      <c r="C2020" t="str">
        <f>IFERROR(__xludf.DUMMYFUNCTION("""COMPUTED_VALUE"""),"Westfalia/Witter")</f>
        <v>Westfalia/Witter</v>
      </c>
    </row>
    <row r="2021">
      <c r="A2021" t="str">
        <f>IFERROR(__xludf.DUMMYFUNCTION("""COMPUTED_VALUE"""),"SK23A")</f>
        <v>SK23A</v>
      </c>
      <c r="B2021" s="226" t="str">
        <f>IFERROR(__xludf.DUMMYFUNCTION("""COMPUTED_VALUE"""),"5060128537784")</f>
        <v>5060128537784</v>
      </c>
      <c r="C2021" t="str">
        <f>IFERROR(__xludf.DUMMYFUNCTION("""COMPUTED_VALUE"""),"Westfalia/Witter")</f>
        <v>Westfalia/Witter</v>
      </c>
    </row>
    <row r="2022">
      <c r="A2022" t="str">
        <f>IFERROR(__xludf.DUMMYFUNCTION("""COMPUTED_VALUE"""),"SK23AQ")</f>
        <v>SK23AQ</v>
      </c>
      <c r="B2022" s="226" t="str">
        <f>IFERROR(__xludf.DUMMYFUNCTION("""COMPUTED_VALUE"""),"5060128537791")</f>
        <v>5060128537791</v>
      </c>
      <c r="C2022" t="str">
        <f>IFERROR(__xludf.DUMMYFUNCTION("""COMPUTED_VALUE"""),"Westfalia/Witter")</f>
        <v>Westfalia/Witter</v>
      </c>
    </row>
    <row r="2023">
      <c r="A2023" t="str">
        <f>IFERROR(__xludf.DUMMYFUNCTION("""COMPUTED_VALUE"""),"SK24")</f>
        <v>SK24</v>
      </c>
      <c r="B2023" s="226" t="str">
        <f>IFERROR(__xludf.DUMMYFUNCTION("""COMPUTED_VALUE"""),"5060128537814")</f>
        <v>5060128537814</v>
      </c>
      <c r="C2023" t="str">
        <f>IFERROR(__xludf.DUMMYFUNCTION("""COMPUTED_VALUE"""),"Westfalia/Witter")</f>
        <v>Westfalia/Witter</v>
      </c>
    </row>
    <row r="2024">
      <c r="A2024" t="str">
        <f>IFERROR(__xludf.DUMMYFUNCTION("""COMPUTED_VALUE"""),"SK24Q")</f>
        <v>SK24Q</v>
      </c>
      <c r="B2024" s="226" t="str">
        <f>IFERROR(__xludf.DUMMYFUNCTION("""COMPUTED_VALUE"""),"5060128537821")</f>
        <v>5060128537821</v>
      </c>
      <c r="C2024" t="str">
        <f>IFERROR(__xludf.DUMMYFUNCTION("""COMPUTED_VALUE"""),"Westfalia/Witter")</f>
        <v>Westfalia/Witter</v>
      </c>
    </row>
    <row r="2025">
      <c r="A2025" t="str">
        <f>IFERROR(__xludf.DUMMYFUNCTION("""COMPUTED_VALUE"""),"SK24S")</f>
        <v>SK24S</v>
      </c>
      <c r="B2025" s="226" t="str">
        <f>IFERROR(__xludf.DUMMYFUNCTION("""COMPUTED_VALUE"""),"5060128537845")</f>
        <v>5060128537845</v>
      </c>
      <c r="C2025" t="str">
        <f>IFERROR(__xludf.DUMMYFUNCTION("""COMPUTED_VALUE"""),"Westfalia/Witter")</f>
        <v>Westfalia/Witter</v>
      </c>
    </row>
    <row r="2026">
      <c r="A2026" t="str">
        <f>IFERROR(__xludf.DUMMYFUNCTION("""COMPUTED_VALUE"""),"SK26")</f>
        <v>SK26</v>
      </c>
      <c r="B2026" s="226" t="str">
        <f>IFERROR(__xludf.DUMMYFUNCTION("""COMPUTED_VALUE"""),"5060128537869")</f>
        <v>5060128537869</v>
      </c>
      <c r="C2026" t="str">
        <f>IFERROR(__xludf.DUMMYFUNCTION("""COMPUTED_VALUE"""),"Westfalia/Witter")</f>
        <v>Westfalia/Witter</v>
      </c>
    </row>
    <row r="2027">
      <c r="A2027" t="str">
        <f>IFERROR(__xludf.DUMMYFUNCTION("""COMPUTED_VALUE"""),"SK26Q")</f>
        <v>SK26Q</v>
      </c>
      <c r="B2027" s="226" t="str">
        <f>IFERROR(__xludf.DUMMYFUNCTION("""COMPUTED_VALUE"""),"5060128537876")</f>
        <v>5060128537876</v>
      </c>
      <c r="C2027" t="str">
        <f>IFERROR(__xludf.DUMMYFUNCTION("""COMPUTED_VALUE"""),"Westfalia/Witter")</f>
        <v>Westfalia/Witter</v>
      </c>
    </row>
    <row r="2028">
      <c r="A2028" t="str">
        <f>IFERROR(__xludf.DUMMYFUNCTION("""COMPUTED_VALUE"""),"SK26S")</f>
        <v>SK26S</v>
      </c>
      <c r="B2028" s="226" t="str">
        <f>IFERROR(__xludf.DUMMYFUNCTION("""COMPUTED_VALUE"""),"5060128537890")</f>
        <v>5060128537890</v>
      </c>
      <c r="C2028" t="str">
        <f>IFERROR(__xludf.DUMMYFUNCTION("""COMPUTED_VALUE"""),"Westfalia/Witter")</f>
        <v>Westfalia/Witter</v>
      </c>
    </row>
    <row r="2029">
      <c r="A2029" t="str">
        <f>IFERROR(__xludf.DUMMYFUNCTION("""COMPUTED_VALUE"""),"SK27")</f>
        <v>SK27</v>
      </c>
      <c r="B2029" s="226" t="str">
        <f>IFERROR(__xludf.DUMMYFUNCTION("""COMPUTED_VALUE"""),"5060128537906")</f>
        <v>5060128537906</v>
      </c>
      <c r="C2029" t="str">
        <f>IFERROR(__xludf.DUMMYFUNCTION("""COMPUTED_VALUE"""),"Westfalia/Witter")</f>
        <v>Westfalia/Witter</v>
      </c>
    </row>
    <row r="2030">
      <c r="A2030" t="str">
        <f>IFERROR(__xludf.DUMMYFUNCTION("""COMPUTED_VALUE"""),"SK27AQ")</f>
        <v>SK27AQ</v>
      </c>
      <c r="B2030" s="226" t="str">
        <f>IFERROR(__xludf.DUMMYFUNCTION("""COMPUTED_VALUE"""),"5060128537913")</f>
        <v>5060128537913</v>
      </c>
      <c r="C2030" t="str">
        <f>IFERROR(__xludf.DUMMYFUNCTION("""COMPUTED_VALUE"""),"Westfalia/Witter")</f>
        <v>Westfalia/Witter</v>
      </c>
    </row>
    <row r="2031">
      <c r="A2031" t="str">
        <f>IFERROR(__xludf.DUMMYFUNCTION("""COMPUTED_VALUE"""),"SK27AS")</f>
        <v>SK27AS</v>
      </c>
      <c r="B2031" s="226" t="str">
        <f>IFERROR(__xludf.DUMMYFUNCTION("""COMPUTED_VALUE"""),"5060128537937")</f>
        <v>5060128537937</v>
      </c>
      <c r="C2031" t="str">
        <f>IFERROR(__xludf.DUMMYFUNCTION("""COMPUTED_VALUE"""),"Westfalia/Witter")</f>
        <v>Westfalia/Witter</v>
      </c>
    </row>
    <row r="2032">
      <c r="A2032" t="str">
        <f>IFERROR(__xludf.DUMMYFUNCTION("""COMPUTED_VALUE"""),"SK27AS")</f>
        <v>SK27AS</v>
      </c>
      <c r="B2032" s="226" t="str">
        <f>IFERROR(__xludf.DUMMYFUNCTION("""COMPUTED_VALUE"""),"5060128537937")</f>
        <v>5060128537937</v>
      </c>
      <c r="C2032" t="str">
        <f>IFERROR(__xludf.DUMMYFUNCTION("""COMPUTED_VALUE"""),"Westfalia/Witter")</f>
        <v>Westfalia/Witter</v>
      </c>
    </row>
    <row r="2033">
      <c r="A2033" t="str">
        <f>IFERROR(__xludf.DUMMYFUNCTION("""COMPUTED_VALUE"""),"SK27AS")</f>
        <v>SK27AS</v>
      </c>
      <c r="B2033" s="226" t="str">
        <f>IFERROR(__xludf.DUMMYFUNCTION("""COMPUTED_VALUE"""),"5060128537937")</f>
        <v>5060128537937</v>
      </c>
      <c r="C2033" t="str">
        <f>IFERROR(__xludf.DUMMYFUNCTION("""COMPUTED_VALUE"""),"Westfalia/Witter")</f>
        <v>Westfalia/Witter</v>
      </c>
    </row>
    <row r="2034">
      <c r="A2034" t="str">
        <f>IFERROR(__xludf.DUMMYFUNCTION("""COMPUTED_VALUE"""),"SK27AS")</f>
        <v>SK27AS</v>
      </c>
      <c r="B2034" s="226" t="str">
        <f>IFERROR(__xludf.DUMMYFUNCTION("""COMPUTED_VALUE"""),"5060128537937")</f>
        <v>5060128537937</v>
      </c>
      <c r="C2034" t="str">
        <f>IFERROR(__xludf.DUMMYFUNCTION("""COMPUTED_VALUE"""),"Westfalia/Witter")</f>
        <v>Westfalia/Witter</v>
      </c>
    </row>
    <row r="2035">
      <c r="A2035" t="str">
        <f>IFERROR(__xludf.DUMMYFUNCTION("""COMPUTED_VALUE"""),"SK28")</f>
        <v>SK28</v>
      </c>
      <c r="B2035" s="226" t="str">
        <f>IFERROR(__xludf.DUMMYFUNCTION("""COMPUTED_VALUE"""),"5060128537944")</f>
        <v>5060128537944</v>
      </c>
      <c r="C2035" t="str">
        <f>IFERROR(__xludf.DUMMYFUNCTION("""COMPUTED_VALUE"""),"Westfalia/Witter")</f>
        <v>Westfalia/Witter</v>
      </c>
    </row>
    <row r="2036">
      <c r="A2036" t="str">
        <f>IFERROR(__xludf.DUMMYFUNCTION("""COMPUTED_VALUE"""),"SK29Q")</f>
        <v>SK29Q</v>
      </c>
      <c r="B2036" s="226" t="str">
        <f>IFERROR(__xludf.DUMMYFUNCTION("""COMPUTED_VALUE"""),"5060128537951")</f>
        <v>5060128537951</v>
      </c>
      <c r="C2036" t="str">
        <f>IFERROR(__xludf.DUMMYFUNCTION("""COMPUTED_VALUE"""),"Westfalia/Witter")</f>
        <v>Westfalia/Witter</v>
      </c>
    </row>
    <row r="2037">
      <c r="A2037" t="str">
        <f>IFERROR(__xludf.DUMMYFUNCTION("""COMPUTED_VALUE"""),"SK29S")</f>
        <v>SK29S</v>
      </c>
      <c r="B2037" s="226" t="str">
        <f>IFERROR(__xludf.DUMMYFUNCTION("""COMPUTED_VALUE"""),"5060128537968")</f>
        <v>5060128537968</v>
      </c>
      <c r="C2037" t="str">
        <f>IFERROR(__xludf.DUMMYFUNCTION("""COMPUTED_VALUE"""),"Westfalia/Witter")</f>
        <v>Westfalia/Witter</v>
      </c>
    </row>
    <row r="2038">
      <c r="A2038" t="str">
        <f>IFERROR(__xludf.DUMMYFUNCTION("""COMPUTED_VALUE"""),"SK9A")</f>
        <v>SK9A</v>
      </c>
      <c r="B2038" s="226" t="str">
        <f>IFERROR(__xludf.DUMMYFUNCTION("""COMPUTED_VALUE"""),"5060128537975")</f>
        <v>5060128537975</v>
      </c>
      <c r="C2038" t="str">
        <f>IFERROR(__xludf.DUMMYFUNCTION("""COMPUTED_VALUE"""),"Westfalia/Witter")</f>
        <v>Westfalia/Witter</v>
      </c>
    </row>
    <row r="2039">
      <c r="A2039" t="str">
        <f>IFERROR(__xludf.DUMMYFUNCTION("""COMPUTED_VALUE"""),"SK9A")</f>
        <v>SK9A</v>
      </c>
      <c r="B2039" s="226" t="str">
        <f>IFERROR(__xludf.DUMMYFUNCTION("""COMPUTED_VALUE"""),"5060128537975")</f>
        <v>5060128537975</v>
      </c>
      <c r="C2039" t="str">
        <f>IFERROR(__xludf.DUMMYFUNCTION("""COMPUTED_VALUE"""),"Westfalia/Witter")</f>
        <v>Westfalia/Witter</v>
      </c>
    </row>
    <row r="2040">
      <c r="A2040" t="str">
        <f>IFERROR(__xludf.DUMMYFUNCTION("""COMPUTED_VALUE"""),"SU23A")</f>
        <v>SU23A</v>
      </c>
      <c r="B2040" s="226" t="str">
        <f>IFERROR(__xludf.DUMMYFUNCTION("""COMPUTED_VALUE"""),"5060128537982")</f>
        <v>5060128537982</v>
      </c>
      <c r="C2040" t="str">
        <f>IFERROR(__xludf.DUMMYFUNCTION("""COMPUTED_VALUE"""),"Westfalia/Witter")</f>
        <v>Westfalia/Witter</v>
      </c>
    </row>
    <row r="2041">
      <c r="A2041" t="str">
        <f>IFERROR(__xludf.DUMMYFUNCTION("""COMPUTED_VALUE"""),"SU25A")</f>
        <v>SU25A</v>
      </c>
      <c r="B2041" s="226" t="str">
        <f>IFERROR(__xludf.DUMMYFUNCTION("""COMPUTED_VALUE"""),"5060128538019")</f>
        <v>5060128538019</v>
      </c>
      <c r="C2041" t="str">
        <f>IFERROR(__xludf.DUMMYFUNCTION("""COMPUTED_VALUE"""),"Westfalia/Witter")</f>
        <v>Westfalia/Witter</v>
      </c>
    </row>
    <row r="2042">
      <c r="A2042" t="str">
        <f>IFERROR(__xludf.DUMMYFUNCTION("""COMPUTED_VALUE"""),"SU27A")</f>
        <v>SU27A</v>
      </c>
      <c r="B2042" s="226" t="str">
        <f>IFERROR(__xludf.DUMMYFUNCTION("""COMPUTED_VALUE"""),"5060128538026")</f>
        <v>5060128538026</v>
      </c>
      <c r="C2042" t="str">
        <f>IFERROR(__xludf.DUMMYFUNCTION("""COMPUTED_VALUE"""),"Westfalia/Witter")</f>
        <v>Westfalia/Witter</v>
      </c>
    </row>
    <row r="2043">
      <c r="A2043" t="str">
        <f>IFERROR(__xludf.DUMMYFUNCTION("""COMPUTED_VALUE"""),"SU27AQ")</f>
        <v>SU27AQ</v>
      </c>
      <c r="B2043" s="226" t="str">
        <f>IFERROR(__xludf.DUMMYFUNCTION("""COMPUTED_VALUE"""),"5060128538033")</f>
        <v>5060128538033</v>
      </c>
      <c r="C2043" t="str">
        <f>IFERROR(__xludf.DUMMYFUNCTION("""COMPUTED_VALUE"""),"Westfalia/Witter")</f>
        <v>Westfalia/Witter</v>
      </c>
    </row>
    <row r="2044">
      <c r="A2044" t="str">
        <f>IFERROR(__xludf.DUMMYFUNCTION("""COMPUTED_VALUE"""),"SU27AS")</f>
        <v>SU27AS</v>
      </c>
      <c r="B2044" s="226" t="str">
        <f>IFERROR(__xludf.DUMMYFUNCTION("""COMPUTED_VALUE"""),"5060128538040")</f>
        <v>5060128538040</v>
      </c>
      <c r="C2044" t="str">
        <f>IFERROR(__xludf.DUMMYFUNCTION("""COMPUTED_VALUE"""),"Westfalia/Witter")</f>
        <v>Westfalia/Witter</v>
      </c>
    </row>
    <row r="2045">
      <c r="A2045" t="str">
        <f>IFERROR(__xludf.DUMMYFUNCTION("""COMPUTED_VALUE"""),"SU28A")</f>
        <v>SU28A</v>
      </c>
      <c r="B2045" s="226" t="str">
        <f>IFERROR(__xludf.DUMMYFUNCTION("""COMPUTED_VALUE"""),"5060128538057")</f>
        <v>5060128538057</v>
      </c>
      <c r="C2045" t="str">
        <f>IFERROR(__xludf.DUMMYFUNCTION("""COMPUTED_VALUE"""),"Westfalia/Witter")</f>
        <v>Westfalia/Witter</v>
      </c>
    </row>
    <row r="2046">
      <c r="A2046" t="str">
        <f>IFERROR(__xludf.DUMMYFUNCTION("""COMPUTED_VALUE"""),"SU28AQ")</f>
        <v>SU28AQ</v>
      </c>
      <c r="B2046" s="226" t="str">
        <f>IFERROR(__xludf.DUMMYFUNCTION("""COMPUTED_VALUE"""),"5060128538064")</f>
        <v>5060128538064</v>
      </c>
      <c r="C2046" t="str">
        <f>IFERROR(__xludf.DUMMYFUNCTION("""COMPUTED_VALUE"""),"Westfalia/Witter")</f>
        <v>Westfalia/Witter</v>
      </c>
    </row>
    <row r="2047">
      <c r="A2047" t="str">
        <f>IFERROR(__xludf.DUMMYFUNCTION("""COMPUTED_VALUE"""),"SU32A")</f>
        <v>SU32A</v>
      </c>
      <c r="B2047" s="226" t="str">
        <f>IFERROR(__xludf.DUMMYFUNCTION("""COMPUTED_VALUE"""),"5060128538071")</f>
        <v>5060128538071</v>
      </c>
      <c r="C2047" t="str">
        <f>IFERROR(__xludf.DUMMYFUNCTION("""COMPUTED_VALUE"""),"Westfalia/Witter")</f>
        <v>Westfalia/Witter</v>
      </c>
    </row>
    <row r="2048">
      <c r="A2048" t="str">
        <f>IFERROR(__xludf.DUMMYFUNCTION("""COMPUTED_VALUE"""),"SU34")</f>
        <v>SU34</v>
      </c>
      <c r="B2048" s="226" t="str">
        <f>IFERROR(__xludf.DUMMYFUNCTION("""COMPUTED_VALUE"""),"5060128538088")</f>
        <v>5060128538088</v>
      </c>
      <c r="C2048" t="str">
        <f>IFERROR(__xludf.DUMMYFUNCTION("""COMPUTED_VALUE"""),"Westfalia/Witter")</f>
        <v>Westfalia/Witter</v>
      </c>
    </row>
    <row r="2049">
      <c r="A2049" t="str">
        <f>IFERROR(__xludf.DUMMYFUNCTION("""COMPUTED_VALUE"""),"SU35")</f>
        <v>SU35</v>
      </c>
      <c r="B2049" s="226" t="str">
        <f>IFERROR(__xludf.DUMMYFUNCTION("""COMPUTED_VALUE"""),"5060128538101")</f>
        <v>5060128538101</v>
      </c>
      <c r="C2049" t="str">
        <f>IFERROR(__xludf.DUMMYFUNCTION("""COMPUTED_VALUE"""),"Westfalia/Witter")</f>
        <v>Westfalia/Witter</v>
      </c>
    </row>
    <row r="2050">
      <c r="A2050" t="str">
        <f>IFERROR(__xludf.DUMMYFUNCTION("""COMPUTED_VALUE"""),"SU35Q")</f>
        <v>SU35Q</v>
      </c>
      <c r="B2050" s="226" t="str">
        <f>IFERROR(__xludf.DUMMYFUNCTION("""COMPUTED_VALUE"""),"5060128538118")</f>
        <v>5060128538118</v>
      </c>
      <c r="C2050" t="str">
        <f>IFERROR(__xludf.DUMMYFUNCTION("""COMPUTED_VALUE"""),"Westfalia/Witter")</f>
        <v>Westfalia/Witter</v>
      </c>
    </row>
    <row r="2051">
      <c r="A2051" t="str">
        <f>IFERROR(__xludf.DUMMYFUNCTION("""COMPUTED_VALUE"""),"SU38Q")</f>
        <v>SU38Q</v>
      </c>
      <c r="B2051" s="226" t="str">
        <f>IFERROR(__xludf.DUMMYFUNCTION("""COMPUTED_VALUE"""),"5060128538125")</f>
        <v>5060128538125</v>
      </c>
      <c r="C2051" t="str">
        <f>IFERROR(__xludf.DUMMYFUNCTION("""COMPUTED_VALUE"""),"Westfalia/Witter")</f>
        <v>Westfalia/Witter</v>
      </c>
    </row>
    <row r="2052">
      <c r="A2052" t="str">
        <f>IFERROR(__xludf.DUMMYFUNCTION("""COMPUTED_VALUE"""),"SU38S")</f>
        <v>SU38S</v>
      </c>
      <c r="B2052" s="226" t="str">
        <f>IFERROR(__xludf.DUMMYFUNCTION("""COMPUTED_VALUE"""),"5060128538149")</f>
        <v>5060128538149</v>
      </c>
      <c r="C2052" t="str">
        <f>IFERROR(__xludf.DUMMYFUNCTION("""COMPUTED_VALUE"""),"Westfalia/Witter")</f>
        <v>Westfalia/Witter</v>
      </c>
    </row>
    <row r="2053">
      <c r="A2053" t="str">
        <f>IFERROR(__xludf.DUMMYFUNCTION("""COMPUTED_VALUE"""),"SU39")</f>
        <v>SU39</v>
      </c>
      <c r="B2053" s="226" t="str">
        <f>IFERROR(__xludf.DUMMYFUNCTION("""COMPUTED_VALUE"""),"5060128538156")</f>
        <v>5060128538156</v>
      </c>
      <c r="C2053" t="str">
        <f>IFERROR(__xludf.DUMMYFUNCTION("""COMPUTED_VALUE"""),"Westfalia/Witter")</f>
        <v>Westfalia/Witter</v>
      </c>
    </row>
    <row r="2054">
      <c r="A2054" t="str">
        <f>IFERROR(__xludf.DUMMYFUNCTION("""COMPUTED_VALUE"""),"SU39Q")</f>
        <v>SU39Q</v>
      </c>
      <c r="B2054" s="226" t="str">
        <f>IFERROR(__xludf.DUMMYFUNCTION("""COMPUTED_VALUE"""),"5060128538163")</f>
        <v>5060128538163</v>
      </c>
      <c r="C2054" t="str">
        <f>IFERROR(__xludf.DUMMYFUNCTION("""COMPUTED_VALUE"""),"Westfalia/Witter")</f>
        <v>Westfalia/Witter</v>
      </c>
    </row>
    <row r="2055">
      <c r="A2055" t="str">
        <f>IFERROR(__xludf.DUMMYFUNCTION("""COMPUTED_VALUE"""),"SU39S")</f>
        <v>SU39S</v>
      </c>
      <c r="B2055" s="226" t="str">
        <f>IFERROR(__xludf.DUMMYFUNCTION("""COMPUTED_VALUE"""),"5060128538170")</f>
        <v>5060128538170</v>
      </c>
      <c r="C2055" t="str">
        <f>IFERROR(__xludf.DUMMYFUNCTION("""COMPUTED_VALUE"""),"Westfalia/Witter")</f>
        <v>Westfalia/Witter</v>
      </c>
    </row>
    <row r="2056">
      <c r="A2056" t="str">
        <f>IFERROR(__xludf.DUMMYFUNCTION("""COMPUTED_VALUE"""),"SU41")</f>
        <v>SU41</v>
      </c>
      <c r="B2056" s="226" t="str">
        <f>IFERROR(__xludf.DUMMYFUNCTION("""COMPUTED_VALUE"""),"5060128538187")</f>
        <v>5060128538187</v>
      </c>
      <c r="C2056" t="str">
        <f>IFERROR(__xludf.DUMMYFUNCTION("""COMPUTED_VALUE"""),"Westfalia/Witter")</f>
        <v>Westfalia/Witter</v>
      </c>
    </row>
    <row r="2057">
      <c r="A2057" t="str">
        <f>IFERROR(__xludf.DUMMYFUNCTION("""COMPUTED_VALUE"""),"SU41Q")</f>
        <v>SU41Q</v>
      </c>
      <c r="B2057" s="226" t="str">
        <f>IFERROR(__xludf.DUMMYFUNCTION("""COMPUTED_VALUE"""),"5060128538194")</f>
        <v>5060128538194</v>
      </c>
      <c r="C2057" t="str">
        <f>IFERROR(__xludf.DUMMYFUNCTION("""COMPUTED_VALUE"""),"Westfalia/Witter")</f>
        <v>Westfalia/Witter</v>
      </c>
    </row>
    <row r="2058">
      <c r="A2058" t="str">
        <f>IFERROR(__xludf.DUMMYFUNCTION("""COMPUTED_VALUE"""),"SU41S")</f>
        <v>SU41S</v>
      </c>
      <c r="B2058" s="226" t="str">
        <f>IFERROR(__xludf.DUMMYFUNCTION("""COMPUTED_VALUE"""),"5060128538200")</f>
        <v>5060128538200</v>
      </c>
      <c r="C2058" t="str">
        <f>IFERROR(__xludf.DUMMYFUNCTION("""COMPUTED_VALUE"""),"Westfalia/Witter")</f>
        <v>Westfalia/Witter</v>
      </c>
    </row>
    <row r="2059">
      <c r="A2059" t="str">
        <f>IFERROR(__xludf.DUMMYFUNCTION("""COMPUTED_VALUE"""),"SU42Q")</f>
        <v>SU42Q</v>
      </c>
      <c r="B2059" s="226" t="str">
        <f>IFERROR(__xludf.DUMMYFUNCTION("""COMPUTED_VALUE"""),"5060128538217")</f>
        <v>5060128538217</v>
      </c>
      <c r="C2059" t="str">
        <f>IFERROR(__xludf.DUMMYFUNCTION("""COMPUTED_VALUE"""),"Westfalia/Witter")</f>
        <v>Westfalia/Witter</v>
      </c>
    </row>
    <row r="2060">
      <c r="A2060" t="str">
        <f>IFERROR(__xludf.DUMMYFUNCTION("""COMPUTED_VALUE"""),"SY11B")</f>
        <v>SY11B</v>
      </c>
      <c r="B2060" s="226" t="str">
        <f>IFERROR(__xludf.DUMMYFUNCTION("""COMPUTED_VALUE"""),"5060128538231")</f>
        <v>5060128538231</v>
      </c>
      <c r="C2060" t="str">
        <f>IFERROR(__xludf.DUMMYFUNCTION("""COMPUTED_VALUE"""),"Westfalia/Witter")</f>
        <v>Westfalia/Witter</v>
      </c>
    </row>
    <row r="2061">
      <c r="A2061" t="str">
        <f>IFERROR(__xludf.DUMMYFUNCTION("""COMPUTED_VALUE"""),"SY11BQ")</f>
        <v>SY11BQ</v>
      </c>
      <c r="B2061" s="226" t="str">
        <f>IFERROR(__xludf.DUMMYFUNCTION("""COMPUTED_VALUE"""),"5060128538248")</f>
        <v>5060128538248</v>
      </c>
      <c r="C2061" t="str">
        <f>IFERROR(__xludf.DUMMYFUNCTION("""COMPUTED_VALUE"""),"Westfalia/Witter")</f>
        <v>Westfalia/Witter</v>
      </c>
    </row>
    <row r="2062">
      <c r="A2062" t="str">
        <f>IFERROR(__xludf.DUMMYFUNCTION("""COMPUTED_VALUE"""),"SY13A")</f>
        <v>SY13A</v>
      </c>
      <c r="B2062" s="226" t="str">
        <f>IFERROR(__xludf.DUMMYFUNCTION("""COMPUTED_VALUE"""),"5060128538255")</f>
        <v>5060128538255</v>
      </c>
      <c r="C2062" t="str">
        <f>IFERROR(__xludf.DUMMYFUNCTION("""COMPUTED_VALUE"""),"Westfalia/Witter")</f>
        <v>Westfalia/Witter</v>
      </c>
    </row>
    <row r="2063">
      <c r="A2063" t="str">
        <f>IFERROR(__xludf.DUMMYFUNCTION("""COMPUTED_VALUE"""),"SY13AQ")</f>
        <v>SY13AQ</v>
      </c>
      <c r="B2063" s="226" t="str">
        <f>IFERROR(__xludf.DUMMYFUNCTION("""COMPUTED_VALUE"""),"5060128538262")</f>
        <v>5060128538262</v>
      </c>
      <c r="C2063" t="str">
        <f>IFERROR(__xludf.DUMMYFUNCTION("""COMPUTED_VALUE"""),"Westfalia/Witter")</f>
        <v>Westfalia/Witter</v>
      </c>
    </row>
    <row r="2064">
      <c r="A2064" t="str">
        <f>IFERROR(__xludf.DUMMYFUNCTION("""COMPUTED_VALUE"""),"SY13AS")</f>
        <v>SY13AS</v>
      </c>
      <c r="B2064" s="226" t="str">
        <f>IFERROR(__xludf.DUMMYFUNCTION("""COMPUTED_VALUE"""),"5060128538279")</f>
        <v>5060128538279</v>
      </c>
      <c r="C2064" t="str">
        <f>IFERROR(__xludf.DUMMYFUNCTION("""COMPUTED_VALUE"""),"Westfalia/Witter")</f>
        <v>Westfalia/Witter</v>
      </c>
    </row>
    <row r="2065">
      <c r="A2065" t="str">
        <f>IFERROR(__xludf.DUMMYFUNCTION("""COMPUTED_VALUE"""),"SY14B")</f>
        <v>SY14B</v>
      </c>
      <c r="B2065" s="226" t="str">
        <f>IFERROR(__xludf.DUMMYFUNCTION("""COMPUTED_VALUE"""),"5060128538286")</f>
        <v>5060128538286</v>
      </c>
      <c r="C2065" t="str">
        <f>IFERROR(__xludf.DUMMYFUNCTION("""COMPUTED_VALUE"""),"Westfalia/Witter")</f>
        <v>Westfalia/Witter</v>
      </c>
    </row>
    <row r="2066">
      <c r="A2066" t="str">
        <f>IFERROR(__xludf.DUMMYFUNCTION("""COMPUTED_VALUE"""),"SY16Q")</f>
        <v>SY16Q</v>
      </c>
      <c r="B2066" s="226" t="str">
        <f>IFERROR(__xludf.DUMMYFUNCTION("""COMPUTED_VALUE"""),"5060128538309")</f>
        <v>5060128538309</v>
      </c>
      <c r="C2066" t="str">
        <f>IFERROR(__xludf.DUMMYFUNCTION("""COMPUTED_VALUE"""),"Westfalia/Witter")</f>
        <v>Westfalia/Witter</v>
      </c>
    </row>
    <row r="2067">
      <c r="A2067" t="str">
        <f>IFERROR(__xludf.DUMMYFUNCTION("""COMPUTED_VALUE"""),"SY5A")</f>
        <v>SY5A</v>
      </c>
      <c r="B2067" s="226" t="str">
        <f>IFERROR(__xludf.DUMMYFUNCTION("""COMPUTED_VALUE"""),"5060128538316")</f>
        <v>5060128538316</v>
      </c>
      <c r="C2067" t="str">
        <f>IFERROR(__xludf.DUMMYFUNCTION("""COMPUTED_VALUE"""),"Westfalia/Witter")</f>
        <v>Westfalia/Witter</v>
      </c>
    </row>
    <row r="2068">
      <c r="A2068" t="str">
        <f>IFERROR(__xludf.DUMMYFUNCTION("""COMPUTED_VALUE"""),"SY7B")</f>
        <v>SY7B</v>
      </c>
      <c r="B2068" s="226" t="str">
        <f>IFERROR(__xludf.DUMMYFUNCTION("""COMPUTED_VALUE"""),"5060128538323")</f>
        <v>5060128538323</v>
      </c>
      <c r="C2068" t="str">
        <f>IFERROR(__xludf.DUMMYFUNCTION("""COMPUTED_VALUE"""),"Westfalia/Witter")</f>
        <v>Westfalia/Witter</v>
      </c>
    </row>
    <row r="2069">
      <c r="A2069" t="str">
        <f>IFERROR(__xludf.DUMMYFUNCTION("""COMPUTED_VALUE"""),"SY7BQ")</f>
        <v>SY7BQ</v>
      </c>
      <c r="B2069" s="226" t="str">
        <f>IFERROR(__xludf.DUMMYFUNCTION("""COMPUTED_VALUE"""),"5060128538330")</f>
        <v>5060128538330</v>
      </c>
      <c r="C2069" t="str">
        <f>IFERROR(__xludf.DUMMYFUNCTION("""COMPUTED_VALUE"""),"Westfalia/Witter")</f>
        <v>Westfalia/Witter</v>
      </c>
    </row>
    <row r="2070">
      <c r="A2070" t="str">
        <f>IFERROR(__xludf.DUMMYFUNCTION("""COMPUTED_VALUE"""),"SY7BS")</f>
        <v>SY7BS</v>
      </c>
      <c r="B2070" s="226" t="str">
        <f>IFERROR(__xludf.DUMMYFUNCTION("""COMPUTED_VALUE"""),"5060128538347")</f>
        <v>5060128538347</v>
      </c>
      <c r="C2070" t="str">
        <f>IFERROR(__xludf.DUMMYFUNCTION("""COMPUTED_VALUE"""),"Westfalia/Witter")</f>
        <v>Westfalia/Witter</v>
      </c>
    </row>
    <row r="2071">
      <c r="A2071" t="str">
        <f>IFERROR(__xludf.DUMMYFUNCTION("""COMPUTED_VALUE"""),"SY8B")</f>
        <v>SY8B</v>
      </c>
      <c r="B2071" s="226" t="str">
        <f>IFERROR(__xludf.DUMMYFUNCTION("""COMPUTED_VALUE"""),"5060128538354")</f>
        <v>5060128538354</v>
      </c>
      <c r="C2071" t="str">
        <f>IFERROR(__xludf.DUMMYFUNCTION("""COMPUTED_VALUE"""),"Westfalia/Witter")</f>
        <v>Westfalia/Witter</v>
      </c>
    </row>
    <row r="2072">
      <c r="A2072" t="str">
        <f>IFERROR(__xludf.DUMMYFUNCTION("""COMPUTED_VALUE"""),"SZ12A")</f>
        <v>SZ12A</v>
      </c>
      <c r="B2072" s="226" t="str">
        <f>IFERROR(__xludf.DUMMYFUNCTION("""COMPUTED_VALUE"""),"5060128538392")</f>
        <v>5060128538392</v>
      </c>
      <c r="C2072" t="str">
        <f>IFERROR(__xludf.DUMMYFUNCTION("""COMPUTED_VALUE"""),"Westfalia/Witter")</f>
        <v>Westfalia/Witter</v>
      </c>
    </row>
    <row r="2073">
      <c r="A2073" t="str">
        <f>IFERROR(__xludf.DUMMYFUNCTION("""COMPUTED_VALUE"""),"SZ15A")</f>
        <v>SZ15A</v>
      </c>
      <c r="B2073" s="226" t="str">
        <f>IFERROR(__xludf.DUMMYFUNCTION("""COMPUTED_VALUE"""),"5060128538415")</f>
        <v>5060128538415</v>
      </c>
      <c r="C2073" t="str">
        <f>IFERROR(__xludf.DUMMYFUNCTION("""COMPUTED_VALUE"""),"Westfalia/Witter")</f>
        <v>Westfalia/Witter</v>
      </c>
    </row>
    <row r="2074">
      <c r="A2074" t="str">
        <f>IFERROR(__xludf.DUMMYFUNCTION("""COMPUTED_VALUE"""),"SZ15AQ")</f>
        <v>SZ15AQ</v>
      </c>
      <c r="B2074" s="226" t="str">
        <f>IFERROR(__xludf.DUMMYFUNCTION("""COMPUTED_VALUE"""),"5060128538422")</f>
        <v>5060128538422</v>
      </c>
      <c r="C2074" t="str">
        <f>IFERROR(__xludf.DUMMYFUNCTION("""COMPUTED_VALUE"""),"Westfalia/Witter")</f>
        <v>Westfalia/Witter</v>
      </c>
    </row>
    <row r="2075">
      <c r="A2075" t="str">
        <f>IFERROR(__xludf.DUMMYFUNCTION("""COMPUTED_VALUE"""),"SZ15AS")</f>
        <v>SZ15AS</v>
      </c>
      <c r="B2075" s="226" t="str">
        <f>IFERROR(__xludf.DUMMYFUNCTION("""COMPUTED_VALUE"""),"5060128538439")</f>
        <v>5060128538439</v>
      </c>
      <c r="C2075" t="str">
        <f>IFERROR(__xludf.DUMMYFUNCTION("""COMPUTED_VALUE"""),"Westfalia/Witter")</f>
        <v>Westfalia/Witter</v>
      </c>
    </row>
    <row r="2076">
      <c r="A2076" t="str">
        <f>IFERROR(__xludf.DUMMYFUNCTION("""COMPUTED_VALUE"""),"SZ16B")</f>
        <v>SZ16B</v>
      </c>
      <c r="B2076" s="226" t="str">
        <f>IFERROR(__xludf.DUMMYFUNCTION("""COMPUTED_VALUE"""),"5060128538446")</f>
        <v>5060128538446</v>
      </c>
      <c r="C2076" t="str">
        <f>IFERROR(__xludf.DUMMYFUNCTION("""COMPUTED_VALUE"""),"Westfalia/Witter")</f>
        <v>Westfalia/Witter</v>
      </c>
    </row>
    <row r="2077">
      <c r="A2077" t="str">
        <f>IFERROR(__xludf.DUMMYFUNCTION("""COMPUTED_VALUE"""),"SZ16BS")</f>
        <v>SZ16BS</v>
      </c>
      <c r="B2077" s="226" t="str">
        <f>IFERROR(__xludf.DUMMYFUNCTION("""COMPUTED_VALUE"""),"5060128538453")</f>
        <v>5060128538453</v>
      </c>
      <c r="C2077" t="str">
        <f>IFERROR(__xludf.DUMMYFUNCTION("""COMPUTED_VALUE"""),"Westfalia/Witter")</f>
        <v>Westfalia/Witter</v>
      </c>
    </row>
    <row r="2078">
      <c r="A2078" t="str">
        <f>IFERROR(__xludf.DUMMYFUNCTION("""COMPUTED_VALUE"""),"SZ17")</f>
        <v>SZ17</v>
      </c>
      <c r="B2078" s="226" t="str">
        <f>IFERROR(__xludf.DUMMYFUNCTION("""COMPUTED_VALUE"""),"5060128538460")</f>
        <v>5060128538460</v>
      </c>
      <c r="C2078" t="str">
        <f>IFERROR(__xludf.DUMMYFUNCTION("""COMPUTED_VALUE"""),"Westfalia/Witter")</f>
        <v>Westfalia/Witter</v>
      </c>
    </row>
    <row r="2079">
      <c r="A2079" t="str">
        <f>IFERROR(__xludf.DUMMYFUNCTION("""COMPUTED_VALUE"""),"SZ18")</f>
        <v>SZ18</v>
      </c>
      <c r="B2079" s="226" t="str">
        <f>IFERROR(__xludf.DUMMYFUNCTION("""COMPUTED_VALUE"""),"5060128538477")</f>
        <v>5060128538477</v>
      </c>
      <c r="C2079" t="str">
        <f>IFERROR(__xludf.DUMMYFUNCTION("""COMPUTED_VALUE"""),"Westfalia/Witter")</f>
        <v>Westfalia/Witter</v>
      </c>
    </row>
    <row r="2080">
      <c r="A2080" t="str">
        <f>IFERROR(__xludf.DUMMYFUNCTION("""COMPUTED_VALUE"""),"SZ19Q")</f>
        <v>SZ19Q</v>
      </c>
      <c r="B2080" s="226" t="str">
        <f>IFERROR(__xludf.DUMMYFUNCTION("""COMPUTED_VALUE"""),"5060128538484")</f>
        <v>5060128538484</v>
      </c>
      <c r="C2080" t="str">
        <f>IFERROR(__xludf.DUMMYFUNCTION("""COMPUTED_VALUE"""),"Westfalia/Witter")</f>
        <v>Westfalia/Witter</v>
      </c>
    </row>
    <row r="2081">
      <c r="A2081" t="str">
        <f>IFERROR(__xludf.DUMMYFUNCTION("""COMPUTED_VALUE"""),"SZ19S")</f>
        <v>SZ19S</v>
      </c>
      <c r="B2081" s="226" t="str">
        <f>IFERROR(__xludf.DUMMYFUNCTION("""COMPUTED_VALUE"""),"5060128538491")</f>
        <v>5060128538491</v>
      </c>
      <c r="C2081" t="str">
        <f>IFERROR(__xludf.DUMMYFUNCTION("""COMPUTED_VALUE"""),"Westfalia/Witter")</f>
        <v>Westfalia/Witter</v>
      </c>
    </row>
    <row r="2082">
      <c r="A2082" t="str">
        <f>IFERROR(__xludf.DUMMYFUNCTION("""COMPUTED_VALUE"""),"SZ21Q")</f>
        <v>SZ21Q</v>
      </c>
      <c r="B2082" s="226" t="str">
        <f>IFERROR(__xludf.DUMMYFUNCTION("""COMPUTED_VALUE"""),"5060128538507")</f>
        <v>5060128538507</v>
      </c>
      <c r="C2082" t="str">
        <f>IFERROR(__xludf.DUMMYFUNCTION("""COMPUTED_VALUE"""),"Westfalia/Witter")</f>
        <v>Westfalia/Witter</v>
      </c>
    </row>
    <row r="2083">
      <c r="A2083" t="str">
        <f>IFERROR(__xludf.DUMMYFUNCTION("""COMPUTED_VALUE"""),"SZ21Q")</f>
        <v>SZ21Q</v>
      </c>
      <c r="B2083" s="226" t="str">
        <f>IFERROR(__xludf.DUMMYFUNCTION("""COMPUTED_VALUE"""),"5060128538507")</f>
        <v>5060128538507</v>
      </c>
      <c r="C2083" t="str">
        <f>IFERROR(__xludf.DUMMYFUNCTION("""COMPUTED_VALUE"""),"Westfalia/Witter")</f>
        <v>Westfalia/Witter</v>
      </c>
    </row>
    <row r="2084">
      <c r="A2084" t="str">
        <f>IFERROR(__xludf.DUMMYFUNCTION("""COMPUTED_VALUE"""),"SZ21Q")</f>
        <v>SZ21Q</v>
      </c>
      <c r="B2084" s="226" t="str">
        <f>IFERROR(__xludf.DUMMYFUNCTION("""COMPUTED_VALUE"""),"5060128538507")</f>
        <v>5060128538507</v>
      </c>
      <c r="C2084" t="str">
        <f>IFERROR(__xludf.DUMMYFUNCTION("""COMPUTED_VALUE"""),"Westfalia/Witter")</f>
        <v>Westfalia/Witter</v>
      </c>
    </row>
    <row r="2085">
      <c r="A2085" t="str">
        <f>IFERROR(__xludf.DUMMYFUNCTION("""COMPUTED_VALUE"""),"SZ21S")</f>
        <v>SZ21S</v>
      </c>
      <c r="B2085" s="226" t="str">
        <f>IFERROR(__xludf.DUMMYFUNCTION("""COMPUTED_VALUE"""),"5060128538514")</f>
        <v>5060128538514</v>
      </c>
      <c r="C2085" t="str">
        <f>IFERROR(__xludf.DUMMYFUNCTION("""COMPUTED_VALUE"""),"Westfalia/Witter")</f>
        <v>Westfalia/Witter</v>
      </c>
    </row>
    <row r="2086">
      <c r="A2086" t="str">
        <f>IFERROR(__xludf.DUMMYFUNCTION("""COMPUTED_VALUE"""),"SZ5D")</f>
        <v>SZ5D</v>
      </c>
      <c r="B2086" s="226" t="str">
        <f>IFERROR(__xludf.DUMMYFUNCTION("""COMPUTED_VALUE"""),"5060128538521")</f>
        <v>5060128538521</v>
      </c>
      <c r="C2086" t="str">
        <f>IFERROR(__xludf.DUMMYFUNCTION("""COMPUTED_VALUE"""),"Westfalia/Witter")</f>
        <v>Westfalia/Witter</v>
      </c>
    </row>
    <row r="2087">
      <c r="A2087" t="str">
        <f>IFERROR(__xludf.DUMMYFUNCTION("""COMPUTED_VALUE"""),"TY104B")</f>
        <v>TY104B</v>
      </c>
      <c r="B2087" s="226" t="str">
        <f>IFERROR(__xludf.DUMMYFUNCTION("""COMPUTED_VALUE"""),"5060128538545")</f>
        <v>5060128538545</v>
      </c>
      <c r="C2087" t="str">
        <f>IFERROR(__xludf.DUMMYFUNCTION("""COMPUTED_VALUE"""),"Westfalia/Witter")</f>
        <v>Westfalia/Witter</v>
      </c>
    </row>
    <row r="2088">
      <c r="A2088" t="str">
        <f>IFERROR(__xludf.DUMMYFUNCTION("""COMPUTED_VALUE"""),"TY109B")</f>
        <v>TY109B</v>
      </c>
      <c r="B2088" s="226" t="str">
        <f>IFERROR(__xludf.DUMMYFUNCTION("""COMPUTED_VALUE"""),"5060128538576")</f>
        <v>5060128538576</v>
      </c>
      <c r="C2088" t="str">
        <f>IFERROR(__xludf.DUMMYFUNCTION("""COMPUTED_VALUE"""),"Westfalia/Witter")</f>
        <v>Westfalia/Witter</v>
      </c>
    </row>
    <row r="2089">
      <c r="A2089" t="str">
        <f>IFERROR(__xludf.DUMMYFUNCTION("""COMPUTED_VALUE"""),"TY115A")</f>
        <v>TY115A</v>
      </c>
      <c r="B2089" s="226" t="str">
        <f>IFERROR(__xludf.DUMMYFUNCTION("""COMPUTED_VALUE"""),"5060128538583")</f>
        <v>5060128538583</v>
      </c>
      <c r="C2089" t="str">
        <f>IFERROR(__xludf.DUMMYFUNCTION("""COMPUTED_VALUE"""),"Westfalia/Witter")</f>
        <v>Westfalia/Witter</v>
      </c>
    </row>
    <row r="2090">
      <c r="A2090" t="str">
        <f>IFERROR(__xludf.DUMMYFUNCTION("""COMPUTED_VALUE"""),"TY119A")</f>
        <v>TY119A</v>
      </c>
      <c r="B2090" s="226" t="str">
        <f>IFERROR(__xludf.DUMMYFUNCTION("""COMPUTED_VALUE"""),"5060128538606")</f>
        <v>5060128538606</v>
      </c>
      <c r="C2090" t="str">
        <f>IFERROR(__xludf.DUMMYFUNCTION("""COMPUTED_VALUE"""),"Westfalia/Witter")</f>
        <v>Westfalia/Witter</v>
      </c>
    </row>
    <row r="2091">
      <c r="A2091" t="str">
        <f>IFERROR(__xludf.DUMMYFUNCTION("""COMPUTED_VALUE"""),"TY121A")</f>
        <v>TY121A</v>
      </c>
      <c r="B2091" s="226" t="str">
        <f>IFERROR(__xludf.DUMMYFUNCTION("""COMPUTED_VALUE"""),"5060128538613")</f>
        <v>5060128538613</v>
      </c>
      <c r="C2091" t="str">
        <f>IFERROR(__xludf.DUMMYFUNCTION("""COMPUTED_VALUE"""),"Westfalia/Witter")</f>
        <v>Westfalia/Witter</v>
      </c>
    </row>
    <row r="2092">
      <c r="A2092" t="str">
        <f>IFERROR(__xludf.DUMMYFUNCTION("""COMPUTED_VALUE"""),"TY122A")</f>
        <v>TY122A</v>
      </c>
      <c r="B2092" s="226" t="str">
        <f>IFERROR(__xludf.DUMMYFUNCTION("""COMPUTED_VALUE"""),"5060128538620")</f>
        <v>5060128538620</v>
      </c>
      <c r="C2092" t="str">
        <f>IFERROR(__xludf.DUMMYFUNCTION("""COMPUTED_VALUE"""),"Westfalia/Witter")</f>
        <v>Westfalia/Witter</v>
      </c>
    </row>
    <row r="2093">
      <c r="A2093" t="str">
        <f>IFERROR(__xludf.DUMMYFUNCTION("""COMPUTED_VALUE"""),"TY123B")</f>
        <v>TY123B</v>
      </c>
      <c r="B2093" s="226" t="str">
        <f>IFERROR(__xludf.DUMMYFUNCTION("""COMPUTED_VALUE"""),"5060128538644")</f>
        <v>5060128538644</v>
      </c>
      <c r="C2093" t="str">
        <f>IFERROR(__xludf.DUMMYFUNCTION("""COMPUTED_VALUE"""),"Westfalia/Witter")</f>
        <v>Westfalia/Witter</v>
      </c>
    </row>
    <row r="2094">
      <c r="A2094" t="str">
        <f>IFERROR(__xludf.DUMMYFUNCTION("""COMPUTED_VALUE"""),"TY125A")</f>
        <v>TY125A</v>
      </c>
      <c r="B2094" s="226" t="str">
        <f>IFERROR(__xludf.DUMMYFUNCTION("""COMPUTED_VALUE"""),"5060128538651")</f>
        <v>5060128538651</v>
      </c>
      <c r="C2094" t="str">
        <f>IFERROR(__xludf.DUMMYFUNCTION("""COMPUTED_VALUE"""),"Westfalia/Witter")</f>
        <v>Westfalia/Witter</v>
      </c>
    </row>
    <row r="2095">
      <c r="A2095" t="str">
        <f>IFERROR(__xludf.DUMMYFUNCTION("""COMPUTED_VALUE"""),"TY127A")</f>
        <v>TY127A</v>
      </c>
      <c r="B2095" s="226" t="str">
        <f>IFERROR(__xludf.DUMMYFUNCTION("""COMPUTED_VALUE"""),"5060128538668")</f>
        <v>5060128538668</v>
      </c>
      <c r="C2095" t="str">
        <f>IFERROR(__xludf.DUMMYFUNCTION("""COMPUTED_VALUE"""),"Westfalia/Witter")</f>
        <v>Westfalia/Witter</v>
      </c>
    </row>
    <row r="2096">
      <c r="A2096" t="str">
        <f>IFERROR(__xludf.DUMMYFUNCTION("""COMPUTED_VALUE"""),"TY133C")</f>
        <v>TY133C</v>
      </c>
      <c r="B2096" s="226" t="str">
        <f>IFERROR(__xludf.DUMMYFUNCTION("""COMPUTED_VALUE"""),"5060128538682")</f>
        <v>5060128538682</v>
      </c>
      <c r="C2096" t="str">
        <f>IFERROR(__xludf.DUMMYFUNCTION("""COMPUTED_VALUE"""),"Westfalia/Witter")</f>
        <v>Westfalia/Witter</v>
      </c>
    </row>
    <row r="2097">
      <c r="A2097" t="str">
        <f>IFERROR(__xludf.DUMMYFUNCTION("""COMPUTED_VALUE"""),"TY134B")</f>
        <v>TY134B</v>
      </c>
      <c r="B2097" s="226" t="str">
        <f>IFERROR(__xludf.DUMMYFUNCTION("""COMPUTED_VALUE"""),"5060128538699")</f>
        <v>5060128538699</v>
      </c>
      <c r="C2097" t="str">
        <f>IFERROR(__xludf.DUMMYFUNCTION("""COMPUTED_VALUE"""),"Westfalia/Witter")</f>
        <v>Westfalia/Witter</v>
      </c>
    </row>
    <row r="2098">
      <c r="A2098" t="str">
        <f>IFERROR(__xludf.DUMMYFUNCTION("""COMPUTED_VALUE"""),"TY135B")</f>
        <v>TY135B</v>
      </c>
      <c r="B2098" s="226" t="str">
        <f>IFERROR(__xludf.DUMMYFUNCTION("""COMPUTED_VALUE"""),"5060128538705")</f>
        <v>5060128538705</v>
      </c>
      <c r="C2098" t="str">
        <f>IFERROR(__xludf.DUMMYFUNCTION("""COMPUTED_VALUE"""),"Westfalia/Witter")</f>
        <v>Westfalia/Witter</v>
      </c>
    </row>
    <row r="2099">
      <c r="A2099" t="str">
        <f>IFERROR(__xludf.DUMMYFUNCTION("""COMPUTED_VALUE"""),"TY135BQ")</f>
        <v>TY135BQ</v>
      </c>
      <c r="B2099" s="226" t="str">
        <f>IFERROR(__xludf.DUMMYFUNCTION("""COMPUTED_VALUE"""),"5060128538712")</f>
        <v>5060128538712</v>
      </c>
      <c r="C2099" t="str">
        <f>IFERROR(__xludf.DUMMYFUNCTION("""COMPUTED_VALUE"""),"Westfalia/Witter")</f>
        <v>Westfalia/Witter</v>
      </c>
    </row>
    <row r="2100">
      <c r="A2100" t="str">
        <f>IFERROR(__xludf.DUMMYFUNCTION("""COMPUTED_VALUE"""),"TY135BQ")</f>
        <v>TY135BQ</v>
      </c>
      <c r="B2100" s="226" t="str">
        <f>IFERROR(__xludf.DUMMYFUNCTION("""COMPUTED_VALUE"""),"5060128538712")</f>
        <v>5060128538712</v>
      </c>
      <c r="C2100" t="str">
        <f>IFERROR(__xludf.DUMMYFUNCTION("""COMPUTED_VALUE"""),"Westfalia/Witter")</f>
        <v>Westfalia/Witter</v>
      </c>
    </row>
    <row r="2101">
      <c r="A2101" t="str">
        <f>IFERROR(__xludf.DUMMYFUNCTION("""COMPUTED_VALUE"""),"TY137A")</f>
        <v>TY137A</v>
      </c>
      <c r="B2101" s="226" t="str">
        <f>IFERROR(__xludf.DUMMYFUNCTION("""COMPUTED_VALUE"""),"5060128538729")</f>
        <v>5060128538729</v>
      </c>
      <c r="C2101" t="str">
        <f>IFERROR(__xludf.DUMMYFUNCTION("""COMPUTED_VALUE"""),"Westfalia/Witter")</f>
        <v>Westfalia/Witter</v>
      </c>
    </row>
    <row r="2102">
      <c r="A2102" t="str">
        <f>IFERROR(__xludf.DUMMYFUNCTION("""COMPUTED_VALUE"""),"TY138AS")</f>
        <v>TY138AS</v>
      </c>
      <c r="B2102" s="226" t="str">
        <f>IFERROR(__xludf.DUMMYFUNCTION("""COMPUTED_VALUE"""),"5060128538736")</f>
        <v>5060128538736</v>
      </c>
      <c r="C2102" t="str">
        <f>IFERROR(__xludf.DUMMYFUNCTION("""COMPUTED_VALUE"""),"Westfalia/Witter")</f>
        <v>Westfalia/Witter</v>
      </c>
    </row>
    <row r="2103">
      <c r="A2103" t="str">
        <f>IFERROR(__xludf.DUMMYFUNCTION("""COMPUTED_VALUE"""),"TY139A")</f>
        <v>TY139A</v>
      </c>
      <c r="B2103" s="226" t="str">
        <f>IFERROR(__xludf.DUMMYFUNCTION("""COMPUTED_VALUE"""),"5060128538743")</f>
        <v>5060128538743</v>
      </c>
      <c r="C2103" t="str">
        <f>IFERROR(__xludf.DUMMYFUNCTION("""COMPUTED_VALUE"""),"Westfalia/Witter")</f>
        <v>Westfalia/Witter</v>
      </c>
    </row>
    <row r="2104">
      <c r="A2104" t="str">
        <f>IFERROR(__xludf.DUMMYFUNCTION("""COMPUTED_VALUE"""),"TY142A")</f>
        <v>TY142A</v>
      </c>
      <c r="B2104" s="226" t="str">
        <f>IFERROR(__xludf.DUMMYFUNCTION("""COMPUTED_VALUE"""),"5060128538750")</f>
        <v>5060128538750</v>
      </c>
      <c r="C2104" t="str">
        <f>IFERROR(__xludf.DUMMYFUNCTION("""COMPUTED_VALUE"""),"Westfalia/Witter")</f>
        <v>Westfalia/Witter</v>
      </c>
    </row>
    <row r="2105">
      <c r="A2105" t="str">
        <f>IFERROR(__xludf.DUMMYFUNCTION("""COMPUTED_VALUE"""),"TY146B")</f>
        <v>TY146B</v>
      </c>
      <c r="B2105" s="226" t="str">
        <f>IFERROR(__xludf.DUMMYFUNCTION("""COMPUTED_VALUE"""),"5060128538767")</f>
        <v>5060128538767</v>
      </c>
      <c r="C2105" t="str">
        <f>IFERROR(__xludf.DUMMYFUNCTION("""COMPUTED_VALUE"""),"Westfalia/Witter")</f>
        <v>Westfalia/Witter</v>
      </c>
    </row>
    <row r="2106">
      <c r="A2106" t="str">
        <f>IFERROR(__xludf.DUMMYFUNCTION("""COMPUTED_VALUE"""),"TY146BQ")</f>
        <v>TY146BQ</v>
      </c>
      <c r="B2106" s="226" t="str">
        <f>IFERROR(__xludf.DUMMYFUNCTION("""COMPUTED_VALUE"""),"5060128538774")</f>
        <v>5060128538774</v>
      </c>
      <c r="C2106" t="str">
        <f>IFERROR(__xludf.DUMMYFUNCTION("""COMPUTED_VALUE"""),"Westfalia/Witter")</f>
        <v>Westfalia/Witter</v>
      </c>
    </row>
    <row r="2107">
      <c r="A2107" t="str">
        <f>IFERROR(__xludf.DUMMYFUNCTION("""COMPUTED_VALUE"""),"TY146BS")</f>
        <v>TY146BS</v>
      </c>
      <c r="B2107" s="226" t="str">
        <f>IFERROR(__xludf.DUMMYFUNCTION("""COMPUTED_VALUE"""),"5060128538781")</f>
        <v>5060128538781</v>
      </c>
      <c r="C2107" t="str">
        <f>IFERROR(__xludf.DUMMYFUNCTION("""COMPUTED_VALUE"""),"Westfalia/Witter")</f>
        <v>Westfalia/Witter</v>
      </c>
    </row>
    <row r="2108">
      <c r="A2108" t="str">
        <f>IFERROR(__xludf.DUMMYFUNCTION("""COMPUTED_VALUE"""),"TY146BS")</f>
        <v>TY146BS</v>
      </c>
      <c r="B2108" s="226" t="str">
        <f>IFERROR(__xludf.DUMMYFUNCTION("""COMPUTED_VALUE"""),"5060128538781")</f>
        <v>5060128538781</v>
      </c>
      <c r="C2108" t="str">
        <f>IFERROR(__xludf.DUMMYFUNCTION("""COMPUTED_VALUE"""),"Westfalia/Witter")</f>
        <v>Westfalia/Witter</v>
      </c>
    </row>
    <row r="2109">
      <c r="A2109" t="str">
        <f>IFERROR(__xludf.DUMMYFUNCTION("""COMPUTED_VALUE"""),"TY146BS")</f>
        <v>TY146BS</v>
      </c>
      <c r="B2109" s="226" t="str">
        <f>IFERROR(__xludf.DUMMYFUNCTION("""COMPUTED_VALUE"""),"5060128538781")</f>
        <v>5060128538781</v>
      </c>
      <c r="C2109" t="str">
        <f>IFERROR(__xludf.DUMMYFUNCTION("""COMPUTED_VALUE"""),"Westfalia/Witter")</f>
        <v>Westfalia/Witter</v>
      </c>
    </row>
    <row r="2110">
      <c r="A2110" t="str">
        <f>IFERROR(__xludf.DUMMYFUNCTION("""COMPUTED_VALUE"""),"TY147BR")</f>
        <v>TY147BR</v>
      </c>
      <c r="B2110" s="226" t="str">
        <f>IFERROR(__xludf.DUMMYFUNCTION("""COMPUTED_VALUE"""),"5060128538798")</f>
        <v>5060128538798</v>
      </c>
      <c r="C2110" t="str">
        <f>IFERROR(__xludf.DUMMYFUNCTION("""COMPUTED_VALUE"""),"Westfalia/Witter")</f>
        <v>Westfalia/Witter</v>
      </c>
    </row>
    <row r="2111">
      <c r="A2111" t="str">
        <f>IFERROR(__xludf.DUMMYFUNCTION("""COMPUTED_VALUE"""),"TY147BR")</f>
        <v>TY147BR</v>
      </c>
      <c r="B2111" s="226" t="str">
        <f>IFERROR(__xludf.DUMMYFUNCTION("""COMPUTED_VALUE"""),"5060128538798")</f>
        <v>5060128538798</v>
      </c>
      <c r="C2111" t="str">
        <f>IFERROR(__xludf.DUMMYFUNCTION("""COMPUTED_VALUE"""),"Westfalia/Witter")</f>
        <v>Westfalia/Witter</v>
      </c>
    </row>
    <row r="2112">
      <c r="A2112" t="str">
        <f>IFERROR(__xludf.DUMMYFUNCTION("""COMPUTED_VALUE"""),"TY147C")</f>
        <v>TY147C</v>
      </c>
      <c r="B2112" s="226" t="str">
        <f>IFERROR(__xludf.DUMMYFUNCTION("""COMPUTED_VALUE"""),"5060128538804")</f>
        <v>5060128538804</v>
      </c>
      <c r="C2112" t="str">
        <f>IFERROR(__xludf.DUMMYFUNCTION("""COMPUTED_VALUE"""),"Westfalia/Witter")</f>
        <v>Westfalia/Witter</v>
      </c>
    </row>
    <row r="2113">
      <c r="A2113" t="str">
        <f>IFERROR(__xludf.DUMMYFUNCTION("""COMPUTED_VALUE"""),"TY147C")</f>
        <v>TY147C</v>
      </c>
      <c r="B2113" s="226" t="str">
        <f>IFERROR(__xludf.DUMMYFUNCTION("""COMPUTED_VALUE"""),"5060128538804")</f>
        <v>5060128538804</v>
      </c>
      <c r="C2113" t="str">
        <f>IFERROR(__xludf.DUMMYFUNCTION("""COMPUTED_VALUE"""),"Westfalia/Witter")</f>
        <v>Westfalia/Witter</v>
      </c>
    </row>
    <row r="2114">
      <c r="A2114" t="str">
        <f>IFERROR(__xludf.DUMMYFUNCTION("""COMPUTED_VALUE"""),"TY149A")</f>
        <v>TY149A</v>
      </c>
      <c r="B2114" s="226" t="str">
        <f>IFERROR(__xludf.DUMMYFUNCTION("""COMPUTED_VALUE"""),"5060128538811")</f>
        <v>5060128538811</v>
      </c>
      <c r="C2114" t="str">
        <f>IFERROR(__xludf.DUMMYFUNCTION("""COMPUTED_VALUE"""),"Westfalia/Witter")</f>
        <v>Westfalia/Witter</v>
      </c>
    </row>
    <row r="2115">
      <c r="A2115" t="str">
        <f>IFERROR(__xludf.DUMMYFUNCTION("""COMPUTED_VALUE"""),"TY150B")</f>
        <v>TY150B</v>
      </c>
      <c r="B2115" s="226" t="str">
        <f>IFERROR(__xludf.DUMMYFUNCTION("""COMPUTED_VALUE"""),"5060128538828")</f>
        <v>5060128538828</v>
      </c>
      <c r="C2115" t="str">
        <f>IFERROR(__xludf.DUMMYFUNCTION("""COMPUTED_VALUE"""),"Westfalia/Witter")</f>
        <v>Westfalia/Witter</v>
      </c>
    </row>
    <row r="2116">
      <c r="A2116" t="str">
        <f>IFERROR(__xludf.DUMMYFUNCTION("""COMPUTED_VALUE"""),"TY151A")</f>
        <v>TY151A</v>
      </c>
      <c r="B2116" s="226" t="str">
        <f>IFERROR(__xludf.DUMMYFUNCTION("""COMPUTED_VALUE"""),"5060128538835")</f>
        <v>5060128538835</v>
      </c>
      <c r="C2116" t="str">
        <f>IFERROR(__xludf.DUMMYFUNCTION("""COMPUTED_VALUE"""),"Westfalia/Witter")</f>
        <v>Westfalia/Witter</v>
      </c>
    </row>
    <row r="2117">
      <c r="A2117" t="str">
        <f>IFERROR(__xludf.DUMMYFUNCTION("""COMPUTED_VALUE"""),"TY151A")</f>
        <v>TY151A</v>
      </c>
      <c r="B2117" s="226" t="str">
        <f>IFERROR(__xludf.DUMMYFUNCTION("""COMPUTED_VALUE"""),"5060128538835")</f>
        <v>5060128538835</v>
      </c>
      <c r="C2117" t="str">
        <f>IFERROR(__xludf.DUMMYFUNCTION("""COMPUTED_VALUE"""),"Westfalia/Witter")</f>
        <v>Westfalia/Witter</v>
      </c>
    </row>
    <row r="2118">
      <c r="A2118" t="str">
        <f>IFERROR(__xludf.DUMMYFUNCTION("""COMPUTED_VALUE"""),"TY152B")</f>
        <v>TY152B</v>
      </c>
      <c r="B2118" s="226" t="str">
        <f>IFERROR(__xludf.DUMMYFUNCTION("""COMPUTED_VALUE"""),"5060128538842")</f>
        <v>5060128538842</v>
      </c>
      <c r="C2118" t="str">
        <f>IFERROR(__xludf.DUMMYFUNCTION("""COMPUTED_VALUE"""),"Westfalia/Witter")</f>
        <v>Westfalia/Witter</v>
      </c>
    </row>
    <row r="2119">
      <c r="A2119" t="str">
        <f>IFERROR(__xludf.DUMMYFUNCTION("""COMPUTED_VALUE"""),"TY155A")</f>
        <v>TY155A</v>
      </c>
      <c r="B2119" s="226" t="str">
        <f>IFERROR(__xludf.DUMMYFUNCTION("""COMPUTED_VALUE"""),"5060128538859")</f>
        <v>5060128538859</v>
      </c>
      <c r="C2119" t="str">
        <f>IFERROR(__xludf.DUMMYFUNCTION("""COMPUTED_VALUE"""),"Westfalia/Witter")</f>
        <v>Westfalia/Witter</v>
      </c>
    </row>
    <row r="2120">
      <c r="A2120" t="str">
        <f>IFERROR(__xludf.DUMMYFUNCTION("""COMPUTED_VALUE"""),"TY157A")</f>
        <v>TY157A</v>
      </c>
      <c r="B2120" s="226" t="str">
        <f>IFERROR(__xludf.DUMMYFUNCTION("""COMPUTED_VALUE"""),"5060128538866")</f>
        <v>5060128538866</v>
      </c>
      <c r="C2120" t="str">
        <f>IFERROR(__xludf.DUMMYFUNCTION("""COMPUTED_VALUE"""),"Westfalia/Witter")</f>
        <v>Westfalia/Witter</v>
      </c>
    </row>
    <row r="2121">
      <c r="A2121" t="str">
        <f>IFERROR(__xludf.DUMMYFUNCTION("""COMPUTED_VALUE"""),"TY158A")</f>
        <v>TY158A</v>
      </c>
      <c r="B2121" s="226" t="str">
        <f>IFERROR(__xludf.DUMMYFUNCTION("""COMPUTED_VALUE"""),"5060128538873")</f>
        <v>5060128538873</v>
      </c>
      <c r="C2121" t="str">
        <f>IFERROR(__xludf.DUMMYFUNCTION("""COMPUTED_VALUE"""),"Westfalia/Witter")</f>
        <v>Westfalia/Witter</v>
      </c>
    </row>
    <row r="2122">
      <c r="A2122" t="str">
        <f>IFERROR(__xludf.DUMMYFUNCTION("""COMPUTED_VALUE"""),"TY158AQ")</f>
        <v>TY158AQ</v>
      </c>
      <c r="B2122" s="226" t="str">
        <f>IFERROR(__xludf.DUMMYFUNCTION("""COMPUTED_VALUE"""),"5060128538880")</f>
        <v>5060128538880</v>
      </c>
      <c r="C2122" t="str">
        <f>IFERROR(__xludf.DUMMYFUNCTION("""COMPUTED_VALUE"""),"Westfalia/Witter")</f>
        <v>Westfalia/Witter</v>
      </c>
    </row>
    <row r="2123">
      <c r="A2123" t="str">
        <f>IFERROR(__xludf.DUMMYFUNCTION("""COMPUTED_VALUE"""),"TY158AS")</f>
        <v>TY158AS</v>
      </c>
      <c r="B2123" s="226" t="str">
        <f>IFERROR(__xludf.DUMMYFUNCTION("""COMPUTED_VALUE"""),"5060128538897")</f>
        <v>5060128538897</v>
      </c>
      <c r="C2123" t="str">
        <f>IFERROR(__xludf.DUMMYFUNCTION("""COMPUTED_VALUE"""),"Westfalia/Witter")</f>
        <v>Westfalia/Witter</v>
      </c>
    </row>
    <row r="2124">
      <c r="A2124" t="str">
        <f>IFERROR(__xludf.DUMMYFUNCTION("""COMPUTED_VALUE"""),"TY165A")</f>
        <v>TY165A</v>
      </c>
      <c r="B2124" s="226" t="str">
        <f>IFERROR(__xludf.DUMMYFUNCTION("""COMPUTED_VALUE"""),"5060128538903")</f>
        <v>5060128538903</v>
      </c>
      <c r="C2124" t="str">
        <f>IFERROR(__xludf.DUMMYFUNCTION("""COMPUTED_VALUE"""),"Westfalia/Witter")</f>
        <v>Westfalia/Witter</v>
      </c>
    </row>
    <row r="2125">
      <c r="A2125" t="str">
        <f>IFERROR(__xludf.DUMMYFUNCTION("""COMPUTED_VALUE"""),"TY173Q")</f>
        <v>TY173Q</v>
      </c>
      <c r="B2125" s="226" t="str">
        <f>IFERROR(__xludf.DUMMYFUNCTION("""COMPUTED_VALUE"""),"5060128538910")</f>
        <v>5060128538910</v>
      </c>
      <c r="C2125" t="str">
        <f>IFERROR(__xludf.DUMMYFUNCTION("""COMPUTED_VALUE"""),"Westfalia/Witter")</f>
        <v>Westfalia/Witter</v>
      </c>
    </row>
    <row r="2126">
      <c r="A2126" t="str">
        <f>IFERROR(__xludf.DUMMYFUNCTION("""COMPUTED_VALUE"""),"TY174")</f>
        <v>TY174</v>
      </c>
      <c r="B2126" s="226" t="str">
        <f>IFERROR(__xludf.DUMMYFUNCTION("""COMPUTED_VALUE"""),"5060128538927")</f>
        <v>5060128538927</v>
      </c>
      <c r="C2126" t="str">
        <f>IFERROR(__xludf.DUMMYFUNCTION("""COMPUTED_VALUE"""),"Westfalia/Witter")</f>
        <v>Westfalia/Witter</v>
      </c>
    </row>
    <row r="2127">
      <c r="A2127" t="str">
        <f>IFERROR(__xludf.DUMMYFUNCTION("""COMPUTED_VALUE"""),"TY174Q")</f>
        <v>TY174Q</v>
      </c>
      <c r="B2127" s="226" t="str">
        <f>IFERROR(__xludf.DUMMYFUNCTION("""COMPUTED_VALUE"""),"5060128538934")</f>
        <v>5060128538934</v>
      </c>
      <c r="C2127" t="str">
        <f>IFERROR(__xludf.DUMMYFUNCTION("""COMPUTED_VALUE"""),"Westfalia/Witter")</f>
        <v>Westfalia/Witter</v>
      </c>
    </row>
    <row r="2128">
      <c r="A2128" t="str">
        <f>IFERROR(__xludf.DUMMYFUNCTION("""COMPUTED_VALUE"""),"TY174S")</f>
        <v>TY174S</v>
      </c>
      <c r="B2128" s="226" t="str">
        <f>IFERROR(__xludf.DUMMYFUNCTION("""COMPUTED_VALUE"""),"5060128538958")</f>
        <v>5060128538958</v>
      </c>
      <c r="C2128" t="str">
        <f>IFERROR(__xludf.DUMMYFUNCTION("""COMPUTED_VALUE"""),"Westfalia/Witter")</f>
        <v>Westfalia/Witter</v>
      </c>
    </row>
    <row r="2129">
      <c r="A2129" t="str">
        <f>IFERROR(__xludf.DUMMYFUNCTION("""COMPUTED_VALUE"""),"TY183")</f>
        <v>TY183</v>
      </c>
      <c r="B2129" s="226" t="str">
        <f>IFERROR(__xludf.DUMMYFUNCTION("""COMPUTED_VALUE"""),"5060128538965")</f>
        <v>5060128538965</v>
      </c>
      <c r="C2129" t="str">
        <f>IFERROR(__xludf.DUMMYFUNCTION("""COMPUTED_VALUE"""),"Westfalia/Witter")</f>
        <v>Westfalia/Witter</v>
      </c>
    </row>
    <row r="2130">
      <c r="A2130" t="str">
        <f>IFERROR(__xludf.DUMMYFUNCTION("""COMPUTED_VALUE"""),"TY184")</f>
        <v>TY184</v>
      </c>
      <c r="B2130" s="226" t="str">
        <f>IFERROR(__xludf.DUMMYFUNCTION("""COMPUTED_VALUE"""),"5060128538972")</f>
        <v>5060128538972</v>
      </c>
      <c r="C2130" t="str">
        <f>IFERROR(__xludf.DUMMYFUNCTION("""COMPUTED_VALUE"""),"Westfalia/Witter")</f>
        <v>Westfalia/Witter</v>
      </c>
    </row>
    <row r="2131">
      <c r="A2131" t="str">
        <f>IFERROR(__xludf.DUMMYFUNCTION("""COMPUTED_VALUE"""),"TY184")</f>
        <v>TY184</v>
      </c>
      <c r="B2131" s="226" t="str">
        <f>IFERROR(__xludf.DUMMYFUNCTION("""COMPUTED_VALUE"""),"5060128538972")</f>
        <v>5060128538972</v>
      </c>
      <c r="C2131" t="str">
        <f>IFERROR(__xludf.DUMMYFUNCTION("""COMPUTED_VALUE"""),"Westfalia/Witter")</f>
        <v>Westfalia/Witter</v>
      </c>
    </row>
    <row r="2132">
      <c r="A2132" t="str">
        <f>IFERROR(__xludf.DUMMYFUNCTION("""COMPUTED_VALUE"""),"TY184")</f>
        <v>TY184</v>
      </c>
      <c r="B2132" s="226" t="str">
        <f>IFERROR(__xludf.DUMMYFUNCTION("""COMPUTED_VALUE"""),"5060128538972")</f>
        <v>5060128538972</v>
      </c>
      <c r="C2132" t="str">
        <f>IFERROR(__xludf.DUMMYFUNCTION("""COMPUTED_VALUE"""),"Westfalia/Witter")</f>
        <v>Westfalia/Witter</v>
      </c>
    </row>
    <row r="2133">
      <c r="A2133" t="str">
        <f>IFERROR(__xludf.DUMMYFUNCTION("""COMPUTED_VALUE"""),"VL32A")</f>
        <v>VL32A</v>
      </c>
      <c r="B2133" s="226" t="str">
        <f>IFERROR(__xludf.DUMMYFUNCTION("""COMPUTED_VALUE"""),"5060128538996")</f>
        <v>5060128538996</v>
      </c>
      <c r="C2133" t="str">
        <f>IFERROR(__xludf.DUMMYFUNCTION("""COMPUTED_VALUE"""),"Westfalia/Witter")</f>
        <v>Westfalia/Witter</v>
      </c>
    </row>
    <row r="2134">
      <c r="A2134" t="str">
        <f>IFERROR(__xludf.DUMMYFUNCTION("""COMPUTED_VALUE"""),"VL34A")</f>
        <v>VL34A</v>
      </c>
      <c r="B2134" s="226" t="str">
        <f>IFERROR(__xludf.DUMMYFUNCTION("""COMPUTED_VALUE"""),"5060128539016")</f>
        <v>5060128539016</v>
      </c>
      <c r="C2134" t="str">
        <f>IFERROR(__xludf.DUMMYFUNCTION("""COMPUTED_VALUE"""),"Westfalia/Witter")</f>
        <v>Westfalia/Witter</v>
      </c>
    </row>
    <row r="2135">
      <c r="A2135" t="str">
        <f>IFERROR(__xludf.DUMMYFUNCTION("""COMPUTED_VALUE"""),"VL36A")</f>
        <v>VL36A</v>
      </c>
      <c r="B2135" s="226" t="str">
        <f>IFERROR(__xludf.DUMMYFUNCTION("""COMPUTED_VALUE"""),"5060128539047")</f>
        <v>5060128539047</v>
      </c>
      <c r="C2135" t="str">
        <f>IFERROR(__xludf.DUMMYFUNCTION("""COMPUTED_VALUE"""),"Westfalia/Witter")</f>
        <v>Westfalia/Witter</v>
      </c>
    </row>
    <row r="2136">
      <c r="A2136" t="str">
        <f>IFERROR(__xludf.DUMMYFUNCTION("""COMPUTED_VALUE"""),"VL37B")</f>
        <v>VL37B</v>
      </c>
      <c r="B2136" s="226" t="str">
        <f>IFERROR(__xludf.DUMMYFUNCTION("""COMPUTED_VALUE"""),"5060128539054")</f>
        <v>5060128539054</v>
      </c>
      <c r="C2136" t="str">
        <f>IFERROR(__xludf.DUMMYFUNCTION("""COMPUTED_VALUE"""),"Westfalia/Witter")</f>
        <v>Westfalia/Witter</v>
      </c>
    </row>
    <row r="2137">
      <c r="A2137" t="str">
        <f>IFERROR(__xludf.DUMMYFUNCTION("""COMPUTED_VALUE"""),"VL37BQ")</f>
        <v>VL37BQ</v>
      </c>
      <c r="B2137" s="226" t="str">
        <f>IFERROR(__xludf.DUMMYFUNCTION("""COMPUTED_VALUE"""),"5060128539061")</f>
        <v>5060128539061</v>
      </c>
      <c r="C2137" t="str">
        <f>IFERROR(__xludf.DUMMYFUNCTION("""COMPUTED_VALUE"""),"Westfalia/Witter")</f>
        <v>Westfalia/Witter</v>
      </c>
    </row>
    <row r="2138">
      <c r="A2138" t="str">
        <f>IFERROR(__xludf.DUMMYFUNCTION("""COMPUTED_VALUE"""),"VL37BS")</f>
        <v>VL37BS</v>
      </c>
      <c r="B2138" s="226" t="str">
        <f>IFERROR(__xludf.DUMMYFUNCTION("""COMPUTED_VALUE"""),"5060128539085")</f>
        <v>5060128539085</v>
      </c>
      <c r="C2138" t="str">
        <f>IFERROR(__xludf.DUMMYFUNCTION("""COMPUTED_VALUE"""),"Westfalia/Witter")</f>
        <v>Westfalia/Witter</v>
      </c>
    </row>
    <row r="2139">
      <c r="A2139" t="str">
        <f>IFERROR(__xludf.DUMMYFUNCTION("""COMPUTED_VALUE"""),"VL41A")</f>
        <v>VL41A</v>
      </c>
      <c r="B2139" s="226" t="str">
        <f>IFERROR(__xludf.DUMMYFUNCTION("""COMPUTED_VALUE"""),"5060128539092")</f>
        <v>5060128539092</v>
      </c>
      <c r="C2139" t="str">
        <f>IFERROR(__xludf.DUMMYFUNCTION("""COMPUTED_VALUE"""),"Westfalia/Witter")</f>
        <v>Westfalia/Witter</v>
      </c>
    </row>
    <row r="2140">
      <c r="A2140" t="str">
        <f>IFERROR(__xludf.DUMMYFUNCTION("""COMPUTED_VALUE"""),"VL41R")</f>
        <v>VL41R</v>
      </c>
      <c r="B2140" s="226" t="str">
        <f>IFERROR(__xludf.DUMMYFUNCTION("""COMPUTED_VALUE"""),"5060128539108")</f>
        <v>5060128539108</v>
      </c>
      <c r="C2140" t="str">
        <f>IFERROR(__xludf.DUMMYFUNCTION("""COMPUTED_VALUE"""),"Westfalia/Witter")</f>
        <v>Westfalia/Witter</v>
      </c>
    </row>
    <row r="2141">
      <c r="A2141" t="str">
        <f>IFERROR(__xludf.DUMMYFUNCTION("""COMPUTED_VALUE"""),"VL42BQ")</f>
        <v>VL42BQ</v>
      </c>
      <c r="B2141" s="226" t="str">
        <f>IFERROR(__xludf.DUMMYFUNCTION("""COMPUTED_VALUE"""),"5060128539115")</f>
        <v>5060128539115</v>
      </c>
      <c r="C2141" t="str">
        <f>IFERROR(__xludf.DUMMYFUNCTION("""COMPUTED_VALUE"""),"Westfalia/Witter")</f>
        <v>Westfalia/Witter</v>
      </c>
    </row>
    <row r="2142">
      <c r="A2142" t="str">
        <f>IFERROR(__xludf.DUMMYFUNCTION("""COMPUTED_VALUE"""),"VL42BQ")</f>
        <v>VL42BQ</v>
      </c>
      <c r="B2142" s="226" t="str">
        <f>IFERROR(__xludf.DUMMYFUNCTION("""COMPUTED_VALUE"""),"5060128539115")</f>
        <v>5060128539115</v>
      </c>
      <c r="C2142" t="str">
        <f>IFERROR(__xludf.DUMMYFUNCTION("""COMPUTED_VALUE"""),"Westfalia/Witter")</f>
        <v>Westfalia/Witter</v>
      </c>
    </row>
    <row r="2143">
      <c r="A2143" t="str">
        <f>IFERROR(__xludf.DUMMYFUNCTION("""COMPUTED_VALUE"""),"VL42BQ")</f>
        <v>VL42BQ</v>
      </c>
      <c r="B2143" s="226" t="str">
        <f>IFERROR(__xludf.DUMMYFUNCTION("""COMPUTED_VALUE"""),"5060128539115")</f>
        <v>5060128539115</v>
      </c>
      <c r="C2143" t="str">
        <f>IFERROR(__xludf.DUMMYFUNCTION("""COMPUTED_VALUE"""),"Westfalia/Witter")</f>
        <v>Westfalia/Witter</v>
      </c>
    </row>
    <row r="2144">
      <c r="A2144" t="str">
        <f>IFERROR(__xludf.DUMMYFUNCTION("""COMPUTED_VALUE"""),"VL42BS")</f>
        <v>VL42BS</v>
      </c>
      <c r="B2144" s="226" t="str">
        <f>IFERROR(__xludf.DUMMYFUNCTION("""COMPUTED_VALUE"""),"5060128539139")</f>
        <v>5060128539139</v>
      </c>
      <c r="C2144" t="str">
        <f>IFERROR(__xludf.DUMMYFUNCTION("""COMPUTED_VALUE"""),"Westfalia/Witter")</f>
        <v>Westfalia/Witter</v>
      </c>
    </row>
    <row r="2145">
      <c r="A2145" t="str">
        <f>IFERROR(__xludf.DUMMYFUNCTION("""COMPUTED_VALUE"""),"VL42BS")</f>
        <v>VL42BS</v>
      </c>
      <c r="B2145" s="226" t="str">
        <f>IFERROR(__xludf.DUMMYFUNCTION("""COMPUTED_VALUE"""),"5060128539139")</f>
        <v>5060128539139</v>
      </c>
      <c r="C2145" t="str">
        <f>IFERROR(__xludf.DUMMYFUNCTION("""COMPUTED_VALUE"""),"Westfalia/Witter")</f>
        <v>Westfalia/Witter</v>
      </c>
    </row>
    <row r="2146">
      <c r="A2146" t="str">
        <f>IFERROR(__xludf.DUMMYFUNCTION("""COMPUTED_VALUE"""),"VL42BS")</f>
        <v>VL42BS</v>
      </c>
      <c r="B2146" s="226" t="str">
        <f>IFERROR(__xludf.DUMMYFUNCTION("""COMPUTED_VALUE"""),"5060128539139")</f>
        <v>5060128539139</v>
      </c>
      <c r="C2146" t="str">
        <f>IFERROR(__xludf.DUMMYFUNCTION("""COMPUTED_VALUE"""),"Westfalia/Witter")</f>
        <v>Westfalia/Witter</v>
      </c>
    </row>
    <row r="2147">
      <c r="A2147" t="str">
        <f>IFERROR(__xludf.DUMMYFUNCTION("""COMPUTED_VALUE"""),"VL45A")</f>
        <v>VL45A</v>
      </c>
      <c r="B2147" s="226" t="str">
        <f>IFERROR(__xludf.DUMMYFUNCTION("""COMPUTED_VALUE"""),"5060128539146")</f>
        <v>5060128539146</v>
      </c>
      <c r="C2147" t="str">
        <f>IFERROR(__xludf.DUMMYFUNCTION("""COMPUTED_VALUE"""),"Westfalia/Witter")</f>
        <v>Westfalia/Witter</v>
      </c>
    </row>
    <row r="2148">
      <c r="A2148" t="str">
        <f>IFERROR(__xludf.DUMMYFUNCTION("""COMPUTED_VALUE"""),"VL46A")</f>
        <v>VL46A</v>
      </c>
      <c r="B2148" s="226" t="str">
        <f>IFERROR(__xludf.DUMMYFUNCTION("""COMPUTED_VALUE"""),"5060128539153")</f>
        <v>5060128539153</v>
      </c>
      <c r="C2148" t="str">
        <f>IFERROR(__xludf.DUMMYFUNCTION("""COMPUTED_VALUE"""),"Westfalia/Witter")</f>
        <v>Westfalia/Witter</v>
      </c>
    </row>
    <row r="2149">
      <c r="A2149" t="str">
        <f>IFERROR(__xludf.DUMMYFUNCTION("""COMPUTED_VALUE"""),"VL46AQ")</f>
        <v>VL46AQ</v>
      </c>
      <c r="B2149" s="226" t="str">
        <f>IFERROR(__xludf.DUMMYFUNCTION("""COMPUTED_VALUE"""),"5060128539160")</f>
        <v>5060128539160</v>
      </c>
      <c r="C2149" t="str">
        <f>IFERROR(__xludf.DUMMYFUNCTION("""COMPUTED_VALUE"""),"Westfalia/Witter")</f>
        <v>Westfalia/Witter</v>
      </c>
    </row>
    <row r="2150">
      <c r="A2150" t="str">
        <f>IFERROR(__xludf.DUMMYFUNCTION("""COMPUTED_VALUE"""),"VL47A")</f>
        <v>VL47A</v>
      </c>
      <c r="B2150" s="226" t="str">
        <f>IFERROR(__xludf.DUMMYFUNCTION("""COMPUTED_VALUE"""),"5060128539184")</f>
        <v>5060128539184</v>
      </c>
      <c r="C2150" t="str">
        <f>IFERROR(__xludf.DUMMYFUNCTION("""COMPUTED_VALUE"""),"Westfalia/Witter")</f>
        <v>Westfalia/Witter</v>
      </c>
    </row>
    <row r="2151">
      <c r="A2151" t="str">
        <f>IFERROR(__xludf.DUMMYFUNCTION("""COMPUTED_VALUE"""),"VL47AQ")</f>
        <v>VL47AQ</v>
      </c>
      <c r="B2151" s="226" t="str">
        <f>IFERROR(__xludf.DUMMYFUNCTION("""COMPUTED_VALUE"""),"5060128539191")</f>
        <v>5060128539191</v>
      </c>
      <c r="C2151" t="str">
        <f>IFERROR(__xludf.DUMMYFUNCTION("""COMPUTED_VALUE"""),"Westfalia/Witter")</f>
        <v>Westfalia/Witter</v>
      </c>
    </row>
    <row r="2152">
      <c r="A2152" t="str">
        <f>IFERROR(__xludf.DUMMYFUNCTION("""COMPUTED_VALUE"""),"VL47AS")</f>
        <v>VL47AS</v>
      </c>
      <c r="B2152" s="226" t="str">
        <f>IFERROR(__xludf.DUMMYFUNCTION("""COMPUTED_VALUE"""),"5060128539214")</f>
        <v>5060128539214</v>
      </c>
      <c r="C2152" t="str">
        <f>IFERROR(__xludf.DUMMYFUNCTION("""COMPUTED_VALUE"""),"Westfalia/Witter")</f>
        <v>Westfalia/Witter</v>
      </c>
    </row>
    <row r="2153">
      <c r="A2153" t="str">
        <f>IFERROR(__xludf.DUMMYFUNCTION("""COMPUTED_VALUE"""),"VL48")</f>
        <v>VL48</v>
      </c>
      <c r="B2153" s="226" t="str">
        <f>IFERROR(__xludf.DUMMYFUNCTION("""COMPUTED_VALUE"""),"5060128539221")</f>
        <v>5060128539221</v>
      </c>
      <c r="C2153" t="str">
        <f>IFERROR(__xludf.DUMMYFUNCTION("""COMPUTED_VALUE"""),"Westfalia/Witter")</f>
        <v>Westfalia/Witter</v>
      </c>
    </row>
    <row r="2154">
      <c r="A2154" t="str">
        <f>IFERROR(__xludf.DUMMYFUNCTION("""COMPUTED_VALUE"""),"VL48Q")</f>
        <v>VL48Q</v>
      </c>
      <c r="B2154" s="226" t="str">
        <f>IFERROR(__xludf.DUMMYFUNCTION("""COMPUTED_VALUE"""),"5060128539238")</f>
        <v>5060128539238</v>
      </c>
      <c r="C2154" t="str">
        <f>IFERROR(__xludf.DUMMYFUNCTION("""COMPUTED_VALUE"""),"Westfalia/Witter")</f>
        <v>Westfalia/Witter</v>
      </c>
    </row>
    <row r="2155">
      <c r="A2155" t="str">
        <f>IFERROR(__xludf.DUMMYFUNCTION("""COMPUTED_VALUE"""),"VL48S")</f>
        <v>VL48S</v>
      </c>
      <c r="B2155" s="226" t="str">
        <f>IFERROR(__xludf.DUMMYFUNCTION("""COMPUTED_VALUE"""),"5060128539252")</f>
        <v>5060128539252</v>
      </c>
      <c r="C2155" t="str">
        <f>IFERROR(__xludf.DUMMYFUNCTION("""COMPUTED_VALUE"""),"Westfalia/Witter")</f>
        <v>Westfalia/Witter</v>
      </c>
    </row>
    <row r="2156">
      <c r="A2156" t="str">
        <f>IFERROR(__xludf.DUMMYFUNCTION("""COMPUTED_VALUE"""),"VL49")</f>
        <v>VL49</v>
      </c>
      <c r="B2156" s="226" t="str">
        <f>IFERROR(__xludf.DUMMYFUNCTION("""COMPUTED_VALUE"""),"5060128539269")</f>
        <v>5060128539269</v>
      </c>
      <c r="C2156" t="str">
        <f>IFERROR(__xludf.DUMMYFUNCTION("""COMPUTED_VALUE"""),"Westfalia/Witter")</f>
        <v>Westfalia/Witter</v>
      </c>
    </row>
    <row r="2157">
      <c r="A2157" t="str">
        <f>IFERROR(__xludf.DUMMYFUNCTION("""COMPUTED_VALUE"""),"VL49AQ")</f>
        <v>VL49AQ</v>
      </c>
      <c r="B2157" s="226" t="str">
        <f>IFERROR(__xludf.DUMMYFUNCTION("""COMPUTED_VALUE"""),"5060128539276")</f>
        <v>5060128539276</v>
      </c>
      <c r="C2157" t="str">
        <f>IFERROR(__xludf.DUMMYFUNCTION("""COMPUTED_VALUE"""),"Westfalia/Witter")</f>
        <v>Westfalia/Witter</v>
      </c>
    </row>
    <row r="2158">
      <c r="A2158" t="str">
        <f>IFERROR(__xludf.DUMMYFUNCTION("""COMPUTED_VALUE"""),"VL49AQ")</f>
        <v>VL49AQ</v>
      </c>
      <c r="B2158" s="226" t="str">
        <f>IFERROR(__xludf.DUMMYFUNCTION("""COMPUTED_VALUE"""),"5060128539276")</f>
        <v>5060128539276</v>
      </c>
      <c r="C2158" t="str">
        <f>IFERROR(__xludf.DUMMYFUNCTION("""COMPUTED_VALUE"""),"Westfalia/Witter")</f>
        <v>Westfalia/Witter</v>
      </c>
    </row>
    <row r="2159">
      <c r="A2159" t="str">
        <f>IFERROR(__xludf.DUMMYFUNCTION("""COMPUTED_VALUE"""),"VL49AS")</f>
        <v>VL49AS</v>
      </c>
      <c r="B2159" s="226" t="str">
        <f>IFERROR(__xludf.DUMMYFUNCTION("""COMPUTED_VALUE"""),"5060128539290")</f>
        <v>5060128539290</v>
      </c>
      <c r="C2159" t="str">
        <f>IFERROR(__xludf.DUMMYFUNCTION("""COMPUTED_VALUE"""),"Westfalia/Witter")</f>
        <v>Westfalia/Witter</v>
      </c>
    </row>
    <row r="2160">
      <c r="A2160" t="str">
        <f>IFERROR(__xludf.DUMMYFUNCTION("""COMPUTED_VALUE"""),"VL49AS")</f>
        <v>VL49AS</v>
      </c>
      <c r="B2160" s="226" t="str">
        <f>IFERROR(__xludf.DUMMYFUNCTION("""COMPUTED_VALUE"""),"5060128539290")</f>
        <v>5060128539290</v>
      </c>
      <c r="C2160" t="str">
        <f>IFERROR(__xludf.DUMMYFUNCTION("""COMPUTED_VALUE"""),"Westfalia/Witter")</f>
        <v>Westfalia/Witter</v>
      </c>
    </row>
    <row r="2161">
      <c r="A2161" t="str">
        <f>IFERROR(__xludf.DUMMYFUNCTION("""COMPUTED_VALUE"""),"VL50")</f>
        <v>VL50</v>
      </c>
      <c r="B2161" s="226" t="str">
        <f>IFERROR(__xludf.DUMMYFUNCTION("""COMPUTED_VALUE"""),"5060128539306")</f>
        <v>5060128539306</v>
      </c>
      <c r="C2161" t="str">
        <f>IFERROR(__xludf.DUMMYFUNCTION("""COMPUTED_VALUE"""),"Westfalia/Witter")</f>
        <v>Westfalia/Witter</v>
      </c>
    </row>
    <row r="2162">
      <c r="A2162" t="str">
        <f>IFERROR(__xludf.DUMMYFUNCTION("""COMPUTED_VALUE"""),"VL51A")</f>
        <v>VL51A</v>
      </c>
      <c r="B2162" s="226" t="str">
        <f>IFERROR(__xludf.DUMMYFUNCTION("""COMPUTED_VALUE"""),"5060128539313")</f>
        <v>5060128539313</v>
      </c>
      <c r="C2162" t="str">
        <f>IFERROR(__xludf.DUMMYFUNCTION("""COMPUTED_VALUE"""),"Westfalia/Witter")</f>
        <v>Westfalia/Witter</v>
      </c>
    </row>
    <row r="2163">
      <c r="A2163" t="str">
        <f>IFERROR(__xludf.DUMMYFUNCTION("""COMPUTED_VALUE"""),"VL51AS")</f>
        <v>VL51AS</v>
      </c>
      <c r="B2163" s="226" t="str">
        <f>IFERROR(__xludf.DUMMYFUNCTION("""COMPUTED_VALUE"""),"5060128539337")</f>
        <v>5060128539337</v>
      </c>
      <c r="C2163" t="str">
        <f>IFERROR(__xludf.DUMMYFUNCTION("""COMPUTED_VALUE"""),"Westfalia/Witter")</f>
        <v>Westfalia/Witter</v>
      </c>
    </row>
    <row r="2164">
      <c r="A2164" t="str">
        <f>IFERROR(__xludf.DUMMYFUNCTION("""COMPUTED_VALUE"""),"VL52")</f>
        <v>VL52</v>
      </c>
      <c r="B2164" s="226" t="str">
        <f>IFERROR(__xludf.DUMMYFUNCTION("""COMPUTED_VALUE"""),"5060128539344")</f>
        <v>5060128539344</v>
      </c>
      <c r="C2164" t="str">
        <f>IFERROR(__xludf.DUMMYFUNCTION("""COMPUTED_VALUE"""),"Westfalia/Witter")</f>
        <v>Westfalia/Witter</v>
      </c>
    </row>
    <row r="2165">
      <c r="A2165" t="str">
        <f>IFERROR(__xludf.DUMMYFUNCTION("""COMPUTED_VALUE"""),"VL52Q")</f>
        <v>VL52Q</v>
      </c>
      <c r="B2165" s="226" t="str">
        <f>IFERROR(__xludf.DUMMYFUNCTION("""COMPUTED_VALUE"""),"5060128539351")</f>
        <v>5060128539351</v>
      </c>
      <c r="C2165" t="str">
        <f>IFERROR(__xludf.DUMMYFUNCTION("""COMPUTED_VALUE"""),"Westfalia/Witter")</f>
        <v>Westfalia/Witter</v>
      </c>
    </row>
    <row r="2166">
      <c r="A2166" t="str">
        <f>IFERROR(__xludf.DUMMYFUNCTION("""COMPUTED_VALUE"""),"VW41B")</f>
        <v>VW41B</v>
      </c>
      <c r="B2166" s="226" t="str">
        <f>IFERROR(__xludf.DUMMYFUNCTION("""COMPUTED_VALUE"""),"5060128539399")</f>
        <v>5060128539399</v>
      </c>
      <c r="C2166" t="str">
        <f>IFERROR(__xludf.DUMMYFUNCTION("""COMPUTED_VALUE"""),"Westfalia/Witter")</f>
        <v>Westfalia/Witter</v>
      </c>
    </row>
    <row r="2167">
      <c r="A2167" t="str">
        <f>IFERROR(__xludf.DUMMYFUNCTION("""COMPUTED_VALUE"""),"VW41B")</f>
        <v>VW41B</v>
      </c>
      <c r="B2167" s="226" t="str">
        <f>IFERROR(__xludf.DUMMYFUNCTION("""COMPUTED_VALUE"""),"5060128539399")</f>
        <v>5060128539399</v>
      </c>
      <c r="C2167" t="str">
        <f>IFERROR(__xludf.DUMMYFUNCTION("""COMPUTED_VALUE"""),"Westfalia/Witter")</f>
        <v>Westfalia/Witter</v>
      </c>
    </row>
    <row r="2168">
      <c r="A2168" t="str">
        <f>IFERROR(__xludf.DUMMYFUNCTION("""COMPUTED_VALUE"""),"VW42B")</f>
        <v>VW42B</v>
      </c>
      <c r="B2168" s="226" t="str">
        <f>IFERROR(__xludf.DUMMYFUNCTION("""COMPUTED_VALUE"""),"5060128539405")</f>
        <v>5060128539405</v>
      </c>
      <c r="C2168" t="str">
        <f>IFERROR(__xludf.DUMMYFUNCTION("""COMPUTED_VALUE"""),"Westfalia/Witter")</f>
        <v>Westfalia/Witter</v>
      </c>
    </row>
    <row r="2169">
      <c r="A2169" t="str">
        <f>IFERROR(__xludf.DUMMYFUNCTION("""COMPUTED_VALUE"""),"VW42BQ")</f>
        <v>VW42BQ</v>
      </c>
      <c r="B2169" s="226" t="str">
        <f>IFERROR(__xludf.DUMMYFUNCTION("""COMPUTED_VALUE"""),"5060128539412")</f>
        <v>5060128539412</v>
      </c>
      <c r="C2169" t="str">
        <f>IFERROR(__xludf.DUMMYFUNCTION("""COMPUTED_VALUE"""),"Westfalia/Witter")</f>
        <v>Westfalia/Witter</v>
      </c>
    </row>
    <row r="2170">
      <c r="A2170" t="str">
        <f>IFERROR(__xludf.DUMMYFUNCTION("""COMPUTED_VALUE"""),"VW42BS")</f>
        <v>VW42BS</v>
      </c>
      <c r="B2170" s="226" t="str">
        <f>IFERROR(__xludf.DUMMYFUNCTION("""COMPUTED_VALUE"""),"5060128539429")</f>
        <v>5060128539429</v>
      </c>
      <c r="C2170" t="str">
        <f>IFERROR(__xludf.DUMMYFUNCTION("""COMPUTED_VALUE"""),"Westfalia/Witter")</f>
        <v>Westfalia/Witter</v>
      </c>
    </row>
    <row r="2171">
      <c r="A2171" t="str">
        <f>IFERROR(__xludf.DUMMYFUNCTION("""COMPUTED_VALUE"""),"VW43E")</f>
        <v>VW43E</v>
      </c>
      <c r="B2171" s="226" t="str">
        <f>IFERROR(__xludf.DUMMYFUNCTION("""COMPUTED_VALUE"""),"5060128539436")</f>
        <v>5060128539436</v>
      </c>
      <c r="C2171" t="str">
        <f>IFERROR(__xludf.DUMMYFUNCTION("""COMPUTED_VALUE"""),"Westfalia/Witter")</f>
        <v>Westfalia/Witter</v>
      </c>
    </row>
    <row r="2172">
      <c r="A2172" t="str">
        <f>IFERROR(__xludf.DUMMYFUNCTION("""COMPUTED_VALUE"""),"VW43EQ")</f>
        <v>VW43EQ</v>
      </c>
      <c r="B2172" s="226" t="str">
        <f>IFERROR(__xludf.DUMMYFUNCTION("""COMPUTED_VALUE"""),"5060128539443")</f>
        <v>5060128539443</v>
      </c>
      <c r="C2172" t="str">
        <f>IFERROR(__xludf.DUMMYFUNCTION("""COMPUTED_VALUE"""),"Westfalia/Witter")</f>
        <v>Westfalia/Witter</v>
      </c>
    </row>
    <row r="2173">
      <c r="A2173" t="str">
        <f>IFERROR(__xludf.DUMMYFUNCTION("""COMPUTED_VALUE"""),"VW43ES")</f>
        <v>VW43ES</v>
      </c>
      <c r="B2173" s="226" t="str">
        <f>IFERROR(__xludf.DUMMYFUNCTION("""COMPUTED_VALUE"""),"5060128539450")</f>
        <v>5060128539450</v>
      </c>
      <c r="C2173" t="str">
        <f>IFERROR(__xludf.DUMMYFUNCTION("""COMPUTED_VALUE"""),"Westfalia/Witter")</f>
        <v>Westfalia/Witter</v>
      </c>
    </row>
    <row r="2174">
      <c r="A2174" t="str">
        <f>IFERROR(__xludf.DUMMYFUNCTION("""COMPUTED_VALUE"""),"VW44A")</f>
        <v>VW44A</v>
      </c>
      <c r="B2174" s="226" t="str">
        <f>IFERROR(__xludf.DUMMYFUNCTION("""COMPUTED_VALUE"""),"5060128539467")</f>
        <v>5060128539467</v>
      </c>
      <c r="C2174" t="str">
        <f>IFERROR(__xludf.DUMMYFUNCTION("""COMPUTED_VALUE"""),"Westfalia/Witter")</f>
        <v>Westfalia/Witter</v>
      </c>
    </row>
    <row r="2175">
      <c r="A2175" t="str">
        <f>IFERROR(__xludf.DUMMYFUNCTION("""COMPUTED_VALUE"""),"VW45B")</f>
        <v>VW45B</v>
      </c>
      <c r="B2175" s="226" t="str">
        <f>IFERROR(__xludf.DUMMYFUNCTION("""COMPUTED_VALUE"""),"5060128539474")</f>
        <v>5060128539474</v>
      </c>
      <c r="C2175" t="str">
        <f>IFERROR(__xludf.DUMMYFUNCTION("""COMPUTED_VALUE"""),"Westfalia/Witter")</f>
        <v>Westfalia/Witter</v>
      </c>
    </row>
    <row r="2176">
      <c r="A2176" t="str">
        <f>IFERROR(__xludf.DUMMYFUNCTION("""COMPUTED_VALUE"""),"VW46AQ")</f>
        <v>VW46AQ</v>
      </c>
      <c r="B2176" s="226" t="str">
        <f>IFERROR(__xludf.DUMMYFUNCTION("""COMPUTED_VALUE"""),"5060128539481")</f>
        <v>5060128539481</v>
      </c>
      <c r="C2176" t="str">
        <f>IFERROR(__xludf.DUMMYFUNCTION("""COMPUTED_VALUE"""),"Westfalia/Witter")</f>
        <v>Westfalia/Witter</v>
      </c>
    </row>
    <row r="2177">
      <c r="A2177" t="str">
        <f>IFERROR(__xludf.DUMMYFUNCTION("""COMPUTED_VALUE"""),"VW48C")</f>
        <v>VW48C</v>
      </c>
      <c r="B2177" s="226" t="str">
        <f>IFERROR(__xludf.DUMMYFUNCTION("""COMPUTED_VALUE"""),"5060128539498")</f>
        <v>5060128539498</v>
      </c>
      <c r="C2177" t="str">
        <f>IFERROR(__xludf.DUMMYFUNCTION("""COMPUTED_VALUE"""),"Westfalia/Witter")</f>
        <v>Westfalia/Witter</v>
      </c>
    </row>
    <row r="2178">
      <c r="A2178" t="str">
        <f>IFERROR(__xludf.DUMMYFUNCTION("""COMPUTED_VALUE"""),"VW48C")</f>
        <v>VW48C</v>
      </c>
      <c r="B2178" s="226" t="str">
        <f>IFERROR(__xludf.DUMMYFUNCTION("""COMPUTED_VALUE"""),"5060128539498")</f>
        <v>5060128539498</v>
      </c>
      <c r="C2178" t="str">
        <f>IFERROR(__xludf.DUMMYFUNCTION("""COMPUTED_VALUE"""),"Westfalia/Witter")</f>
        <v>Westfalia/Witter</v>
      </c>
    </row>
    <row r="2179">
      <c r="A2179" t="str">
        <f>IFERROR(__xludf.DUMMYFUNCTION("""COMPUTED_VALUE"""),"VW49B")</f>
        <v>VW49B</v>
      </c>
      <c r="B2179" s="226" t="str">
        <f>IFERROR(__xludf.DUMMYFUNCTION("""COMPUTED_VALUE"""),"5060128539504")</f>
        <v>5060128539504</v>
      </c>
      <c r="C2179" t="str">
        <f>IFERROR(__xludf.DUMMYFUNCTION("""COMPUTED_VALUE"""),"Westfalia/Witter")</f>
        <v>Westfalia/Witter</v>
      </c>
    </row>
    <row r="2180">
      <c r="A2180" t="str">
        <f>IFERROR(__xludf.DUMMYFUNCTION("""COMPUTED_VALUE"""),"VW49BQ")</f>
        <v>VW49BQ</v>
      </c>
      <c r="B2180" s="226" t="str">
        <f>IFERROR(__xludf.DUMMYFUNCTION("""COMPUTED_VALUE"""),"5060128539511")</f>
        <v>5060128539511</v>
      </c>
      <c r="C2180" t="str">
        <f>IFERROR(__xludf.DUMMYFUNCTION("""COMPUTED_VALUE"""),"Westfalia/Witter")</f>
        <v>Westfalia/Witter</v>
      </c>
    </row>
    <row r="2181">
      <c r="A2181" t="str">
        <f>IFERROR(__xludf.DUMMYFUNCTION("""COMPUTED_VALUE"""),"VW49BS")</f>
        <v>VW49BS</v>
      </c>
      <c r="B2181" s="226" t="str">
        <f>IFERROR(__xludf.DUMMYFUNCTION("""COMPUTED_VALUE"""),"5060128539528")</f>
        <v>5060128539528</v>
      </c>
      <c r="C2181" t="str">
        <f>IFERROR(__xludf.DUMMYFUNCTION("""COMPUTED_VALUE"""),"Westfalia/Witter")</f>
        <v>Westfalia/Witter</v>
      </c>
    </row>
    <row r="2182">
      <c r="A2182" t="str">
        <f>IFERROR(__xludf.DUMMYFUNCTION("""COMPUTED_VALUE"""),"VW51A")</f>
        <v>VW51A</v>
      </c>
      <c r="B2182" s="226" t="str">
        <f>IFERROR(__xludf.DUMMYFUNCTION("""COMPUTED_VALUE"""),"5060128539535")</f>
        <v>5060128539535</v>
      </c>
      <c r="C2182" t="str">
        <f>IFERROR(__xludf.DUMMYFUNCTION("""COMPUTED_VALUE"""),"Westfalia/Witter")</f>
        <v>Westfalia/Witter</v>
      </c>
    </row>
    <row r="2183">
      <c r="A2183" t="str">
        <f>IFERROR(__xludf.DUMMYFUNCTION("""COMPUTED_VALUE"""),"VW53A")</f>
        <v>VW53A</v>
      </c>
      <c r="B2183" s="226" t="str">
        <f>IFERROR(__xludf.DUMMYFUNCTION("""COMPUTED_VALUE"""),"5060128539573")</f>
        <v>5060128539573</v>
      </c>
      <c r="C2183" t="str">
        <f>IFERROR(__xludf.DUMMYFUNCTION("""COMPUTED_VALUE"""),"Westfalia/Witter")</f>
        <v>Westfalia/Witter</v>
      </c>
    </row>
    <row r="2184">
      <c r="A2184" t="str">
        <f>IFERROR(__xludf.DUMMYFUNCTION("""COMPUTED_VALUE"""),"VW57A")</f>
        <v>VW57A</v>
      </c>
      <c r="B2184" s="226" t="str">
        <f>IFERROR(__xludf.DUMMYFUNCTION("""COMPUTED_VALUE"""),"5060128539580")</f>
        <v>5060128539580</v>
      </c>
      <c r="C2184" t="str">
        <f>IFERROR(__xludf.DUMMYFUNCTION("""COMPUTED_VALUE"""),"Westfalia/Witter")</f>
        <v>Westfalia/Witter</v>
      </c>
    </row>
    <row r="2185">
      <c r="A2185" t="str">
        <f>IFERROR(__xludf.DUMMYFUNCTION("""COMPUTED_VALUE"""),"VW57AQ")</f>
        <v>VW57AQ</v>
      </c>
      <c r="B2185" s="226" t="str">
        <f>IFERROR(__xludf.DUMMYFUNCTION("""COMPUTED_VALUE"""),"5060128539597")</f>
        <v>5060128539597</v>
      </c>
      <c r="C2185" t="str">
        <f>IFERROR(__xludf.DUMMYFUNCTION("""COMPUTED_VALUE"""),"Westfalia/Witter")</f>
        <v>Westfalia/Witter</v>
      </c>
    </row>
    <row r="2186">
      <c r="A2186" t="str">
        <f>IFERROR(__xludf.DUMMYFUNCTION("""COMPUTED_VALUE"""),"VW57AS")</f>
        <v>VW57AS</v>
      </c>
      <c r="B2186" s="226" t="str">
        <f>IFERROR(__xludf.DUMMYFUNCTION("""COMPUTED_VALUE"""),"5060128539603")</f>
        <v>5060128539603</v>
      </c>
      <c r="C2186" t="str">
        <f>IFERROR(__xludf.DUMMYFUNCTION("""COMPUTED_VALUE"""),"Westfalia/Witter")</f>
        <v>Westfalia/Witter</v>
      </c>
    </row>
    <row r="2187">
      <c r="A2187" t="str">
        <f>IFERROR(__xludf.DUMMYFUNCTION("""COMPUTED_VALUE"""),"VW58A")</f>
        <v>VW58A</v>
      </c>
      <c r="B2187" s="226" t="str">
        <f>IFERROR(__xludf.DUMMYFUNCTION("""COMPUTED_VALUE"""),"5060128539610")</f>
        <v>5060128539610</v>
      </c>
      <c r="C2187" t="str">
        <f>IFERROR(__xludf.DUMMYFUNCTION("""COMPUTED_VALUE"""),"Westfalia/Witter")</f>
        <v>Westfalia/Witter</v>
      </c>
    </row>
    <row r="2188">
      <c r="A2188" t="str">
        <f>IFERROR(__xludf.DUMMYFUNCTION("""COMPUTED_VALUE"""),"VW62")</f>
        <v>VW62</v>
      </c>
      <c r="B2188" s="226" t="str">
        <f>IFERROR(__xludf.DUMMYFUNCTION("""COMPUTED_VALUE"""),"5060128539634")</f>
        <v>5060128539634</v>
      </c>
      <c r="C2188" t="str">
        <f>IFERROR(__xludf.DUMMYFUNCTION("""COMPUTED_VALUE"""),"Westfalia/Witter")</f>
        <v>Westfalia/Witter</v>
      </c>
    </row>
    <row r="2189">
      <c r="A2189" t="str">
        <f>IFERROR(__xludf.DUMMYFUNCTION("""COMPUTED_VALUE"""),"VW62Q")</f>
        <v>VW62Q</v>
      </c>
      <c r="B2189" s="226" t="str">
        <f>IFERROR(__xludf.DUMMYFUNCTION("""COMPUTED_VALUE"""),"5060128539641")</f>
        <v>5060128539641</v>
      </c>
      <c r="C2189" t="str">
        <f>IFERROR(__xludf.DUMMYFUNCTION("""COMPUTED_VALUE"""),"Westfalia/Witter")</f>
        <v>Westfalia/Witter</v>
      </c>
    </row>
    <row r="2190">
      <c r="A2190" t="str">
        <f>IFERROR(__xludf.DUMMYFUNCTION("""COMPUTED_VALUE"""),"VW62S")</f>
        <v>VW62S</v>
      </c>
      <c r="B2190" s="226" t="str">
        <f>IFERROR(__xludf.DUMMYFUNCTION("""COMPUTED_VALUE"""),"5060128539665")</f>
        <v>5060128539665</v>
      </c>
      <c r="C2190" t="str">
        <f>IFERROR(__xludf.DUMMYFUNCTION("""COMPUTED_VALUE"""),"Westfalia/Witter")</f>
        <v>Westfalia/Witter</v>
      </c>
    </row>
    <row r="2191">
      <c r="A2191" t="str">
        <f>IFERROR(__xludf.DUMMYFUNCTION("""COMPUTED_VALUE"""),"VW63A")</f>
        <v>VW63A</v>
      </c>
      <c r="B2191" s="226" t="str">
        <f>IFERROR(__xludf.DUMMYFUNCTION("""COMPUTED_VALUE"""),"5060128539672")</f>
        <v>5060128539672</v>
      </c>
      <c r="C2191" t="str">
        <f>IFERROR(__xludf.DUMMYFUNCTION("""COMPUTED_VALUE"""),"Westfalia/Witter")</f>
        <v>Westfalia/Witter</v>
      </c>
    </row>
    <row r="2192">
      <c r="A2192" t="str">
        <f>IFERROR(__xludf.DUMMYFUNCTION("""COMPUTED_VALUE"""),"VW64Q")</f>
        <v>VW64Q</v>
      </c>
      <c r="B2192" s="226" t="str">
        <f>IFERROR(__xludf.DUMMYFUNCTION("""COMPUTED_VALUE"""),"5060128539689")</f>
        <v>5060128539689</v>
      </c>
      <c r="C2192" t="str">
        <f>IFERROR(__xludf.DUMMYFUNCTION("""COMPUTED_VALUE"""),"Westfalia/Witter")</f>
        <v>Westfalia/Witter</v>
      </c>
    </row>
    <row r="2193">
      <c r="A2193" t="str">
        <f>IFERROR(__xludf.DUMMYFUNCTION("""COMPUTED_VALUE"""),"VW64Q")</f>
        <v>VW64Q</v>
      </c>
      <c r="B2193" s="226" t="str">
        <f>IFERROR(__xludf.DUMMYFUNCTION("""COMPUTED_VALUE"""),"5060128539689")</f>
        <v>5060128539689</v>
      </c>
      <c r="C2193" t="str">
        <f>IFERROR(__xludf.DUMMYFUNCTION("""COMPUTED_VALUE"""),"Westfalia/Witter")</f>
        <v>Westfalia/Witter</v>
      </c>
    </row>
    <row r="2194">
      <c r="A2194" t="str">
        <f>IFERROR(__xludf.DUMMYFUNCTION("""COMPUTED_VALUE"""),"VW64Q")</f>
        <v>VW64Q</v>
      </c>
      <c r="B2194" s="226" t="str">
        <f>IFERROR(__xludf.DUMMYFUNCTION("""COMPUTED_VALUE"""),"5060128539689")</f>
        <v>5060128539689</v>
      </c>
      <c r="C2194" t="str">
        <f>IFERROR(__xludf.DUMMYFUNCTION("""COMPUTED_VALUE"""),"Westfalia/Witter")</f>
        <v>Westfalia/Witter</v>
      </c>
    </row>
    <row r="2195">
      <c r="A2195" t="str">
        <f>IFERROR(__xludf.DUMMYFUNCTION("""COMPUTED_VALUE"""),"VW65A")</f>
        <v>VW65A</v>
      </c>
      <c r="B2195" s="226" t="str">
        <f>IFERROR(__xludf.DUMMYFUNCTION("""COMPUTED_VALUE"""),"5060128539702")</f>
        <v>5060128539702</v>
      </c>
      <c r="C2195" t="str">
        <f>IFERROR(__xludf.DUMMYFUNCTION("""COMPUTED_VALUE"""),"Westfalia/Witter")</f>
        <v>Westfalia/Witter</v>
      </c>
    </row>
    <row r="2196">
      <c r="A2196" t="str">
        <f>IFERROR(__xludf.DUMMYFUNCTION("""COMPUTED_VALUE"""),"VW68Q")</f>
        <v>VW68Q</v>
      </c>
      <c r="B2196" s="226" t="str">
        <f>IFERROR(__xludf.DUMMYFUNCTION("""COMPUTED_VALUE"""),"5060128539719")</f>
        <v>5060128539719</v>
      </c>
      <c r="C2196" t="str">
        <f>IFERROR(__xludf.DUMMYFUNCTION("""COMPUTED_VALUE"""),"Westfalia/Witter")</f>
        <v>Westfalia/Witter</v>
      </c>
    </row>
    <row r="2197">
      <c r="A2197" t="str">
        <f>IFERROR(__xludf.DUMMYFUNCTION("""COMPUTED_VALUE"""),"VW68Q")</f>
        <v>VW68Q</v>
      </c>
      <c r="B2197" s="226" t="str">
        <f>IFERROR(__xludf.DUMMYFUNCTION("""COMPUTED_VALUE"""),"5060128539719")</f>
        <v>5060128539719</v>
      </c>
      <c r="C2197" t="str">
        <f>IFERROR(__xludf.DUMMYFUNCTION("""COMPUTED_VALUE"""),"Westfalia/Witter")</f>
        <v>Westfalia/Witter</v>
      </c>
    </row>
    <row r="2198">
      <c r="A2198" t="str">
        <f>IFERROR(__xludf.DUMMYFUNCTION("""COMPUTED_VALUE"""),"VW71AQ")</f>
        <v>VW71AQ</v>
      </c>
      <c r="B2198" s="226" t="str">
        <f>IFERROR(__xludf.DUMMYFUNCTION("""COMPUTED_VALUE"""),"5060128539726")</f>
        <v>5060128539726</v>
      </c>
      <c r="C2198" t="str">
        <f>IFERROR(__xludf.DUMMYFUNCTION("""COMPUTED_VALUE"""),"Westfalia/Witter")</f>
        <v>Westfalia/Witter</v>
      </c>
    </row>
    <row r="2199">
      <c r="A2199" t="str">
        <f>IFERROR(__xludf.DUMMYFUNCTION("""COMPUTED_VALUE"""),"VW73")</f>
        <v>VW73</v>
      </c>
      <c r="B2199" s="226" t="str">
        <f>IFERROR(__xludf.DUMMYFUNCTION("""COMPUTED_VALUE"""),"5060128539757")</f>
        <v>5060128539757</v>
      </c>
      <c r="C2199" t="str">
        <f>IFERROR(__xludf.DUMMYFUNCTION("""COMPUTED_VALUE"""),"Westfalia/Witter")</f>
        <v>Westfalia/Witter</v>
      </c>
    </row>
    <row r="2200">
      <c r="A2200" t="str">
        <f>IFERROR(__xludf.DUMMYFUNCTION("""COMPUTED_VALUE"""),"VW73Q")</f>
        <v>VW73Q</v>
      </c>
      <c r="B2200" s="226" t="str">
        <f>IFERROR(__xludf.DUMMYFUNCTION("""COMPUTED_VALUE"""),"5060128539764")</f>
        <v>5060128539764</v>
      </c>
      <c r="C2200" t="str">
        <f>IFERROR(__xludf.DUMMYFUNCTION("""COMPUTED_VALUE"""),"Westfalia/Witter")</f>
        <v>Westfalia/Witter</v>
      </c>
    </row>
    <row r="2201">
      <c r="A2201" t="str">
        <f>IFERROR(__xludf.DUMMYFUNCTION("""COMPUTED_VALUE"""),"VW73Q")</f>
        <v>VW73Q</v>
      </c>
      <c r="B2201" s="226" t="str">
        <f>IFERROR(__xludf.DUMMYFUNCTION("""COMPUTED_VALUE"""),"5060128539764")</f>
        <v>5060128539764</v>
      </c>
      <c r="C2201" t="str">
        <f>IFERROR(__xludf.DUMMYFUNCTION("""COMPUTED_VALUE"""),"Westfalia/Witter")</f>
        <v>Westfalia/Witter</v>
      </c>
    </row>
    <row r="2202">
      <c r="A2202" t="str">
        <f>IFERROR(__xludf.DUMMYFUNCTION("""COMPUTED_VALUE"""),"VW73Q")</f>
        <v>VW73Q</v>
      </c>
      <c r="B2202" s="226" t="str">
        <f>IFERROR(__xludf.DUMMYFUNCTION("""COMPUTED_VALUE"""),"5060128539764")</f>
        <v>5060128539764</v>
      </c>
      <c r="C2202" t="str">
        <f>IFERROR(__xludf.DUMMYFUNCTION("""COMPUTED_VALUE"""),"Westfalia/Witter")</f>
        <v>Westfalia/Witter</v>
      </c>
    </row>
    <row r="2203">
      <c r="A2203" t="str">
        <f>IFERROR(__xludf.DUMMYFUNCTION("""COMPUTED_VALUE"""),"VW73Q")</f>
        <v>VW73Q</v>
      </c>
      <c r="B2203" s="226" t="str">
        <f>IFERROR(__xludf.DUMMYFUNCTION("""COMPUTED_VALUE"""),"5060128539764")</f>
        <v>5060128539764</v>
      </c>
      <c r="C2203" t="str">
        <f>IFERROR(__xludf.DUMMYFUNCTION("""COMPUTED_VALUE"""),"Westfalia/Witter")</f>
        <v>Westfalia/Witter</v>
      </c>
    </row>
    <row r="2204">
      <c r="A2204" t="str">
        <f>IFERROR(__xludf.DUMMYFUNCTION("""COMPUTED_VALUE"""),"VW73Q")</f>
        <v>VW73Q</v>
      </c>
      <c r="B2204" s="226" t="str">
        <f>IFERROR(__xludf.DUMMYFUNCTION("""COMPUTED_VALUE"""),"5060128539764")</f>
        <v>5060128539764</v>
      </c>
      <c r="C2204" t="str">
        <f>IFERROR(__xludf.DUMMYFUNCTION("""COMPUTED_VALUE"""),"Westfalia/Witter")</f>
        <v>Westfalia/Witter</v>
      </c>
    </row>
    <row r="2205">
      <c r="A2205" t="str">
        <f>IFERROR(__xludf.DUMMYFUNCTION("""COMPUTED_VALUE"""),"VW73S")</f>
        <v>VW73S</v>
      </c>
      <c r="B2205" s="226" t="str">
        <f>IFERROR(__xludf.DUMMYFUNCTION("""COMPUTED_VALUE"""),"5060128539788")</f>
        <v>5060128539788</v>
      </c>
      <c r="C2205" t="str">
        <f>IFERROR(__xludf.DUMMYFUNCTION("""COMPUTED_VALUE"""),"Westfalia/Witter")</f>
        <v>Westfalia/Witter</v>
      </c>
    </row>
    <row r="2206">
      <c r="A2206" t="str">
        <f>IFERROR(__xludf.DUMMYFUNCTION("""COMPUTED_VALUE"""),"VW73S")</f>
        <v>VW73S</v>
      </c>
      <c r="B2206" s="226" t="str">
        <f>IFERROR(__xludf.DUMMYFUNCTION("""COMPUTED_VALUE"""),"5060128539788")</f>
        <v>5060128539788</v>
      </c>
      <c r="C2206" t="str">
        <f>IFERROR(__xludf.DUMMYFUNCTION("""COMPUTED_VALUE"""),"Westfalia/Witter")</f>
        <v>Westfalia/Witter</v>
      </c>
    </row>
    <row r="2207">
      <c r="A2207" t="str">
        <f>IFERROR(__xludf.DUMMYFUNCTION("""COMPUTED_VALUE"""),"VW77")</f>
        <v>VW77</v>
      </c>
      <c r="B2207" s="226" t="str">
        <f>IFERROR(__xludf.DUMMYFUNCTION("""COMPUTED_VALUE"""),"5060128539801")</f>
        <v>5060128539801</v>
      </c>
      <c r="C2207" t="str">
        <f>IFERROR(__xludf.DUMMYFUNCTION("""COMPUTED_VALUE"""),"Westfalia/Witter")</f>
        <v>Westfalia/Witter</v>
      </c>
    </row>
    <row r="2208">
      <c r="A2208" t="str">
        <f>IFERROR(__xludf.DUMMYFUNCTION("""COMPUTED_VALUE"""),"VW77Q")</f>
        <v>VW77Q</v>
      </c>
      <c r="B2208" s="226" t="str">
        <f>IFERROR(__xludf.DUMMYFUNCTION("""COMPUTED_VALUE"""),"5060128539818")</f>
        <v>5060128539818</v>
      </c>
      <c r="C2208" t="str">
        <f>IFERROR(__xludf.DUMMYFUNCTION("""COMPUTED_VALUE"""),"Westfalia/Witter")</f>
        <v>Westfalia/Witter</v>
      </c>
    </row>
    <row r="2209">
      <c r="A2209" t="str">
        <f>IFERROR(__xludf.DUMMYFUNCTION("""COMPUTED_VALUE"""),"VW77S")</f>
        <v>VW77S</v>
      </c>
      <c r="B2209" s="226" t="str">
        <f>IFERROR(__xludf.DUMMYFUNCTION("""COMPUTED_VALUE"""),"5060128539832")</f>
        <v>5060128539832</v>
      </c>
      <c r="C2209" t="str">
        <f>IFERROR(__xludf.DUMMYFUNCTION("""COMPUTED_VALUE"""),"Westfalia/Witter")</f>
        <v>Westfalia/Witter</v>
      </c>
    </row>
    <row r="2210">
      <c r="A2210" t="str">
        <f>IFERROR(__xludf.DUMMYFUNCTION("""COMPUTED_VALUE"""),"VW78Q")</f>
        <v>VW78Q</v>
      </c>
      <c r="B2210" s="226" t="str">
        <f>IFERROR(__xludf.DUMMYFUNCTION("""COMPUTED_VALUE"""),"5060128539849")</f>
        <v>5060128539849</v>
      </c>
      <c r="C2210" t="str">
        <f>IFERROR(__xludf.DUMMYFUNCTION("""COMPUTED_VALUE"""),"Westfalia/Witter")</f>
        <v>Westfalia/Witter</v>
      </c>
    </row>
    <row r="2211">
      <c r="A2211" t="str">
        <f>IFERROR(__xludf.DUMMYFUNCTION("""COMPUTED_VALUE"""),"VW80")</f>
        <v>VW80</v>
      </c>
      <c r="B2211" s="226" t="str">
        <f>IFERROR(__xludf.DUMMYFUNCTION("""COMPUTED_VALUE"""),"5060128539856")</f>
        <v>5060128539856</v>
      </c>
      <c r="C2211" t="str">
        <f>IFERROR(__xludf.DUMMYFUNCTION("""COMPUTED_VALUE"""),"Westfalia/Witter")</f>
        <v>Westfalia/Witter</v>
      </c>
    </row>
    <row r="2212">
      <c r="A2212" t="str">
        <f>IFERROR(__xludf.DUMMYFUNCTION("""COMPUTED_VALUE"""),"VW80Q")</f>
        <v>VW80Q</v>
      </c>
      <c r="B2212" s="226" t="str">
        <f>IFERROR(__xludf.DUMMYFUNCTION("""COMPUTED_VALUE"""),"5060128539863")</f>
        <v>5060128539863</v>
      </c>
      <c r="C2212" t="str">
        <f>IFERROR(__xludf.DUMMYFUNCTION("""COMPUTED_VALUE"""),"Westfalia/Witter")</f>
        <v>Westfalia/Witter</v>
      </c>
    </row>
    <row r="2213">
      <c r="A2213" t="str">
        <f>IFERROR(__xludf.DUMMYFUNCTION("""COMPUTED_VALUE"""),"VW80S")</f>
        <v>VW80S</v>
      </c>
      <c r="B2213" s="226" t="str">
        <f>IFERROR(__xludf.DUMMYFUNCTION("""COMPUTED_VALUE"""),"5060128539887")</f>
        <v>5060128539887</v>
      </c>
      <c r="C2213" t="str">
        <f>IFERROR(__xludf.DUMMYFUNCTION("""COMPUTED_VALUE"""),"Westfalia/Witter")</f>
        <v>Westfalia/Witter</v>
      </c>
    </row>
    <row r="2214">
      <c r="A2214" t="str">
        <f>IFERROR(__xludf.DUMMYFUNCTION("""COMPUTED_VALUE"""),"VW81")</f>
        <v>VW81</v>
      </c>
      <c r="B2214" s="226" t="str">
        <f>IFERROR(__xludf.DUMMYFUNCTION("""COMPUTED_VALUE"""),"5060128539894")</f>
        <v>5060128539894</v>
      </c>
      <c r="C2214" t="str">
        <f>IFERROR(__xludf.DUMMYFUNCTION("""COMPUTED_VALUE"""),"Westfalia/Witter")</f>
        <v>Westfalia/Witter</v>
      </c>
    </row>
    <row r="2215">
      <c r="A2215" t="str">
        <f>IFERROR(__xludf.DUMMYFUNCTION("""COMPUTED_VALUE"""),"VW81Q")</f>
        <v>VW81Q</v>
      </c>
      <c r="B2215" s="226" t="str">
        <f>IFERROR(__xludf.DUMMYFUNCTION("""COMPUTED_VALUE"""),"5060128539900")</f>
        <v>5060128539900</v>
      </c>
      <c r="C2215" t="str">
        <f>IFERROR(__xludf.DUMMYFUNCTION("""COMPUTED_VALUE"""),"Westfalia/Witter")</f>
        <v>Westfalia/Witter</v>
      </c>
    </row>
    <row r="2216">
      <c r="A2216" t="str">
        <f>IFERROR(__xludf.DUMMYFUNCTION("""COMPUTED_VALUE"""),"VW82")</f>
        <v>VW82</v>
      </c>
      <c r="B2216" s="226" t="str">
        <f>IFERROR(__xludf.DUMMYFUNCTION("""COMPUTED_VALUE"""),"5060128539917")</f>
        <v>5060128539917</v>
      </c>
      <c r="C2216" t="str">
        <f>IFERROR(__xludf.DUMMYFUNCTION("""COMPUTED_VALUE"""),"Westfalia/Witter")</f>
        <v>Westfalia/Witter</v>
      </c>
    </row>
    <row r="2217">
      <c r="A2217" t="str">
        <f>IFERROR(__xludf.DUMMYFUNCTION("""COMPUTED_VALUE"""),"VW82Q")</f>
        <v>VW82Q</v>
      </c>
      <c r="B2217" s="226" t="str">
        <f>IFERROR(__xludf.DUMMYFUNCTION("""COMPUTED_VALUE"""),"5060128539924")</f>
        <v>5060128539924</v>
      </c>
      <c r="C2217" t="str">
        <f>IFERROR(__xludf.DUMMYFUNCTION("""COMPUTED_VALUE"""),"Westfalia/Witter")</f>
        <v>Westfalia/Witter</v>
      </c>
    </row>
    <row r="2218">
      <c r="A2218" t="str">
        <f>IFERROR(__xludf.DUMMYFUNCTION("""COMPUTED_VALUE"""),"VW82S")</f>
        <v>VW82S</v>
      </c>
      <c r="B2218" s="226" t="str">
        <f>IFERROR(__xludf.DUMMYFUNCTION("""COMPUTED_VALUE"""),"5060128539931")</f>
        <v>5060128539931</v>
      </c>
      <c r="C2218" t="str">
        <f>IFERROR(__xludf.DUMMYFUNCTION("""COMPUTED_VALUE"""),"Westfalia/Witter")</f>
        <v>Westfalia/Witter</v>
      </c>
    </row>
    <row r="2219">
      <c r="A2219" t="str">
        <f>IFERROR(__xludf.DUMMYFUNCTION("""COMPUTED_VALUE"""),"VW83")</f>
        <v>VW83</v>
      </c>
      <c r="B2219" s="226" t="str">
        <f>IFERROR(__xludf.DUMMYFUNCTION("""COMPUTED_VALUE"""),"5060128539948")</f>
        <v>5060128539948</v>
      </c>
      <c r="C2219" t="str">
        <f>IFERROR(__xludf.DUMMYFUNCTION("""COMPUTED_VALUE"""),"Westfalia/Witter")</f>
        <v>Westfalia/Witter</v>
      </c>
    </row>
    <row r="2220">
      <c r="A2220" t="str">
        <f>IFERROR(__xludf.DUMMYFUNCTION("""COMPUTED_VALUE"""),"VW86")</f>
        <v>VW86</v>
      </c>
      <c r="B2220" s="226" t="str">
        <f>IFERROR(__xludf.DUMMYFUNCTION("""COMPUTED_VALUE"""),"5060128539955")</f>
        <v>5060128539955</v>
      </c>
      <c r="C2220" t="str">
        <f>IFERROR(__xludf.DUMMYFUNCTION("""COMPUTED_VALUE"""),"Westfalia/Witter")</f>
        <v>Westfalia/Witter</v>
      </c>
    </row>
    <row r="2221">
      <c r="A2221" t="str">
        <f>IFERROR(__xludf.DUMMYFUNCTION("""COMPUTED_VALUE"""),"VW86Q")</f>
        <v>VW86Q</v>
      </c>
      <c r="B2221" s="226" t="str">
        <f>IFERROR(__xludf.DUMMYFUNCTION("""COMPUTED_VALUE"""),"5060128539962")</f>
        <v>5060128539962</v>
      </c>
      <c r="C2221" t="str">
        <f>IFERROR(__xludf.DUMMYFUNCTION("""COMPUTED_VALUE"""),"Westfalia/Witter")</f>
        <v>Westfalia/Witter</v>
      </c>
    </row>
    <row r="2222">
      <c r="A2222" t="str">
        <f>IFERROR(__xludf.DUMMYFUNCTION("""COMPUTED_VALUE"""),"VW86S")</f>
        <v>VW86S</v>
      </c>
      <c r="B2222" s="226" t="str">
        <f>IFERROR(__xludf.DUMMYFUNCTION("""COMPUTED_VALUE"""),"5060128539979")</f>
        <v>5060128539979</v>
      </c>
      <c r="C2222" t="str">
        <f>IFERROR(__xludf.DUMMYFUNCTION("""COMPUTED_VALUE"""),"Westfalia/Witter")</f>
        <v>Westfalia/Witter</v>
      </c>
    </row>
    <row r="2223">
      <c r="A2223" t="str">
        <f>IFERROR(__xludf.DUMMYFUNCTION("""COMPUTED_VALUE"""),"VW89AQ")</f>
        <v>VW89AQ</v>
      </c>
      <c r="B2223" s="226" t="str">
        <f>IFERROR(__xludf.DUMMYFUNCTION("""COMPUTED_VALUE"""),"5060128539986")</f>
        <v>5060128539986</v>
      </c>
      <c r="C2223" t="str">
        <f>IFERROR(__xludf.DUMMYFUNCTION("""COMPUTED_VALUE"""),"Westfalia/Witter")</f>
        <v>Westfalia/Witter</v>
      </c>
    </row>
    <row r="2224">
      <c r="A2224" t="str">
        <f>IFERROR(__xludf.DUMMYFUNCTION("""COMPUTED_VALUE"""),"VW89AS")</f>
        <v>VW89AS</v>
      </c>
      <c r="B2224" s="226" t="str">
        <f>IFERROR(__xludf.DUMMYFUNCTION("""COMPUTED_VALUE"""),"5060128539993")</f>
        <v>5060128539993</v>
      </c>
      <c r="C2224" t="str">
        <f>IFERROR(__xludf.DUMMYFUNCTION("""COMPUTED_VALUE"""),"Westfalia/Witter")</f>
        <v>Westfalia/Witter</v>
      </c>
    </row>
    <row r="2225">
      <c r="A2225" t="str">
        <f>IFERROR(__xludf.DUMMYFUNCTION("""COMPUTED_VALUE"""),"A-106")</f>
        <v>A-106</v>
      </c>
      <c r="B2225" s="226" t="str">
        <f>IFERROR(__xludf.DUMMYFUNCTION("""COMPUTED_VALUE"""),"5907615800405")</f>
        <v>5907615800405</v>
      </c>
      <c r="C2225" t="str">
        <f>IFERROR(__xludf.DUMMYFUNCTION("""COMPUTED_VALUE"""),"Steinhof")</f>
        <v>Steinhof</v>
      </c>
    </row>
    <row r="2226">
      <c r="A2226" t="str">
        <f>IFERROR(__xludf.DUMMYFUNCTION("""COMPUTED_VALUE"""),"A-106")</f>
        <v>A-106</v>
      </c>
      <c r="B2226" s="226" t="str">
        <f>IFERROR(__xludf.DUMMYFUNCTION("""COMPUTED_VALUE"""),"5907615800405")</f>
        <v>5907615800405</v>
      </c>
      <c r="C2226" t="str">
        <f>IFERROR(__xludf.DUMMYFUNCTION("""COMPUTED_VALUE"""),"Steinhof")</f>
        <v>Steinhof</v>
      </c>
    </row>
    <row r="2227">
      <c r="A2227" t="str">
        <f>IFERROR(__xludf.DUMMYFUNCTION("""COMPUTED_VALUE"""),"A-051")</f>
        <v>A-051</v>
      </c>
      <c r="B2227" s="226" t="str">
        <f>IFERROR(__xludf.DUMMYFUNCTION("""COMPUTED_VALUE"""),"5907615800412")</f>
        <v>5907615800412</v>
      </c>
      <c r="C2227" t="str">
        <f>IFERROR(__xludf.DUMMYFUNCTION("""COMPUTED_VALUE"""),"Steinhof")</f>
        <v>Steinhof</v>
      </c>
    </row>
    <row r="2228">
      <c r="A2228" t="str">
        <f>IFERROR(__xludf.DUMMYFUNCTION("""COMPUTED_VALUE"""),"A-051")</f>
        <v>A-051</v>
      </c>
      <c r="B2228" s="226" t="str">
        <f>IFERROR(__xludf.DUMMYFUNCTION("""COMPUTED_VALUE"""),"5907615800412")</f>
        <v>5907615800412</v>
      </c>
      <c r="C2228" t="str">
        <f>IFERROR(__xludf.DUMMYFUNCTION("""COMPUTED_VALUE"""),"Steinhof")</f>
        <v>Steinhof</v>
      </c>
    </row>
    <row r="2229">
      <c r="A2229" t="str">
        <f>IFERROR(__xludf.DUMMYFUNCTION("""COMPUTED_VALUE"""),"A-052")</f>
        <v>A-052</v>
      </c>
      <c r="B2229" s="226" t="str">
        <f>IFERROR(__xludf.DUMMYFUNCTION("""COMPUTED_VALUE"""),"5907615800429")</f>
        <v>5907615800429</v>
      </c>
      <c r="C2229" t="str">
        <f>IFERROR(__xludf.DUMMYFUNCTION("""COMPUTED_VALUE"""),"Steinhof")</f>
        <v>Steinhof</v>
      </c>
    </row>
    <row r="2230">
      <c r="A2230" t="str">
        <f>IFERROR(__xludf.DUMMYFUNCTION("""COMPUTED_VALUE"""),"A-052")</f>
        <v>A-052</v>
      </c>
      <c r="B2230" s="226" t="str">
        <f>IFERROR(__xludf.DUMMYFUNCTION("""COMPUTED_VALUE"""),"5907615800429")</f>
        <v>5907615800429</v>
      </c>
      <c r="C2230" t="str">
        <f>IFERROR(__xludf.DUMMYFUNCTION("""COMPUTED_VALUE"""),"Steinhof")</f>
        <v>Steinhof</v>
      </c>
    </row>
    <row r="2231">
      <c r="A2231" t="str">
        <f>IFERROR(__xludf.DUMMYFUNCTION("""COMPUTED_VALUE"""),"A-052")</f>
        <v>A-052</v>
      </c>
      <c r="B2231" s="226" t="str">
        <f>IFERROR(__xludf.DUMMYFUNCTION("""COMPUTED_VALUE"""),"5907615800429")</f>
        <v>5907615800429</v>
      </c>
      <c r="C2231" t="str">
        <f>IFERROR(__xludf.DUMMYFUNCTION("""COMPUTED_VALUE"""),"Steinhof")</f>
        <v>Steinhof</v>
      </c>
    </row>
    <row r="2232">
      <c r="A2232" t="str">
        <f>IFERROR(__xludf.DUMMYFUNCTION("""COMPUTED_VALUE"""),"A-052")</f>
        <v>A-052</v>
      </c>
      <c r="B2232" s="226" t="str">
        <f>IFERROR(__xludf.DUMMYFUNCTION("""COMPUTED_VALUE"""),"5907615800429")</f>
        <v>5907615800429</v>
      </c>
      <c r="C2232" t="str">
        <f>IFERROR(__xludf.DUMMYFUNCTION("""COMPUTED_VALUE"""),"Steinhof")</f>
        <v>Steinhof</v>
      </c>
    </row>
    <row r="2233">
      <c r="A2233" t="str">
        <f>IFERROR(__xludf.DUMMYFUNCTION("""COMPUTED_VALUE"""),"A-107")</f>
        <v>A-107</v>
      </c>
      <c r="B2233" s="226" t="str">
        <f>IFERROR(__xludf.DUMMYFUNCTION("""COMPUTED_VALUE"""),"5907615800436")</f>
        <v>5907615800436</v>
      </c>
      <c r="C2233" t="str">
        <f>IFERROR(__xludf.DUMMYFUNCTION("""COMPUTED_VALUE"""),"Steinhof")</f>
        <v>Steinhof</v>
      </c>
    </row>
    <row r="2234">
      <c r="A2234" t="str">
        <f>IFERROR(__xludf.DUMMYFUNCTION("""COMPUTED_VALUE"""),"A-107")</f>
        <v>A-107</v>
      </c>
      <c r="B2234" s="226" t="str">
        <f>IFERROR(__xludf.DUMMYFUNCTION("""COMPUTED_VALUE"""),"5907615800436")</f>
        <v>5907615800436</v>
      </c>
      <c r="C2234" t="str">
        <f>IFERROR(__xludf.DUMMYFUNCTION("""COMPUTED_VALUE"""),"Steinhof")</f>
        <v>Steinhof</v>
      </c>
    </row>
    <row r="2235">
      <c r="A2235" t="str">
        <f>IFERROR(__xludf.DUMMYFUNCTION("""COMPUTED_VALUE"""),"A-108")</f>
        <v>A-108</v>
      </c>
      <c r="B2235" s="226" t="str">
        <f>IFERROR(__xludf.DUMMYFUNCTION("""COMPUTED_VALUE"""),"5907615800443")</f>
        <v>5907615800443</v>
      </c>
      <c r="C2235" t="str">
        <f>IFERROR(__xludf.DUMMYFUNCTION("""COMPUTED_VALUE"""),"Steinhof")</f>
        <v>Steinhof</v>
      </c>
    </row>
    <row r="2236">
      <c r="A2236" t="str">
        <f>IFERROR(__xludf.DUMMYFUNCTION("""COMPUTED_VALUE"""),"A-108")</f>
        <v>A-108</v>
      </c>
      <c r="B2236" s="226" t="str">
        <f>IFERROR(__xludf.DUMMYFUNCTION("""COMPUTED_VALUE"""),"5907615800443")</f>
        <v>5907615800443</v>
      </c>
      <c r="C2236" t="str">
        <f>IFERROR(__xludf.DUMMYFUNCTION("""COMPUTED_VALUE"""),"Steinhof")</f>
        <v>Steinhof</v>
      </c>
    </row>
    <row r="2237">
      <c r="A2237" t="str">
        <f>IFERROR(__xludf.DUMMYFUNCTION("""COMPUTED_VALUE"""),"A-053")</f>
        <v>A-053</v>
      </c>
      <c r="B2237" s="226" t="str">
        <f>IFERROR(__xludf.DUMMYFUNCTION("""COMPUTED_VALUE"""),"5907615800450")</f>
        <v>5907615800450</v>
      </c>
      <c r="C2237" t="str">
        <f>IFERROR(__xludf.DUMMYFUNCTION("""COMPUTED_VALUE"""),"Steinhof")</f>
        <v>Steinhof</v>
      </c>
    </row>
    <row r="2238">
      <c r="A2238" t="str">
        <f>IFERROR(__xludf.DUMMYFUNCTION("""COMPUTED_VALUE"""),"A-053")</f>
        <v>A-053</v>
      </c>
      <c r="B2238" s="226" t="str">
        <f>IFERROR(__xludf.DUMMYFUNCTION("""COMPUTED_VALUE"""),"5907615800450")</f>
        <v>5907615800450</v>
      </c>
      <c r="C2238" t="str">
        <f>IFERROR(__xludf.DUMMYFUNCTION("""COMPUTED_VALUE"""),"Steinhof")</f>
        <v>Steinhof</v>
      </c>
    </row>
    <row r="2239">
      <c r="A2239" t="str">
        <f>IFERROR(__xludf.DUMMYFUNCTION("""COMPUTED_VALUE"""),"A-054")</f>
        <v>A-054</v>
      </c>
      <c r="B2239" s="226" t="str">
        <f>IFERROR(__xludf.DUMMYFUNCTION("""COMPUTED_VALUE"""),"5907615800467")</f>
        <v>5907615800467</v>
      </c>
      <c r="C2239" t="str">
        <f>IFERROR(__xludf.DUMMYFUNCTION("""COMPUTED_VALUE"""),"Steinhof")</f>
        <v>Steinhof</v>
      </c>
    </row>
    <row r="2240">
      <c r="A2240" t="str">
        <f>IFERROR(__xludf.DUMMYFUNCTION("""COMPUTED_VALUE"""),"A-054")</f>
        <v>A-054</v>
      </c>
      <c r="B2240" s="226" t="str">
        <f>IFERROR(__xludf.DUMMYFUNCTION("""COMPUTED_VALUE"""),"5907615800467")</f>
        <v>5907615800467</v>
      </c>
      <c r="C2240" t="str">
        <f>IFERROR(__xludf.DUMMYFUNCTION("""COMPUTED_VALUE"""),"Steinhof")</f>
        <v>Steinhof</v>
      </c>
    </row>
    <row r="2241">
      <c r="A2241" t="str">
        <f>IFERROR(__xludf.DUMMYFUNCTION("""COMPUTED_VALUE"""),"A-055")</f>
        <v>A-055</v>
      </c>
      <c r="B2241" s="226" t="str">
        <f>IFERROR(__xludf.DUMMYFUNCTION("""COMPUTED_VALUE"""),"5907615800474")</f>
        <v>5907615800474</v>
      </c>
      <c r="C2241" t="str">
        <f>IFERROR(__xludf.DUMMYFUNCTION("""COMPUTED_VALUE"""),"Steinhof")</f>
        <v>Steinhof</v>
      </c>
    </row>
    <row r="2242">
      <c r="A2242" t="str">
        <f>IFERROR(__xludf.DUMMYFUNCTION("""COMPUTED_VALUE"""),"A-056")</f>
        <v>A-056</v>
      </c>
      <c r="B2242" s="226" t="str">
        <f>IFERROR(__xludf.DUMMYFUNCTION("""COMPUTED_VALUE"""),"5907615800481")</f>
        <v>5907615800481</v>
      </c>
      <c r="C2242" t="str">
        <f>IFERROR(__xludf.DUMMYFUNCTION("""COMPUTED_VALUE"""),"Steinhof")</f>
        <v>Steinhof</v>
      </c>
    </row>
    <row r="2243">
      <c r="A2243" t="str">
        <f>IFERROR(__xludf.DUMMYFUNCTION("""COMPUTED_VALUE"""),"A-057")</f>
        <v>A-057</v>
      </c>
      <c r="B2243" s="226" t="str">
        <f>IFERROR(__xludf.DUMMYFUNCTION("""COMPUTED_VALUE"""),"5907615800498")</f>
        <v>5907615800498</v>
      </c>
      <c r="C2243" t="str">
        <f>IFERROR(__xludf.DUMMYFUNCTION("""COMPUTED_VALUE"""),"Steinhof")</f>
        <v>Steinhof</v>
      </c>
    </row>
    <row r="2244">
      <c r="A2244" t="str">
        <f>IFERROR(__xludf.DUMMYFUNCTION("""COMPUTED_VALUE"""),"A-058")</f>
        <v>A-058</v>
      </c>
      <c r="B2244" s="226" t="str">
        <f>IFERROR(__xludf.DUMMYFUNCTION("""COMPUTED_VALUE"""),"5907615800504")</f>
        <v>5907615800504</v>
      </c>
      <c r="C2244" t="str">
        <f>IFERROR(__xludf.DUMMYFUNCTION("""COMPUTED_VALUE"""),"Steinhof")</f>
        <v>Steinhof</v>
      </c>
    </row>
    <row r="2245">
      <c r="A2245" t="str">
        <f>IFERROR(__xludf.DUMMYFUNCTION("""COMPUTED_VALUE"""),"A-059")</f>
        <v>A-059</v>
      </c>
      <c r="B2245" s="226" t="str">
        <f>IFERROR(__xludf.DUMMYFUNCTION("""COMPUTED_VALUE"""),"5907615800511")</f>
        <v>5907615800511</v>
      </c>
      <c r="C2245" t="str">
        <f>IFERROR(__xludf.DUMMYFUNCTION("""COMPUTED_VALUE"""),"Steinhof")</f>
        <v>Steinhof</v>
      </c>
    </row>
    <row r="2246">
      <c r="A2246" t="str">
        <f>IFERROR(__xludf.DUMMYFUNCTION("""COMPUTED_VALUE"""),"A-062")</f>
        <v>A-062</v>
      </c>
      <c r="B2246" s="226" t="str">
        <f>IFERROR(__xludf.DUMMYFUNCTION("""COMPUTED_VALUE"""),"5907615800528")</f>
        <v>5907615800528</v>
      </c>
      <c r="C2246" t="str">
        <f>IFERROR(__xludf.DUMMYFUNCTION("""COMPUTED_VALUE"""),"Steinhof")</f>
        <v>Steinhof</v>
      </c>
    </row>
    <row r="2247">
      <c r="A2247" t="str">
        <f>IFERROR(__xludf.DUMMYFUNCTION("""COMPUTED_VALUE"""),"A-062")</f>
        <v>A-062</v>
      </c>
      <c r="B2247" s="226" t="str">
        <f>IFERROR(__xludf.DUMMYFUNCTION("""COMPUTED_VALUE"""),"5907615800528")</f>
        <v>5907615800528</v>
      </c>
      <c r="C2247" t="str">
        <f>IFERROR(__xludf.DUMMYFUNCTION("""COMPUTED_VALUE"""),"Steinhof")</f>
        <v>Steinhof</v>
      </c>
    </row>
    <row r="2248">
      <c r="A2248" t="str">
        <f>IFERROR(__xludf.DUMMYFUNCTION("""COMPUTED_VALUE"""),"A-060")</f>
        <v>A-060</v>
      </c>
      <c r="B2248" s="226" t="str">
        <f>IFERROR(__xludf.DUMMYFUNCTION("""COMPUTED_VALUE"""),"5907615800535")</f>
        <v>5907615800535</v>
      </c>
      <c r="C2248" t="str">
        <f>IFERROR(__xludf.DUMMYFUNCTION("""COMPUTED_VALUE"""),"Steinhof")</f>
        <v>Steinhof</v>
      </c>
    </row>
    <row r="2249">
      <c r="A2249" t="str">
        <f>IFERROR(__xludf.DUMMYFUNCTION("""COMPUTED_VALUE"""),"A-064")</f>
        <v>A-064</v>
      </c>
      <c r="B2249" s="226" t="str">
        <f>IFERROR(__xludf.DUMMYFUNCTION("""COMPUTED_VALUE"""),"5907615800542")</f>
        <v>5907615800542</v>
      </c>
      <c r="C2249" t="str">
        <f>IFERROR(__xludf.DUMMYFUNCTION("""COMPUTED_VALUE"""),"Steinhof")</f>
        <v>Steinhof</v>
      </c>
    </row>
    <row r="2250">
      <c r="A2250" t="str">
        <f>IFERROR(__xludf.DUMMYFUNCTION("""COMPUTED_VALUE"""),"A-064")</f>
        <v>A-064</v>
      </c>
      <c r="B2250" s="226" t="str">
        <f>IFERROR(__xludf.DUMMYFUNCTION("""COMPUTED_VALUE"""),"5907615800542")</f>
        <v>5907615800542</v>
      </c>
      <c r="C2250" t="str">
        <f>IFERROR(__xludf.DUMMYFUNCTION("""COMPUTED_VALUE"""),"Steinhof")</f>
        <v>Steinhof</v>
      </c>
    </row>
    <row r="2251">
      <c r="A2251" t="str">
        <f>IFERROR(__xludf.DUMMYFUNCTION("""COMPUTED_VALUE"""),"A-065")</f>
        <v>A-065</v>
      </c>
      <c r="B2251" s="226" t="str">
        <f>IFERROR(__xludf.DUMMYFUNCTION("""COMPUTED_VALUE"""),"5907615800559")</f>
        <v>5907615800559</v>
      </c>
      <c r="C2251" t="str">
        <f>IFERROR(__xludf.DUMMYFUNCTION("""COMPUTED_VALUE"""),"Steinhof")</f>
        <v>Steinhof</v>
      </c>
    </row>
    <row r="2252">
      <c r="A2252" t="str">
        <f>IFERROR(__xludf.DUMMYFUNCTION("""COMPUTED_VALUE"""),"A-065")</f>
        <v>A-065</v>
      </c>
      <c r="B2252" s="226" t="str">
        <f>IFERROR(__xludf.DUMMYFUNCTION("""COMPUTED_VALUE"""),"5907615800559")</f>
        <v>5907615800559</v>
      </c>
      <c r="C2252" t="str">
        <f>IFERROR(__xludf.DUMMYFUNCTION("""COMPUTED_VALUE"""),"Steinhof")</f>
        <v>Steinhof</v>
      </c>
    </row>
    <row r="2253">
      <c r="A2253" t="str">
        <f>IFERROR(__xludf.DUMMYFUNCTION("""COMPUTED_VALUE"""),"A-066")</f>
        <v>A-066</v>
      </c>
      <c r="B2253" s="226" t="str">
        <f>IFERROR(__xludf.DUMMYFUNCTION("""COMPUTED_VALUE"""),"5907615800566")</f>
        <v>5907615800566</v>
      </c>
      <c r="C2253" t="str">
        <f>IFERROR(__xludf.DUMMYFUNCTION("""COMPUTED_VALUE"""),"Steinhof")</f>
        <v>Steinhof</v>
      </c>
    </row>
    <row r="2254">
      <c r="A2254" t="str">
        <f>IFERROR(__xludf.DUMMYFUNCTION("""COMPUTED_VALUE"""),"A-066")</f>
        <v>A-066</v>
      </c>
      <c r="B2254" s="226" t="str">
        <f>IFERROR(__xludf.DUMMYFUNCTION("""COMPUTED_VALUE"""),"5907615800566")</f>
        <v>5907615800566</v>
      </c>
      <c r="C2254" t="str">
        <f>IFERROR(__xludf.DUMMYFUNCTION("""COMPUTED_VALUE"""),"Steinhof")</f>
        <v>Steinhof</v>
      </c>
    </row>
    <row r="2255">
      <c r="A2255" t="str">
        <f>IFERROR(__xludf.DUMMYFUNCTION("""COMPUTED_VALUE"""),"A-066")</f>
        <v>A-066</v>
      </c>
      <c r="B2255" s="226" t="str">
        <f>IFERROR(__xludf.DUMMYFUNCTION("""COMPUTED_VALUE"""),"5907615800566")</f>
        <v>5907615800566</v>
      </c>
      <c r="C2255" t="str">
        <f>IFERROR(__xludf.DUMMYFUNCTION("""COMPUTED_VALUE"""),"Steinhof")</f>
        <v>Steinhof</v>
      </c>
    </row>
    <row r="2256">
      <c r="A2256" t="str">
        <f>IFERROR(__xludf.DUMMYFUNCTION("""COMPUTED_VALUE"""),"A-067")</f>
        <v>A-067</v>
      </c>
      <c r="B2256" s="226" t="str">
        <f>IFERROR(__xludf.DUMMYFUNCTION("""COMPUTED_VALUE"""),"5907615800573")</f>
        <v>5907615800573</v>
      </c>
      <c r="C2256" t="str">
        <f>IFERROR(__xludf.DUMMYFUNCTION("""COMPUTED_VALUE"""),"Steinhof")</f>
        <v>Steinhof</v>
      </c>
    </row>
    <row r="2257">
      <c r="A2257" t="str">
        <f>IFERROR(__xludf.DUMMYFUNCTION("""COMPUTED_VALUE"""),"A-067")</f>
        <v>A-067</v>
      </c>
      <c r="B2257" s="226" t="str">
        <f>IFERROR(__xludf.DUMMYFUNCTION("""COMPUTED_VALUE"""),"5907615800573")</f>
        <v>5907615800573</v>
      </c>
      <c r="C2257" t="str">
        <f>IFERROR(__xludf.DUMMYFUNCTION("""COMPUTED_VALUE"""),"Steinhof")</f>
        <v>Steinhof</v>
      </c>
    </row>
    <row r="2258">
      <c r="A2258" t="str">
        <f>IFERROR(__xludf.DUMMYFUNCTION("""COMPUTED_VALUE"""),"A-067")</f>
        <v>A-067</v>
      </c>
      <c r="B2258" s="226" t="str">
        <f>IFERROR(__xludf.DUMMYFUNCTION("""COMPUTED_VALUE"""),"5907615800573")</f>
        <v>5907615800573</v>
      </c>
      <c r="C2258" t="str">
        <f>IFERROR(__xludf.DUMMYFUNCTION("""COMPUTED_VALUE"""),"Steinhof")</f>
        <v>Steinhof</v>
      </c>
    </row>
    <row r="2259">
      <c r="A2259" t="str">
        <f>IFERROR(__xludf.DUMMYFUNCTION("""COMPUTED_VALUE"""),"A-070")</f>
        <v>A-070</v>
      </c>
      <c r="B2259" s="226" t="str">
        <f>IFERROR(__xludf.DUMMYFUNCTION("""COMPUTED_VALUE"""),"5907615800603")</f>
        <v>5907615800603</v>
      </c>
      <c r="C2259" t="str">
        <f>IFERROR(__xludf.DUMMYFUNCTION("""COMPUTED_VALUE"""),"Steinhof")</f>
        <v>Steinhof</v>
      </c>
    </row>
    <row r="2260">
      <c r="A2260" t="str">
        <f>IFERROR(__xludf.DUMMYFUNCTION("""COMPUTED_VALUE"""),"A-070")</f>
        <v>A-070</v>
      </c>
      <c r="B2260" s="226" t="str">
        <f>IFERROR(__xludf.DUMMYFUNCTION("""COMPUTED_VALUE"""),"5907615800603")</f>
        <v>5907615800603</v>
      </c>
      <c r="C2260" t="str">
        <f>IFERROR(__xludf.DUMMYFUNCTION("""COMPUTED_VALUE"""),"Steinhof")</f>
        <v>Steinhof</v>
      </c>
    </row>
    <row r="2261">
      <c r="A2261" t="str">
        <f>IFERROR(__xludf.DUMMYFUNCTION("""COMPUTED_VALUE"""),"A-070")</f>
        <v>A-070</v>
      </c>
      <c r="B2261" s="226" t="str">
        <f>IFERROR(__xludf.DUMMYFUNCTION("""COMPUTED_VALUE"""),"5907615800603")</f>
        <v>5907615800603</v>
      </c>
      <c r="C2261" t="str">
        <f>IFERROR(__xludf.DUMMYFUNCTION("""COMPUTED_VALUE"""),"Steinhof")</f>
        <v>Steinhof</v>
      </c>
    </row>
    <row r="2262">
      <c r="A2262" t="str">
        <f>IFERROR(__xludf.DUMMYFUNCTION("""COMPUTED_VALUE"""),"A-070")</f>
        <v>A-070</v>
      </c>
      <c r="B2262" s="226" t="str">
        <f>IFERROR(__xludf.DUMMYFUNCTION("""COMPUTED_VALUE"""),"5907615800603")</f>
        <v>5907615800603</v>
      </c>
      <c r="C2262" t="str">
        <f>IFERROR(__xludf.DUMMYFUNCTION("""COMPUTED_VALUE"""),"Steinhof")</f>
        <v>Steinhof</v>
      </c>
    </row>
    <row r="2263">
      <c r="A2263" t="str">
        <f>IFERROR(__xludf.DUMMYFUNCTION("""COMPUTED_VALUE"""),"A-070")</f>
        <v>A-070</v>
      </c>
      <c r="B2263" s="226" t="str">
        <f>IFERROR(__xludf.DUMMYFUNCTION("""COMPUTED_VALUE"""),"5907615800603")</f>
        <v>5907615800603</v>
      </c>
      <c r="C2263" t="str">
        <f>IFERROR(__xludf.DUMMYFUNCTION("""COMPUTED_VALUE"""),"Steinhof")</f>
        <v>Steinhof</v>
      </c>
    </row>
    <row r="2264">
      <c r="A2264" t="str">
        <f>IFERROR(__xludf.DUMMYFUNCTION("""COMPUTED_VALUE"""),"A-070")</f>
        <v>A-070</v>
      </c>
      <c r="B2264" s="226" t="str">
        <f>IFERROR(__xludf.DUMMYFUNCTION("""COMPUTED_VALUE"""),"5907615800603")</f>
        <v>5907615800603</v>
      </c>
      <c r="C2264" t="str">
        <f>IFERROR(__xludf.DUMMYFUNCTION("""COMPUTED_VALUE"""),"Steinhof")</f>
        <v>Steinhof</v>
      </c>
    </row>
    <row r="2265">
      <c r="A2265" t="str">
        <f>IFERROR(__xludf.DUMMYFUNCTION("""COMPUTED_VALUE"""),"A-070")</f>
        <v>A-070</v>
      </c>
      <c r="B2265" s="226" t="str">
        <f>IFERROR(__xludf.DUMMYFUNCTION("""COMPUTED_VALUE"""),"5907615800603")</f>
        <v>5907615800603</v>
      </c>
      <c r="C2265" t="str">
        <f>IFERROR(__xludf.DUMMYFUNCTION("""COMPUTED_VALUE"""),"Steinhof")</f>
        <v>Steinhof</v>
      </c>
    </row>
    <row r="2266">
      <c r="A2266" t="str">
        <f>IFERROR(__xludf.DUMMYFUNCTION("""COMPUTED_VALUE"""),"A-070")</f>
        <v>A-070</v>
      </c>
      <c r="B2266" s="226" t="str">
        <f>IFERROR(__xludf.DUMMYFUNCTION("""COMPUTED_VALUE"""),"5907615800603")</f>
        <v>5907615800603</v>
      </c>
      <c r="C2266" t="str">
        <f>IFERROR(__xludf.DUMMYFUNCTION("""COMPUTED_VALUE"""),"Steinhof")</f>
        <v>Steinhof</v>
      </c>
    </row>
    <row r="2267">
      <c r="A2267" t="str">
        <f>IFERROR(__xludf.DUMMYFUNCTION("""COMPUTED_VALUE"""),"A-074")</f>
        <v>A-074</v>
      </c>
      <c r="B2267" s="226" t="str">
        <f>IFERROR(__xludf.DUMMYFUNCTION("""COMPUTED_VALUE"""),"5907615800641")</f>
        <v>5907615800641</v>
      </c>
      <c r="C2267" t="str">
        <f>IFERROR(__xludf.DUMMYFUNCTION("""COMPUTED_VALUE"""),"Steinhof")</f>
        <v>Steinhof</v>
      </c>
    </row>
    <row r="2268">
      <c r="A2268" t="str">
        <f>IFERROR(__xludf.DUMMYFUNCTION("""COMPUTED_VALUE"""),"A-074")</f>
        <v>A-074</v>
      </c>
      <c r="B2268" s="226" t="str">
        <f>IFERROR(__xludf.DUMMYFUNCTION("""COMPUTED_VALUE"""),"5907615800641")</f>
        <v>5907615800641</v>
      </c>
      <c r="C2268" t="str">
        <f>IFERROR(__xludf.DUMMYFUNCTION("""COMPUTED_VALUE"""),"Steinhof")</f>
        <v>Steinhof</v>
      </c>
    </row>
    <row r="2269">
      <c r="A2269" t="str">
        <f>IFERROR(__xludf.DUMMYFUNCTION("""COMPUTED_VALUE"""),"A-074")</f>
        <v>A-074</v>
      </c>
      <c r="B2269" s="226" t="str">
        <f>IFERROR(__xludf.DUMMYFUNCTION("""COMPUTED_VALUE"""),"5907615800641")</f>
        <v>5907615800641</v>
      </c>
      <c r="C2269" t="str">
        <f>IFERROR(__xludf.DUMMYFUNCTION("""COMPUTED_VALUE"""),"Steinhof")</f>
        <v>Steinhof</v>
      </c>
    </row>
    <row r="2270">
      <c r="A2270" t="str">
        <f>IFERROR(__xludf.DUMMYFUNCTION("""COMPUTED_VALUE"""),"A-074")</f>
        <v>A-074</v>
      </c>
      <c r="B2270" s="226" t="str">
        <f>IFERROR(__xludf.DUMMYFUNCTION("""COMPUTED_VALUE"""),"5907615800641")</f>
        <v>5907615800641</v>
      </c>
      <c r="C2270" t="str">
        <f>IFERROR(__xludf.DUMMYFUNCTION("""COMPUTED_VALUE"""),"Steinhof")</f>
        <v>Steinhof</v>
      </c>
    </row>
    <row r="2271">
      <c r="A2271" t="str">
        <f>IFERROR(__xludf.DUMMYFUNCTION("""COMPUTED_VALUE"""),"A-074")</f>
        <v>A-074</v>
      </c>
      <c r="B2271" s="226" t="str">
        <f>IFERROR(__xludf.DUMMYFUNCTION("""COMPUTED_VALUE"""),"5907615800641")</f>
        <v>5907615800641</v>
      </c>
      <c r="C2271" t="str">
        <f>IFERROR(__xludf.DUMMYFUNCTION("""COMPUTED_VALUE"""),"Steinhof")</f>
        <v>Steinhof</v>
      </c>
    </row>
    <row r="2272">
      <c r="A2272" t="str">
        <f>IFERROR(__xludf.DUMMYFUNCTION("""COMPUTED_VALUE"""),"vtagbar dragkrok ger du 5795 kr inkl moms")</f>
        <v>vtagbar dragkrok ger du 5795 kr inkl moms</v>
      </c>
      <c r="B2272" s="226" t="str">
        <f>IFERROR(__xludf.DUMMYFUNCTION("""COMPUTED_VALUE"""),"5907615800641")</f>
        <v>5907615800641</v>
      </c>
      <c r="C2272" t="str">
        <f>IFERROR(__xludf.DUMMYFUNCTION("""COMPUTED_VALUE"""),"Steinhof")</f>
        <v>Steinhof</v>
      </c>
    </row>
    <row r="2273">
      <c r="A2273" t="str">
        <f>IFERROR(__xludf.DUMMYFUNCTION("""COMPUTED_VALUE"""),"A-075")</f>
        <v>A-075</v>
      </c>
      <c r="B2273" s="226" t="str">
        <f>IFERROR(__xludf.DUMMYFUNCTION("""COMPUTED_VALUE"""),"5907615800658")</f>
        <v>5907615800658</v>
      </c>
      <c r="C2273" t="str">
        <f>IFERROR(__xludf.DUMMYFUNCTION("""COMPUTED_VALUE"""),"Steinhof")</f>
        <v>Steinhof</v>
      </c>
    </row>
    <row r="2274">
      <c r="A2274" t="str">
        <f>IFERROR(__xludf.DUMMYFUNCTION("""COMPUTED_VALUE"""),"A-075")</f>
        <v>A-075</v>
      </c>
      <c r="B2274" s="226" t="str">
        <f>IFERROR(__xludf.DUMMYFUNCTION("""COMPUTED_VALUE"""),"5907615800658")</f>
        <v>5907615800658</v>
      </c>
      <c r="C2274" t="str">
        <f>IFERROR(__xludf.DUMMYFUNCTION("""COMPUTED_VALUE"""),"Steinhof")</f>
        <v>Steinhof</v>
      </c>
    </row>
    <row r="2275">
      <c r="A2275" t="str">
        <f>IFERROR(__xludf.DUMMYFUNCTION("""COMPUTED_VALUE"""),"A-075")</f>
        <v>A-075</v>
      </c>
      <c r="B2275" s="226" t="str">
        <f>IFERROR(__xludf.DUMMYFUNCTION("""COMPUTED_VALUE"""),"5907615800658")</f>
        <v>5907615800658</v>
      </c>
      <c r="C2275" t="str">
        <f>IFERROR(__xludf.DUMMYFUNCTION("""COMPUTED_VALUE"""),"Steinhof")</f>
        <v>Steinhof</v>
      </c>
    </row>
    <row r="2276">
      <c r="A2276" t="str">
        <f>IFERROR(__xludf.DUMMYFUNCTION("""COMPUTED_VALUE"""),"A-075")</f>
        <v>A-075</v>
      </c>
      <c r="B2276" s="226" t="str">
        <f>IFERROR(__xludf.DUMMYFUNCTION("""COMPUTED_VALUE"""),"5907615800658")</f>
        <v>5907615800658</v>
      </c>
      <c r="C2276" t="str">
        <f>IFERROR(__xludf.DUMMYFUNCTION("""COMPUTED_VALUE"""),"Steinhof")</f>
        <v>Steinhof</v>
      </c>
    </row>
    <row r="2277">
      <c r="A2277" t="str">
        <f>IFERROR(__xludf.DUMMYFUNCTION("""COMPUTED_VALUE"""),"A-075")</f>
        <v>A-075</v>
      </c>
      <c r="B2277" s="226" t="str">
        <f>IFERROR(__xludf.DUMMYFUNCTION("""COMPUTED_VALUE"""),"5907615800658")</f>
        <v>5907615800658</v>
      </c>
      <c r="C2277" t="str">
        <f>IFERROR(__xludf.DUMMYFUNCTION("""COMPUTED_VALUE"""),"Steinhof")</f>
        <v>Steinhof</v>
      </c>
    </row>
    <row r="2278">
      <c r="A2278" t="str">
        <f>IFERROR(__xludf.DUMMYFUNCTION("""COMPUTED_VALUE"""),"A-075")</f>
        <v>A-075</v>
      </c>
      <c r="B2278" s="226" t="str">
        <f>IFERROR(__xludf.DUMMYFUNCTION("""COMPUTED_VALUE"""),"5907615800658")</f>
        <v>5907615800658</v>
      </c>
      <c r="C2278" t="str">
        <f>IFERROR(__xludf.DUMMYFUNCTION("""COMPUTED_VALUE"""),"Steinhof")</f>
        <v>Steinhof</v>
      </c>
    </row>
    <row r="2279">
      <c r="A2279" t="str">
        <f>IFERROR(__xludf.DUMMYFUNCTION("""COMPUTED_VALUE"""),"A-076")</f>
        <v>A-076</v>
      </c>
      <c r="B2279" s="226" t="str">
        <f>IFERROR(__xludf.DUMMYFUNCTION("""COMPUTED_VALUE"""),"5907615800665")</f>
        <v>5907615800665</v>
      </c>
      <c r="C2279" t="str">
        <f>IFERROR(__xludf.DUMMYFUNCTION("""COMPUTED_VALUE"""),"Steinhof")</f>
        <v>Steinhof</v>
      </c>
    </row>
    <row r="2280">
      <c r="A2280" t="str">
        <f>IFERROR(__xludf.DUMMYFUNCTION("""COMPUTED_VALUE"""),"A-076")</f>
        <v>A-076</v>
      </c>
      <c r="B2280" s="226" t="str">
        <f>IFERROR(__xludf.DUMMYFUNCTION("""COMPUTED_VALUE"""),"5907615800665")</f>
        <v>5907615800665</v>
      </c>
      <c r="C2280" t="str">
        <f>IFERROR(__xludf.DUMMYFUNCTION("""COMPUTED_VALUE"""),"Steinhof")</f>
        <v>Steinhof</v>
      </c>
    </row>
    <row r="2281">
      <c r="A2281" t="str">
        <f>IFERROR(__xludf.DUMMYFUNCTION("""COMPUTED_VALUE"""),"A-076")</f>
        <v>A-076</v>
      </c>
      <c r="B2281" s="226" t="str">
        <f>IFERROR(__xludf.DUMMYFUNCTION("""COMPUTED_VALUE"""),"5907615800665")</f>
        <v>5907615800665</v>
      </c>
      <c r="C2281" t="str">
        <f>IFERROR(__xludf.DUMMYFUNCTION("""COMPUTED_VALUE"""),"Steinhof")</f>
        <v>Steinhof</v>
      </c>
    </row>
    <row r="2282">
      <c r="A2282" t="str">
        <f>IFERROR(__xludf.DUMMYFUNCTION("""COMPUTED_VALUE"""),"A-076")</f>
        <v>A-076</v>
      </c>
      <c r="B2282" s="226" t="str">
        <f>IFERROR(__xludf.DUMMYFUNCTION("""COMPUTED_VALUE"""),"5907615800665")</f>
        <v>5907615800665</v>
      </c>
      <c r="C2282" t="str">
        <f>IFERROR(__xludf.DUMMYFUNCTION("""COMPUTED_VALUE"""),"Steinhof")</f>
        <v>Steinhof</v>
      </c>
    </row>
    <row r="2283">
      <c r="A2283" t="str">
        <f>IFERROR(__xludf.DUMMYFUNCTION("""COMPUTED_VALUE"""),"A-079")</f>
        <v>A-079</v>
      </c>
      <c r="B2283" s="226" t="str">
        <f>IFERROR(__xludf.DUMMYFUNCTION("""COMPUTED_VALUE"""),"5907615800696")</f>
        <v>5907615800696</v>
      </c>
      <c r="C2283" t="str">
        <f>IFERROR(__xludf.DUMMYFUNCTION("""COMPUTED_VALUE"""),"Steinhof")</f>
        <v>Steinhof</v>
      </c>
    </row>
    <row r="2284">
      <c r="A2284" t="str">
        <f>IFERROR(__xludf.DUMMYFUNCTION("""COMPUTED_VALUE"""),"A-079")</f>
        <v>A-079</v>
      </c>
      <c r="B2284" s="226" t="str">
        <f>IFERROR(__xludf.DUMMYFUNCTION("""COMPUTED_VALUE"""),"5907615800696")</f>
        <v>5907615800696</v>
      </c>
      <c r="C2284" t="str">
        <f>IFERROR(__xludf.DUMMYFUNCTION("""COMPUTED_VALUE"""),"Steinhof")</f>
        <v>Steinhof</v>
      </c>
    </row>
    <row r="2285">
      <c r="A2285" t="str">
        <f>IFERROR(__xludf.DUMMYFUNCTION("""COMPUTED_VALUE"""),"A-079")</f>
        <v>A-079</v>
      </c>
      <c r="B2285" s="226" t="str">
        <f>IFERROR(__xludf.DUMMYFUNCTION("""COMPUTED_VALUE"""),"5907615800696")</f>
        <v>5907615800696</v>
      </c>
      <c r="C2285" t="str">
        <f>IFERROR(__xludf.DUMMYFUNCTION("""COMPUTED_VALUE"""),"Steinhof")</f>
        <v>Steinhof</v>
      </c>
    </row>
    <row r="2286">
      <c r="A2286" t="str">
        <f>IFERROR(__xludf.DUMMYFUNCTION("""COMPUTED_VALUE"""),"A-079")</f>
        <v>A-079</v>
      </c>
      <c r="B2286" s="226" t="str">
        <f>IFERROR(__xludf.DUMMYFUNCTION("""COMPUTED_VALUE"""),"5907615800696")</f>
        <v>5907615800696</v>
      </c>
      <c r="C2286" t="str">
        <f>IFERROR(__xludf.DUMMYFUNCTION("""COMPUTED_VALUE"""),"Steinhof")</f>
        <v>Steinhof</v>
      </c>
    </row>
    <row r="2287">
      <c r="A2287" t="str">
        <f>IFERROR(__xludf.DUMMYFUNCTION("""COMPUTED_VALUE"""),"A-080")</f>
        <v>A-080</v>
      </c>
      <c r="B2287" s="226" t="str">
        <f>IFERROR(__xludf.DUMMYFUNCTION("""COMPUTED_VALUE"""),"5907615800702")</f>
        <v>5907615800702</v>
      </c>
      <c r="C2287" t="str">
        <f>IFERROR(__xludf.DUMMYFUNCTION("""COMPUTED_VALUE"""),"Steinhof")</f>
        <v>Steinhof</v>
      </c>
    </row>
    <row r="2288">
      <c r="A2288" t="str">
        <f>IFERROR(__xludf.DUMMYFUNCTION("""COMPUTED_VALUE"""),"A-080")</f>
        <v>A-080</v>
      </c>
      <c r="B2288" s="226" t="str">
        <f>IFERROR(__xludf.DUMMYFUNCTION("""COMPUTED_VALUE"""),"5907615800702")</f>
        <v>5907615800702</v>
      </c>
      <c r="C2288" t="str">
        <f>IFERROR(__xludf.DUMMYFUNCTION("""COMPUTED_VALUE"""),"Steinhof")</f>
        <v>Steinhof</v>
      </c>
    </row>
    <row r="2289">
      <c r="A2289" t="str">
        <f>IFERROR(__xludf.DUMMYFUNCTION("""COMPUTED_VALUE"""),"A-080")</f>
        <v>A-080</v>
      </c>
      <c r="B2289" s="226" t="str">
        <f>IFERROR(__xludf.DUMMYFUNCTION("""COMPUTED_VALUE"""),"5907615800702")</f>
        <v>5907615800702</v>
      </c>
      <c r="C2289" t="str">
        <f>IFERROR(__xludf.DUMMYFUNCTION("""COMPUTED_VALUE"""),"Steinhof")</f>
        <v>Steinhof</v>
      </c>
    </row>
    <row r="2290">
      <c r="A2290" t="str">
        <f>IFERROR(__xludf.DUMMYFUNCTION("""COMPUTED_VALUE"""),"A-080")</f>
        <v>A-080</v>
      </c>
      <c r="B2290" s="226" t="str">
        <f>IFERROR(__xludf.DUMMYFUNCTION("""COMPUTED_VALUE"""),"5907615800702")</f>
        <v>5907615800702</v>
      </c>
      <c r="C2290" t="str">
        <f>IFERROR(__xludf.DUMMYFUNCTION("""COMPUTED_VALUE"""),"Steinhof")</f>
        <v>Steinhof</v>
      </c>
    </row>
    <row r="2291">
      <c r="A2291" t="str">
        <f>IFERROR(__xludf.DUMMYFUNCTION("""COMPUTED_VALUE"""),"A-082")</f>
        <v>A-082</v>
      </c>
      <c r="B2291" s="226" t="str">
        <f>IFERROR(__xludf.DUMMYFUNCTION("""COMPUTED_VALUE"""),"5907615800726")</f>
        <v>5907615800726</v>
      </c>
      <c r="C2291" t="str">
        <f>IFERROR(__xludf.DUMMYFUNCTION("""COMPUTED_VALUE"""),"Steinhof")</f>
        <v>Steinhof</v>
      </c>
    </row>
    <row r="2292">
      <c r="A2292" t="str">
        <f>IFERROR(__xludf.DUMMYFUNCTION("""COMPUTED_VALUE"""),"A-082")</f>
        <v>A-082</v>
      </c>
      <c r="B2292" s="226" t="str">
        <f>IFERROR(__xludf.DUMMYFUNCTION("""COMPUTED_VALUE"""),"5907615800726")</f>
        <v>5907615800726</v>
      </c>
      <c r="C2292" t="str">
        <f>IFERROR(__xludf.DUMMYFUNCTION("""COMPUTED_VALUE"""),"Steinhof")</f>
        <v>Steinhof</v>
      </c>
    </row>
    <row r="2293">
      <c r="A2293" t="str">
        <f>IFERROR(__xludf.DUMMYFUNCTION("""COMPUTED_VALUE"""),"A-082")</f>
        <v>A-082</v>
      </c>
      <c r="B2293" s="226" t="str">
        <f>IFERROR(__xludf.DUMMYFUNCTION("""COMPUTED_VALUE"""),"5907615800726")</f>
        <v>5907615800726</v>
      </c>
      <c r="C2293" t="str">
        <f>IFERROR(__xludf.DUMMYFUNCTION("""COMPUTED_VALUE"""),"Steinhof")</f>
        <v>Steinhof</v>
      </c>
    </row>
    <row r="2294">
      <c r="A2294" t="str">
        <f>IFERROR(__xludf.DUMMYFUNCTION("""COMPUTED_VALUE"""),"A-082")</f>
        <v>A-082</v>
      </c>
      <c r="B2294" s="226" t="str">
        <f>IFERROR(__xludf.DUMMYFUNCTION("""COMPUTED_VALUE"""),"5907615800726")</f>
        <v>5907615800726</v>
      </c>
      <c r="C2294" t="str">
        <f>IFERROR(__xludf.DUMMYFUNCTION("""COMPUTED_VALUE"""),"Steinhof")</f>
        <v>Steinhof</v>
      </c>
    </row>
    <row r="2295">
      <c r="A2295" t="str">
        <f>IFERROR(__xludf.DUMMYFUNCTION("""COMPUTED_VALUE"""),"A-084")</f>
        <v>A-084</v>
      </c>
      <c r="B2295" s="226" t="str">
        <f>IFERROR(__xludf.DUMMYFUNCTION("""COMPUTED_VALUE"""),"5907615800740")</f>
        <v>5907615800740</v>
      </c>
      <c r="C2295" t="str">
        <f>IFERROR(__xludf.DUMMYFUNCTION("""COMPUTED_VALUE"""),"Steinhof")</f>
        <v>Steinhof</v>
      </c>
    </row>
    <row r="2296">
      <c r="A2296" t="str">
        <f>IFERROR(__xludf.DUMMYFUNCTION("""COMPUTED_VALUE"""),"A-084")</f>
        <v>A-084</v>
      </c>
      <c r="B2296" s="226" t="str">
        <f>IFERROR(__xludf.DUMMYFUNCTION("""COMPUTED_VALUE"""),"5907615800740")</f>
        <v>5907615800740</v>
      </c>
      <c r="C2296" t="str">
        <f>IFERROR(__xludf.DUMMYFUNCTION("""COMPUTED_VALUE"""),"Steinhof")</f>
        <v>Steinhof</v>
      </c>
    </row>
    <row r="2297">
      <c r="A2297" t="str">
        <f>IFERROR(__xludf.DUMMYFUNCTION("""COMPUTED_VALUE"""),"A-084")</f>
        <v>A-084</v>
      </c>
      <c r="B2297" s="226" t="str">
        <f>IFERROR(__xludf.DUMMYFUNCTION("""COMPUTED_VALUE"""),"5907615800740")</f>
        <v>5907615800740</v>
      </c>
      <c r="C2297" t="str">
        <f>IFERROR(__xludf.DUMMYFUNCTION("""COMPUTED_VALUE"""),"Steinhof")</f>
        <v>Steinhof</v>
      </c>
    </row>
    <row r="2298">
      <c r="A2298" t="str">
        <f>IFERROR(__xludf.DUMMYFUNCTION("""COMPUTED_VALUE"""),"A-084")</f>
        <v>A-084</v>
      </c>
      <c r="B2298" s="226" t="str">
        <f>IFERROR(__xludf.DUMMYFUNCTION("""COMPUTED_VALUE"""),"5907615800740")</f>
        <v>5907615800740</v>
      </c>
      <c r="C2298" t="str">
        <f>IFERROR(__xludf.DUMMYFUNCTION("""COMPUTED_VALUE"""),"Steinhof")</f>
        <v>Steinhof</v>
      </c>
    </row>
    <row r="2299">
      <c r="A2299" t="str">
        <f>IFERROR(__xludf.DUMMYFUNCTION("""COMPUTED_VALUE"""),"A-085")</f>
        <v>A-085</v>
      </c>
      <c r="B2299" s="226" t="str">
        <f>IFERROR(__xludf.DUMMYFUNCTION("""COMPUTED_VALUE"""),"5907615800757")</f>
        <v>5907615800757</v>
      </c>
      <c r="C2299" t="str">
        <f>IFERROR(__xludf.DUMMYFUNCTION("""COMPUTED_VALUE"""),"Steinhof")</f>
        <v>Steinhof</v>
      </c>
    </row>
    <row r="2300">
      <c r="A2300" t="str">
        <f>IFERROR(__xludf.DUMMYFUNCTION("""COMPUTED_VALUE"""),"A-085")</f>
        <v>A-085</v>
      </c>
      <c r="B2300" s="226" t="str">
        <f>IFERROR(__xludf.DUMMYFUNCTION("""COMPUTED_VALUE"""),"5907615800757")</f>
        <v>5907615800757</v>
      </c>
      <c r="C2300" t="str">
        <f>IFERROR(__xludf.DUMMYFUNCTION("""COMPUTED_VALUE"""),"Steinhof")</f>
        <v>Steinhof</v>
      </c>
    </row>
    <row r="2301">
      <c r="A2301" t="str">
        <f>IFERROR(__xludf.DUMMYFUNCTION("""COMPUTED_VALUE"""),"A-085")</f>
        <v>A-085</v>
      </c>
      <c r="B2301" s="226" t="str">
        <f>IFERROR(__xludf.DUMMYFUNCTION("""COMPUTED_VALUE"""),"5907615800757")</f>
        <v>5907615800757</v>
      </c>
      <c r="C2301" t="str">
        <f>IFERROR(__xludf.DUMMYFUNCTION("""COMPUTED_VALUE"""),"Steinhof")</f>
        <v>Steinhof</v>
      </c>
    </row>
    <row r="2302">
      <c r="A2302" t="str">
        <f>IFERROR(__xludf.DUMMYFUNCTION("""COMPUTED_VALUE"""),"A-085")</f>
        <v>A-085</v>
      </c>
      <c r="B2302" s="226" t="str">
        <f>IFERROR(__xludf.DUMMYFUNCTION("""COMPUTED_VALUE"""),"5907615800757")</f>
        <v>5907615800757</v>
      </c>
      <c r="C2302" t="str">
        <f>IFERROR(__xludf.DUMMYFUNCTION("""COMPUTED_VALUE"""),"Steinhof")</f>
        <v>Steinhof</v>
      </c>
    </row>
    <row r="2303">
      <c r="A2303" t="str">
        <f>IFERROR(__xludf.DUMMYFUNCTION("""COMPUTED_VALUE"""),"A-086")</f>
        <v>A-086</v>
      </c>
      <c r="B2303" s="226" t="str">
        <f>IFERROR(__xludf.DUMMYFUNCTION("""COMPUTED_VALUE"""),"5907615800764")</f>
        <v>5907615800764</v>
      </c>
      <c r="C2303" t="str">
        <f>IFERROR(__xludf.DUMMYFUNCTION("""COMPUTED_VALUE"""),"Steinhof")</f>
        <v>Steinhof</v>
      </c>
    </row>
    <row r="2304">
      <c r="A2304" t="str">
        <f>IFERROR(__xludf.DUMMYFUNCTION("""COMPUTED_VALUE"""),"A-086")</f>
        <v>A-086</v>
      </c>
      <c r="B2304" s="226" t="str">
        <f>IFERROR(__xludf.DUMMYFUNCTION("""COMPUTED_VALUE"""),"5907615800764")</f>
        <v>5907615800764</v>
      </c>
      <c r="C2304" t="str">
        <f>IFERROR(__xludf.DUMMYFUNCTION("""COMPUTED_VALUE"""),"Steinhof")</f>
        <v>Steinhof</v>
      </c>
    </row>
    <row r="2305">
      <c r="A2305" t="str">
        <f>IFERROR(__xludf.DUMMYFUNCTION("""COMPUTED_VALUE"""),"A-086")</f>
        <v>A-086</v>
      </c>
      <c r="B2305" s="226" t="str">
        <f>IFERROR(__xludf.DUMMYFUNCTION("""COMPUTED_VALUE"""),"5907615800764")</f>
        <v>5907615800764</v>
      </c>
      <c r="C2305" t="str">
        <f>IFERROR(__xludf.DUMMYFUNCTION("""COMPUTED_VALUE"""),"Steinhof")</f>
        <v>Steinhof</v>
      </c>
    </row>
    <row r="2306">
      <c r="A2306" t="str">
        <f>IFERROR(__xludf.DUMMYFUNCTION("""COMPUTED_VALUE"""),"A-086")</f>
        <v>A-086</v>
      </c>
      <c r="B2306" s="226" t="str">
        <f>IFERROR(__xludf.DUMMYFUNCTION("""COMPUTED_VALUE"""),"5907615800764")</f>
        <v>5907615800764</v>
      </c>
      <c r="C2306" t="str">
        <f>IFERROR(__xludf.DUMMYFUNCTION("""COMPUTED_VALUE"""),"Steinhof")</f>
        <v>Steinhof</v>
      </c>
    </row>
    <row r="2307">
      <c r="A2307" t="str">
        <f>IFERROR(__xludf.DUMMYFUNCTION("""COMPUTED_VALUE"""),"A-088")</f>
        <v>A-088</v>
      </c>
      <c r="B2307" s="226" t="str">
        <f>IFERROR(__xludf.DUMMYFUNCTION("""COMPUTED_VALUE"""),"5907615800788")</f>
        <v>5907615800788</v>
      </c>
      <c r="C2307" t="str">
        <f>IFERROR(__xludf.DUMMYFUNCTION("""COMPUTED_VALUE"""),"Steinhof")</f>
        <v>Steinhof</v>
      </c>
    </row>
    <row r="2308">
      <c r="A2308" t="str">
        <f>IFERROR(__xludf.DUMMYFUNCTION("""COMPUTED_VALUE"""),"A-088")</f>
        <v>A-088</v>
      </c>
      <c r="B2308" s="226" t="str">
        <f>IFERROR(__xludf.DUMMYFUNCTION("""COMPUTED_VALUE"""),"5907615800788")</f>
        <v>5907615800788</v>
      </c>
      <c r="C2308" t="str">
        <f>IFERROR(__xludf.DUMMYFUNCTION("""COMPUTED_VALUE"""),"Steinhof")</f>
        <v>Steinhof</v>
      </c>
    </row>
    <row r="2309">
      <c r="A2309" t="str">
        <f>IFERROR(__xludf.DUMMYFUNCTION("""COMPUTED_VALUE"""),"A-088")</f>
        <v>A-088</v>
      </c>
      <c r="B2309" s="226" t="str">
        <f>IFERROR(__xludf.DUMMYFUNCTION("""COMPUTED_VALUE"""),"5907615800788")</f>
        <v>5907615800788</v>
      </c>
      <c r="C2309" t="str">
        <f>IFERROR(__xludf.DUMMYFUNCTION("""COMPUTED_VALUE"""),"Steinhof")</f>
        <v>Steinhof</v>
      </c>
    </row>
    <row r="2310">
      <c r="A2310" t="str">
        <f>IFERROR(__xludf.DUMMYFUNCTION("""COMPUTED_VALUE"""),"A-088")</f>
        <v>A-088</v>
      </c>
      <c r="B2310" s="226" t="str">
        <f>IFERROR(__xludf.DUMMYFUNCTION("""COMPUTED_VALUE"""),"5907615800788")</f>
        <v>5907615800788</v>
      </c>
      <c r="C2310" t="str">
        <f>IFERROR(__xludf.DUMMYFUNCTION("""COMPUTED_VALUE"""),"Steinhof")</f>
        <v>Steinhof</v>
      </c>
    </row>
    <row r="2311">
      <c r="A2311" t="str">
        <f>IFERROR(__xludf.DUMMYFUNCTION("""COMPUTED_VALUE"""),"A-089/1")</f>
        <v>A-089/1</v>
      </c>
      <c r="B2311" s="226" t="str">
        <f>IFERROR(__xludf.DUMMYFUNCTION("""COMPUTED_VALUE"""),"5907615800801")</f>
        <v>5907615800801</v>
      </c>
      <c r="C2311" t="str">
        <f>IFERROR(__xludf.DUMMYFUNCTION("""COMPUTED_VALUE"""),"Steinhof")</f>
        <v>Steinhof</v>
      </c>
    </row>
    <row r="2312">
      <c r="A2312" t="str">
        <f>IFERROR(__xludf.DUMMYFUNCTION("""COMPUTED_VALUE"""),"A-089/1")</f>
        <v>A-089/1</v>
      </c>
      <c r="B2312" s="226" t="str">
        <f>IFERROR(__xludf.DUMMYFUNCTION("""COMPUTED_VALUE"""),"5907615800801")</f>
        <v>5907615800801</v>
      </c>
      <c r="C2312" t="str">
        <f>IFERROR(__xludf.DUMMYFUNCTION("""COMPUTED_VALUE"""),"Steinhof")</f>
        <v>Steinhof</v>
      </c>
    </row>
    <row r="2313">
      <c r="A2313" t="str">
        <f>IFERROR(__xludf.DUMMYFUNCTION("""COMPUTED_VALUE"""),"A-089/1")</f>
        <v>A-089/1</v>
      </c>
      <c r="B2313" s="226" t="str">
        <f>IFERROR(__xludf.DUMMYFUNCTION("""COMPUTED_VALUE"""),"5907615800801")</f>
        <v>5907615800801</v>
      </c>
      <c r="C2313" t="str">
        <f>IFERROR(__xludf.DUMMYFUNCTION("""COMPUTED_VALUE"""),"Steinhof")</f>
        <v>Steinhof</v>
      </c>
    </row>
    <row r="2314">
      <c r="A2314" t="str">
        <f>IFERROR(__xludf.DUMMYFUNCTION("""COMPUTED_VALUE"""),"A-089/1")</f>
        <v>A-089/1</v>
      </c>
      <c r="B2314" s="226" t="str">
        <f>IFERROR(__xludf.DUMMYFUNCTION("""COMPUTED_VALUE"""),"5907615800801")</f>
        <v>5907615800801</v>
      </c>
      <c r="C2314" t="str">
        <f>IFERROR(__xludf.DUMMYFUNCTION("""COMPUTED_VALUE"""),"Steinhof")</f>
        <v>Steinhof</v>
      </c>
    </row>
    <row r="2315">
      <c r="A2315" t="str">
        <f>IFERROR(__xludf.DUMMYFUNCTION("""COMPUTED_VALUE"""),"A-092")</f>
        <v>A-092</v>
      </c>
      <c r="B2315" s="226" t="str">
        <f>IFERROR(__xludf.DUMMYFUNCTION("""COMPUTED_VALUE"""),"5907615800825")</f>
        <v>5907615800825</v>
      </c>
      <c r="C2315" t="str">
        <f>IFERROR(__xludf.DUMMYFUNCTION("""COMPUTED_VALUE"""),"Steinhof")</f>
        <v>Steinhof</v>
      </c>
    </row>
    <row r="2316">
      <c r="A2316" t="str">
        <f>IFERROR(__xludf.DUMMYFUNCTION("""COMPUTED_VALUE"""),"A-092")</f>
        <v>A-092</v>
      </c>
      <c r="B2316" s="226" t="str">
        <f>IFERROR(__xludf.DUMMYFUNCTION("""COMPUTED_VALUE"""),"5907615800825")</f>
        <v>5907615800825</v>
      </c>
      <c r="C2316" t="str">
        <f>IFERROR(__xludf.DUMMYFUNCTION("""COMPUTED_VALUE"""),"Steinhof")</f>
        <v>Steinhof</v>
      </c>
    </row>
    <row r="2317">
      <c r="A2317" t="str">
        <f>IFERROR(__xludf.DUMMYFUNCTION("""COMPUTED_VALUE"""),"A-092")</f>
        <v>A-092</v>
      </c>
      <c r="B2317" s="226" t="str">
        <f>IFERROR(__xludf.DUMMYFUNCTION("""COMPUTED_VALUE"""),"5907615800825")</f>
        <v>5907615800825</v>
      </c>
      <c r="C2317" t="str">
        <f>IFERROR(__xludf.DUMMYFUNCTION("""COMPUTED_VALUE"""),"Steinhof")</f>
        <v>Steinhof</v>
      </c>
    </row>
    <row r="2318">
      <c r="A2318" t="str">
        <f>IFERROR(__xludf.DUMMYFUNCTION("""COMPUTED_VALUE"""),"A-092")</f>
        <v>A-092</v>
      </c>
      <c r="B2318" s="226" t="str">
        <f>IFERROR(__xludf.DUMMYFUNCTION("""COMPUTED_VALUE"""),"5907615800825")</f>
        <v>5907615800825</v>
      </c>
      <c r="C2318" t="str">
        <f>IFERROR(__xludf.DUMMYFUNCTION("""COMPUTED_VALUE"""),"Steinhof")</f>
        <v>Steinhof</v>
      </c>
    </row>
    <row r="2319">
      <c r="A2319" t="str">
        <f>IFERROR(__xludf.DUMMYFUNCTION("""COMPUTED_VALUE"""),"A-092")</f>
        <v>A-092</v>
      </c>
      <c r="B2319" s="226" t="str">
        <f>IFERROR(__xludf.DUMMYFUNCTION("""COMPUTED_VALUE"""),"5907615800825")</f>
        <v>5907615800825</v>
      </c>
      <c r="C2319" t="str">
        <f>IFERROR(__xludf.DUMMYFUNCTION("""COMPUTED_VALUE"""),"Steinhof")</f>
        <v>Steinhof</v>
      </c>
    </row>
    <row r="2320">
      <c r="A2320" t="str">
        <f>IFERROR(__xludf.DUMMYFUNCTION("""COMPUTED_VALUE"""),"A-092")</f>
        <v>A-092</v>
      </c>
      <c r="B2320" s="226" t="str">
        <f>IFERROR(__xludf.DUMMYFUNCTION("""COMPUTED_VALUE"""),"5907615800825")</f>
        <v>5907615800825</v>
      </c>
      <c r="C2320" t="str">
        <f>IFERROR(__xludf.DUMMYFUNCTION("""COMPUTED_VALUE"""),"Steinhof")</f>
        <v>Steinhof</v>
      </c>
    </row>
    <row r="2321">
      <c r="A2321" t="str">
        <f>IFERROR(__xludf.DUMMYFUNCTION("""COMPUTED_VALUE"""),"A-092")</f>
        <v>A-092</v>
      </c>
      <c r="B2321" s="226" t="str">
        <f>IFERROR(__xludf.DUMMYFUNCTION("""COMPUTED_VALUE"""),"5907615800825")</f>
        <v>5907615800825</v>
      </c>
      <c r="C2321" t="str">
        <f>IFERROR(__xludf.DUMMYFUNCTION("""COMPUTED_VALUE"""),"Steinhof")</f>
        <v>Steinhof</v>
      </c>
    </row>
    <row r="2322">
      <c r="A2322" t="str">
        <f>IFERROR(__xludf.DUMMYFUNCTION("""COMPUTED_VALUE"""),"A-092")</f>
        <v>A-092</v>
      </c>
      <c r="B2322" s="226" t="str">
        <f>IFERROR(__xludf.DUMMYFUNCTION("""COMPUTED_VALUE"""),"5907615800825")</f>
        <v>5907615800825</v>
      </c>
      <c r="C2322" t="str">
        <f>IFERROR(__xludf.DUMMYFUNCTION("""COMPUTED_VALUE"""),"Steinhof")</f>
        <v>Steinhof</v>
      </c>
    </row>
    <row r="2323">
      <c r="A2323" t="str">
        <f>IFERROR(__xludf.DUMMYFUNCTION("""COMPUTED_VALUE"""),"A-093")</f>
        <v>A-093</v>
      </c>
      <c r="B2323" s="226" t="str">
        <f>IFERROR(__xludf.DUMMYFUNCTION("""COMPUTED_VALUE"""),"5907615800832")</f>
        <v>5907615800832</v>
      </c>
      <c r="C2323" t="str">
        <f>IFERROR(__xludf.DUMMYFUNCTION("""COMPUTED_VALUE"""),"Steinhof")</f>
        <v>Steinhof</v>
      </c>
    </row>
    <row r="2324">
      <c r="A2324" t="str">
        <f>IFERROR(__xludf.DUMMYFUNCTION("""COMPUTED_VALUE"""),"A-093")</f>
        <v>A-093</v>
      </c>
      <c r="B2324" s="226" t="str">
        <f>IFERROR(__xludf.DUMMYFUNCTION("""COMPUTED_VALUE"""),"5907615800832")</f>
        <v>5907615800832</v>
      </c>
      <c r="C2324" t="str">
        <f>IFERROR(__xludf.DUMMYFUNCTION("""COMPUTED_VALUE"""),"Steinhof")</f>
        <v>Steinhof</v>
      </c>
    </row>
    <row r="2325">
      <c r="A2325" t="str">
        <f>IFERROR(__xludf.DUMMYFUNCTION("""COMPUTED_VALUE"""),"A-093")</f>
        <v>A-093</v>
      </c>
      <c r="B2325" s="226" t="str">
        <f>IFERROR(__xludf.DUMMYFUNCTION("""COMPUTED_VALUE"""),"5907615800832")</f>
        <v>5907615800832</v>
      </c>
      <c r="C2325" t="str">
        <f>IFERROR(__xludf.DUMMYFUNCTION("""COMPUTED_VALUE"""),"Steinhof")</f>
        <v>Steinhof</v>
      </c>
    </row>
    <row r="2326">
      <c r="A2326" t="str">
        <f>IFERROR(__xludf.DUMMYFUNCTION("""COMPUTED_VALUE"""),"A-093")</f>
        <v>A-093</v>
      </c>
      <c r="B2326" s="226" t="str">
        <f>IFERROR(__xludf.DUMMYFUNCTION("""COMPUTED_VALUE"""),"5907615800832")</f>
        <v>5907615800832</v>
      </c>
      <c r="C2326" t="str">
        <f>IFERROR(__xludf.DUMMYFUNCTION("""COMPUTED_VALUE"""),"Steinhof")</f>
        <v>Steinhof</v>
      </c>
    </row>
    <row r="2327">
      <c r="A2327" t="str">
        <f>IFERROR(__xludf.DUMMYFUNCTION("""COMPUTED_VALUE"""),"A-093")</f>
        <v>A-093</v>
      </c>
      <c r="B2327" s="226" t="str">
        <f>IFERROR(__xludf.DUMMYFUNCTION("""COMPUTED_VALUE"""),"5907615800832")</f>
        <v>5907615800832</v>
      </c>
      <c r="C2327" t="str">
        <f>IFERROR(__xludf.DUMMYFUNCTION("""COMPUTED_VALUE"""),"Steinhof")</f>
        <v>Steinhof</v>
      </c>
    </row>
    <row r="2328">
      <c r="A2328" t="str">
        <f>IFERROR(__xludf.DUMMYFUNCTION("""COMPUTED_VALUE"""),"A-093")</f>
        <v>A-093</v>
      </c>
      <c r="B2328" s="226" t="str">
        <f>IFERROR(__xludf.DUMMYFUNCTION("""COMPUTED_VALUE"""),"5907615800832")</f>
        <v>5907615800832</v>
      </c>
      <c r="C2328" t="str">
        <f>IFERROR(__xludf.DUMMYFUNCTION("""COMPUTED_VALUE"""),"Steinhof")</f>
        <v>Steinhof</v>
      </c>
    </row>
    <row r="2329">
      <c r="A2329" t="str">
        <f>IFERROR(__xludf.DUMMYFUNCTION("""COMPUTED_VALUE"""),"A-093")</f>
        <v>A-093</v>
      </c>
      <c r="B2329" s="226" t="str">
        <f>IFERROR(__xludf.DUMMYFUNCTION("""COMPUTED_VALUE"""),"5907615800832")</f>
        <v>5907615800832</v>
      </c>
      <c r="C2329" t="str">
        <f>IFERROR(__xludf.DUMMYFUNCTION("""COMPUTED_VALUE"""),"Steinhof")</f>
        <v>Steinhof</v>
      </c>
    </row>
    <row r="2330">
      <c r="A2330" t="str">
        <f>IFERROR(__xludf.DUMMYFUNCTION("""COMPUTED_VALUE"""),"A-093")</f>
        <v>A-093</v>
      </c>
      <c r="B2330" s="226" t="str">
        <f>IFERROR(__xludf.DUMMYFUNCTION("""COMPUTED_VALUE"""),"5907615800832")</f>
        <v>5907615800832</v>
      </c>
      <c r="C2330" t="str">
        <f>IFERROR(__xludf.DUMMYFUNCTION("""COMPUTED_VALUE"""),"Steinhof")</f>
        <v>Steinhof</v>
      </c>
    </row>
    <row r="2331">
      <c r="A2331" t="str">
        <f>IFERROR(__xludf.DUMMYFUNCTION("""COMPUTED_VALUE"""),"A-094")</f>
        <v>A-094</v>
      </c>
      <c r="B2331" s="226" t="str">
        <f>IFERROR(__xludf.DUMMYFUNCTION("""COMPUTED_VALUE"""),"5907615800849")</f>
        <v>5907615800849</v>
      </c>
      <c r="C2331" t="str">
        <f>IFERROR(__xludf.DUMMYFUNCTION("""COMPUTED_VALUE"""),"Steinhof")</f>
        <v>Steinhof</v>
      </c>
    </row>
    <row r="2332">
      <c r="A2332" t="str">
        <f>IFERROR(__xludf.DUMMYFUNCTION("""COMPUTED_VALUE"""),"A-094")</f>
        <v>A-094</v>
      </c>
      <c r="B2332" s="226" t="str">
        <f>IFERROR(__xludf.DUMMYFUNCTION("""COMPUTED_VALUE"""),"5907615800849")</f>
        <v>5907615800849</v>
      </c>
      <c r="C2332" t="str">
        <f>IFERROR(__xludf.DUMMYFUNCTION("""COMPUTED_VALUE"""),"Steinhof")</f>
        <v>Steinhof</v>
      </c>
    </row>
    <row r="2333">
      <c r="A2333" t="str">
        <f>IFERROR(__xludf.DUMMYFUNCTION("""COMPUTED_VALUE"""),"A-096")</f>
        <v>A-096</v>
      </c>
      <c r="B2333" s="226" t="str">
        <f>IFERROR(__xludf.DUMMYFUNCTION("""COMPUTED_VALUE"""),"5907615800863")</f>
        <v>5907615800863</v>
      </c>
      <c r="C2333" t="str">
        <f>IFERROR(__xludf.DUMMYFUNCTION("""COMPUTED_VALUE"""),"Steinhof")</f>
        <v>Steinhof</v>
      </c>
    </row>
    <row r="2334">
      <c r="A2334" t="str">
        <f>IFERROR(__xludf.DUMMYFUNCTION("""COMPUTED_VALUE"""),"A-096")</f>
        <v>A-096</v>
      </c>
      <c r="B2334" s="226" t="str">
        <f>IFERROR(__xludf.DUMMYFUNCTION("""COMPUTED_VALUE"""),"5907615800863")</f>
        <v>5907615800863</v>
      </c>
      <c r="C2334" t="str">
        <f>IFERROR(__xludf.DUMMYFUNCTION("""COMPUTED_VALUE"""),"Steinhof")</f>
        <v>Steinhof</v>
      </c>
    </row>
    <row r="2335">
      <c r="A2335" t="str">
        <f>IFERROR(__xludf.DUMMYFUNCTION("""COMPUTED_VALUE"""),"A-097")</f>
        <v>A-097</v>
      </c>
      <c r="B2335" s="226" t="str">
        <f>IFERROR(__xludf.DUMMYFUNCTION("""COMPUTED_VALUE"""),"5907615800870")</f>
        <v>5907615800870</v>
      </c>
      <c r="C2335" t="str">
        <f>IFERROR(__xludf.DUMMYFUNCTION("""COMPUTED_VALUE"""),"Steinhof")</f>
        <v>Steinhof</v>
      </c>
    </row>
    <row r="2336">
      <c r="A2336" t="str">
        <f>IFERROR(__xludf.DUMMYFUNCTION("""COMPUTED_VALUE"""),"A-097")</f>
        <v>A-097</v>
      </c>
      <c r="B2336" s="226" t="str">
        <f>IFERROR(__xludf.DUMMYFUNCTION("""COMPUTED_VALUE"""),"5907615800870")</f>
        <v>5907615800870</v>
      </c>
      <c r="C2336" t="str">
        <f>IFERROR(__xludf.DUMMYFUNCTION("""COMPUTED_VALUE"""),"Steinhof")</f>
        <v>Steinhof</v>
      </c>
    </row>
    <row r="2337">
      <c r="A2337" t="str">
        <f>IFERROR(__xludf.DUMMYFUNCTION("""COMPUTED_VALUE"""),"A-098")</f>
        <v>A-098</v>
      </c>
      <c r="B2337" s="226" t="str">
        <f>IFERROR(__xludf.DUMMYFUNCTION("""COMPUTED_VALUE"""),"5907615800887")</f>
        <v>5907615800887</v>
      </c>
      <c r="C2337" t="str">
        <f>IFERROR(__xludf.DUMMYFUNCTION("""COMPUTED_VALUE"""),"Steinhof")</f>
        <v>Steinhof</v>
      </c>
    </row>
    <row r="2338">
      <c r="A2338" t="str">
        <f>IFERROR(__xludf.DUMMYFUNCTION("""COMPUTED_VALUE"""),"A-098")</f>
        <v>A-098</v>
      </c>
      <c r="B2338" s="226" t="str">
        <f>IFERROR(__xludf.DUMMYFUNCTION("""COMPUTED_VALUE"""),"5907615800887")</f>
        <v>5907615800887</v>
      </c>
      <c r="C2338" t="str">
        <f>IFERROR(__xludf.DUMMYFUNCTION("""COMPUTED_VALUE"""),"Steinhof")</f>
        <v>Steinhof</v>
      </c>
    </row>
    <row r="2339">
      <c r="A2339" t="str">
        <f>IFERROR(__xludf.DUMMYFUNCTION("""COMPUTED_VALUE"""),"A-098")</f>
        <v>A-098</v>
      </c>
      <c r="B2339" s="226" t="str">
        <f>IFERROR(__xludf.DUMMYFUNCTION("""COMPUTED_VALUE"""),"5907615800887")</f>
        <v>5907615800887</v>
      </c>
      <c r="C2339" t="str">
        <f>IFERROR(__xludf.DUMMYFUNCTION("""COMPUTED_VALUE"""),"Steinhof")</f>
        <v>Steinhof</v>
      </c>
    </row>
    <row r="2340">
      <c r="A2340" t="str">
        <f>IFERROR(__xludf.DUMMYFUNCTION("""COMPUTED_VALUE"""),"A-098")</f>
        <v>A-098</v>
      </c>
      <c r="B2340" s="226" t="str">
        <f>IFERROR(__xludf.DUMMYFUNCTION("""COMPUTED_VALUE"""),"5907615800887")</f>
        <v>5907615800887</v>
      </c>
      <c r="C2340" t="str">
        <f>IFERROR(__xludf.DUMMYFUNCTION("""COMPUTED_VALUE"""),"Steinhof")</f>
        <v>Steinhof</v>
      </c>
    </row>
    <row r="2341">
      <c r="A2341" t="str">
        <f>IFERROR(__xludf.DUMMYFUNCTION("""COMPUTED_VALUE"""),"A-099")</f>
        <v>A-099</v>
      </c>
      <c r="B2341" s="226" t="str">
        <f>IFERROR(__xludf.DUMMYFUNCTION("""COMPUTED_VALUE"""),"5907615800894")</f>
        <v>5907615800894</v>
      </c>
      <c r="C2341" t="str">
        <f>IFERROR(__xludf.DUMMYFUNCTION("""COMPUTED_VALUE"""),"Steinhof")</f>
        <v>Steinhof</v>
      </c>
    </row>
    <row r="2342">
      <c r="A2342" t="str">
        <f>IFERROR(__xludf.DUMMYFUNCTION("""COMPUTED_VALUE"""),"A-099")</f>
        <v>A-099</v>
      </c>
      <c r="B2342" s="226" t="str">
        <f>IFERROR(__xludf.DUMMYFUNCTION("""COMPUTED_VALUE"""),"5907615800894")</f>
        <v>5907615800894</v>
      </c>
      <c r="C2342" t="str">
        <f>IFERROR(__xludf.DUMMYFUNCTION("""COMPUTED_VALUE"""),"Steinhof")</f>
        <v>Steinhof</v>
      </c>
    </row>
    <row r="2343">
      <c r="A2343" t="str">
        <f>IFERROR(__xludf.DUMMYFUNCTION("""COMPUTED_VALUE"""),"A-099")</f>
        <v>A-099</v>
      </c>
      <c r="B2343" s="226" t="str">
        <f>IFERROR(__xludf.DUMMYFUNCTION("""COMPUTED_VALUE"""),"5907615800894")</f>
        <v>5907615800894</v>
      </c>
      <c r="C2343" t="str">
        <f>IFERROR(__xludf.DUMMYFUNCTION("""COMPUTED_VALUE"""),"Steinhof")</f>
        <v>Steinhof</v>
      </c>
    </row>
    <row r="2344">
      <c r="A2344" t="str">
        <f>IFERROR(__xludf.DUMMYFUNCTION("""COMPUTED_VALUE"""),"A-099")</f>
        <v>A-099</v>
      </c>
      <c r="B2344" s="226" t="str">
        <f>IFERROR(__xludf.DUMMYFUNCTION("""COMPUTED_VALUE"""),"5907615800894")</f>
        <v>5907615800894</v>
      </c>
      <c r="C2344" t="str">
        <f>IFERROR(__xludf.DUMMYFUNCTION("""COMPUTED_VALUE"""),"Steinhof")</f>
        <v>Steinhof</v>
      </c>
    </row>
    <row r="2345">
      <c r="A2345" t="str">
        <f>IFERROR(__xludf.DUMMYFUNCTION("""COMPUTED_VALUE"""),"A-100")</f>
        <v>A-100</v>
      </c>
      <c r="B2345" s="226" t="str">
        <f>IFERROR(__xludf.DUMMYFUNCTION("""COMPUTED_VALUE"""),"5907615800900")</f>
        <v>5907615800900</v>
      </c>
      <c r="C2345" t="str">
        <f>IFERROR(__xludf.DUMMYFUNCTION("""COMPUTED_VALUE"""),"Steinhof")</f>
        <v>Steinhof</v>
      </c>
    </row>
    <row r="2346">
      <c r="A2346" t="str">
        <f>IFERROR(__xludf.DUMMYFUNCTION("""COMPUTED_VALUE"""),"A-100")</f>
        <v>A-100</v>
      </c>
      <c r="B2346" s="226" t="str">
        <f>IFERROR(__xludf.DUMMYFUNCTION("""COMPUTED_VALUE"""),"5907615800900")</f>
        <v>5907615800900</v>
      </c>
      <c r="C2346" t="str">
        <f>IFERROR(__xludf.DUMMYFUNCTION("""COMPUTED_VALUE"""),"Steinhof")</f>
        <v>Steinhof</v>
      </c>
    </row>
    <row r="2347">
      <c r="A2347" t="str">
        <f>IFERROR(__xludf.DUMMYFUNCTION("""COMPUTED_VALUE"""),"A-101")</f>
        <v>A-101</v>
      </c>
      <c r="B2347" s="226" t="str">
        <f>IFERROR(__xludf.DUMMYFUNCTION("""COMPUTED_VALUE"""),"5907615800917")</f>
        <v>5907615800917</v>
      </c>
      <c r="C2347" t="str">
        <f>IFERROR(__xludf.DUMMYFUNCTION("""COMPUTED_VALUE"""),"Steinhof")</f>
        <v>Steinhof</v>
      </c>
    </row>
    <row r="2348">
      <c r="A2348" t="str">
        <f>IFERROR(__xludf.DUMMYFUNCTION("""COMPUTED_VALUE"""),"A-101")</f>
        <v>A-101</v>
      </c>
      <c r="B2348" s="226" t="str">
        <f>IFERROR(__xludf.DUMMYFUNCTION("""COMPUTED_VALUE"""),"5907615800917")</f>
        <v>5907615800917</v>
      </c>
      <c r="C2348" t="str">
        <f>IFERROR(__xludf.DUMMYFUNCTION("""COMPUTED_VALUE"""),"Steinhof")</f>
        <v>Steinhof</v>
      </c>
    </row>
    <row r="2349">
      <c r="A2349" t="str">
        <f>IFERROR(__xludf.DUMMYFUNCTION("""COMPUTED_VALUE"""),"A-102")</f>
        <v>A-102</v>
      </c>
      <c r="B2349" s="226" t="str">
        <f>IFERROR(__xludf.DUMMYFUNCTION("""COMPUTED_VALUE"""),"5907615800924")</f>
        <v>5907615800924</v>
      </c>
      <c r="C2349" t="str">
        <f>IFERROR(__xludf.DUMMYFUNCTION("""COMPUTED_VALUE"""),"Steinhof")</f>
        <v>Steinhof</v>
      </c>
    </row>
    <row r="2350">
      <c r="A2350" t="str">
        <f>IFERROR(__xludf.DUMMYFUNCTION("""COMPUTED_VALUE"""),"A-102")</f>
        <v>A-102</v>
      </c>
      <c r="B2350" s="226" t="str">
        <f>IFERROR(__xludf.DUMMYFUNCTION("""COMPUTED_VALUE"""),"5907615800924")</f>
        <v>5907615800924</v>
      </c>
      <c r="C2350" t="str">
        <f>IFERROR(__xludf.DUMMYFUNCTION("""COMPUTED_VALUE"""),"Steinhof")</f>
        <v>Steinhof</v>
      </c>
    </row>
    <row r="2351">
      <c r="A2351" t="str">
        <f>IFERROR(__xludf.DUMMYFUNCTION("""COMPUTED_VALUE"""),"A-103")</f>
        <v>A-103</v>
      </c>
      <c r="B2351" s="226" t="str">
        <f>IFERROR(__xludf.DUMMYFUNCTION("""COMPUTED_VALUE"""),"5907615800931")</f>
        <v>5907615800931</v>
      </c>
      <c r="C2351" t="str">
        <f>IFERROR(__xludf.DUMMYFUNCTION("""COMPUTED_VALUE"""),"Steinhof")</f>
        <v>Steinhof</v>
      </c>
    </row>
    <row r="2352">
      <c r="A2352" t="str">
        <f>IFERROR(__xludf.DUMMYFUNCTION("""COMPUTED_VALUE"""),"A-103")</f>
        <v>A-103</v>
      </c>
      <c r="B2352" s="226" t="str">
        <f>IFERROR(__xludf.DUMMYFUNCTION("""COMPUTED_VALUE"""),"5907615800931")</f>
        <v>5907615800931</v>
      </c>
      <c r="C2352" t="str">
        <f>IFERROR(__xludf.DUMMYFUNCTION("""COMPUTED_VALUE"""),"Steinhof")</f>
        <v>Steinhof</v>
      </c>
    </row>
    <row r="2353">
      <c r="A2353" t="str">
        <f>IFERROR(__xludf.DUMMYFUNCTION("""COMPUTED_VALUE"""),"A-104")</f>
        <v>A-104</v>
      </c>
      <c r="B2353" s="226" t="str">
        <f>IFERROR(__xludf.DUMMYFUNCTION("""COMPUTED_VALUE"""),"5907615800948")</f>
        <v>5907615800948</v>
      </c>
      <c r="C2353" t="str">
        <f>IFERROR(__xludf.DUMMYFUNCTION("""COMPUTED_VALUE"""),"Steinhof")</f>
        <v>Steinhof</v>
      </c>
    </row>
    <row r="2354">
      <c r="A2354" t="str">
        <f>IFERROR(__xludf.DUMMYFUNCTION("""COMPUTED_VALUE"""),"A-104")</f>
        <v>A-104</v>
      </c>
      <c r="B2354" s="226" t="str">
        <f>IFERROR(__xludf.DUMMYFUNCTION("""COMPUTED_VALUE"""),"5907615800948")</f>
        <v>5907615800948</v>
      </c>
      <c r="C2354" t="str">
        <f>IFERROR(__xludf.DUMMYFUNCTION("""COMPUTED_VALUE"""),"Steinhof")</f>
        <v>Steinhof</v>
      </c>
    </row>
    <row r="2355">
      <c r="A2355" t="str">
        <f>IFERROR(__xludf.DUMMYFUNCTION("""COMPUTED_VALUE"""),"A-105")</f>
        <v>A-105</v>
      </c>
      <c r="B2355" s="226" t="str">
        <f>IFERROR(__xludf.DUMMYFUNCTION("""COMPUTED_VALUE"""),"5907615800955")</f>
        <v>5907615800955</v>
      </c>
      <c r="C2355" t="str">
        <f>IFERROR(__xludf.DUMMYFUNCTION("""COMPUTED_VALUE"""),"Steinhof")</f>
        <v>Steinhof</v>
      </c>
    </row>
    <row r="2356">
      <c r="A2356" t="str">
        <f>IFERROR(__xludf.DUMMYFUNCTION("""COMPUTED_VALUE"""),"A-105")</f>
        <v>A-105</v>
      </c>
      <c r="B2356" s="226" t="str">
        <f>IFERROR(__xludf.DUMMYFUNCTION("""COMPUTED_VALUE"""),"5907615800955")</f>
        <v>5907615800955</v>
      </c>
      <c r="C2356" t="str">
        <f>IFERROR(__xludf.DUMMYFUNCTION("""COMPUTED_VALUE"""),"Steinhof")</f>
        <v>Steinhof</v>
      </c>
    </row>
    <row r="2357">
      <c r="A2357" t="str">
        <f>IFERROR(__xludf.DUMMYFUNCTION("""COMPUTED_VALUE"""),"A-035")</f>
        <v>A-035</v>
      </c>
      <c r="B2357" s="226" t="str">
        <f>IFERROR(__xludf.DUMMYFUNCTION("""COMPUTED_VALUE"""),"5907615800962")</f>
        <v>5907615800962</v>
      </c>
      <c r="C2357" t="str">
        <f>IFERROR(__xludf.DUMMYFUNCTION("""COMPUTED_VALUE"""),"Steinhof")</f>
        <v>Steinhof</v>
      </c>
    </row>
    <row r="2358">
      <c r="A2358" t="str">
        <f>IFERROR(__xludf.DUMMYFUNCTION("""COMPUTED_VALUE"""),"A-035")</f>
        <v>A-035</v>
      </c>
      <c r="B2358" s="226" t="str">
        <f>IFERROR(__xludf.DUMMYFUNCTION("""COMPUTED_VALUE"""),"5907615800962")</f>
        <v>5907615800962</v>
      </c>
      <c r="C2358" t="str">
        <f>IFERROR(__xludf.DUMMYFUNCTION("""COMPUTED_VALUE"""),"Steinhof")</f>
        <v>Steinhof</v>
      </c>
    </row>
    <row r="2359">
      <c r="A2359" t="str">
        <f>IFERROR(__xludf.DUMMYFUNCTION("""COMPUTED_VALUE"""),"A-036")</f>
        <v>A-036</v>
      </c>
      <c r="B2359" s="226" t="str">
        <f>IFERROR(__xludf.DUMMYFUNCTION("""COMPUTED_VALUE"""),"5907615800979")</f>
        <v>5907615800979</v>
      </c>
      <c r="C2359" t="str">
        <f>IFERROR(__xludf.DUMMYFUNCTION("""COMPUTED_VALUE"""),"Steinhof")</f>
        <v>Steinhof</v>
      </c>
    </row>
    <row r="2360">
      <c r="A2360" t="str">
        <f>IFERROR(__xludf.DUMMYFUNCTION("""COMPUTED_VALUE"""),"A-036")</f>
        <v>A-036</v>
      </c>
      <c r="B2360" s="226" t="str">
        <f>IFERROR(__xludf.DUMMYFUNCTION("""COMPUTED_VALUE"""),"5907615800979")</f>
        <v>5907615800979</v>
      </c>
      <c r="C2360" t="str">
        <f>IFERROR(__xludf.DUMMYFUNCTION("""COMPUTED_VALUE"""),"Steinhof")</f>
        <v>Steinhof</v>
      </c>
    </row>
    <row r="2361">
      <c r="A2361" t="str">
        <f>IFERROR(__xludf.DUMMYFUNCTION("""COMPUTED_VALUE"""),"A-037")</f>
        <v>A-037</v>
      </c>
      <c r="B2361" s="226" t="str">
        <f>IFERROR(__xludf.DUMMYFUNCTION("""COMPUTED_VALUE"""),"5907615800986")</f>
        <v>5907615800986</v>
      </c>
      <c r="C2361" t="str">
        <f>IFERROR(__xludf.DUMMYFUNCTION("""COMPUTED_VALUE"""),"Steinhof")</f>
        <v>Steinhof</v>
      </c>
    </row>
    <row r="2362">
      <c r="A2362" t="str">
        <f>IFERROR(__xludf.DUMMYFUNCTION("""COMPUTED_VALUE"""),"A-037")</f>
        <v>A-037</v>
      </c>
      <c r="B2362" s="226" t="str">
        <f>IFERROR(__xludf.DUMMYFUNCTION("""COMPUTED_VALUE"""),"5907615800986")</f>
        <v>5907615800986</v>
      </c>
      <c r="C2362" t="str">
        <f>IFERROR(__xludf.DUMMYFUNCTION("""COMPUTED_VALUE"""),"Steinhof")</f>
        <v>Steinhof</v>
      </c>
    </row>
    <row r="2363">
      <c r="A2363" t="str">
        <f>IFERROR(__xludf.DUMMYFUNCTION("""COMPUTED_VALUE"""),"A-037")</f>
        <v>A-037</v>
      </c>
      <c r="B2363" s="226" t="str">
        <f>IFERROR(__xludf.DUMMYFUNCTION("""COMPUTED_VALUE"""),"5907615800986")</f>
        <v>5907615800986</v>
      </c>
      <c r="C2363" t="str">
        <f>IFERROR(__xludf.DUMMYFUNCTION("""COMPUTED_VALUE"""),"Steinhof")</f>
        <v>Steinhof</v>
      </c>
    </row>
    <row r="2364">
      <c r="A2364" t="str">
        <f>IFERROR(__xludf.DUMMYFUNCTION("""COMPUTED_VALUE"""),"A-037")</f>
        <v>A-037</v>
      </c>
      <c r="B2364" s="226" t="str">
        <f>IFERROR(__xludf.DUMMYFUNCTION("""COMPUTED_VALUE"""),"5907615800986")</f>
        <v>5907615800986</v>
      </c>
      <c r="C2364" t="str">
        <f>IFERROR(__xludf.DUMMYFUNCTION("""COMPUTED_VALUE"""),"Steinhof")</f>
        <v>Steinhof</v>
      </c>
    </row>
    <row r="2365">
      <c r="A2365" t="str">
        <f>IFERROR(__xludf.DUMMYFUNCTION("""COMPUTED_VALUE"""),"A-038")</f>
        <v>A-038</v>
      </c>
      <c r="B2365" s="226" t="str">
        <f>IFERROR(__xludf.DUMMYFUNCTION("""COMPUTED_VALUE"""),"5907615800993")</f>
        <v>5907615800993</v>
      </c>
      <c r="C2365" t="str">
        <f>IFERROR(__xludf.DUMMYFUNCTION("""COMPUTED_VALUE"""),"Steinhof")</f>
        <v>Steinhof</v>
      </c>
    </row>
    <row r="2366">
      <c r="A2366" t="str">
        <f>IFERROR(__xludf.DUMMYFUNCTION("""COMPUTED_VALUE"""),"A-038")</f>
        <v>A-038</v>
      </c>
      <c r="B2366" s="226" t="str">
        <f>IFERROR(__xludf.DUMMYFUNCTION("""COMPUTED_VALUE"""),"5907615800993")</f>
        <v>5907615800993</v>
      </c>
      <c r="C2366" t="str">
        <f>IFERROR(__xludf.DUMMYFUNCTION("""COMPUTED_VALUE"""),"Steinhof")</f>
        <v>Steinhof</v>
      </c>
    </row>
    <row r="2367">
      <c r="A2367" t="str">
        <f>IFERROR(__xludf.DUMMYFUNCTION("""COMPUTED_VALUE"""),"A-038")</f>
        <v>A-038</v>
      </c>
      <c r="B2367" s="226" t="str">
        <f>IFERROR(__xludf.DUMMYFUNCTION("""COMPUTED_VALUE"""),"5907615800993")</f>
        <v>5907615800993</v>
      </c>
      <c r="C2367" t="str">
        <f>IFERROR(__xludf.DUMMYFUNCTION("""COMPUTED_VALUE"""),"Steinhof")</f>
        <v>Steinhof</v>
      </c>
    </row>
    <row r="2368">
      <c r="A2368" t="str">
        <f>IFERROR(__xludf.DUMMYFUNCTION("""COMPUTED_VALUE"""),"A-038")</f>
        <v>A-038</v>
      </c>
      <c r="B2368" s="226" t="str">
        <f>IFERROR(__xludf.DUMMYFUNCTION("""COMPUTED_VALUE"""),"5907615800993")</f>
        <v>5907615800993</v>
      </c>
      <c r="C2368" t="str">
        <f>IFERROR(__xludf.DUMMYFUNCTION("""COMPUTED_VALUE"""),"Steinhof")</f>
        <v>Steinhof</v>
      </c>
    </row>
    <row r="2369">
      <c r="A2369" t="str">
        <f>IFERROR(__xludf.DUMMYFUNCTION("""COMPUTED_VALUE"""),"A-041")</f>
        <v>A-041</v>
      </c>
      <c r="B2369" s="226" t="str">
        <f>IFERROR(__xludf.DUMMYFUNCTION("""COMPUTED_VALUE"""),"5907615801020")</f>
        <v>5907615801020</v>
      </c>
      <c r="C2369" t="str">
        <f>IFERROR(__xludf.DUMMYFUNCTION("""COMPUTED_VALUE"""),"Steinhof")</f>
        <v>Steinhof</v>
      </c>
    </row>
    <row r="2370">
      <c r="A2370" t="str">
        <f>IFERROR(__xludf.DUMMYFUNCTION("""COMPUTED_VALUE"""),"A-041")</f>
        <v>A-041</v>
      </c>
      <c r="B2370" s="226" t="str">
        <f>IFERROR(__xludf.DUMMYFUNCTION("""COMPUTED_VALUE"""),"5907615801020")</f>
        <v>5907615801020</v>
      </c>
      <c r="C2370" t="str">
        <f>IFERROR(__xludf.DUMMYFUNCTION("""COMPUTED_VALUE"""),"Steinhof")</f>
        <v>Steinhof</v>
      </c>
    </row>
    <row r="2371">
      <c r="A2371" t="str">
        <f>IFERROR(__xludf.DUMMYFUNCTION("""COMPUTED_VALUE"""),"A-042")</f>
        <v>A-042</v>
      </c>
      <c r="B2371" s="226" t="str">
        <f>IFERROR(__xludf.DUMMYFUNCTION("""COMPUTED_VALUE"""),"5907615801037")</f>
        <v>5907615801037</v>
      </c>
      <c r="C2371" t="str">
        <f>IFERROR(__xludf.DUMMYFUNCTION("""COMPUTED_VALUE"""),"Steinhof")</f>
        <v>Steinhof</v>
      </c>
    </row>
    <row r="2372">
      <c r="A2372" t="str">
        <f>IFERROR(__xludf.DUMMYFUNCTION("""COMPUTED_VALUE"""),"A-042")</f>
        <v>A-042</v>
      </c>
      <c r="B2372" s="226" t="str">
        <f>IFERROR(__xludf.DUMMYFUNCTION("""COMPUTED_VALUE"""),"5907615801037")</f>
        <v>5907615801037</v>
      </c>
      <c r="C2372" t="str">
        <f>IFERROR(__xludf.DUMMYFUNCTION("""COMPUTED_VALUE"""),"Steinhof")</f>
        <v>Steinhof</v>
      </c>
    </row>
    <row r="2373">
      <c r="A2373" t="str">
        <f>IFERROR(__xludf.DUMMYFUNCTION("""COMPUTED_VALUE"""),"A-043")</f>
        <v>A-043</v>
      </c>
      <c r="B2373" s="226" t="str">
        <f>IFERROR(__xludf.DUMMYFUNCTION("""COMPUTED_VALUE"""),"5907615801044")</f>
        <v>5907615801044</v>
      </c>
      <c r="C2373" t="str">
        <f>IFERROR(__xludf.DUMMYFUNCTION("""COMPUTED_VALUE"""),"Steinhof")</f>
        <v>Steinhof</v>
      </c>
    </row>
    <row r="2374">
      <c r="A2374" t="str">
        <f>IFERROR(__xludf.DUMMYFUNCTION("""COMPUTED_VALUE"""),"A-044")</f>
        <v>A-044</v>
      </c>
      <c r="B2374" s="226" t="str">
        <f>IFERROR(__xludf.DUMMYFUNCTION("""COMPUTED_VALUE"""),"5907615801051")</f>
        <v>5907615801051</v>
      </c>
      <c r="C2374" t="str">
        <f>IFERROR(__xludf.DUMMYFUNCTION("""COMPUTED_VALUE"""),"Steinhof")</f>
        <v>Steinhof</v>
      </c>
    </row>
    <row r="2375">
      <c r="A2375" t="str">
        <f>IFERROR(__xludf.DUMMYFUNCTION("""COMPUTED_VALUE"""),"B-050")</f>
        <v>B-050</v>
      </c>
      <c r="B2375" s="226" t="str">
        <f>IFERROR(__xludf.DUMMYFUNCTION("""COMPUTED_VALUE"""),"5907615801105")</f>
        <v>5907615801105</v>
      </c>
      <c r="C2375" t="str">
        <f>IFERROR(__xludf.DUMMYFUNCTION("""COMPUTED_VALUE"""),"Steinhof")</f>
        <v>Steinhof</v>
      </c>
    </row>
    <row r="2376">
      <c r="A2376" t="str">
        <f>IFERROR(__xludf.DUMMYFUNCTION("""COMPUTED_VALUE"""),"B-050")</f>
        <v>B-050</v>
      </c>
      <c r="B2376" s="226" t="str">
        <f>IFERROR(__xludf.DUMMYFUNCTION("""COMPUTED_VALUE"""),"5907615801105")</f>
        <v>5907615801105</v>
      </c>
      <c r="C2376" t="str">
        <f>IFERROR(__xludf.DUMMYFUNCTION("""COMPUTED_VALUE"""),"Steinhof")</f>
        <v>Steinhof</v>
      </c>
    </row>
    <row r="2377">
      <c r="A2377" t="str">
        <f>IFERROR(__xludf.DUMMYFUNCTION("""COMPUTED_VALUE"""),"B-050")</f>
        <v>B-050</v>
      </c>
      <c r="B2377" s="226" t="str">
        <f>IFERROR(__xludf.DUMMYFUNCTION("""COMPUTED_VALUE"""),"5907615801105")</f>
        <v>5907615801105</v>
      </c>
      <c r="C2377" t="str">
        <f>IFERROR(__xludf.DUMMYFUNCTION("""COMPUTED_VALUE"""),"Steinhof")</f>
        <v>Steinhof</v>
      </c>
    </row>
    <row r="2378">
      <c r="A2378" t="str">
        <f>IFERROR(__xludf.DUMMYFUNCTION("""COMPUTED_VALUE"""),"B-050")</f>
        <v>B-050</v>
      </c>
      <c r="B2378" s="226" t="str">
        <f>IFERROR(__xludf.DUMMYFUNCTION("""COMPUTED_VALUE"""),"5907615801105")</f>
        <v>5907615801105</v>
      </c>
      <c r="C2378" t="str">
        <f>IFERROR(__xludf.DUMMYFUNCTION("""COMPUTED_VALUE"""),"Steinhof")</f>
        <v>Steinhof</v>
      </c>
    </row>
    <row r="2379">
      <c r="A2379" t="str">
        <f>IFERROR(__xludf.DUMMYFUNCTION("""COMPUTED_VALUE"""),"B-051")</f>
        <v>B-051</v>
      </c>
      <c r="B2379" s="226" t="str">
        <f>IFERROR(__xludf.DUMMYFUNCTION("""COMPUTED_VALUE"""),"5907615801112")</f>
        <v>5907615801112</v>
      </c>
      <c r="C2379" t="str">
        <f>IFERROR(__xludf.DUMMYFUNCTION("""COMPUTED_VALUE"""),"Steinhof")</f>
        <v>Steinhof</v>
      </c>
    </row>
    <row r="2380">
      <c r="A2380" t="str">
        <f>IFERROR(__xludf.DUMMYFUNCTION("""COMPUTED_VALUE"""),"B-051")</f>
        <v>B-051</v>
      </c>
      <c r="B2380" s="226" t="str">
        <f>IFERROR(__xludf.DUMMYFUNCTION("""COMPUTED_VALUE"""),"5907615801112")</f>
        <v>5907615801112</v>
      </c>
      <c r="C2380" t="str">
        <f>IFERROR(__xludf.DUMMYFUNCTION("""COMPUTED_VALUE"""),"Steinhof")</f>
        <v>Steinhof</v>
      </c>
    </row>
    <row r="2381">
      <c r="A2381" t="str">
        <f>IFERROR(__xludf.DUMMYFUNCTION("""COMPUTED_VALUE"""),"B-052")</f>
        <v>B-052</v>
      </c>
      <c r="B2381" s="226" t="str">
        <f>IFERROR(__xludf.DUMMYFUNCTION("""COMPUTED_VALUE"""),"5907615801129")</f>
        <v>5907615801129</v>
      </c>
      <c r="C2381" t="str">
        <f>IFERROR(__xludf.DUMMYFUNCTION("""COMPUTED_VALUE"""),"Steinhof")</f>
        <v>Steinhof</v>
      </c>
    </row>
    <row r="2382">
      <c r="A2382" t="str">
        <f>IFERROR(__xludf.DUMMYFUNCTION("""COMPUTED_VALUE"""),"B-052")</f>
        <v>B-052</v>
      </c>
      <c r="B2382" s="226" t="str">
        <f>IFERROR(__xludf.DUMMYFUNCTION("""COMPUTED_VALUE"""),"5907615801129")</f>
        <v>5907615801129</v>
      </c>
      <c r="C2382" t="str">
        <f>IFERROR(__xludf.DUMMYFUNCTION("""COMPUTED_VALUE"""),"Steinhof")</f>
        <v>Steinhof</v>
      </c>
    </row>
    <row r="2383">
      <c r="A2383" t="str">
        <f>IFERROR(__xludf.DUMMYFUNCTION("""COMPUTED_VALUE"""),"B-053")</f>
        <v>B-053</v>
      </c>
      <c r="B2383" s="226" t="str">
        <f>IFERROR(__xludf.DUMMYFUNCTION("""COMPUTED_VALUE"""),"5907615801136")</f>
        <v>5907615801136</v>
      </c>
      <c r="C2383" t="str">
        <f>IFERROR(__xludf.DUMMYFUNCTION("""COMPUTED_VALUE"""),"Steinhof")</f>
        <v>Steinhof</v>
      </c>
    </row>
    <row r="2384">
      <c r="A2384" t="str">
        <f>IFERROR(__xludf.DUMMYFUNCTION("""COMPUTED_VALUE"""),"B-053")</f>
        <v>B-053</v>
      </c>
      <c r="B2384" s="226" t="str">
        <f>IFERROR(__xludf.DUMMYFUNCTION("""COMPUTED_VALUE"""),"5907615801136")</f>
        <v>5907615801136</v>
      </c>
      <c r="C2384" t="str">
        <f>IFERROR(__xludf.DUMMYFUNCTION("""COMPUTED_VALUE"""),"Steinhof")</f>
        <v>Steinhof</v>
      </c>
    </row>
    <row r="2385">
      <c r="A2385" t="str">
        <f>IFERROR(__xludf.DUMMYFUNCTION("""COMPUTED_VALUE"""),"B-040")</f>
        <v>B-040</v>
      </c>
      <c r="B2385" s="226" t="str">
        <f>IFERROR(__xludf.DUMMYFUNCTION("""COMPUTED_VALUE"""),"5907615801143")</f>
        <v>5907615801143</v>
      </c>
      <c r="C2385" t="str">
        <f>IFERROR(__xludf.DUMMYFUNCTION("""COMPUTED_VALUE"""),"Steinhof")</f>
        <v>Steinhof</v>
      </c>
    </row>
    <row r="2386">
      <c r="A2386" t="str">
        <f>IFERROR(__xludf.DUMMYFUNCTION("""COMPUTED_VALUE"""),"B-040")</f>
        <v>B-040</v>
      </c>
      <c r="B2386" s="226" t="str">
        <f>IFERROR(__xludf.DUMMYFUNCTION("""COMPUTED_VALUE"""),"5907615801143")</f>
        <v>5907615801143</v>
      </c>
      <c r="C2386" t="str">
        <f>IFERROR(__xludf.DUMMYFUNCTION("""COMPUTED_VALUE"""),"Steinhof")</f>
        <v>Steinhof</v>
      </c>
    </row>
    <row r="2387">
      <c r="A2387" t="str">
        <f>IFERROR(__xludf.DUMMYFUNCTION("""COMPUTED_VALUE"""),"B-040")</f>
        <v>B-040</v>
      </c>
      <c r="B2387" s="226" t="str">
        <f>IFERROR(__xludf.DUMMYFUNCTION("""COMPUTED_VALUE"""),"5907615801143")</f>
        <v>5907615801143</v>
      </c>
      <c r="C2387" t="str">
        <f>IFERROR(__xludf.DUMMYFUNCTION("""COMPUTED_VALUE"""),"Steinhof")</f>
        <v>Steinhof</v>
      </c>
    </row>
    <row r="2388">
      <c r="A2388" t="str">
        <f>IFERROR(__xludf.DUMMYFUNCTION("""COMPUTED_VALUE"""),"B-040")</f>
        <v>B-040</v>
      </c>
      <c r="B2388" s="226" t="str">
        <f>IFERROR(__xludf.DUMMYFUNCTION("""COMPUTED_VALUE"""),"5907615801143")</f>
        <v>5907615801143</v>
      </c>
      <c r="C2388" t="str">
        <f>IFERROR(__xludf.DUMMYFUNCTION("""COMPUTED_VALUE"""),"Steinhof")</f>
        <v>Steinhof</v>
      </c>
    </row>
    <row r="2389">
      <c r="A2389" t="str">
        <f>IFERROR(__xludf.DUMMYFUNCTION("""COMPUTED_VALUE"""),"B-040")</f>
        <v>B-040</v>
      </c>
      <c r="B2389" s="226" t="str">
        <f>IFERROR(__xludf.DUMMYFUNCTION("""COMPUTED_VALUE"""),"5907615801143")</f>
        <v>5907615801143</v>
      </c>
      <c r="C2389" t="str">
        <f>IFERROR(__xludf.DUMMYFUNCTION("""COMPUTED_VALUE"""),"Steinhof")</f>
        <v>Steinhof</v>
      </c>
    </row>
    <row r="2390">
      <c r="A2390" t="str">
        <f>IFERROR(__xludf.DUMMYFUNCTION("""COMPUTED_VALUE"""),"B-040")</f>
        <v>B-040</v>
      </c>
      <c r="B2390" s="226" t="str">
        <f>IFERROR(__xludf.DUMMYFUNCTION("""COMPUTED_VALUE"""),"5907615801143")</f>
        <v>5907615801143</v>
      </c>
      <c r="C2390" t="str">
        <f>IFERROR(__xludf.DUMMYFUNCTION("""COMPUTED_VALUE"""),"Steinhof")</f>
        <v>Steinhof</v>
      </c>
    </row>
    <row r="2391">
      <c r="A2391" t="str">
        <f>IFERROR(__xludf.DUMMYFUNCTION("""COMPUTED_VALUE"""),"B-040")</f>
        <v>B-040</v>
      </c>
      <c r="B2391" s="226" t="str">
        <f>IFERROR(__xludf.DUMMYFUNCTION("""COMPUTED_VALUE"""),"5907615801143")</f>
        <v>5907615801143</v>
      </c>
      <c r="C2391" t="str">
        <f>IFERROR(__xludf.DUMMYFUNCTION("""COMPUTED_VALUE"""),"Steinhof")</f>
        <v>Steinhof</v>
      </c>
    </row>
    <row r="2392">
      <c r="A2392" t="str">
        <f>IFERROR(__xludf.DUMMYFUNCTION("""COMPUTED_VALUE"""),"B-040")</f>
        <v>B-040</v>
      </c>
      <c r="B2392" s="226" t="str">
        <f>IFERROR(__xludf.DUMMYFUNCTION("""COMPUTED_VALUE"""),"5907615801143")</f>
        <v>5907615801143</v>
      </c>
      <c r="C2392" t="str">
        <f>IFERROR(__xludf.DUMMYFUNCTION("""COMPUTED_VALUE"""),"Steinhof")</f>
        <v>Steinhof</v>
      </c>
    </row>
    <row r="2393">
      <c r="A2393" t="str">
        <f>IFERROR(__xludf.DUMMYFUNCTION("""COMPUTED_VALUE"""),"B-055")</f>
        <v>B-055</v>
      </c>
      <c r="B2393" s="226" t="str">
        <f>IFERROR(__xludf.DUMMYFUNCTION("""COMPUTED_VALUE"""),"5907615801150")</f>
        <v>5907615801150</v>
      </c>
      <c r="C2393" t="str">
        <f>IFERROR(__xludf.DUMMYFUNCTION("""COMPUTED_VALUE"""),"Steinhof")</f>
        <v>Steinhof</v>
      </c>
    </row>
    <row r="2394">
      <c r="A2394" t="str">
        <f>IFERROR(__xludf.DUMMYFUNCTION("""COMPUTED_VALUE"""),"B-055")</f>
        <v>B-055</v>
      </c>
      <c r="B2394" s="226" t="str">
        <f>IFERROR(__xludf.DUMMYFUNCTION("""COMPUTED_VALUE"""),"5907615801150")</f>
        <v>5907615801150</v>
      </c>
      <c r="C2394" t="str">
        <f>IFERROR(__xludf.DUMMYFUNCTION("""COMPUTED_VALUE"""),"Steinhof")</f>
        <v>Steinhof</v>
      </c>
    </row>
    <row r="2395">
      <c r="A2395" t="str">
        <f>IFERROR(__xludf.DUMMYFUNCTION("""COMPUTED_VALUE"""),"B-055")</f>
        <v>B-055</v>
      </c>
      <c r="B2395" s="226" t="str">
        <f>IFERROR(__xludf.DUMMYFUNCTION("""COMPUTED_VALUE"""),"5907615801150")</f>
        <v>5907615801150</v>
      </c>
      <c r="C2395" t="str">
        <f>IFERROR(__xludf.DUMMYFUNCTION("""COMPUTED_VALUE"""),"Steinhof")</f>
        <v>Steinhof</v>
      </c>
    </row>
    <row r="2396">
      <c r="A2396" t="str">
        <f>IFERROR(__xludf.DUMMYFUNCTION("""COMPUTED_VALUE"""),"B-055")</f>
        <v>B-055</v>
      </c>
      <c r="B2396" s="226" t="str">
        <f>IFERROR(__xludf.DUMMYFUNCTION("""COMPUTED_VALUE"""),"5907615801150")</f>
        <v>5907615801150</v>
      </c>
      <c r="C2396" t="str">
        <f>IFERROR(__xludf.DUMMYFUNCTION("""COMPUTED_VALUE"""),"Steinhof")</f>
        <v>Steinhof</v>
      </c>
    </row>
    <row r="2397">
      <c r="A2397" t="str">
        <f>IFERROR(__xludf.DUMMYFUNCTION("""COMPUTED_VALUE"""),"B-056")</f>
        <v>B-056</v>
      </c>
      <c r="B2397" s="226" t="str">
        <f>IFERROR(__xludf.DUMMYFUNCTION("""COMPUTED_VALUE"""),"5907615801167")</f>
        <v>5907615801167</v>
      </c>
      <c r="C2397" t="str">
        <f>IFERROR(__xludf.DUMMYFUNCTION("""COMPUTED_VALUE"""),"Steinhof")</f>
        <v>Steinhof</v>
      </c>
    </row>
    <row r="2398">
      <c r="A2398" t="str">
        <f>IFERROR(__xludf.DUMMYFUNCTION("""COMPUTED_VALUE"""),"B-056")</f>
        <v>B-056</v>
      </c>
      <c r="B2398" s="226" t="str">
        <f>IFERROR(__xludf.DUMMYFUNCTION("""COMPUTED_VALUE"""),"5907615801167")</f>
        <v>5907615801167</v>
      </c>
      <c r="C2398" t="str">
        <f>IFERROR(__xludf.DUMMYFUNCTION("""COMPUTED_VALUE"""),"Steinhof")</f>
        <v>Steinhof</v>
      </c>
    </row>
    <row r="2399">
      <c r="A2399" t="str">
        <f>IFERROR(__xludf.DUMMYFUNCTION("""COMPUTED_VALUE"""),"B-046")</f>
        <v>B-046</v>
      </c>
      <c r="B2399" s="226" t="str">
        <f>IFERROR(__xludf.DUMMYFUNCTION("""COMPUTED_VALUE"""),"5907615801174")</f>
        <v>5907615801174</v>
      </c>
      <c r="C2399" t="str">
        <f>IFERROR(__xludf.DUMMYFUNCTION("""COMPUTED_VALUE"""),"Steinhof")</f>
        <v>Steinhof</v>
      </c>
    </row>
    <row r="2400">
      <c r="A2400" t="str">
        <f>IFERROR(__xludf.DUMMYFUNCTION("""COMPUTED_VALUE"""),"B-046")</f>
        <v>B-046</v>
      </c>
      <c r="B2400" s="226" t="str">
        <f>IFERROR(__xludf.DUMMYFUNCTION("""COMPUTED_VALUE"""),"5907615801174")</f>
        <v>5907615801174</v>
      </c>
      <c r="C2400" t="str">
        <f>IFERROR(__xludf.DUMMYFUNCTION("""COMPUTED_VALUE"""),"Steinhof")</f>
        <v>Steinhof</v>
      </c>
    </row>
    <row r="2401">
      <c r="A2401" t="str">
        <f>IFERROR(__xludf.DUMMYFUNCTION("""COMPUTED_VALUE"""),"B-046")</f>
        <v>B-046</v>
      </c>
      <c r="B2401" s="226" t="str">
        <f>IFERROR(__xludf.DUMMYFUNCTION("""COMPUTED_VALUE"""),"5907615801174")</f>
        <v>5907615801174</v>
      </c>
      <c r="C2401" t="str">
        <f>IFERROR(__xludf.DUMMYFUNCTION("""COMPUTED_VALUE"""),"Steinhof")</f>
        <v>Steinhof</v>
      </c>
    </row>
    <row r="2402">
      <c r="A2402" t="str">
        <f>IFERROR(__xludf.DUMMYFUNCTION("""COMPUTED_VALUE"""),"B-046")</f>
        <v>B-046</v>
      </c>
      <c r="B2402" s="226" t="str">
        <f>IFERROR(__xludf.DUMMYFUNCTION("""COMPUTED_VALUE"""),"5907615801174")</f>
        <v>5907615801174</v>
      </c>
      <c r="C2402" t="str">
        <f>IFERROR(__xludf.DUMMYFUNCTION("""COMPUTED_VALUE"""),"Steinhof")</f>
        <v>Steinhof</v>
      </c>
    </row>
    <row r="2403">
      <c r="A2403" t="str">
        <f>IFERROR(__xludf.DUMMYFUNCTION("""COMPUTED_VALUE"""),"B-046")</f>
        <v>B-046</v>
      </c>
      <c r="B2403" s="226" t="str">
        <f>IFERROR(__xludf.DUMMYFUNCTION("""COMPUTED_VALUE"""),"5907615801174")</f>
        <v>5907615801174</v>
      </c>
      <c r="C2403" t="str">
        <f>IFERROR(__xludf.DUMMYFUNCTION("""COMPUTED_VALUE"""),"Steinhof")</f>
        <v>Steinhof</v>
      </c>
    </row>
    <row r="2404">
      <c r="A2404" t="str">
        <f>IFERROR(__xludf.DUMMYFUNCTION("""COMPUTED_VALUE"""),"B-058")</f>
        <v>B-058</v>
      </c>
      <c r="B2404" s="226" t="str">
        <f>IFERROR(__xludf.DUMMYFUNCTION("""COMPUTED_VALUE"""),"5907615801181")</f>
        <v>5907615801181</v>
      </c>
      <c r="C2404" t="str">
        <f>IFERROR(__xludf.DUMMYFUNCTION("""COMPUTED_VALUE"""),"Steinhof")</f>
        <v>Steinhof</v>
      </c>
    </row>
    <row r="2405">
      <c r="A2405" t="str">
        <f>IFERROR(__xludf.DUMMYFUNCTION("""COMPUTED_VALUE"""),"B-058")</f>
        <v>B-058</v>
      </c>
      <c r="B2405" s="226" t="str">
        <f>IFERROR(__xludf.DUMMYFUNCTION("""COMPUTED_VALUE"""),"5907615801181")</f>
        <v>5907615801181</v>
      </c>
      <c r="C2405" t="str">
        <f>IFERROR(__xludf.DUMMYFUNCTION("""COMPUTED_VALUE"""),"Steinhof")</f>
        <v>Steinhof</v>
      </c>
    </row>
    <row r="2406">
      <c r="A2406" t="str">
        <f>IFERROR(__xludf.DUMMYFUNCTION("""COMPUTED_VALUE"""),"B-045")</f>
        <v>B-045</v>
      </c>
      <c r="B2406" s="226" t="str">
        <f>IFERROR(__xludf.DUMMYFUNCTION("""COMPUTED_VALUE"""),"5907615801198")</f>
        <v>5907615801198</v>
      </c>
      <c r="C2406" t="str">
        <f>IFERROR(__xludf.DUMMYFUNCTION("""COMPUTED_VALUE"""),"Steinhof")</f>
        <v>Steinhof</v>
      </c>
    </row>
    <row r="2407">
      <c r="A2407" t="str">
        <f>IFERROR(__xludf.DUMMYFUNCTION("""COMPUTED_VALUE"""),"B-045")</f>
        <v>B-045</v>
      </c>
      <c r="B2407" s="226" t="str">
        <f>IFERROR(__xludf.DUMMYFUNCTION("""COMPUTED_VALUE"""),"5907615801198")</f>
        <v>5907615801198</v>
      </c>
      <c r="C2407" t="str">
        <f>IFERROR(__xludf.DUMMYFUNCTION("""COMPUTED_VALUE"""),"Steinhof")</f>
        <v>Steinhof</v>
      </c>
    </row>
    <row r="2408">
      <c r="A2408" t="str">
        <f>IFERROR(__xludf.DUMMYFUNCTION("""COMPUTED_VALUE"""),"B-045")</f>
        <v>B-045</v>
      </c>
      <c r="B2408" s="226" t="str">
        <f>IFERROR(__xludf.DUMMYFUNCTION("""COMPUTED_VALUE"""),"5907615801198")</f>
        <v>5907615801198</v>
      </c>
      <c r="C2408" t="str">
        <f>IFERROR(__xludf.DUMMYFUNCTION("""COMPUTED_VALUE"""),"Steinhof")</f>
        <v>Steinhof</v>
      </c>
    </row>
    <row r="2409">
      <c r="A2409" t="str">
        <f>IFERROR(__xludf.DUMMYFUNCTION("""COMPUTED_VALUE"""),"B-045")</f>
        <v>B-045</v>
      </c>
      <c r="B2409" s="226" t="str">
        <f>IFERROR(__xludf.DUMMYFUNCTION("""COMPUTED_VALUE"""),"5907615801198")</f>
        <v>5907615801198</v>
      </c>
      <c r="C2409" t="str">
        <f>IFERROR(__xludf.DUMMYFUNCTION("""COMPUTED_VALUE"""),"Steinhof")</f>
        <v>Steinhof</v>
      </c>
    </row>
    <row r="2410">
      <c r="A2410" t="str">
        <f>IFERROR(__xludf.DUMMYFUNCTION("""COMPUTED_VALUE"""),"B-045")</f>
        <v>B-045</v>
      </c>
      <c r="B2410" s="226" t="str">
        <f>IFERROR(__xludf.DUMMYFUNCTION("""COMPUTED_VALUE"""),"5907615801198")</f>
        <v>5907615801198</v>
      </c>
      <c r="C2410" t="str">
        <f>IFERROR(__xludf.DUMMYFUNCTION("""COMPUTED_VALUE"""),"Steinhof")</f>
        <v>Steinhof</v>
      </c>
    </row>
    <row r="2411">
      <c r="A2411" t="str">
        <f>IFERROR(__xludf.DUMMYFUNCTION("""COMPUTED_VALUE"""),"B-060")</f>
        <v>B-060</v>
      </c>
      <c r="B2411" s="226" t="str">
        <f>IFERROR(__xludf.DUMMYFUNCTION("""COMPUTED_VALUE"""),"5907615801204")</f>
        <v>5907615801204</v>
      </c>
      <c r="C2411" t="str">
        <f>IFERROR(__xludf.DUMMYFUNCTION("""COMPUTED_VALUE"""),"Steinhof")</f>
        <v>Steinhof</v>
      </c>
    </row>
    <row r="2412">
      <c r="A2412" t="str">
        <f>IFERROR(__xludf.DUMMYFUNCTION("""COMPUTED_VALUE"""),"B-060")</f>
        <v>B-060</v>
      </c>
      <c r="B2412" s="226" t="str">
        <f>IFERROR(__xludf.DUMMYFUNCTION("""COMPUTED_VALUE"""),"5907615801204")</f>
        <v>5907615801204</v>
      </c>
      <c r="C2412" t="str">
        <f>IFERROR(__xludf.DUMMYFUNCTION("""COMPUTED_VALUE"""),"Steinhof")</f>
        <v>Steinhof</v>
      </c>
    </row>
    <row r="2413">
      <c r="A2413" t="str">
        <f>IFERROR(__xludf.DUMMYFUNCTION("""COMPUTED_VALUE"""),"B-060")</f>
        <v>B-060</v>
      </c>
      <c r="B2413" s="226" t="str">
        <f>IFERROR(__xludf.DUMMYFUNCTION("""COMPUTED_VALUE"""),"5907615801204")</f>
        <v>5907615801204</v>
      </c>
      <c r="C2413" t="str">
        <f>IFERROR(__xludf.DUMMYFUNCTION("""COMPUTED_VALUE"""),"Steinhof")</f>
        <v>Steinhof</v>
      </c>
    </row>
    <row r="2414">
      <c r="A2414" t="str">
        <f>IFERROR(__xludf.DUMMYFUNCTION("""COMPUTED_VALUE"""),"B-060")</f>
        <v>B-060</v>
      </c>
      <c r="B2414" s="226" t="str">
        <f>IFERROR(__xludf.DUMMYFUNCTION("""COMPUTED_VALUE"""),"5907615801204")</f>
        <v>5907615801204</v>
      </c>
      <c r="C2414" t="str">
        <f>IFERROR(__xludf.DUMMYFUNCTION("""COMPUTED_VALUE"""),"Steinhof")</f>
        <v>Steinhof</v>
      </c>
    </row>
    <row r="2415">
      <c r="A2415" t="str">
        <f>IFERROR(__xludf.DUMMYFUNCTION("""COMPUTED_VALUE"""),"B-060")</f>
        <v>B-060</v>
      </c>
      <c r="B2415" s="226" t="str">
        <f>IFERROR(__xludf.DUMMYFUNCTION("""COMPUTED_VALUE"""),"5907615801204")</f>
        <v>5907615801204</v>
      </c>
      <c r="C2415" t="str">
        <f>IFERROR(__xludf.DUMMYFUNCTION("""COMPUTED_VALUE"""),"Steinhof")</f>
        <v>Steinhof</v>
      </c>
    </row>
    <row r="2416">
      <c r="A2416" t="str">
        <f>IFERROR(__xludf.DUMMYFUNCTION("""COMPUTED_VALUE"""),"B-061")</f>
        <v>B-061</v>
      </c>
      <c r="B2416" s="226" t="str">
        <f>IFERROR(__xludf.DUMMYFUNCTION("""COMPUTED_VALUE"""),"5907615801211")</f>
        <v>5907615801211</v>
      </c>
      <c r="C2416" t="str">
        <f>IFERROR(__xludf.DUMMYFUNCTION("""COMPUTED_VALUE"""),"Steinhof")</f>
        <v>Steinhof</v>
      </c>
    </row>
    <row r="2417">
      <c r="A2417" t="str">
        <f>IFERROR(__xludf.DUMMYFUNCTION("""COMPUTED_VALUE"""),"B-061")</f>
        <v>B-061</v>
      </c>
      <c r="B2417" s="226" t="str">
        <f>IFERROR(__xludf.DUMMYFUNCTION("""COMPUTED_VALUE"""),"5907615801211")</f>
        <v>5907615801211</v>
      </c>
      <c r="C2417" t="str">
        <f>IFERROR(__xludf.DUMMYFUNCTION("""COMPUTED_VALUE"""),"Steinhof")</f>
        <v>Steinhof</v>
      </c>
    </row>
    <row r="2418">
      <c r="A2418" t="str">
        <f>IFERROR(__xludf.DUMMYFUNCTION("""COMPUTED_VALUE"""),"B-061")</f>
        <v>B-061</v>
      </c>
      <c r="B2418" s="226" t="str">
        <f>IFERROR(__xludf.DUMMYFUNCTION("""COMPUTED_VALUE"""),"5907615801211")</f>
        <v>5907615801211</v>
      </c>
      <c r="C2418" t="str">
        <f>IFERROR(__xludf.DUMMYFUNCTION("""COMPUTED_VALUE"""),"Steinhof")</f>
        <v>Steinhof</v>
      </c>
    </row>
    <row r="2419">
      <c r="A2419" t="str">
        <f>IFERROR(__xludf.DUMMYFUNCTION("""COMPUTED_VALUE"""),"B-061")</f>
        <v>B-061</v>
      </c>
      <c r="B2419" s="226" t="str">
        <f>IFERROR(__xludf.DUMMYFUNCTION("""COMPUTED_VALUE"""),"5907615801211")</f>
        <v>5907615801211</v>
      </c>
      <c r="C2419" t="str">
        <f>IFERROR(__xludf.DUMMYFUNCTION("""COMPUTED_VALUE"""),"Steinhof")</f>
        <v>Steinhof</v>
      </c>
    </row>
    <row r="2420">
      <c r="A2420" t="str">
        <f>IFERROR(__xludf.DUMMYFUNCTION("""COMPUTED_VALUE"""),"B-061")</f>
        <v>B-061</v>
      </c>
      <c r="B2420" s="226" t="str">
        <f>IFERROR(__xludf.DUMMYFUNCTION("""COMPUTED_VALUE"""),"5907615801211")</f>
        <v>5907615801211</v>
      </c>
      <c r="C2420" t="str">
        <f>IFERROR(__xludf.DUMMYFUNCTION("""COMPUTED_VALUE"""),"Steinhof")</f>
        <v>Steinhof</v>
      </c>
    </row>
    <row r="2421">
      <c r="A2421" t="str">
        <f>IFERROR(__xludf.DUMMYFUNCTION("""COMPUTED_VALUE"""),"B-062")</f>
        <v>B-062</v>
      </c>
      <c r="B2421" s="226" t="str">
        <f>IFERROR(__xludf.DUMMYFUNCTION("""COMPUTED_VALUE"""),"5907615801228")</f>
        <v>5907615801228</v>
      </c>
      <c r="C2421" t="str">
        <f>IFERROR(__xludf.DUMMYFUNCTION("""COMPUTED_VALUE"""),"Steinhof")</f>
        <v>Steinhof</v>
      </c>
    </row>
    <row r="2422">
      <c r="A2422" t="str">
        <f>IFERROR(__xludf.DUMMYFUNCTION("""COMPUTED_VALUE"""),"B-062")</f>
        <v>B-062</v>
      </c>
      <c r="B2422" s="226" t="str">
        <f>IFERROR(__xludf.DUMMYFUNCTION("""COMPUTED_VALUE"""),"5907615801228")</f>
        <v>5907615801228</v>
      </c>
      <c r="C2422" t="str">
        <f>IFERROR(__xludf.DUMMYFUNCTION("""COMPUTED_VALUE"""),"Steinhof")</f>
        <v>Steinhof</v>
      </c>
    </row>
    <row r="2423">
      <c r="A2423" t="str">
        <f>IFERROR(__xludf.DUMMYFUNCTION("""COMPUTED_VALUE"""),"B-063")</f>
        <v>B-063</v>
      </c>
      <c r="B2423" s="226" t="str">
        <f>IFERROR(__xludf.DUMMYFUNCTION("""COMPUTED_VALUE"""),"5907615801235")</f>
        <v>5907615801235</v>
      </c>
      <c r="C2423" t="str">
        <f>IFERROR(__xludf.DUMMYFUNCTION("""COMPUTED_VALUE"""),"Steinhof")</f>
        <v>Steinhof</v>
      </c>
    </row>
    <row r="2424">
      <c r="A2424" t="str">
        <f>IFERROR(__xludf.DUMMYFUNCTION("""COMPUTED_VALUE"""),"B-063")</f>
        <v>B-063</v>
      </c>
      <c r="B2424" s="226" t="str">
        <f>IFERROR(__xludf.DUMMYFUNCTION("""COMPUTED_VALUE"""),"5907615801235")</f>
        <v>5907615801235</v>
      </c>
      <c r="C2424" t="str">
        <f>IFERROR(__xludf.DUMMYFUNCTION("""COMPUTED_VALUE"""),"Steinhof")</f>
        <v>Steinhof</v>
      </c>
    </row>
    <row r="2425">
      <c r="A2425" t="str">
        <f>IFERROR(__xludf.DUMMYFUNCTION("""COMPUTED_VALUE"""),"B-054")</f>
        <v>B-054</v>
      </c>
      <c r="B2425" s="226" t="str">
        <f>IFERROR(__xludf.DUMMYFUNCTION("""COMPUTED_VALUE"""),"5907615801242")</f>
        <v>5907615801242</v>
      </c>
      <c r="C2425" t="str">
        <f>IFERROR(__xludf.DUMMYFUNCTION("""COMPUTED_VALUE"""),"Steinhof")</f>
        <v>Steinhof</v>
      </c>
    </row>
    <row r="2426">
      <c r="A2426" t="str">
        <f>IFERROR(__xludf.DUMMYFUNCTION("""COMPUTED_VALUE"""),"B-054")</f>
        <v>B-054</v>
      </c>
      <c r="B2426" s="226" t="str">
        <f>IFERROR(__xludf.DUMMYFUNCTION("""COMPUTED_VALUE"""),"5907615801242")</f>
        <v>5907615801242</v>
      </c>
      <c r="C2426" t="str">
        <f>IFERROR(__xludf.DUMMYFUNCTION("""COMPUTED_VALUE"""),"Steinhof")</f>
        <v>Steinhof</v>
      </c>
    </row>
    <row r="2427">
      <c r="A2427" t="str">
        <f>IFERROR(__xludf.DUMMYFUNCTION("""COMPUTED_VALUE"""),"B-054")</f>
        <v>B-054</v>
      </c>
      <c r="B2427" s="226" t="str">
        <f>IFERROR(__xludf.DUMMYFUNCTION("""COMPUTED_VALUE"""),"5907615801242")</f>
        <v>5907615801242</v>
      </c>
      <c r="C2427" t="str">
        <f>IFERROR(__xludf.DUMMYFUNCTION("""COMPUTED_VALUE"""),"Steinhof")</f>
        <v>Steinhof</v>
      </c>
    </row>
    <row r="2428">
      <c r="A2428" t="str">
        <f>IFERROR(__xludf.DUMMYFUNCTION("""COMPUTED_VALUE"""),"B-054")</f>
        <v>B-054</v>
      </c>
      <c r="B2428" s="226" t="str">
        <f>IFERROR(__xludf.DUMMYFUNCTION("""COMPUTED_VALUE"""),"5907615801242")</f>
        <v>5907615801242</v>
      </c>
      <c r="C2428" t="str">
        <f>IFERROR(__xludf.DUMMYFUNCTION("""COMPUTED_VALUE"""),"Steinhof")</f>
        <v>Steinhof</v>
      </c>
    </row>
    <row r="2429">
      <c r="A2429" t="str">
        <f>IFERROR(__xludf.DUMMYFUNCTION("""COMPUTED_VALUE"""),"B-047")</f>
        <v>B-047</v>
      </c>
      <c r="B2429" s="226" t="str">
        <f>IFERROR(__xludf.DUMMYFUNCTION("""COMPUTED_VALUE"""),"5907615801259")</f>
        <v>5907615801259</v>
      </c>
      <c r="C2429" t="str">
        <f>IFERROR(__xludf.DUMMYFUNCTION("""COMPUTED_VALUE"""),"Steinhof")</f>
        <v>Steinhof</v>
      </c>
    </row>
    <row r="2430">
      <c r="A2430" t="str">
        <f>IFERROR(__xludf.DUMMYFUNCTION("""COMPUTED_VALUE"""),"B-047")</f>
        <v>B-047</v>
      </c>
      <c r="B2430" s="226" t="str">
        <f>IFERROR(__xludf.DUMMYFUNCTION("""COMPUTED_VALUE"""),"5907615801259")</f>
        <v>5907615801259</v>
      </c>
      <c r="C2430" t="str">
        <f>IFERROR(__xludf.DUMMYFUNCTION("""COMPUTED_VALUE"""),"Steinhof")</f>
        <v>Steinhof</v>
      </c>
    </row>
    <row r="2431">
      <c r="A2431" t="str">
        <f>IFERROR(__xludf.DUMMYFUNCTION("""COMPUTED_VALUE"""),"B-066")</f>
        <v>B-066</v>
      </c>
      <c r="B2431" s="226" t="str">
        <f>IFERROR(__xludf.DUMMYFUNCTION("""COMPUTED_VALUE"""),"5907615801266")</f>
        <v>5907615801266</v>
      </c>
      <c r="C2431" t="str">
        <f>IFERROR(__xludf.DUMMYFUNCTION("""COMPUTED_VALUE"""),"Steinhof")</f>
        <v>Steinhof</v>
      </c>
    </row>
    <row r="2432">
      <c r="A2432" t="str">
        <f>IFERROR(__xludf.DUMMYFUNCTION("""COMPUTED_VALUE"""),"B-066")</f>
        <v>B-066</v>
      </c>
      <c r="B2432" s="226" t="str">
        <f>IFERROR(__xludf.DUMMYFUNCTION("""COMPUTED_VALUE"""),"5907615801266")</f>
        <v>5907615801266</v>
      </c>
      <c r="C2432" t="str">
        <f>IFERROR(__xludf.DUMMYFUNCTION("""COMPUTED_VALUE"""),"Steinhof")</f>
        <v>Steinhof</v>
      </c>
    </row>
    <row r="2433">
      <c r="A2433" t="str">
        <f>IFERROR(__xludf.DUMMYFUNCTION("""COMPUTED_VALUE"""),"B-066")</f>
        <v>B-066</v>
      </c>
      <c r="B2433" s="226" t="str">
        <f>IFERROR(__xludf.DUMMYFUNCTION("""COMPUTED_VALUE"""),"5907615801266")</f>
        <v>5907615801266</v>
      </c>
      <c r="C2433" t="str">
        <f>IFERROR(__xludf.DUMMYFUNCTION("""COMPUTED_VALUE"""),"Steinhof")</f>
        <v>Steinhof</v>
      </c>
    </row>
    <row r="2434">
      <c r="A2434" t="str">
        <f>IFERROR(__xludf.DUMMYFUNCTION("""COMPUTED_VALUE"""),"B-066")</f>
        <v>B-066</v>
      </c>
      <c r="B2434" s="226" t="str">
        <f>IFERROR(__xludf.DUMMYFUNCTION("""COMPUTED_VALUE"""),"5907615801266")</f>
        <v>5907615801266</v>
      </c>
      <c r="C2434" t="str">
        <f>IFERROR(__xludf.DUMMYFUNCTION("""COMPUTED_VALUE"""),"Steinhof")</f>
        <v>Steinhof</v>
      </c>
    </row>
    <row r="2435">
      <c r="A2435" t="str">
        <f>IFERROR(__xludf.DUMMYFUNCTION("""COMPUTED_VALUE"""),"B-066")</f>
        <v>B-066</v>
      </c>
      <c r="B2435" s="226" t="str">
        <f>IFERROR(__xludf.DUMMYFUNCTION("""COMPUTED_VALUE"""),"5907615801266")</f>
        <v>5907615801266</v>
      </c>
      <c r="C2435" t="str">
        <f>IFERROR(__xludf.DUMMYFUNCTION("""COMPUTED_VALUE"""),"Steinhof")</f>
        <v>Steinhof</v>
      </c>
    </row>
    <row r="2436">
      <c r="A2436" t="str">
        <f>IFERROR(__xludf.DUMMYFUNCTION("""COMPUTED_VALUE"""),"B-066")</f>
        <v>B-066</v>
      </c>
      <c r="B2436" s="226" t="str">
        <f>IFERROR(__xludf.DUMMYFUNCTION("""COMPUTED_VALUE"""),"5907615801266")</f>
        <v>5907615801266</v>
      </c>
      <c r="C2436" t="str">
        <f>IFERROR(__xludf.DUMMYFUNCTION("""COMPUTED_VALUE"""),"Steinhof")</f>
        <v>Steinhof</v>
      </c>
    </row>
    <row r="2437">
      <c r="A2437" t="str">
        <f>IFERROR(__xludf.DUMMYFUNCTION("""COMPUTED_VALUE"""),"B-067")</f>
        <v>B-067</v>
      </c>
      <c r="B2437" s="226" t="str">
        <f>IFERROR(__xludf.DUMMYFUNCTION("""COMPUTED_VALUE"""),"5907615801273")</f>
        <v>5907615801273</v>
      </c>
      <c r="C2437" t="str">
        <f>IFERROR(__xludf.DUMMYFUNCTION("""COMPUTED_VALUE"""),"Steinhof")</f>
        <v>Steinhof</v>
      </c>
    </row>
    <row r="2438">
      <c r="A2438" t="str">
        <f>IFERROR(__xludf.DUMMYFUNCTION("""COMPUTED_VALUE"""),"B-067")</f>
        <v>B-067</v>
      </c>
      <c r="B2438" s="226" t="str">
        <f>IFERROR(__xludf.DUMMYFUNCTION("""COMPUTED_VALUE"""),"5907615801273")</f>
        <v>5907615801273</v>
      </c>
      <c r="C2438" t="str">
        <f>IFERROR(__xludf.DUMMYFUNCTION("""COMPUTED_VALUE"""),"Steinhof")</f>
        <v>Steinhof</v>
      </c>
    </row>
    <row r="2439">
      <c r="A2439" t="str">
        <f>IFERROR(__xludf.DUMMYFUNCTION("""COMPUTED_VALUE"""),"B-067")</f>
        <v>B-067</v>
      </c>
      <c r="B2439" s="226" t="str">
        <f>IFERROR(__xludf.DUMMYFUNCTION("""COMPUTED_VALUE"""),"5907615801273")</f>
        <v>5907615801273</v>
      </c>
      <c r="C2439" t="str">
        <f>IFERROR(__xludf.DUMMYFUNCTION("""COMPUTED_VALUE"""),"Steinhof")</f>
        <v>Steinhof</v>
      </c>
    </row>
    <row r="2440">
      <c r="A2440" t="str">
        <f>IFERROR(__xludf.DUMMYFUNCTION("""COMPUTED_VALUE"""),"B-067")</f>
        <v>B-067</v>
      </c>
      <c r="B2440" s="226" t="str">
        <f>IFERROR(__xludf.DUMMYFUNCTION("""COMPUTED_VALUE"""),"5907615801273")</f>
        <v>5907615801273</v>
      </c>
      <c r="C2440" t="str">
        <f>IFERROR(__xludf.DUMMYFUNCTION("""COMPUTED_VALUE"""),"Steinhof")</f>
        <v>Steinhof</v>
      </c>
    </row>
    <row r="2441">
      <c r="A2441" t="str">
        <f>IFERROR(__xludf.DUMMYFUNCTION("""COMPUTED_VALUE"""),"B-067")</f>
        <v>B-067</v>
      </c>
      <c r="B2441" s="226" t="str">
        <f>IFERROR(__xludf.DUMMYFUNCTION("""COMPUTED_VALUE"""),"5907615801273")</f>
        <v>5907615801273</v>
      </c>
      <c r="C2441" t="str">
        <f>IFERROR(__xludf.DUMMYFUNCTION("""COMPUTED_VALUE"""),"Steinhof")</f>
        <v>Steinhof</v>
      </c>
    </row>
    <row r="2442">
      <c r="A2442" t="str">
        <f>IFERROR(__xludf.DUMMYFUNCTION("""COMPUTED_VALUE"""),"B-067")</f>
        <v>B-067</v>
      </c>
      <c r="B2442" s="226" t="str">
        <f>IFERROR(__xludf.DUMMYFUNCTION("""COMPUTED_VALUE"""),"5907615801273")</f>
        <v>5907615801273</v>
      </c>
      <c r="C2442" t="str">
        <f>IFERROR(__xludf.DUMMYFUNCTION("""COMPUTED_VALUE"""),"Steinhof")</f>
        <v>Steinhof</v>
      </c>
    </row>
    <row r="2443">
      <c r="A2443" t="str">
        <f>IFERROR(__xludf.DUMMYFUNCTION("""COMPUTED_VALUE"""),"B-048")</f>
        <v>B-048</v>
      </c>
      <c r="B2443" s="226" t="str">
        <f>IFERROR(__xludf.DUMMYFUNCTION("""COMPUTED_VALUE"""),"5907615801280")</f>
        <v>5907615801280</v>
      </c>
      <c r="C2443" t="str">
        <f>IFERROR(__xludf.DUMMYFUNCTION("""COMPUTED_VALUE"""),"Steinhof")</f>
        <v>Steinhof</v>
      </c>
    </row>
    <row r="2444">
      <c r="A2444" t="str">
        <f>IFERROR(__xludf.DUMMYFUNCTION("""COMPUTED_VALUE"""),"B-048")</f>
        <v>B-048</v>
      </c>
      <c r="B2444" s="226" t="str">
        <f>IFERROR(__xludf.DUMMYFUNCTION("""COMPUTED_VALUE"""),"5907615801280")</f>
        <v>5907615801280</v>
      </c>
      <c r="C2444" t="str">
        <f>IFERROR(__xludf.DUMMYFUNCTION("""COMPUTED_VALUE"""),"Steinhof")</f>
        <v>Steinhof</v>
      </c>
    </row>
    <row r="2445">
      <c r="A2445" t="str">
        <f>IFERROR(__xludf.DUMMYFUNCTION("""COMPUTED_VALUE"""),"B-043")</f>
        <v>B-043</v>
      </c>
      <c r="B2445" s="226" t="str">
        <f>IFERROR(__xludf.DUMMYFUNCTION("""COMPUTED_VALUE"""),"5907615801297")</f>
        <v>5907615801297</v>
      </c>
      <c r="C2445" t="str">
        <f>IFERROR(__xludf.DUMMYFUNCTION("""COMPUTED_VALUE"""),"Steinhof")</f>
        <v>Steinhof</v>
      </c>
    </row>
    <row r="2446">
      <c r="A2446" t="str">
        <f>IFERROR(__xludf.DUMMYFUNCTION("""COMPUTED_VALUE"""),"B-043")</f>
        <v>B-043</v>
      </c>
      <c r="B2446" s="226" t="str">
        <f>IFERROR(__xludf.DUMMYFUNCTION("""COMPUTED_VALUE"""),"5907615801297")</f>
        <v>5907615801297</v>
      </c>
      <c r="C2446" t="str">
        <f>IFERROR(__xludf.DUMMYFUNCTION("""COMPUTED_VALUE"""),"Steinhof")</f>
        <v>Steinhof</v>
      </c>
    </row>
    <row r="2447">
      <c r="A2447" t="str">
        <f>IFERROR(__xludf.DUMMYFUNCTION("""COMPUTED_VALUE"""),"B-043")</f>
        <v>B-043</v>
      </c>
      <c r="B2447" s="226" t="str">
        <f>IFERROR(__xludf.DUMMYFUNCTION("""COMPUTED_VALUE"""),"5907615801297")</f>
        <v>5907615801297</v>
      </c>
      <c r="C2447" t="str">
        <f>IFERROR(__xludf.DUMMYFUNCTION("""COMPUTED_VALUE"""),"Steinhof")</f>
        <v>Steinhof</v>
      </c>
    </row>
    <row r="2448">
      <c r="A2448" t="str">
        <f>IFERROR(__xludf.DUMMYFUNCTION("""COMPUTED_VALUE"""),"B-043")</f>
        <v>B-043</v>
      </c>
      <c r="B2448" s="226" t="str">
        <f>IFERROR(__xludf.DUMMYFUNCTION("""COMPUTED_VALUE"""),"5907615801297")</f>
        <v>5907615801297</v>
      </c>
      <c r="C2448" t="str">
        <f>IFERROR(__xludf.DUMMYFUNCTION("""COMPUTED_VALUE"""),"Steinhof")</f>
        <v>Steinhof</v>
      </c>
    </row>
    <row r="2449">
      <c r="A2449" t="str">
        <f>IFERROR(__xludf.DUMMYFUNCTION("""COMPUTED_VALUE"""),"B-043")</f>
        <v>B-043</v>
      </c>
      <c r="B2449" s="226" t="str">
        <f>IFERROR(__xludf.DUMMYFUNCTION("""COMPUTED_VALUE"""),"5907615801297")</f>
        <v>5907615801297</v>
      </c>
      <c r="C2449" t="str">
        <f>IFERROR(__xludf.DUMMYFUNCTION("""COMPUTED_VALUE"""),"Steinhof")</f>
        <v>Steinhof</v>
      </c>
    </row>
    <row r="2450">
      <c r="A2450" t="str">
        <f>IFERROR(__xludf.DUMMYFUNCTION("""COMPUTED_VALUE"""),"B-043")</f>
        <v>B-043</v>
      </c>
      <c r="B2450" s="226" t="str">
        <f>IFERROR(__xludf.DUMMYFUNCTION("""COMPUTED_VALUE"""),"5907615801297")</f>
        <v>5907615801297</v>
      </c>
      <c r="C2450" t="str">
        <f>IFERROR(__xludf.DUMMYFUNCTION("""COMPUTED_VALUE"""),"Steinhof")</f>
        <v>Steinhof</v>
      </c>
    </row>
    <row r="2451">
      <c r="A2451" t="str">
        <f>IFERROR(__xludf.DUMMYFUNCTION("""COMPUTED_VALUE"""),"B-043")</f>
        <v>B-043</v>
      </c>
      <c r="B2451" s="226" t="str">
        <f>IFERROR(__xludf.DUMMYFUNCTION("""COMPUTED_VALUE"""),"5907615801297")</f>
        <v>5907615801297</v>
      </c>
      <c r="C2451" t="str">
        <f>IFERROR(__xludf.DUMMYFUNCTION("""COMPUTED_VALUE"""),"Steinhof")</f>
        <v>Steinhof</v>
      </c>
    </row>
    <row r="2452">
      <c r="A2452" t="str">
        <f>IFERROR(__xludf.DUMMYFUNCTION("""COMPUTED_VALUE"""),"B-043")</f>
        <v>B-043</v>
      </c>
      <c r="B2452" s="226" t="str">
        <f>IFERROR(__xludf.DUMMYFUNCTION("""COMPUTED_VALUE"""),"5907615801297")</f>
        <v>5907615801297</v>
      </c>
      <c r="C2452" t="str">
        <f>IFERROR(__xludf.DUMMYFUNCTION("""COMPUTED_VALUE"""),"Steinhof")</f>
        <v>Steinhof</v>
      </c>
    </row>
    <row r="2453">
      <c r="A2453" t="str">
        <f>IFERROR(__xludf.DUMMYFUNCTION("""COMPUTED_VALUE"""),"B-070")</f>
        <v>B-070</v>
      </c>
      <c r="B2453" s="226" t="str">
        <f>IFERROR(__xludf.DUMMYFUNCTION("""COMPUTED_VALUE"""),"5907615801303")</f>
        <v>5907615801303</v>
      </c>
      <c r="C2453" t="str">
        <f>IFERROR(__xludf.DUMMYFUNCTION("""COMPUTED_VALUE"""),"Steinhof")</f>
        <v>Steinhof</v>
      </c>
    </row>
    <row r="2454">
      <c r="A2454" t="str">
        <f>IFERROR(__xludf.DUMMYFUNCTION("""COMPUTED_VALUE"""),"B-070")</f>
        <v>B-070</v>
      </c>
      <c r="B2454" s="226" t="str">
        <f>IFERROR(__xludf.DUMMYFUNCTION("""COMPUTED_VALUE"""),"5907615801303")</f>
        <v>5907615801303</v>
      </c>
      <c r="C2454" t="str">
        <f>IFERROR(__xludf.DUMMYFUNCTION("""COMPUTED_VALUE"""),"Steinhof")</f>
        <v>Steinhof</v>
      </c>
    </row>
    <row r="2455">
      <c r="A2455" t="str">
        <f>IFERROR(__xludf.DUMMYFUNCTION("""COMPUTED_VALUE"""),"B-071")</f>
        <v>B-071</v>
      </c>
      <c r="B2455" s="226" t="str">
        <f>IFERROR(__xludf.DUMMYFUNCTION("""COMPUTED_VALUE"""),"5907615801310")</f>
        <v>5907615801310</v>
      </c>
      <c r="C2455" t="str">
        <f>IFERROR(__xludf.DUMMYFUNCTION("""COMPUTED_VALUE"""),"Steinhof")</f>
        <v>Steinhof</v>
      </c>
    </row>
    <row r="2456">
      <c r="A2456" t="str">
        <f>IFERROR(__xludf.DUMMYFUNCTION("""COMPUTED_VALUE"""),"B-071")</f>
        <v>B-071</v>
      </c>
      <c r="B2456" s="226" t="str">
        <f>IFERROR(__xludf.DUMMYFUNCTION("""COMPUTED_VALUE"""),"5907615801310")</f>
        <v>5907615801310</v>
      </c>
      <c r="C2456" t="str">
        <f>IFERROR(__xludf.DUMMYFUNCTION("""COMPUTED_VALUE"""),"Steinhof")</f>
        <v>Steinhof</v>
      </c>
    </row>
    <row r="2457">
      <c r="A2457" t="str">
        <f>IFERROR(__xludf.DUMMYFUNCTION("""COMPUTED_VALUE"""),"B-044")</f>
        <v>B-044</v>
      </c>
      <c r="B2457" s="226" t="str">
        <f>IFERROR(__xludf.DUMMYFUNCTION("""COMPUTED_VALUE"""),"5907615801327")</f>
        <v>5907615801327</v>
      </c>
      <c r="C2457" t="str">
        <f>IFERROR(__xludf.DUMMYFUNCTION("""COMPUTED_VALUE"""),"Steinhof")</f>
        <v>Steinhof</v>
      </c>
    </row>
    <row r="2458">
      <c r="A2458" t="str">
        <f>IFERROR(__xludf.DUMMYFUNCTION("""COMPUTED_VALUE"""),"B-044")</f>
        <v>B-044</v>
      </c>
      <c r="B2458" s="226" t="str">
        <f>IFERROR(__xludf.DUMMYFUNCTION("""COMPUTED_VALUE"""),"5907615801327")</f>
        <v>5907615801327</v>
      </c>
      <c r="C2458" t="str">
        <f>IFERROR(__xludf.DUMMYFUNCTION("""COMPUTED_VALUE"""),"Steinhof")</f>
        <v>Steinhof</v>
      </c>
    </row>
    <row r="2459">
      <c r="A2459" t="str">
        <f>IFERROR(__xludf.DUMMYFUNCTION("""COMPUTED_VALUE"""),"B-044")</f>
        <v>B-044</v>
      </c>
      <c r="B2459" s="226" t="str">
        <f>IFERROR(__xludf.DUMMYFUNCTION("""COMPUTED_VALUE"""),"5907615801327")</f>
        <v>5907615801327</v>
      </c>
      <c r="C2459" t="str">
        <f>IFERROR(__xludf.DUMMYFUNCTION("""COMPUTED_VALUE"""),"Steinhof")</f>
        <v>Steinhof</v>
      </c>
    </row>
    <row r="2460">
      <c r="A2460" t="str">
        <f>IFERROR(__xludf.DUMMYFUNCTION("""COMPUTED_VALUE"""),"B-044")</f>
        <v>B-044</v>
      </c>
      <c r="B2460" s="226" t="str">
        <f>IFERROR(__xludf.DUMMYFUNCTION("""COMPUTED_VALUE"""),"5907615801327")</f>
        <v>5907615801327</v>
      </c>
      <c r="C2460" t="str">
        <f>IFERROR(__xludf.DUMMYFUNCTION("""COMPUTED_VALUE"""),"Steinhof")</f>
        <v>Steinhof</v>
      </c>
    </row>
    <row r="2461">
      <c r="A2461" t="str">
        <f>IFERROR(__xludf.DUMMYFUNCTION("""COMPUTED_VALUE"""),"B-044")</f>
        <v>B-044</v>
      </c>
      <c r="B2461" s="226" t="str">
        <f>IFERROR(__xludf.DUMMYFUNCTION("""COMPUTED_VALUE"""),"5907615801327")</f>
        <v>5907615801327</v>
      </c>
      <c r="C2461" t="str">
        <f>IFERROR(__xludf.DUMMYFUNCTION("""COMPUTED_VALUE"""),"Steinhof")</f>
        <v>Steinhof</v>
      </c>
    </row>
    <row r="2462">
      <c r="A2462" t="str">
        <f>IFERROR(__xludf.DUMMYFUNCTION("""COMPUTED_VALUE"""),"B-044")</f>
        <v>B-044</v>
      </c>
      <c r="B2462" s="226" t="str">
        <f>IFERROR(__xludf.DUMMYFUNCTION("""COMPUTED_VALUE"""),"5907615801327")</f>
        <v>5907615801327</v>
      </c>
      <c r="C2462" t="str">
        <f>IFERROR(__xludf.DUMMYFUNCTION("""COMPUTED_VALUE"""),"Steinhof")</f>
        <v>Steinhof</v>
      </c>
    </row>
    <row r="2463">
      <c r="A2463" t="str">
        <f>IFERROR(__xludf.DUMMYFUNCTION("""COMPUTED_VALUE"""),"B-044")</f>
        <v>B-044</v>
      </c>
      <c r="B2463" s="226" t="str">
        <f>IFERROR(__xludf.DUMMYFUNCTION("""COMPUTED_VALUE"""),"5907615801327")</f>
        <v>5907615801327</v>
      </c>
      <c r="C2463" t="str">
        <f>IFERROR(__xludf.DUMMYFUNCTION("""COMPUTED_VALUE"""),"Steinhof")</f>
        <v>Steinhof</v>
      </c>
    </row>
    <row r="2464">
      <c r="A2464" t="str">
        <f>IFERROR(__xludf.DUMMYFUNCTION("""COMPUTED_VALUE"""),"B-044")</f>
        <v>B-044</v>
      </c>
      <c r="B2464" s="226" t="str">
        <f>IFERROR(__xludf.DUMMYFUNCTION("""COMPUTED_VALUE"""),"5907615801327")</f>
        <v>5907615801327</v>
      </c>
      <c r="C2464" t="str">
        <f>IFERROR(__xludf.DUMMYFUNCTION("""COMPUTED_VALUE"""),"Steinhof")</f>
        <v>Steinhof</v>
      </c>
    </row>
    <row r="2465">
      <c r="A2465" t="str">
        <f>IFERROR(__xludf.DUMMYFUNCTION("""COMPUTED_VALUE"""),"B-041")</f>
        <v>B-041</v>
      </c>
      <c r="B2465" s="226" t="str">
        <f>IFERROR(__xludf.DUMMYFUNCTION("""COMPUTED_VALUE"""),"5907615801334")</f>
        <v>5907615801334</v>
      </c>
      <c r="C2465" t="str">
        <f>IFERROR(__xludf.DUMMYFUNCTION("""COMPUTED_VALUE"""),"Steinhof")</f>
        <v>Steinhof</v>
      </c>
    </row>
    <row r="2466">
      <c r="A2466" t="str">
        <f>IFERROR(__xludf.DUMMYFUNCTION("""COMPUTED_VALUE"""),"B-041")</f>
        <v>B-041</v>
      </c>
      <c r="B2466" s="226" t="str">
        <f>IFERROR(__xludf.DUMMYFUNCTION("""COMPUTED_VALUE"""),"5907615801334")</f>
        <v>5907615801334</v>
      </c>
      <c r="C2466" t="str">
        <f>IFERROR(__xludf.DUMMYFUNCTION("""COMPUTED_VALUE"""),"Steinhof")</f>
        <v>Steinhof</v>
      </c>
    </row>
    <row r="2467">
      <c r="A2467" t="str">
        <f>IFERROR(__xludf.DUMMYFUNCTION("""COMPUTED_VALUE"""),"B-042")</f>
        <v>B-042</v>
      </c>
      <c r="B2467" s="226" t="str">
        <f>IFERROR(__xludf.DUMMYFUNCTION("""COMPUTED_VALUE"""),"5907615801341")</f>
        <v>5907615801341</v>
      </c>
      <c r="C2467" t="str">
        <f>IFERROR(__xludf.DUMMYFUNCTION("""COMPUTED_VALUE"""),"Steinhof")</f>
        <v>Steinhof</v>
      </c>
    </row>
    <row r="2468">
      <c r="A2468" t="str">
        <f>IFERROR(__xludf.DUMMYFUNCTION("""COMPUTED_VALUE"""),"B-042")</f>
        <v>B-042</v>
      </c>
      <c r="B2468" s="226" t="str">
        <f>IFERROR(__xludf.DUMMYFUNCTION("""COMPUTED_VALUE"""),"5907615801341")</f>
        <v>5907615801341</v>
      </c>
      <c r="C2468" t="str">
        <f>IFERROR(__xludf.DUMMYFUNCTION("""COMPUTED_VALUE"""),"Steinhof")</f>
        <v>Steinhof</v>
      </c>
    </row>
    <row r="2469">
      <c r="A2469" t="str">
        <f>IFERROR(__xludf.DUMMYFUNCTION("""COMPUTED_VALUE"""),"B-064")</f>
        <v>B-064</v>
      </c>
      <c r="B2469" s="226" t="str">
        <f>IFERROR(__xludf.DUMMYFUNCTION("""COMPUTED_VALUE"""),"5907615801358")</f>
        <v>5907615801358</v>
      </c>
      <c r="C2469" t="str">
        <f>IFERROR(__xludf.DUMMYFUNCTION("""COMPUTED_VALUE"""),"Steinhof")</f>
        <v>Steinhof</v>
      </c>
    </row>
    <row r="2470">
      <c r="A2470" t="str">
        <f>IFERROR(__xludf.DUMMYFUNCTION("""COMPUTED_VALUE"""),"B-064")</f>
        <v>B-064</v>
      </c>
      <c r="B2470" s="226" t="str">
        <f>IFERROR(__xludf.DUMMYFUNCTION("""COMPUTED_VALUE"""),"5907615801358")</f>
        <v>5907615801358</v>
      </c>
      <c r="C2470" t="str">
        <f>IFERROR(__xludf.DUMMYFUNCTION("""COMPUTED_VALUE"""),"Steinhof")</f>
        <v>Steinhof</v>
      </c>
    </row>
    <row r="2471">
      <c r="A2471" t="str">
        <f>IFERROR(__xludf.DUMMYFUNCTION("""COMPUTED_VALUE"""),"B-064")</f>
        <v>B-064</v>
      </c>
      <c r="B2471" s="226" t="str">
        <f>IFERROR(__xludf.DUMMYFUNCTION("""COMPUTED_VALUE"""),"5907615801358")</f>
        <v>5907615801358</v>
      </c>
      <c r="C2471" t="str">
        <f>IFERROR(__xludf.DUMMYFUNCTION("""COMPUTED_VALUE"""),"Steinhof")</f>
        <v>Steinhof</v>
      </c>
    </row>
    <row r="2472">
      <c r="A2472" t="str">
        <f>IFERROR(__xludf.DUMMYFUNCTION("""COMPUTED_VALUE"""),"B-064")</f>
        <v>B-064</v>
      </c>
      <c r="B2472" s="226" t="str">
        <f>IFERROR(__xludf.DUMMYFUNCTION("""COMPUTED_VALUE"""),"5907615801358")</f>
        <v>5907615801358</v>
      </c>
      <c r="C2472" t="str">
        <f>IFERROR(__xludf.DUMMYFUNCTION("""COMPUTED_VALUE"""),"Steinhof")</f>
        <v>Steinhof</v>
      </c>
    </row>
    <row r="2473">
      <c r="A2473" t="str">
        <f>IFERROR(__xludf.DUMMYFUNCTION("""COMPUTED_VALUE"""),"B-064")</f>
        <v>B-064</v>
      </c>
      <c r="B2473" s="226" t="str">
        <f>IFERROR(__xludf.DUMMYFUNCTION("""COMPUTED_VALUE"""),"5907615801358")</f>
        <v>5907615801358</v>
      </c>
      <c r="C2473" t="str">
        <f>IFERROR(__xludf.DUMMYFUNCTION("""COMPUTED_VALUE"""),"Steinhof")</f>
        <v>Steinhof</v>
      </c>
    </row>
    <row r="2474">
      <c r="A2474" t="str">
        <f>IFERROR(__xludf.DUMMYFUNCTION("""COMPUTED_VALUE"""),"B-064")</f>
        <v>B-064</v>
      </c>
      <c r="B2474" s="226" t="str">
        <f>IFERROR(__xludf.DUMMYFUNCTION("""COMPUTED_VALUE"""),"5907615801358")</f>
        <v>5907615801358</v>
      </c>
      <c r="C2474" t="str">
        <f>IFERROR(__xludf.DUMMYFUNCTION("""COMPUTED_VALUE"""),"Steinhof")</f>
        <v>Steinhof</v>
      </c>
    </row>
    <row r="2475">
      <c r="A2475" t="str">
        <f>IFERROR(__xludf.DUMMYFUNCTION("""COMPUTED_VALUE"""),"B-064")</f>
        <v>B-064</v>
      </c>
      <c r="B2475" s="226" t="str">
        <f>IFERROR(__xludf.DUMMYFUNCTION("""COMPUTED_VALUE"""),"5907615801358")</f>
        <v>5907615801358</v>
      </c>
      <c r="C2475" t="str">
        <f>IFERROR(__xludf.DUMMYFUNCTION("""COMPUTED_VALUE"""),"Steinhof")</f>
        <v>Steinhof</v>
      </c>
    </row>
    <row r="2476">
      <c r="A2476" t="str">
        <f>IFERROR(__xludf.DUMMYFUNCTION("""COMPUTED_VALUE"""),"B-064")</f>
        <v>B-064</v>
      </c>
      <c r="B2476" s="226" t="str">
        <f>IFERROR(__xludf.DUMMYFUNCTION("""COMPUTED_VALUE"""),"5907615801358")</f>
        <v>5907615801358</v>
      </c>
      <c r="C2476" t="str">
        <f>IFERROR(__xludf.DUMMYFUNCTION("""COMPUTED_VALUE"""),"Steinhof")</f>
        <v>Steinhof</v>
      </c>
    </row>
    <row r="2477">
      <c r="A2477" t="str">
        <f>IFERROR(__xludf.DUMMYFUNCTION("""COMPUTED_VALUE"""),"B-065")</f>
        <v>B-065</v>
      </c>
      <c r="B2477" s="226" t="str">
        <f>IFERROR(__xludf.DUMMYFUNCTION("""COMPUTED_VALUE"""),"5907615801365")</f>
        <v>5907615801365</v>
      </c>
      <c r="C2477" t="str">
        <f>IFERROR(__xludf.DUMMYFUNCTION("""COMPUTED_VALUE"""),"Steinhof")</f>
        <v>Steinhof</v>
      </c>
    </row>
    <row r="2478">
      <c r="A2478" t="str">
        <f>IFERROR(__xludf.DUMMYFUNCTION("""COMPUTED_VALUE"""),"B-065")</f>
        <v>B-065</v>
      </c>
      <c r="B2478" s="226" t="str">
        <f>IFERROR(__xludf.DUMMYFUNCTION("""COMPUTED_VALUE"""),"5907615801365")</f>
        <v>5907615801365</v>
      </c>
      <c r="C2478" t="str">
        <f>IFERROR(__xludf.DUMMYFUNCTION("""COMPUTED_VALUE"""),"Steinhof")</f>
        <v>Steinhof</v>
      </c>
    </row>
    <row r="2479">
      <c r="A2479" t="str">
        <f>IFERROR(__xludf.DUMMYFUNCTION("""COMPUTED_VALUE"""),"B-065")</f>
        <v>B-065</v>
      </c>
      <c r="B2479" s="226" t="str">
        <f>IFERROR(__xludf.DUMMYFUNCTION("""COMPUTED_VALUE"""),"5907615801365")</f>
        <v>5907615801365</v>
      </c>
      <c r="C2479" t="str">
        <f>IFERROR(__xludf.DUMMYFUNCTION("""COMPUTED_VALUE"""),"Steinhof")</f>
        <v>Steinhof</v>
      </c>
    </row>
    <row r="2480">
      <c r="A2480" t="str">
        <f>IFERROR(__xludf.DUMMYFUNCTION("""COMPUTED_VALUE"""),"B-065")</f>
        <v>B-065</v>
      </c>
      <c r="B2480" s="226" t="str">
        <f>IFERROR(__xludf.DUMMYFUNCTION("""COMPUTED_VALUE"""),"5907615801365")</f>
        <v>5907615801365</v>
      </c>
      <c r="C2480" t="str">
        <f>IFERROR(__xludf.DUMMYFUNCTION("""COMPUTED_VALUE"""),"Steinhof")</f>
        <v>Steinhof</v>
      </c>
    </row>
    <row r="2481">
      <c r="A2481" t="str">
        <f>IFERROR(__xludf.DUMMYFUNCTION("""COMPUTED_VALUE"""),"B-065")</f>
        <v>B-065</v>
      </c>
      <c r="B2481" s="226" t="str">
        <f>IFERROR(__xludf.DUMMYFUNCTION("""COMPUTED_VALUE"""),"5907615801365")</f>
        <v>5907615801365</v>
      </c>
      <c r="C2481" t="str">
        <f>IFERROR(__xludf.DUMMYFUNCTION("""COMPUTED_VALUE"""),"Steinhof")</f>
        <v>Steinhof</v>
      </c>
    </row>
    <row r="2482">
      <c r="A2482" t="str">
        <f>IFERROR(__xludf.DUMMYFUNCTION("""COMPUTED_VALUE"""),"B-065")</f>
        <v>B-065</v>
      </c>
      <c r="B2482" s="226" t="str">
        <f>IFERROR(__xludf.DUMMYFUNCTION("""COMPUTED_VALUE"""),"5907615801365")</f>
        <v>5907615801365</v>
      </c>
      <c r="C2482" t="str">
        <f>IFERROR(__xludf.DUMMYFUNCTION("""COMPUTED_VALUE"""),"Steinhof")</f>
        <v>Steinhof</v>
      </c>
    </row>
    <row r="2483">
      <c r="A2483" t="str">
        <f>IFERROR(__xludf.DUMMYFUNCTION("""COMPUTED_VALUE"""),"B-065")</f>
        <v>B-065</v>
      </c>
      <c r="B2483" s="226" t="str">
        <f>IFERROR(__xludf.DUMMYFUNCTION("""COMPUTED_VALUE"""),"5907615801365")</f>
        <v>5907615801365</v>
      </c>
      <c r="C2483" t="str">
        <f>IFERROR(__xludf.DUMMYFUNCTION("""COMPUTED_VALUE"""),"Steinhof")</f>
        <v>Steinhof</v>
      </c>
    </row>
    <row r="2484">
      <c r="A2484" t="str">
        <f>IFERROR(__xludf.DUMMYFUNCTION("""COMPUTED_VALUE"""),"B-065")</f>
        <v>B-065</v>
      </c>
      <c r="B2484" s="226" t="str">
        <f>IFERROR(__xludf.DUMMYFUNCTION("""COMPUTED_VALUE"""),"5907615801365")</f>
        <v>5907615801365</v>
      </c>
      <c r="C2484" t="str">
        <f>IFERROR(__xludf.DUMMYFUNCTION("""COMPUTED_VALUE"""),"Steinhof")</f>
        <v>Steinhof</v>
      </c>
    </row>
    <row r="2485">
      <c r="A2485" t="str">
        <f>IFERROR(__xludf.DUMMYFUNCTION("""COMPUTED_VALUE"""),"B-072")</f>
        <v>B-072</v>
      </c>
      <c r="B2485" s="226" t="str">
        <f>IFERROR(__xludf.DUMMYFUNCTION("""COMPUTED_VALUE"""),"5907615801372")</f>
        <v>5907615801372</v>
      </c>
      <c r="C2485" t="str">
        <f>IFERROR(__xludf.DUMMYFUNCTION("""COMPUTED_VALUE"""),"Steinhof")</f>
        <v>Steinhof</v>
      </c>
    </row>
    <row r="2486">
      <c r="A2486" t="str">
        <f>IFERROR(__xludf.DUMMYFUNCTION("""COMPUTED_VALUE"""),"B-072")</f>
        <v>B-072</v>
      </c>
      <c r="B2486" s="226" t="str">
        <f>IFERROR(__xludf.DUMMYFUNCTION("""COMPUTED_VALUE"""),"5907615801372")</f>
        <v>5907615801372</v>
      </c>
      <c r="C2486" t="str">
        <f>IFERROR(__xludf.DUMMYFUNCTION("""COMPUTED_VALUE"""),"Steinhof")</f>
        <v>Steinhof</v>
      </c>
    </row>
    <row r="2487">
      <c r="A2487" t="str">
        <f>IFERROR(__xludf.DUMMYFUNCTION("""COMPUTED_VALUE"""),"B-072")</f>
        <v>B-072</v>
      </c>
      <c r="B2487" s="226" t="str">
        <f>IFERROR(__xludf.DUMMYFUNCTION("""COMPUTED_VALUE"""),"5907615801372")</f>
        <v>5907615801372</v>
      </c>
      <c r="C2487" t="str">
        <f>IFERROR(__xludf.DUMMYFUNCTION("""COMPUTED_VALUE"""),"Steinhof")</f>
        <v>Steinhof</v>
      </c>
    </row>
    <row r="2488">
      <c r="A2488" t="str">
        <f>IFERROR(__xludf.DUMMYFUNCTION("""COMPUTED_VALUE"""),"B-072")</f>
        <v>B-072</v>
      </c>
      <c r="B2488" s="226" t="str">
        <f>IFERROR(__xludf.DUMMYFUNCTION("""COMPUTED_VALUE"""),"5907615801372")</f>
        <v>5907615801372</v>
      </c>
      <c r="C2488" t="str">
        <f>IFERROR(__xludf.DUMMYFUNCTION("""COMPUTED_VALUE"""),"Steinhof")</f>
        <v>Steinhof</v>
      </c>
    </row>
    <row r="2489">
      <c r="A2489" t="str">
        <f>IFERROR(__xludf.DUMMYFUNCTION("""COMPUTED_VALUE"""),"B-072")</f>
        <v>B-072</v>
      </c>
      <c r="B2489" s="226" t="str">
        <f>IFERROR(__xludf.DUMMYFUNCTION("""COMPUTED_VALUE"""),"5907615801372")</f>
        <v>5907615801372</v>
      </c>
      <c r="C2489" t="str">
        <f>IFERROR(__xludf.DUMMYFUNCTION("""COMPUTED_VALUE"""),"Steinhof")</f>
        <v>Steinhof</v>
      </c>
    </row>
    <row r="2490">
      <c r="A2490" t="str">
        <f>IFERROR(__xludf.DUMMYFUNCTION("""COMPUTED_VALUE"""),"B-072")</f>
        <v>B-072</v>
      </c>
      <c r="B2490" s="226" t="str">
        <f>IFERROR(__xludf.DUMMYFUNCTION("""COMPUTED_VALUE"""),"5907615801372")</f>
        <v>5907615801372</v>
      </c>
      <c r="C2490" t="str">
        <f>IFERROR(__xludf.DUMMYFUNCTION("""COMPUTED_VALUE"""),"Steinhof")</f>
        <v>Steinhof</v>
      </c>
    </row>
    <row r="2491">
      <c r="A2491" t="str">
        <f>IFERROR(__xludf.DUMMYFUNCTION("""COMPUTED_VALUE"""),"B-072")</f>
        <v>B-072</v>
      </c>
      <c r="B2491" s="226" t="str">
        <f>IFERROR(__xludf.DUMMYFUNCTION("""COMPUTED_VALUE"""),"5907615801372")</f>
        <v>5907615801372</v>
      </c>
      <c r="C2491" t="str">
        <f>IFERROR(__xludf.DUMMYFUNCTION("""COMPUTED_VALUE"""),"Steinhof")</f>
        <v>Steinhof</v>
      </c>
    </row>
    <row r="2492">
      <c r="A2492" t="str">
        <f>IFERROR(__xludf.DUMMYFUNCTION("""COMPUTED_VALUE"""),"B-072")</f>
        <v>B-072</v>
      </c>
      <c r="B2492" s="226" t="str">
        <f>IFERROR(__xludf.DUMMYFUNCTION("""COMPUTED_VALUE"""),"5907615801372")</f>
        <v>5907615801372</v>
      </c>
      <c r="C2492" t="str">
        <f>IFERROR(__xludf.DUMMYFUNCTION("""COMPUTED_VALUE"""),"Steinhof")</f>
        <v>Steinhof</v>
      </c>
    </row>
    <row r="2493">
      <c r="A2493" t="str">
        <f>IFERROR(__xludf.DUMMYFUNCTION("""COMPUTED_VALUE"""),"B-073")</f>
        <v>B-073</v>
      </c>
      <c r="B2493" s="226" t="str">
        <f>IFERROR(__xludf.DUMMYFUNCTION("""COMPUTED_VALUE"""),"5907615801389")</f>
        <v>5907615801389</v>
      </c>
      <c r="C2493" t="str">
        <f>IFERROR(__xludf.DUMMYFUNCTION("""COMPUTED_VALUE"""),"Steinhof")</f>
        <v>Steinhof</v>
      </c>
    </row>
    <row r="2494">
      <c r="A2494" t="str">
        <f>IFERROR(__xludf.DUMMYFUNCTION("""COMPUTED_VALUE"""),"B-073")</f>
        <v>B-073</v>
      </c>
      <c r="B2494" s="226" t="str">
        <f>IFERROR(__xludf.DUMMYFUNCTION("""COMPUTED_VALUE"""),"5907615801389")</f>
        <v>5907615801389</v>
      </c>
      <c r="C2494" t="str">
        <f>IFERROR(__xludf.DUMMYFUNCTION("""COMPUTED_VALUE"""),"Steinhof")</f>
        <v>Steinhof</v>
      </c>
    </row>
    <row r="2495">
      <c r="A2495" t="str">
        <f>IFERROR(__xludf.DUMMYFUNCTION("""COMPUTED_VALUE"""),"B-073")</f>
        <v>B-073</v>
      </c>
      <c r="B2495" s="226" t="str">
        <f>IFERROR(__xludf.DUMMYFUNCTION("""COMPUTED_VALUE"""),"5907615801389")</f>
        <v>5907615801389</v>
      </c>
      <c r="C2495" t="str">
        <f>IFERROR(__xludf.DUMMYFUNCTION("""COMPUTED_VALUE"""),"Steinhof")</f>
        <v>Steinhof</v>
      </c>
    </row>
    <row r="2496">
      <c r="A2496" t="str">
        <f>IFERROR(__xludf.DUMMYFUNCTION("""COMPUTED_VALUE"""),"B-073")</f>
        <v>B-073</v>
      </c>
      <c r="B2496" s="226" t="str">
        <f>IFERROR(__xludf.DUMMYFUNCTION("""COMPUTED_VALUE"""),"5907615801389")</f>
        <v>5907615801389</v>
      </c>
      <c r="C2496" t="str">
        <f>IFERROR(__xludf.DUMMYFUNCTION("""COMPUTED_VALUE"""),"Steinhof")</f>
        <v>Steinhof</v>
      </c>
    </row>
    <row r="2497">
      <c r="A2497" t="str">
        <f>IFERROR(__xludf.DUMMYFUNCTION("""COMPUTED_VALUE"""),"B-073")</f>
        <v>B-073</v>
      </c>
      <c r="B2497" s="226" t="str">
        <f>IFERROR(__xludf.DUMMYFUNCTION("""COMPUTED_VALUE"""),"5907615801389")</f>
        <v>5907615801389</v>
      </c>
      <c r="C2497" t="str">
        <f>IFERROR(__xludf.DUMMYFUNCTION("""COMPUTED_VALUE"""),"Steinhof")</f>
        <v>Steinhof</v>
      </c>
    </row>
    <row r="2498">
      <c r="A2498" t="str">
        <f>IFERROR(__xludf.DUMMYFUNCTION("""COMPUTED_VALUE"""),"B-073")</f>
        <v>B-073</v>
      </c>
      <c r="B2498" s="226" t="str">
        <f>IFERROR(__xludf.DUMMYFUNCTION("""COMPUTED_VALUE"""),"5907615801389")</f>
        <v>5907615801389</v>
      </c>
      <c r="C2498" t="str">
        <f>IFERROR(__xludf.DUMMYFUNCTION("""COMPUTED_VALUE"""),"Steinhof")</f>
        <v>Steinhof</v>
      </c>
    </row>
    <row r="2499">
      <c r="A2499" t="str">
        <f>IFERROR(__xludf.DUMMYFUNCTION("""COMPUTED_VALUE"""),"B-073")</f>
        <v>B-073</v>
      </c>
      <c r="B2499" s="226" t="str">
        <f>IFERROR(__xludf.DUMMYFUNCTION("""COMPUTED_VALUE"""),"5907615801389")</f>
        <v>5907615801389</v>
      </c>
      <c r="C2499" t="str">
        <f>IFERROR(__xludf.DUMMYFUNCTION("""COMPUTED_VALUE"""),"Steinhof")</f>
        <v>Steinhof</v>
      </c>
    </row>
    <row r="2500">
      <c r="A2500" t="str">
        <f>IFERROR(__xludf.DUMMYFUNCTION("""COMPUTED_VALUE"""),"B-073")</f>
        <v>B-073</v>
      </c>
      <c r="B2500" s="226" t="str">
        <f>IFERROR(__xludf.DUMMYFUNCTION("""COMPUTED_VALUE"""),"5907615801389")</f>
        <v>5907615801389</v>
      </c>
      <c r="C2500" t="str">
        <f>IFERROR(__xludf.DUMMYFUNCTION("""COMPUTED_VALUE"""),"Steinhof")</f>
        <v>Steinhof</v>
      </c>
    </row>
    <row r="2501">
      <c r="A2501" t="str">
        <f>IFERROR(__xludf.DUMMYFUNCTION("""COMPUTED_VALUE"""),"B-068")</f>
        <v>B-068</v>
      </c>
      <c r="B2501" s="226" t="str">
        <f>IFERROR(__xludf.DUMMYFUNCTION("""COMPUTED_VALUE"""),"5907615801396")</f>
        <v>5907615801396</v>
      </c>
      <c r="C2501" t="str">
        <f>IFERROR(__xludf.DUMMYFUNCTION("""COMPUTED_VALUE"""),"Steinhof")</f>
        <v>Steinhof</v>
      </c>
    </row>
    <row r="2502">
      <c r="A2502" t="str">
        <f>IFERROR(__xludf.DUMMYFUNCTION("""COMPUTED_VALUE"""),"B-068")</f>
        <v>B-068</v>
      </c>
      <c r="B2502" s="226" t="str">
        <f>IFERROR(__xludf.DUMMYFUNCTION("""COMPUTED_VALUE"""),"5907615801396")</f>
        <v>5907615801396</v>
      </c>
      <c r="C2502" t="str">
        <f>IFERROR(__xludf.DUMMYFUNCTION("""COMPUTED_VALUE"""),"Steinhof")</f>
        <v>Steinhof</v>
      </c>
    </row>
    <row r="2503">
      <c r="A2503" t="str">
        <f>IFERROR(__xludf.DUMMYFUNCTION("""COMPUTED_VALUE"""),"B-068")</f>
        <v>B-068</v>
      </c>
      <c r="B2503" s="226" t="str">
        <f>IFERROR(__xludf.DUMMYFUNCTION("""COMPUTED_VALUE"""),"5907615801396")</f>
        <v>5907615801396</v>
      </c>
      <c r="C2503" t="str">
        <f>IFERROR(__xludf.DUMMYFUNCTION("""COMPUTED_VALUE"""),"Steinhof")</f>
        <v>Steinhof</v>
      </c>
    </row>
    <row r="2504">
      <c r="A2504" t="str">
        <f>IFERROR(__xludf.DUMMYFUNCTION("""COMPUTED_VALUE"""),"B-068")</f>
        <v>B-068</v>
      </c>
      <c r="B2504" s="226" t="str">
        <f>IFERROR(__xludf.DUMMYFUNCTION("""COMPUTED_VALUE"""),"5907615801396")</f>
        <v>5907615801396</v>
      </c>
      <c r="C2504" t="str">
        <f>IFERROR(__xludf.DUMMYFUNCTION("""COMPUTED_VALUE"""),"Steinhof")</f>
        <v>Steinhof</v>
      </c>
    </row>
    <row r="2505">
      <c r="A2505" t="str">
        <f>IFERROR(__xludf.DUMMYFUNCTION("""COMPUTED_VALUE"""),"B-068")</f>
        <v>B-068</v>
      </c>
      <c r="B2505" s="226" t="str">
        <f>IFERROR(__xludf.DUMMYFUNCTION("""COMPUTED_VALUE"""),"5907615801396")</f>
        <v>5907615801396</v>
      </c>
      <c r="C2505" t="str">
        <f>IFERROR(__xludf.DUMMYFUNCTION("""COMPUTED_VALUE"""),"Steinhof")</f>
        <v>Steinhof</v>
      </c>
    </row>
    <row r="2506">
      <c r="A2506" t="str">
        <f>IFERROR(__xludf.DUMMYFUNCTION("""COMPUTED_VALUE"""),"B-068")</f>
        <v>B-068</v>
      </c>
      <c r="B2506" s="226" t="str">
        <f>IFERROR(__xludf.DUMMYFUNCTION("""COMPUTED_VALUE"""),"5907615801396")</f>
        <v>5907615801396</v>
      </c>
      <c r="C2506" t="str">
        <f>IFERROR(__xludf.DUMMYFUNCTION("""COMPUTED_VALUE"""),"Steinhof")</f>
        <v>Steinhof</v>
      </c>
    </row>
    <row r="2507">
      <c r="A2507" t="str">
        <f>IFERROR(__xludf.DUMMYFUNCTION("""COMPUTED_VALUE"""),"B-068")</f>
        <v>B-068</v>
      </c>
      <c r="B2507" s="226" t="str">
        <f>IFERROR(__xludf.DUMMYFUNCTION("""COMPUTED_VALUE"""),"5907615801396")</f>
        <v>5907615801396</v>
      </c>
      <c r="C2507" t="str">
        <f>IFERROR(__xludf.DUMMYFUNCTION("""COMPUTED_VALUE"""),"Steinhof")</f>
        <v>Steinhof</v>
      </c>
    </row>
    <row r="2508">
      <c r="A2508" t="str">
        <f>IFERROR(__xludf.DUMMYFUNCTION("""COMPUTED_VALUE"""),"B-068")</f>
        <v>B-068</v>
      </c>
      <c r="B2508" s="226" t="str">
        <f>IFERROR(__xludf.DUMMYFUNCTION("""COMPUTED_VALUE"""),"5907615801396")</f>
        <v>5907615801396</v>
      </c>
      <c r="C2508" t="str">
        <f>IFERROR(__xludf.DUMMYFUNCTION("""COMPUTED_VALUE"""),"Steinhof")</f>
        <v>Steinhof</v>
      </c>
    </row>
    <row r="2509">
      <c r="A2509" t="str">
        <f>IFERROR(__xludf.DUMMYFUNCTION("""COMPUTED_VALUE"""),"B-068")</f>
        <v>B-068</v>
      </c>
      <c r="B2509" s="226" t="str">
        <f>IFERROR(__xludf.DUMMYFUNCTION("""COMPUTED_VALUE"""),"5907615801396")</f>
        <v>5907615801396</v>
      </c>
      <c r="C2509" t="str">
        <f>IFERROR(__xludf.DUMMYFUNCTION("""COMPUTED_VALUE"""),"Steinhof")</f>
        <v>Steinhof</v>
      </c>
    </row>
    <row r="2510">
      <c r="A2510" t="str">
        <f>IFERROR(__xludf.DUMMYFUNCTION("""COMPUTED_VALUE"""),"B-068")</f>
        <v>B-068</v>
      </c>
      <c r="B2510" s="226" t="str">
        <f>IFERROR(__xludf.DUMMYFUNCTION("""COMPUTED_VALUE"""),"5907615801396")</f>
        <v>5907615801396</v>
      </c>
      <c r="C2510" t="str">
        <f>IFERROR(__xludf.DUMMYFUNCTION("""COMPUTED_VALUE"""),"Steinhof")</f>
        <v>Steinhof</v>
      </c>
    </row>
    <row r="2511">
      <c r="A2511" t="str">
        <f>IFERROR(__xludf.DUMMYFUNCTION("""COMPUTED_VALUE"""),"B-069")</f>
        <v>B-069</v>
      </c>
      <c r="B2511" s="226" t="str">
        <f>IFERROR(__xludf.DUMMYFUNCTION("""COMPUTED_VALUE"""),"5907615801402")</f>
        <v>5907615801402</v>
      </c>
      <c r="C2511" t="str">
        <f>IFERROR(__xludf.DUMMYFUNCTION("""COMPUTED_VALUE"""),"Steinhof")</f>
        <v>Steinhof</v>
      </c>
    </row>
    <row r="2512">
      <c r="A2512" t="str">
        <f>IFERROR(__xludf.DUMMYFUNCTION("""COMPUTED_VALUE"""),"B-069")</f>
        <v>B-069</v>
      </c>
      <c r="B2512" s="226" t="str">
        <f>IFERROR(__xludf.DUMMYFUNCTION("""COMPUTED_VALUE"""),"5907615801402")</f>
        <v>5907615801402</v>
      </c>
      <c r="C2512" t="str">
        <f>IFERROR(__xludf.DUMMYFUNCTION("""COMPUTED_VALUE"""),"Steinhof")</f>
        <v>Steinhof</v>
      </c>
    </row>
    <row r="2513">
      <c r="A2513" t="str">
        <f>IFERROR(__xludf.DUMMYFUNCTION("""COMPUTED_VALUE"""),"B-069")</f>
        <v>B-069</v>
      </c>
      <c r="B2513" s="226" t="str">
        <f>IFERROR(__xludf.DUMMYFUNCTION("""COMPUTED_VALUE"""),"5907615801402")</f>
        <v>5907615801402</v>
      </c>
      <c r="C2513" t="str">
        <f>IFERROR(__xludf.DUMMYFUNCTION("""COMPUTED_VALUE"""),"Steinhof")</f>
        <v>Steinhof</v>
      </c>
    </row>
    <row r="2514">
      <c r="A2514" t="str">
        <f>IFERROR(__xludf.DUMMYFUNCTION("""COMPUTED_VALUE"""),"B-069")</f>
        <v>B-069</v>
      </c>
      <c r="B2514" s="226" t="str">
        <f>IFERROR(__xludf.DUMMYFUNCTION("""COMPUTED_VALUE"""),"5907615801402")</f>
        <v>5907615801402</v>
      </c>
      <c r="C2514" t="str">
        <f>IFERROR(__xludf.DUMMYFUNCTION("""COMPUTED_VALUE"""),"Steinhof")</f>
        <v>Steinhof</v>
      </c>
    </row>
    <row r="2515">
      <c r="A2515" t="str">
        <f>IFERROR(__xludf.DUMMYFUNCTION("""COMPUTED_VALUE"""),"B-069")</f>
        <v>B-069</v>
      </c>
      <c r="B2515" s="226" t="str">
        <f>IFERROR(__xludf.DUMMYFUNCTION("""COMPUTED_VALUE"""),"5907615801402")</f>
        <v>5907615801402</v>
      </c>
      <c r="C2515" t="str">
        <f>IFERROR(__xludf.DUMMYFUNCTION("""COMPUTED_VALUE"""),"Steinhof")</f>
        <v>Steinhof</v>
      </c>
    </row>
    <row r="2516">
      <c r="A2516" t="str">
        <f>IFERROR(__xludf.DUMMYFUNCTION("""COMPUTED_VALUE"""),"B-069")</f>
        <v>B-069</v>
      </c>
      <c r="B2516" s="226" t="str">
        <f>IFERROR(__xludf.DUMMYFUNCTION("""COMPUTED_VALUE"""),"5907615801402")</f>
        <v>5907615801402</v>
      </c>
      <c r="C2516" t="str">
        <f>IFERROR(__xludf.DUMMYFUNCTION("""COMPUTED_VALUE"""),"Steinhof")</f>
        <v>Steinhof</v>
      </c>
    </row>
    <row r="2517">
      <c r="A2517" t="str">
        <f>IFERROR(__xludf.DUMMYFUNCTION("""COMPUTED_VALUE"""),"B-069")</f>
        <v>B-069</v>
      </c>
      <c r="B2517" s="226" t="str">
        <f>IFERROR(__xludf.DUMMYFUNCTION("""COMPUTED_VALUE"""),"5907615801402")</f>
        <v>5907615801402</v>
      </c>
      <c r="C2517" t="str">
        <f>IFERROR(__xludf.DUMMYFUNCTION("""COMPUTED_VALUE"""),"Steinhof")</f>
        <v>Steinhof</v>
      </c>
    </row>
    <row r="2518">
      <c r="A2518" t="str">
        <f>IFERROR(__xludf.DUMMYFUNCTION("""COMPUTED_VALUE"""),"B-069")</f>
        <v>B-069</v>
      </c>
      <c r="B2518" s="226" t="str">
        <f>IFERROR(__xludf.DUMMYFUNCTION("""COMPUTED_VALUE"""),"5907615801402")</f>
        <v>5907615801402</v>
      </c>
      <c r="C2518" t="str">
        <f>IFERROR(__xludf.DUMMYFUNCTION("""COMPUTED_VALUE"""),"Steinhof")</f>
        <v>Steinhof</v>
      </c>
    </row>
    <row r="2519">
      <c r="A2519" t="str">
        <f>IFERROR(__xludf.DUMMYFUNCTION("""COMPUTED_VALUE"""),"B-069")</f>
        <v>B-069</v>
      </c>
      <c r="B2519" s="226" t="str">
        <f>IFERROR(__xludf.DUMMYFUNCTION("""COMPUTED_VALUE"""),"5907615801402")</f>
        <v>5907615801402</v>
      </c>
      <c r="C2519" t="str">
        <f>IFERROR(__xludf.DUMMYFUNCTION("""COMPUTED_VALUE"""),"Steinhof")</f>
        <v>Steinhof</v>
      </c>
    </row>
    <row r="2520">
      <c r="A2520" t="str">
        <f>IFERROR(__xludf.DUMMYFUNCTION("""COMPUTED_VALUE"""),"B-069")</f>
        <v>B-069</v>
      </c>
      <c r="B2520" s="226" t="str">
        <f>IFERROR(__xludf.DUMMYFUNCTION("""COMPUTED_VALUE"""),"5907615801402")</f>
        <v>5907615801402</v>
      </c>
      <c r="C2520" t="str">
        <f>IFERROR(__xludf.DUMMYFUNCTION("""COMPUTED_VALUE"""),"Steinhof")</f>
        <v>Steinhof</v>
      </c>
    </row>
    <row r="2521">
      <c r="A2521" t="str">
        <f>IFERROR(__xludf.DUMMYFUNCTION("""COMPUTED_VALUE"""),"B-074")</f>
        <v>B-074</v>
      </c>
      <c r="B2521" s="226" t="str">
        <f>IFERROR(__xludf.DUMMYFUNCTION("""COMPUTED_VALUE"""),"5907615801419")</f>
        <v>5907615801419</v>
      </c>
      <c r="C2521" t="str">
        <f>IFERROR(__xludf.DUMMYFUNCTION("""COMPUTED_VALUE"""),"Steinhof")</f>
        <v>Steinhof</v>
      </c>
    </row>
    <row r="2522">
      <c r="A2522" t="str">
        <f>IFERROR(__xludf.DUMMYFUNCTION("""COMPUTED_VALUE"""),"B-074")</f>
        <v>B-074</v>
      </c>
      <c r="B2522" s="226" t="str">
        <f>IFERROR(__xludf.DUMMYFUNCTION("""COMPUTED_VALUE"""),"5907615801419")</f>
        <v>5907615801419</v>
      </c>
      <c r="C2522" t="str">
        <f>IFERROR(__xludf.DUMMYFUNCTION("""COMPUTED_VALUE"""),"Steinhof")</f>
        <v>Steinhof</v>
      </c>
    </row>
    <row r="2523">
      <c r="A2523" t="str">
        <f>IFERROR(__xludf.DUMMYFUNCTION("""COMPUTED_VALUE"""),"B-075")</f>
        <v>B-075</v>
      </c>
      <c r="B2523" s="226" t="str">
        <f>IFERROR(__xludf.DUMMYFUNCTION("""COMPUTED_VALUE"""),"5907615801426")</f>
        <v>5907615801426</v>
      </c>
      <c r="C2523" t="str">
        <f>IFERROR(__xludf.DUMMYFUNCTION("""COMPUTED_VALUE"""),"Steinhof")</f>
        <v>Steinhof</v>
      </c>
    </row>
    <row r="2524">
      <c r="A2524" t="str">
        <f>IFERROR(__xludf.DUMMYFUNCTION("""COMPUTED_VALUE"""),"B-075")</f>
        <v>B-075</v>
      </c>
      <c r="B2524" s="226" t="str">
        <f>IFERROR(__xludf.DUMMYFUNCTION("""COMPUTED_VALUE"""),"5907615801426")</f>
        <v>5907615801426</v>
      </c>
      <c r="C2524" t="str">
        <f>IFERROR(__xludf.DUMMYFUNCTION("""COMPUTED_VALUE"""),"Steinhof")</f>
        <v>Steinhof</v>
      </c>
    </row>
    <row r="2525">
      <c r="A2525" t="str">
        <f>IFERROR(__xludf.DUMMYFUNCTION("""COMPUTED_VALUE"""),"B-076")</f>
        <v>B-076</v>
      </c>
      <c r="B2525" s="226" t="str">
        <f>IFERROR(__xludf.DUMMYFUNCTION("""COMPUTED_VALUE"""),"5907615801433")</f>
        <v>5907615801433</v>
      </c>
      <c r="C2525" t="str">
        <f>IFERROR(__xludf.DUMMYFUNCTION("""COMPUTED_VALUE"""),"Steinhof")</f>
        <v>Steinhof</v>
      </c>
    </row>
    <row r="2526">
      <c r="A2526" t="str">
        <f>IFERROR(__xludf.DUMMYFUNCTION("""COMPUTED_VALUE"""),"B-076")</f>
        <v>B-076</v>
      </c>
      <c r="B2526" s="226" t="str">
        <f>IFERROR(__xludf.DUMMYFUNCTION("""COMPUTED_VALUE"""),"5907615801433")</f>
        <v>5907615801433</v>
      </c>
      <c r="C2526" t="str">
        <f>IFERROR(__xludf.DUMMYFUNCTION("""COMPUTED_VALUE"""),"Steinhof")</f>
        <v>Steinhof</v>
      </c>
    </row>
    <row r="2527">
      <c r="A2527" t="str">
        <f>IFERROR(__xludf.DUMMYFUNCTION("""COMPUTED_VALUE"""),"B-078")</f>
        <v>B-078</v>
      </c>
      <c r="B2527" s="226" t="str">
        <f>IFERROR(__xludf.DUMMYFUNCTION("""COMPUTED_VALUE"""),"5907615801440")</f>
        <v>5907615801440</v>
      </c>
      <c r="C2527" t="str">
        <f>IFERROR(__xludf.DUMMYFUNCTION("""COMPUTED_VALUE"""),"Steinhof")</f>
        <v>Steinhof</v>
      </c>
    </row>
    <row r="2528">
      <c r="A2528" t="str">
        <f>IFERROR(__xludf.DUMMYFUNCTION("""COMPUTED_VALUE"""),"B-078")</f>
        <v>B-078</v>
      </c>
      <c r="B2528" s="226" t="str">
        <f>IFERROR(__xludf.DUMMYFUNCTION("""COMPUTED_VALUE"""),"5907615801440")</f>
        <v>5907615801440</v>
      </c>
      <c r="C2528" t="str">
        <f>IFERROR(__xludf.DUMMYFUNCTION("""COMPUTED_VALUE"""),"Steinhof")</f>
        <v>Steinhof</v>
      </c>
    </row>
    <row r="2529">
      <c r="A2529" t="str">
        <f>IFERROR(__xludf.DUMMYFUNCTION("""COMPUTED_VALUE"""),"B-078")</f>
        <v>B-078</v>
      </c>
      <c r="B2529" s="226" t="str">
        <f>IFERROR(__xludf.DUMMYFUNCTION("""COMPUTED_VALUE"""),"5907615801440")</f>
        <v>5907615801440</v>
      </c>
      <c r="C2529" t="str">
        <f>IFERROR(__xludf.DUMMYFUNCTION("""COMPUTED_VALUE"""),"Steinhof")</f>
        <v>Steinhof</v>
      </c>
    </row>
    <row r="2530">
      <c r="A2530" t="str">
        <f>IFERROR(__xludf.DUMMYFUNCTION("""COMPUTED_VALUE"""),"B-078")</f>
        <v>B-078</v>
      </c>
      <c r="B2530" s="226" t="str">
        <f>IFERROR(__xludf.DUMMYFUNCTION("""COMPUTED_VALUE"""),"5907615801440")</f>
        <v>5907615801440</v>
      </c>
      <c r="C2530" t="str">
        <f>IFERROR(__xludf.DUMMYFUNCTION("""COMPUTED_VALUE"""),"Steinhof")</f>
        <v>Steinhof</v>
      </c>
    </row>
    <row r="2531">
      <c r="A2531" t="str">
        <f>IFERROR(__xludf.DUMMYFUNCTION("""COMPUTED_VALUE"""),"B-079")</f>
        <v>B-079</v>
      </c>
      <c r="B2531" s="226" t="str">
        <f>IFERROR(__xludf.DUMMYFUNCTION("""COMPUTED_VALUE"""),"5907615801457")</f>
        <v>5907615801457</v>
      </c>
      <c r="C2531" t="str">
        <f>IFERROR(__xludf.DUMMYFUNCTION("""COMPUTED_VALUE"""),"Steinhof")</f>
        <v>Steinhof</v>
      </c>
    </row>
    <row r="2532">
      <c r="A2532" t="str">
        <f>IFERROR(__xludf.DUMMYFUNCTION("""COMPUTED_VALUE"""),"B-079")</f>
        <v>B-079</v>
      </c>
      <c r="B2532" s="226" t="str">
        <f>IFERROR(__xludf.DUMMYFUNCTION("""COMPUTED_VALUE"""),"5907615801457")</f>
        <v>5907615801457</v>
      </c>
      <c r="C2532" t="str">
        <f>IFERROR(__xludf.DUMMYFUNCTION("""COMPUTED_VALUE"""),"Steinhof")</f>
        <v>Steinhof</v>
      </c>
    </row>
    <row r="2533">
      <c r="A2533" t="str">
        <f>IFERROR(__xludf.DUMMYFUNCTION("""COMPUTED_VALUE"""),"B-079")</f>
        <v>B-079</v>
      </c>
      <c r="B2533" s="226" t="str">
        <f>IFERROR(__xludf.DUMMYFUNCTION("""COMPUTED_VALUE"""),"5907615801457")</f>
        <v>5907615801457</v>
      </c>
      <c r="C2533" t="str">
        <f>IFERROR(__xludf.DUMMYFUNCTION("""COMPUTED_VALUE"""),"Steinhof")</f>
        <v>Steinhof</v>
      </c>
    </row>
    <row r="2534">
      <c r="A2534" t="str">
        <f>IFERROR(__xludf.DUMMYFUNCTION("""COMPUTED_VALUE"""),"B-079")</f>
        <v>B-079</v>
      </c>
      <c r="B2534" s="226" t="str">
        <f>IFERROR(__xludf.DUMMYFUNCTION("""COMPUTED_VALUE"""),"5907615801457")</f>
        <v>5907615801457</v>
      </c>
      <c r="C2534" t="str">
        <f>IFERROR(__xludf.DUMMYFUNCTION("""COMPUTED_VALUE"""),"Steinhof")</f>
        <v>Steinhof</v>
      </c>
    </row>
    <row r="2535">
      <c r="A2535" t="str">
        <f>IFERROR(__xludf.DUMMYFUNCTION("""COMPUTED_VALUE"""),"B-049")</f>
        <v>B-049</v>
      </c>
      <c r="B2535" s="226" t="str">
        <f>IFERROR(__xludf.DUMMYFUNCTION("""COMPUTED_VALUE"""),"5907615801464")</f>
        <v>5907615801464</v>
      </c>
      <c r="C2535" t="str">
        <f>IFERROR(__xludf.DUMMYFUNCTION("""COMPUTED_VALUE"""),"Steinhof")</f>
        <v>Steinhof</v>
      </c>
    </row>
    <row r="2536">
      <c r="A2536" t="str">
        <f>IFERROR(__xludf.DUMMYFUNCTION("""COMPUTED_VALUE"""),"B-049")</f>
        <v>B-049</v>
      </c>
      <c r="B2536" s="226" t="str">
        <f>IFERROR(__xludf.DUMMYFUNCTION("""COMPUTED_VALUE"""),"5907615801464")</f>
        <v>5907615801464</v>
      </c>
      <c r="C2536" t="str">
        <f>IFERROR(__xludf.DUMMYFUNCTION("""COMPUTED_VALUE"""),"Steinhof")</f>
        <v>Steinhof</v>
      </c>
    </row>
    <row r="2537">
      <c r="A2537" t="str">
        <f>IFERROR(__xludf.DUMMYFUNCTION("""COMPUTED_VALUE"""),"B-080")</f>
        <v>B-080</v>
      </c>
      <c r="B2537" s="226" t="str">
        <f>IFERROR(__xludf.DUMMYFUNCTION("""COMPUTED_VALUE"""),"5907615801471")</f>
        <v>5907615801471</v>
      </c>
      <c r="C2537" t="str">
        <f>IFERROR(__xludf.DUMMYFUNCTION("""COMPUTED_VALUE"""),"Steinhof")</f>
        <v>Steinhof</v>
      </c>
    </row>
    <row r="2538">
      <c r="A2538" t="str">
        <f>IFERROR(__xludf.DUMMYFUNCTION("""COMPUTED_VALUE"""),"B-080")</f>
        <v>B-080</v>
      </c>
      <c r="B2538" s="226" t="str">
        <f>IFERROR(__xludf.DUMMYFUNCTION("""COMPUTED_VALUE"""),"5907615801471")</f>
        <v>5907615801471</v>
      </c>
      <c r="C2538" t="str">
        <f>IFERROR(__xludf.DUMMYFUNCTION("""COMPUTED_VALUE"""),"Steinhof")</f>
        <v>Steinhof</v>
      </c>
    </row>
    <row r="2539">
      <c r="A2539" t="str">
        <f>IFERROR(__xludf.DUMMYFUNCTION("""COMPUTED_VALUE"""),"B-080")</f>
        <v>B-080</v>
      </c>
      <c r="B2539" s="226" t="str">
        <f>IFERROR(__xludf.DUMMYFUNCTION("""COMPUTED_VALUE"""),"5907615801471")</f>
        <v>5907615801471</v>
      </c>
      <c r="C2539" t="str">
        <f>IFERROR(__xludf.DUMMYFUNCTION("""COMPUTED_VALUE"""),"Steinhof")</f>
        <v>Steinhof</v>
      </c>
    </row>
    <row r="2540">
      <c r="A2540" t="str">
        <f>IFERROR(__xludf.DUMMYFUNCTION("""COMPUTED_VALUE"""),"B-080")</f>
        <v>B-080</v>
      </c>
      <c r="B2540" s="226" t="str">
        <f>IFERROR(__xludf.DUMMYFUNCTION("""COMPUTED_VALUE"""),"5907615801471")</f>
        <v>5907615801471</v>
      </c>
      <c r="C2540" t="str">
        <f>IFERROR(__xludf.DUMMYFUNCTION("""COMPUTED_VALUE"""),"Steinhof")</f>
        <v>Steinhof</v>
      </c>
    </row>
    <row r="2541">
      <c r="A2541" t="str">
        <f>IFERROR(__xludf.DUMMYFUNCTION("""COMPUTED_VALUE"""),"B-080")</f>
        <v>B-080</v>
      </c>
      <c r="B2541" s="226" t="str">
        <f>IFERROR(__xludf.DUMMYFUNCTION("""COMPUTED_VALUE"""),"5907615801471")</f>
        <v>5907615801471</v>
      </c>
      <c r="C2541" t="str">
        <f>IFERROR(__xludf.DUMMYFUNCTION("""COMPUTED_VALUE"""),"Steinhof")</f>
        <v>Steinhof</v>
      </c>
    </row>
    <row r="2542">
      <c r="A2542" t="str">
        <f>IFERROR(__xludf.DUMMYFUNCTION("""COMPUTED_VALUE"""),"B-080")</f>
        <v>B-080</v>
      </c>
      <c r="B2542" s="226" t="str">
        <f>IFERROR(__xludf.DUMMYFUNCTION("""COMPUTED_VALUE"""),"5907615801471")</f>
        <v>5907615801471</v>
      </c>
      <c r="C2542" t="str">
        <f>IFERROR(__xludf.DUMMYFUNCTION("""COMPUTED_VALUE"""),"Steinhof")</f>
        <v>Steinhof</v>
      </c>
    </row>
    <row r="2543">
      <c r="A2543" t="str">
        <f>IFERROR(__xludf.DUMMYFUNCTION("""COMPUTED_VALUE"""),"B-081")</f>
        <v>B-081</v>
      </c>
      <c r="B2543" s="226" t="str">
        <f>IFERROR(__xludf.DUMMYFUNCTION("""COMPUTED_VALUE"""),"5907615801488")</f>
        <v>5907615801488</v>
      </c>
      <c r="C2543" t="str">
        <f>IFERROR(__xludf.DUMMYFUNCTION("""COMPUTED_VALUE"""),"Steinhof")</f>
        <v>Steinhof</v>
      </c>
    </row>
    <row r="2544">
      <c r="A2544" t="str">
        <f>IFERROR(__xludf.DUMMYFUNCTION("""COMPUTED_VALUE"""),"B-081")</f>
        <v>B-081</v>
      </c>
      <c r="B2544" s="226" t="str">
        <f>IFERROR(__xludf.DUMMYFUNCTION("""COMPUTED_VALUE"""),"5907615801488")</f>
        <v>5907615801488</v>
      </c>
      <c r="C2544" t="str">
        <f>IFERROR(__xludf.DUMMYFUNCTION("""COMPUTED_VALUE"""),"Steinhof")</f>
        <v>Steinhof</v>
      </c>
    </row>
    <row r="2545">
      <c r="A2545" t="str">
        <f>IFERROR(__xludf.DUMMYFUNCTION("""COMPUTED_VALUE"""),"B-081")</f>
        <v>B-081</v>
      </c>
      <c r="B2545" s="226" t="str">
        <f>IFERROR(__xludf.DUMMYFUNCTION("""COMPUTED_VALUE"""),"5907615801488")</f>
        <v>5907615801488</v>
      </c>
      <c r="C2545" t="str">
        <f>IFERROR(__xludf.DUMMYFUNCTION("""COMPUTED_VALUE"""),"Steinhof")</f>
        <v>Steinhof</v>
      </c>
    </row>
    <row r="2546">
      <c r="A2546" t="str">
        <f>IFERROR(__xludf.DUMMYFUNCTION("""COMPUTED_VALUE"""),"B-081")</f>
        <v>B-081</v>
      </c>
      <c r="B2546" s="226" t="str">
        <f>IFERROR(__xludf.DUMMYFUNCTION("""COMPUTED_VALUE"""),"5907615801488")</f>
        <v>5907615801488</v>
      </c>
      <c r="C2546" t="str">
        <f>IFERROR(__xludf.DUMMYFUNCTION("""COMPUTED_VALUE"""),"Steinhof")</f>
        <v>Steinhof</v>
      </c>
    </row>
    <row r="2547">
      <c r="A2547" t="str">
        <f>IFERROR(__xludf.DUMMYFUNCTION("""COMPUTED_VALUE"""),"B-081")</f>
        <v>B-081</v>
      </c>
      <c r="B2547" s="226" t="str">
        <f>IFERROR(__xludf.DUMMYFUNCTION("""COMPUTED_VALUE"""),"5907615801488")</f>
        <v>5907615801488</v>
      </c>
      <c r="C2547" t="str">
        <f>IFERROR(__xludf.DUMMYFUNCTION("""COMPUTED_VALUE"""),"Steinhof")</f>
        <v>Steinhof</v>
      </c>
    </row>
    <row r="2548">
      <c r="A2548" t="str">
        <f>IFERROR(__xludf.DUMMYFUNCTION("""COMPUTED_VALUE"""),"B-081")</f>
        <v>B-081</v>
      </c>
      <c r="B2548" s="226" t="str">
        <f>IFERROR(__xludf.DUMMYFUNCTION("""COMPUTED_VALUE"""),"5907615801488")</f>
        <v>5907615801488</v>
      </c>
      <c r="C2548" t="str">
        <f>IFERROR(__xludf.DUMMYFUNCTION("""COMPUTED_VALUE"""),"Steinhof")</f>
        <v>Steinhof</v>
      </c>
    </row>
    <row r="2549">
      <c r="A2549" t="str">
        <f>IFERROR(__xludf.DUMMYFUNCTION("""COMPUTED_VALUE"""),"C-200/1")</f>
        <v>C-200/1</v>
      </c>
      <c r="B2549" s="226" t="str">
        <f>IFERROR(__xludf.DUMMYFUNCTION("""COMPUTED_VALUE"""),"5907615801624")</f>
        <v>5907615801624</v>
      </c>
      <c r="C2549" t="str">
        <f>IFERROR(__xludf.DUMMYFUNCTION("""COMPUTED_VALUE"""),"Steinhof")</f>
        <v>Steinhof</v>
      </c>
    </row>
    <row r="2550">
      <c r="A2550" t="str">
        <f>IFERROR(__xludf.DUMMYFUNCTION("""COMPUTED_VALUE"""),"C-202/1")</f>
        <v>C-202/1</v>
      </c>
      <c r="B2550" s="226" t="str">
        <f>IFERROR(__xludf.DUMMYFUNCTION("""COMPUTED_VALUE"""),"5907615801655")</f>
        <v>5907615801655</v>
      </c>
      <c r="C2550" t="str">
        <f>IFERROR(__xludf.DUMMYFUNCTION("""COMPUTED_VALUE"""),"Steinhof")</f>
        <v>Steinhof</v>
      </c>
    </row>
    <row r="2551">
      <c r="A2551" t="str">
        <f>IFERROR(__xludf.DUMMYFUNCTION("""COMPUTED_VALUE"""),"C-202/1")</f>
        <v>C-202/1</v>
      </c>
      <c r="B2551" s="226" t="str">
        <f>IFERROR(__xludf.DUMMYFUNCTION("""COMPUTED_VALUE"""),"5907615801655")</f>
        <v>5907615801655</v>
      </c>
      <c r="C2551" t="str">
        <f>IFERROR(__xludf.DUMMYFUNCTION("""COMPUTED_VALUE"""),"Steinhof")</f>
        <v>Steinhof</v>
      </c>
    </row>
    <row r="2552">
      <c r="A2552" t="str">
        <f>IFERROR(__xludf.DUMMYFUNCTION("""COMPUTED_VALUE"""),"C-205")</f>
        <v>C-205</v>
      </c>
      <c r="B2552" s="226" t="str">
        <f>IFERROR(__xludf.DUMMYFUNCTION("""COMPUTED_VALUE"""),"5907615801662")</f>
        <v>5907615801662</v>
      </c>
      <c r="C2552" t="str">
        <f>IFERROR(__xludf.DUMMYFUNCTION("""COMPUTED_VALUE"""),"Steinhof")</f>
        <v>Steinhof</v>
      </c>
    </row>
    <row r="2553">
      <c r="A2553" t="str">
        <f>IFERROR(__xludf.DUMMYFUNCTION("""COMPUTED_VALUE"""),"C-205")</f>
        <v>C-205</v>
      </c>
      <c r="B2553" s="226" t="str">
        <f>IFERROR(__xludf.DUMMYFUNCTION("""COMPUTED_VALUE"""),"5907615801662")</f>
        <v>5907615801662</v>
      </c>
      <c r="C2553" t="str">
        <f>IFERROR(__xludf.DUMMYFUNCTION("""COMPUTED_VALUE"""),"Steinhof")</f>
        <v>Steinhof</v>
      </c>
    </row>
    <row r="2554">
      <c r="A2554" t="str">
        <f>IFERROR(__xludf.DUMMYFUNCTION("""COMPUTED_VALUE"""),"C-206")</f>
        <v>C-206</v>
      </c>
      <c r="B2554" s="226" t="str">
        <f>IFERROR(__xludf.DUMMYFUNCTION("""COMPUTED_VALUE"""),"5907615801679")</f>
        <v>5907615801679</v>
      </c>
      <c r="C2554" t="str">
        <f>IFERROR(__xludf.DUMMYFUNCTION("""COMPUTED_VALUE"""),"Steinhof")</f>
        <v>Steinhof</v>
      </c>
    </row>
    <row r="2555">
      <c r="A2555" t="str">
        <f>IFERROR(__xludf.DUMMYFUNCTION("""COMPUTED_VALUE"""),"C-206")</f>
        <v>C-206</v>
      </c>
      <c r="B2555" s="226" t="str">
        <f>IFERROR(__xludf.DUMMYFUNCTION("""COMPUTED_VALUE"""),"5907615801679")</f>
        <v>5907615801679</v>
      </c>
      <c r="C2555" t="str">
        <f>IFERROR(__xludf.DUMMYFUNCTION("""COMPUTED_VALUE"""),"Steinhof")</f>
        <v>Steinhof</v>
      </c>
    </row>
    <row r="2556">
      <c r="A2556" t="str">
        <f>IFERROR(__xludf.DUMMYFUNCTION("""COMPUTED_VALUE"""),"C-207")</f>
        <v>C-207</v>
      </c>
      <c r="B2556" s="226" t="str">
        <f>IFERROR(__xludf.DUMMYFUNCTION("""COMPUTED_VALUE"""),"5907615801686")</f>
        <v>5907615801686</v>
      </c>
      <c r="C2556" t="str">
        <f>IFERROR(__xludf.DUMMYFUNCTION("""COMPUTED_VALUE"""),"Steinhof")</f>
        <v>Steinhof</v>
      </c>
    </row>
    <row r="2557">
      <c r="A2557" t="str">
        <f>IFERROR(__xludf.DUMMYFUNCTION("""COMPUTED_VALUE"""),"C-207")</f>
        <v>C-207</v>
      </c>
      <c r="B2557" s="226" t="str">
        <f>IFERROR(__xludf.DUMMYFUNCTION("""COMPUTED_VALUE"""),"5907615801686")</f>
        <v>5907615801686</v>
      </c>
      <c r="C2557" t="str">
        <f>IFERROR(__xludf.DUMMYFUNCTION("""COMPUTED_VALUE"""),"Steinhof")</f>
        <v>Steinhof</v>
      </c>
    </row>
    <row r="2558">
      <c r="A2558" t="str">
        <f>IFERROR(__xludf.DUMMYFUNCTION("""COMPUTED_VALUE"""),"C-207")</f>
        <v>C-207</v>
      </c>
      <c r="B2558" s="226" t="str">
        <f>IFERROR(__xludf.DUMMYFUNCTION("""COMPUTED_VALUE"""),"5907615801686")</f>
        <v>5907615801686</v>
      </c>
      <c r="C2558" t="str">
        <f>IFERROR(__xludf.DUMMYFUNCTION("""COMPUTED_VALUE"""),"Steinhof")</f>
        <v>Steinhof</v>
      </c>
    </row>
    <row r="2559">
      <c r="A2559" t="str">
        <f>IFERROR(__xludf.DUMMYFUNCTION("""COMPUTED_VALUE"""),"C-207")</f>
        <v>C-207</v>
      </c>
      <c r="B2559" s="226" t="str">
        <f>IFERROR(__xludf.DUMMYFUNCTION("""COMPUTED_VALUE"""),"5907615801686")</f>
        <v>5907615801686</v>
      </c>
      <c r="C2559" t="str">
        <f>IFERROR(__xludf.DUMMYFUNCTION("""COMPUTED_VALUE"""),"Steinhof")</f>
        <v>Steinhof</v>
      </c>
    </row>
    <row r="2560">
      <c r="A2560" t="str">
        <f>IFERROR(__xludf.DUMMYFUNCTION("""COMPUTED_VALUE"""),"C-208")</f>
        <v>C-208</v>
      </c>
      <c r="B2560" s="226" t="str">
        <f>IFERROR(__xludf.DUMMYFUNCTION("""COMPUTED_VALUE"""),"5907615801693")</f>
        <v>5907615801693</v>
      </c>
      <c r="C2560" t="str">
        <f>IFERROR(__xludf.DUMMYFUNCTION("""COMPUTED_VALUE"""),"Steinhof")</f>
        <v>Steinhof</v>
      </c>
    </row>
    <row r="2561">
      <c r="A2561" t="str">
        <f>IFERROR(__xludf.DUMMYFUNCTION("""COMPUTED_VALUE"""),"C-208")</f>
        <v>C-208</v>
      </c>
      <c r="B2561" s="226" t="str">
        <f>IFERROR(__xludf.DUMMYFUNCTION("""COMPUTED_VALUE"""),"5907615801693")</f>
        <v>5907615801693</v>
      </c>
      <c r="C2561" t="str">
        <f>IFERROR(__xludf.DUMMYFUNCTION("""COMPUTED_VALUE"""),"Steinhof")</f>
        <v>Steinhof</v>
      </c>
    </row>
    <row r="2562">
      <c r="A2562" t="str">
        <f>IFERROR(__xludf.DUMMYFUNCTION("""COMPUTED_VALUE"""),"C-208")</f>
        <v>C-208</v>
      </c>
      <c r="B2562" s="226" t="str">
        <f>IFERROR(__xludf.DUMMYFUNCTION("""COMPUTED_VALUE"""),"5907615801693")</f>
        <v>5907615801693</v>
      </c>
      <c r="C2562" t="str">
        <f>IFERROR(__xludf.DUMMYFUNCTION("""COMPUTED_VALUE"""),"Steinhof")</f>
        <v>Steinhof</v>
      </c>
    </row>
    <row r="2563">
      <c r="A2563" t="str">
        <f>IFERROR(__xludf.DUMMYFUNCTION("""COMPUTED_VALUE"""),"C-208")</f>
        <v>C-208</v>
      </c>
      <c r="B2563" s="226" t="str">
        <f>IFERROR(__xludf.DUMMYFUNCTION("""COMPUTED_VALUE"""),"5907615801693")</f>
        <v>5907615801693</v>
      </c>
      <c r="C2563" t="str">
        <f>IFERROR(__xludf.DUMMYFUNCTION("""COMPUTED_VALUE"""),"Steinhof")</f>
        <v>Steinhof</v>
      </c>
    </row>
    <row r="2564">
      <c r="A2564" t="str">
        <f>IFERROR(__xludf.DUMMYFUNCTION("""COMPUTED_VALUE"""),"C-210")</f>
        <v>C-210</v>
      </c>
      <c r="B2564" s="226" t="str">
        <f>IFERROR(__xludf.DUMMYFUNCTION("""COMPUTED_VALUE"""),"5907615801709")</f>
        <v>5907615801709</v>
      </c>
      <c r="C2564" t="str">
        <f>IFERROR(__xludf.DUMMYFUNCTION("""COMPUTED_VALUE"""),"Steinhof")</f>
        <v>Steinhof</v>
      </c>
    </row>
    <row r="2565">
      <c r="A2565" t="str">
        <f>IFERROR(__xludf.DUMMYFUNCTION("""COMPUTED_VALUE"""),"C-210")</f>
        <v>C-210</v>
      </c>
      <c r="B2565" s="226" t="str">
        <f>IFERROR(__xludf.DUMMYFUNCTION("""COMPUTED_VALUE"""),"5907615801709")</f>
        <v>5907615801709</v>
      </c>
      <c r="C2565" t="str">
        <f>IFERROR(__xludf.DUMMYFUNCTION("""COMPUTED_VALUE"""),"Steinhof")</f>
        <v>Steinhof</v>
      </c>
    </row>
    <row r="2566">
      <c r="A2566" t="str">
        <f>IFERROR(__xludf.DUMMYFUNCTION("""COMPUTED_VALUE"""),"C-211")</f>
        <v>C-211</v>
      </c>
      <c r="B2566" s="226" t="str">
        <f>IFERROR(__xludf.DUMMYFUNCTION("""COMPUTED_VALUE"""),"5907615801716")</f>
        <v>5907615801716</v>
      </c>
      <c r="C2566" t="str">
        <f>IFERROR(__xludf.DUMMYFUNCTION("""COMPUTED_VALUE"""),"Steinhof")</f>
        <v>Steinhof</v>
      </c>
    </row>
    <row r="2567">
      <c r="A2567" t="str">
        <f>IFERROR(__xludf.DUMMYFUNCTION("""COMPUTED_VALUE"""),"C-211")</f>
        <v>C-211</v>
      </c>
      <c r="B2567" s="226" t="str">
        <f>IFERROR(__xludf.DUMMYFUNCTION("""COMPUTED_VALUE"""),"5907615801716")</f>
        <v>5907615801716</v>
      </c>
      <c r="C2567" t="str">
        <f>IFERROR(__xludf.DUMMYFUNCTION("""COMPUTED_VALUE"""),"Steinhof")</f>
        <v>Steinhof</v>
      </c>
    </row>
    <row r="2568">
      <c r="A2568" t="str">
        <f>IFERROR(__xludf.DUMMYFUNCTION("""COMPUTED_VALUE"""),"C-215")</f>
        <v>C-215</v>
      </c>
      <c r="B2568" s="226" t="str">
        <f>IFERROR(__xludf.DUMMYFUNCTION("""COMPUTED_VALUE"""),"5907615801723")</f>
        <v>5907615801723</v>
      </c>
      <c r="C2568" t="str">
        <f>IFERROR(__xludf.DUMMYFUNCTION("""COMPUTED_VALUE"""),"Steinhof")</f>
        <v>Steinhof</v>
      </c>
    </row>
    <row r="2569">
      <c r="A2569" t="str">
        <f>IFERROR(__xludf.DUMMYFUNCTION("""COMPUTED_VALUE"""),"C-216")</f>
        <v>C-216</v>
      </c>
      <c r="B2569" s="226" t="str">
        <f>IFERROR(__xludf.DUMMYFUNCTION("""COMPUTED_VALUE"""),"5907615801730")</f>
        <v>5907615801730</v>
      </c>
      <c r="C2569" t="str">
        <f>IFERROR(__xludf.DUMMYFUNCTION("""COMPUTED_VALUE"""),"Steinhof")</f>
        <v>Steinhof</v>
      </c>
    </row>
    <row r="2570">
      <c r="A2570" t="str">
        <f>IFERROR(__xludf.DUMMYFUNCTION("""COMPUTED_VALUE"""),"C-213")</f>
        <v>C-213</v>
      </c>
      <c r="B2570" s="226" t="str">
        <f>IFERROR(__xludf.DUMMYFUNCTION("""COMPUTED_VALUE"""),"5907615801747")</f>
        <v>5907615801747</v>
      </c>
      <c r="C2570" t="str">
        <f>IFERROR(__xludf.DUMMYFUNCTION("""COMPUTED_VALUE"""),"Steinhof")</f>
        <v>Steinhof</v>
      </c>
    </row>
    <row r="2571">
      <c r="A2571" t="str">
        <f>IFERROR(__xludf.DUMMYFUNCTION("""COMPUTED_VALUE"""),"C-213")</f>
        <v>C-213</v>
      </c>
      <c r="B2571" s="226" t="str">
        <f>IFERROR(__xludf.DUMMYFUNCTION("""COMPUTED_VALUE"""),"5907615801747")</f>
        <v>5907615801747</v>
      </c>
      <c r="C2571" t="str">
        <f>IFERROR(__xludf.DUMMYFUNCTION("""COMPUTED_VALUE"""),"Steinhof")</f>
        <v>Steinhof</v>
      </c>
    </row>
    <row r="2572">
      <c r="A2572" t="str">
        <f>IFERROR(__xludf.DUMMYFUNCTION("""COMPUTED_VALUE"""),"C-213")</f>
        <v>C-213</v>
      </c>
      <c r="B2572" s="226" t="str">
        <f>IFERROR(__xludf.DUMMYFUNCTION("""COMPUTED_VALUE"""),"5907615801747")</f>
        <v>5907615801747</v>
      </c>
      <c r="C2572" t="str">
        <f>IFERROR(__xludf.DUMMYFUNCTION("""COMPUTED_VALUE"""),"Steinhof")</f>
        <v>Steinhof</v>
      </c>
    </row>
    <row r="2573">
      <c r="A2573" t="str">
        <f>IFERROR(__xludf.DUMMYFUNCTION("""COMPUTED_VALUE"""),"C-213")</f>
        <v>C-213</v>
      </c>
      <c r="B2573" s="226" t="str">
        <f>IFERROR(__xludf.DUMMYFUNCTION("""COMPUTED_VALUE"""),"5907615801747")</f>
        <v>5907615801747</v>
      </c>
      <c r="C2573" t="str">
        <f>IFERROR(__xludf.DUMMYFUNCTION("""COMPUTED_VALUE"""),"Steinhof")</f>
        <v>Steinhof</v>
      </c>
    </row>
    <row r="2574">
      <c r="A2574" t="str">
        <f>IFERROR(__xludf.DUMMYFUNCTION("""COMPUTED_VALUE"""),"C-214")</f>
        <v>C-214</v>
      </c>
      <c r="B2574" s="226" t="str">
        <f>IFERROR(__xludf.DUMMYFUNCTION("""COMPUTED_VALUE"""),"5907615801754")</f>
        <v>5907615801754</v>
      </c>
      <c r="C2574" t="str">
        <f>IFERROR(__xludf.DUMMYFUNCTION("""COMPUTED_VALUE"""),"Steinhof")</f>
        <v>Steinhof</v>
      </c>
    </row>
    <row r="2575">
      <c r="A2575" t="str">
        <f>IFERROR(__xludf.DUMMYFUNCTION("""COMPUTED_VALUE"""),"C-214")</f>
        <v>C-214</v>
      </c>
      <c r="B2575" s="226" t="str">
        <f>IFERROR(__xludf.DUMMYFUNCTION("""COMPUTED_VALUE"""),"5907615801754")</f>
        <v>5907615801754</v>
      </c>
      <c r="C2575" t="str">
        <f>IFERROR(__xludf.DUMMYFUNCTION("""COMPUTED_VALUE"""),"Steinhof")</f>
        <v>Steinhof</v>
      </c>
    </row>
    <row r="2576">
      <c r="A2576" t="str">
        <f>IFERROR(__xludf.DUMMYFUNCTION("""COMPUTED_VALUE"""),"C-214")</f>
        <v>C-214</v>
      </c>
      <c r="B2576" s="226" t="str">
        <f>IFERROR(__xludf.DUMMYFUNCTION("""COMPUTED_VALUE"""),"5907615801754")</f>
        <v>5907615801754</v>
      </c>
      <c r="C2576" t="str">
        <f>IFERROR(__xludf.DUMMYFUNCTION("""COMPUTED_VALUE"""),"Steinhof")</f>
        <v>Steinhof</v>
      </c>
    </row>
    <row r="2577">
      <c r="A2577" t="str">
        <f>IFERROR(__xludf.DUMMYFUNCTION("""COMPUTED_VALUE"""),"C-214")</f>
        <v>C-214</v>
      </c>
      <c r="B2577" s="226" t="str">
        <f>IFERROR(__xludf.DUMMYFUNCTION("""COMPUTED_VALUE"""),"5907615801754")</f>
        <v>5907615801754</v>
      </c>
      <c r="C2577" t="str">
        <f>IFERROR(__xludf.DUMMYFUNCTION("""COMPUTED_VALUE"""),"Steinhof")</f>
        <v>Steinhof</v>
      </c>
    </row>
    <row r="2578">
      <c r="A2578" t="str">
        <f>IFERROR(__xludf.DUMMYFUNCTION("""COMPUTED_VALUE"""),"C-034")</f>
        <v>C-034</v>
      </c>
      <c r="B2578" s="226" t="str">
        <f>IFERROR(__xludf.DUMMYFUNCTION("""COMPUTED_VALUE"""),"5907615801860")</f>
        <v>5907615801860</v>
      </c>
      <c r="C2578" t="str">
        <f>IFERROR(__xludf.DUMMYFUNCTION("""COMPUTED_VALUE"""),"Steinhof")</f>
        <v>Steinhof</v>
      </c>
    </row>
    <row r="2579">
      <c r="A2579" t="str">
        <f>IFERROR(__xludf.DUMMYFUNCTION("""COMPUTED_VALUE"""),"C-034")</f>
        <v>C-034</v>
      </c>
      <c r="B2579" s="226" t="str">
        <f>IFERROR(__xludf.DUMMYFUNCTION("""COMPUTED_VALUE"""),"5907615801860")</f>
        <v>5907615801860</v>
      </c>
      <c r="C2579" t="str">
        <f>IFERROR(__xludf.DUMMYFUNCTION("""COMPUTED_VALUE"""),"Steinhof")</f>
        <v>Steinhof</v>
      </c>
    </row>
    <row r="2580">
      <c r="A2580" t="str">
        <f>IFERROR(__xludf.DUMMYFUNCTION("""COMPUTED_VALUE"""),"C-034")</f>
        <v>C-034</v>
      </c>
      <c r="B2580" s="226" t="str">
        <f>IFERROR(__xludf.DUMMYFUNCTION("""COMPUTED_VALUE"""),"5907615801860")</f>
        <v>5907615801860</v>
      </c>
      <c r="C2580" t="str">
        <f>IFERROR(__xludf.DUMMYFUNCTION("""COMPUTED_VALUE"""),"Steinhof")</f>
        <v>Steinhof</v>
      </c>
    </row>
    <row r="2581">
      <c r="A2581" t="str">
        <f>IFERROR(__xludf.DUMMYFUNCTION("""COMPUTED_VALUE"""),"C-034")</f>
        <v>C-034</v>
      </c>
      <c r="B2581" s="226" t="str">
        <f>IFERROR(__xludf.DUMMYFUNCTION("""COMPUTED_VALUE"""),"5907615801860")</f>
        <v>5907615801860</v>
      </c>
      <c r="C2581" t="str">
        <f>IFERROR(__xludf.DUMMYFUNCTION("""COMPUTED_VALUE"""),"Steinhof")</f>
        <v>Steinhof</v>
      </c>
    </row>
    <row r="2582">
      <c r="A2582" t="str">
        <f>IFERROR(__xludf.DUMMYFUNCTION("""COMPUTED_VALUE"""),"C-008")</f>
        <v>C-008</v>
      </c>
      <c r="B2582" s="226" t="str">
        <f>IFERROR(__xludf.DUMMYFUNCTION("""COMPUTED_VALUE"""),"5907615801877")</f>
        <v>5907615801877</v>
      </c>
      <c r="C2582" t="str">
        <f>IFERROR(__xludf.DUMMYFUNCTION("""COMPUTED_VALUE"""),"Steinhof")</f>
        <v>Steinhof</v>
      </c>
    </row>
    <row r="2583">
      <c r="A2583" t="str">
        <f>IFERROR(__xludf.DUMMYFUNCTION("""COMPUTED_VALUE"""),"C-008")</f>
        <v>C-008</v>
      </c>
      <c r="B2583" s="226" t="str">
        <f>IFERROR(__xludf.DUMMYFUNCTION("""COMPUTED_VALUE"""),"5907615801877")</f>
        <v>5907615801877</v>
      </c>
      <c r="C2583" t="str">
        <f>IFERROR(__xludf.DUMMYFUNCTION("""COMPUTED_VALUE"""),"Steinhof")</f>
        <v>Steinhof</v>
      </c>
    </row>
    <row r="2584">
      <c r="A2584" t="str">
        <f>IFERROR(__xludf.DUMMYFUNCTION("""COMPUTED_VALUE"""),"C-008")</f>
        <v>C-008</v>
      </c>
      <c r="B2584" s="226" t="str">
        <f>IFERROR(__xludf.DUMMYFUNCTION("""COMPUTED_VALUE"""),"5907615801877")</f>
        <v>5907615801877</v>
      </c>
      <c r="C2584" t="str">
        <f>IFERROR(__xludf.DUMMYFUNCTION("""COMPUTED_VALUE"""),"Steinhof")</f>
        <v>Steinhof</v>
      </c>
    </row>
    <row r="2585">
      <c r="A2585" t="str">
        <f>IFERROR(__xludf.DUMMYFUNCTION("""COMPUTED_VALUE"""),"C-008")</f>
        <v>C-008</v>
      </c>
      <c r="B2585" s="226" t="str">
        <f>IFERROR(__xludf.DUMMYFUNCTION("""COMPUTED_VALUE"""),"5907615801877")</f>
        <v>5907615801877</v>
      </c>
      <c r="C2585" t="str">
        <f>IFERROR(__xludf.DUMMYFUNCTION("""COMPUTED_VALUE"""),"Steinhof")</f>
        <v>Steinhof</v>
      </c>
    </row>
    <row r="2586">
      <c r="A2586" t="str">
        <f>IFERROR(__xludf.DUMMYFUNCTION("""COMPUTED_VALUE"""),"C-008")</f>
        <v>C-008</v>
      </c>
      <c r="B2586" s="226" t="str">
        <f>IFERROR(__xludf.DUMMYFUNCTION("""COMPUTED_VALUE"""),"5907615801877")</f>
        <v>5907615801877</v>
      </c>
      <c r="C2586" t="str">
        <f>IFERROR(__xludf.DUMMYFUNCTION("""COMPUTED_VALUE"""),"Steinhof")</f>
        <v>Steinhof</v>
      </c>
    </row>
    <row r="2587">
      <c r="A2587" t="str">
        <f>IFERROR(__xludf.DUMMYFUNCTION("""COMPUTED_VALUE"""),"C-008")</f>
        <v>C-008</v>
      </c>
      <c r="B2587" s="226" t="str">
        <f>IFERROR(__xludf.DUMMYFUNCTION("""COMPUTED_VALUE"""),"5907615801877")</f>
        <v>5907615801877</v>
      </c>
      <c r="C2587" t="str">
        <f>IFERROR(__xludf.DUMMYFUNCTION("""COMPUTED_VALUE"""),"Steinhof")</f>
        <v>Steinhof</v>
      </c>
    </row>
    <row r="2588">
      <c r="A2588" t="str">
        <f>IFERROR(__xludf.DUMMYFUNCTION("""COMPUTED_VALUE"""),"C-009")</f>
        <v>C-009</v>
      </c>
      <c r="B2588" s="226" t="str">
        <f>IFERROR(__xludf.DUMMYFUNCTION("""COMPUTED_VALUE"""),"5907615801884")</f>
        <v>5907615801884</v>
      </c>
      <c r="C2588" t="str">
        <f>IFERROR(__xludf.DUMMYFUNCTION("""COMPUTED_VALUE"""),"Steinhof")</f>
        <v>Steinhof</v>
      </c>
    </row>
    <row r="2589">
      <c r="A2589" t="str">
        <f>IFERROR(__xludf.DUMMYFUNCTION("""COMPUTED_VALUE"""),"C-009")</f>
        <v>C-009</v>
      </c>
      <c r="B2589" s="226" t="str">
        <f>IFERROR(__xludf.DUMMYFUNCTION("""COMPUTED_VALUE"""),"5907615801884")</f>
        <v>5907615801884</v>
      </c>
      <c r="C2589" t="str">
        <f>IFERROR(__xludf.DUMMYFUNCTION("""COMPUTED_VALUE"""),"Steinhof")</f>
        <v>Steinhof</v>
      </c>
    </row>
    <row r="2590">
      <c r="A2590" t="str">
        <f>IFERROR(__xludf.DUMMYFUNCTION("""COMPUTED_VALUE"""),"C-009")</f>
        <v>C-009</v>
      </c>
      <c r="B2590" s="226" t="str">
        <f>IFERROR(__xludf.DUMMYFUNCTION("""COMPUTED_VALUE"""),"5907615801884")</f>
        <v>5907615801884</v>
      </c>
      <c r="C2590" t="str">
        <f>IFERROR(__xludf.DUMMYFUNCTION("""COMPUTED_VALUE"""),"Steinhof")</f>
        <v>Steinhof</v>
      </c>
    </row>
    <row r="2591">
      <c r="A2591" t="str">
        <f>IFERROR(__xludf.DUMMYFUNCTION("""COMPUTED_VALUE"""),"C-009")</f>
        <v>C-009</v>
      </c>
      <c r="B2591" s="226" t="str">
        <f>IFERROR(__xludf.DUMMYFUNCTION("""COMPUTED_VALUE"""),"5907615801884")</f>
        <v>5907615801884</v>
      </c>
      <c r="C2591" t="str">
        <f>IFERROR(__xludf.DUMMYFUNCTION("""COMPUTED_VALUE"""),"Steinhof")</f>
        <v>Steinhof</v>
      </c>
    </row>
    <row r="2592">
      <c r="A2592" t="str">
        <f>IFERROR(__xludf.DUMMYFUNCTION("""COMPUTED_VALUE"""),"C-009")</f>
        <v>C-009</v>
      </c>
      <c r="B2592" s="226" t="str">
        <f>IFERROR(__xludf.DUMMYFUNCTION("""COMPUTED_VALUE"""),"5907615801884")</f>
        <v>5907615801884</v>
      </c>
      <c r="C2592" t="str">
        <f>IFERROR(__xludf.DUMMYFUNCTION("""COMPUTED_VALUE"""),"Steinhof")</f>
        <v>Steinhof</v>
      </c>
    </row>
    <row r="2593">
      <c r="A2593" t="str">
        <f>IFERROR(__xludf.DUMMYFUNCTION("""COMPUTED_VALUE"""),"C-009")</f>
        <v>C-009</v>
      </c>
      <c r="B2593" s="226" t="str">
        <f>IFERROR(__xludf.DUMMYFUNCTION("""COMPUTED_VALUE"""),"5907615801884")</f>
        <v>5907615801884</v>
      </c>
      <c r="C2593" t="str">
        <f>IFERROR(__xludf.DUMMYFUNCTION("""COMPUTED_VALUE"""),"Steinhof")</f>
        <v>Steinhof</v>
      </c>
    </row>
    <row r="2594">
      <c r="A2594" t="str">
        <f>IFERROR(__xludf.DUMMYFUNCTION("""COMPUTED_VALUE"""),"C-039")</f>
        <v>C-039</v>
      </c>
      <c r="B2594" s="226" t="str">
        <f>IFERROR(__xludf.DUMMYFUNCTION("""COMPUTED_VALUE"""),"5907615801891")</f>
        <v>5907615801891</v>
      </c>
      <c r="C2594" t="str">
        <f>IFERROR(__xludf.DUMMYFUNCTION("""COMPUTED_VALUE"""),"Steinhof")</f>
        <v>Steinhof</v>
      </c>
    </row>
    <row r="2595">
      <c r="A2595" t="str">
        <f>IFERROR(__xludf.DUMMYFUNCTION("""COMPUTED_VALUE"""),"C-039")</f>
        <v>C-039</v>
      </c>
      <c r="B2595" s="226" t="str">
        <f>IFERROR(__xludf.DUMMYFUNCTION("""COMPUTED_VALUE"""),"5907615801891")</f>
        <v>5907615801891</v>
      </c>
      <c r="C2595" t="str">
        <f>IFERROR(__xludf.DUMMYFUNCTION("""COMPUTED_VALUE"""),"Steinhof")</f>
        <v>Steinhof</v>
      </c>
    </row>
    <row r="2596">
      <c r="A2596" t="str">
        <f>IFERROR(__xludf.DUMMYFUNCTION("""COMPUTED_VALUE"""),"C-005")</f>
        <v>C-005</v>
      </c>
      <c r="B2596" s="226" t="str">
        <f>IFERROR(__xludf.DUMMYFUNCTION("""COMPUTED_VALUE"""),"5907615801907")</f>
        <v>5907615801907</v>
      </c>
      <c r="C2596" t="str">
        <f>IFERROR(__xludf.DUMMYFUNCTION("""COMPUTED_VALUE"""),"Steinhof")</f>
        <v>Steinhof</v>
      </c>
    </row>
    <row r="2597">
      <c r="A2597" t="str">
        <f>IFERROR(__xludf.DUMMYFUNCTION("""COMPUTED_VALUE"""),"C-005")</f>
        <v>C-005</v>
      </c>
      <c r="B2597" s="226" t="str">
        <f>IFERROR(__xludf.DUMMYFUNCTION("""COMPUTED_VALUE"""),"5907615801907")</f>
        <v>5907615801907</v>
      </c>
      <c r="C2597" t="str">
        <f>IFERROR(__xludf.DUMMYFUNCTION("""COMPUTED_VALUE"""),"Steinhof")</f>
        <v>Steinhof</v>
      </c>
    </row>
    <row r="2598">
      <c r="A2598" t="str">
        <f>IFERROR(__xludf.DUMMYFUNCTION("""COMPUTED_VALUE"""),"C-015")</f>
        <v>C-015</v>
      </c>
      <c r="B2598" s="226" t="str">
        <f>IFERROR(__xludf.DUMMYFUNCTION("""COMPUTED_VALUE"""),"5907615801914")</f>
        <v>5907615801914</v>
      </c>
      <c r="C2598" t="str">
        <f>IFERROR(__xludf.DUMMYFUNCTION("""COMPUTED_VALUE"""),"Steinhof")</f>
        <v>Steinhof</v>
      </c>
    </row>
    <row r="2599">
      <c r="A2599" t="str">
        <f>IFERROR(__xludf.DUMMYFUNCTION("""COMPUTED_VALUE"""),"C-015")</f>
        <v>C-015</v>
      </c>
      <c r="B2599" s="226" t="str">
        <f>IFERROR(__xludf.DUMMYFUNCTION("""COMPUTED_VALUE"""),"5907615801914")</f>
        <v>5907615801914</v>
      </c>
      <c r="C2599" t="str">
        <f>IFERROR(__xludf.DUMMYFUNCTION("""COMPUTED_VALUE"""),"Steinhof")</f>
        <v>Steinhof</v>
      </c>
    </row>
    <row r="2600">
      <c r="A2600" t="str">
        <f>IFERROR(__xludf.DUMMYFUNCTION("""COMPUTED_VALUE"""),"C-015")</f>
        <v>C-015</v>
      </c>
      <c r="B2600" s="226" t="str">
        <f>IFERROR(__xludf.DUMMYFUNCTION("""COMPUTED_VALUE"""),"5907615801914")</f>
        <v>5907615801914</v>
      </c>
      <c r="C2600" t="str">
        <f>IFERROR(__xludf.DUMMYFUNCTION("""COMPUTED_VALUE"""),"Steinhof")</f>
        <v>Steinhof</v>
      </c>
    </row>
    <row r="2601">
      <c r="A2601" t="str">
        <f>IFERROR(__xludf.DUMMYFUNCTION("""COMPUTED_VALUE"""),"C-015")</f>
        <v>C-015</v>
      </c>
      <c r="B2601" s="226" t="str">
        <f>IFERROR(__xludf.DUMMYFUNCTION("""COMPUTED_VALUE"""),"5907615801914")</f>
        <v>5907615801914</v>
      </c>
      <c r="C2601" t="str">
        <f>IFERROR(__xludf.DUMMYFUNCTION("""COMPUTED_VALUE"""),"Steinhof")</f>
        <v>Steinhof</v>
      </c>
    </row>
    <row r="2602">
      <c r="A2602" t="str">
        <f>IFERROR(__xludf.DUMMYFUNCTION("""COMPUTED_VALUE"""),"C-015")</f>
        <v>C-015</v>
      </c>
      <c r="B2602" s="226" t="str">
        <f>IFERROR(__xludf.DUMMYFUNCTION("""COMPUTED_VALUE"""),"5907615801914")</f>
        <v>5907615801914</v>
      </c>
      <c r="C2602" t="str">
        <f>IFERROR(__xludf.DUMMYFUNCTION("""COMPUTED_VALUE"""),"Steinhof")</f>
        <v>Steinhof</v>
      </c>
    </row>
    <row r="2603">
      <c r="A2603" t="str">
        <f>IFERROR(__xludf.DUMMYFUNCTION("""COMPUTED_VALUE"""),"C-015")</f>
        <v>C-015</v>
      </c>
      <c r="B2603" s="226" t="str">
        <f>IFERROR(__xludf.DUMMYFUNCTION("""COMPUTED_VALUE"""),"5907615801914")</f>
        <v>5907615801914</v>
      </c>
      <c r="C2603" t="str">
        <f>IFERROR(__xludf.DUMMYFUNCTION("""COMPUTED_VALUE"""),"Steinhof")</f>
        <v>Steinhof</v>
      </c>
    </row>
    <row r="2604">
      <c r="A2604" t="str">
        <f>IFERROR(__xludf.DUMMYFUNCTION("""COMPUTED_VALUE"""),"C-015")</f>
        <v>C-015</v>
      </c>
      <c r="B2604" s="226" t="str">
        <f>IFERROR(__xludf.DUMMYFUNCTION("""COMPUTED_VALUE"""),"5907615801914")</f>
        <v>5907615801914</v>
      </c>
      <c r="C2604" t="str">
        <f>IFERROR(__xludf.DUMMYFUNCTION("""COMPUTED_VALUE"""),"Steinhof")</f>
        <v>Steinhof</v>
      </c>
    </row>
    <row r="2605">
      <c r="A2605" t="str">
        <f>IFERROR(__xludf.DUMMYFUNCTION("""COMPUTED_VALUE"""),"C-015")</f>
        <v>C-015</v>
      </c>
      <c r="B2605" s="226" t="str">
        <f>IFERROR(__xludf.DUMMYFUNCTION("""COMPUTED_VALUE"""),"5907615801914")</f>
        <v>5907615801914</v>
      </c>
      <c r="C2605" t="str">
        <f>IFERROR(__xludf.DUMMYFUNCTION("""COMPUTED_VALUE"""),"Steinhof")</f>
        <v>Steinhof</v>
      </c>
    </row>
    <row r="2606">
      <c r="A2606" t="str">
        <f>IFERROR(__xludf.DUMMYFUNCTION("""COMPUTED_VALUE"""),"C-016")</f>
        <v>C-016</v>
      </c>
      <c r="B2606" s="226" t="str">
        <f>IFERROR(__xludf.DUMMYFUNCTION("""COMPUTED_VALUE"""),"5907615801921")</f>
        <v>5907615801921</v>
      </c>
      <c r="C2606" t="str">
        <f>IFERROR(__xludf.DUMMYFUNCTION("""COMPUTED_VALUE"""),"Steinhof")</f>
        <v>Steinhof</v>
      </c>
    </row>
    <row r="2607">
      <c r="A2607" t="str">
        <f>IFERROR(__xludf.DUMMYFUNCTION("""COMPUTED_VALUE"""),"C-016")</f>
        <v>C-016</v>
      </c>
      <c r="B2607" s="226" t="str">
        <f>IFERROR(__xludf.DUMMYFUNCTION("""COMPUTED_VALUE"""),"5907615801921")</f>
        <v>5907615801921</v>
      </c>
      <c r="C2607" t="str">
        <f>IFERROR(__xludf.DUMMYFUNCTION("""COMPUTED_VALUE"""),"Steinhof")</f>
        <v>Steinhof</v>
      </c>
    </row>
    <row r="2608">
      <c r="A2608" t="str">
        <f>IFERROR(__xludf.DUMMYFUNCTION("""COMPUTED_VALUE"""),"C-016")</f>
        <v>C-016</v>
      </c>
      <c r="B2608" s="226" t="str">
        <f>IFERROR(__xludf.DUMMYFUNCTION("""COMPUTED_VALUE"""),"5907615801921")</f>
        <v>5907615801921</v>
      </c>
      <c r="C2608" t="str">
        <f>IFERROR(__xludf.DUMMYFUNCTION("""COMPUTED_VALUE"""),"Steinhof")</f>
        <v>Steinhof</v>
      </c>
    </row>
    <row r="2609">
      <c r="A2609" t="str">
        <f>IFERROR(__xludf.DUMMYFUNCTION("""COMPUTED_VALUE"""),"C-016")</f>
        <v>C-016</v>
      </c>
      <c r="B2609" s="226" t="str">
        <f>IFERROR(__xludf.DUMMYFUNCTION("""COMPUTED_VALUE"""),"5907615801921")</f>
        <v>5907615801921</v>
      </c>
      <c r="C2609" t="str">
        <f>IFERROR(__xludf.DUMMYFUNCTION("""COMPUTED_VALUE"""),"Steinhof")</f>
        <v>Steinhof</v>
      </c>
    </row>
    <row r="2610">
      <c r="A2610" t="str">
        <f>IFERROR(__xludf.DUMMYFUNCTION("""COMPUTED_VALUE"""),"C-016")</f>
        <v>C-016</v>
      </c>
      <c r="B2610" s="226" t="str">
        <f>IFERROR(__xludf.DUMMYFUNCTION("""COMPUTED_VALUE"""),"5907615801921")</f>
        <v>5907615801921</v>
      </c>
      <c r="C2610" t="str">
        <f>IFERROR(__xludf.DUMMYFUNCTION("""COMPUTED_VALUE"""),"Steinhof")</f>
        <v>Steinhof</v>
      </c>
    </row>
    <row r="2611">
      <c r="A2611" t="str">
        <f>IFERROR(__xludf.DUMMYFUNCTION("""COMPUTED_VALUE"""),"C-016")</f>
        <v>C-016</v>
      </c>
      <c r="B2611" s="226" t="str">
        <f>IFERROR(__xludf.DUMMYFUNCTION("""COMPUTED_VALUE"""),"5907615801921")</f>
        <v>5907615801921</v>
      </c>
      <c r="C2611" t="str">
        <f>IFERROR(__xludf.DUMMYFUNCTION("""COMPUTED_VALUE"""),"Steinhof")</f>
        <v>Steinhof</v>
      </c>
    </row>
    <row r="2612">
      <c r="A2612" t="str">
        <f>IFERROR(__xludf.DUMMYFUNCTION("""COMPUTED_VALUE"""),"C-016")</f>
        <v>C-016</v>
      </c>
      <c r="B2612" s="226" t="str">
        <f>IFERROR(__xludf.DUMMYFUNCTION("""COMPUTED_VALUE"""),"5907615801921")</f>
        <v>5907615801921</v>
      </c>
      <c r="C2612" t="str">
        <f>IFERROR(__xludf.DUMMYFUNCTION("""COMPUTED_VALUE"""),"Steinhof")</f>
        <v>Steinhof</v>
      </c>
    </row>
    <row r="2613">
      <c r="A2613" t="str">
        <f>IFERROR(__xludf.DUMMYFUNCTION("""COMPUTED_VALUE"""),"C-016")</f>
        <v>C-016</v>
      </c>
      <c r="B2613" s="226" t="str">
        <f>IFERROR(__xludf.DUMMYFUNCTION("""COMPUTED_VALUE"""),"5907615801921")</f>
        <v>5907615801921</v>
      </c>
      <c r="C2613" t="str">
        <f>IFERROR(__xludf.DUMMYFUNCTION("""COMPUTED_VALUE"""),"Steinhof")</f>
        <v>Steinhof</v>
      </c>
    </row>
    <row r="2614">
      <c r="A2614" t="str">
        <f>IFERROR(__xludf.DUMMYFUNCTION("""COMPUTED_VALUE"""),"C-010")</f>
        <v>C-010</v>
      </c>
      <c r="B2614" s="226" t="str">
        <f>IFERROR(__xludf.DUMMYFUNCTION("""COMPUTED_VALUE"""),"5907615801938")</f>
        <v>5907615801938</v>
      </c>
      <c r="C2614" t="str">
        <f>IFERROR(__xludf.DUMMYFUNCTION("""COMPUTED_VALUE"""),"Steinhof")</f>
        <v>Steinhof</v>
      </c>
    </row>
    <row r="2615">
      <c r="A2615" t="str">
        <f>IFERROR(__xludf.DUMMYFUNCTION("""COMPUTED_VALUE"""),"C-010")</f>
        <v>C-010</v>
      </c>
      <c r="B2615" s="226" t="str">
        <f>IFERROR(__xludf.DUMMYFUNCTION("""COMPUTED_VALUE"""),"5907615801938")</f>
        <v>5907615801938</v>
      </c>
      <c r="C2615" t="str">
        <f>IFERROR(__xludf.DUMMYFUNCTION("""COMPUTED_VALUE"""),"Steinhof")</f>
        <v>Steinhof</v>
      </c>
    </row>
    <row r="2616">
      <c r="A2616" t="str">
        <f>IFERROR(__xludf.DUMMYFUNCTION("""COMPUTED_VALUE"""),"C-011")</f>
        <v>C-011</v>
      </c>
      <c r="B2616" s="226" t="str">
        <f>IFERROR(__xludf.DUMMYFUNCTION("""COMPUTED_VALUE"""),"5907615801945")</f>
        <v>5907615801945</v>
      </c>
      <c r="C2616" t="str">
        <f>IFERROR(__xludf.DUMMYFUNCTION("""COMPUTED_VALUE"""),"Steinhof")</f>
        <v>Steinhof</v>
      </c>
    </row>
    <row r="2617">
      <c r="A2617" t="str">
        <f>IFERROR(__xludf.DUMMYFUNCTION("""COMPUTED_VALUE"""),"C-011")</f>
        <v>C-011</v>
      </c>
      <c r="B2617" s="226" t="str">
        <f>IFERROR(__xludf.DUMMYFUNCTION("""COMPUTED_VALUE"""),"5907615801945")</f>
        <v>5907615801945</v>
      </c>
      <c r="C2617" t="str">
        <f>IFERROR(__xludf.DUMMYFUNCTION("""COMPUTED_VALUE"""),"Steinhof")</f>
        <v>Steinhof</v>
      </c>
    </row>
    <row r="2618">
      <c r="A2618" t="str">
        <f>IFERROR(__xludf.DUMMYFUNCTION("""COMPUTED_VALUE"""),"C-012")</f>
        <v>C-012</v>
      </c>
      <c r="B2618" s="226" t="str">
        <f>IFERROR(__xludf.DUMMYFUNCTION("""COMPUTED_VALUE"""),"5907615801952")</f>
        <v>5907615801952</v>
      </c>
      <c r="C2618" t="str">
        <f>IFERROR(__xludf.DUMMYFUNCTION("""COMPUTED_VALUE"""),"Steinhof")</f>
        <v>Steinhof</v>
      </c>
    </row>
    <row r="2619">
      <c r="A2619" t="str">
        <f>IFERROR(__xludf.DUMMYFUNCTION("""COMPUTED_VALUE"""),"C-012")</f>
        <v>C-012</v>
      </c>
      <c r="B2619" s="226" t="str">
        <f>IFERROR(__xludf.DUMMYFUNCTION("""COMPUTED_VALUE"""),"5907615801952")</f>
        <v>5907615801952</v>
      </c>
      <c r="C2619" t="str">
        <f>IFERROR(__xludf.DUMMYFUNCTION("""COMPUTED_VALUE"""),"Steinhof")</f>
        <v>Steinhof</v>
      </c>
    </row>
    <row r="2620">
      <c r="A2620" t="str">
        <f>IFERROR(__xludf.DUMMYFUNCTION("""COMPUTED_VALUE"""),"C-021")</f>
        <v>C-021</v>
      </c>
      <c r="B2620" s="226" t="str">
        <f>IFERROR(__xludf.DUMMYFUNCTION("""COMPUTED_VALUE"""),"5907615801969")</f>
        <v>5907615801969</v>
      </c>
      <c r="C2620" t="str">
        <f>IFERROR(__xludf.DUMMYFUNCTION("""COMPUTED_VALUE"""),"Steinhof")</f>
        <v>Steinhof</v>
      </c>
    </row>
    <row r="2621">
      <c r="A2621" t="str">
        <f>IFERROR(__xludf.DUMMYFUNCTION("""COMPUTED_VALUE"""),"C-021")</f>
        <v>C-021</v>
      </c>
      <c r="B2621" s="226" t="str">
        <f>IFERROR(__xludf.DUMMYFUNCTION("""COMPUTED_VALUE"""),"5907615801969")</f>
        <v>5907615801969</v>
      </c>
      <c r="C2621" t="str">
        <f>IFERROR(__xludf.DUMMYFUNCTION("""COMPUTED_VALUE"""),"Steinhof")</f>
        <v>Steinhof</v>
      </c>
    </row>
    <row r="2622">
      <c r="A2622" t="str">
        <f>IFERROR(__xludf.DUMMYFUNCTION("""COMPUTED_VALUE"""),"C-021")</f>
        <v>C-021</v>
      </c>
      <c r="B2622" s="226" t="str">
        <f>IFERROR(__xludf.DUMMYFUNCTION("""COMPUTED_VALUE"""),"5907615801969")</f>
        <v>5907615801969</v>
      </c>
      <c r="C2622" t="str">
        <f>IFERROR(__xludf.DUMMYFUNCTION("""COMPUTED_VALUE"""),"Steinhof")</f>
        <v>Steinhof</v>
      </c>
    </row>
    <row r="2623">
      <c r="A2623" t="str">
        <f>IFERROR(__xludf.DUMMYFUNCTION("""COMPUTED_VALUE"""),"C-021")</f>
        <v>C-021</v>
      </c>
      <c r="B2623" s="226" t="str">
        <f>IFERROR(__xludf.DUMMYFUNCTION("""COMPUTED_VALUE"""),"5907615801969")</f>
        <v>5907615801969</v>
      </c>
      <c r="C2623" t="str">
        <f>IFERROR(__xludf.DUMMYFUNCTION("""COMPUTED_VALUE"""),"Steinhof")</f>
        <v>Steinhof</v>
      </c>
    </row>
    <row r="2624">
      <c r="A2624" t="str">
        <f>IFERROR(__xludf.DUMMYFUNCTION("""COMPUTED_VALUE"""),"C-023")</f>
        <v>C-023</v>
      </c>
      <c r="B2624" s="226" t="str">
        <f>IFERROR(__xludf.DUMMYFUNCTION("""COMPUTED_VALUE"""),"5907615801983")</f>
        <v>5907615801983</v>
      </c>
      <c r="C2624" t="str">
        <f>IFERROR(__xludf.DUMMYFUNCTION("""COMPUTED_VALUE"""),"Steinhof")</f>
        <v>Steinhof</v>
      </c>
    </row>
    <row r="2625">
      <c r="A2625" t="str">
        <f>IFERROR(__xludf.DUMMYFUNCTION("""COMPUTED_VALUE"""),"C-023")</f>
        <v>C-023</v>
      </c>
      <c r="B2625" s="226" t="str">
        <f>IFERROR(__xludf.DUMMYFUNCTION("""COMPUTED_VALUE"""),"5907615801983")</f>
        <v>5907615801983</v>
      </c>
      <c r="C2625" t="str">
        <f>IFERROR(__xludf.DUMMYFUNCTION("""COMPUTED_VALUE"""),"Steinhof")</f>
        <v>Steinhof</v>
      </c>
    </row>
    <row r="2626">
      <c r="A2626" t="str">
        <f>IFERROR(__xludf.DUMMYFUNCTION("""COMPUTED_VALUE"""),"C-023")</f>
        <v>C-023</v>
      </c>
      <c r="B2626" s="226" t="str">
        <f>IFERROR(__xludf.DUMMYFUNCTION("""COMPUTED_VALUE"""),"5907615801983")</f>
        <v>5907615801983</v>
      </c>
      <c r="C2626" t="str">
        <f>IFERROR(__xludf.DUMMYFUNCTION("""COMPUTED_VALUE"""),"Steinhof")</f>
        <v>Steinhof</v>
      </c>
    </row>
    <row r="2627">
      <c r="A2627" t="str">
        <f>IFERROR(__xludf.DUMMYFUNCTION("""COMPUTED_VALUE"""),"C-023")</f>
        <v>C-023</v>
      </c>
      <c r="B2627" s="226" t="str">
        <f>IFERROR(__xludf.DUMMYFUNCTION("""COMPUTED_VALUE"""),"5907615801983")</f>
        <v>5907615801983</v>
      </c>
      <c r="C2627" t="str">
        <f>IFERROR(__xludf.DUMMYFUNCTION("""COMPUTED_VALUE"""),"Steinhof")</f>
        <v>Steinhof</v>
      </c>
    </row>
    <row r="2628">
      <c r="A2628" t="str">
        <f>IFERROR(__xludf.DUMMYFUNCTION("""COMPUTED_VALUE"""),"C-023")</f>
        <v>C-023</v>
      </c>
      <c r="B2628" s="226" t="str">
        <f>IFERROR(__xludf.DUMMYFUNCTION("""COMPUTED_VALUE"""),"5907615801983")</f>
        <v>5907615801983</v>
      </c>
      <c r="C2628" t="str">
        <f>IFERROR(__xludf.DUMMYFUNCTION("""COMPUTED_VALUE"""),"Steinhof")</f>
        <v>Steinhof</v>
      </c>
    </row>
    <row r="2629">
      <c r="A2629" t="str">
        <f>IFERROR(__xludf.DUMMYFUNCTION("""COMPUTED_VALUE"""),"C-023")</f>
        <v>C-023</v>
      </c>
      <c r="B2629" s="226" t="str">
        <f>IFERROR(__xludf.DUMMYFUNCTION("""COMPUTED_VALUE"""),"5907615801983")</f>
        <v>5907615801983</v>
      </c>
      <c r="C2629" t="str">
        <f>IFERROR(__xludf.DUMMYFUNCTION("""COMPUTED_VALUE"""),"Steinhof")</f>
        <v>Steinhof</v>
      </c>
    </row>
    <row r="2630">
      <c r="A2630" t="str">
        <f>IFERROR(__xludf.DUMMYFUNCTION("""COMPUTED_VALUE"""),"C-023")</f>
        <v>C-023</v>
      </c>
      <c r="B2630" s="226" t="str">
        <f>IFERROR(__xludf.DUMMYFUNCTION("""COMPUTED_VALUE"""),"5907615801983")</f>
        <v>5907615801983</v>
      </c>
      <c r="C2630" t="str">
        <f>IFERROR(__xludf.DUMMYFUNCTION("""COMPUTED_VALUE"""),"Steinhof")</f>
        <v>Steinhof</v>
      </c>
    </row>
    <row r="2631">
      <c r="A2631" t="str">
        <f>IFERROR(__xludf.DUMMYFUNCTION("""COMPUTED_VALUE"""),"C-023")</f>
        <v>C-023</v>
      </c>
      <c r="B2631" s="226" t="str">
        <f>IFERROR(__xludf.DUMMYFUNCTION("""COMPUTED_VALUE"""),"5907615801983")</f>
        <v>5907615801983</v>
      </c>
      <c r="C2631" t="str">
        <f>IFERROR(__xludf.DUMMYFUNCTION("""COMPUTED_VALUE"""),"Steinhof")</f>
        <v>Steinhof</v>
      </c>
    </row>
    <row r="2632">
      <c r="A2632" t="str">
        <f>IFERROR(__xludf.DUMMYFUNCTION("""COMPUTED_VALUE"""),"C-024")</f>
        <v>C-024</v>
      </c>
      <c r="B2632" s="226" t="str">
        <f>IFERROR(__xludf.DUMMYFUNCTION("""COMPUTED_VALUE"""),"5907615801990")</f>
        <v>5907615801990</v>
      </c>
      <c r="C2632" t="str">
        <f>IFERROR(__xludf.DUMMYFUNCTION("""COMPUTED_VALUE"""),"Steinhof")</f>
        <v>Steinhof</v>
      </c>
    </row>
    <row r="2633">
      <c r="A2633" t="str">
        <f>IFERROR(__xludf.DUMMYFUNCTION("""COMPUTED_VALUE"""),"C-024")</f>
        <v>C-024</v>
      </c>
      <c r="B2633" s="226" t="str">
        <f>IFERROR(__xludf.DUMMYFUNCTION("""COMPUTED_VALUE"""),"5907615801990")</f>
        <v>5907615801990</v>
      </c>
      <c r="C2633" t="str">
        <f>IFERROR(__xludf.DUMMYFUNCTION("""COMPUTED_VALUE"""),"Steinhof")</f>
        <v>Steinhof</v>
      </c>
    </row>
    <row r="2634">
      <c r="A2634" t="str">
        <f>IFERROR(__xludf.DUMMYFUNCTION("""COMPUTED_VALUE"""),"C-024")</f>
        <v>C-024</v>
      </c>
      <c r="B2634" s="226" t="str">
        <f>IFERROR(__xludf.DUMMYFUNCTION("""COMPUTED_VALUE"""),"5907615801990")</f>
        <v>5907615801990</v>
      </c>
      <c r="C2634" t="str">
        <f>IFERROR(__xludf.DUMMYFUNCTION("""COMPUTED_VALUE"""),"Steinhof")</f>
        <v>Steinhof</v>
      </c>
    </row>
    <row r="2635">
      <c r="A2635" t="str">
        <f>IFERROR(__xludf.DUMMYFUNCTION("""COMPUTED_VALUE"""),"C-024")</f>
        <v>C-024</v>
      </c>
      <c r="B2635" s="226" t="str">
        <f>IFERROR(__xludf.DUMMYFUNCTION("""COMPUTED_VALUE"""),"5907615801990")</f>
        <v>5907615801990</v>
      </c>
      <c r="C2635" t="str">
        <f>IFERROR(__xludf.DUMMYFUNCTION("""COMPUTED_VALUE"""),"Steinhof")</f>
        <v>Steinhof</v>
      </c>
    </row>
    <row r="2636">
      <c r="A2636" t="str">
        <f>IFERROR(__xludf.DUMMYFUNCTION("""COMPUTED_VALUE"""),"C-024")</f>
        <v>C-024</v>
      </c>
      <c r="B2636" s="226" t="str">
        <f>IFERROR(__xludf.DUMMYFUNCTION("""COMPUTED_VALUE"""),"5907615801990")</f>
        <v>5907615801990</v>
      </c>
      <c r="C2636" t="str">
        <f>IFERROR(__xludf.DUMMYFUNCTION("""COMPUTED_VALUE"""),"Steinhof")</f>
        <v>Steinhof</v>
      </c>
    </row>
    <row r="2637">
      <c r="A2637" t="str">
        <f>IFERROR(__xludf.DUMMYFUNCTION("""COMPUTED_VALUE"""),"C-024")</f>
        <v>C-024</v>
      </c>
      <c r="B2637" s="226" t="str">
        <f>IFERROR(__xludf.DUMMYFUNCTION("""COMPUTED_VALUE"""),"5907615801990")</f>
        <v>5907615801990</v>
      </c>
      <c r="C2637" t="str">
        <f>IFERROR(__xludf.DUMMYFUNCTION("""COMPUTED_VALUE"""),"Steinhof")</f>
        <v>Steinhof</v>
      </c>
    </row>
    <row r="2638">
      <c r="A2638" t="str">
        <f>IFERROR(__xludf.DUMMYFUNCTION("""COMPUTED_VALUE"""),"C-024")</f>
        <v>C-024</v>
      </c>
      <c r="B2638" s="226" t="str">
        <f>IFERROR(__xludf.DUMMYFUNCTION("""COMPUTED_VALUE"""),"5907615801990")</f>
        <v>5907615801990</v>
      </c>
      <c r="C2638" t="str">
        <f>IFERROR(__xludf.DUMMYFUNCTION("""COMPUTED_VALUE"""),"Steinhof")</f>
        <v>Steinhof</v>
      </c>
    </row>
    <row r="2639">
      <c r="A2639" t="str">
        <f>IFERROR(__xludf.DUMMYFUNCTION("""COMPUTED_VALUE"""),"C-024")</f>
        <v>C-024</v>
      </c>
      <c r="B2639" s="226" t="str">
        <f>IFERROR(__xludf.DUMMYFUNCTION("""COMPUTED_VALUE"""),"5907615801990")</f>
        <v>5907615801990</v>
      </c>
      <c r="C2639" t="str">
        <f>IFERROR(__xludf.DUMMYFUNCTION("""COMPUTED_VALUE"""),"Steinhof")</f>
        <v>Steinhof</v>
      </c>
    </row>
    <row r="2640">
      <c r="A2640" t="str">
        <f>IFERROR(__xludf.DUMMYFUNCTION("""COMPUTED_VALUE"""),"C-025")</f>
        <v>C-025</v>
      </c>
      <c r="B2640" s="226" t="str">
        <f>IFERROR(__xludf.DUMMYFUNCTION("""COMPUTED_VALUE"""),"5907615802003")</f>
        <v>5907615802003</v>
      </c>
      <c r="C2640" t="str">
        <f>IFERROR(__xludf.DUMMYFUNCTION("""COMPUTED_VALUE"""),"Steinhof")</f>
        <v>Steinhof</v>
      </c>
    </row>
    <row r="2641">
      <c r="A2641" t="str">
        <f>IFERROR(__xludf.DUMMYFUNCTION("""COMPUTED_VALUE"""),"C-025")</f>
        <v>C-025</v>
      </c>
      <c r="B2641" s="226" t="str">
        <f>IFERROR(__xludf.DUMMYFUNCTION("""COMPUTED_VALUE"""),"5907615802003")</f>
        <v>5907615802003</v>
      </c>
      <c r="C2641" t="str">
        <f>IFERROR(__xludf.DUMMYFUNCTION("""COMPUTED_VALUE"""),"Steinhof")</f>
        <v>Steinhof</v>
      </c>
    </row>
    <row r="2642">
      <c r="A2642" t="str">
        <f>IFERROR(__xludf.DUMMYFUNCTION("""COMPUTED_VALUE"""),"C-025")</f>
        <v>C-025</v>
      </c>
      <c r="B2642" s="226" t="str">
        <f>IFERROR(__xludf.DUMMYFUNCTION("""COMPUTED_VALUE"""),"5907615802003")</f>
        <v>5907615802003</v>
      </c>
      <c r="C2642" t="str">
        <f>IFERROR(__xludf.DUMMYFUNCTION("""COMPUTED_VALUE"""),"Steinhof")</f>
        <v>Steinhof</v>
      </c>
    </row>
    <row r="2643">
      <c r="A2643" t="str">
        <f>IFERROR(__xludf.DUMMYFUNCTION("""COMPUTED_VALUE"""),"C-025")</f>
        <v>C-025</v>
      </c>
      <c r="B2643" s="226" t="str">
        <f>IFERROR(__xludf.DUMMYFUNCTION("""COMPUTED_VALUE"""),"5907615802003")</f>
        <v>5907615802003</v>
      </c>
      <c r="C2643" t="str">
        <f>IFERROR(__xludf.DUMMYFUNCTION("""COMPUTED_VALUE"""),"Steinhof")</f>
        <v>Steinhof</v>
      </c>
    </row>
    <row r="2644">
      <c r="A2644" t="str">
        <f>IFERROR(__xludf.DUMMYFUNCTION("""COMPUTED_VALUE"""),"C-026")</f>
        <v>C-026</v>
      </c>
      <c r="B2644" s="226" t="str">
        <f>IFERROR(__xludf.DUMMYFUNCTION("""COMPUTED_VALUE"""),"5907615802010")</f>
        <v>5907615802010</v>
      </c>
      <c r="C2644" t="str">
        <f>IFERROR(__xludf.DUMMYFUNCTION("""COMPUTED_VALUE"""),"Steinhof")</f>
        <v>Steinhof</v>
      </c>
    </row>
    <row r="2645">
      <c r="A2645" t="str">
        <f>IFERROR(__xludf.DUMMYFUNCTION("""COMPUTED_VALUE"""),"C-026")</f>
        <v>C-026</v>
      </c>
      <c r="B2645" s="226" t="str">
        <f>IFERROR(__xludf.DUMMYFUNCTION("""COMPUTED_VALUE"""),"5907615802010")</f>
        <v>5907615802010</v>
      </c>
      <c r="C2645" t="str">
        <f>IFERROR(__xludf.DUMMYFUNCTION("""COMPUTED_VALUE"""),"Steinhof")</f>
        <v>Steinhof</v>
      </c>
    </row>
    <row r="2646">
      <c r="A2646" t="str">
        <f>IFERROR(__xludf.DUMMYFUNCTION("""COMPUTED_VALUE"""),"C-026")</f>
        <v>C-026</v>
      </c>
      <c r="B2646" s="226" t="str">
        <f>IFERROR(__xludf.DUMMYFUNCTION("""COMPUTED_VALUE"""),"5907615802010")</f>
        <v>5907615802010</v>
      </c>
      <c r="C2646" t="str">
        <f>IFERROR(__xludf.DUMMYFUNCTION("""COMPUTED_VALUE"""),"Steinhof")</f>
        <v>Steinhof</v>
      </c>
    </row>
    <row r="2647">
      <c r="A2647" t="str">
        <f>IFERROR(__xludf.DUMMYFUNCTION("""COMPUTED_VALUE"""),"C-026")</f>
        <v>C-026</v>
      </c>
      <c r="B2647" s="226" t="str">
        <f>IFERROR(__xludf.DUMMYFUNCTION("""COMPUTED_VALUE"""),"5907615802010")</f>
        <v>5907615802010</v>
      </c>
      <c r="C2647" t="str">
        <f>IFERROR(__xludf.DUMMYFUNCTION("""COMPUTED_VALUE"""),"Steinhof")</f>
        <v>Steinhof</v>
      </c>
    </row>
    <row r="2648">
      <c r="A2648" t="str">
        <f>IFERROR(__xludf.DUMMYFUNCTION("""COMPUTED_VALUE"""),"C-026")</f>
        <v>C-026</v>
      </c>
      <c r="B2648" s="226" t="str">
        <f>IFERROR(__xludf.DUMMYFUNCTION("""COMPUTED_VALUE"""),"5907615802010")</f>
        <v>5907615802010</v>
      </c>
      <c r="C2648" t="str">
        <f>IFERROR(__xludf.DUMMYFUNCTION("""COMPUTED_VALUE"""),"Steinhof")</f>
        <v>Steinhof</v>
      </c>
    </row>
    <row r="2649">
      <c r="A2649" t="str">
        <f>IFERROR(__xludf.DUMMYFUNCTION("""COMPUTED_VALUE"""),"C-026")</f>
        <v>C-026</v>
      </c>
      <c r="B2649" s="226" t="str">
        <f>IFERROR(__xludf.DUMMYFUNCTION("""COMPUTED_VALUE"""),"5907615802010")</f>
        <v>5907615802010</v>
      </c>
      <c r="C2649" t="str">
        <f>IFERROR(__xludf.DUMMYFUNCTION("""COMPUTED_VALUE"""),"Steinhof")</f>
        <v>Steinhof</v>
      </c>
    </row>
    <row r="2650">
      <c r="A2650" t="str">
        <f>IFERROR(__xludf.DUMMYFUNCTION("""COMPUTED_VALUE"""),"C-026")</f>
        <v>C-026</v>
      </c>
      <c r="B2650" s="226" t="str">
        <f>IFERROR(__xludf.DUMMYFUNCTION("""COMPUTED_VALUE"""),"5907615802010")</f>
        <v>5907615802010</v>
      </c>
      <c r="C2650" t="str">
        <f>IFERROR(__xludf.DUMMYFUNCTION("""COMPUTED_VALUE"""),"Steinhof")</f>
        <v>Steinhof</v>
      </c>
    </row>
    <row r="2651">
      <c r="A2651" t="str">
        <f>IFERROR(__xludf.DUMMYFUNCTION("""COMPUTED_VALUE"""),"C-026")</f>
        <v>C-026</v>
      </c>
      <c r="B2651" s="226" t="str">
        <f>IFERROR(__xludf.DUMMYFUNCTION("""COMPUTED_VALUE"""),"5907615802010")</f>
        <v>5907615802010</v>
      </c>
      <c r="C2651" t="str">
        <f>IFERROR(__xludf.DUMMYFUNCTION("""COMPUTED_VALUE"""),"Steinhof")</f>
        <v>Steinhof</v>
      </c>
    </row>
    <row r="2652">
      <c r="A2652" t="str">
        <f>IFERROR(__xludf.DUMMYFUNCTION("""COMPUTED_VALUE"""),"C-026")</f>
        <v>C-026</v>
      </c>
      <c r="B2652" s="226" t="str">
        <f>IFERROR(__xludf.DUMMYFUNCTION("""COMPUTED_VALUE"""),"5907615802010")</f>
        <v>5907615802010</v>
      </c>
      <c r="C2652" t="str">
        <f>IFERROR(__xludf.DUMMYFUNCTION("""COMPUTED_VALUE"""),"Steinhof")</f>
        <v>Steinhof</v>
      </c>
    </row>
    <row r="2653">
      <c r="A2653" t="str">
        <f>IFERROR(__xludf.DUMMYFUNCTION("""COMPUTED_VALUE"""),"C-026")</f>
        <v>C-026</v>
      </c>
      <c r="B2653" s="226" t="str">
        <f>IFERROR(__xludf.DUMMYFUNCTION("""COMPUTED_VALUE"""),"5907615802010")</f>
        <v>5907615802010</v>
      </c>
      <c r="C2653" t="str">
        <f>IFERROR(__xludf.DUMMYFUNCTION("""COMPUTED_VALUE"""),"Steinhof")</f>
        <v>Steinhof</v>
      </c>
    </row>
    <row r="2654">
      <c r="A2654" t="str">
        <f>IFERROR(__xludf.DUMMYFUNCTION("""COMPUTED_VALUE"""),"C-027")</f>
        <v>C-027</v>
      </c>
      <c r="B2654" s="226" t="str">
        <f>IFERROR(__xludf.DUMMYFUNCTION("""COMPUTED_VALUE"""),"5907615802027")</f>
        <v>5907615802027</v>
      </c>
      <c r="C2654" t="str">
        <f>IFERROR(__xludf.DUMMYFUNCTION("""COMPUTED_VALUE"""),"Steinhof")</f>
        <v>Steinhof</v>
      </c>
    </row>
    <row r="2655">
      <c r="A2655" t="str">
        <f>IFERROR(__xludf.DUMMYFUNCTION("""COMPUTED_VALUE"""),"C-027")</f>
        <v>C-027</v>
      </c>
      <c r="B2655" s="226" t="str">
        <f>IFERROR(__xludf.DUMMYFUNCTION("""COMPUTED_VALUE"""),"5907615802027")</f>
        <v>5907615802027</v>
      </c>
      <c r="C2655" t="str">
        <f>IFERROR(__xludf.DUMMYFUNCTION("""COMPUTED_VALUE"""),"Steinhof")</f>
        <v>Steinhof</v>
      </c>
    </row>
    <row r="2656">
      <c r="A2656" t="str">
        <f>IFERROR(__xludf.DUMMYFUNCTION("""COMPUTED_VALUE"""),"C-027")</f>
        <v>C-027</v>
      </c>
      <c r="B2656" s="226" t="str">
        <f>IFERROR(__xludf.DUMMYFUNCTION("""COMPUTED_VALUE"""),"5907615802027")</f>
        <v>5907615802027</v>
      </c>
      <c r="C2656" t="str">
        <f>IFERROR(__xludf.DUMMYFUNCTION("""COMPUTED_VALUE"""),"Steinhof")</f>
        <v>Steinhof</v>
      </c>
    </row>
    <row r="2657">
      <c r="A2657" t="str">
        <f>IFERROR(__xludf.DUMMYFUNCTION("""COMPUTED_VALUE"""),"C-027")</f>
        <v>C-027</v>
      </c>
      <c r="B2657" s="226" t="str">
        <f>IFERROR(__xludf.DUMMYFUNCTION("""COMPUTED_VALUE"""),"5907615802027")</f>
        <v>5907615802027</v>
      </c>
      <c r="C2657" t="str">
        <f>IFERROR(__xludf.DUMMYFUNCTION("""COMPUTED_VALUE"""),"Steinhof")</f>
        <v>Steinhof</v>
      </c>
    </row>
    <row r="2658">
      <c r="A2658" t="str">
        <f>IFERROR(__xludf.DUMMYFUNCTION("""COMPUTED_VALUE"""),"C-022/1")</f>
        <v>C-022/1</v>
      </c>
      <c r="B2658" s="226" t="str">
        <f>IFERROR(__xludf.DUMMYFUNCTION("""COMPUTED_VALUE"""),"5907615802041")</f>
        <v>5907615802041</v>
      </c>
      <c r="C2658" t="str">
        <f>IFERROR(__xludf.DUMMYFUNCTION("""COMPUTED_VALUE"""),"Steinhof")</f>
        <v>Steinhof</v>
      </c>
    </row>
    <row r="2659">
      <c r="A2659" t="str">
        <f>IFERROR(__xludf.DUMMYFUNCTION("""COMPUTED_VALUE"""),"C-022/1")</f>
        <v>C-022/1</v>
      </c>
      <c r="B2659" s="226" t="str">
        <f>IFERROR(__xludf.DUMMYFUNCTION("""COMPUTED_VALUE"""),"5907615802041")</f>
        <v>5907615802041</v>
      </c>
      <c r="C2659" t="str">
        <f>IFERROR(__xludf.DUMMYFUNCTION("""COMPUTED_VALUE"""),"Steinhof")</f>
        <v>Steinhof</v>
      </c>
    </row>
    <row r="2660">
      <c r="A2660" t="str">
        <f>IFERROR(__xludf.DUMMYFUNCTION("""COMPUTED_VALUE"""),"C-022/1")</f>
        <v>C-022/1</v>
      </c>
      <c r="B2660" s="226" t="str">
        <f>IFERROR(__xludf.DUMMYFUNCTION("""COMPUTED_VALUE"""),"5907615802041")</f>
        <v>5907615802041</v>
      </c>
      <c r="C2660" t="str">
        <f>IFERROR(__xludf.DUMMYFUNCTION("""COMPUTED_VALUE"""),"Steinhof")</f>
        <v>Steinhof</v>
      </c>
    </row>
    <row r="2661">
      <c r="A2661" t="str">
        <f>IFERROR(__xludf.DUMMYFUNCTION("""COMPUTED_VALUE"""),"C-022/1")</f>
        <v>C-022/1</v>
      </c>
      <c r="B2661" s="226" t="str">
        <f>IFERROR(__xludf.DUMMYFUNCTION("""COMPUTED_VALUE"""),"5907615802041")</f>
        <v>5907615802041</v>
      </c>
      <c r="C2661" t="str">
        <f>IFERROR(__xludf.DUMMYFUNCTION("""COMPUTED_VALUE"""),"Steinhof")</f>
        <v>Steinhof</v>
      </c>
    </row>
    <row r="2662">
      <c r="A2662" t="str">
        <f>IFERROR(__xludf.DUMMYFUNCTION("""COMPUTED_VALUE"""),"C-013")</f>
        <v>C-013</v>
      </c>
      <c r="B2662" s="226" t="str">
        <f>IFERROR(__xludf.DUMMYFUNCTION("""COMPUTED_VALUE"""),"5907615802065")</f>
        <v>5907615802065</v>
      </c>
      <c r="C2662" t="str">
        <f>IFERROR(__xludf.DUMMYFUNCTION("""COMPUTED_VALUE"""),"Steinhof")</f>
        <v>Steinhof</v>
      </c>
    </row>
    <row r="2663">
      <c r="A2663" t="str">
        <f>IFERROR(__xludf.DUMMYFUNCTION("""COMPUTED_VALUE"""),"C-013")</f>
        <v>C-013</v>
      </c>
      <c r="B2663" s="226" t="str">
        <f>IFERROR(__xludf.DUMMYFUNCTION("""COMPUTED_VALUE"""),"5907615802065")</f>
        <v>5907615802065</v>
      </c>
      <c r="C2663" t="str">
        <f>IFERROR(__xludf.DUMMYFUNCTION("""COMPUTED_VALUE"""),"Steinhof")</f>
        <v>Steinhof</v>
      </c>
    </row>
    <row r="2664">
      <c r="A2664" t="str">
        <f>IFERROR(__xludf.DUMMYFUNCTION("""COMPUTED_VALUE"""),"C-032")</f>
        <v>C-032</v>
      </c>
      <c r="B2664" s="226" t="str">
        <f>IFERROR(__xludf.DUMMYFUNCTION("""COMPUTED_VALUE"""),"5907615802072")</f>
        <v>5907615802072</v>
      </c>
      <c r="C2664" t="str">
        <f>IFERROR(__xludf.DUMMYFUNCTION("""COMPUTED_VALUE"""),"Steinhof")</f>
        <v>Steinhof</v>
      </c>
    </row>
    <row r="2665">
      <c r="A2665" t="str">
        <f>IFERROR(__xludf.DUMMYFUNCTION("""COMPUTED_VALUE"""),"C-032")</f>
        <v>C-032</v>
      </c>
      <c r="B2665" s="226" t="str">
        <f>IFERROR(__xludf.DUMMYFUNCTION("""COMPUTED_VALUE"""),"5907615802072")</f>
        <v>5907615802072</v>
      </c>
      <c r="C2665" t="str">
        <f>IFERROR(__xludf.DUMMYFUNCTION("""COMPUTED_VALUE"""),"Steinhof")</f>
        <v>Steinhof</v>
      </c>
    </row>
    <row r="2666">
      <c r="A2666" t="str">
        <f>IFERROR(__xludf.DUMMYFUNCTION("""COMPUTED_VALUE"""),"C-033")</f>
        <v>C-033</v>
      </c>
      <c r="B2666" s="226" t="str">
        <f>IFERROR(__xludf.DUMMYFUNCTION("""COMPUTED_VALUE"""),"5907615802089")</f>
        <v>5907615802089</v>
      </c>
      <c r="C2666" t="str">
        <f>IFERROR(__xludf.DUMMYFUNCTION("""COMPUTED_VALUE"""),"Steinhof")</f>
        <v>Steinhof</v>
      </c>
    </row>
    <row r="2667">
      <c r="A2667" t="str">
        <f>IFERROR(__xludf.DUMMYFUNCTION("""COMPUTED_VALUE"""),"C-033")</f>
        <v>C-033</v>
      </c>
      <c r="B2667" s="226" t="str">
        <f>IFERROR(__xludf.DUMMYFUNCTION("""COMPUTED_VALUE"""),"5907615802089")</f>
        <v>5907615802089</v>
      </c>
      <c r="C2667" t="str">
        <f>IFERROR(__xludf.DUMMYFUNCTION("""COMPUTED_VALUE"""),"Steinhof")</f>
        <v>Steinhof</v>
      </c>
    </row>
    <row r="2668">
      <c r="A2668" t="str">
        <f>IFERROR(__xludf.DUMMYFUNCTION("""COMPUTED_VALUE"""),"C-029")</f>
        <v>C-029</v>
      </c>
      <c r="B2668" s="226" t="str">
        <f>IFERROR(__xludf.DUMMYFUNCTION("""COMPUTED_VALUE"""),"5907615802096")</f>
        <v>5907615802096</v>
      </c>
      <c r="C2668" t="str">
        <f>IFERROR(__xludf.DUMMYFUNCTION("""COMPUTED_VALUE"""),"Steinhof")</f>
        <v>Steinhof</v>
      </c>
    </row>
    <row r="2669">
      <c r="A2669" t="str">
        <f>IFERROR(__xludf.DUMMYFUNCTION("""COMPUTED_VALUE"""),"C-029")</f>
        <v>C-029</v>
      </c>
      <c r="B2669" s="226" t="str">
        <f>IFERROR(__xludf.DUMMYFUNCTION("""COMPUTED_VALUE"""),"5907615802096")</f>
        <v>5907615802096</v>
      </c>
      <c r="C2669" t="str">
        <f>IFERROR(__xludf.DUMMYFUNCTION("""COMPUTED_VALUE"""),"Steinhof")</f>
        <v>Steinhof</v>
      </c>
    </row>
    <row r="2670">
      <c r="A2670" t="str">
        <f>IFERROR(__xludf.DUMMYFUNCTION("""COMPUTED_VALUE"""),"C-029")</f>
        <v>C-029</v>
      </c>
      <c r="B2670" s="226" t="str">
        <f>IFERROR(__xludf.DUMMYFUNCTION("""COMPUTED_VALUE"""),"5907615802096")</f>
        <v>5907615802096</v>
      </c>
      <c r="C2670" t="str">
        <f>IFERROR(__xludf.DUMMYFUNCTION("""COMPUTED_VALUE"""),"Steinhof")</f>
        <v>Steinhof</v>
      </c>
    </row>
    <row r="2671">
      <c r="A2671" t="str">
        <f>IFERROR(__xludf.DUMMYFUNCTION("""COMPUTED_VALUE"""),"C-029")</f>
        <v>C-029</v>
      </c>
      <c r="B2671" s="226" t="str">
        <f>IFERROR(__xludf.DUMMYFUNCTION("""COMPUTED_VALUE"""),"5907615802096")</f>
        <v>5907615802096</v>
      </c>
      <c r="C2671" t="str">
        <f>IFERROR(__xludf.DUMMYFUNCTION("""COMPUTED_VALUE"""),"Steinhof")</f>
        <v>Steinhof</v>
      </c>
    </row>
    <row r="2672">
      <c r="A2672" t="str">
        <f>IFERROR(__xludf.DUMMYFUNCTION("""COMPUTED_VALUE"""),"C-029")</f>
        <v>C-029</v>
      </c>
      <c r="B2672" s="226" t="str">
        <f>IFERROR(__xludf.DUMMYFUNCTION("""COMPUTED_VALUE"""),"5907615802096")</f>
        <v>5907615802096</v>
      </c>
      <c r="C2672" t="str">
        <f>IFERROR(__xludf.DUMMYFUNCTION("""COMPUTED_VALUE"""),"Steinhof")</f>
        <v>Steinhof</v>
      </c>
    </row>
    <row r="2673">
      <c r="A2673" t="str">
        <f>IFERROR(__xludf.DUMMYFUNCTION("""COMPUTED_VALUE"""),"C-029")</f>
        <v>C-029</v>
      </c>
      <c r="B2673" s="226" t="str">
        <f>IFERROR(__xludf.DUMMYFUNCTION("""COMPUTED_VALUE"""),"5907615802096")</f>
        <v>5907615802096</v>
      </c>
      <c r="C2673" t="str">
        <f>IFERROR(__xludf.DUMMYFUNCTION("""COMPUTED_VALUE"""),"Steinhof")</f>
        <v>Steinhof</v>
      </c>
    </row>
    <row r="2674">
      <c r="A2674" t="str">
        <f>IFERROR(__xludf.DUMMYFUNCTION("""COMPUTED_VALUE"""),"C-029")</f>
        <v>C-029</v>
      </c>
      <c r="B2674" s="226" t="str">
        <f>IFERROR(__xludf.DUMMYFUNCTION("""COMPUTED_VALUE"""),"5907615802096")</f>
        <v>5907615802096</v>
      </c>
      <c r="C2674" t="str">
        <f>IFERROR(__xludf.DUMMYFUNCTION("""COMPUTED_VALUE"""),"Steinhof")</f>
        <v>Steinhof</v>
      </c>
    </row>
    <row r="2675">
      <c r="A2675" t="str">
        <f>IFERROR(__xludf.DUMMYFUNCTION("""COMPUTED_VALUE"""),"C-029")</f>
        <v>C-029</v>
      </c>
      <c r="B2675" s="226" t="str">
        <f>IFERROR(__xludf.DUMMYFUNCTION("""COMPUTED_VALUE"""),"5907615802096")</f>
        <v>5907615802096</v>
      </c>
      <c r="C2675" t="str">
        <f>IFERROR(__xludf.DUMMYFUNCTION("""COMPUTED_VALUE"""),"Steinhof")</f>
        <v>Steinhof</v>
      </c>
    </row>
    <row r="2676">
      <c r="A2676" t="str">
        <f>IFERROR(__xludf.DUMMYFUNCTION("""COMPUTED_VALUE"""),"C-029")</f>
        <v>C-029</v>
      </c>
      <c r="B2676" s="226" t="str">
        <f>IFERROR(__xludf.DUMMYFUNCTION("""COMPUTED_VALUE"""),"5907615802096")</f>
        <v>5907615802096</v>
      </c>
      <c r="C2676" t="str">
        <f>IFERROR(__xludf.DUMMYFUNCTION("""COMPUTED_VALUE"""),"Steinhof")</f>
        <v>Steinhof</v>
      </c>
    </row>
    <row r="2677">
      <c r="A2677" t="str">
        <f>IFERROR(__xludf.DUMMYFUNCTION("""COMPUTED_VALUE"""),"C-029")</f>
        <v>C-029</v>
      </c>
      <c r="B2677" s="226" t="str">
        <f>IFERROR(__xludf.DUMMYFUNCTION("""COMPUTED_VALUE"""),"5907615802096")</f>
        <v>5907615802096</v>
      </c>
      <c r="C2677" t="str">
        <f>IFERROR(__xludf.DUMMYFUNCTION("""COMPUTED_VALUE"""),"Steinhof")</f>
        <v>Steinhof</v>
      </c>
    </row>
    <row r="2678">
      <c r="A2678" t="str">
        <f>IFERROR(__xludf.DUMMYFUNCTION("""COMPUTED_VALUE"""),"C-035")</f>
        <v>C-035</v>
      </c>
      <c r="B2678" s="226" t="str">
        <f>IFERROR(__xludf.DUMMYFUNCTION("""COMPUTED_VALUE"""),"5907615802102")</f>
        <v>5907615802102</v>
      </c>
      <c r="C2678" t="str">
        <f>IFERROR(__xludf.DUMMYFUNCTION("""COMPUTED_VALUE"""),"Steinhof")</f>
        <v>Steinhof</v>
      </c>
    </row>
    <row r="2679">
      <c r="A2679" t="str">
        <f>IFERROR(__xludf.DUMMYFUNCTION("""COMPUTED_VALUE"""),"C-035")</f>
        <v>C-035</v>
      </c>
      <c r="B2679" s="226" t="str">
        <f>IFERROR(__xludf.DUMMYFUNCTION("""COMPUTED_VALUE"""),"5907615802102")</f>
        <v>5907615802102</v>
      </c>
      <c r="C2679" t="str">
        <f>IFERROR(__xludf.DUMMYFUNCTION("""COMPUTED_VALUE"""),"Steinhof")</f>
        <v>Steinhof</v>
      </c>
    </row>
    <row r="2680">
      <c r="A2680" t="str">
        <f>IFERROR(__xludf.DUMMYFUNCTION("""COMPUTED_VALUE"""),"C-036")</f>
        <v>C-036</v>
      </c>
      <c r="B2680" s="226" t="str">
        <f>IFERROR(__xludf.DUMMYFUNCTION("""COMPUTED_VALUE"""),"5907615802119")</f>
        <v>5907615802119</v>
      </c>
      <c r="C2680" t="str">
        <f>IFERROR(__xludf.DUMMYFUNCTION("""COMPUTED_VALUE"""),"Steinhof")</f>
        <v>Steinhof</v>
      </c>
    </row>
    <row r="2681">
      <c r="A2681" t="str">
        <f>IFERROR(__xludf.DUMMYFUNCTION("""COMPUTED_VALUE"""),"C-036")</f>
        <v>C-036</v>
      </c>
      <c r="B2681" s="226" t="str">
        <f>IFERROR(__xludf.DUMMYFUNCTION("""COMPUTED_VALUE"""),"5907615802119")</f>
        <v>5907615802119</v>
      </c>
      <c r="C2681" t="str">
        <f>IFERROR(__xludf.DUMMYFUNCTION("""COMPUTED_VALUE"""),"Steinhof")</f>
        <v>Steinhof</v>
      </c>
    </row>
    <row r="2682">
      <c r="A2682" t="str">
        <f>IFERROR(__xludf.DUMMYFUNCTION("""COMPUTED_VALUE"""),"C-037")</f>
        <v>C-037</v>
      </c>
      <c r="B2682" s="226" t="str">
        <f>IFERROR(__xludf.DUMMYFUNCTION("""COMPUTED_VALUE"""),"5907615802126")</f>
        <v>5907615802126</v>
      </c>
      <c r="C2682" t="str">
        <f>IFERROR(__xludf.DUMMYFUNCTION("""COMPUTED_VALUE"""),"Steinhof")</f>
        <v>Steinhof</v>
      </c>
    </row>
    <row r="2683">
      <c r="A2683" t="str">
        <f>IFERROR(__xludf.DUMMYFUNCTION("""COMPUTED_VALUE"""),"C-037")</f>
        <v>C-037</v>
      </c>
      <c r="B2683" s="226" t="str">
        <f>IFERROR(__xludf.DUMMYFUNCTION("""COMPUTED_VALUE"""),"5907615802126")</f>
        <v>5907615802126</v>
      </c>
      <c r="C2683" t="str">
        <f>IFERROR(__xludf.DUMMYFUNCTION("""COMPUTED_VALUE"""),"Steinhof")</f>
        <v>Steinhof</v>
      </c>
    </row>
    <row r="2684">
      <c r="A2684" t="str">
        <f>IFERROR(__xludf.DUMMYFUNCTION("""COMPUTED_VALUE"""),"C-038")</f>
        <v>C-038</v>
      </c>
      <c r="B2684" s="226" t="str">
        <f>IFERROR(__xludf.DUMMYFUNCTION("""COMPUTED_VALUE"""),"5907615802133")</f>
        <v>5907615802133</v>
      </c>
      <c r="C2684" t="str">
        <f>IFERROR(__xludf.DUMMYFUNCTION("""COMPUTED_VALUE"""),"Steinhof")</f>
        <v>Steinhof</v>
      </c>
    </row>
    <row r="2685">
      <c r="A2685" t="str">
        <f>IFERROR(__xludf.DUMMYFUNCTION("""COMPUTED_VALUE"""),"C-038")</f>
        <v>C-038</v>
      </c>
      <c r="B2685" s="226" t="str">
        <f>IFERROR(__xludf.DUMMYFUNCTION("""COMPUTED_VALUE"""),"5907615802133")</f>
        <v>5907615802133</v>
      </c>
      <c r="C2685" t="str">
        <f>IFERROR(__xludf.DUMMYFUNCTION("""COMPUTED_VALUE"""),"Steinhof")</f>
        <v>Steinhof</v>
      </c>
    </row>
    <row r="2686">
      <c r="A2686" t="str">
        <f>IFERROR(__xludf.DUMMYFUNCTION("""COMPUTED_VALUE"""),"C-031")</f>
        <v>C-031</v>
      </c>
      <c r="B2686" s="226" t="str">
        <f>IFERROR(__xludf.DUMMYFUNCTION("""COMPUTED_VALUE"""),"5907615802140")</f>
        <v>5907615802140</v>
      </c>
      <c r="C2686" t="str">
        <f>IFERROR(__xludf.DUMMYFUNCTION("""COMPUTED_VALUE"""),"Steinhof")</f>
        <v>Steinhof</v>
      </c>
    </row>
    <row r="2687">
      <c r="A2687" t="str">
        <f>IFERROR(__xludf.DUMMYFUNCTION("""COMPUTED_VALUE"""),"C-031")</f>
        <v>C-031</v>
      </c>
      <c r="B2687" s="226" t="str">
        <f>IFERROR(__xludf.DUMMYFUNCTION("""COMPUTED_VALUE"""),"5907615802140")</f>
        <v>5907615802140</v>
      </c>
      <c r="C2687" t="str">
        <f>IFERROR(__xludf.DUMMYFUNCTION("""COMPUTED_VALUE"""),"Steinhof")</f>
        <v>Steinhof</v>
      </c>
    </row>
    <row r="2688">
      <c r="A2688" t="str">
        <f>IFERROR(__xludf.DUMMYFUNCTION("""COMPUTED_VALUE"""),"C-031")</f>
        <v>C-031</v>
      </c>
      <c r="B2688" s="226" t="str">
        <f>IFERROR(__xludf.DUMMYFUNCTION("""COMPUTED_VALUE"""),"5907615802140")</f>
        <v>5907615802140</v>
      </c>
      <c r="C2688" t="str">
        <f>IFERROR(__xludf.DUMMYFUNCTION("""COMPUTED_VALUE"""),"Steinhof")</f>
        <v>Steinhof</v>
      </c>
    </row>
    <row r="2689">
      <c r="A2689" t="str">
        <f>IFERROR(__xludf.DUMMYFUNCTION("""COMPUTED_VALUE"""),"C-031")</f>
        <v>C-031</v>
      </c>
      <c r="B2689" s="226" t="str">
        <f>IFERROR(__xludf.DUMMYFUNCTION("""COMPUTED_VALUE"""),"5907615802140")</f>
        <v>5907615802140</v>
      </c>
      <c r="C2689" t="str">
        <f>IFERROR(__xludf.DUMMYFUNCTION("""COMPUTED_VALUE"""),"Steinhof")</f>
        <v>Steinhof</v>
      </c>
    </row>
    <row r="2690">
      <c r="A2690" t="str">
        <f>IFERROR(__xludf.DUMMYFUNCTION("""COMPUTED_VALUE"""),"C-040")</f>
        <v>C-040</v>
      </c>
      <c r="B2690" s="226" t="str">
        <f>IFERROR(__xludf.DUMMYFUNCTION("""COMPUTED_VALUE"""),"5907615802157")</f>
        <v>5907615802157</v>
      </c>
      <c r="C2690" t="str">
        <f>IFERROR(__xludf.DUMMYFUNCTION("""COMPUTED_VALUE"""),"Steinhof")</f>
        <v>Steinhof</v>
      </c>
    </row>
    <row r="2691">
      <c r="A2691" t="str">
        <f>IFERROR(__xludf.DUMMYFUNCTION("""COMPUTED_VALUE"""),"C-040")</f>
        <v>C-040</v>
      </c>
      <c r="B2691" s="226" t="str">
        <f>IFERROR(__xludf.DUMMYFUNCTION("""COMPUTED_VALUE"""),"5907615802157")</f>
        <v>5907615802157</v>
      </c>
      <c r="C2691" t="str">
        <f>IFERROR(__xludf.DUMMYFUNCTION("""COMPUTED_VALUE"""),"Steinhof")</f>
        <v>Steinhof</v>
      </c>
    </row>
    <row r="2692">
      <c r="A2692" t="str">
        <f>IFERROR(__xludf.DUMMYFUNCTION("""COMPUTED_VALUE"""),"C-041")</f>
        <v>C-041</v>
      </c>
      <c r="B2692" s="226" t="str">
        <f>IFERROR(__xludf.DUMMYFUNCTION("""COMPUTED_VALUE"""),"5907615802164")</f>
        <v>5907615802164</v>
      </c>
      <c r="C2692" t="str">
        <f>IFERROR(__xludf.DUMMYFUNCTION("""COMPUTED_VALUE"""),"Steinhof")</f>
        <v>Steinhof</v>
      </c>
    </row>
    <row r="2693">
      <c r="A2693" t="str">
        <f>IFERROR(__xludf.DUMMYFUNCTION("""COMPUTED_VALUE"""),"C-041")</f>
        <v>C-041</v>
      </c>
      <c r="B2693" s="226" t="str">
        <f>IFERROR(__xludf.DUMMYFUNCTION("""COMPUTED_VALUE"""),"5907615802164")</f>
        <v>5907615802164</v>
      </c>
      <c r="C2693" t="str">
        <f>IFERROR(__xludf.DUMMYFUNCTION("""COMPUTED_VALUE"""),"Steinhof")</f>
        <v>Steinhof</v>
      </c>
    </row>
    <row r="2694">
      <c r="A2694" t="str">
        <f>IFERROR(__xludf.DUMMYFUNCTION("""COMPUTED_VALUE"""),"C-041")</f>
        <v>C-041</v>
      </c>
      <c r="B2694" s="226" t="str">
        <f>IFERROR(__xludf.DUMMYFUNCTION("""COMPUTED_VALUE"""),"5907615802164")</f>
        <v>5907615802164</v>
      </c>
      <c r="C2694" t="str">
        <f>IFERROR(__xludf.DUMMYFUNCTION("""COMPUTED_VALUE"""),"Steinhof")</f>
        <v>Steinhof</v>
      </c>
    </row>
    <row r="2695">
      <c r="A2695" t="str">
        <f>IFERROR(__xludf.DUMMYFUNCTION("""COMPUTED_VALUE"""),"C-041")</f>
        <v>C-041</v>
      </c>
      <c r="B2695" s="226" t="str">
        <f>IFERROR(__xludf.DUMMYFUNCTION("""COMPUTED_VALUE"""),"5907615802164")</f>
        <v>5907615802164</v>
      </c>
      <c r="C2695" t="str">
        <f>IFERROR(__xludf.DUMMYFUNCTION("""COMPUTED_VALUE"""),"Steinhof")</f>
        <v>Steinhof</v>
      </c>
    </row>
    <row r="2696">
      <c r="A2696" t="str">
        <f>IFERROR(__xludf.DUMMYFUNCTION("""COMPUTED_VALUE"""),"C-041")</f>
        <v>C-041</v>
      </c>
      <c r="B2696" s="226" t="str">
        <f>IFERROR(__xludf.DUMMYFUNCTION("""COMPUTED_VALUE"""),"5907615802164")</f>
        <v>5907615802164</v>
      </c>
      <c r="C2696" t="str">
        <f>IFERROR(__xludf.DUMMYFUNCTION("""COMPUTED_VALUE"""),"Steinhof")</f>
        <v>Steinhof</v>
      </c>
    </row>
    <row r="2697">
      <c r="A2697" t="str">
        <f>IFERROR(__xludf.DUMMYFUNCTION("""COMPUTED_VALUE"""),"C-041")</f>
        <v>C-041</v>
      </c>
      <c r="B2697" s="226" t="str">
        <f>IFERROR(__xludf.DUMMYFUNCTION("""COMPUTED_VALUE"""),"5907615802164")</f>
        <v>5907615802164</v>
      </c>
      <c r="C2697" t="str">
        <f>IFERROR(__xludf.DUMMYFUNCTION("""COMPUTED_VALUE"""),"Steinhof")</f>
        <v>Steinhof</v>
      </c>
    </row>
    <row r="2698">
      <c r="A2698" t="str">
        <f>IFERROR(__xludf.DUMMYFUNCTION("""COMPUTED_VALUE"""),"C-041")</f>
        <v>C-041</v>
      </c>
      <c r="B2698" s="226" t="str">
        <f>IFERROR(__xludf.DUMMYFUNCTION("""COMPUTED_VALUE"""),"5907615802164")</f>
        <v>5907615802164</v>
      </c>
      <c r="C2698" t="str">
        <f>IFERROR(__xludf.DUMMYFUNCTION("""COMPUTED_VALUE"""),"Steinhof")</f>
        <v>Steinhof</v>
      </c>
    </row>
    <row r="2699">
      <c r="A2699" t="str">
        <f>IFERROR(__xludf.DUMMYFUNCTION("""COMPUTED_VALUE"""),"C-041")</f>
        <v>C-041</v>
      </c>
      <c r="B2699" s="226" t="str">
        <f>IFERROR(__xludf.DUMMYFUNCTION("""COMPUTED_VALUE"""),"5907615802164")</f>
        <v>5907615802164</v>
      </c>
      <c r="C2699" t="str">
        <f>IFERROR(__xludf.DUMMYFUNCTION("""COMPUTED_VALUE"""),"Steinhof")</f>
        <v>Steinhof</v>
      </c>
    </row>
    <row r="2700">
      <c r="A2700" t="str">
        <f>IFERROR(__xludf.DUMMYFUNCTION("""COMPUTED_VALUE"""),"C-042")</f>
        <v>C-042</v>
      </c>
      <c r="B2700" s="226" t="str">
        <f>IFERROR(__xludf.DUMMYFUNCTION("""COMPUTED_VALUE"""),"5907615802171")</f>
        <v>5907615802171</v>
      </c>
      <c r="C2700" t="str">
        <f>IFERROR(__xludf.DUMMYFUNCTION("""COMPUTED_VALUE"""),"Steinhof")</f>
        <v>Steinhof</v>
      </c>
    </row>
    <row r="2701">
      <c r="A2701" t="str">
        <f>IFERROR(__xludf.DUMMYFUNCTION("""COMPUTED_VALUE"""),"C-042")</f>
        <v>C-042</v>
      </c>
      <c r="B2701" s="226" t="str">
        <f>IFERROR(__xludf.DUMMYFUNCTION("""COMPUTED_VALUE"""),"5907615802171")</f>
        <v>5907615802171</v>
      </c>
      <c r="C2701" t="str">
        <f>IFERROR(__xludf.DUMMYFUNCTION("""COMPUTED_VALUE"""),"Steinhof")</f>
        <v>Steinhof</v>
      </c>
    </row>
    <row r="2702">
      <c r="A2702" t="str">
        <f>IFERROR(__xludf.DUMMYFUNCTION("""COMPUTED_VALUE"""),"C-042")</f>
        <v>C-042</v>
      </c>
      <c r="B2702" s="226" t="str">
        <f>IFERROR(__xludf.DUMMYFUNCTION("""COMPUTED_VALUE"""),"5907615802171")</f>
        <v>5907615802171</v>
      </c>
      <c r="C2702" t="str">
        <f>IFERROR(__xludf.DUMMYFUNCTION("""COMPUTED_VALUE"""),"Steinhof")</f>
        <v>Steinhof</v>
      </c>
    </row>
    <row r="2703">
      <c r="A2703" t="str">
        <f>IFERROR(__xludf.DUMMYFUNCTION("""COMPUTED_VALUE"""),"C-042")</f>
        <v>C-042</v>
      </c>
      <c r="B2703" s="226" t="str">
        <f>IFERROR(__xludf.DUMMYFUNCTION("""COMPUTED_VALUE"""),"5907615802171")</f>
        <v>5907615802171</v>
      </c>
      <c r="C2703" t="str">
        <f>IFERROR(__xludf.DUMMYFUNCTION("""COMPUTED_VALUE"""),"Steinhof")</f>
        <v>Steinhof</v>
      </c>
    </row>
    <row r="2704">
      <c r="A2704" t="str">
        <f>IFERROR(__xludf.DUMMYFUNCTION("""COMPUTED_VALUE"""),"C-042")</f>
        <v>C-042</v>
      </c>
      <c r="B2704" s="226" t="str">
        <f>IFERROR(__xludf.DUMMYFUNCTION("""COMPUTED_VALUE"""),"5907615802171")</f>
        <v>5907615802171</v>
      </c>
      <c r="C2704" t="str">
        <f>IFERROR(__xludf.DUMMYFUNCTION("""COMPUTED_VALUE"""),"Steinhof")</f>
        <v>Steinhof</v>
      </c>
    </row>
    <row r="2705">
      <c r="A2705" t="str">
        <f>IFERROR(__xludf.DUMMYFUNCTION("""COMPUTED_VALUE"""),"C-042")</f>
        <v>C-042</v>
      </c>
      <c r="B2705" s="226" t="str">
        <f>IFERROR(__xludf.DUMMYFUNCTION("""COMPUTED_VALUE"""),"5907615802171")</f>
        <v>5907615802171</v>
      </c>
      <c r="C2705" t="str">
        <f>IFERROR(__xludf.DUMMYFUNCTION("""COMPUTED_VALUE"""),"Steinhof")</f>
        <v>Steinhof</v>
      </c>
    </row>
    <row r="2706">
      <c r="A2706" t="str">
        <f>IFERROR(__xludf.DUMMYFUNCTION("""COMPUTED_VALUE"""),"C-042")</f>
        <v>C-042</v>
      </c>
      <c r="B2706" s="226" t="str">
        <f>IFERROR(__xludf.DUMMYFUNCTION("""COMPUTED_VALUE"""),"5907615802171")</f>
        <v>5907615802171</v>
      </c>
      <c r="C2706" t="str">
        <f>IFERROR(__xludf.DUMMYFUNCTION("""COMPUTED_VALUE"""),"Steinhof")</f>
        <v>Steinhof</v>
      </c>
    </row>
    <row r="2707">
      <c r="A2707" t="str">
        <f>IFERROR(__xludf.DUMMYFUNCTION("""COMPUTED_VALUE"""),"C-042")</f>
        <v>C-042</v>
      </c>
      <c r="B2707" s="226" t="str">
        <f>IFERROR(__xludf.DUMMYFUNCTION("""COMPUTED_VALUE"""),"5907615802171")</f>
        <v>5907615802171</v>
      </c>
      <c r="C2707" t="str">
        <f>IFERROR(__xludf.DUMMYFUNCTION("""COMPUTED_VALUE"""),"Steinhof")</f>
        <v>Steinhof</v>
      </c>
    </row>
    <row r="2708">
      <c r="A2708" t="str">
        <f>IFERROR(__xludf.DUMMYFUNCTION("""COMPUTED_VALUE"""),"C-043")</f>
        <v>C-043</v>
      </c>
      <c r="B2708" s="226" t="str">
        <f>IFERROR(__xludf.DUMMYFUNCTION("""COMPUTED_VALUE"""),"5907615802188")</f>
        <v>5907615802188</v>
      </c>
      <c r="C2708" t="str">
        <f>IFERROR(__xludf.DUMMYFUNCTION("""COMPUTED_VALUE"""),"Steinhof")</f>
        <v>Steinhof</v>
      </c>
    </row>
    <row r="2709">
      <c r="A2709" t="str">
        <f>IFERROR(__xludf.DUMMYFUNCTION("""COMPUTED_VALUE"""),"C-043")</f>
        <v>C-043</v>
      </c>
      <c r="B2709" s="226" t="str">
        <f>IFERROR(__xludf.DUMMYFUNCTION("""COMPUTED_VALUE"""),"5907615802188")</f>
        <v>5907615802188</v>
      </c>
      <c r="C2709" t="str">
        <f>IFERROR(__xludf.DUMMYFUNCTION("""COMPUTED_VALUE"""),"Steinhof")</f>
        <v>Steinhof</v>
      </c>
    </row>
    <row r="2710">
      <c r="A2710" t="str">
        <f>IFERROR(__xludf.DUMMYFUNCTION("""COMPUTED_VALUE"""),"C-044")</f>
        <v>C-044</v>
      </c>
      <c r="B2710" s="226" t="str">
        <f>IFERROR(__xludf.DUMMYFUNCTION("""COMPUTED_VALUE"""),"5907615802195")</f>
        <v>5907615802195</v>
      </c>
      <c r="C2710" t="str">
        <f>IFERROR(__xludf.DUMMYFUNCTION("""COMPUTED_VALUE"""),"Steinhof")</f>
        <v>Steinhof</v>
      </c>
    </row>
    <row r="2711">
      <c r="A2711" t="str">
        <f>IFERROR(__xludf.DUMMYFUNCTION("""COMPUTED_VALUE"""),"C-044")</f>
        <v>C-044</v>
      </c>
      <c r="B2711" s="226" t="str">
        <f>IFERROR(__xludf.DUMMYFUNCTION("""COMPUTED_VALUE"""),"5907615802195")</f>
        <v>5907615802195</v>
      </c>
      <c r="C2711" t="str">
        <f>IFERROR(__xludf.DUMMYFUNCTION("""COMPUTED_VALUE"""),"Steinhof")</f>
        <v>Steinhof</v>
      </c>
    </row>
    <row r="2712">
      <c r="A2712" t="str">
        <f>IFERROR(__xludf.DUMMYFUNCTION("""COMPUTED_VALUE"""),"C-045")</f>
        <v>C-045</v>
      </c>
      <c r="B2712" s="226" t="str">
        <f>IFERROR(__xludf.DUMMYFUNCTION("""COMPUTED_VALUE"""),"5907615802201")</f>
        <v>5907615802201</v>
      </c>
      <c r="C2712" t="str">
        <f>IFERROR(__xludf.DUMMYFUNCTION("""COMPUTED_VALUE"""),"Steinhof")</f>
        <v>Steinhof</v>
      </c>
    </row>
    <row r="2713">
      <c r="A2713" t="str">
        <f>IFERROR(__xludf.DUMMYFUNCTION("""COMPUTED_VALUE"""),"C-045")</f>
        <v>C-045</v>
      </c>
      <c r="B2713" s="226" t="str">
        <f>IFERROR(__xludf.DUMMYFUNCTION("""COMPUTED_VALUE"""),"5907615802201")</f>
        <v>5907615802201</v>
      </c>
      <c r="C2713" t="str">
        <f>IFERROR(__xludf.DUMMYFUNCTION("""COMPUTED_VALUE"""),"Steinhof")</f>
        <v>Steinhof</v>
      </c>
    </row>
    <row r="2714">
      <c r="A2714" t="str">
        <f>IFERROR(__xludf.DUMMYFUNCTION("""COMPUTED_VALUE"""),"C-045")</f>
        <v>C-045</v>
      </c>
      <c r="B2714" s="226" t="str">
        <f>IFERROR(__xludf.DUMMYFUNCTION("""COMPUTED_VALUE"""),"5907615802201")</f>
        <v>5907615802201</v>
      </c>
      <c r="C2714" t="str">
        <f>IFERROR(__xludf.DUMMYFUNCTION("""COMPUTED_VALUE"""),"Steinhof")</f>
        <v>Steinhof</v>
      </c>
    </row>
    <row r="2715">
      <c r="A2715" t="str">
        <f>IFERROR(__xludf.DUMMYFUNCTION("""COMPUTED_VALUE"""),"C-045")</f>
        <v>C-045</v>
      </c>
      <c r="B2715" s="226" t="str">
        <f>IFERROR(__xludf.DUMMYFUNCTION("""COMPUTED_VALUE"""),"5907615802201")</f>
        <v>5907615802201</v>
      </c>
      <c r="C2715" t="str">
        <f>IFERROR(__xludf.DUMMYFUNCTION("""COMPUTED_VALUE"""),"Steinhof")</f>
        <v>Steinhof</v>
      </c>
    </row>
    <row r="2716">
      <c r="A2716" t="str">
        <f>IFERROR(__xludf.DUMMYFUNCTION("""COMPUTED_VALUE"""),"C-105")</f>
        <v>C-105</v>
      </c>
      <c r="B2716" s="226" t="str">
        <f>IFERROR(__xludf.DUMMYFUNCTION("""COMPUTED_VALUE"""),"5907615802218")</f>
        <v>5907615802218</v>
      </c>
      <c r="C2716" t="str">
        <f>IFERROR(__xludf.DUMMYFUNCTION("""COMPUTED_VALUE"""),"Steinhof")</f>
        <v>Steinhof</v>
      </c>
    </row>
    <row r="2717">
      <c r="A2717" t="str">
        <f>IFERROR(__xludf.DUMMYFUNCTION("""COMPUTED_VALUE"""),"C-105")</f>
        <v>C-105</v>
      </c>
      <c r="B2717" s="226" t="str">
        <f>IFERROR(__xludf.DUMMYFUNCTION("""COMPUTED_VALUE"""),"5907615802218")</f>
        <v>5907615802218</v>
      </c>
      <c r="C2717" t="str">
        <f>IFERROR(__xludf.DUMMYFUNCTION("""COMPUTED_VALUE"""),"Steinhof")</f>
        <v>Steinhof</v>
      </c>
    </row>
    <row r="2718">
      <c r="A2718" t="str">
        <f>IFERROR(__xludf.DUMMYFUNCTION("""COMPUTED_VALUE"""),"C-105")</f>
        <v>C-105</v>
      </c>
      <c r="B2718" s="226" t="str">
        <f>IFERROR(__xludf.DUMMYFUNCTION("""COMPUTED_VALUE"""),"5907615802218")</f>
        <v>5907615802218</v>
      </c>
      <c r="C2718" t="str">
        <f>IFERROR(__xludf.DUMMYFUNCTION("""COMPUTED_VALUE"""),"Steinhof")</f>
        <v>Steinhof</v>
      </c>
    </row>
    <row r="2719">
      <c r="A2719" t="str">
        <f>IFERROR(__xludf.DUMMYFUNCTION("""COMPUTED_VALUE"""),"C-105")</f>
        <v>C-105</v>
      </c>
      <c r="B2719" s="226" t="str">
        <f>IFERROR(__xludf.DUMMYFUNCTION("""COMPUTED_VALUE"""),"5907615802218")</f>
        <v>5907615802218</v>
      </c>
      <c r="C2719" t="str">
        <f>IFERROR(__xludf.DUMMYFUNCTION("""COMPUTED_VALUE"""),"Steinhof")</f>
        <v>Steinhof</v>
      </c>
    </row>
    <row r="2720">
      <c r="A2720" t="str">
        <f>IFERROR(__xludf.DUMMYFUNCTION("""COMPUTED_VALUE"""),"C-046")</f>
        <v>C-046</v>
      </c>
      <c r="B2720" s="226" t="str">
        <f>IFERROR(__xludf.DUMMYFUNCTION("""COMPUTED_VALUE"""),"5907615802225")</f>
        <v>5907615802225</v>
      </c>
      <c r="C2720" t="str">
        <f>IFERROR(__xludf.DUMMYFUNCTION("""COMPUTED_VALUE"""),"Steinhof")</f>
        <v>Steinhof</v>
      </c>
    </row>
    <row r="2721">
      <c r="A2721" t="str">
        <f>IFERROR(__xludf.DUMMYFUNCTION("""COMPUTED_VALUE"""),"C-046")</f>
        <v>C-046</v>
      </c>
      <c r="B2721" s="226" t="str">
        <f>IFERROR(__xludf.DUMMYFUNCTION("""COMPUTED_VALUE"""),"5907615802225")</f>
        <v>5907615802225</v>
      </c>
      <c r="C2721" t="str">
        <f>IFERROR(__xludf.DUMMYFUNCTION("""COMPUTED_VALUE"""),"Steinhof")</f>
        <v>Steinhof</v>
      </c>
    </row>
    <row r="2722">
      <c r="A2722" t="str">
        <f>IFERROR(__xludf.DUMMYFUNCTION("""COMPUTED_VALUE"""),"C-046")</f>
        <v>C-046</v>
      </c>
      <c r="B2722" s="226" t="str">
        <f>IFERROR(__xludf.DUMMYFUNCTION("""COMPUTED_VALUE"""),"5907615802225")</f>
        <v>5907615802225</v>
      </c>
      <c r="C2722" t="str">
        <f>IFERROR(__xludf.DUMMYFUNCTION("""COMPUTED_VALUE"""),"Steinhof")</f>
        <v>Steinhof</v>
      </c>
    </row>
    <row r="2723">
      <c r="A2723" t="str">
        <f>IFERROR(__xludf.DUMMYFUNCTION("""COMPUTED_VALUE"""),"C-046")</f>
        <v>C-046</v>
      </c>
      <c r="B2723" s="226" t="str">
        <f>IFERROR(__xludf.DUMMYFUNCTION("""COMPUTED_VALUE"""),"5907615802225")</f>
        <v>5907615802225</v>
      </c>
      <c r="C2723" t="str">
        <f>IFERROR(__xludf.DUMMYFUNCTION("""COMPUTED_VALUE"""),"Steinhof")</f>
        <v>Steinhof</v>
      </c>
    </row>
    <row r="2724">
      <c r="A2724" t="str">
        <f>IFERROR(__xludf.DUMMYFUNCTION("""COMPUTED_VALUE"""),"C-047")</f>
        <v>C-047</v>
      </c>
      <c r="B2724" s="226" t="str">
        <f>IFERROR(__xludf.DUMMYFUNCTION("""COMPUTED_VALUE"""),"5907615802232")</f>
        <v>5907615802232</v>
      </c>
      <c r="C2724" t="str">
        <f>IFERROR(__xludf.DUMMYFUNCTION("""COMPUTED_VALUE"""),"Steinhof")</f>
        <v>Steinhof</v>
      </c>
    </row>
    <row r="2725">
      <c r="A2725" t="str">
        <f>IFERROR(__xludf.DUMMYFUNCTION("""COMPUTED_VALUE"""),"C-047")</f>
        <v>C-047</v>
      </c>
      <c r="B2725" s="226" t="str">
        <f>IFERROR(__xludf.DUMMYFUNCTION("""COMPUTED_VALUE"""),"5907615802232")</f>
        <v>5907615802232</v>
      </c>
      <c r="C2725" t="str">
        <f>IFERROR(__xludf.DUMMYFUNCTION("""COMPUTED_VALUE"""),"Steinhof")</f>
        <v>Steinhof</v>
      </c>
    </row>
    <row r="2726">
      <c r="A2726" t="str">
        <f>IFERROR(__xludf.DUMMYFUNCTION("""COMPUTED_VALUE"""),"C-048")</f>
        <v>C-048</v>
      </c>
      <c r="B2726" s="226" t="str">
        <f>IFERROR(__xludf.DUMMYFUNCTION("""COMPUTED_VALUE"""),"5907615802249")</f>
        <v>5907615802249</v>
      </c>
      <c r="C2726" t="str">
        <f>IFERROR(__xludf.DUMMYFUNCTION("""COMPUTED_VALUE"""),"Steinhof")</f>
        <v>Steinhof</v>
      </c>
    </row>
    <row r="2727">
      <c r="A2727" t="str">
        <f>IFERROR(__xludf.DUMMYFUNCTION("""COMPUTED_VALUE"""),"C-048")</f>
        <v>C-048</v>
      </c>
      <c r="B2727" s="226" t="str">
        <f>IFERROR(__xludf.DUMMYFUNCTION("""COMPUTED_VALUE"""),"5907615802249")</f>
        <v>5907615802249</v>
      </c>
      <c r="C2727" t="str">
        <f>IFERROR(__xludf.DUMMYFUNCTION("""COMPUTED_VALUE"""),"Steinhof")</f>
        <v>Steinhof</v>
      </c>
    </row>
    <row r="2728">
      <c r="A2728" t="str">
        <f>IFERROR(__xludf.DUMMYFUNCTION("""COMPUTED_VALUE"""),"C-049")</f>
        <v>C-049</v>
      </c>
      <c r="B2728" s="226" t="str">
        <f>IFERROR(__xludf.DUMMYFUNCTION("""COMPUTED_VALUE"""),"5907615802256")</f>
        <v>5907615802256</v>
      </c>
      <c r="C2728" t="str">
        <f>IFERROR(__xludf.DUMMYFUNCTION("""COMPUTED_VALUE"""),"Steinhof")</f>
        <v>Steinhof</v>
      </c>
    </row>
    <row r="2729">
      <c r="A2729" t="str">
        <f>IFERROR(__xludf.DUMMYFUNCTION("""COMPUTED_VALUE"""),"C-049")</f>
        <v>C-049</v>
      </c>
      <c r="B2729" s="226" t="str">
        <f>IFERROR(__xludf.DUMMYFUNCTION("""COMPUTED_VALUE"""),"5907615802256")</f>
        <v>5907615802256</v>
      </c>
      <c r="C2729" t="str">
        <f>IFERROR(__xludf.DUMMYFUNCTION("""COMPUTED_VALUE"""),"Steinhof")</f>
        <v>Steinhof</v>
      </c>
    </row>
    <row r="2730">
      <c r="A2730" t="str">
        <f>IFERROR(__xludf.DUMMYFUNCTION("""COMPUTED_VALUE"""),"C-049")</f>
        <v>C-049</v>
      </c>
      <c r="B2730" s="226" t="str">
        <f>IFERROR(__xludf.DUMMYFUNCTION("""COMPUTED_VALUE"""),"5907615802256")</f>
        <v>5907615802256</v>
      </c>
      <c r="C2730" t="str">
        <f>IFERROR(__xludf.DUMMYFUNCTION("""COMPUTED_VALUE"""),"Steinhof")</f>
        <v>Steinhof</v>
      </c>
    </row>
    <row r="2731">
      <c r="A2731" t="str">
        <f>IFERROR(__xludf.DUMMYFUNCTION("""COMPUTED_VALUE"""),"C-049")</f>
        <v>C-049</v>
      </c>
      <c r="B2731" s="226" t="str">
        <f>IFERROR(__xludf.DUMMYFUNCTION("""COMPUTED_VALUE"""),"5907615802256")</f>
        <v>5907615802256</v>
      </c>
      <c r="C2731" t="str">
        <f>IFERROR(__xludf.DUMMYFUNCTION("""COMPUTED_VALUE"""),"Steinhof")</f>
        <v>Steinhof</v>
      </c>
    </row>
    <row r="2732">
      <c r="A2732" t="str">
        <f>IFERROR(__xludf.DUMMYFUNCTION("""COMPUTED_VALUE"""),"C-050")</f>
        <v>C-050</v>
      </c>
      <c r="B2732" s="226" t="str">
        <f>IFERROR(__xludf.DUMMYFUNCTION("""COMPUTED_VALUE"""),"5907615802263")</f>
        <v>5907615802263</v>
      </c>
      <c r="C2732" t="str">
        <f>IFERROR(__xludf.DUMMYFUNCTION("""COMPUTED_VALUE"""),"Steinhof")</f>
        <v>Steinhof</v>
      </c>
    </row>
    <row r="2733">
      <c r="A2733" t="str">
        <f>IFERROR(__xludf.DUMMYFUNCTION("""COMPUTED_VALUE"""),"C-050")</f>
        <v>C-050</v>
      </c>
      <c r="B2733" s="226" t="str">
        <f>IFERROR(__xludf.DUMMYFUNCTION("""COMPUTED_VALUE"""),"5907615802263")</f>
        <v>5907615802263</v>
      </c>
      <c r="C2733" t="str">
        <f>IFERROR(__xludf.DUMMYFUNCTION("""COMPUTED_VALUE"""),"Steinhof")</f>
        <v>Steinhof</v>
      </c>
    </row>
    <row r="2734">
      <c r="A2734" t="str">
        <f>IFERROR(__xludf.DUMMYFUNCTION("""COMPUTED_VALUE"""),"C-050")</f>
        <v>C-050</v>
      </c>
      <c r="B2734" s="226" t="str">
        <f>IFERROR(__xludf.DUMMYFUNCTION("""COMPUTED_VALUE"""),"5907615802263")</f>
        <v>5907615802263</v>
      </c>
      <c r="C2734" t="str">
        <f>IFERROR(__xludf.DUMMYFUNCTION("""COMPUTED_VALUE"""),"Steinhof")</f>
        <v>Steinhof</v>
      </c>
    </row>
    <row r="2735">
      <c r="A2735" t="str">
        <f>IFERROR(__xludf.DUMMYFUNCTION("""COMPUTED_VALUE"""),"C-050")</f>
        <v>C-050</v>
      </c>
      <c r="B2735" s="226" t="str">
        <f>IFERROR(__xludf.DUMMYFUNCTION("""COMPUTED_VALUE"""),"5907615802263")</f>
        <v>5907615802263</v>
      </c>
      <c r="C2735" t="str">
        <f>IFERROR(__xludf.DUMMYFUNCTION("""COMPUTED_VALUE"""),"Steinhof")</f>
        <v>Steinhof</v>
      </c>
    </row>
    <row r="2736">
      <c r="A2736" t="str">
        <f>IFERROR(__xludf.DUMMYFUNCTION("""COMPUTED_VALUE"""),"C-051")</f>
        <v>C-051</v>
      </c>
      <c r="B2736" s="226" t="str">
        <f>IFERROR(__xludf.DUMMYFUNCTION("""COMPUTED_VALUE"""),"5907615802270")</f>
        <v>5907615802270</v>
      </c>
      <c r="C2736" t="str">
        <f>IFERROR(__xludf.DUMMYFUNCTION("""COMPUTED_VALUE"""),"Steinhof")</f>
        <v>Steinhof</v>
      </c>
    </row>
    <row r="2737">
      <c r="A2737" t="str">
        <f>IFERROR(__xludf.DUMMYFUNCTION("""COMPUTED_VALUE"""),"C-051")</f>
        <v>C-051</v>
      </c>
      <c r="B2737" s="226" t="str">
        <f>IFERROR(__xludf.DUMMYFUNCTION("""COMPUTED_VALUE"""),"5907615802270")</f>
        <v>5907615802270</v>
      </c>
      <c r="C2737" t="str">
        <f>IFERROR(__xludf.DUMMYFUNCTION("""COMPUTED_VALUE"""),"Steinhof")</f>
        <v>Steinhof</v>
      </c>
    </row>
    <row r="2738">
      <c r="A2738" t="str">
        <f>IFERROR(__xludf.DUMMYFUNCTION("""COMPUTED_VALUE"""),"C-052")</f>
        <v>C-052</v>
      </c>
      <c r="B2738" s="226" t="str">
        <f>IFERROR(__xludf.DUMMYFUNCTION("""COMPUTED_VALUE"""),"5907615802287")</f>
        <v>5907615802287</v>
      </c>
      <c r="C2738" t="str">
        <f>IFERROR(__xludf.DUMMYFUNCTION("""COMPUTED_VALUE"""),"Steinhof")</f>
        <v>Steinhof</v>
      </c>
    </row>
    <row r="2739">
      <c r="A2739" t="str">
        <f>IFERROR(__xludf.DUMMYFUNCTION("""COMPUTED_VALUE"""),"C-052")</f>
        <v>C-052</v>
      </c>
      <c r="B2739" s="226" t="str">
        <f>IFERROR(__xludf.DUMMYFUNCTION("""COMPUTED_VALUE"""),"5907615802287")</f>
        <v>5907615802287</v>
      </c>
      <c r="C2739" t="str">
        <f>IFERROR(__xludf.DUMMYFUNCTION("""COMPUTED_VALUE"""),"Steinhof")</f>
        <v>Steinhof</v>
      </c>
    </row>
    <row r="2740">
      <c r="A2740" t="str">
        <f>IFERROR(__xludf.DUMMYFUNCTION("""COMPUTED_VALUE"""),"C-053")</f>
        <v>C-053</v>
      </c>
      <c r="B2740" s="226" t="str">
        <f>IFERROR(__xludf.DUMMYFUNCTION("""COMPUTED_VALUE"""),"5907615802294")</f>
        <v>5907615802294</v>
      </c>
      <c r="C2740" t="str">
        <f>IFERROR(__xludf.DUMMYFUNCTION("""COMPUTED_VALUE"""),"Steinhof")</f>
        <v>Steinhof</v>
      </c>
    </row>
    <row r="2741">
      <c r="A2741" t="str">
        <f>IFERROR(__xludf.DUMMYFUNCTION("""COMPUTED_VALUE"""),"C-053")</f>
        <v>C-053</v>
      </c>
      <c r="B2741" s="226" t="str">
        <f>IFERROR(__xludf.DUMMYFUNCTION("""COMPUTED_VALUE"""),"5907615802294")</f>
        <v>5907615802294</v>
      </c>
      <c r="C2741" t="str">
        <f>IFERROR(__xludf.DUMMYFUNCTION("""COMPUTED_VALUE"""),"Steinhof")</f>
        <v>Steinhof</v>
      </c>
    </row>
    <row r="2742">
      <c r="A2742" t="str">
        <f>IFERROR(__xludf.DUMMYFUNCTION("""COMPUTED_VALUE"""),"C-054")</f>
        <v>C-054</v>
      </c>
      <c r="B2742" s="226" t="str">
        <f>IFERROR(__xludf.DUMMYFUNCTION("""COMPUTED_VALUE"""),"5907615802300")</f>
        <v>5907615802300</v>
      </c>
      <c r="C2742" t="str">
        <f>IFERROR(__xludf.DUMMYFUNCTION("""COMPUTED_VALUE"""),"Steinhof")</f>
        <v>Steinhof</v>
      </c>
    </row>
    <row r="2743">
      <c r="A2743" t="str">
        <f>IFERROR(__xludf.DUMMYFUNCTION("""COMPUTED_VALUE"""),"C-054")</f>
        <v>C-054</v>
      </c>
      <c r="B2743" s="226" t="str">
        <f>IFERROR(__xludf.DUMMYFUNCTION("""COMPUTED_VALUE"""),"5907615802300")</f>
        <v>5907615802300</v>
      </c>
      <c r="C2743" t="str">
        <f>IFERROR(__xludf.DUMMYFUNCTION("""COMPUTED_VALUE"""),"Steinhof")</f>
        <v>Steinhof</v>
      </c>
    </row>
    <row r="2744">
      <c r="A2744" t="str">
        <f>IFERROR(__xludf.DUMMYFUNCTION("""COMPUTED_VALUE"""),"C-017")</f>
        <v>C-017</v>
      </c>
      <c r="B2744" s="226" t="str">
        <f>IFERROR(__xludf.DUMMYFUNCTION("""COMPUTED_VALUE"""),"5907615802317")</f>
        <v>5907615802317</v>
      </c>
      <c r="C2744" t="str">
        <f>IFERROR(__xludf.DUMMYFUNCTION("""COMPUTED_VALUE"""),"Steinhof")</f>
        <v>Steinhof</v>
      </c>
    </row>
    <row r="2745">
      <c r="A2745" t="str">
        <f>IFERROR(__xludf.DUMMYFUNCTION("""COMPUTED_VALUE"""),"C-017")</f>
        <v>C-017</v>
      </c>
      <c r="B2745" s="226" t="str">
        <f>IFERROR(__xludf.DUMMYFUNCTION("""COMPUTED_VALUE"""),"5907615802317")</f>
        <v>5907615802317</v>
      </c>
      <c r="C2745" t="str">
        <f>IFERROR(__xludf.DUMMYFUNCTION("""COMPUTED_VALUE"""),"Steinhof")</f>
        <v>Steinhof</v>
      </c>
    </row>
    <row r="2746">
      <c r="A2746" t="str">
        <f>IFERROR(__xludf.DUMMYFUNCTION("""COMPUTED_VALUE"""),"C-017")</f>
        <v>C-017</v>
      </c>
      <c r="B2746" s="226" t="str">
        <f>IFERROR(__xludf.DUMMYFUNCTION("""COMPUTED_VALUE"""),"5907615802317")</f>
        <v>5907615802317</v>
      </c>
      <c r="C2746" t="str">
        <f>IFERROR(__xludf.DUMMYFUNCTION("""COMPUTED_VALUE"""),"Steinhof")</f>
        <v>Steinhof</v>
      </c>
    </row>
    <row r="2747">
      <c r="A2747" t="str">
        <f>IFERROR(__xludf.DUMMYFUNCTION("""COMPUTED_VALUE"""),"C-017")</f>
        <v>C-017</v>
      </c>
      <c r="B2747" s="226" t="str">
        <f>IFERROR(__xludf.DUMMYFUNCTION("""COMPUTED_VALUE"""),"5907615802317")</f>
        <v>5907615802317</v>
      </c>
      <c r="C2747" t="str">
        <f>IFERROR(__xludf.DUMMYFUNCTION("""COMPUTED_VALUE"""),"Steinhof")</f>
        <v>Steinhof</v>
      </c>
    </row>
    <row r="2748">
      <c r="A2748" t="str">
        <f>IFERROR(__xludf.DUMMYFUNCTION("""COMPUTED_VALUE"""),"C-018")</f>
        <v>C-018</v>
      </c>
      <c r="B2748" s="226" t="str">
        <f>IFERROR(__xludf.DUMMYFUNCTION("""COMPUTED_VALUE"""),"5907615802324")</f>
        <v>5907615802324</v>
      </c>
      <c r="C2748" t="str">
        <f>IFERROR(__xludf.DUMMYFUNCTION("""COMPUTED_VALUE"""),"Steinhof")</f>
        <v>Steinhof</v>
      </c>
    </row>
    <row r="2749">
      <c r="A2749" t="str">
        <f>IFERROR(__xludf.DUMMYFUNCTION("""COMPUTED_VALUE"""),"C-018")</f>
        <v>C-018</v>
      </c>
      <c r="B2749" s="226" t="str">
        <f>IFERROR(__xludf.DUMMYFUNCTION("""COMPUTED_VALUE"""),"5907615802324")</f>
        <v>5907615802324</v>
      </c>
      <c r="C2749" t="str">
        <f>IFERROR(__xludf.DUMMYFUNCTION("""COMPUTED_VALUE"""),"Steinhof")</f>
        <v>Steinhof</v>
      </c>
    </row>
    <row r="2750">
      <c r="A2750" t="str">
        <f>IFERROR(__xludf.DUMMYFUNCTION("""COMPUTED_VALUE"""),"C-018")</f>
        <v>C-018</v>
      </c>
      <c r="B2750" s="226" t="str">
        <f>IFERROR(__xludf.DUMMYFUNCTION("""COMPUTED_VALUE"""),"5907615802324")</f>
        <v>5907615802324</v>
      </c>
      <c r="C2750" t="str">
        <f>IFERROR(__xludf.DUMMYFUNCTION("""COMPUTED_VALUE"""),"Steinhof")</f>
        <v>Steinhof</v>
      </c>
    </row>
    <row r="2751">
      <c r="A2751" t="str">
        <f>IFERROR(__xludf.DUMMYFUNCTION("""COMPUTED_VALUE"""),"C-018")</f>
        <v>C-018</v>
      </c>
      <c r="B2751" s="226" t="str">
        <f>IFERROR(__xludf.DUMMYFUNCTION("""COMPUTED_VALUE"""),"5907615802324")</f>
        <v>5907615802324</v>
      </c>
      <c r="C2751" t="str">
        <f>IFERROR(__xludf.DUMMYFUNCTION("""COMPUTED_VALUE"""),"Steinhof")</f>
        <v>Steinhof</v>
      </c>
    </row>
    <row r="2752">
      <c r="A2752" t="str">
        <f>IFERROR(__xludf.DUMMYFUNCTION("""COMPUTED_VALUE"""),"C-055")</f>
        <v>C-055</v>
      </c>
      <c r="B2752" s="226" t="str">
        <f>IFERROR(__xludf.DUMMYFUNCTION("""COMPUTED_VALUE"""),"5907615802331")</f>
        <v>5907615802331</v>
      </c>
      <c r="C2752" t="str">
        <f>IFERROR(__xludf.DUMMYFUNCTION("""COMPUTED_VALUE"""),"Steinhof")</f>
        <v>Steinhof</v>
      </c>
    </row>
    <row r="2753">
      <c r="A2753" t="str">
        <f>IFERROR(__xludf.DUMMYFUNCTION("""COMPUTED_VALUE"""),"C-055")</f>
        <v>C-055</v>
      </c>
      <c r="B2753" s="226" t="str">
        <f>IFERROR(__xludf.DUMMYFUNCTION("""COMPUTED_VALUE"""),"5907615802331")</f>
        <v>5907615802331</v>
      </c>
      <c r="C2753" t="str">
        <f>IFERROR(__xludf.DUMMYFUNCTION("""COMPUTED_VALUE"""),"Steinhof")</f>
        <v>Steinhof</v>
      </c>
    </row>
    <row r="2754">
      <c r="A2754" t="str">
        <f>IFERROR(__xludf.DUMMYFUNCTION("""COMPUTED_VALUE"""),"C-056")</f>
        <v>C-056</v>
      </c>
      <c r="B2754" s="226" t="str">
        <f>IFERROR(__xludf.DUMMYFUNCTION("""COMPUTED_VALUE"""),"5907615802348")</f>
        <v>5907615802348</v>
      </c>
      <c r="C2754" t="str">
        <f>IFERROR(__xludf.DUMMYFUNCTION("""COMPUTED_VALUE"""),"Steinhof")</f>
        <v>Steinhof</v>
      </c>
    </row>
    <row r="2755">
      <c r="A2755" t="str">
        <f>IFERROR(__xludf.DUMMYFUNCTION("""COMPUTED_VALUE"""),"C-056")</f>
        <v>C-056</v>
      </c>
      <c r="B2755" s="226" t="str">
        <f>IFERROR(__xludf.DUMMYFUNCTION("""COMPUTED_VALUE"""),"5907615802348")</f>
        <v>5907615802348</v>
      </c>
      <c r="C2755" t="str">
        <f>IFERROR(__xludf.DUMMYFUNCTION("""COMPUTED_VALUE"""),"Steinhof")</f>
        <v>Steinhof</v>
      </c>
    </row>
    <row r="2756">
      <c r="A2756" t="str">
        <f>IFERROR(__xludf.DUMMYFUNCTION("""COMPUTED_VALUE"""),"C-125")</f>
        <v>C-125</v>
      </c>
      <c r="B2756" s="226" t="str">
        <f>IFERROR(__xludf.DUMMYFUNCTION("""COMPUTED_VALUE"""),"5907615802416")</f>
        <v>5907615802416</v>
      </c>
      <c r="C2756" t="str">
        <f>IFERROR(__xludf.DUMMYFUNCTION("""COMPUTED_VALUE"""),"Steinhof")</f>
        <v>Steinhof</v>
      </c>
    </row>
    <row r="2757">
      <c r="A2757" t="str">
        <f>IFERROR(__xludf.DUMMYFUNCTION("""COMPUTED_VALUE"""),"C-125")</f>
        <v>C-125</v>
      </c>
      <c r="B2757" s="226" t="str">
        <f>IFERROR(__xludf.DUMMYFUNCTION("""COMPUTED_VALUE"""),"5907615802416")</f>
        <v>5907615802416</v>
      </c>
      <c r="C2757" t="str">
        <f>IFERROR(__xludf.DUMMYFUNCTION("""COMPUTED_VALUE"""),"Steinhof")</f>
        <v>Steinhof</v>
      </c>
    </row>
    <row r="2758">
      <c r="A2758" t="str">
        <f>IFERROR(__xludf.DUMMYFUNCTION("""COMPUTED_VALUE"""),"C-127")</f>
        <v>C-127</v>
      </c>
      <c r="B2758" s="226" t="str">
        <f>IFERROR(__xludf.DUMMYFUNCTION("""COMPUTED_VALUE"""),"5907615802430")</f>
        <v>5907615802430</v>
      </c>
      <c r="C2758" t="str">
        <f>IFERROR(__xludf.DUMMYFUNCTION("""COMPUTED_VALUE"""),"Steinhof")</f>
        <v>Steinhof</v>
      </c>
    </row>
    <row r="2759">
      <c r="A2759" t="str">
        <f>IFERROR(__xludf.DUMMYFUNCTION("""COMPUTED_VALUE"""),"C-127")</f>
        <v>C-127</v>
      </c>
      <c r="B2759" s="226" t="str">
        <f>IFERROR(__xludf.DUMMYFUNCTION("""COMPUTED_VALUE"""),"5907615802430")</f>
        <v>5907615802430</v>
      </c>
      <c r="C2759" t="str">
        <f>IFERROR(__xludf.DUMMYFUNCTION("""COMPUTED_VALUE"""),"Steinhof")</f>
        <v>Steinhof</v>
      </c>
    </row>
    <row r="2760">
      <c r="A2760" t="str">
        <f>IFERROR(__xludf.DUMMYFUNCTION("""COMPUTED_VALUE"""),"C-129")</f>
        <v>C-129</v>
      </c>
      <c r="B2760" s="226" t="str">
        <f>IFERROR(__xludf.DUMMYFUNCTION("""COMPUTED_VALUE"""),"5907615802454")</f>
        <v>5907615802454</v>
      </c>
      <c r="C2760" t="str">
        <f>IFERROR(__xludf.DUMMYFUNCTION("""COMPUTED_VALUE"""),"Steinhof")</f>
        <v>Steinhof</v>
      </c>
    </row>
    <row r="2761">
      <c r="A2761" t="str">
        <f>IFERROR(__xludf.DUMMYFUNCTION("""COMPUTED_VALUE"""),"C-129")</f>
        <v>C-129</v>
      </c>
      <c r="B2761" s="226" t="str">
        <f>IFERROR(__xludf.DUMMYFUNCTION("""COMPUTED_VALUE"""),"5907615802454")</f>
        <v>5907615802454</v>
      </c>
      <c r="C2761" t="str">
        <f>IFERROR(__xludf.DUMMYFUNCTION("""COMPUTED_VALUE"""),"Steinhof")</f>
        <v>Steinhof</v>
      </c>
    </row>
    <row r="2762">
      <c r="A2762" t="str">
        <f>IFERROR(__xludf.DUMMYFUNCTION("""COMPUTED_VALUE"""),"C-129")</f>
        <v>C-129</v>
      </c>
      <c r="B2762" s="226" t="str">
        <f>IFERROR(__xludf.DUMMYFUNCTION("""COMPUTED_VALUE"""),"5907615802454")</f>
        <v>5907615802454</v>
      </c>
      <c r="C2762" t="str">
        <f>IFERROR(__xludf.DUMMYFUNCTION("""COMPUTED_VALUE"""),"Steinhof")</f>
        <v>Steinhof</v>
      </c>
    </row>
    <row r="2763">
      <c r="A2763" t="str">
        <f>IFERROR(__xludf.DUMMYFUNCTION("""COMPUTED_VALUE"""),"C-129")</f>
        <v>C-129</v>
      </c>
      <c r="B2763" s="226" t="str">
        <f>IFERROR(__xludf.DUMMYFUNCTION("""COMPUTED_VALUE"""),"5907615802454")</f>
        <v>5907615802454</v>
      </c>
      <c r="C2763" t="str">
        <f>IFERROR(__xludf.DUMMYFUNCTION("""COMPUTED_VALUE"""),"Steinhof")</f>
        <v>Steinhof</v>
      </c>
    </row>
    <row r="2764">
      <c r="A2764" t="str">
        <f>IFERROR(__xludf.DUMMYFUNCTION("""COMPUTED_VALUE"""),"D-012")</f>
        <v>D-012</v>
      </c>
      <c r="B2764" s="226" t="str">
        <f>IFERROR(__xludf.DUMMYFUNCTION("""COMPUTED_VALUE"""),"5907615802522")</f>
        <v>5907615802522</v>
      </c>
      <c r="C2764" t="str">
        <f>IFERROR(__xludf.DUMMYFUNCTION("""COMPUTED_VALUE"""),"Steinhof")</f>
        <v>Steinhof</v>
      </c>
    </row>
    <row r="2765">
      <c r="A2765" t="str">
        <f>IFERROR(__xludf.DUMMYFUNCTION("""COMPUTED_VALUE"""),"D-050")</f>
        <v>D-050</v>
      </c>
      <c r="B2765" s="226" t="str">
        <f>IFERROR(__xludf.DUMMYFUNCTION("""COMPUTED_VALUE"""),"5907615802546")</f>
        <v>5907615802546</v>
      </c>
      <c r="C2765" t="str">
        <f>IFERROR(__xludf.DUMMYFUNCTION("""COMPUTED_VALUE"""),"Steinhof")</f>
        <v>Steinhof</v>
      </c>
    </row>
    <row r="2766">
      <c r="A2766" t="str">
        <f>IFERROR(__xludf.DUMMYFUNCTION("""COMPUTED_VALUE"""),"D-050")</f>
        <v>D-050</v>
      </c>
      <c r="B2766" s="226" t="str">
        <f>IFERROR(__xludf.DUMMYFUNCTION("""COMPUTED_VALUE"""),"5907615802546")</f>
        <v>5907615802546</v>
      </c>
      <c r="C2766" t="str">
        <f>IFERROR(__xludf.DUMMYFUNCTION("""COMPUTED_VALUE"""),"Steinhof")</f>
        <v>Steinhof</v>
      </c>
    </row>
    <row r="2767">
      <c r="A2767" t="str">
        <f>IFERROR(__xludf.DUMMYFUNCTION("""COMPUTED_VALUE"""),"D-050")</f>
        <v>D-050</v>
      </c>
      <c r="B2767" s="226" t="str">
        <f>IFERROR(__xludf.DUMMYFUNCTION("""COMPUTED_VALUE"""),"5907615802546")</f>
        <v>5907615802546</v>
      </c>
      <c r="C2767" t="str">
        <f>IFERROR(__xludf.DUMMYFUNCTION("""COMPUTED_VALUE"""),"Steinhof")</f>
        <v>Steinhof</v>
      </c>
    </row>
    <row r="2768">
      <c r="A2768" t="str">
        <f>IFERROR(__xludf.DUMMYFUNCTION("""COMPUTED_VALUE"""),"D-050")</f>
        <v>D-050</v>
      </c>
      <c r="B2768" s="226" t="str">
        <f>IFERROR(__xludf.DUMMYFUNCTION("""COMPUTED_VALUE"""),"5907615802546")</f>
        <v>5907615802546</v>
      </c>
      <c r="C2768" t="str">
        <f>IFERROR(__xludf.DUMMYFUNCTION("""COMPUTED_VALUE"""),"Steinhof")</f>
        <v>Steinhof</v>
      </c>
    </row>
    <row r="2769">
      <c r="A2769" t="str">
        <f>IFERROR(__xludf.DUMMYFUNCTION("""COMPUTED_VALUE"""),"D-052")</f>
        <v>D-052</v>
      </c>
      <c r="B2769" s="226" t="str">
        <f>IFERROR(__xludf.DUMMYFUNCTION("""COMPUTED_VALUE"""),"5907615802560")</f>
        <v>5907615802560</v>
      </c>
      <c r="C2769" t="str">
        <f>IFERROR(__xludf.DUMMYFUNCTION("""COMPUTED_VALUE"""),"Steinhof")</f>
        <v>Steinhof</v>
      </c>
    </row>
    <row r="2770">
      <c r="A2770" t="str">
        <f>IFERROR(__xludf.DUMMYFUNCTION("""COMPUTED_VALUE"""),"D-052")</f>
        <v>D-052</v>
      </c>
      <c r="B2770" s="226" t="str">
        <f>IFERROR(__xludf.DUMMYFUNCTION("""COMPUTED_VALUE"""),"5907615802560")</f>
        <v>5907615802560</v>
      </c>
      <c r="C2770" t="str">
        <f>IFERROR(__xludf.DUMMYFUNCTION("""COMPUTED_VALUE"""),"Steinhof")</f>
        <v>Steinhof</v>
      </c>
    </row>
    <row r="2771">
      <c r="A2771" t="str">
        <f>IFERROR(__xludf.DUMMYFUNCTION("""COMPUTED_VALUE"""),"D-013")</f>
        <v>D-013</v>
      </c>
      <c r="B2771" s="226" t="str">
        <f>IFERROR(__xludf.DUMMYFUNCTION("""COMPUTED_VALUE"""),"5907615802584")</f>
        <v>5907615802584</v>
      </c>
      <c r="C2771" t="str">
        <f>IFERROR(__xludf.DUMMYFUNCTION("""COMPUTED_VALUE"""),"Steinhof")</f>
        <v>Steinhof</v>
      </c>
    </row>
    <row r="2772">
      <c r="A2772" t="str">
        <f>IFERROR(__xludf.DUMMYFUNCTION("""COMPUTED_VALUE"""),"D-013")</f>
        <v>D-013</v>
      </c>
      <c r="B2772" s="226" t="str">
        <f>IFERROR(__xludf.DUMMYFUNCTION("""COMPUTED_VALUE"""),"5907615802584")</f>
        <v>5907615802584</v>
      </c>
      <c r="C2772" t="str">
        <f>IFERROR(__xludf.DUMMYFUNCTION("""COMPUTED_VALUE"""),"Steinhof")</f>
        <v>Steinhof</v>
      </c>
    </row>
    <row r="2773">
      <c r="A2773" t="str">
        <f>IFERROR(__xludf.DUMMYFUNCTION("""COMPUTED_VALUE"""),"D-054")</f>
        <v>D-054</v>
      </c>
      <c r="B2773" s="226" t="str">
        <f>IFERROR(__xludf.DUMMYFUNCTION("""COMPUTED_VALUE"""),"5907615802591")</f>
        <v>5907615802591</v>
      </c>
      <c r="C2773" t="str">
        <f>IFERROR(__xludf.DUMMYFUNCTION("""COMPUTED_VALUE"""),"Steinhof")</f>
        <v>Steinhof</v>
      </c>
    </row>
    <row r="2774">
      <c r="A2774" t="str">
        <f>IFERROR(__xludf.DUMMYFUNCTION("""COMPUTED_VALUE"""),"D-054")</f>
        <v>D-054</v>
      </c>
      <c r="B2774" s="226" t="str">
        <f>IFERROR(__xludf.DUMMYFUNCTION("""COMPUTED_VALUE"""),"5907615802591")</f>
        <v>5907615802591</v>
      </c>
      <c r="C2774" t="str">
        <f>IFERROR(__xludf.DUMMYFUNCTION("""COMPUTED_VALUE"""),"Steinhof")</f>
        <v>Steinhof</v>
      </c>
    </row>
    <row r="2775">
      <c r="A2775" t="str">
        <f>IFERROR(__xludf.DUMMYFUNCTION("""COMPUTED_VALUE"""),"D-055")</f>
        <v>D-055</v>
      </c>
      <c r="B2775" s="226" t="str">
        <f>IFERROR(__xludf.DUMMYFUNCTION("""COMPUTED_VALUE"""),"5907615802607")</f>
        <v>5907615802607</v>
      </c>
      <c r="C2775" t="str">
        <f>IFERROR(__xludf.DUMMYFUNCTION("""COMPUTED_VALUE"""),"Steinhof")</f>
        <v>Steinhof</v>
      </c>
    </row>
    <row r="2776">
      <c r="A2776" t="str">
        <f>IFERROR(__xludf.DUMMYFUNCTION("""COMPUTED_VALUE"""),"D-055")</f>
        <v>D-055</v>
      </c>
      <c r="B2776" s="226" t="str">
        <f>IFERROR(__xludf.DUMMYFUNCTION("""COMPUTED_VALUE"""),"5907615802607")</f>
        <v>5907615802607</v>
      </c>
      <c r="C2776" t="str">
        <f>IFERROR(__xludf.DUMMYFUNCTION("""COMPUTED_VALUE"""),"Steinhof")</f>
        <v>Steinhof</v>
      </c>
    </row>
    <row r="2777">
      <c r="A2777" t="str">
        <f>IFERROR(__xludf.DUMMYFUNCTION("""COMPUTED_VALUE"""),"D-080")</f>
        <v>D-080</v>
      </c>
      <c r="B2777" s="226" t="str">
        <f>IFERROR(__xludf.DUMMYFUNCTION("""COMPUTED_VALUE"""),"5907615802614")</f>
        <v>5907615802614</v>
      </c>
      <c r="C2777" t="str">
        <f>IFERROR(__xludf.DUMMYFUNCTION("""COMPUTED_VALUE"""),"Steinhof")</f>
        <v>Steinhof</v>
      </c>
    </row>
    <row r="2778">
      <c r="A2778" t="str">
        <f>IFERROR(__xludf.DUMMYFUNCTION("""COMPUTED_VALUE"""),"D-080")</f>
        <v>D-080</v>
      </c>
      <c r="B2778" s="226" t="str">
        <f>IFERROR(__xludf.DUMMYFUNCTION("""COMPUTED_VALUE"""),"5907615802614")</f>
        <v>5907615802614</v>
      </c>
      <c r="C2778" t="str">
        <f>IFERROR(__xludf.DUMMYFUNCTION("""COMPUTED_VALUE"""),"Steinhof")</f>
        <v>Steinhof</v>
      </c>
    </row>
    <row r="2779">
      <c r="A2779" t="str">
        <f>IFERROR(__xludf.DUMMYFUNCTION("""COMPUTED_VALUE"""),"D-080")</f>
        <v>D-080</v>
      </c>
      <c r="B2779" s="226" t="str">
        <f>IFERROR(__xludf.DUMMYFUNCTION("""COMPUTED_VALUE"""),"5907615802614")</f>
        <v>5907615802614</v>
      </c>
      <c r="C2779" t="str">
        <f>IFERROR(__xludf.DUMMYFUNCTION("""COMPUTED_VALUE"""),"Steinhof")</f>
        <v>Steinhof</v>
      </c>
    </row>
    <row r="2780">
      <c r="A2780" t="str">
        <f>IFERROR(__xludf.DUMMYFUNCTION("""COMPUTED_VALUE"""),"D-080")</f>
        <v>D-080</v>
      </c>
      <c r="B2780" s="226" t="str">
        <f>IFERROR(__xludf.DUMMYFUNCTION("""COMPUTED_VALUE"""),"5907615802614")</f>
        <v>5907615802614</v>
      </c>
      <c r="C2780" t="str">
        <f>IFERROR(__xludf.DUMMYFUNCTION("""COMPUTED_VALUE"""),"Steinhof")</f>
        <v>Steinhof</v>
      </c>
    </row>
    <row r="2781">
      <c r="A2781" t="str">
        <f>IFERROR(__xludf.DUMMYFUNCTION("""COMPUTED_VALUE"""),"D-081")</f>
        <v>D-081</v>
      </c>
      <c r="B2781" s="226" t="str">
        <f>IFERROR(__xludf.DUMMYFUNCTION("""COMPUTED_VALUE"""),"5907615802621")</f>
        <v>5907615802621</v>
      </c>
      <c r="C2781" t="str">
        <f>IFERROR(__xludf.DUMMYFUNCTION("""COMPUTED_VALUE"""),"Steinhof")</f>
        <v>Steinhof</v>
      </c>
    </row>
    <row r="2782">
      <c r="A2782" t="str">
        <f>IFERROR(__xludf.DUMMYFUNCTION("""COMPUTED_VALUE"""),"D-081")</f>
        <v>D-081</v>
      </c>
      <c r="B2782" s="226" t="str">
        <f>IFERROR(__xludf.DUMMYFUNCTION("""COMPUTED_VALUE"""),"5907615802621")</f>
        <v>5907615802621</v>
      </c>
      <c r="C2782" t="str">
        <f>IFERROR(__xludf.DUMMYFUNCTION("""COMPUTED_VALUE"""),"Steinhof")</f>
        <v>Steinhof</v>
      </c>
    </row>
    <row r="2783">
      <c r="A2783" t="str">
        <f>IFERROR(__xludf.DUMMYFUNCTION("""COMPUTED_VALUE"""),"D-081")</f>
        <v>D-081</v>
      </c>
      <c r="B2783" s="226" t="str">
        <f>IFERROR(__xludf.DUMMYFUNCTION("""COMPUTED_VALUE"""),"5907615802621")</f>
        <v>5907615802621</v>
      </c>
      <c r="C2783" t="str">
        <f>IFERROR(__xludf.DUMMYFUNCTION("""COMPUTED_VALUE"""),"Steinhof")</f>
        <v>Steinhof</v>
      </c>
    </row>
    <row r="2784">
      <c r="A2784" t="str">
        <f>IFERROR(__xludf.DUMMYFUNCTION("""COMPUTED_VALUE"""),"D-081")</f>
        <v>D-081</v>
      </c>
      <c r="B2784" s="226" t="str">
        <f>IFERROR(__xludf.DUMMYFUNCTION("""COMPUTED_VALUE"""),"5907615802621")</f>
        <v>5907615802621</v>
      </c>
      <c r="C2784" t="str">
        <f>IFERROR(__xludf.DUMMYFUNCTION("""COMPUTED_VALUE"""),"Steinhof")</f>
        <v>Steinhof</v>
      </c>
    </row>
    <row r="2785">
      <c r="A2785" t="str">
        <f>IFERROR(__xludf.DUMMYFUNCTION("""COMPUTED_VALUE"""),"D-082")</f>
        <v>D-082</v>
      </c>
      <c r="B2785" s="226" t="str">
        <f>IFERROR(__xludf.DUMMYFUNCTION("""COMPUTED_VALUE"""),"5907615802638")</f>
        <v>5907615802638</v>
      </c>
      <c r="C2785" t="str">
        <f>IFERROR(__xludf.DUMMYFUNCTION("""COMPUTED_VALUE"""),"Steinhof")</f>
        <v>Steinhof</v>
      </c>
    </row>
    <row r="2786">
      <c r="A2786" t="str">
        <f>IFERROR(__xludf.DUMMYFUNCTION("""COMPUTED_VALUE"""),"D-082")</f>
        <v>D-082</v>
      </c>
      <c r="B2786" s="226" t="str">
        <f>IFERROR(__xludf.DUMMYFUNCTION("""COMPUTED_VALUE"""),"5907615802638")</f>
        <v>5907615802638</v>
      </c>
      <c r="C2786" t="str">
        <f>IFERROR(__xludf.DUMMYFUNCTION("""COMPUTED_VALUE"""),"Steinhof")</f>
        <v>Steinhof</v>
      </c>
    </row>
    <row r="2787">
      <c r="A2787" t="str">
        <f>IFERROR(__xludf.DUMMYFUNCTION("""COMPUTED_VALUE"""),"D-083")</f>
        <v>D-083</v>
      </c>
      <c r="B2787" s="226" t="str">
        <f>IFERROR(__xludf.DUMMYFUNCTION("""COMPUTED_VALUE"""),"5907615802645")</f>
        <v>5907615802645</v>
      </c>
      <c r="C2787" t="str">
        <f>IFERROR(__xludf.DUMMYFUNCTION("""COMPUTED_VALUE"""),"Steinhof")</f>
        <v>Steinhof</v>
      </c>
    </row>
    <row r="2788">
      <c r="A2788" t="str">
        <f>IFERROR(__xludf.DUMMYFUNCTION("""COMPUTED_VALUE"""),"D-083")</f>
        <v>D-083</v>
      </c>
      <c r="B2788" s="226" t="str">
        <f>IFERROR(__xludf.DUMMYFUNCTION("""COMPUTED_VALUE"""),"5907615802645")</f>
        <v>5907615802645</v>
      </c>
      <c r="C2788" t="str">
        <f>IFERROR(__xludf.DUMMYFUNCTION("""COMPUTED_VALUE"""),"Steinhof")</f>
        <v>Steinhof</v>
      </c>
    </row>
    <row r="2789">
      <c r="A2789" t="str">
        <f>IFERROR(__xludf.DUMMYFUNCTION("""COMPUTED_VALUE"""),"D-008")</f>
        <v>D-008</v>
      </c>
      <c r="B2789" s="226" t="str">
        <f>IFERROR(__xludf.DUMMYFUNCTION("""COMPUTED_VALUE"""),"5907615802652")</f>
        <v>5907615802652</v>
      </c>
      <c r="C2789" t="str">
        <f>IFERROR(__xludf.DUMMYFUNCTION("""COMPUTED_VALUE"""),"Steinhof")</f>
        <v>Steinhof</v>
      </c>
    </row>
    <row r="2790">
      <c r="A2790" t="str">
        <f>IFERROR(__xludf.DUMMYFUNCTION("""COMPUTED_VALUE"""),"D-008")</f>
        <v>D-008</v>
      </c>
      <c r="B2790" s="226" t="str">
        <f>IFERROR(__xludf.DUMMYFUNCTION("""COMPUTED_VALUE"""),"5907615802652")</f>
        <v>5907615802652</v>
      </c>
      <c r="C2790" t="str">
        <f>IFERROR(__xludf.DUMMYFUNCTION("""COMPUTED_VALUE"""),"Steinhof")</f>
        <v>Steinhof</v>
      </c>
    </row>
    <row r="2791">
      <c r="A2791" t="str">
        <f>IFERROR(__xludf.DUMMYFUNCTION("""COMPUTED_VALUE"""),"D-009")</f>
        <v>D-009</v>
      </c>
      <c r="B2791" s="226" t="str">
        <f>IFERROR(__xludf.DUMMYFUNCTION("""COMPUTED_VALUE"""),"5907615802669")</f>
        <v>5907615802669</v>
      </c>
      <c r="C2791" t="str">
        <f>IFERROR(__xludf.DUMMYFUNCTION("""COMPUTED_VALUE"""),"Steinhof")</f>
        <v>Steinhof</v>
      </c>
    </row>
    <row r="2792">
      <c r="A2792" t="str">
        <f>IFERROR(__xludf.DUMMYFUNCTION("""COMPUTED_VALUE"""),"D-009")</f>
        <v>D-009</v>
      </c>
      <c r="B2792" s="226" t="str">
        <f>IFERROR(__xludf.DUMMYFUNCTION("""COMPUTED_VALUE"""),"5907615802669")</f>
        <v>5907615802669</v>
      </c>
      <c r="C2792" t="str">
        <f>IFERROR(__xludf.DUMMYFUNCTION("""COMPUTED_VALUE"""),"Steinhof")</f>
        <v>Steinhof</v>
      </c>
    </row>
    <row r="2793">
      <c r="A2793" t="str">
        <f>IFERROR(__xludf.DUMMYFUNCTION("""COMPUTED_VALUE"""),"D-014")</f>
        <v>D-014</v>
      </c>
      <c r="B2793" s="226" t="str">
        <f>IFERROR(__xludf.DUMMYFUNCTION("""COMPUTED_VALUE"""),"5907615802676")</f>
        <v>5907615802676</v>
      </c>
      <c r="C2793" t="str">
        <f>IFERROR(__xludf.DUMMYFUNCTION("""COMPUTED_VALUE"""),"Steinhof")</f>
        <v>Steinhof</v>
      </c>
    </row>
    <row r="2794">
      <c r="A2794" t="str">
        <f>IFERROR(__xludf.DUMMYFUNCTION("""COMPUTED_VALUE"""),"D-014")</f>
        <v>D-014</v>
      </c>
      <c r="B2794" s="226" t="str">
        <f>IFERROR(__xludf.DUMMYFUNCTION("""COMPUTED_VALUE"""),"5907615802676")</f>
        <v>5907615802676</v>
      </c>
      <c r="C2794" t="str">
        <f>IFERROR(__xludf.DUMMYFUNCTION("""COMPUTED_VALUE"""),"Steinhof")</f>
        <v>Steinhof</v>
      </c>
    </row>
    <row r="2795">
      <c r="A2795" t="str">
        <f>IFERROR(__xludf.DUMMYFUNCTION("""COMPUTED_VALUE"""),"D-015")</f>
        <v>D-015</v>
      </c>
      <c r="B2795" s="226" t="str">
        <f>IFERROR(__xludf.DUMMYFUNCTION("""COMPUTED_VALUE"""),"5907615802683")</f>
        <v>5907615802683</v>
      </c>
      <c r="C2795" t="str">
        <f>IFERROR(__xludf.DUMMYFUNCTION("""COMPUTED_VALUE"""),"Steinhof")</f>
        <v>Steinhof</v>
      </c>
    </row>
    <row r="2796">
      <c r="A2796" t="str">
        <f>IFERROR(__xludf.DUMMYFUNCTION("""COMPUTED_VALUE"""),"D-015")</f>
        <v>D-015</v>
      </c>
      <c r="B2796" s="226" t="str">
        <f>IFERROR(__xludf.DUMMYFUNCTION("""COMPUTED_VALUE"""),"5907615802683")</f>
        <v>5907615802683</v>
      </c>
      <c r="C2796" t="str">
        <f>IFERROR(__xludf.DUMMYFUNCTION("""COMPUTED_VALUE"""),"Steinhof")</f>
        <v>Steinhof</v>
      </c>
    </row>
    <row r="2797">
      <c r="A2797" t="str">
        <f>IFERROR(__xludf.DUMMYFUNCTION("""COMPUTED_VALUE"""),"D-084")</f>
        <v>D-084</v>
      </c>
      <c r="B2797" s="226" t="str">
        <f>IFERROR(__xludf.DUMMYFUNCTION("""COMPUTED_VALUE"""),"5907615802690")</f>
        <v>5907615802690</v>
      </c>
      <c r="C2797" t="str">
        <f>IFERROR(__xludf.DUMMYFUNCTION("""COMPUTED_VALUE"""),"Steinhof")</f>
        <v>Steinhof</v>
      </c>
    </row>
    <row r="2798">
      <c r="A2798" t="str">
        <f>IFERROR(__xludf.DUMMYFUNCTION("""COMPUTED_VALUE"""),"D-084")</f>
        <v>D-084</v>
      </c>
      <c r="B2798" s="226" t="str">
        <f>IFERROR(__xludf.DUMMYFUNCTION("""COMPUTED_VALUE"""),"5907615802690")</f>
        <v>5907615802690</v>
      </c>
      <c r="C2798" t="str">
        <f>IFERROR(__xludf.DUMMYFUNCTION("""COMPUTED_VALUE"""),"Steinhof")</f>
        <v>Steinhof</v>
      </c>
    </row>
    <row r="2799">
      <c r="A2799" t="str">
        <f>IFERROR(__xludf.DUMMYFUNCTION("""COMPUTED_VALUE"""),"D-085")</f>
        <v>D-085</v>
      </c>
      <c r="B2799" s="226" t="str">
        <f>IFERROR(__xludf.DUMMYFUNCTION("""COMPUTED_VALUE"""),"5907615802706")</f>
        <v>5907615802706</v>
      </c>
      <c r="C2799" t="str">
        <f>IFERROR(__xludf.DUMMYFUNCTION("""COMPUTED_VALUE"""),"Steinhof")</f>
        <v>Steinhof</v>
      </c>
    </row>
    <row r="2800">
      <c r="A2800" t="str">
        <f>IFERROR(__xludf.DUMMYFUNCTION("""COMPUTED_VALUE"""),"D-085")</f>
        <v>D-085</v>
      </c>
      <c r="B2800" s="226" t="str">
        <f>IFERROR(__xludf.DUMMYFUNCTION("""COMPUTED_VALUE"""),"5907615802706")</f>
        <v>5907615802706</v>
      </c>
      <c r="C2800" t="str">
        <f>IFERROR(__xludf.DUMMYFUNCTION("""COMPUTED_VALUE"""),"Steinhof")</f>
        <v>Steinhof</v>
      </c>
    </row>
    <row r="2801">
      <c r="A2801" t="str">
        <f>IFERROR(__xludf.DUMMYFUNCTION("""COMPUTED_VALUE"""),"D-120")</f>
        <v>D-120</v>
      </c>
      <c r="B2801" s="226" t="str">
        <f>IFERROR(__xludf.DUMMYFUNCTION("""COMPUTED_VALUE"""),"5907615802713")</f>
        <v>5907615802713</v>
      </c>
      <c r="C2801" t="str">
        <f>IFERROR(__xludf.DUMMYFUNCTION("""COMPUTED_VALUE"""),"Steinhof")</f>
        <v>Steinhof</v>
      </c>
    </row>
    <row r="2802">
      <c r="A2802" t="str">
        <f>IFERROR(__xludf.DUMMYFUNCTION("""COMPUTED_VALUE"""),"D-151")</f>
        <v>D-151</v>
      </c>
      <c r="B2802" s="226" t="str">
        <f>IFERROR(__xludf.DUMMYFUNCTION("""COMPUTED_VALUE"""),"5907615802928")</f>
        <v>5907615802928</v>
      </c>
      <c r="C2802" t="str">
        <f>IFERROR(__xludf.DUMMYFUNCTION("""COMPUTED_VALUE"""),"Steinhof")</f>
        <v>Steinhof</v>
      </c>
    </row>
    <row r="2803">
      <c r="A2803" t="str">
        <f>IFERROR(__xludf.DUMMYFUNCTION("""COMPUTED_VALUE"""),"D-152")</f>
        <v>D-152</v>
      </c>
      <c r="B2803" s="226" t="str">
        <f>IFERROR(__xludf.DUMMYFUNCTION("""COMPUTED_VALUE"""),"5907615802935")</f>
        <v>5907615802935</v>
      </c>
      <c r="C2803" t="str">
        <f>IFERROR(__xludf.DUMMYFUNCTION("""COMPUTED_VALUE"""),"Steinhof")</f>
        <v>Steinhof</v>
      </c>
    </row>
    <row r="2804">
      <c r="A2804" t="str">
        <f>IFERROR(__xludf.DUMMYFUNCTION("""COMPUTED_VALUE"""),"D-152")</f>
        <v>D-152</v>
      </c>
      <c r="B2804" s="226" t="str">
        <f>IFERROR(__xludf.DUMMYFUNCTION("""COMPUTED_VALUE"""),"5907615802935")</f>
        <v>5907615802935</v>
      </c>
      <c r="C2804" t="str">
        <f>IFERROR(__xludf.DUMMYFUNCTION("""COMPUTED_VALUE"""),"Steinhof")</f>
        <v>Steinhof</v>
      </c>
    </row>
    <row r="2805">
      <c r="A2805" t="str">
        <f>IFERROR(__xludf.DUMMYFUNCTION("""COMPUTED_VALUE"""),"D-166")</f>
        <v>D-166</v>
      </c>
      <c r="B2805" s="226" t="str">
        <f>IFERROR(__xludf.DUMMYFUNCTION("""COMPUTED_VALUE"""),"5907615803031")</f>
        <v>5907615803031</v>
      </c>
      <c r="C2805" t="str">
        <f>IFERROR(__xludf.DUMMYFUNCTION("""COMPUTED_VALUE"""),"Steinhof")</f>
        <v>Steinhof</v>
      </c>
    </row>
    <row r="2806">
      <c r="A2806" t="str">
        <f>IFERROR(__xludf.DUMMYFUNCTION("""COMPUTED_VALUE"""),"D-166")</f>
        <v>D-166</v>
      </c>
      <c r="B2806" s="226" t="str">
        <f>IFERROR(__xludf.DUMMYFUNCTION("""COMPUTED_VALUE"""),"5907615803031")</f>
        <v>5907615803031</v>
      </c>
      <c r="C2806" t="str">
        <f>IFERROR(__xludf.DUMMYFUNCTION("""COMPUTED_VALUE"""),"Steinhof")</f>
        <v>Steinhof</v>
      </c>
    </row>
    <row r="2807">
      <c r="A2807" t="str">
        <f>IFERROR(__xludf.DUMMYFUNCTION("""COMPUTED_VALUE"""),"D-170")</f>
        <v>D-170</v>
      </c>
      <c r="B2807" s="226" t="str">
        <f>IFERROR(__xludf.DUMMYFUNCTION("""COMPUTED_VALUE"""),"5907615803079")</f>
        <v>5907615803079</v>
      </c>
      <c r="C2807" t="str">
        <f>IFERROR(__xludf.DUMMYFUNCTION("""COMPUTED_VALUE"""),"Steinhof")</f>
        <v>Steinhof</v>
      </c>
    </row>
    <row r="2808">
      <c r="A2808" t="str">
        <f>IFERROR(__xludf.DUMMYFUNCTION("""COMPUTED_VALUE"""),"D-174")</f>
        <v>D-174</v>
      </c>
      <c r="B2808" s="226" t="str">
        <f>IFERROR(__xludf.DUMMYFUNCTION("""COMPUTED_VALUE"""),"5907615803116")</f>
        <v>5907615803116</v>
      </c>
      <c r="C2808" t="str">
        <f>IFERROR(__xludf.DUMMYFUNCTION("""COMPUTED_VALUE"""),"Steinhof")</f>
        <v>Steinhof</v>
      </c>
    </row>
    <row r="2809">
      <c r="A2809" t="str">
        <f>IFERROR(__xludf.DUMMYFUNCTION("""COMPUTED_VALUE"""),"D-180")</f>
        <v>D-180</v>
      </c>
      <c r="B2809" s="226" t="str">
        <f>IFERROR(__xludf.DUMMYFUNCTION("""COMPUTED_VALUE"""),"5907615803178")</f>
        <v>5907615803178</v>
      </c>
      <c r="C2809" t="str">
        <f>IFERROR(__xludf.DUMMYFUNCTION("""COMPUTED_VALUE"""),"Steinhof")</f>
        <v>Steinhof</v>
      </c>
    </row>
    <row r="2810">
      <c r="A2810" t="str">
        <f>IFERROR(__xludf.DUMMYFUNCTION("""COMPUTED_VALUE"""),"D-180")</f>
        <v>D-180</v>
      </c>
      <c r="B2810" s="226" t="str">
        <f>IFERROR(__xludf.DUMMYFUNCTION("""COMPUTED_VALUE"""),"5907615803178")</f>
        <v>5907615803178</v>
      </c>
      <c r="C2810" t="str">
        <f>IFERROR(__xludf.DUMMYFUNCTION("""COMPUTED_VALUE"""),"Steinhof")</f>
        <v>Steinhof</v>
      </c>
    </row>
    <row r="2811">
      <c r="A2811" t="str">
        <f>IFERROR(__xludf.DUMMYFUNCTION("""COMPUTED_VALUE"""),"D-180")</f>
        <v>D-180</v>
      </c>
      <c r="B2811" s="226" t="str">
        <f>IFERROR(__xludf.DUMMYFUNCTION("""COMPUTED_VALUE"""),"5907615803178")</f>
        <v>5907615803178</v>
      </c>
      <c r="C2811" t="str">
        <f>IFERROR(__xludf.DUMMYFUNCTION("""COMPUTED_VALUE"""),"Steinhof")</f>
        <v>Steinhof</v>
      </c>
    </row>
    <row r="2812">
      <c r="A2812" t="str">
        <f>IFERROR(__xludf.DUMMYFUNCTION("""COMPUTED_VALUE"""),"D-180")</f>
        <v>D-180</v>
      </c>
      <c r="B2812" s="226" t="str">
        <f>IFERROR(__xludf.DUMMYFUNCTION("""COMPUTED_VALUE"""),"5907615803178")</f>
        <v>5907615803178</v>
      </c>
      <c r="C2812" t="str">
        <f>IFERROR(__xludf.DUMMYFUNCTION("""COMPUTED_VALUE"""),"Steinhof")</f>
        <v>Steinhof</v>
      </c>
    </row>
    <row r="2813">
      <c r="A2813" t="str">
        <f>IFERROR(__xludf.DUMMYFUNCTION("""COMPUTED_VALUE"""),"D-181")</f>
        <v>D-181</v>
      </c>
      <c r="B2813" s="226" t="str">
        <f>IFERROR(__xludf.DUMMYFUNCTION("""COMPUTED_VALUE"""),"5907615803185")</f>
        <v>5907615803185</v>
      </c>
      <c r="C2813" t="str">
        <f>IFERROR(__xludf.DUMMYFUNCTION("""COMPUTED_VALUE"""),"Steinhof")</f>
        <v>Steinhof</v>
      </c>
    </row>
    <row r="2814">
      <c r="A2814" t="str">
        <f>IFERROR(__xludf.DUMMYFUNCTION("""COMPUTED_VALUE"""),"D-181")</f>
        <v>D-181</v>
      </c>
      <c r="B2814" s="226" t="str">
        <f>IFERROR(__xludf.DUMMYFUNCTION("""COMPUTED_VALUE"""),"5907615803185")</f>
        <v>5907615803185</v>
      </c>
      <c r="C2814" t="str">
        <f>IFERROR(__xludf.DUMMYFUNCTION("""COMPUTED_VALUE"""),"Steinhof")</f>
        <v>Steinhof</v>
      </c>
    </row>
    <row r="2815">
      <c r="A2815" t="str">
        <f>IFERROR(__xludf.DUMMYFUNCTION("""COMPUTED_VALUE"""),"D-181")</f>
        <v>D-181</v>
      </c>
      <c r="B2815" s="226" t="str">
        <f>IFERROR(__xludf.DUMMYFUNCTION("""COMPUTED_VALUE"""),"5907615803185")</f>
        <v>5907615803185</v>
      </c>
      <c r="C2815" t="str">
        <f>IFERROR(__xludf.DUMMYFUNCTION("""COMPUTED_VALUE"""),"Steinhof")</f>
        <v>Steinhof</v>
      </c>
    </row>
    <row r="2816">
      <c r="A2816" t="str">
        <f>IFERROR(__xludf.DUMMYFUNCTION("""COMPUTED_VALUE"""),"D-181")</f>
        <v>D-181</v>
      </c>
      <c r="B2816" s="226" t="str">
        <f>IFERROR(__xludf.DUMMYFUNCTION("""COMPUTED_VALUE"""),"5907615803185")</f>
        <v>5907615803185</v>
      </c>
      <c r="C2816" t="str">
        <f>IFERROR(__xludf.DUMMYFUNCTION("""COMPUTED_VALUE"""),"Steinhof")</f>
        <v>Steinhof</v>
      </c>
    </row>
    <row r="2817">
      <c r="A2817" t="str">
        <f>IFERROR(__xludf.DUMMYFUNCTION("""COMPUTED_VALUE"""),"D-047")</f>
        <v>D-047</v>
      </c>
      <c r="B2817" s="226" t="str">
        <f>IFERROR(__xludf.DUMMYFUNCTION("""COMPUTED_VALUE"""),"5907615803277")</f>
        <v>5907615803277</v>
      </c>
      <c r="C2817" t="str">
        <f>IFERROR(__xludf.DUMMYFUNCTION("""COMPUTED_VALUE"""),"Steinhof")</f>
        <v>Steinhof</v>
      </c>
    </row>
    <row r="2818">
      <c r="A2818" t="str">
        <f>IFERROR(__xludf.DUMMYFUNCTION("""COMPUTED_VALUE"""),"D-047")</f>
        <v>D-047</v>
      </c>
      <c r="B2818" s="226" t="str">
        <f>IFERROR(__xludf.DUMMYFUNCTION("""COMPUTED_VALUE"""),"5907615803277")</f>
        <v>5907615803277</v>
      </c>
      <c r="C2818" t="str">
        <f>IFERROR(__xludf.DUMMYFUNCTION("""COMPUTED_VALUE"""),"Steinhof")</f>
        <v>Steinhof</v>
      </c>
    </row>
    <row r="2819">
      <c r="A2819" t="str">
        <f>IFERROR(__xludf.DUMMYFUNCTION("""COMPUTED_VALUE"""),"D-048")</f>
        <v>D-048</v>
      </c>
      <c r="B2819" s="226" t="str">
        <f>IFERROR(__xludf.DUMMYFUNCTION("""COMPUTED_VALUE"""),"5907615803284")</f>
        <v>5907615803284</v>
      </c>
      <c r="C2819" t="str">
        <f>IFERROR(__xludf.DUMMYFUNCTION("""COMPUTED_VALUE"""),"Steinhof")</f>
        <v>Steinhof</v>
      </c>
    </row>
    <row r="2820">
      <c r="A2820" t="str">
        <f>IFERROR(__xludf.DUMMYFUNCTION("""COMPUTED_VALUE"""),"D-048")</f>
        <v>D-048</v>
      </c>
      <c r="B2820" s="226" t="str">
        <f>IFERROR(__xludf.DUMMYFUNCTION("""COMPUTED_VALUE"""),"5907615803284")</f>
        <v>5907615803284</v>
      </c>
      <c r="C2820" t="str">
        <f>IFERROR(__xludf.DUMMYFUNCTION("""COMPUTED_VALUE"""),"Steinhof")</f>
        <v>Steinhof</v>
      </c>
    </row>
    <row r="2821">
      <c r="A2821" t="str">
        <f>IFERROR(__xludf.DUMMYFUNCTION("""COMPUTED_VALUE"""),"D-056")</f>
        <v>D-056</v>
      </c>
      <c r="B2821" s="226" t="str">
        <f>IFERROR(__xludf.DUMMYFUNCTION("""COMPUTED_VALUE"""),"5907615803291")</f>
        <v>5907615803291</v>
      </c>
      <c r="C2821" t="str">
        <f>IFERROR(__xludf.DUMMYFUNCTION("""COMPUTED_VALUE"""),"Steinhof")</f>
        <v>Steinhof</v>
      </c>
    </row>
    <row r="2822">
      <c r="A2822" t="str">
        <f>IFERROR(__xludf.DUMMYFUNCTION("""COMPUTED_VALUE"""),"D-056")</f>
        <v>D-056</v>
      </c>
      <c r="B2822" s="226" t="str">
        <f>IFERROR(__xludf.DUMMYFUNCTION("""COMPUTED_VALUE"""),"5907615803291")</f>
        <v>5907615803291</v>
      </c>
      <c r="C2822" t="str">
        <f>IFERROR(__xludf.DUMMYFUNCTION("""COMPUTED_VALUE"""),"Steinhof")</f>
        <v>Steinhof</v>
      </c>
    </row>
    <row r="2823">
      <c r="A2823" t="str">
        <f>IFERROR(__xludf.DUMMYFUNCTION("""COMPUTED_VALUE"""),"D-056")</f>
        <v>D-056</v>
      </c>
      <c r="B2823" s="226" t="str">
        <f>IFERROR(__xludf.DUMMYFUNCTION("""COMPUTED_VALUE"""),"5907615803291")</f>
        <v>5907615803291</v>
      </c>
      <c r="C2823" t="str">
        <f>IFERROR(__xludf.DUMMYFUNCTION("""COMPUTED_VALUE"""),"Steinhof")</f>
        <v>Steinhof</v>
      </c>
    </row>
    <row r="2824">
      <c r="A2824" t="str">
        <f>IFERROR(__xludf.DUMMYFUNCTION("""COMPUTED_VALUE"""),"D-057")</f>
        <v>D-057</v>
      </c>
      <c r="B2824" s="226" t="str">
        <f>IFERROR(__xludf.DUMMYFUNCTION("""COMPUTED_VALUE"""),"5907615803307")</f>
        <v>5907615803307</v>
      </c>
      <c r="C2824" t="str">
        <f>IFERROR(__xludf.DUMMYFUNCTION("""COMPUTED_VALUE"""),"Steinhof")</f>
        <v>Steinhof</v>
      </c>
    </row>
    <row r="2825">
      <c r="A2825" t="str">
        <f>IFERROR(__xludf.DUMMYFUNCTION("""COMPUTED_VALUE"""),"D-057")</f>
        <v>D-057</v>
      </c>
      <c r="B2825" s="226" t="str">
        <f>IFERROR(__xludf.DUMMYFUNCTION("""COMPUTED_VALUE"""),"5907615803307")</f>
        <v>5907615803307</v>
      </c>
      <c r="C2825" t="str">
        <f>IFERROR(__xludf.DUMMYFUNCTION("""COMPUTED_VALUE"""),"Steinhof")</f>
        <v>Steinhof</v>
      </c>
    </row>
    <row r="2826">
      <c r="A2826" t="str">
        <f>IFERROR(__xludf.DUMMYFUNCTION("""COMPUTED_VALUE"""),"D-057")</f>
        <v>D-057</v>
      </c>
      <c r="B2826" s="226" t="str">
        <f>IFERROR(__xludf.DUMMYFUNCTION("""COMPUTED_VALUE"""),"5907615803307")</f>
        <v>5907615803307</v>
      </c>
      <c r="C2826" t="str">
        <f>IFERROR(__xludf.DUMMYFUNCTION("""COMPUTED_VALUE"""),"Steinhof")</f>
        <v>Steinhof</v>
      </c>
    </row>
    <row r="2827">
      <c r="A2827" t="str">
        <f>IFERROR(__xludf.DUMMYFUNCTION("""COMPUTED_VALUE"""),"D-053")</f>
        <v>D-053</v>
      </c>
      <c r="B2827" s="226" t="str">
        <f>IFERROR(__xludf.DUMMYFUNCTION("""COMPUTED_VALUE"""),"5907615803314")</f>
        <v>5907615803314</v>
      </c>
      <c r="C2827" t="str">
        <f>IFERROR(__xludf.DUMMYFUNCTION("""COMPUTED_VALUE"""),"Steinhof")</f>
        <v>Steinhof</v>
      </c>
    </row>
    <row r="2828">
      <c r="A2828" t="str">
        <f>IFERROR(__xludf.DUMMYFUNCTION("""COMPUTED_VALUE"""),"D-053")</f>
        <v>D-053</v>
      </c>
      <c r="B2828" s="226" t="str">
        <f>IFERROR(__xludf.DUMMYFUNCTION("""COMPUTED_VALUE"""),"5907615803314")</f>
        <v>5907615803314</v>
      </c>
      <c r="C2828" t="str">
        <f>IFERROR(__xludf.DUMMYFUNCTION("""COMPUTED_VALUE"""),"Steinhof")</f>
        <v>Steinhof</v>
      </c>
    </row>
    <row r="2829">
      <c r="A2829" t="str">
        <f>IFERROR(__xludf.DUMMYFUNCTION("""COMPUTED_VALUE"""),"D-300")</f>
        <v>D-300</v>
      </c>
      <c r="B2829" s="226" t="str">
        <f>IFERROR(__xludf.DUMMYFUNCTION("""COMPUTED_VALUE"""),"5907615803611")</f>
        <v>5907615803611</v>
      </c>
      <c r="C2829" t="str">
        <f>IFERROR(__xludf.DUMMYFUNCTION("""COMPUTED_VALUE"""),"Steinhof")</f>
        <v>Steinhof</v>
      </c>
    </row>
    <row r="2830">
      <c r="A2830" t="str">
        <f>IFERROR(__xludf.DUMMYFUNCTION("""COMPUTED_VALUE"""),"D-300")</f>
        <v>D-300</v>
      </c>
      <c r="B2830" s="226" t="str">
        <f>IFERROR(__xludf.DUMMYFUNCTION("""COMPUTED_VALUE"""),"5907615803611")</f>
        <v>5907615803611</v>
      </c>
      <c r="C2830" t="str">
        <f>IFERROR(__xludf.DUMMYFUNCTION("""COMPUTED_VALUE"""),"Steinhof")</f>
        <v>Steinhof</v>
      </c>
    </row>
    <row r="2831">
      <c r="A2831" t="str">
        <f>IFERROR(__xludf.DUMMYFUNCTION("""COMPUTED_VALUE"""),"D-304")</f>
        <v>D-304</v>
      </c>
      <c r="B2831" s="226" t="str">
        <f>IFERROR(__xludf.DUMMYFUNCTION("""COMPUTED_VALUE"""),"5907615803659")</f>
        <v>5907615803659</v>
      </c>
      <c r="C2831" t="str">
        <f>IFERROR(__xludf.DUMMYFUNCTION("""COMPUTED_VALUE"""),"Steinhof")</f>
        <v>Steinhof</v>
      </c>
    </row>
    <row r="2832">
      <c r="A2832" t="str">
        <f>IFERROR(__xludf.DUMMYFUNCTION("""COMPUTED_VALUE"""),"D-304")</f>
        <v>D-304</v>
      </c>
      <c r="B2832" s="226" t="str">
        <f>IFERROR(__xludf.DUMMYFUNCTION("""COMPUTED_VALUE"""),"5907615803659")</f>
        <v>5907615803659</v>
      </c>
      <c r="C2832" t="str">
        <f>IFERROR(__xludf.DUMMYFUNCTION("""COMPUTED_VALUE"""),"Steinhof")</f>
        <v>Steinhof</v>
      </c>
    </row>
    <row r="2833">
      <c r="A2833" t="str">
        <f>IFERROR(__xludf.DUMMYFUNCTION("""COMPUTED_VALUE"""),"D-305")</f>
        <v>D-305</v>
      </c>
      <c r="B2833" s="226" t="str">
        <f>IFERROR(__xludf.DUMMYFUNCTION("""COMPUTED_VALUE"""),"5907615803666")</f>
        <v>5907615803666</v>
      </c>
      <c r="C2833" t="str">
        <f>IFERROR(__xludf.DUMMYFUNCTION("""COMPUTED_VALUE"""),"Steinhof")</f>
        <v>Steinhof</v>
      </c>
    </row>
    <row r="2834">
      <c r="A2834" t="str">
        <f>IFERROR(__xludf.DUMMYFUNCTION("""COMPUTED_VALUE"""),"D-305")</f>
        <v>D-305</v>
      </c>
      <c r="B2834" s="226" t="str">
        <f>IFERROR(__xludf.DUMMYFUNCTION("""COMPUTED_VALUE"""),"5907615803666")</f>
        <v>5907615803666</v>
      </c>
      <c r="C2834" t="str">
        <f>IFERROR(__xludf.DUMMYFUNCTION("""COMPUTED_VALUE"""),"Steinhof")</f>
        <v>Steinhof</v>
      </c>
    </row>
    <row r="2835">
      <c r="A2835" t="str">
        <f>IFERROR(__xludf.DUMMYFUNCTION("""COMPUTED_VALUE"""),"F-032")</f>
        <v>F-032</v>
      </c>
      <c r="B2835" s="226" t="str">
        <f>IFERROR(__xludf.DUMMYFUNCTION("""COMPUTED_VALUE"""),"5907615803871")</f>
        <v>5907615803871</v>
      </c>
      <c r="C2835" t="str">
        <f>IFERROR(__xludf.DUMMYFUNCTION("""COMPUTED_VALUE"""),"Steinhof")</f>
        <v>Steinhof</v>
      </c>
    </row>
    <row r="2836">
      <c r="A2836" t="str">
        <f>IFERROR(__xludf.DUMMYFUNCTION("""COMPUTED_VALUE"""),"F-045")</f>
        <v>F-045</v>
      </c>
      <c r="B2836" s="226" t="str">
        <f>IFERROR(__xludf.DUMMYFUNCTION("""COMPUTED_VALUE"""),"5907615803895")</f>
        <v>5907615803895</v>
      </c>
      <c r="C2836" t="str">
        <f>IFERROR(__xludf.DUMMYFUNCTION("""COMPUTED_VALUE"""),"Steinhof")</f>
        <v>Steinhof</v>
      </c>
    </row>
    <row r="2837">
      <c r="A2837" t="str">
        <f>IFERROR(__xludf.DUMMYFUNCTION("""COMPUTED_VALUE"""),"F-045")</f>
        <v>F-045</v>
      </c>
      <c r="B2837" s="226" t="str">
        <f>IFERROR(__xludf.DUMMYFUNCTION("""COMPUTED_VALUE"""),"5907615803895")</f>
        <v>5907615803895</v>
      </c>
      <c r="C2837" t="str">
        <f>IFERROR(__xludf.DUMMYFUNCTION("""COMPUTED_VALUE"""),"Steinhof")</f>
        <v>Steinhof</v>
      </c>
    </row>
    <row r="2838">
      <c r="A2838" t="str">
        <f>IFERROR(__xludf.DUMMYFUNCTION("""COMPUTED_VALUE"""),"F-046")</f>
        <v>F-046</v>
      </c>
      <c r="B2838" s="226" t="str">
        <f>IFERROR(__xludf.DUMMYFUNCTION("""COMPUTED_VALUE"""),"5907615803901")</f>
        <v>5907615803901</v>
      </c>
      <c r="C2838" t="str">
        <f>IFERROR(__xludf.DUMMYFUNCTION("""COMPUTED_VALUE"""),"Steinhof")</f>
        <v>Steinhof</v>
      </c>
    </row>
    <row r="2839">
      <c r="A2839" t="str">
        <f>IFERROR(__xludf.DUMMYFUNCTION("""COMPUTED_VALUE"""),"F-046")</f>
        <v>F-046</v>
      </c>
      <c r="B2839" s="226" t="str">
        <f>IFERROR(__xludf.DUMMYFUNCTION("""COMPUTED_VALUE"""),"5907615803901")</f>
        <v>5907615803901</v>
      </c>
      <c r="C2839" t="str">
        <f>IFERROR(__xludf.DUMMYFUNCTION("""COMPUTED_VALUE"""),"Steinhof")</f>
        <v>Steinhof</v>
      </c>
    </row>
    <row r="2840">
      <c r="A2840" t="str">
        <f>IFERROR(__xludf.DUMMYFUNCTION("""COMPUTED_VALUE"""),"F-043")</f>
        <v>F-043</v>
      </c>
      <c r="B2840" s="226" t="str">
        <f>IFERROR(__xludf.DUMMYFUNCTION("""COMPUTED_VALUE"""),"5907615803925")</f>
        <v>5907615803925</v>
      </c>
      <c r="C2840" t="str">
        <f>IFERROR(__xludf.DUMMYFUNCTION("""COMPUTED_VALUE"""),"Steinhof")</f>
        <v>Steinhof</v>
      </c>
    </row>
    <row r="2841">
      <c r="A2841" t="str">
        <f>IFERROR(__xludf.DUMMYFUNCTION("""COMPUTED_VALUE"""),"F-043")</f>
        <v>F-043</v>
      </c>
      <c r="B2841" s="226" t="str">
        <f>IFERROR(__xludf.DUMMYFUNCTION("""COMPUTED_VALUE"""),"5907615803925")</f>
        <v>5907615803925</v>
      </c>
      <c r="C2841" t="str">
        <f>IFERROR(__xludf.DUMMYFUNCTION("""COMPUTED_VALUE"""),"Steinhof")</f>
        <v>Steinhof</v>
      </c>
    </row>
    <row r="2842">
      <c r="A2842" t="str">
        <f>IFERROR(__xludf.DUMMYFUNCTION("""COMPUTED_VALUE"""),"F-042")</f>
        <v>F-042</v>
      </c>
      <c r="B2842" s="226" t="str">
        <f>IFERROR(__xludf.DUMMYFUNCTION("""COMPUTED_VALUE"""),"5907615803932")</f>
        <v>5907615803932</v>
      </c>
      <c r="C2842" t="str">
        <f>IFERROR(__xludf.DUMMYFUNCTION("""COMPUTED_VALUE"""),"Steinhof")</f>
        <v>Steinhof</v>
      </c>
    </row>
    <row r="2843">
      <c r="A2843" t="str">
        <f>IFERROR(__xludf.DUMMYFUNCTION("""COMPUTED_VALUE"""),"F-042")</f>
        <v>F-042</v>
      </c>
      <c r="B2843" s="226" t="str">
        <f>IFERROR(__xludf.DUMMYFUNCTION("""COMPUTED_VALUE"""),"5907615803932")</f>
        <v>5907615803932</v>
      </c>
      <c r="C2843" t="str">
        <f>IFERROR(__xludf.DUMMYFUNCTION("""COMPUTED_VALUE"""),"Steinhof")</f>
        <v>Steinhof</v>
      </c>
    </row>
    <row r="2844">
      <c r="A2844" t="str">
        <f>IFERROR(__xludf.DUMMYFUNCTION("""COMPUTED_VALUE"""),"F-044")</f>
        <v>F-044</v>
      </c>
      <c r="B2844" s="226" t="str">
        <f>IFERROR(__xludf.DUMMYFUNCTION("""COMPUTED_VALUE"""),"5907615803949")</f>
        <v>5907615803949</v>
      </c>
      <c r="C2844" t="str">
        <f>IFERROR(__xludf.DUMMYFUNCTION("""COMPUTED_VALUE"""),"Steinhof")</f>
        <v>Steinhof</v>
      </c>
    </row>
    <row r="2845">
      <c r="A2845" t="str">
        <f>IFERROR(__xludf.DUMMYFUNCTION("""COMPUTED_VALUE"""),"F-044")</f>
        <v>F-044</v>
      </c>
      <c r="B2845" s="226" t="str">
        <f>IFERROR(__xludf.DUMMYFUNCTION("""COMPUTED_VALUE"""),"5907615803949")</f>
        <v>5907615803949</v>
      </c>
      <c r="C2845" t="str">
        <f>IFERROR(__xludf.DUMMYFUNCTION("""COMPUTED_VALUE"""),"Steinhof")</f>
        <v>Steinhof</v>
      </c>
    </row>
    <row r="2846">
      <c r="A2846" t="str">
        <f>IFERROR(__xludf.DUMMYFUNCTION("""COMPUTED_VALUE"""),"F-044")</f>
        <v>F-044</v>
      </c>
      <c r="B2846" s="226" t="str">
        <f>IFERROR(__xludf.DUMMYFUNCTION("""COMPUTED_VALUE"""),"5907615803949")</f>
        <v>5907615803949</v>
      </c>
      <c r="C2846" t="str">
        <f>IFERROR(__xludf.DUMMYFUNCTION("""COMPUTED_VALUE"""),"Steinhof")</f>
        <v>Steinhof</v>
      </c>
    </row>
    <row r="2847">
      <c r="A2847" t="str">
        <f>IFERROR(__xludf.DUMMYFUNCTION("""COMPUTED_VALUE"""),"F-044")</f>
        <v>F-044</v>
      </c>
      <c r="B2847" s="226" t="str">
        <f>IFERROR(__xludf.DUMMYFUNCTION("""COMPUTED_VALUE"""),"5907615803949")</f>
        <v>5907615803949</v>
      </c>
      <c r="C2847" t="str">
        <f>IFERROR(__xludf.DUMMYFUNCTION("""COMPUTED_VALUE"""),"Steinhof")</f>
        <v>Steinhof</v>
      </c>
    </row>
    <row r="2848">
      <c r="A2848" t="str">
        <f>IFERROR(__xludf.DUMMYFUNCTION("""COMPUTED_VALUE"""),"F-048")</f>
        <v>F-048</v>
      </c>
      <c r="B2848" s="226" t="str">
        <f>IFERROR(__xludf.DUMMYFUNCTION("""COMPUTED_VALUE"""),"5907615803956")</f>
        <v>5907615803956</v>
      </c>
      <c r="C2848" t="str">
        <f>IFERROR(__xludf.DUMMYFUNCTION("""COMPUTED_VALUE"""),"Steinhof")</f>
        <v>Steinhof</v>
      </c>
    </row>
    <row r="2849">
      <c r="A2849" t="str">
        <f>IFERROR(__xludf.DUMMYFUNCTION("""COMPUTED_VALUE"""),"F-048")</f>
        <v>F-048</v>
      </c>
      <c r="B2849" s="226" t="str">
        <f>IFERROR(__xludf.DUMMYFUNCTION("""COMPUTED_VALUE"""),"5907615803956")</f>
        <v>5907615803956</v>
      </c>
      <c r="C2849" t="str">
        <f>IFERROR(__xludf.DUMMYFUNCTION("""COMPUTED_VALUE"""),"Steinhof")</f>
        <v>Steinhof</v>
      </c>
    </row>
    <row r="2850">
      <c r="A2850" t="str">
        <f>IFERROR(__xludf.DUMMYFUNCTION("""COMPUTED_VALUE"""),"F-048")</f>
        <v>F-048</v>
      </c>
      <c r="B2850" s="226" t="str">
        <f>IFERROR(__xludf.DUMMYFUNCTION("""COMPUTED_VALUE"""),"5907615803956")</f>
        <v>5907615803956</v>
      </c>
      <c r="C2850" t="str">
        <f>IFERROR(__xludf.DUMMYFUNCTION("""COMPUTED_VALUE"""),"Steinhof")</f>
        <v>Steinhof</v>
      </c>
    </row>
    <row r="2851">
      <c r="A2851" t="str">
        <f>IFERROR(__xludf.DUMMYFUNCTION("""COMPUTED_VALUE"""),"F-048")</f>
        <v>F-048</v>
      </c>
      <c r="B2851" s="226" t="str">
        <f>IFERROR(__xludf.DUMMYFUNCTION("""COMPUTED_VALUE"""),"5907615803956")</f>
        <v>5907615803956</v>
      </c>
      <c r="C2851" t="str">
        <f>IFERROR(__xludf.DUMMYFUNCTION("""COMPUTED_VALUE"""),"Steinhof")</f>
        <v>Steinhof</v>
      </c>
    </row>
    <row r="2852">
      <c r="A2852" t="str">
        <f>IFERROR(__xludf.DUMMYFUNCTION("""COMPUTED_VALUE"""),"F-049")</f>
        <v>F-049</v>
      </c>
      <c r="B2852" s="226" t="str">
        <f>IFERROR(__xludf.DUMMYFUNCTION("""COMPUTED_VALUE"""),"5907615803963")</f>
        <v>5907615803963</v>
      </c>
      <c r="C2852" t="str">
        <f>IFERROR(__xludf.DUMMYFUNCTION("""COMPUTED_VALUE"""),"Steinhof")</f>
        <v>Steinhof</v>
      </c>
    </row>
    <row r="2853">
      <c r="A2853" t="str">
        <f>IFERROR(__xludf.DUMMYFUNCTION("""COMPUTED_VALUE"""),"F-049")</f>
        <v>F-049</v>
      </c>
      <c r="B2853" s="226" t="str">
        <f>IFERROR(__xludf.DUMMYFUNCTION("""COMPUTED_VALUE"""),"5907615803963")</f>
        <v>5907615803963</v>
      </c>
      <c r="C2853" t="str">
        <f>IFERROR(__xludf.DUMMYFUNCTION("""COMPUTED_VALUE"""),"Steinhof")</f>
        <v>Steinhof</v>
      </c>
    </row>
    <row r="2854">
      <c r="A2854" t="str">
        <f>IFERROR(__xludf.DUMMYFUNCTION("""COMPUTED_VALUE"""),"F-049")</f>
        <v>F-049</v>
      </c>
      <c r="B2854" s="226" t="str">
        <f>IFERROR(__xludf.DUMMYFUNCTION("""COMPUTED_VALUE"""),"5907615803963")</f>
        <v>5907615803963</v>
      </c>
      <c r="C2854" t="str">
        <f>IFERROR(__xludf.DUMMYFUNCTION("""COMPUTED_VALUE"""),"Steinhof")</f>
        <v>Steinhof</v>
      </c>
    </row>
    <row r="2855">
      <c r="A2855" t="str">
        <f>IFERROR(__xludf.DUMMYFUNCTION("""COMPUTED_VALUE"""),"F-049")</f>
        <v>F-049</v>
      </c>
      <c r="B2855" s="226" t="str">
        <f>IFERROR(__xludf.DUMMYFUNCTION("""COMPUTED_VALUE"""),"5907615803963")</f>
        <v>5907615803963</v>
      </c>
      <c r="C2855" t="str">
        <f>IFERROR(__xludf.DUMMYFUNCTION("""COMPUTED_VALUE"""),"Steinhof")</f>
        <v>Steinhof</v>
      </c>
    </row>
    <row r="2856">
      <c r="A2856" t="str">
        <f>IFERROR(__xludf.DUMMYFUNCTION("""COMPUTED_VALUE"""),"F-050")</f>
        <v>F-050</v>
      </c>
      <c r="B2856" s="226" t="str">
        <f>IFERROR(__xludf.DUMMYFUNCTION("""COMPUTED_VALUE"""),"5907615803970")</f>
        <v>5907615803970</v>
      </c>
      <c r="C2856" t="str">
        <f>IFERROR(__xludf.DUMMYFUNCTION("""COMPUTED_VALUE"""),"Steinhof")</f>
        <v>Steinhof</v>
      </c>
    </row>
    <row r="2857">
      <c r="A2857" t="str">
        <f>IFERROR(__xludf.DUMMYFUNCTION("""COMPUTED_VALUE"""),"F-050")</f>
        <v>F-050</v>
      </c>
      <c r="B2857" s="226" t="str">
        <f>IFERROR(__xludf.DUMMYFUNCTION("""COMPUTED_VALUE"""),"5907615803970")</f>
        <v>5907615803970</v>
      </c>
      <c r="C2857" t="str">
        <f>IFERROR(__xludf.DUMMYFUNCTION("""COMPUTED_VALUE"""),"Steinhof")</f>
        <v>Steinhof</v>
      </c>
    </row>
    <row r="2858">
      <c r="A2858" t="str">
        <f>IFERROR(__xludf.DUMMYFUNCTION("""COMPUTED_VALUE"""),"F-050")</f>
        <v>F-050</v>
      </c>
      <c r="B2858" s="226" t="str">
        <f>IFERROR(__xludf.DUMMYFUNCTION("""COMPUTED_VALUE"""),"5907615803970")</f>
        <v>5907615803970</v>
      </c>
      <c r="C2858" t="str">
        <f>IFERROR(__xludf.DUMMYFUNCTION("""COMPUTED_VALUE"""),"Steinhof")</f>
        <v>Steinhof</v>
      </c>
    </row>
    <row r="2859">
      <c r="A2859" t="str">
        <f>IFERROR(__xludf.DUMMYFUNCTION("""COMPUTED_VALUE"""),"F-050")</f>
        <v>F-050</v>
      </c>
      <c r="B2859" s="226" t="str">
        <f>IFERROR(__xludf.DUMMYFUNCTION("""COMPUTED_VALUE"""),"5907615803970")</f>
        <v>5907615803970</v>
      </c>
      <c r="C2859" t="str">
        <f>IFERROR(__xludf.DUMMYFUNCTION("""COMPUTED_VALUE"""),"Steinhof")</f>
        <v>Steinhof</v>
      </c>
    </row>
    <row r="2860">
      <c r="A2860" t="str">
        <f>IFERROR(__xludf.DUMMYFUNCTION("""COMPUTED_VALUE"""),"F-052")</f>
        <v>F-052</v>
      </c>
      <c r="B2860" s="226" t="str">
        <f>IFERROR(__xludf.DUMMYFUNCTION("""COMPUTED_VALUE"""),"5907615803994")</f>
        <v>5907615803994</v>
      </c>
      <c r="C2860" t="str">
        <f>IFERROR(__xludf.DUMMYFUNCTION("""COMPUTED_VALUE"""),"Steinhof")</f>
        <v>Steinhof</v>
      </c>
    </row>
    <row r="2861">
      <c r="A2861" t="str">
        <f>IFERROR(__xludf.DUMMYFUNCTION("""COMPUTED_VALUE"""),"F-052")</f>
        <v>F-052</v>
      </c>
      <c r="B2861" s="226" t="str">
        <f>IFERROR(__xludf.DUMMYFUNCTION("""COMPUTED_VALUE"""),"5907615803994")</f>
        <v>5907615803994</v>
      </c>
      <c r="C2861" t="str">
        <f>IFERROR(__xludf.DUMMYFUNCTION("""COMPUTED_VALUE"""),"Steinhof")</f>
        <v>Steinhof</v>
      </c>
    </row>
    <row r="2862">
      <c r="A2862" t="str">
        <f>IFERROR(__xludf.DUMMYFUNCTION("""COMPUTED_VALUE"""),"F-061/W7")</f>
        <v>F-061/W7</v>
      </c>
      <c r="B2862" s="226" t="str">
        <f>IFERROR(__xludf.DUMMYFUNCTION("""COMPUTED_VALUE"""),"5907615804007")</f>
        <v>5907615804007</v>
      </c>
      <c r="C2862" t="str">
        <f>IFERROR(__xludf.DUMMYFUNCTION("""COMPUTED_VALUE"""),"Steinhof")</f>
        <v>Steinhof</v>
      </c>
    </row>
    <row r="2863">
      <c r="A2863" t="str">
        <f>IFERROR(__xludf.DUMMYFUNCTION("""COMPUTED_VALUE"""),"F-055")</f>
        <v>F-055</v>
      </c>
      <c r="B2863" s="226" t="str">
        <f>IFERROR(__xludf.DUMMYFUNCTION("""COMPUTED_VALUE"""),"5907615804021")</f>
        <v>5907615804021</v>
      </c>
      <c r="C2863" t="str">
        <f>IFERROR(__xludf.DUMMYFUNCTION("""COMPUTED_VALUE"""),"Steinhof")</f>
        <v>Steinhof</v>
      </c>
    </row>
    <row r="2864">
      <c r="A2864" t="str">
        <f>IFERROR(__xludf.DUMMYFUNCTION("""COMPUTED_VALUE"""),"F-055")</f>
        <v>F-055</v>
      </c>
      <c r="B2864" s="226" t="str">
        <f>IFERROR(__xludf.DUMMYFUNCTION("""COMPUTED_VALUE"""),"5907615804021")</f>
        <v>5907615804021</v>
      </c>
      <c r="C2864" t="str">
        <f>IFERROR(__xludf.DUMMYFUNCTION("""COMPUTED_VALUE"""),"Steinhof")</f>
        <v>Steinhof</v>
      </c>
    </row>
    <row r="2865">
      <c r="A2865" t="str">
        <f>IFERROR(__xludf.DUMMYFUNCTION("""COMPUTED_VALUE"""),"F-056")</f>
        <v>F-056</v>
      </c>
      <c r="B2865" s="226" t="str">
        <f>IFERROR(__xludf.DUMMYFUNCTION("""COMPUTED_VALUE"""),"5907615804038")</f>
        <v>5907615804038</v>
      </c>
      <c r="C2865" t="str">
        <f>IFERROR(__xludf.DUMMYFUNCTION("""COMPUTED_VALUE"""),"Steinhof")</f>
        <v>Steinhof</v>
      </c>
    </row>
    <row r="2866">
      <c r="A2866" t="str">
        <f>IFERROR(__xludf.DUMMYFUNCTION("""COMPUTED_VALUE"""),"F-056")</f>
        <v>F-056</v>
      </c>
      <c r="B2866" s="226" t="str">
        <f>IFERROR(__xludf.DUMMYFUNCTION("""COMPUTED_VALUE"""),"5907615804038")</f>
        <v>5907615804038</v>
      </c>
      <c r="C2866" t="str">
        <f>IFERROR(__xludf.DUMMYFUNCTION("""COMPUTED_VALUE"""),"Steinhof")</f>
        <v>Steinhof</v>
      </c>
    </row>
    <row r="2867">
      <c r="A2867" t="str">
        <f>IFERROR(__xludf.DUMMYFUNCTION("""COMPUTED_VALUE"""),"F-061")</f>
        <v>F-061</v>
      </c>
      <c r="B2867" s="226" t="str">
        <f>IFERROR(__xludf.DUMMYFUNCTION("""COMPUTED_VALUE"""),"5907615804045")</f>
        <v>5907615804045</v>
      </c>
      <c r="C2867" t="str">
        <f>IFERROR(__xludf.DUMMYFUNCTION("""COMPUTED_VALUE"""),"Steinhof")</f>
        <v>Steinhof</v>
      </c>
    </row>
    <row r="2868">
      <c r="A2868" t="str">
        <f>IFERROR(__xludf.DUMMYFUNCTION("""COMPUTED_VALUE"""),"F-061")</f>
        <v>F-061</v>
      </c>
      <c r="B2868" s="226" t="str">
        <f>IFERROR(__xludf.DUMMYFUNCTION("""COMPUTED_VALUE"""),"5907615804045")</f>
        <v>5907615804045</v>
      </c>
      <c r="C2868" t="str">
        <f>IFERROR(__xludf.DUMMYFUNCTION("""COMPUTED_VALUE"""),"Steinhof")</f>
        <v>Steinhof</v>
      </c>
    </row>
    <row r="2869">
      <c r="A2869" t="str">
        <f>IFERROR(__xludf.DUMMYFUNCTION("""COMPUTED_VALUE"""),"F-058")</f>
        <v>F-058</v>
      </c>
      <c r="B2869" s="226" t="str">
        <f>IFERROR(__xludf.DUMMYFUNCTION("""COMPUTED_VALUE"""),"5907615804052")</f>
        <v>5907615804052</v>
      </c>
      <c r="C2869" t="str">
        <f>IFERROR(__xludf.DUMMYFUNCTION("""COMPUTED_VALUE"""),"Steinhof")</f>
        <v>Steinhof</v>
      </c>
    </row>
    <row r="2870">
      <c r="A2870" t="str">
        <f>IFERROR(__xludf.DUMMYFUNCTION("""COMPUTED_VALUE"""),"F-058")</f>
        <v>F-058</v>
      </c>
      <c r="B2870" s="226" t="str">
        <f>IFERROR(__xludf.DUMMYFUNCTION("""COMPUTED_VALUE"""),"5907615804052")</f>
        <v>5907615804052</v>
      </c>
      <c r="C2870" t="str">
        <f>IFERROR(__xludf.DUMMYFUNCTION("""COMPUTED_VALUE"""),"Steinhof")</f>
        <v>Steinhof</v>
      </c>
    </row>
    <row r="2871">
      <c r="A2871" t="str">
        <f>IFERROR(__xludf.DUMMYFUNCTION("""COMPUTED_VALUE"""),"F-060")</f>
        <v>F-060</v>
      </c>
      <c r="B2871" s="226" t="str">
        <f>IFERROR(__xludf.DUMMYFUNCTION("""COMPUTED_VALUE"""),"5907615804076")</f>
        <v>5907615804076</v>
      </c>
      <c r="C2871" t="str">
        <f>IFERROR(__xludf.DUMMYFUNCTION("""COMPUTED_VALUE"""),"Steinhof")</f>
        <v>Steinhof</v>
      </c>
    </row>
    <row r="2872">
      <c r="A2872" t="str">
        <f>IFERROR(__xludf.DUMMYFUNCTION("""COMPUTED_VALUE"""),"F-060")</f>
        <v>F-060</v>
      </c>
      <c r="B2872" s="226" t="str">
        <f>IFERROR(__xludf.DUMMYFUNCTION("""COMPUTED_VALUE"""),"5907615804076")</f>
        <v>5907615804076</v>
      </c>
      <c r="C2872" t="str">
        <f>IFERROR(__xludf.DUMMYFUNCTION("""COMPUTED_VALUE"""),"Steinhof")</f>
        <v>Steinhof</v>
      </c>
    </row>
    <row r="2873">
      <c r="A2873" t="str">
        <f>IFERROR(__xludf.DUMMYFUNCTION("""COMPUTED_VALUE"""),"F-063")</f>
        <v>F-063</v>
      </c>
      <c r="B2873" s="226" t="str">
        <f>IFERROR(__xludf.DUMMYFUNCTION("""COMPUTED_VALUE"""),"5907615804083")</f>
        <v>5907615804083</v>
      </c>
      <c r="C2873" t="str">
        <f>IFERROR(__xludf.DUMMYFUNCTION("""COMPUTED_VALUE"""),"Steinhof")</f>
        <v>Steinhof</v>
      </c>
    </row>
    <row r="2874">
      <c r="A2874" t="str">
        <f>IFERROR(__xludf.DUMMYFUNCTION("""COMPUTED_VALUE"""),"F-063")</f>
        <v>F-063</v>
      </c>
      <c r="B2874" s="226" t="str">
        <f>IFERROR(__xludf.DUMMYFUNCTION("""COMPUTED_VALUE"""),"5907615804083")</f>
        <v>5907615804083</v>
      </c>
      <c r="C2874" t="str">
        <f>IFERROR(__xludf.DUMMYFUNCTION("""COMPUTED_VALUE"""),"Steinhof")</f>
        <v>Steinhof</v>
      </c>
    </row>
    <row r="2875">
      <c r="A2875" t="str">
        <f>IFERROR(__xludf.DUMMYFUNCTION("""COMPUTED_VALUE"""),"F-062")</f>
        <v>F-062</v>
      </c>
      <c r="B2875" s="226" t="str">
        <f>IFERROR(__xludf.DUMMYFUNCTION("""COMPUTED_VALUE"""),"5907615804090")</f>
        <v>5907615804090</v>
      </c>
      <c r="C2875" t="str">
        <f>IFERROR(__xludf.DUMMYFUNCTION("""COMPUTED_VALUE"""),"Steinhof")</f>
        <v>Steinhof</v>
      </c>
    </row>
    <row r="2876">
      <c r="A2876" t="str">
        <f>IFERROR(__xludf.DUMMYFUNCTION("""COMPUTED_VALUE"""),"F-062")</f>
        <v>F-062</v>
      </c>
      <c r="B2876" s="226" t="str">
        <f>IFERROR(__xludf.DUMMYFUNCTION("""COMPUTED_VALUE"""),"5907615804090")</f>
        <v>5907615804090</v>
      </c>
      <c r="C2876" t="str">
        <f>IFERROR(__xludf.DUMMYFUNCTION("""COMPUTED_VALUE"""),"Steinhof")</f>
        <v>Steinhof</v>
      </c>
    </row>
    <row r="2877">
      <c r="A2877" t="str">
        <f>IFERROR(__xludf.DUMMYFUNCTION("""COMPUTED_VALUE"""),"F-062")</f>
        <v>F-062</v>
      </c>
      <c r="B2877" s="226" t="str">
        <f>IFERROR(__xludf.DUMMYFUNCTION("""COMPUTED_VALUE"""),"5907615804090")</f>
        <v>5907615804090</v>
      </c>
      <c r="C2877" t="str">
        <f>IFERROR(__xludf.DUMMYFUNCTION("""COMPUTED_VALUE"""),"Steinhof")</f>
        <v>Steinhof</v>
      </c>
    </row>
    <row r="2878">
      <c r="A2878" t="str">
        <f>IFERROR(__xludf.DUMMYFUNCTION("""COMPUTED_VALUE"""),"F-062")</f>
        <v>F-062</v>
      </c>
      <c r="B2878" s="226" t="str">
        <f>IFERROR(__xludf.DUMMYFUNCTION("""COMPUTED_VALUE"""),"5907615804090")</f>
        <v>5907615804090</v>
      </c>
      <c r="C2878" t="str">
        <f>IFERROR(__xludf.DUMMYFUNCTION("""COMPUTED_VALUE"""),"Steinhof")</f>
        <v>Steinhof</v>
      </c>
    </row>
    <row r="2879">
      <c r="A2879" t="str">
        <f>IFERROR(__xludf.DUMMYFUNCTION("""COMPUTED_VALUE"""),"F-062")</f>
        <v>F-062</v>
      </c>
      <c r="B2879" s="226" t="str">
        <f>IFERROR(__xludf.DUMMYFUNCTION("""COMPUTED_VALUE"""),"5907615804090")</f>
        <v>5907615804090</v>
      </c>
      <c r="C2879" t="str">
        <f>IFERROR(__xludf.DUMMYFUNCTION("""COMPUTED_VALUE"""),"Steinhof")</f>
        <v>Steinhof</v>
      </c>
    </row>
    <row r="2880">
      <c r="A2880" t="str">
        <f>IFERROR(__xludf.DUMMYFUNCTION("""COMPUTED_VALUE"""),"F-062")</f>
        <v>F-062</v>
      </c>
      <c r="B2880" s="226" t="str">
        <f>IFERROR(__xludf.DUMMYFUNCTION("""COMPUTED_VALUE"""),"5907615804090")</f>
        <v>5907615804090</v>
      </c>
      <c r="C2880" t="str">
        <f>IFERROR(__xludf.DUMMYFUNCTION("""COMPUTED_VALUE"""),"Steinhof")</f>
        <v>Steinhof</v>
      </c>
    </row>
    <row r="2881">
      <c r="A2881" t="str">
        <f>IFERROR(__xludf.DUMMYFUNCTION("""COMPUTED_VALUE"""),"F-062")</f>
        <v>F-062</v>
      </c>
      <c r="B2881" s="226" t="str">
        <f>IFERROR(__xludf.DUMMYFUNCTION("""COMPUTED_VALUE"""),"5907615804090")</f>
        <v>5907615804090</v>
      </c>
      <c r="C2881" t="str">
        <f>IFERROR(__xludf.DUMMYFUNCTION("""COMPUTED_VALUE"""),"Steinhof")</f>
        <v>Steinhof</v>
      </c>
    </row>
    <row r="2882">
      <c r="A2882" t="str">
        <f>IFERROR(__xludf.DUMMYFUNCTION("""COMPUTED_VALUE"""),"F-062")</f>
        <v>F-062</v>
      </c>
      <c r="B2882" s="226" t="str">
        <f>IFERROR(__xludf.DUMMYFUNCTION("""COMPUTED_VALUE"""),"5907615804090")</f>
        <v>5907615804090</v>
      </c>
      <c r="C2882" t="str">
        <f>IFERROR(__xludf.DUMMYFUNCTION("""COMPUTED_VALUE"""),"Steinhof")</f>
        <v>Steinhof</v>
      </c>
    </row>
    <row r="2883">
      <c r="A2883" t="str">
        <f>IFERROR(__xludf.DUMMYFUNCTION("""COMPUTED_VALUE"""),"F-062")</f>
        <v>F-062</v>
      </c>
      <c r="B2883" s="226" t="str">
        <f>IFERROR(__xludf.DUMMYFUNCTION("""COMPUTED_VALUE"""),"5907615804090")</f>
        <v>5907615804090</v>
      </c>
      <c r="C2883" t="str">
        <f>IFERROR(__xludf.DUMMYFUNCTION("""COMPUTED_VALUE"""),"Steinhof")</f>
        <v>Steinhof</v>
      </c>
    </row>
    <row r="2884">
      <c r="A2884" t="str">
        <f>IFERROR(__xludf.DUMMYFUNCTION("""COMPUTED_VALUE"""),"F-062")</f>
        <v>F-062</v>
      </c>
      <c r="B2884" s="226" t="str">
        <f>IFERROR(__xludf.DUMMYFUNCTION("""COMPUTED_VALUE"""),"5907615804090")</f>
        <v>5907615804090</v>
      </c>
      <c r="C2884" t="str">
        <f>IFERROR(__xludf.DUMMYFUNCTION("""COMPUTED_VALUE"""),"Steinhof")</f>
        <v>Steinhof</v>
      </c>
    </row>
    <row r="2885">
      <c r="A2885" t="str">
        <f>IFERROR(__xludf.DUMMYFUNCTION("""COMPUTED_VALUE"""),"F-062")</f>
        <v>F-062</v>
      </c>
      <c r="B2885" s="226" t="str">
        <f>IFERROR(__xludf.DUMMYFUNCTION("""COMPUTED_VALUE"""),"5907615804090")</f>
        <v>5907615804090</v>
      </c>
      <c r="C2885" t="str">
        <f>IFERROR(__xludf.DUMMYFUNCTION("""COMPUTED_VALUE"""),"Steinhof")</f>
        <v>Steinhof</v>
      </c>
    </row>
    <row r="2886">
      <c r="A2886" t="str">
        <f>IFERROR(__xludf.DUMMYFUNCTION("""COMPUTED_VALUE"""),"F-062")</f>
        <v>F-062</v>
      </c>
      <c r="B2886" s="226" t="str">
        <f>IFERROR(__xludf.DUMMYFUNCTION("""COMPUTED_VALUE"""),"5907615804090")</f>
        <v>5907615804090</v>
      </c>
      <c r="C2886" t="str">
        <f>IFERROR(__xludf.DUMMYFUNCTION("""COMPUTED_VALUE"""),"Steinhof")</f>
        <v>Steinhof</v>
      </c>
    </row>
    <row r="2887">
      <c r="A2887" t="str">
        <f>IFERROR(__xludf.DUMMYFUNCTION("""COMPUTED_VALUE"""),"F-062")</f>
        <v>F-062</v>
      </c>
      <c r="B2887" s="226" t="str">
        <f>IFERROR(__xludf.DUMMYFUNCTION("""COMPUTED_VALUE"""),"5907615804090")</f>
        <v>5907615804090</v>
      </c>
      <c r="C2887" t="str">
        <f>IFERROR(__xludf.DUMMYFUNCTION("""COMPUTED_VALUE"""),"Steinhof")</f>
        <v>Steinhof</v>
      </c>
    </row>
    <row r="2888">
      <c r="A2888" t="str">
        <f>IFERROR(__xludf.DUMMYFUNCTION("""COMPUTED_VALUE"""),"F-062")</f>
        <v>F-062</v>
      </c>
      <c r="B2888" s="226" t="str">
        <f>IFERROR(__xludf.DUMMYFUNCTION("""COMPUTED_VALUE"""),"5907615804090")</f>
        <v>5907615804090</v>
      </c>
      <c r="C2888" t="str">
        <f>IFERROR(__xludf.DUMMYFUNCTION("""COMPUTED_VALUE"""),"Steinhof")</f>
        <v>Steinhof</v>
      </c>
    </row>
    <row r="2889">
      <c r="A2889" t="str">
        <f>IFERROR(__xludf.DUMMYFUNCTION("""COMPUTED_VALUE"""),"F-062")</f>
        <v>F-062</v>
      </c>
      <c r="B2889" s="226" t="str">
        <f>IFERROR(__xludf.DUMMYFUNCTION("""COMPUTED_VALUE"""),"5907615804090")</f>
        <v>5907615804090</v>
      </c>
      <c r="C2889" t="str">
        <f>IFERROR(__xludf.DUMMYFUNCTION("""COMPUTED_VALUE"""),"Steinhof")</f>
        <v>Steinhof</v>
      </c>
    </row>
    <row r="2890">
      <c r="A2890" t="str">
        <f>IFERROR(__xludf.DUMMYFUNCTION("""COMPUTED_VALUE"""),"F-062")</f>
        <v>F-062</v>
      </c>
      <c r="B2890" s="226" t="str">
        <f>IFERROR(__xludf.DUMMYFUNCTION("""COMPUTED_VALUE"""),"5907615804090")</f>
        <v>5907615804090</v>
      </c>
      <c r="C2890" t="str">
        <f>IFERROR(__xludf.DUMMYFUNCTION("""COMPUTED_VALUE"""),"Steinhof")</f>
        <v>Steinhof</v>
      </c>
    </row>
    <row r="2891">
      <c r="A2891" t="str">
        <f>IFERROR(__xludf.DUMMYFUNCTION("""COMPUTED_VALUE"""),"F-062")</f>
        <v>F-062</v>
      </c>
      <c r="B2891" s="226" t="str">
        <f>IFERROR(__xludf.DUMMYFUNCTION("""COMPUTED_VALUE"""),"5907615804090")</f>
        <v>5907615804090</v>
      </c>
      <c r="C2891" t="str">
        <f>IFERROR(__xludf.DUMMYFUNCTION("""COMPUTED_VALUE"""),"Steinhof")</f>
        <v>Steinhof</v>
      </c>
    </row>
    <row r="2892">
      <c r="A2892" t="str">
        <f>IFERROR(__xludf.DUMMYFUNCTION("""COMPUTED_VALUE"""),"F-062")</f>
        <v>F-062</v>
      </c>
      <c r="B2892" s="226" t="str">
        <f>IFERROR(__xludf.DUMMYFUNCTION("""COMPUTED_VALUE"""),"5907615804090")</f>
        <v>5907615804090</v>
      </c>
      <c r="C2892" t="str">
        <f>IFERROR(__xludf.DUMMYFUNCTION("""COMPUTED_VALUE"""),"Steinhof")</f>
        <v>Steinhof</v>
      </c>
    </row>
    <row r="2893">
      <c r="A2893" t="str">
        <f>IFERROR(__xludf.DUMMYFUNCTION("""COMPUTED_VALUE"""),"F-062")</f>
        <v>F-062</v>
      </c>
      <c r="B2893" s="226" t="str">
        <f>IFERROR(__xludf.DUMMYFUNCTION("""COMPUTED_VALUE"""),"5907615804090")</f>
        <v>5907615804090</v>
      </c>
      <c r="C2893" t="str">
        <f>IFERROR(__xludf.DUMMYFUNCTION("""COMPUTED_VALUE"""),"Steinhof")</f>
        <v>Steinhof</v>
      </c>
    </row>
    <row r="2894">
      <c r="A2894" t="str">
        <f>IFERROR(__xludf.DUMMYFUNCTION("""COMPUTED_VALUE"""),"F-062")</f>
        <v>F-062</v>
      </c>
      <c r="B2894" s="226" t="str">
        <f>IFERROR(__xludf.DUMMYFUNCTION("""COMPUTED_VALUE"""),"5907615804090")</f>
        <v>5907615804090</v>
      </c>
      <c r="C2894" t="str">
        <f>IFERROR(__xludf.DUMMYFUNCTION("""COMPUTED_VALUE"""),"Steinhof")</f>
        <v>Steinhof</v>
      </c>
    </row>
    <row r="2895">
      <c r="A2895" t="str">
        <f>IFERROR(__xludf.DUMMYFUNCTION("""COMPUTED_VALUE"""),"F-062")</f>
        <v>F-062</v>
      </c>
      <c r="B2895" s="226" t="str">
        <f>IFERROR(__xludf.DUMMYFUNCTION("""COMPUTED_VALUE"""),"5907615804090")</f>
        <v>5907615804090</v>
      </c>
      <c r="C2895" t="str">
        <f>IFERROR(__xludf.DUMMYFUNCTION("""COMPUTED_VALUE"""),"Steinhof")</f>
        <v>Steinhof</v>
      </c>
    </row>
    <row r="2896">
      <c r="A2896" t="str">
        <f>IFERROR(__xludf.DUMMYFUNCTION("""COMPUTED_VALUE"""),"F-062")</f>
        <v>F-062</v>
      </c>
      <c r="B2896" s="226" t="str">
        <f>IFERROR(__xludf.DUMMYFUNCTION("""COMPUTED_VALUE"""),"5907615804090")</f>
        <v>5907615804090</v>
      </c>
      <c r="C2896" t="str">
        <f>IFERROR(__xludf.DUMMYFUNCTION("""COMPUTED_VALUE"""),"Steinhof")</f>
        <v>Steinhof</v>
      </c>
    </row>
    <row r="2897">
      <c r="A2897" t="str">
        <f>IFERROR(__xludf.DUMMYFUNCTION("""COMPUTED_VALUE"""),"F-062")</f>
        <v>F-062</v>
      </c>
      <c r="B2897" s="226" t="str">
        <f>IFERROR(__xludf.DUMMYFUNCTION("""COMPUTED_VALUE"""),"5907615804090")</f>
        <v>5907615804090</v>
      </c>
      <c r="C2897" t="str">
        <f>IFERROR(__xludf.DUMMYFUNCTION("""COMPUTED_VALUE"""),"Steinhof")</f>
        <v>Steinhof</v>
      </c>
    </row>
    <row r="2898">
      <c r="A2898" t="str">
        <f>IFERROR(__xludf.DUMMYFUNCTION("""COMPUTED_VALUE"""),"F-062")</f>
        <v>F-062</v>
      </c>
      <c r="B2898" s="226" t="str">
        <f>IFERROR(__xludf.DUMMYFUNCTION("""COMPUTED_VALUE"""),"5907615804090")</f>
        <v>5907615804090</v>
      </c>
      <c r="C2898" t="str">
        <f>IFERROR(__xludf.DUMMYFUNCTION("""COMPUTED_VALUE"""),"Steinhof")</f>
        <v>Steinhof</v>
      </c>
    </row>
    <row r="2899">
      <c r="A2899" t="str">
        <f>IFERROR(__xludf.DUMMYFUNCTION("""COMPUTED_VALUE"""),"F-062")</f>
        <v>F-062</v>
      </c>
      <c r="B2899" s="226" t="str">
        <f>IFERROR(__xludf.DUMMYFUNCTION("""COMPUTED_VALUE"""),"5907615804090")</f>
        <v>5907615804090</v>
      </c>
      <c r="C2899" t="str">
        <f>IFERROR(__xludf.DUMMYFUNCTION("""COMPUTED_VALUE"""),"Steinhof")</f>
        <v>Steinhof</v>
      </c>
    </row>
    <row r="2900">
      <c r="A2900" t="str">
        <f>IFERROR(__xludf.DUMMYFUNCTION("""COMPUTED_VALUE"""),"F-062")</f>
        <v>F-062</v>
      </c>
      <c r="B2900" s="226" t="str">
        <f>IFERROR(__xludf.DUMMYFUNCTION("""COMPUTED_VALUE"""),"5907615804090")</f>
        <v>5907615804090</v>
      </c>
      <c r="C2900" t="str">
        <f>IFERROR(__xludf.DUMMYFUNCTION("""COMPUTED_VALUE"""),"Steinhof")</f>
        <v>Steinhof</v>
      </c>
    </row>
    <row r="2901">
      <c r="A2901" t="str">
        <f>IFERROR(__xludf.DUMMYFUNCTION("""COMPUTED_VALUE"""),"F-062")</f>
        <v>F-062</v>
      </c>
      <c r="B2901" s="226" t="str">
        <f>IFERROR(__xludf.DUMMYFUNCTION("""COMPUTED_VALUE"""),"5907615804090")</f>
        <v>5907615804090</v>
      </c>
      <c r="C2901" t="str">
        <f>IFERROR(__xludf.DUMMYFUNCTION("""COMPUTED_VALUE"""),"Steinhof")</f>
        <v>Steinhof</v>
      </c>
    </row>
    <row r="2902">
      <c r="A2902" t="str">
        <f>IFERROR(__xludf.DUMMYFUNCTION("""COMPUTED_VALUE"""),"F-062")</f>
        <v>F-062</v>
      </c>
      <c r="B2902" s="226" t="str">
        <f>IFERROR(__xludf.DUMMYFUNCTION("""COMPUTED_VALUE"""),"5907615804090")</f>
        <v>5907615804090</v>
      </c>
      <c r="C2902" t="str">
        <f>IFERROR(__xludf.DUMMYFUNCTION("""COMPUTED_VALUE"""),"Steinhof")</f>
        <v>Steinhof</v>
      </c>
    </row>
    <row r="2903">
      <c r="A2903" t="str">
        <f>IFERROR(__xludf.DUMMYFUNCTION("""COMPUTED_VALUE"""),"F-062")</f>
        <v>F-062</v>
      </c>
      <c r="B2903" s="226" t="str">
        <f>IFERROR(__xludf.DUMMYFUNCTION("""COMPUTED_VALUE"""),"5907615804090")</f>
        <v>5907615804090</v>
      </c>
      <c r="C2903" t="str">
        <f>IFERROR(__xludf.DUMMYFUNCTION("""COMPUTED_VALUE"""),"Steinhof")</f>
        <v>Steinhof</v>
      </c>
    </row>
    <row r="2904">
      <c r="A2904" t="str">
        <f>IFERROR(__xludf.DUMMYFUNCTION("""COMPUTED_VALUE"""),"F-062")</f>
        <v>F-062</v>
      </c>
      <c r="B2904" s="226" t="str">
        <f>IFERROR(__xludf.DUMMYFUNCTION("""COMPUTED_VALUE"""),"5907615804090")</f>
        <v>5907615804090</v>
      </c>
      <c r="C2904" t="str">
        <f>IFERROR(__xludf.DUMMYFUNCTION("""COMPUTED_VALUE"""),"Steinhof")</f>
        <v>Steinhof</v>
      </c>
    </row>
    <row r="2905">
      <c r="A2905" t="str">
        <f>IFERROR(__xludf.DUMMYFUNCTION("""COMPUTED_VALUE"""),"F-062")</f>
        <v>F-062</v>
      </c>
      <c r="B2905" s="226" t="str">
        <f>IFERROR(__xludf.DUMMYFUNCTION("""COMPUTED_VALUE"""),"5907615804090")</f>
        <v>5907615804090</v>
      </c>
      <c r="C2905" t="str">
        <f>IFERROR(__xludf.DUMMYFUNCTION("""COMPUTED_VALUE"""),"Steinhof")</f>
        <v>Steinhof</v>
      </c>
    </row>
    <row r="2906">
      <c r="A2906" t="str">
        <f>IFERROR(__xludf.DUMMYFUNCTION("""COMPUTED_VALUE"""),"F-062")</f>
        <v>F-062</v>
      </c>
      <c r="B2906" s="226" t="str">
        <f>IFERROR(__xludf.DUMMYFUNCTION("""COMPUTED_VALUE"""),"5907615804090")</f>
        <v>5907615804090</v>
      </c>
      <c r="C2906" t="str">
        <f>IFERROR(__xludf.DUMMYFUNCTION("""COMPUTED_VALUE"""),"Steinhof")</f>
        <v>Steinhof</v>
      </c>
    </row>
    <row r="2907">
      <c r="A2907" t="str">
        <f>IFERROR(__xludf.DUMMYFUNCTION("""COMPUTED_VALUE"""),"F-062")</f>
        <v>F-062</v>
      </c>
      <c r="B2907" s="226" t="str">
        <f>IFERROR(__xludf.DUMMYFUNCTION("""COMPUTED_VALUE"""),"5907615804090")</f>
        <v>5907615804090</v>
      </c>
      <c r="C2907" t="str">
        <f>IFERROR(__xludf.DUMMYFUNCTION("""COMPUTED_VALUE"""),"Steinhof")</f>
        <v>Steinhof</v>
      </c>
    </row>
    <row r="2908">
      <c r="A2908" t="str">
        <f>IFERROR(__xludf.DUMMYFUNCTION("""COMPUTED_VALUE"""),"F-062")</f>
        <v>F-062</v>
      </c>
      <c r="B2908" s="226" t="str">
        <f>IFERROR(__xludf.DUMMYFUNCTION("""COMPUTED_VALUE"""),"5907615804090")</f>
        <v>5907615804090</v>
      </c>
      <c r="C2908" t="str">
        <f>IFERROR(__xludf.DUMMYFUNCTION("""COMPUTED_VALUE"""),"Steinhof")</f>
        <v>Steinhof</v>
      </c>
    </row>
    <row r="2909">
      <c r="A2909" t="str">
        <f>IFERROR(__xludf.DUMMYFUNCTION("""COMPUTED_VALUE"""),"F-062")</f>
        <v>F-062</v>
      </c>
      <c r="B2909" s="226" t="str">
        <f>IFERROR(__xludf.DUMMYFUNCTION("""COMPUTED_VALUE"""),"5907615804090")</f>
        <v>5907615804090</v>
      </c>
      <c r="C2909" t="str">
        <f>IFERROR(__xludf.DUMMYFUNCTION("""COMPUTED_VALUE"""),"Steinhof")</f>
        <v>Steinhof</v>
      </c>
    </row>
    <row r="2910">
      <c r="A2910" t="str">
        <f>IFERROR(__xludf.DUMMYFUNCTION("""COMPUTED_VALUE"""),"F-062")</f>
        <v>F-062</v>
      </c>
      <c r="B2910" s="226" t="str">
        <f>IFERROR(__xludf.DUMMYFUNCTION("""COMPUTED_VALUE"""),"5907615804090")</f>
        <v>5907615804090</v>
      </c>
      <c r="C2910" t="str">
        <f>IFERROR(__xludf.DUMMYFUNCTION("""COMPUTED_VALUE"""),"Steinhof")</f>
        <v>Steinhof</v>
      </c>
    </row>
    <row r="2911">
      <c r="A2911" t="str">
        <f>IFERROR(__xludf.DUMMYFUNCTION("""COMPUTED_VALUE"""),"F-066")</f>
        <v>F-066</v>
      </c>
      <c r="B2911" s="226" t="str">
        <f>IFERROR(__xludf.DUMMYFUNCTION("""COMPUTED_VALUE"""),"5907615804106")</f>
        <v>5907615804106</v>
      </c>
      <c r="C2911" t="str">
        <f>IFERROR(__xludf.DUMMYFUNCTION("""COMPUTED_VALUE"""),"Steinhof")</f>
        <v>Steinhof</v>
      </c>
    </row>
    <row r="2912">
      <c r="A2912" t="str">
        <f>IFERROR(__xludf.DUMMYFUNCTION("""COMPUTED_VALUE"""),"F-066")</f>
        <v>F-066</v>
      </c>
      <c r="B2912" s="226" t="str">
        <f>IFERROR(__xludf.DUMMYFUNCTION("""COMPUTED_VALUE"""),"5907615804106")</f>
        <v>5907615804106</v>
      </c>
      <c r="C2912" t="str">
        <f>IFERROR(__xludf.DUMMYFUNCTION("""COMPUTED_VALUE"""),"Steinhof")</f>
        <v>Steinhof</v>
      </c>
    </row>
    <row r="2913">
      <c r="A2913" t="str">
        <f>IFERROR(__xludf.DUMMYFUNCTION("""COMPUTED_VALUE"""),"F-066")</f>
        <v>F-066</v>
      </c>
      <c r="B2913" s="226" t="str">
        <f>IFERROR(__xludf.DUMMYFUNCTION("""COMPUTED_VALUE"""),"5907615804106")</f>
        <v>5907615804106</v>
      </c>
      <c r="C2913" t="str">
        <f>IFERROR(__xludf.DUMMYFUNCTION("""COMPUTED_VALUE"""),"Steinhof")</f>
        <v>Steinhof</v>
      </c>
    </row>
    <row r="2914">
      <c r="A2914" t="str">
        <f>IFERROR(__xludf.DUMMYFUNCTION("""COMPUTED_VALUE"""),"F-066")</f>
        <v>F-066</v>
      </c>
      <c r="B2914" s="226" t="str">
        <f>IFERROR(__xludf.DUMMYFUNCTION("""COMPUTED_VALUE"""),"5907615804106")</f>
        <v>5907615804106</v>
      </c>
      <c r="C2914" t="str">
        <f>IFERROR(__xludf.DUMMYFUNCTION("""COMPUTED_VALUE"""),"Steinhof")</f>
        <v>Steinhof</v>
      </c>
    </row>
    <row r="2915">
      <c r="A2915" t="str">
        <f>IFERROR(__xludf.DUMMYFUNCTION("""COMPUTED_VALUE"""),"F-066")</f>
        <v>F-066</v>
      </c>
      <c r="B2915" s="226" t="str">
        <f>IFERROR(__xludf.DUMMYFUNCTION("""COMPUTED_VALUE"""),"5907615804106")</f>
        <v>5907615804106</v>
      </c>
      <c r="C2915" t="str">
        <f>IFERROR(__xludf.DUMMYFUNCTION("""COMPUTED_VALUE"""),"Steinhof")</f>
        <v>Steinhof</v>
      </c>
    </row>
    <row r="2916">
      <c r="A2916" t="str">
        <f>IFERROR(__xludf.DUMMYFUNCTION("""COMPUTED_VALUE"""),"F-066")</f>
        <v>F-066</v>
      </c>
      <c r="B2916" s="226" t="str">
        <f>IFERROR(__xludf.DUMMYFUNCTION("""COMPUTED_VALUE"""),"5907615804106")</f>
        <v>5907615804106</v>
      </c>
      <c r="C2916" t="str">
        <f>IFERROR(__xludf.DUMMYFUNCTION("""COMPUTED_VALUE"""),"Steinhof")</f>
        <v>Steinhof</v>
      </c>
    </row>
    <row r="2917">
      <c r="A2917" t="str">
        <f>IFERROR(__xludf.DUMMYFUNCTION("""COMPUTED_VALUE"""),"F-066")</f>
        <v>F-066</v>
      </c>
      <c r="B2917" s="226" t="str">
        <f>IFERROR(__xludf.DUMMYFUNCTION("""COMPUTED_VALUE"""),"5907615804106")</f>
        <v>5907615804106</v>
      </c>
      <c r="C2917" t="str">
        <f>IFERROR(__xludf.DUMMYFUNCTION("""COMPUTED_VALUE"""),"Steinhof")</f>
        <v>Steinhof</v>
      </c>
    </row>
    <row r="2918">
      <c r="A2918" t="str">
        <f>IFERROR(__xludf.DUMMYFUNCTION("""COMPUTED_VALUE"""),"F-066")</f>
        <v>F-066</v>
      </c>
      <c r="B2918" s="226" t="str">
        <f>IFERROR(__xludf.DUMMYFUNCTION("""COMPUTED_VALUE"""),"5907615804106")</f>
        <v>5907615804106</v>
      </c>
      <c r="C2918" t="str">
        <f>IFERROR(__xludf.DUMMYFUNCTION("""COMPUTED_VALUE"""),"Steinhof")</f>
        <v>Steinhof</v>
      </c>
    </row>
    <row r="2919">
      <c r="A2919" t="str">
        <f>IFERROR(__xludf.DUMMYFUNCTION("""COMPUTED_VALUE"""),"F-066")</f>
        <v>F-066</v>
      </c>
      <c r="B2919" s="226" t="str">
        <f>IFERROR(__xludf.DUMMYFUNCTION("""COMPUTED_VALUE"""),"5907615804106")</f>
        <v>5907615804106</v>
      </c>
      <c r="C2919" t="str">
        <f>IFERROR(__xludf.DUMMYFUNCTION("""COMPUTED_VALUE"""),"Steinhof")</f>
        <v>Steinhof</v>
      </c>
    </row>
    <row r="2920">
      <c r="A2920" t="str">
        <f>IFERROR(__xludf.DUMMYFUNCTION("""COMPUTED_VALUE"""),"F-066")</f>
        <v>F-066</v>
      </c>
      <c r="B2920" s="226" t="str">
        <f>IFERROR(__xludf.DUMMYFUNCTION("""COMPUTED_VALUE"""),"5907615804106")</f>
        <v>5907615804106</v>
      </c>
      <c r="C2920" t="str">
        <f>IFERROR(__xludf.DUMMYFUNCTION("""COMPUTED_VALUE"""),"Steinhof")</f>
        <v>Steinhof</v>
      </c>
    </row>
    <row r="2921">
      <c r="A2921" t="str">
        <f>IFERROR(__xludf.DUMMYFUNCTION("""COMPUTED_VALUE"""),"F-066")</f>
        <v>F-066</v>
      </c>
      <c r="B2921" s="226" t="str">
        <f>IFERROR(__xludf.DUMMYFUNCTION("""COMPUTED_VALUE"""),"5907615804106")</f>
        <v>5907615804106</v>
      </c>
      <c r="C2921" t="str">
        <f>IFERROR(__xludf.DUMMYFUNCTION("""COMPUTED_VALUE"""),"Steinhof")</f>
        <v>Steinhof</v>
      </c>
    </row>
    <row r="2922">
      <c r="A2922" t="str">
        <f>IFERROR(__xludf.DUMMYFUNCTION("""COMPUTED_VALUE"""),"F-066")</f>
        <v>F-066</v>
      </c>
      <c r="B2922" s="226" t="str">
        <f>IFERROR(__xludf.DUMMYFUNCTION("""COMPUTED_VALUE"""),"5907615804106")</f>
        <v>5907615804106</v>
      </c>
      <c r="C2922" t="str">
        <f>IFERROR(__xludf.DUMMYFUNCTION("""COMPUTED_VALUE"""),"Steinhof")</f>
        <v>Steinhof</v>
      </c>
    </row>
    <row r="2923">
      <c r="A2923" t="str">
        <f>IFERROR(__xludf.DUMMYFUNCTION("""COMPUTED_VALUE"""),"F-067")</f>
        <v>F-067</v>
      </c>
      <c r="B2923" s="226" t="str">
        <f>IFERROR(__xludf.DUMMYFUNCTION("""COMPUTED_VALUE"""),"5907615804113")</f>
        <v>5907615804113</v>
      </c>
      <c r="C2923" t="str">
        <f>IFERROR(__xludf.DUMMYFUNCTION("""COMPUTED_VALUE"""),"Steinhof")</f>
        <v>Steinhof</v>
      </c>
    </row>
    <row r="2924">
      <c r="A2924" t="str">
        <f>IFERROR(__xludf.DUMMYFUNCTION("""COMPUTED_VALUE"""),"F-067")</f>
        <v>F-067</v>
      </c>
      <c r="B2924" s="226" t="str">
        <f>IFERROR(__xludf.DUMMYFUNCTION("""COMPUTED_VALUE"""),"5907615804113")</f>
        <v>5907615804113</v>
      </c>
      <c r="C2924" t="str">
        <f>IFERROR(__xludf.DUMMYFUNCTION("""COMPUTED_VALUE"""),"Steinhof")</f>
        <v>Steinhof</v>
      </c>
    </row>
    <row r="2925">
      <c r="A2925" t="str">
        <f>IFERROR(__xludf.DUMMYFUNCTION("""COMPUTED_VALUE"""),"F-064")</f>
        <v>F-064</v>
      </c>
      <c r="B2925" s="226" t="str">
        <f>IFERROR(__xludf.DUMMYFUNCTION("""COMPUTED_VALUE"""),"5907615804120")</f>
        <v>5907615804120</v>
      </c>
      <c r="C2925" t="str">
        <f>IFERROR(__xludf.DUMMYFUNCTION("""COMPUTED_VALUE"""),"Steinhof")</f>
        <v>Steinhof</v>
      </c>
    </row>
    <row r="2926">
      <c r="A2926" t="str">
        <f>IFERROR(__xludf.DUMMYFUNCTION("""COMPUTED_VALUE"""),"F-064")</f>
        <v>F-064</v>
      </c>
      <c r="B2926" s="226" t="str">
        <f>IFERROR(__xludf.DUMMYFUNCTION("""COMPUTED_VALUE"""),"5907615804120")</f>
        <v>5907615804120</v>
      </c>
      <c r="C2926" t="str">
        <f>IFERROR(__xludf.DUMMYFUNCTION("""COMPUTED_VALUE"""),"Steinhof")</f>
        <v>Steinhof</v>
      </c>
    </row>
    <row r="2927">
      <c r="A2927" t="str">
        <f>IFERROR(__xludf.DUMMYFUNCTION("""COMPUTED_VALUE"""),"F-064")</f>
        <v>F-064</v>
      </c>
      <c r="B2927" s="226" t="str">
        <f>IFERROR(__xludf.DUMMYFUNCTION("""COMPUTED_VALUE"""),"5907615804120")</f>
        <v>5907615804120</v>
      </c>
      <c r="C2927" t="str">
        <f>IFERROR(__xludf.DUMMYFUNCTION("""COMPUTED_VALUE"""),"Steinhof")</f>
        <v>Steinhof</v>
      </c>
    </row>
    <row r="2928">
      <c r="A2928" t="str">
        <f>IFERROR(__xludf.DUMMYFUNCTION("""COMPUTED_VALUE"""),"F-064")</f>
        <v>F-064</v>
      </c>
      <c r="B2928" s="226" t="str">
        <f>IFERROR(__xludf.DUMMYFUNCTION("""COMPUTED_VALUE"""),"5907615804120")</f>
        <v>5907615804120</v>
      </c>
      <c r="C2928" t="str">
        <f>IFERROR(__xludf.DUMMYFUNCTION("""COMPUTED_VALUE"""),"Steinhof")</f>
        <v>Steinhof</v>
      </c>
    </row>
    <row r="2929">
      <c r="A2929" t="str">
        <f>IFERROR(__xludf.DUMMYFUNCTION("""COMPUTED_VALUE"""),"F-064")</f>
        <v>F-064</v>
      </c>
      <c r="B2929" s="226" t="str">
        <f>IFERROR(__xludf.DUMMYFUNCTION("""COMPUTED_VALUE"""),"5907615804120")</f>
        <v>5907615804120</v>
      </c>
      <c r="C2929" t="str">
        <f>IFERROR(__xludf.DUMMYFUNCTION("""COMPUTED_VALUE"""),"Steinhof")</f>
        <v>Steinhof</v>
      </c>
    </row>
    <row r="2930">
      <c r="A2930" t="str">
        <f>IFERROR(__xludf.DUMMYFUNCTION("""COMPUTED_VALUE"""),"F-064")</f>
        <v>F-064</v>
      </c>
      <c r="B2930" s="226" t="str">
        <f>IFERROR(__xludf.DUMMYFUNCTION("""COMPUTED_VALUE"""),"5907615804120")</f>
        <v>5907615804120</v>
      </c>
      <c r="C2930" t="str">
        <f>IFERROR(__xludf.DUMMYFUNCTION("""COMPUTED_VALUE"""),"Steinhof")</f>
        <v>Steinhof</v>
      </c>
    </row>
    <row r="2931">
      <c r="A2931" t="str">
        <f>IFERROR(__xludf.DUMMYFUNCTION("""COMPUTED_VALUE"""),"F-064")</f>
        <v>F-064</v>
      </c>
      <c r="B2931" s="226" t="str">
        <f>IFERROR(__xludf.DUMMYFUNCTION("""COMPUTED_VALUE"""),"5907615804120")</f>
        <v>5907615804120</v>
      </c>
      <c r="C2931" t="str">
        <f>IFERROR(__xludf.DUMMYFUNCTION("""COMPUTED_VALUE"""),"Steinhof")</f>
        <v>Steinhof</v>
      </c>
    </row>
    <row r="2932">
      <c r="A2932" t="str">
        <f>IFERROR(__xludf.DUMMYFUNCTION("""COMPUTED_VALUE"""),"F-064")</f>
        <v>F-064</v>
      </c>
      <c r="B2932" s="226" t="str">
        <f>IFERROR(__xludf.DUMMYFUNCTION("""COMPUTED_VALUE"""),"5907615804120")</f>
        <v>5907615804120</v>
      </c>
      <c r="C2932" t="str">
        <f>IFERROR(__xludf.DUMMYFUNCTION("""COMPUTED_VALUE"""),"Steinhof")</f>
        <v>Steinhof</v>
      </c>
    </row>
    <row r="2933">
      <c r="A2933" t="str">
        <f>IFERROR(__xludf.DUMMYFUNCTION("""COMPUTED_VALUE"""),"F-064")</f>
        <v>F-064</v>
      </c>
      <c r="B2933" s="226" t="str">
        <f>IFERROR(__xludf.DUMMYFUNCTION("""COMPUTED_VALUE"""),"5907615804120")</f>
        <v>5907615804120</v>
      </c>
      <c r="C2933" t="str">
        <f>IFERROR(__xludf.DUMMYFUNCTION("""COMPUTED_VALUE"""),"Steinhof")</f>
        <v>Steinhof</v>
      </c>
    </row>
    <row r="2934">
      <c r="A2934" t="str">
        <f>IFERROR(__xludf.DUMMYFUNCTION("""COMPUTED_VALUE"""),"F-064")</f>
        <v>F-064</v>
      </c>
      <c r="B2934" s="226" t="str">
        <f>IFERROR(__xludf.DUMMYFUNCTION("""COMPUTED_VALUE"""),"5907615804120")</f>
        <v>5907615804120</v>
      </c>
      <c r="C2934" t="str">
        <f>IFERROR(__xludf.DUMMYFUNCTION("""COMPUTED_VALUE"""),"Steinhof")</f>
        <v>Steinhof</v>
      </c>
    </row>
    <row r="2935">
      <c r="A2935" t="str">
        <f>IFERROR(__xludf.DUMMYFUNCTION("""COMPUTED_VALUE"""),"F-064")</f>
        <v>F-064</v>
      </c>
      <c r="B2935" s="226" t="str">
        <f>IFERROR(__xludf.DUMMYFUNCTION("""COMPUTED_VALUE"""),"5907615804120")</f>
        <v>5907615804120</v>
      </c>
      <c r="C2935" t="str">
        <f>IFERROR(__xludf.DUMMYFUNCTION("""COMPUTED_VALUE"""),"Steinhof")</f>
        <v>Steinhof</v>
      </c>
    </row>
    <row r="2936">
      <c r="A2936" t="str">
        <f>IFERROR(__xludf.DUMMYFUNCTION("""COMPUTED_VALUE"""),"F-064")</f>
        <v>F-064</v>
      </c>
      <c r="B2936" s="226" t="str">
        <f>IFERROR(__xludf.DUMMYFUNCTION("""COMPUTED_VALUE"""),"5907615804120")</f>
        <v>5907615804120</v>
      </c>
      <c r="C2936" t="str">
        <f>IFERROR(__xludf.DUMMYFUNCTION("""COMPUTED_VALUE"""),"Steinhof")</f>
        <v>Steinhof</v>
      </c>
    </row>
    <row r="2937">
      <c r="A2937" t="str">
        <f>IFERROR(__xludf.DUMMYFUNCTION("""COMPUTED_VALUE"""),"F-064")</f>
        <v>F-064</v>
      </c>
      <c r="B2937" s="226" t="str">
        <f>IFERROR(__xludf.DUMMYFUNCTION("""COMPUTED_VALUE"""),"5907615804120")</f>
        <v>5907615804120</v>
      </c>
      <c r="C2937" t="str">
        <f>IFERROR(__xludf.DUMMYFUNCTION("""COMPUTED_VALUE"""),"Steinhof")</f>
        <v>Steinhof</v>
      </c>
    </row>
    <row r="2938">
      <c r="A2938" t="str">
        <f>IFERROR(__xludf.DUMMYFUNCTION("""COMPUTED_VALUE"""),"F-064")</f>
        <v>F-064</v>
      </c>
      <c r="B2938" s="226" t="str">
        <f>IFERROR(__xludf.DUMMYFUNCTION("""COMPUTED_VALUE"""),"5907615804120")</f>
        <v>5907615804120</v>
      </c>
      <c r="C2938" t="str">
        <f>IFERROR(__xludf.DUMMYFUNCTION("""COMPUTED_VALUE"""),"Steinhof")</f>
        <v>Steinhof</v>
      </c>
    </row>
    <row r="2939">
      <c r="A2939" t="str">
        <f>IFERROR(__xludf.DUMMYFUNCTION("""COMPUTED_VALUE"""),"F-064")</f>
        <v>F-064</v>
      </c>
      <c r="B2939" s="226" t="str">
        <f>IFERROR(__xludf.DUMMYFUNCTION("""COMPUTED_VALUE"""),"5907615804120")</f>
        <v>5907615804120</v>
      </c>
      <c r="C2939" t="str">
        <f>IFERROR(__xludf.DUMMYFUNCTION("""COMPUTED_VALUE"""),"Steinhof")</f>
        <v>Steinhof</v>
      </c>
    </row>
    <row r="2940">
      <c r="A2940" t="str">
        <f>IFERROR(__xludf.DUMMYFUNCTION("""COMPUTED_VALUE"""),"F-064")</f>
        <v>F-064</v>
      </c>
      <c r="B2940" s="226" t="str">
        <f>IFERROR(__xludf.DUMMYFUNCTION("""COMPUTED_VALUE"""),"5907615804120")</f>
        <v>5907615804120</v>
      </c>
      <c r="C2940" t="str">
        <f>IFERROR(__xludf.DUMMYFUNCTION("""COMPUTED_VALUE"""),"Steinhof")</f>
        <v>Steinhof</v>
      </c>
    </row>
    <row r="2941">
      <c r="A2941" t="str">
        <f>IFERROR(__xludf.DUMMYFUNCTION("""COMPUTED_VALUE"""),"F-064")</f>
        <v>F-064</v>
      </c>
      <c r="B2941" s="226" t="str">
        <f>IFERROR(__xludf.DUMMYFUNCTION("""COMPUTED_VALUE"""),"5907615804120")</f>
        <v>5907615804120</v>
      </c>
      <c r="C2941" t="str">
        <f>IFERROR(__xludf.DUMMYFUNCTION("""COMPUTED_VALUE"""),"Steinhof")</f>
        <v>Steinhof</v>
      </c>
    </row>
    <row r="2942">
      <c r="A2942" t="str">
        <f>IFERROR(__xludf.DUMMYFUNCTION("""COMPUTED_VALUE"""),"F-064")</f>
        <v>F-064</v>
      </c>
      <c r="B2942" s="226" t="str">
        <f>IFERROR(__xludf.DUMMYFUNCTION("""COMPUTED_VALUE"""),"5907615804120")</f>
        <v>5907615804120</v>
      </c>
      <c r="C2942" t="str">
        <f>IFERROR(__xludf.DUMMYFUNCTION("""COMPUTED_VALUE"""),"Steinhof")</f>
        <v>Steinhof</v>
      </c>
    </row>
    <row r="2943">
      <c r="A2943" t="str">
        <f>IFERROR(__xludf.DUMMYFUNCTION("""COMPUTED_VALUE"""),"F-068")</f>
        <v>F-068</v>
      </c>
      <c r="B2943" s="226" t="str">
        <f>IFERROR(__xludf.DUMMYFUNCTION("""COMPUTED_VALUE"""),"5907615804137")</f>
        <v>5907615804137</v>
      </c>
      <c r="C2943" t="str">
        <f>IFERROR(__xludf.DUMMYFUNCTION("""COMPUTED_VALUE"""),"Steinhof")</f>
        <v>Steinhof</v>
      </c>
    </row>
    <row r="2944">
      <c r="A2944" t="str">
        <f>IFERROR(__xludf.DUMMYFUNCTION("""COMPUTED_VALUE"""),"F-068")</f>
        <v>F-068</v>
      </c>
      <c r="B2944" s="226" t="str">
        <f>IFERROR(__xludf.DUMMYFUNCTION("""COMPUTED_VALUE"""),"5907615804137")</f>
        <v>5907615804137</v>
      </c>
      <c r="C2944" t="str">
        <f>IFERROR(__xludf.DUMMYFUNCTION("""COMPUTED_VALUE"""),"Steinhof")</f>
        <v>Steinhof</v>
      </c>
    </row>
    <row r="2945">
      <c r="A2945" t="str">
        <f>IFERROR(__xludf.DUMMYFUNCTION("""COMPUTED_VALUE"""),"F-068")</f>
        <v>F-068</v>
      </c>
      <c r="B2945" s="226" t="str">
        <f>IFERROR(__xludf.DUMMYFUNCTION("""COMPUTED_VALUE"""),"5907615804137")</f>
        <v>5907615804137</v>
      </c>
      <c r="C2945" t="str">
        <f>IFERROR(__xludf.DUMMYFUNCTION("""COMPUTED_VALUE"""),"Steinhof")</f>
        <v>Steinhof</v>
      </c>
    </row>
    <row r="2946">
      <c r="A2946" t="str">
        <f>IFERROR(__xludf.DUMMYFUNCTION("""COMPUTED_VALUE"""),"F-068")</f>
        <v>F-068</v>
      </c>
      <c r="B2946" s="226" t="str">
        <f>IFERROR(__xludf.DUMMYFUNCTION("""COMPUTED_VALUE"""),"5907615804137")</f>
        <v>5907615804137</v>
      </c>
      <c r="C2946" t="str">
        <f>IFERROR(__xludf.DUMMYFUNCTION("""COMPUTED_VALUE"""),"Steinhof")</f>
        <v>Steinhof</v>
      </c>
    </row>
    <row r="2947">
      <c r="A2947" t="str">
        <f>IFERROR(__xludf.DUMMYFUNCTION("""COMPUTED_VALUE"""),"F-069")</f>
        <v>F-069</v>
      </c>
      <c r="B2947" s="226" t="str">
        <f>IFERROR(__xludf.DUMMYFUNCTION("""COMPUTED_VALUE"""),"5907615804144")</f>
        <v>5907615804144</v>
      </c>
      <c r="C2947" t="str">
        <f>IFERROR(__xludf.DUMMYFUNCTION("""COMPUTED_VALUE"""),"Steinhof")</f>
        <v>Steinhof</v>
      </c>
    </row>
    <row r="2948">
      <c r="A2948" t="str">
        <f>IFERROR(__xludf.DUMMYFUNCTION("""COMPUTED_VALUE"""),"F-069")</f>
        <v>F-069</v>
      </c>
      <c r="B2948" s="226" t="str">
        <f>IFERROR(__xludf.DUMMYFUNCTION("""COMPUTED_VALUE"""),"5907615804144")</f>
        <v>5907615804144</v>
      </c>
      <c r="C2948" t="str">
        <f>IFERROR(__xludf.DUMMYFUNCTION("""COMPUTED_VALUE"""),"Steinhof")</f>
        <v>Steinhof</v>
      </c>
    </row>
    <row r="2949">
      <c r="A2949" t="str">
        <f>IFERROR(__xludf.DUMMYFUNCTION("""COMPUTED_VALUE"""),"F-069")</f>
        <v>F-069</v>
      </c>
      <c r="B2949" s="226" t="str">
        <f>IFERROR(__xludf.DUMMYFUNCTION("""COMPUTED_VALUE"""),"5907615804144")</f>
        <v>5907615804144</v>
      </c>
      <c r="C2949" t="str">
        <f>IFERROR(__xludf.DUMMYFUNCTION("""COMPUTED_VALUE"""),"Steinhof")</f>
        <v>Steinhof</v>
      </c>
    </row>
    <row r="2950">
      <c r="A2950" t="str">
        <f>IFERROR(__xludf.DUMMYFUNCTION("""COMPUTED_VALUE"""),"F-069")</f>
        <v>F-069</v>
      </c>
      <c r="B2950" s="226" t="str">
        <f>IFERROR(__xludf.DUMMYFUNCTION("""COMPUTED_VALUE"""),"5907615804144")</f>
        <v>5907615804144</v>
      </c>
      <c r="C2950" t="str">
        <f>IFERROR(__xludf.DUMMYFUNCTION("""COMPUTED_VALUE"""),"Steinhof")</f>
        <v>Steinhof</v>
      </c>
    </row>
    <row r="2951">
      <c r="A2951" t="str">
        <f>IFERROR(__xludf.DUMMYFUNCTION("""COMPUTED_VALUE"""),"F-072")</f>
        <v>F-072</v>
      </c>
      <c r="B2951" s="226" t="str">
        <f>IFERROR(__xludf.DUMMYFUNCTION("""COMPUTED_VALUE"""),"5907615804151")</f>
        <v>5907615804151</v>
      </c>
      <c r="C2951" t="str">
        <f>IFERROR(__xludf.DUMMYFUNCTION("""COMPUTED_VALUE"""),"Steinhof")</f>
        <v>Steinhof</v>
      </c>
    </row>
    <row r="2952">
      <c r="A2952" t="str">
        <f>IFERROR(__xludf.DUMMYFUNCTION("""COMPUTED_VALUE"""),"F-072")</f>
        <v>F-072</v>
      </c>
      <c r="B2952" s="226" t="str">
        <f>IFERROR(__xludf.DUMMYFUNCTION("""COMPUTED_VALUE"""),"5907615804151")</f>
        <v>5907615804151</v>
      </c>
      <c r="C2952" t="str">
        <f>IFERROR(__xludf.DUMMYFUNCTION("""COMPUTED_VALUE"""),"Steinhof")</f>
        <v>Steinhof</v>
      </c>
    </row>
    <row r="2953">
      <c r="A2953" t="str">
        <f>IFERROR(__xludf.DUMMYFUNCTION("""COMPUTED_VALUE"""),"F-072")</f>
        <v>F-072</v>
      </c>
      <c r="B2953" s="226" t="str">
        <f>IFERROR(__xludf.DUMMYFUNCTION("""COMPUTED_VALUE"""),"5907615804151")</f>
        <v>5907615804151</v>
      </c>
      <c r="C2953" t="str">
        <f>IFERROR(__xludf.DUMMYFUNCTION("""COMPUTED_VALUE"""),"Steinhof")</f>
        <v>Steinhof</v>
      </c>
    </row>
    <row r="2954">
      <c r="A2954" t="str">
        <f>IFERROR(__xludf.DUMMYFUNCTION("""COMPUTED_VALUE"""),"F-072")</f>
        <v>F-072</v>
      </c>
      <c r="B2954" s="226" t="str">
        <f>IFERROR(__xludf.DUMMYFUNCTION("""COMPUTED_VALUE"""),"5907615804151")</f>
        <v>5907615804151</v>
      </c>
      <c r="C2954" t="str">
        <f>IFERROR(__xludf.DUMMYFUNCTION("""COMPUTED_VALUE"""),"Steinhof")</f>
        <v>Steinhof</v>
      </c>
    </row>
    <row r="2955">
      <c r="A2955" t="str">
        <f>IFERROR(__xludf.DUMMYFUNCTION("""COMPUTED_VALUE"""),"F-072")</f>
        <v>F-072</v>
      </c>
      <c r="B2955" s="226" t="str">
        <f>IFERROR(__xludf.DUMMYFUNCTION("""COMPUTED_VALUE"""),"5907615804151")</f>
        <v>5907615804151</v>
      </c>
      <c r="C2955" t="str">
        <f>IFERROR(__xludf.DUMMYFUNCTION("""COMPUTED_VALUE"""),"Steinhof")</f>
        <v>Steinhof</v>
      </c>
    </row>
    <row r="2956">
      <c r="A2956" t="str">
        <f>IFERROR(__xludf.DUMMYFUNCTION("""COMPUTED_VALUE"""),"F-072")</f>
        <v>F-072</v>
      </c>
      <c r="B2956" s="226" t="str">
        <f>IFERROR(__xludf.DUMMYFUNCTION("""COMPUTED_VALUE"""),"5907615804151")</f>
        <v>5907615804151</v>
      </c>
      <c r="C2956" t="str">
        <f>IFERROR(__xludf.DUMMYFUNCTION("""COMPUTED_VALUE"""),"Steinhof")</f>
        <v>Steinhof</v>
      </c>
    </row>
    <row r="2957">
      <c r="A2957" t="str">
        <f>IFERROR(__xludf.DUMMYFUNCTION("""COMPUTED_VALUE"""),"F-072")</f>
        <v>F-072</v>
      </c>
      <c r="B2957" s="226" t="str">
        <f>IFERROR(__xludf.DUMMYFUNCTION("""COMPUTED_VALUE"""),"5907615804151")</f>
        <v>5907615804151</v>
      </c>
      <c r="C2957" t="str">
        <f>IFERROR(__xludf.DUMMYFUNCTION("""COMPUTED_VALUE"""),"Steinhof")</f>
        <v>Steinhof</v>
      </c>
    </row>
    <row r="2958">
      <c r="A2958" t="str">
        <f>IFERROR(__xludf.DUMMYFUNCTION("""COMPUTED_VALUE"""),"F-072")</f>
        <v>F-072</v>
      </c>
      <c r="B2958" s="226" t="str">
        <f>IFERROR(__xludf.DUMMYFUNCTION("""COMPUTED_VALUE"""),"5907615804151")</f>
        <v>5907615804151</v>
      </c>
      <c r="C2958" t="str">
        <f>IFERROR(__xludf.DUMMYFUNCTION("""COMPUTED_VALUE"""),"Steinhof")</f>
        <v>Steinhof</v>
      </c>
    </row>
    <row r="2959">
      <c r="A2959" t="str">
        <f>IFERROR(__xludf.DUMMYFUNCTION("""COMPUTED_VALUE"""),"F-072")</f>
        <v>F-072</v>
      </c>
      <c r="B2959" s="226" t="str">
        <f>IFERROR(__xludf.DUMMYFUNCTION("""COMPUTED_VALUE"""),"5907615804151")</f>
        <v>5907615804151</v>
      </c>
      <c r="C2959" t="str">
        <f>IFERROR(__xludf.DUMMYFUNCTION("""COMPUTED_VALUE"""),"Steinhof")</f>
        <v>Steinhof</v>
      </c>
    </row>
    <row r="2960">
      <c r="A2960" t="str">
        <f>IFERROR(__xludf.DUMMYFUNCTION("""COMPUTED_VALUE"""),"F-072")</f>
        <v>F-072</v>
      </c>
      <c r="B2960" s="226" t="str">
        <f>IFERROR(__xludf.DUMMYFUNCTION("""COMPUTED_VALUE"""),"5907615804151")</f>
        <v>5907615804151</v>
      </c>
      <c r="C2960" t="str">
        <f>IFERROR(__xludf.DUMMYFUNCTION("""COMPUTED_VALUE"""),"Steinhof")</f>
        <v>Steinhof</v>
      </c>
    </row>
    <row r="2961">
      <c r="A2961" t="str">
        <f>IFERROR(__xludf.DUMMYFUNCTION("""COMPUTED_VALUE"""),"F-072")</f>
        <v>F-072</v>
      </c>
      <c r="B2961" s="226" t="str">
        <f>IFERROR(__xludf.DUMMYFUNCTION("""COMPUTED_VALUE"""),"5907615804151")</f>
        <v>5907615804151</v>
      </c>
      <c r="C2961" t="str">
        <f>IFERROR(__xludf.DUMMYFUNCTION("""COMPUTED_VALUE"""),"Steinhof")</f>
        <v>Steinhof</v>
      </c>
    </row>
    <row r="2962">
      <c r="A2962" t="str">
        <f>IFERROR(__xludf.DUMMYFUNCTION("""COMPUTED_VALUE"""),"F-072")</f>
        <v>F-072</v>
      </c>
      <c r="B2962" s="226" t="str">
        <f>IFERROR(__xludf.DUMMYFUNCTION("""COMPUTED_VALUE"""),"5907615804151")</f>
        <v>5907615804151</v>
      </c>
      <c r="C2962" t="str">
        <f>IFERROR(__xludf.DUMMYFUNCTION("""COMPUTED_VALUE"""),"Steinhof")</f>
        <v>Steinhof</v>
      </c>
    </row>
    <row r="2963">
      <c r="A2963" t="str">
        <f>IFERROR(__xludf.DUMMYFUNCTION("""COMPUTED_VALUE"""),"F-073")</f>
        <v>F-073</v>
      </c>
      <c r="B2963" s="226" t="str">
        <f>IFERROR(__xludf.DUMMYFUNCTION("""COMPUTED_VALUE"""),"5907615804168")</f>
        <v>5907615804168</v>
      </c>
      <c r="C2963" t="str">
        <f>IFERROR(__xludf.DUMMYFUNCTION("""COMPUTED_VALUE"""),"Steinhof")</f>
        <v>Steinhof</v>
      </c>
    </row>
    <row r="2964">
      <c r="A2964" t="str">
        <f>IFERROR(__xludf.DUMMYFUNCTION("""COMPUTED_VALUE"""),"F-073")</f>
        <v>F-073</v>
      </c>
      <c r="B2964" s="226" t="str">
        <f>IFERROR(__xludf.DUMMYFUNCTION("""COMPUTED_VALUE"""),"5907615804168")</f>
        <v>5907615804168</v>
      </c>
      <c r="C2964" t="str">
        <f>IFERROR(__xludf.DUMMYFUNCTION("""COMPUTED_VALUE"""),"Steinhof")</f>
        <v>Steinhof</v>
      </c>
    </row>
    <row r="2965">
      <c r="A2965" t="str">
        <f>IFERROR(__xludf.DUMMYFUNCTION("""COMPUTED_VALUE"""),"F-073")</f>
        <v>F-073</v>
      </c>
      <c r="B2965" s="226" t="str">
        <f>IFERROR(__xludf.DUMMYFUNCTION("""COMPUTED_VALUE"""),"5907615804168")</f>
        <v>5907615804168</v>
      </c>
      <c r="C2965" t="str">
        <f>IFERROR(__xludf.DUMMYFUNCTION("""COMPUTED_VALUE"""),"Steinhof")</f>
        <v>Steinhof</v>
      </c>
    </row>
    <row r="2966">
      <c r="A2966" t="str">
        <f>IFERROR(__xludf.DUMMYFUNCTION("""COMPUTED_VALUE"""),"F-073")</f>
        <v>F-073</v>
      </c>
      <c r="B2966" s="226" t="str">
        <f>IFERROR(__xludf.DUMMYFUNCTION("""COMPUTED_VALUE"""),"5907615804168")</f>
        <v>5907615804168</v>
      </c>
      <c r="C2966" t="str">
        <f>IFERROR(__xludf.DUMMYFUNCTION("""COMPUTED_VALUE"""),"Steinhof")</f>
        <v>Steinhof</v>
      </c>
    </row>
    <row r="2967">
      <c r="A2967" t="str">
        <f>IFERROR(__xludf.DUMMYFUNCTION("""COMPUTED_VALUE"""),"F-073")</f>
        <v>F-073</v>
      </c>
      <c r="B2967" s="226" t="str">
        <f>IFERROR(__xludf.DUMMYFUNCTION("""COMPUTED_VALUE"""),"5907615804168")</f>
        <v>5907615804168</v>
      </c>
      <c r="C2967" t="str">
        <f>IFERROR(__xludf.DUMMYFUNCTION("""COMPUTED_VALUE"""),"Steinhof")</f>
        <v>Steinhof</v>
      </c>
    </row>
    <row r="2968">
      <c r="A2968" t="str">
        <f>IFERROR(__xludf.DUMMYFUNCTION("""COMPUTED_VALUE"""),"F-073")</f>
        <v>F-073</v>
      </c>
      <c r="B2968" s="226" t="str">
        <f>IFERROR(__xludf.DUMMYFUNCTION("""COMPUTED_VALUE"""),"5907615804168")</f>
        <v>5907615804168</v>
      </c>
      <c r="C2968" t="str">
        <f>IFERROR(__xludf.DUMMYFUNCTION("""COMPUTED_VALUE"""),"Steinhof")</f>
        <v>Steinhof</v>
      </c>
    </row>
    <row r="2969">
      <c r="A2969" t="str">
        <f>IFERROR(__xludf.DUMMYFUNCTION("""COMPUTED_VALUE"""),"F-073")</f>
        <v>F-073</v>
      </c>
      <c r="B2969" s="226" t="str">
        <f>IFERROR(__xludf.DUMMYFUNCTION("""COMPUTED_VALUE"""),"5907615804168")</f>
        <v>5907615804168</v>
      </c>
      <c r="C2969" t="str">
        <f>IFERROR(__xludf.DUMMYFUNCTION("""COMPUTED_VALUE"""),"Steinhof")</f>
        <v>Steinhof</v>
      </c>
    </row>
    <row r="2970">
      <c r="A2970" t="str">
        <f>IFERROR(__xludf.DUMMYFUNCTION("""COMPUTED_VALUE"""),"F-073")</f>
        <v>F-073</v>
      </c>
      <c r="B2970" s="226" t="str">
        <f>IFERROR(__xludf.DUMMYFUNCTION("""COMPUTED_VALUE"""),"5907615804168")</f>
        <v>5907615804168</v>
      </c>
      <c r="C2970" t="str">
        <f>IFERROR(__xludf.DUMMYFUNCTION("""COMPUTED_VALUE"""),"Steinhof")</f>
        <v>Steinhof</v>
      </c>
    </row>
    <row r="2971">
      <c r="A2971" t="str">
        <f>IFERROR(__xludf.DUMMYFUNCTION("""COMPUTED_VALUE"""),"F-073")</f>
        <v>F-073</v>
      </c>
      <c r="B2971" s="226" t="str">
        <f>IFERROR(__xludf.DUMMYFUNCTION("""COMPUTED_VALUE"""),"5907615804168")</f>
        <v>5907615804168</v>
      </c>
      <c r="C2971" t="str">
        <f>IFERROR(__xludf.DUMMYFUNCTION("""COMPUTED_VALUE"""),"Steinhof")</f>
        <v>Steinhof</v>
      </c>
    </row>
    <row r="2972">
      <c r="A2972" t="str">
        <f>IFERROR(__xludf.DUMMYFUNCTION("""COMPUTED_VALUE"""),"F-073")</f>
        <v>F-073</v>
      </c>
      <c r="B2972" s="226" t="str">
        <f>IFERROR(__xludf.DUMMYFUNCTION("""COMPUTED_VALUE"""),"5907615804168")</f>
        <v>5907615804168</v>
      </c>
      <c r="C2972" t="str">
        <f>IFERROR(__xludf.DUMMYFUNCTION("""COMPUTED_VALUE"""),"Steinhof")</f>
        <v>Steinhof</v>
      </c>
    </row>
    <row r="2973">
      <c r="A2973" t="str">
        <f>IFERROR(__xludf.DUMMYFUNCTION("""COMPUTED_VALUE"""),"F-073")</f>
        <v>F-073</v>
      </c>
      <c r="B2973" s="226" t="str">
        <f>IFERROR(__xludf.DUMMYFUNCTION("""COMPUTED_VALUE"""),"5907615804168")</f>
        <v>5907615804168</v>
      </c>
      <c r="C2973" t="str">
        <f>IFERROR(__xludf.DUMMYFUNCTION("""COMPUTED_VALUE"""),"Steinhof")</f>
        <v>Steinhof</v>
      </c>
    </row>
    <row r="2974">
      <c r="A2974" t="str">
        <f>IFERROR(__xludf.DUMMYFUNCTION("""COMPUTED_VALUE"""),"F-073")</f>
        <v>F-073</v>
      </c>
      <c r="B2974" s="226" t="str">
        <f>IFERROR(__xludf.DUMMYFUNCTION("""COMPUTED_VALUE"""),"5907615804168")</f>
        <v>5907615804168</v>
      </c>
      <c r="C2974" t="str">
        <f>IFERROR(__xludf.DUMMYFUNCTION("""COMPUTED_VALUE"""),"Steinhof")</f>
        <v>Steinhof</v>
      </c>
    </row>
    <row r="2975">
      <c r="A2975" t="str">
        <f>IFERROR(__xludf.DUMMYFUNCTION("""COMPUTED_VALUE"""),"F-070")</f>
        <v>F-070</v>
      </c>
      <c r="B2975" s="226" t="str">
        <f>IFERROR(__xludf.DUMMYFUNCTION("""COMPUTED_VALUE"""),"5907615804175")</f>
        <v>5907615804175</v>
      </c>
      <c r="C2975" t="str">
        <f>IFERROR(__xludf.DUMMYFUNCTION("""COMPUTED_VALUE"""),"Steinhof")</f>
        <v>Steinhof</v>
      </c>
    </row>
    <row r="2976">
      <c r="A2976" t="str">
        <f>IFERROR(__xludf.DUMMYFUNCTION("""COMPUTED_VALUE"""),"F-070")</f>
        <v>F-070</v>
      </c>
      <c r="B2976" s="226" t="str">
        <f>IFERROR(__xludf.DUMMYFUNCTION("""COMPUTED_VALUE"""),"5907615804175")</f>
        <v>5907615804175</v>
      </c>
      <c r="C2976" t="str">
        <f>IFERROR(__xludf.DUMMYFUNCTION("""COMPUTED_VALUE"""),"Steinhof")</f>
        <v>Steinhof</v>
      </c>
    </row>
    <row r="2977">
      <c r="A2977" t="str">
        <f>IFERROR(__xludf.DUMMYFUNCTION("""COMPUTED_VALUE"""),"F-071")</f>
        <v>F-071</v>
      </c>
      <c r="B2977" s="226" t="str">
        <f>IFERROR(__xludf.DUMMYFUNCTION("""COMPUTED_VALUE"""),"5907615804182")</f>
        <v>5907615804182</v>
      </c>
      <c r="C2977" t="str">
        <f>IFERROR(__xludf.DUMMYFUNCTION("""COMPUTED_VALUE"""),"Steinhof")</f>
        <v>Steinhof</v>
      </c>
    </row>
    <row r="2978">
      <c r="A2978" t="str">
        <f>IFERROR(__xludf.DUMMYFUNCTION("""COMPUTED_VALUE"""),"F-071")</f>
        <v>F-071</v>
      </c>
      <c r="B2978" s="226" t="str">
        <f>IFERROR(__xludf.DUMMYFUNCTION("""COMPUTED_VALUE"""),"5907615804182")</f>
        <v>5907615804182</v>
      </c>
      <c r="C2978" t="str">
        <f>IFERROR(__xludf.DUMMYFUNCTION("""COMPUTED_VALUE"""),"Steinhof")</f>
        <v>Steinhof</v>
      </c>
    </row>
    <row r="2979">
      <c r="A2979" t="str">
        <f>IFERROR(__xludf.DUMMYFUNCTION("""COMPUTED_VALUE"""),"F-074")</f>
        <v>F-074</v>
      </c>
      <c r="B2979" s="226" t="str">
        <f>IFERROR(__xludf.DUMMYFUNCTION("""COMPUTED_VALUE"""),"5907615804199")</f>
        <v>5907615804199</v>
      </c>
      <c r="C2979" t="str">
        <f>IFERROR(__xludf.DUMMYFUNCTION("""COMPUTED_VALUE"""),"Steinhof")</f>
        <v>Steinhof</v>
      </c>
    </row>
    <row r="2980">
      <c r="A2980" t="str">
        <f>IFERROR(__xludf.DUMMYFUNCTION("""COMPUTED_VALUE"""),"F-074")</f>
        <v>F-074</v>
      </c>
      <c r="B2980" s="226" t="str">
        <f>IFERROR(__xludf.DUMMYFUNCTION("""COMPUTED_VALUE"""),"5907615804199")</f>
        <v>5907615804199</v>
      </c>
      <c r="C2980" t="str">
        <f>IFERROR(__xludf.DUMMYFUNCTION("""COMPUTED_VALUE"""),"Steinhof")</f>
        <v>Steinhof</v>
      </c>
    </row>
    <row r="2981">
      <c r="A2981" t="str">
        <f>IFERROR(__xludf.DUMMYFUNCTION("""COMPUTED_VALUE"""),"F-074")</f>
        <v>F-074</v>
      </c>
      <c r="B2981" s="226" t="str">
        <f>IFERROR(__xludf.DUMMYFUNCTION("""COMPUTED_VALUE"""),"5907615804199")</f>
        <v>5907615804199</v>
      </c>
      <c r="C2981" t="str">
        <f>IFERROR(__xludf.DUMMYFUNCTION("""COMPUTED_VALUE"""),"Steinhof")</f>
        <v>Steinhof</v>
      </c>
    </row>
    <row r="2982">
      <c r="A2982" t="str">
        <f>IFERROR(__xludf.DUMMYFUNCTION("""COMPUTED_VALUE"""),"F-074")</f>
        <v>F-074</v>
      </c>
      <c r="B2982" s="226" t="str">
        <f>IFERROR(__xludf.DUMMYFUNCTION("""COMPUTED_VALUE"""),"5907615804199")</f>
        <v>5907615804199</v>
      </c>
      <c r="C2982" t="str">
        <f>IFERROR(__xludf.DUMMYFUNCTION("""COMPUTED_VALUE"""),"Steinhof")</f>
        <v>Steinhof</v>
      </c>
    </row>
    <row r="2983">
      <c r="A2983" t="str">
        <f>IFERROR(__xludf.DUMMYFUNCTION("""COMPUTED_VALUE"""),"F-075")</f>
        <v>F-075</v>
      </c>
      <c r="B2983" s="226" t="str">
        <f>IFERROR(__xludf.DUMMYFUNCTION("""COMPUTED_VALUE"""),"5907615804205")</f>
        <v>5907615804205</v>
      </c>
      <c r="C2983" t="str">
        <f>IFERROR(__xludf.DUMMYFUNCTION("""COMPUTED_VALUE"""),"Steinhof")</f>
        <v>Steinhof</v>
      </c>
    </row>
    <row r="2984">
      <c r="A2984" t="str">
        <f>IFERROR(__xludf.DUMMYFUNCTION("""COMPUTED_VALUE"""),"F-075")</f>
        <v>F-075</v>
      </c>
      <c r="B2984" s="226" t="str">
        <f>IFERROR(__xludf.DUMMYFUNCTION("""COMPUTED_VALUE"""),"5907615804205")</f>
        <v>5907615804205</v>
      </c>
      <c r="C2984" t="str">
        <f>IFERROR(__xludf.DUMMYFUNCTION("""COMPUTED_VALUE"""),"Steinhof")</f>
        <v>Steinhof</v>
      </c>
    </row>
    <row r="2985">
      <c r="A2985" t="str">
        <f>IFERROR(__xludf.DUMMYFUNCTION("""COMPUTED_VALUE"""),"F-075")</f>
        <v>F-075</v>
      </c>
      <c r="B2985" s="226" t="str">
        <f>IFERROR(__xludf.DUMMYFUNCTION("""COMPUTED_VALUE"""),"5907615804205")</f>
        <v>5907615804205</v>
      </c>
      <c r="C2985" t="str">
        <f>IFERROR(__xludf.DUMMYFUNCTION("""COMPUTED_VALUE"""),"Steinhof")</f>
        <v>Steinhof</v>
      </c>
    </row>
    <row r="2986">
      <c r="A2986" t="str">
        <f>IFERROR(__xludf.DUMMYFUNCTION("""COMPUTED_VALUE"""),"F-075")</f>
        <v>F-075</v>
      </c>
      <c r="B2986" s="226" t="str">
        <f>IFERROR(__xludf.DUMMYFUNCTION("""COMPUTED_VALUE"""),"5907615804205")</f>
        <v>5907615804205</v>
      </c>
      <c r="C2986" t="str">
        <f>IFERROR(__xludf.DUMMYFUNCTION("""COMPUTED_VALUE"""),"Steinhof")</f>
        <v>Steinhof</v>
      </c>
    </row>
    <row r="2987">
      <c r="A2987" t="str">
        <f>IFERROR(__xludf.DUMMYFUNCTION("""COMPUTED_VALUE"""),"WZ-064")</f>
        <v>WZ-064</v>
      </c>
      <c r="B2987" s="226" t="str">
        <f>IFERROR(__xludf.DUMMYFUNCTION("""COMPUTED_VALUE"""),"5907615804229")</f>
        <v>5907615804229</v>
      </c>
      <c r="C2987" t="str">
        <f>IFERROR(__xludf.DUMMYFUNCTION("""COMPUTED_VALUE"""),"Steinhof")</f>
        <v>Steinhof</v>
      </c>
    </row>
    <row r="2988">
      <c r="A2988" t="str">
        <f>IFERROR(__xludf.DUMMYFUNCTION("""COMPUTED_VALUE"""),"WZ-064")</f>
        <v>WZ-064</v>
      </c>
      <c r="B2988" s="226" t="str">
        <f>IFERROR(__xludf.DUMMYFUNCTION("""COMPUTED_VALUE"""),"5907615804229")</f>
        <v>5907615804229</v>
      </c>
      <c r="C2988" t="str">
        <f>IFERROR(__xludf.DUMMYFUNCTION("""COMPUTED_VALUE"""),"Steinhof")</f>
        <v>Steinhof</v>
      </c>
    </row>
    <row r="2989">
      <c r="A2989" t="str">
        <f>IFERROR(__xludf.DUMMYFUNCTION("""COMPUTED_VALUE"""),"F-076")</f>
        <v>F-076</v>
      </c>
      <c r="B2989" s="226" t="str">
        <f>IFERROR(__xludf.DUMMYFUNCTION("""COMPUTED_VALUE"""),"5907615804236")</f>
        <v>5907615804236</v>
      </c>
      <c r="C2989" t="str">
        <f>IFERROR(__xludf.DUMMYFUNCTION("""COMPUTED_VALUE"""),"Steinhof")</f>
        <v>Steinhof</v>
      </c>
    </row>
    <row r="2990">
      <c r="A2990" t="str">
        <f>IFERROR(__xludf.DUMMYFUNCTION("""COMPUTED_VALUE"""),"F-077")</f>
        <v>F-077</v>
      </c>
      <c r="B2990" s="226" t="str">
        <f>IFERROR(__xludf.DUMMYFUNCTION("""COMPUTED_VALUE"""),"5907615804243")</f>
        <v>5907615804243</v>
      </c>
      <c r="C2990" t="str">
        <f>IFERROR(__xludf.DUMMYFUNCTION("""COMPUTED_VALUE"""),"Steinhof")</f>
        <v>Steinhof</v>
      </c>
    </row>
    <row r="2991">
      <c r="A2991" t="str">
        <f>IFERROR(__xludf.DUMMYFUNCTION("""COMPUTED_VALUE"""),"F-095")</f>
        <v>F-095</v>
      </c>
      <c r="B2991" s="226" t="str">
        <f>IFERROR(__xludf.DUMMYFUNCTION("""COMPUTED_VALUE"""),"5907615804250")</f>
        <v>5907615804250</v>
      </c>
      <c r="C2991" t="str">
        <f>IFERROR(__xludf.DUMMYFUNCTION("""COMPUTED_VALUE"""),"Steinhof")</f>
        <v>Steinhof</v>
      </c>
    </row>
    <row r="2992">
      <c r="A2992" t="str">
        <f>IFERROR(__xludf.DUMMYFUNCTION("""COMPUTED_VALUE"""),"F-095")</f>
        <v>F-095</v>
      </c>
      <c r="B2992" s="226" t="str">
        <f>IFERROR(__xludf.DUMMYFUNCTION("""COMPUTED_VALUE"""),"5907615804250")</f>
        <v>5907615804250</v>
      </c>
      <c r="C2992" t="str">
        <f>IFERROR(__xludf.DUMMYFUNCTION("""COMPUTED_VALUE"""),"Steinhof")</f>
        <v>Steinhof</v>
      </c>
    </row>
    <row r="2993">
      <c r="A2993" t="str">
        <f>IFERROR(__xludf.DUMMYFUNCTION("""COMPUTED_VALUE"""),"F-096")</f>
        <v>F-096</v>
      </c>
      <c r="B2993" s="226" t="str">
        <f>IFERROR(__xludf.DUMMYFUNCTION("""COMPUTED_VALUE"""),"5907615804267")</f>
        <v>5907615804267</v>
      </c>
      <c r="C2993" t="str">
        <f>IFERROR(__xludf.DUMMYFUNCTION("""COMPUTED_VALUE"""),"Steinhof")</f>
        <v>Steinhof</v>
      </c>
    </row>
    <row r="2994">
      <c r="A2994" t="str">
        <f>IFERROR(__xludf.DUMMYFUNCTION("""COMPUTED_VALUE"""),"F-096")</f>
        <v>F-096</v>
      </c>
      <c r="B2994" s="226" t="str">
        <f>IFERROR(__xludf.DUMMYFUNCTION("""COMPUTED_VALUE"""),"5907615804267")</f>
        <v>5907615804267</v>
      </c>
      <c r="C2994" t="str">
        <f>IFERROR(__xludf.DUMMYFUNCTION("""COMPUTED_VALUE"""),"Steinhof")</f>
        <v>Steinhof</v>
      </c>
    </row>
    <row r="2995">
      <c r="A2995" t="str">
        <f>IFERROR(__xludf.DUMMYFUNCTION("""COMPUTED_VALUE"""),"F-078")</f>
        <v>F-078</v>
      </c>
      <c r="B2995" s="226" t="str">
        <f>IFERROR(__xludf.DUMMYFUNCTION("""COMPUTED_VALUE"""),"5907615804274")</f>
        <v>5907615804274</v>
      </c>
      <c r="C2995" t="str">
        <f>IFERROR(__xludf.DUMMYFUNCTION("""COMPUTED_VALUE"""),"Steinhof")</f>
        <v>Steinhof</v>
      </c>
    </row>
    <row r="2996">
      <c r="A2996" t="str">
        <f>IFERROR(__xludf.DUMMYFUNCTION("""COMPUTED_VALUE"""),"F-079")</f>
        <v>F-079</v>
      </c>
      <c r="B2996" s="226" t="str">
        <f>IFERROR(__xludf.DUMMYFUNCTION("""COMPUTED_VALUE"""),"5907615804281")</f>
        <v>5907615804281</v>
      </c>
      <c r="C2996" t="str">
        <f>IFERROR(__xludf.DUMMYFUNCTION("""COMPUTED_VALUE"""),"Steinhof")</f>
        <v>Steinhof</v>
      </c>
    </row>
    <row r="2997">
      <c r="A2997" t="str">
        <f>IFERROR(__xludf.DUMMYFUNCTION("""COMPUTED_VALUE"""),"F-105")</f>
        <v>F-105</v>
      </c>
      <c r="B2997" s="226" t="str">
        <f>IFERROR(__xludf.DUMMYFUNCTION("""COMPUTED_VALUE"""),"5907615804311")</f>
        <v>5907615804311</v>
      </c>
      <c r="C2997" t="str">
        <f>IFERROR(__xludf.DUMMYFUNCTION("""COMPUTED_VALUE"""),"Steinhof")</f>
        <v>Steinhof</v>
      </c>
    </row>
    <row r="2998">
      <c r="A2998" t="str">
        <f>IFERROR(__xludf.DUMMYFUNCTION("""COMPUTED_VALUE"""),"F-107")</f>
        <v>F-107</v>
      </c>
      <c r="B2998" s="226" t="str">
        <f>IFERROR(__xludf.DUMMYFUNCTION("""COMPUTED_VALUE"""),"5907615804335")</f>
        <v>5907615804335</v>
      </c>
      <c r="C2998" t="str">
        <f>IFERROR(__xludf.DUMMYFUNCTION("""COMPUTED_VALUE"""),"Steinhof")</f>
        <v>Steinhof</v>
      </c>
    </row>
    <row r="2999">
      <c r="A2999" t="str">
        <f>IFERROR(__xludf.DUMMYFUNCTION("""COMPUTED_VALUE"""),"F-107")</f>
        <v>F-107</v>
      </c>
      <c r="B2999" s="226" t="str">
        <f>IFERROR(__xludf.DUMMYFUNCTION("""COMPUTED_VALUE"""),"5907615804335")</f>
        <v>5907615804335</v>
      </c>
      <c r="C2999" t="str">
        <f>IFERROR(__xludf.DUMMYFUNCTION("""COMPUTED_VALUE"""),"Steinhof")</f>
        <v>Steinhof</v>
      </c>
    </row>
    <row r="3000">
      <c r="A3000" t="str">
        <f>IFERROR(__xludf.DUMMYFUNCTION("""COMPUTED_VALUE"""),"F-156")</f>
        <v>F-156</v>
      </c>
      <c r="B3000" s="226" t="str">
        <f>IFERROR(__xludf.DUMMYFUNCTION("""COMPUTED_VALUE"""),"5907615804359")</f>
        <v>5907615804359</v>
      </c>
      <c r="C3000" t="str">
        <f>IFERROR(__xludf.DUMMYFUNCTION("""COMPUTED_VALUE"""),"Steinhof")</f>
        <v>Steinhof</v>
      </c>
    </row>
    <row r="3001">
      <c r="A3001" t="str">
        <f>IFERROR(__xludf.DUMMYFUNCTION("""COMPUTED_VALUE"""),"F-110")</f>
        <v>F-110</v>
      </c>
      <c r="B3001" s="226" t="str">
        <f>IFERROR(__xludf.DUMMYFUNCTION("""COMPUTED_VALUE"""),"5907615804366")</f>
        <v>5907615804366</v>
      </c>
      <c r="C3001" t="str">
        <f>IFERROR(__xludf.DUMMYFUNCTION("""COMPUTED_VALUE"""),"Steinhof")</f>
        <v>Steinhof</v>
      </c>
    </row>
    <row r="3002">
      <c r="A3002" t="str">
        <f>IFERROR(__xludf.DUMMYFUNCTION("""COMPUTED_VALUE"""),"F-110")</f>
        <v>F-110</v>
      </c>
      <c r="B3002" s="226" t="str">
        <f>IFERROR(__xludf.DUMMYFUNCTION("""COMPUTED_VALUE"""),"5907615804366")</f>
        <v>5907615804366</v>
      </c>
      <c r="C3002" t="str">
        <f>IFERROR(__xludf.DUMMYFUNCTION("""COMPUTED_VALUE"""),"Steinhof")</f>
        <v>Steinhof</v>
      </c>
    </row>
    <row r="3003">
      <c r="A3003" t="str">
        <f>IFERROR(__xludf.DUMMYFUNCTION("""COMPUTED_VALUE"""),"F-110")</f>
        <v>F-110</v>
      </c>
      <c r="B3003" s="226" t="str">
        <f>IFERROR(__xludf.DUMMYFUNCTION("""COMPUTED_VALUE"""),"5907615804366")</f>
        <v>5907615804366</v>
      </c>
      <c r="C3003" t="str">
        <f>IFERROR(__xludf.DUMMYFUNCTION("""COMPUTED_VALUE"""),"Steinhof")</f>
        <v>Steinhof</v>
      </c>
    </row>
    <row r="3004">
      <c r="A3004" t="str">
        <f>IFERROR(__xludf.DUMMYFUNCTION("""COMPUTED_VALUE"""),"F-110")</f>
        <v>F-110</v>
      </c>
      <c r="B3004" s="226" t="str">
        <f>IFERROR(__xludf.DUMMYFUNCTION("""COMPUTED_VALUE"""),"5907615804366")</f>
        <v>5907615804366</v>
      </c>
      <c r="C3004" t="str">
        <f>IFERROR(__xludf.DUMMYFUNCTION("""COMPUTED_VALUE"""),"Steinhof")</f>
        <v>Steinhof</v>
      </c>
    </row>
    <row r="3005">
      <c r="A3005" t="str">
        <f>IFERROR(__xludf.DUMMYFUNCTION("""COMPUTED_VALUE"""),"F-157")</f>
        <v>F-157</v>
      </c>
      <c r="B3005" s="226" t="str">
        <f>IFERROR(__xludf.DUMMYFUNCTION("""COMPUTED_VALUE"""),"5907615804373")</f>
        <v>5907615804373</v>
      </c>
      <c r="C3005" t="str">
        <f>IFERROR(__xludf.DUMMYFUNCTION("""COMPUTED_VALUE"""),"Steinhof")</f>
        <v>Steinhof</v>
      </c>
    </row>
    <row r="3006">
      <c r="A3006" t="str">
        <f>IFERROR(__xludf.DUMMYFUNCTION("""COMPUTED_VALUE"""),"F-125/W7")</f>
        <v>F-125/W7</v>
      </c>
      <c r="B3006" s="226" t="str">
        <f>IFERROR(__xludf.DUMMYFUNCTION("""COMPUTED_VALUE"""),"5907615804397")</f>
        <v>5907615804397</v>
      </c>
      <c r="C3006" t="str">
        <f>IFERROR(__xludf.DUMMYFUNCTION("""COMPUTED_VALUE"""),"Steinhof")</f>
        <v>Steinhof</v>
      </c>
    </row>
    <row r="3007">
      <c r="A3007" t="str">
        <f>IFERROR(__xludf.DUMMYFUNCTION("""COMPUTED_VALUE"""),"F-114")</f>
        <v>F-114</v>
      </c>
      <c r="B3007" s="226" t="str">
        <f>IFERROR(__xludf.DUMMYFUNCTION("""COMPUTED_VALUE"""),"5907615804403")</f>
        <v>5907615804403</v>
      </c>
      <c r="C3007" t="str">
        <f>IFERROR(__xludf.DUMMYFUNCTION("""COMPUTED_VALUE"""),"Steinhof")</f>
        <v>Steinhof</v>
      </c>
    </row>
    <row r="3008">
      <c r="A3008" t="str">
        <f>IFERROR(__xludf.DUMMYFUNCTION("""COMPUTED_VALUE"""),"F-114")</f>
        <v>F-114</v>
      </c>
      <c r="B3008" s="226" t="str">
        <f>IFERROR(__xludf.DUMMYFUNCTION("""COMPUTED_VALUE"""),"5907615804403")</f>
        <v>5907615804403</v>
      </c>
      <c r="C3008" t="str">
        <f>IFERROR(__xludf.DUMMYFUNCTION("""COMPUTED_VALUE"""),"Steinhof")</f>
        <v>Steinhof</v>
      </c>
    </row>
    <row r="3009">
      <c r="A3009" t="str">
        <f>IFERROR(__xludf.DUMMYFUNCTION("""COMPUTED_VALUE"""),"F-115")</f>
        <v>F-115</v>
      </c>
      <c r="B3009" s="226" t="str">
        <f>IFERROR(__xludf.DUMMYFUNCTION("""COMPUTED_VALUE"""),"5907615804410")</f>
        <v>5907615804410</v>
      </c>
      <c r="C3009" t="str">
        <f>IFERROR(__xludf.DUMMYFUNCTION("""COMPUTED_VALUE"""),"Steinhof")</f>
        <v>Steinhof</v>
      </c>
    </row>
    <row r="3010">
      <c r="A3010" t="str">
        <f>IFERROR(__xludf.DUMMYFUNCTION("""COMPUTED_VALUE"""),"F-115")</f>
        <v>F-115</v>
      </c>
      <c r="B3010" s="226" t="str">
        <f>IFERROR(__xludf.DUMMYFUNCTION("""COMPUTED_VALUE"""),"5907615804410")</f>
        <v>5907615804410</v>
      </c>
      <c r="C3010" t="str">
        <f>IFERROR(__xludf.DUMMYFUNCTION("""COMPUTED_VALUE"""),"Steinhof")</f>
        <v>Steinhof</v>
      </c>
    </row>
    <row r="3011">
      <c r="A3011" t="str">
        <f>IFERROR(__xludf.DUMMYFUNCTION("""COMPUTED_VALUE"""),"F-116")</f>
        <v>F-116</v>
      </c>
      <c r="B3011" s="226" t="str">
        <f>IFERROR(__xludf.DUMMYFUNCTION("""COMPUTED_VALUE"""),"5907615804427")</f>
        <v>5907615804427</v>
      </c>
      <c r="C3011" t="str">
        <f>IFERROR(__xludf.DUMMYFUNCTION("""COMPUTED_VALUE"""),"Steinhof")</f>
        <v>Steinhof</v>
      </c>
    </row>
    <row r="3012">
      <c r="A3012" t="str">
        <f>IFERROR(__xludf.DUMMYFUNCTION("""COMPUTED_VALUE"""),"F-116")</f>
        <v>F-116</v>
      </c>
      <c r="B3012" s="226" t="str">
        <f>IFERROR(__xludf.DUMMYFUNCTION("""COMPUTED_VALUE"""),"5907615804427")</f>
        <v>5907615804427</v>
      </c>
      <c r="C3012" t="str">
        <f>IFERROR(__xludf.DUMMYFUNCTION("""COMPUTED_VALUE"""),"Steinhof")</f>
        <v>Steinhof</v>
      </c>
    </row>
    <row r="3013">
      <c r="A3013" t="str">
        <f>IFERROR(__xludf.DUMMYFUNCTION("""COMPUTED_VALUE"""),"F-117")</f>
        <v>F-117</v>
      </c>
      <c r="B3013" s="226" t="str">
        <f>IFERROR(__xludf.DUMMYFUNCTION("""COMPUTED_VALUE"""),"5907615804434")</f>
        <v>5907615804434</v>
      </c>
      <c r="C3013" t="str">
        <f>IFERROR(__xludf.DUMMYFUNCTION("""COMPUTED_VALUE"""),"Steinhof")</f>
        <v>Steinhof</v>
      </c>
    </row>
    <row r="3014">
      <c r="A3014" t="str">
        <f>IFERROR(__xludf.DUMMYFUNCTION("""COMPUTED_VALUE"""),"F-117")</f>
        <v>F-117</v>
      </c>
      <c r="B3014" s="226" t="str">
        <f>IFERROR(__xludf.DUMMYFUNCTION("""COMPUTED_VALUE"""),"5907615804434")</f>
        <v>5907615804434</v>
      </c>
      <c r="C3014" t="str">
        <f>IFERROR(__xludf.DUMMYFUNCTION("""COMPUTED_VALUE"""),"Steinhof")</f>
        <v>Steinhof</v>
      </c>
    </row>
    <row r="3015">
      <c r="A3015" t="str">
        <f>IFERROR(__xludf.DUMMYFUNCTION("""COMPUTED_VALUE"""),"F-118")</f>
        <v>F-118</v>
      </c>
      <c r="B3015" s="226" t="str">
        <f>IFERROR(__xludf.DUMMYFUNCTION("""COMPUTED_VALUE"""),"5907615804441")</f>
        <v>5907615804441</v>
      </c>
      <c r="C3015" t="str">
        <f>IFERROR(__xludf.DUMMYFUNCTION("""COMPUTED_VALUE"""),"Steinhof")</f>
        <v>Steinhof</v>
      </c>
    </row>
    <row r="3016">
      <c r="A3016" t="str">
        <f>IFERROR(__xludf.DUMMYFUNCTION("""COMPUTED_VALUE"""),"F-118")</f>
        <v>F-118</v>
      </c>
      <c r="B3016" s="226" t="str">
        <f>IFERROR(__xludf.DUMMYFUNCTION("""COMPUTED_VALUE"""),"5907615804441")</f>
        <v>5907615804441</v>
      </c>
      <c r="C3016" t="str">
        <f>IFERROR(__xludf.DUMMYFUNCTION("""COMPUTED_VALUE"""),"Steinhof")</f>
        <v>Steinhof</v>
      </c>
    </row>
    <row r="3017">
      <c r="A3017" t="str">
        <f>IFERROR(__xludf.DUMMYFUNCTION("""COMPUTED_VALUE"""),"F-120")</f>
        <v>F-120</v>
      </c>
      <c r="B3017" s="226" t="str">
        <f>IFERROR(__xludf.DUMMYFUNCTION("""COMPUTED_VALUE"""),"5907615804465")</f>
        <v>5907615804465</v>
      </c>
      <c r="C3017" t="str">
        <f>IFERROR(__xludf.DUMMYFUNCTION("""COMPUTED_VALUE"""),"Steinhof")</f>
        <v>Steinhof</v>
      </c>
    </row>
    <row r="3018">
      <c r="A3018" t="str">
        <f>IFERROR(__xludf.DUMMYFUNCTION("""COMPUTED_VALUE"""),"F-121")</f>
        <v>F-121</v>
      </c>
      <c r="B3018" s="226" t="str">
        <f>IFERROR(__xludf.DUMMYFUNCTION("""COMPUTED_VALUE"""),"5907615804472")</f>
        <v>5907615804472</v>
      </c>
      <c r="C3018" t="str">
        <f>IFERROR(__xludf.DUMMYFUNCTION("""COMPUTED_VALUE"""),"Steinhof")</f>
        <v>Steinhof</v>
      </c>
    </row>
    <row r="3019">
      <c r="A3019" t="str">
        <f>IFERROR(__xludf.DUMMYFUNCTION("""COMPUTED_VALUE"""),"F-121")</f>
        <v>F-121</v>
      </c>
      <c r="B3019" s="226" t="str">
        <f>IFERROR(__xludf.DUMMYFUNCTION("""COMPUTED_VALUE"""),"5907615804472")</f>
        <v>5907615804472</v>
      </c>
      <c r="C3019" t="str">
        <f>IFERROR(__xludf.DUMMYFUNCTION("""COMPUTED_VALUE"""),"Steinhof")</f>
        <v>Steinhof</v>
      </c>
    </row>
    <row r="3020">
      <c r="A3020" t="str">
        <f>IFERROR(__xludf.DUMMYFUNCTION("""COMPUTED_VALUE"""),"F-117/W8")</f>
        <v>F-117/W8</v>
      </c>
      <c r="B3020" s="226" t="str">
        <f>IFERROR(__xludf.DUMMYFUNCTION("""COMPUTED_VALUE"""),"5907615804496")</f>
        <v>5907615804496</v>
      </c>
      <c r="C3020" t="str">
        <f>IFERROR(__xludf.DUMMYFUNCTION("""COMPUTED_VALUE"""),"Steinhof")</f>
        <v>Steinhof</v>
      </c>
    </row>
    <row r="3021">
      <c r="A3021" t="str">
        <f>IFERROR(__xludf.DUMMYFUNCTION("""COMPUTED_VALUE"""),"F-123")</f>
        <v>F-123</v>
      </c>
      <c r="B3021" s="226" t="str">
        <f>IFERROR(__xludf.DUMMYFUNCTION("""COMPUTED_VALUE"""),"5907615804502")</f>
        <v>5907615804502</v>
      </c>
      <c r="C3021" t="str">
        <f>IFERROR(__xludf.DUMMYFUNCTION("""COMPUTED_VALUE"""),"Steinhof")</f>
        <v>Steinhof</v>
      </c>
    </row>
    <row r="3022">
      <c r="A3022" t="str">
        <f>IFERROR(__xludf.DUMMYFUNCTION("""COMPUTED_VALUE"""),"F-123")</f>
        <v>F-123</v>
      </c>
      <c r="B3022" s="226" t="str">
        <f>IFERROR(__xludf.DUMMYFUNCTION("""COMPUTED_VALUE"""),"5907615804502")</f>
        <v>5907615804502</v>
      </c>
      <c r="C3022" t="str">
        <f>IFERROR(__xludf.DUMMYFUNCTION("""COMPUTED_VALUE"""),"Steinhof")</f>
        <v>Steinhof</v>
      </c>
    </row>
    <row r="3023">
      <c r="A3023" t="str">
        <f>IFERROR(__xludf.DUMMYFUNCTION("""COMPUTED_VALUE"""),"F-124")</f>
        <v>F-124</v>
      </c>
      <c r="B3023" s="226" t="str">
        <f>IFERROR(__xludf.DUMMYFUNCTION("""COMPUTED_VALUE"""),"5907615804519")</f>
        <v>5907615804519</v>
      </c>
      <c r="C3023" t="str">
        <f>IFERROR(__xludf.DUMMYFUNCTION("""COMPUTED_VALUE"""),"Steinhof")</f>
        <v>Steinhof</v>
      </c>
    </row>
    <row r="3024">
      <c r="A3024" t="str">
        <f>IFERROR(__xludf.DUMMYFUNCTION("""COMPUTED_VALUE"""),"F-124")</f>
        <v>F-124</v>
      </c>
      <c r="B3024" s="226" t="str">
        <f>IFERROR(__xludf.DUMMYFUNCTION("""COMPUTED_VALUE"""),"5907615804519")</f>
        <v>5907615804519</v>
      </c>
      <c r="C3024" t="str">
        <f>IFERROR(__xludf.DUMMYFUNCTION("""COMPUTED_VALUE"""),"Steinhof")</f>
        <v>Steinhof</v>
      </c>
    </row>
    <row r="3025">
      <c r="A3025" t="str">
        <f>IFERROR(__xludf.DUMMYFUNCTION("""COMPUTED_VALUE"""),"F-125")</f>
        <v>F-125</v>
      </c>
      <c r="B3025" s="226" t="str">
        <f>IFERROR(__xludf.DUMMYFUNCTION("""COMPUTED_VALUE"""),"5907615804519")</f>
        <v>5907615804519</v>
      </c>
      <c r="C3025" t="str">
        <f>IFERROR(__xludf.DUMMYFUNCTION("""COMPUTED_VALUE"""),"Steinhof")</f>
        <v>Steinhof</v>
      </c>
    </row>
    <row r="3026">
      <c r="A3026" t="str">
        <f>IFERROR(__xludf.DUMMYFUNCTION("""COMPUTED_VALUE"""),"F-125")</f>
        <v>F-125</v>
      </c>
      <c r="B3026" s="226" t="str">
        <f>IFERROR(__xludf.DUMMYFUNCTION("""COMPUTED_VALUE"""),"5907615804519")</f>
        <v>5907615804519</v>
      </c>
      <c r="C3026" t="str">
        <f>IFERROR(__xludf.DUMMYFUNCTION("""COMPUTED_VALUE"""),"Steinhof")</f>
        <v>Steinhof</v>
      </c>
    </row>
    <row r="3027">
      <c r="A3027" t="str">
        <f>IFERROR(__xludf.DUMMYFUNCTION("""COMPUTED_VALUE"""),"F-125")</f>
        <v>F-125</v>
      </c>
      <c r="B3027" s="226" t="str">
        <f>IFERROR(__xludf.DUMMYFUNCTION("""COMPUTED_VALUE"""),"5907615804519")</f>
        <v>5907615804519</v>
      </c>
      <c r="C3027" t="str">
        <f>IFERROR(__xludf.DUMMYFUNCTION("""COMPUTED_VALUE"""),"Steinhof")</f>
        <v>Steinhof</v>
      </c>
    </row>
    <row r="3028">
      <c r="A3028" t="str">
        <f>IFERROR(__xludf.DUMMYFUNCTION("""COMPUTED_VALUE"""),"F-126")</f>
        <v>F-126</v>
      </c>
      <c r="B3028" s="226" t="str">
        <f>IFERROR(__xludf.DUMMYFUNCTION("""COMPUTED_VALUE"""),"5907615804526")</f>
        <v>5907615804526</v>
      </c>
      <c r="C3028" t="str">
        <f>IFERROR(__xludf.DUMMYFUNCTION("""COMPUTED_VALUE"""),"Steinhof")</f>
        <v>Steinhof</v>
      </c>
    </row>
    <row r="3029">
      <c r="A3029" t="str">
        <f>IFERROR(__xludf.DUMMYFUNCTION("""COMPUTED_VALUE"""),"F-126")</f>
        <v>F-126</v>
      </c>
      <c r="B3029" s="226" t="str">
        <f>IFERROR(__xludf.DUMMYFUNCTION("""COMPUTED_VALUE"""),"5907615804526")</f>
        <v>5907615804526</v>
      </c>
      <c r="C3029" t="str">
        <f>IFERROR(__xludf.DUMMYFUNCTION("""COMPUTED_VALUE"""),"Steinhof")</f>
        <v>Steinhof</v>
      </c>
    </row>
    <row r="3030">
      <c r="A3030" t="str">
        <f>IFERROR(__xludf.DUMMYFUNCTION("""COMPUTED_VALUE"""),"F-128")</f>
        <v>F-128</v>
      </c>
      <c r="B3030" s="226" t="str">
        <f>IFERROR(__xludf.DUMMYFUNCTION("""COMPUTED_VALUE"""),"5907615804540")</f>
        <v>5907615804540</v>
      </c>
      <c r="C3030" t="str">
        <f>IFERROR(__xludf.DUMMYFUNCTION("""COMPUTED_VALUE"""),"Steinhof")</f>
        <v>Steinhof</v>
      </c>
    </row>
    <row r="3031">
      <c r="A3031" t="str">
        <f>IFERROR(__xludf.DUMMYFUNCTION("""COMPUTED_VALUE"""),"F-128")</f>
        <v>F-128</v>
      </c>
      <c r="B3031" s="226" t="str">
        <f>IFERROR(__xludf.DUMMYFUNCTION("""COMPUTED_VALUE"""),"5907615804540")</f>
        <v>5907615804540</v>
      </c>
      <c r="C3031" t="str">
        <f>IFERROR(__xludf.DUMMYFUNCTION("""COMPUTED_VALUE"""),"Steinhof")</f>
        <v>Steinhof</v>
      </c>
    </row>
    <row r="3032">
      <c r="A3032" t="str">
        <f>IFERROR(__xludf.DUMMYFUNCTION("""COMPUTED_VALUE"""),"F-128")</f>
        <v>F-128</v>
      </c>
      <c r="B3032" s="226" t="str">
        <f>IFERROR(__xludf.DUMMYFUNCTION("""COMPUTED_VALUE"""),"5907615804540")</f>
        <v>5907615804540</v>
      </c>
      <c r="C3032" t="str">
        <f>IFERROR(__xludf.DUMMYFUNCTION("""COMPUTED_VALUE"""),"Steinhof")</f>
        <v>Steinhof</v>
      </c>
    </row>
    <row r="3033">
      <c r="A3033" t="str">
        <f>IFERROR(__xludf.DUMMYFUNCTION("""COMPUTED_VALUE"""),"F-128")</f>
        <v>F-128</v>
      </c>
      <c r="B3033" s="226" t="str">
        <f>IFERROR(__xludf.DUMMYFUNCTION("""COMPUTED_VALUE"""),"5907615804540")</f>
        <v>5907615804540</v>
      </c>
      <c r="C3033" t="str">
        <f>IFERROR(__xludf.DUMMYFUNCTION("""COMPUTED_VALUE"""),"Steinhof")</f>
        <v>Steinhof</v>
      </c>
    </row>
    <row r="3034">
      <c r="A3034" t="str">
        <f>IFERROR(__xludf.DUMMYFUNCTION("""COMPUTED_VALUE"""),"F-128")</f>
        <v>F-128</v>
      </c>
      <c r="B3034" s="226" t="str">
        <f>IFERROR(__xludf.DUMMYFUNCTION("""COMPUTED_VALUE"""),"5907615804540")</f>
        <v>5907615804540</v>
      </c>
      <c r="C3034" t="str">
        <f>IFERROR(__xludf.DUMMYFUNCTION("""COMPUTED_VALUE"""),"Steinhof")</f>
        <v>Steinhof</v>
      </c>
    </row>
    <row r="3035">
      <c r="A3035" t="str">
        <f>IFERROR(__xludf.DUMMYFUNCTION("""COMPUTED_VALUE"""),"F-128")</f>
        <v>F-128</v>
      </c>
      <c r="B3035" s="226" t="str">
        <f>IFERROR(__xludf.DUMMYFUNCTION("""COMPUTED_VALUE"""),"5907615804540")</f>
        <v>5907615804540</v>
      </c>
      <c r="C3035" t="str">
        <f>IFERROR(__xludf.DUMMYFUNCTION("""COMPUTED_VALUE"""),"Steinhof")</f>
        <v>Steinhof</v>
      </c>
    </row>
    <row r="3036">
      <c r="A3036" t="str">
        <f>IFERROR(__xludf.DUMMYFUNCTION("""COMPUTED_VALUE"""),"F-128")</f>
        <v>F-128</v>
      </c>
      <c r="B3036" s="226" t="str">
        <f>IFERROR(__xludf.DUMMYFUNCTION("""COMPUTED_VALUE"""),"5907615804540")</f>
        <v>5907615804540</v>
      </c>
      <c r="C3036" t="str">
        <f>IFERROR(__xludf.DUMMYFUNCTION("""COMPUTED_VALUE"""),"Steinhof")</f>
        <v>Steinhof</v>
      </c>
    </row>
    <row r="3037">
      <c r="A3037" t="str">
        <f>IFERROR(__xludf.DUMMYFUNCTION("""COMPUTED_VALUE"""),"F-124/W8")</f>
        <v>F-124/W8</v>
      </c>
      <c r="B3037" s="226" t="str">
        <f>IFERROR(__xludf.DUMMYFUNCTION("""COMPUTED_VALUE"""),"5907615804564")</f>
        <v>5907615804564</v>
      </c>
      <c r="C3037" t="str">
        <f>IFERROR(__xludf.DUMMYFUNCTION("""COMPUTED_VALUE"""),"Steinhof")</f>
        <v>Steinhof</v>
      </c>
    </row>
    <row r="3038">
      <c r="A3038" t="str">
        <f>IFERROR(__xludf.DUMMYFUNCTION("""COMPUTED_VALUE"""),"F-155")</f>
        <v>F-155</v>
      </c>
      <c r="B3038" s="226" t="str">
        <f>IFERROR(__xludf.DUMMYFUNCTION("""COMPUTED_VALUE"""),"5907615804571")</f>
        <v>5907615804571</v>
      </c>
      <c r="C3038" t="str">
        <f>IFERROR(__xludf.DUMMYFUNCTION("""COMPUTED_VALUE"""),"Steinhof")</f>
        <v>Steinhof</v>
      </c>
    </row>
    <row r="3039">
      <c r="A3039" t="str">
        <f>IFERROR(__xludf.DUMMYFUNCTION("""COMPUTED_VALUE"""),"F-132")</f>
        <v>F-132</v>
      </c>
      <c r="B3039" s="226" t="str">
        <f>IFERROR(__xludf.DUMMYFUNCTION("""COMPUTED_VALUE"""),"5907615804588")</f>
        <v>5907615804588</v>
      </c>
      <c r="C3039" t="str">
        <f>IFERROR(__xludf.DUMMYFUNCTION("""COMPUTED_VALUE"""),"Steinhof")</f>
        <v>Steinhof</v>
      </c>
    </row>
    <row r="3040">
      <c r="A3040" t="str">
        <f>IFERROR(__xludf.DUMMYFUNCTION("""COMPUTED_VALUE"""),"F-132")</f>
        <v>F-132</v>
      </c>
      <c r="B3040" s="226" t="str">
        <f>IFERROR(__xludf.DUMMYFUNCTION("""COMPUTED_VALUE"""),"5907615804588")</f>
        <v>5907615804588</v>
      </c>
      <c r="C3040" t="str">
        <f>IFERROR(__xludf.DUMMYFUNCTION("""COMPUTED_VALUE"""),"Steinhof")</f>
        <v>Steinhof</v>
      </c>
    </row>
    <row r="3041">
      <c r="A3041" t="str">
        <f>IFERROR(__xludf.DUMMYFUNCTION("""COMPUTED_VALUE"""),"F-133")</f>
        <v>F-133</v>
      </c>
      <c r="B3041" s="226" t="str">
        <f>IFERROR(__xludf.DUMMYFUNCTION("""COMPUTED_VALUE"""),"5907615804595")</f>
        <v>5907615804595</v>
      </c>
      <c r="C3041" t="str">
        <f>IFERROR(__xludf.DUMMYFUNCTION("""COMPUTED_VALUE"""),"Steinhof")</f>
        <v>Steinhof</v>
      </c>
    </row>
    <row r="3042">
      <c r="A3042" t="str">
        <f>IFERROR(__xludf.DUMMYFUNCTION("""COMPUTED_VALUE"""),"F-133")</f>
        <v>F-133</v>
      </c>
      <c r="B3042" s="226" t="str">
        <f>IFERROR(__xludf.DUMMYFUNCTION("""COMPUTED_VALUE"""),"5907615804595")</f>
        <v>5907615804595</v>
      </c>
      <c r="C3042" t="str">
        <f>IFERROR(__xludf.DUMMYFUNCTION("""COMPUTED_VALUE"""),"Steinhof")</f>
        <v>Steinhof</v>
      </c>
    </row>
    <row r="3043">
      <c r="A3043" t="str">
        <f>IFERROR(__xludf.DUMMYFUNCTION("""COMPUTED_VALUE"""),"F-133")</f>
        <v>F-133</v>
      </c>
      <c r="B3043" s="226" t="str">
        <f>IFERROR(__xludf.DUMMYFUNCTION("""COMPUTED_VALUE"""),"5907615804595")</f>
        <v>5907615804595</v>
      </c>
      <c r="C3043" t="str">
        <f>IFERROR(__xludf.DUMMYFUNCTION("""COMPUTED_VALUE"""),"Steinhof")</f>
        <v>Steinhof</v>
      </c>
    </row>
    <row r="3044">
      <c r="A3044" t="str">
        <f>IFERROR(__xludf.DUMMYFUNCTION("""COMPUTED_VALUE"""),"F-133")</f>
        <v>F-133</v>
      </c>
      <c r="B3044" s="226" t="str">
        <f>IFERROR(__xludf.DUMMYFUNCTION("""COMPUTED_VALUE"""),"5907615804595")</f>
        <v>5907615804595</v>
      </c>
      <c r="C3044" t="str">
        <f>IFERROR(__xludf.DUMMYFUNCTION("""COMPUTED_VALUE"""),"Steinhof")</f>
        <v>Steinhof</v>
      </c>
    </row>
    <row r="3045">
      <c r="A3045" t="str">
        <f>IFERROR(__xludf.DUMMYFUNCTION("""COMPUTED_VALUE"""),"F-133")</f>
        <v>F-133</v>
      </c>
      <c r="B3045" s="226" t="str">
        <f>IFERROR(__xludf.DUMMYFUNCTION("""COMPUTED_VALUE"""),"5907615804595")</f>
        <v>5907615804595</v>
      </c>
      <c r="C3045" t="str">
        <f>IFERROR(__xludf.DUMMYFUNCTION("""COMPUTED_VALUE"""),"Steinhof")</f>
        <v>Steinhof</v>
      </c>
    </row>
    <row r="3046">
      <c r="A3046" t="str">
        <f>IFERROR(__xludf.DUMMYFUNCTION("""COMPUTED_VALUE"""),"F-133")</f>
        <v>F-133</v>
      </c>
      <c r="B3046" s="226" t="str">
        <f>IFERROR(__xludf.DUMMYFUNCTION("""COMPUTED_VALUE"""),"5907615804595")</f>
        <v>5907615804595</v>
      </c>
      <c r="C3046" t="str">
        <f>IFERROR(__xludf.DUMMYFUNCTION("""COMPUTED_VALUE"""),"Steinhof")</f>
        <v>Steinhof</v>
      </c>
    </row>
    <row r="3047">
      <c r="A3047" t="str">
        <f>IFERROR(__xludf.DUMMYFUNCTION("""COMPUTED_VALUE"""),"F-135")</f>
        <v>F-135</v>
      </c>
      <c r="B3047" s="226" t="str">
        <f>IFERROR(__xludf.DUMMYFUNCTION("""COMPUTED_VALUE"""),"5907615804618")</f>
        <v>5907615804618</v>
      </c>
      <c r="C3047" t="str">
        <f>IFERROR(__xludf.DUMMYFUNCTION("""COMPUTED_VALUE"""),"Steinhof")</f>
        <v>Steinhof</v>
      </c>
    </row>
    <row r="3048">
      <c r="A3048" t="str">
        <f>IFERROR(__xludf.DUMMYFUNCTION("""COMPUTED_VALUE"""),"F-135")</f>
        <v>F-135</v>
      </c>
      <c r="B3048" s="226" t="str">
        <f>IFERROR(__xludf.DUMMYFUNCTION("""COMPUTED_VALUE"""),"5907615804618")</f>
        <v>5907615804618</v>
      </c>
      <c r="C3048" t="str">
        <f>IFERROR(__xludf.DUMMYFUNCTION("""COMPUTED_VALUE"""),"Steinhof")</f>
        <v>Steinhof</v>
      </c>
    </row>
    <row r="3049">
      <c r="A3049" t="str">
        <f>IFERROR(__xludf.DUMMYFUNCTION("""COMPUTED_VALUE"""),"F-137")</f>
        <v>F-137</v>
      </c>
      <c r="B3049" s="226" t="str">
        <f>IFERROR(__xludf.DUMMYFUNCTION("""COMPUTED_VALUE"""),"5907615804632")</f>
        <v>5907615804632</v>
      </c>
      <c r="C3049" t="str">
        <f>IFERROR(__xludf.DUMMYFUNCTION("""COMPUTED_VALUE"""),"Steinhof")</f>
        <v>Steinhof</v>
      </c>
    </row>
    <row r="3050">
      <c r="A3050" t="str">
        <f>IFERROR(__xludf.DUMMYFUNCTION("""COMPUTED_VALUE"""),"F-137")</f>
        <v>F-137</v>
      </c>
      <c r="B3050" s="226" t="str">
        <f>IFERROR(__xludf.DUMMYFUNCTION("""COMPUTED_VALUE"""),"5907615804632")</f>
        <v>5907615804632</v>
      </c>
      <c r="C3050" t="str">
        <f>IFERROR(__xludf.DUMMYFUNCTION("""COMPUTED_VALUE"""),"Steinhof")</f>
        <v>Steinhof</v>
      </c>
    </row>
    <row r="3051">
      <c r="A3051" t="str">
        <f>IFERROR(__xludf.DUMMYFUNCTION("""COMPUTED_VALUE"""),"F-139")</f>
        <v>F-139</v>
      </c>
      <c r="B3051" s="226" t="str">
        <f>IFERROR(__xludf.DUMMYFUNCTION("""COMPUTED_VALUE"""),"5907615804656")</f>
        <v>5907615804656</v>
      </c>
      <c r="C3051" t="str">
        <f>IFERROR(__xludf.DUMMYFUNCTION("""COMPUTED_VALUE"""),"Steinhof")</f>
        <v>Steinhof</v>
      </c>
    </row>
    <row r="3052">
      <c r="A3052" t="str">
        <f>IFERROR(__xludf.DUMMYFUNCTION("""COMPUTED_VALUE"""),"F-139")</f>
        <v>F-139</v>
      </c>
      <c r="B3052" s="226" t="str">
        <f>IFERROR(__xludf.DUMMYFUNCTION("""COMPUTED_VALUE"""),"5907615804656")</f>
        <v>5907615804656</v>
      </c>
      <c r="C3052" t="str">
        <f>IFERROR(__xludf.DUMMYFUNCTION("""COMPUTED_VALUE"""),"Steinhof")</f>
        <v>Steinhof</v>
      </c>
    </row>
    <row r="3053">
      <c r="A3053" t="str">
        <f>IFERROR(__xludf.DUMMYFUNCTION("""COMPUTED_VALUE"""),"F-154")</f>
        <v>F-154</v>
      </c>
      <c r="B3053" s="226" t="str">
        <f>IFERROR(__xludf.DUMMYFUNCTION("""COMPUTED_VALUE"""),"5907615804670")</f>
        <v>5907615804670</v>
      </c>
      <c r="C3053" t="str">
        <f>IFERROR(__xludf.DUMMYFUNCTION("""COMPUTED_VALUE"""),"Steinhof")</f>
        <v>Steinhof</v>
      </c>
    </row>
    <row r="3054">
      <c r="A3054" t="str">
        <f>IFERROR(__xludf.DUMMYFUNCTION("""COMPUTED_VALUE"""),"F-142")</f>
        <v>F-142</v>
      </c>
      <c r="B3054" s="226" t="str">
        <f>IFERROR(__xludf.DUMMYFUNCTION("""COMPUTED_VALUE"""),"5907615804687")</f>
        <v>5907615804687</v>
      </c>
      <c r="C3054" t="str">
        <f>IFERROR(__xludf.DUMMYFUNCTION("""COMPUTED_VALUE"""),"Steinhof")</f>
        <v>Steinhof</v>
      </c>
    </row>
    <row r="3055">
      <c r="A3055" t="str">
        <f>IFERROR(__xludf.DUMMYFUNCTION("""COMPUTED_VALUE"""),"F-142")</f>
        <v>F-142</v>
      </c>
      <c r="B3055" s="226" t="str">
        <f>IFERROR(__xludf.DUMMYFUNCTION("""COMPUTED_VALUE"""),"5907615804687")</f>
        <v>5907615804687</v>
      </c>
      <c r="C3055" t="str">
        <f>IFERROR(__xludf.DUMMYFUNCTION("""COMPUTED_VALUE"""),"Steinhof")</f>
        <v>Steinhof</v>
      </c>
    </row>
    <row r="3056">
      <c r="A3056" t="str">
        <f>IFERROR(__xludf.DUMMYFUNCTION("""COMPUTED_VALUE"""),"F-144")</f>
        <v>F-144</v>
      </c>
      <c r="B3056" s="226" t="str">
        <f>IFERROR(__xludf.DUMMYFUNCTION("""COMPUTED_VALUE"""),"5907615804694")</f>
        <v>5907615804694</v>
      </c>
      <c r="C3056" t="str">
        <f>IFERROR(__xludf.DUMMYFUNCTION("""COMPUTED_VALUE"""),"Steinhof")</f>
        <v>Steinhof</v>
      </c>
    </row>
    <row r="3057">
      <c r="A3057" t="str">
        <f>IFERROR(__xludf.DUMMYFUNCTION("""COMPUTED_VALUE"""),"F-144")</f>
        <v>F-144</v>
      </c>
      <c r="B3057" s="226" t="str">
        <f>IFERROR(__xludf.DUMMYFUNCTION("""COMPUTED_VALUE"""),"5907615804694")</f>
        <v>5907615804694</v>
      </c>
      <c r="C3057" t="str">
        <f>IFERROR(__xludf.DUMMYFUNCTION("""COMPUTED_VALUE"""),"Steinhof")</f>
        <v>Steinhof</v>
      </c>
    </row>
    <row r="3058">
      <c r="A3058" t="str">
        <f>IFERROR(__xludf.DUMMYFUNCTION("""COMPUTED_VALUE"""),"F-144")</f>
        <v>F-144</v>
      </c>
      <c r="B3058" s="226" t="str">
        <f>IFERROR(__xludf.DUMMYFUNCTION("""COMPUTED_VALUE"""),"5907615804694")</f>
        <v>5907615804694</v>
      </c>
      <c r="C3058" t="str">
        <f>IFERROR(__xludf.DUMMYFUNCTION("""COMPUTED_VALUE"""),"Steinhof")</f>
        <v>Steinhof</v>
      </c>
    </row>
    <row r="3059">
      <c r="A3059" t="str">
        <f>IFERROR(__xludf.DUMMYFUNCTION("""COMPUTED_VALUE"""),"F-144")</f>
        <v>F-144</v>
      </c>
      <c r="B3059" s="226" t="str">
        <f>IFERROR(__xludf.DUMMYFUNCTION("""COMPUTED_VALUE"""),"5907615804694")</f>
        <v>5907615804694</v>
      </c>
      <c r="C3059" t="str">
        <f>IFERROR(__xludf.DUMMYFUNCTION("""COMPUTED_VALUE"""),"Steinhof")</f>
        <v>Steinhof</v>
      </c>
    </row>
    <row r="3060">
      <c r="A3060" t="str">
        <f>IFERROR(__xludf.DUMMYFUNCTION("""COMPUTED_VALUE"""),"F-146")</f>
        <v>F-146</v>
      </c>
      <c r="B3060" s="226" t="str">
        <f>IFERROR(__xludf.DUMMYFUNCTION("""COMPUTED_VALUE"""),"5907615804700")</f>
        <v>5907615804700</v>
      </c>
      <c r="C3060" t="str">
        <f>IFERROR(__xludf.DUMMYFUNCTION("""COMPUTED_VALUE"""),"Steinhof")</f>
        <v>Steinhof</v>
      </c>
    </row>
    <row r="3061">
      <c r="A3061" t="str">
        <f>IFERROR(__xludf.DUMMYFUNCTION("""COMPUTED_VALUE"""),"F-146")</f>
        <v>F-146</v>
      </c>
      <c r="B3061" s="226" t="str">
        <f>IFERROR(__xludf.DUMMYFUNCTION("""COMPUTED_VALUE"""),"5907615804700")</f>
        <v>5907615804700</v>
      </c>
      <c r="C3061" t="str">
        <f>IFERROR(__xludf.DUMMYFUNCTION("""COMPUTED_VALUE"""),"Steinhof")</f>
        <v>Steinhof</v>
      </c>
    </row>
    <row r="3062">
      <c r="A3062" t="str">
        <f>IFERROR(__xludf.DUMMYFUNCTION("""COMPUTED_VALUE"""),"F-146")</f>
        <v>F-146</v>
      </c>
      <c r="B3062" s="226" t="str">
        <f>IFERROR(__xludf.DUMMYFUNCTION("""COMPUTED_VALUE"""),"5907615804700")</f>
        <v>5907615804700</v>
      </c>
      <c r="C3062" t="str">
        <f>IFERROR(__xludf.DUMMYFUNCTION("""COMPUTED_VALUE"""),"Steinhof")</f>
        <v>Steinhof</v>
      </c>
    </row>
    <row r="3063">
      <c r="A3063" t="str">
        <f>IFERROR(__xludf.DUMMYFUNCTION("""COMPUTED_VALUE"""),"F-146")</f>
        <v>F-146</v>
      </c>
      <c r="B3063" s="226" t="str">
        <f>IFERROR(__xludf.DUMMYFUNCTION("""COMPUTED_VALUE"""),"5907615804700")</f>
        <v>5907615804700</v>
      </c>
      <c r="C3063" t="str">
        <f>IFERROR(__xludf.DUMMYFUNCTION("""COMPUTED_VALUE"""),"Steinhof")</f>
        <v>Steinhof</v>
      </c>
    </row>
    <row r="3064">
      <c r="A3064" t="str">
        <f>IFERROR(__xludf.DUMMYFUNCTION("""COMPUTED_VALUE"""),"F-146")</f>
        <v>F-146</v>
      </c>
      <c r="B3064" s="226" t="str">
        <f>IFERROR(__xludf.DUMMYFUNCTION("""COMPUTED_VALUE"""),"5907615804700")</f>
        <v>5907615804700</v>
      </c>
      <c r="C3064" t="str">
        <f>IFERROR(__xludf.DUMMYFUNCTION("""COMPUTED_VALUE"""),"Steinhof")</f>
        <v>Steinhof</v>
      </c>
    </row>
    <row r="3065">
      <c r="A3065" t="str">
        <f>IFERROR(__xludf.DUMMYFUNCTION("""COMPUTED_VALUE"""),"F-146")</f>
        <v>F-146</v>
      </c>
      <c r="B3065" s="226" t="str">
        <f>IFERROR(__xludf.DUMMYFUNCTION("""COMPUTED_VALUE"""),"5907615804700")</f>
        <v>5907615804700</v>
      </c>
      <c r="C3065" t="str">
        <f>IFERROR(__xludf.DUMMYFUNCTION("""COMPUTED_VALUE"""),"Steinhof")</f>
        <v>Steinhof</v>
      </c>
    </row>
    <row r="3066">
      <c r="A3066" t="str">
        <f>IFERROR(__xludf.DUMMYFUNCTION("""COMPUTED_VALUE"""),"F-146")</f>
        <v>F-146</v>
      </c>
      <c r="B3066" s="226" t="str">
        <f>IFERROR(__xludf.DUMMYFUNCTION("""COMPUTED_VALUE"""),"5907615804700")</f>
        <v>5907615804700</v>
      </c>
      <c r="C3066" t="str">
        <f>IFERROR(__xludf.DUMMYFUNCTION("""COMPUTED_VALUE"""),"Steinhof")</f>
        <v>Steinhof</v>
      </c>
    </row>
    <row r="3067">
      <c r="A3067" t="str">
        <f>IFERROR(__xludf.DUMMYFUNCTION("""COMPUTED_VALUE"""),"F-146")</f>
        <v>F-146</v>
      </c>
      <c r="B3067" s="226" t="str">
        <f>IFERROR(__xludf.DUMMYFUNCTION("""COMPUTED_VALUE"""),"5907615804700")</f>
        <v>5907615804700</v>
      </c>
      <c r="C3067" t="str">
        <f>IFERROR(__xludf.DUMMYFUNCTION("""COMPUTED_VALUE"""),"Steinhof")</f>
        <v>Steinhof</v>
      </c>
    </row>
    <row r="3068">
      <c r="A3068" t="str">
        <f>IFERROR(__xludf.DUMMYFUNCTION("""COMPUTED_VALUE"""),"F-146")</f>
        <v>F-146</v>
      </c>
      <c r="B3068" s="226" t="str">
        <f>IFERROR(__xludf.DUMMYFUNCTION("""COMPUTED_VALUE"""),"5907615804700")</f>
        <v>5907615804700</v>
      </c>
      <c r="C3068" t="str">
        <f>IFERROR(__xludf.DUMMYFUNCTION("""COMPUTED_VALUE"""),"Steinhof")</f>
        <v>Steinhof</v>
      </c>
    </row>
    <row r="3069">
      <c r="A3069" t="str">
        <f>IFERROR(__xludf.DUMMYFUNCTION("""COMPUTED_VALUE"""),"F-146")</f>
        <v>F-146</v>
      </c>
      <c r="B3069" s="226" t="str">
        <f>IFERROR(__xludf.DUMMYFUNCTION("""COMPUTED_VALUE"""),"5907615804700")</f>
        <v>5907615804700</v>
      </c>
      <c r="C3069" t="str">
        <f>IFERROR(__xludf.DUMMYFUNCTION("""COMPUTED_VALUE"""),"Steinhof")</f>
        <v>Steinhof</v>
      </c>
    </row>
    <row r="3070">
      <c r="A3070" t="str">
        <f>IFERROR(__xludf.DUMMYFUNCTION("""COMPUTED_VALUE"""),"F-146")</f>
        <v>F-146</v>
      </c>
      <c r="B3070" s="226" t="str">
        <f>IFERROR(__xludf.DUMMYFUNCTION("""COMPUTED_VALUE"""),"5907615804700")</f>
        <v>5907615804700</v>
      </c>
      <c r="C3070" t="str">
        <f>IFERROR(__xludf.DUMMYFUNCTION("""COMPUTED_VALUE"""),"Steinhof")</f>
        <v>Steinhof</v>
      </c>
    </row>
    <row r="3071">
      <c r="A3071" t="str">
        <f>IFERROR(__xludf.DUMMYFUNCTION("""COMPUTED_VALUE"""),"F-146")</f>
        <v>F-146</v>
      </c>
      <c r="B3071" s="226" t="str">
        <f>IFERROR(__xludf.DUMMYFUNCTION("""COMPUTED_VALUE"""),"5907615804700")</f>
        <v>5907615804700</v>
      </c>
      <c r="C3071" t="str">
        <f>IFERROR(__xludf.DUMMYFUNCTION("""COMPUTED_VALUE"""),"Steinhof")</f>
        <v>Steinhof</v>
      </c>
    </row>
    <row r="3072">
      <c r="A3072" t="str">
        <f>IFERROR(__xludf.DUMMYFUNCTION("""COMPUTED_VALUE"""),"F-146")</f>
        <v>F-146</v>
      </c>
      <c r="B3072" s="226" t="str">
        <f>IFERROR(__xludf.DUMMYFUNCTION("""COMPUTED_VALUE"""),"5907615804700")</f>
        <v>5907615804700</v>
      </c>
      <c r="C3072" t="str">
        <f>IFERROR(__xludf.DUMMYFUNCTION("""COMPUTED_VALUE"""),"Steinhof")</f>
        <v>Steinhof</v>
      </c>
    </row>
    <row r="3073">
      <c r="A3073" t="str">
        <f>IFERROR(__xludf.DUMMYFUNCTION("""COMPUTED_VALUE"""),"F-146")</f>
        <v>F-146</v>
      </c>
      <c r="B3073" s="226" t="str">
        <f>IFERROR(__xludf.DUMMYFUNCTION("""COMPUTED_VALUE"""),"5907615804700")</f>
        <v>5907615804700</v>
      </c>
      <c r="C3073" t="str">
        <f>IFERROR(__xludf.DUMMYFUNCTION("""COMPUTED_VALUE"""),"Steinhof")</f>
        <v>Steinhof</v>
      </c>
    </row>
    <row r="3074">
      <c r="A3074" t="str">
        <f>IFERROR(__xludf.DUMMYFUNCTION("""COMPUTED_VALUE"""),"F-146")</f>
        <v>F-146</v>
      </c>
      <c r="B3074" s="226" t="str">
        <f>IFERROR(__xludf.DUMMYFUNCTION("""COMPUTED_VALUE"""),"5907615804700")</f>
        <v>5907615804700</v>
      </c>
      <c r="C3074" t="str">
        <f>IFERROR(__xludf.DUMMYFUNCTION("""COMPUTED_VALUE"""),"Steinhof")</f>
        <v>Steinhof</v>
      </c>
    </row>
    <row r="3075">
      <c r="A3075" t="str">
        <f>IFERROR(__xludf.DUMMYFUNCTION("""COMPUTED_VALUE"""),"F-146")</f>
        <v>F-146</v>
      </c>
      <c r="B3075" s="226" t="str">
        <f>IFERROR(__xludf.DUMMYFUNCTION("""COMPUTED_VALUE"""),"5907615804700")</f>
        <v>5907615804700</v>
      </c>
      <c r="C3075" t="str">
        <f>IFERROR(__xludf.DUMMYFUNCTION("""COMPUTED_VALUE"""),"Steinhof")</f>
        <v>Steinhof</v>
      </c>
    </row>
    <row r="3076">
      <c r="A3076" t="str">
        <f>IFERROR(__xludf.DUMMYFUNCTION("""COMPUTED_VALUE"""),"F-145/1")</f>
        <v>F-145/1</v>
      </c>
      <c r="B3076" s="226" t="str">
        <f>IFERROR(__xludf.DUMMYFUNCTION("""COMPUTED_VALUE"""),"5907615804724")</f>
        <v>5907615804724</v>
      </c>
      <c r="C3076" t="str">
        <f>IFERROR(__xludf.DUMMYFUNCTION("""COMPUTED_VALUE"""),"Steinhof")</f>
        <v>Steinhof</v>
      </c>
    </row>
    <row r="3077">
      <c r="A3077" t="str">
        <f>IFERROR(__xludf.DUMMYFUNCTION("""COMPUTED_VALUE"""),"F-145/1")</f>
        <v>F-145/1</v>
      </c>
      <c r="B3077" s="226" t="str">
        <f>IFERROR(__xludf.DUMMYFUNCTION("""COMPUTED_VALUE"""),"5907615804724")</f>
        <v>5907615804724</v>
      </c>
      <c r="C3077" t="str">
        <f>IFERROR(__xludf.DUMMYFUNCTION("""COMPUTED_VALUE"""),"Steinhof")</f>
        <v>Steinhof</v>
      </c>
    </row>
    <row r="3078">
      <c r="A3078" t="str">
        <f>IFERROR(__xludf.DUMMYFUNCTION("""COMPUTED_VALUE"""),"F-147")</f>
        <v>F-147</v>
      </c>
      <c r="B3078" s="226" t="str">
        <f>IFERROR(__xludf.DUMMYFUNCTION("""COMPUTED_VALUE"""),"5907615804731")</f>
        <v>5907615804731</v>
      </c>
      <c r="C3078" t="str">
        <f>IFERROR(__xludf.DUMMYFUNCTION("""COMPUTED_VALUE"""),"Steinhof")</f>
        <v>Steinhof</v>
      </c>
    </row>
    <row r="3079">
      <c r="A3079" t="str">
        <f>IFERROR(__xludf.DUMMYFUNCTION("""COMPUTED_VALUE"""),"F-147")</f>
        <v>F-147</v>
      </c>
      <c r="B3079" s="226" t="str">
        <f>IFERROR(__xludf.DUMMYFUNCTION("""COMPUTED_VALUE"""),"5907615804731")</f>
        <v>5907615804731</v>
      </c>
      <c r="C3079" t="str">
        <f>IFERROR(__xludf.DUMMYFUNCTION("""COMPUTED_VALUE"""),"Steinhof")</f>
        <v>Steinhof</v>
      </c>
    </row>
    <row r="3080">
      <c r="A3080" t="str">
        <f>IFERROR(__xludf.DUMMYFUNCTION("""COMPUTED_VALUE"""),"F-147")</f>
        <v>F-147</v>
      </c>
      <c r="B3080" s="226" t="str">
        <f>IFERROR(__xludf.DUMMYFUNCTION("""COMPUTED_VALUE"""),"5907615804731")</f>
        <v>5907615804731</v>
      </c>
      <c r="C3080" t="str">
        <f>IFERROR(__xludf.DUMMYFUNCTION("""COMPUTED_VALUE"""),"Steinhof")</f>
        <v>Steinhof</v>
      </c>
    </row>
    <row r="3081">
      <c r="A3081" t="str">
        <f>IFERROR(__xludf.DUMMYFUNCTION("""COMPUTED_VALUE"""),"F-147")</f>
        <v>F-147</v>
      </c>
      <c r="B3081" s="226" t="str">
        <f>IFERROR(__xludf.DUMMYFUNCTION("""COMPUTED_VALUE"""),"5907615804731")</f>
        <v>5907615804731</v>
      </c>
      <c r="C3081" t="str">
        <f>IFERROR(__xludf.DUMMYFUNCTION("""COMPUTED_VALUE"""),"Steinhof")</f>
        <v>Steinhof</v>
      </c>
    </row>
    <row r="3082">
      <c r="A3082" t="str">
        <f>IFERROR(__xludf.DUMMYFUNCTION("""COMPUTED_VALUE"""),"F-147")</f>
        <v>F-147</v>
      </c>
      <c r="B3082" s="226" t="str">
        <f>IFERROR(__xludf.DUMMYFUNCTION("""COMPUTED_VALUE"""),"5907615804731")</f>
        <v>5907615804731</v>
      </c>
      <c r="C3082" t="str">
        <f>IFERROR(__xludf.DUMMYFUNCTION("""COMPUTED_VALUE"""),"Steinhof")</f>
        <v>Steinhof</v>
      </c>
    </row>
    <row r="3083">
      <c r="A3083" t="str">
        <f>IFERROR(__xludf.DUMMYFUNCTION("""COMPUTED_VALUE"""),"F-147")</f>
        <v>F-147</v>
      </c>
      <c r="B3083" s="226" t="str">
        <f>IFERROR(__xludf.DUMMYFUNCTION("""COMPUTED_VALUE"""),"5907615804731")</f>
        <v>5907615804731</v>
      </c>
      <c r="C3083" t="str">
        <f>IFERROR(__xludf.DUMMYFUNCTION("""COMPUTED_VALUE"""),"Steinhof")</f>
        <v>Steinhof</v>
      </c>
    </row>
    <row r="3084">
      <c r="A3084" t="str">
        <f>IFERROR(__xludf.DUMMYFUNCTION("""COMPUTED_VALUE"""),"F-147")</f>
        <v>F-147</v>
      </c>
      <c r="B3084" s="226" t="str">
        <f>IFERROR(__xludf.DUMMYFUNCTION("""COMPUTED_VALUE"""),"5907615804731")</f>
        <v>5907615804731</v>
      </c>
      <c r="C3084" t="str">
        <f>IFERROR(__xludf.DUMMYFUNCTION("""COMPUTED_VALUE"""),"Steinhof")</f>
        <v>Steinhof</v>
      </c>
    </row>
    <row r="3085">
      <c r="A3085" t="str">
        <f>IFERROR(__xludf.DUMMYFUNCTION("""COMPUTED_VALUE"""),"F-147")</f>
        <v>F-147</v>
      </c>
      <c r="B3085" s="226" t="str">
        <f>IFERROR(__xludf.DUMMYFUNCTION("""COMPUTED_VALUE"""),"5907615804731")</f>
        <v>5907615804731</v>
      </c>
      <c r="C3085" t="str">
        <f>IFERROR(__xludf.DUMMYFUNCTION("""COMPUTED_VALUE"""),"Steinhof")</f>
        <v>Steinhof</v>
      </c>
    </row>
    <row r="3086">
      <c r="A3086" t="str">
        <f>IFERROR(__xludf.DUMMYFUNCTION("""COMPUTED_VALUE"""),"F-147")</f>
        <v>F-147</v>
      </c>
      <c r="B3086" s="226" t="str">
        <f>IFERROR(__xludf.DUMMYFUNCTION("""COMPUTED_VALUE"""),"5907615804731")</f>
        <v>5907615804731</v>
      </c>
      <c r="C3086" t="str">
        <f>IFERROR(__xludf.DUMMYFUNCTION("""COMPUTED_VALUE"""),"Steinhof")</f>
        <v>Steinhof</v>
      </c>
    </row>
    <row r="3087">
      <c r="A3087" t="str">
        <f>IFERROR(__xludf.DUMMYFUNCTION("""COMPUTED_VALUE"""),"F-147")</f>
        <v>F-147</v>
      </c>
      <c r="B3087" s="226" t="str">
        <f>IFERROR(__xludf.DUMMYFUNCTION("""COMPUTED_VALUE"""),"5907615804731")</f>
        <v>5907615804731</v>
      </c>
      <c r="C3087" t="str">
        <f>IFERROR(__xludf.DUMMYFUNCTION("""COMPUTED_VALUE"""),"Steinhof")</f>
        <v>Steinhof</v>
      </c>
    </row>
    <row r="3088">
      <c r="A3088" t="str">
        <f>IFERROR(__xludf.DUMMYFUNCTION("""COMPUTED_VALUE"""),"F-147")</f>
        <v>F-147</v>
      </c>
      <c r="B3088" s="226" t="str">
        <f>IFERROR(__xludf.DUMMYFUNCTION("""COMPUTED_VALUE"""),"5907615804731")</f>
        <v>5907615804731</v>
      </c>
      <c r="C3088" t="str">
        <f>IFERROR(__xludf.DUMMYFUNCTION("""COMPUTED_VALUE"""),"Steinhof")</f>
        <v>Steinhof</v>
      </c>
    </row>
    <row r="3089">
      <c r="A3089" t="str">
        <f>IFERROR(__xludf.DUMMYFUNCTION("""COMPUTED_VALUE"""),"F-147")</f>
        <v>F-147</v>
      </c>
      <c r="B3089" s="226" t="str">
        <f>IFERROR(__xludf.DUMMYFUNCTION("""COMPUTED_VALUE"""),"5907615804731")</f>
        <v>5907615804731</v>
      </c>
      <c r="C3089" t="str">
        <f>IFERROR(__xludf.DUMMYFUNCTION("""COMPUTED_VALUE"""),"Steinhof")</f>
        <v>Steinhof</v>
      </c>
    </row>
    <row r="3090">
      <c r="A3090" t="str">
        <f>IFERROR(__xludf.DUMMYFUNCTION("""COMPUTED_VALUE"""),"F-147")</f>
        <v>F-147</v>
      </c>
      <c r="B3090" s="226" t="str">
        <f>IFERROR(__xludf.DUMMYFUNCTION("""COMPUTED_VALUE"""),"5907615804731")</f>
        <v>5907615804731</v>
      </c>
      <c r="C3090" t="str">
        <f>IFERROR(__xludf.DUMMYFUNCTION("""COMPUTED_VALUE"""),"Steinhof")</f>
        <v>Steinhof</v>
      </c>
    </row>
    <row r="3091">
      <c r="A3091" t="str">
        <f>IFERROR(__xludf.DUMMYFUNCTION("""COMPUTED_VALUE"""),"F-147")</f>
        <v>F-147</v>
      </c>
      <c r="B3091" s="226" t="str">
        <f>IFERROR(__xludf.DUMMYFUNCTION("""COMPUTED_VALUE"""),"5907615804731")</f>
        <v>5907615804731</v>
      </c>
      <c r="C3091" t="str">
        <f>IFERROR(__xludf.DUMMYFUNCTION("""COMPUTED_VALUE"""),"Steinhof")</f>
        <v>Steinhof</v>
      </c>
    </row>
    <row r="3092">
      <c r="A3092" t="str">
        <f>IFERROR(__xludf.DUMMYFUNCTION("""COMPUTED_VALUE"""),"F-147")</f>
        <v>F-147</v>
      </c>
      <c r="B3092" s="226" t="str">
        <f>IFERROR(__xludf.DUMMYFUNCTION("""COMPUTED_VALUE"""),"5907615804731")</f>
        <v>5907615804731</v>
      </c>
      <c r="C3092" t="str">
        <f>IFERROR(__xludf.DUMMYFUNCTION("""COMPUTED_VALUE"""),"Steinhof")</f>
        <v>Steinhof</v>
      </c>
    </row>
    <row r="3093">
      <c r="A3093" t="str">
        <f>IFERROR(__xludf.DUMMYFUNCTION("""COMPUTED_VALUE"""),"F-147")</f>
        <v>F-147</v>
      </c>
      <c r="B3093" s="226" t="str">
        <f>IFERROR(__xludf.DUMMYFUNCTION("""COMPUTED_VALUE"""),"5907615804731")</f>
        <v>5907615804731</v>
      </c>
      <c r="C3093" t="str">
        <f>IFERROR(__xludf.DUMMYFUNCTION("""COMPUTED_VALUE"""),"Steinhof")</f>
        <v>Steinhof</v>
      </c>
    </row>
    <row r="3094">
      <c r="A3094" t="str">
        <f>IFERROR(__xludf.DUMMYFUNCTION("""COMPUTED_VALUE"""),"F-143")</f>
        <v>F-143</v>
      </c>
      <c r="B3094" s="226" t="str">
        <f>IFERROR(__xludf.DUMMYFUNCTION("""COMPUTED_VALUE"""),"5907615804748")</f>
        <v>5907615804748</v>
      </c>
      <c r="C3094" t="str">
        <f>IFERROR(__xludf.DUMMYFUNCTION("""COMPUTED_VALUE"""),"Steinhof")</f>
        <v>Steinhof</v>
      </c>
    </row>
    <row r="3095">
      <c r="A3095" t="str">
        <f>IFERROR(__xludf.DUMMYFUNCTION("""COMPUTED_VALUE"""),"F-143")</f>
        <v>F-143</v>
      </c>
      <c r="B3095" s="226" t="str">
        <f>IFERROR(__xludf.DUMMYFUNCTION("""COMPUTED_VALUE"""),"5907615804748")</f>
        <v>5907615804748</v>
      </c>
      <c r="C3095" t="str">
        <f>IFERROR(__xludf.DUMMYFUNCTION("""COMPUTED_VALUE"""),"Steinhof")</f>
        <v>Steinhof</v>
      </c>
    </row>
    <row r="3096">
      <c r="A3096" t="str">
        <f>IFERROR(__xludf.DUMMYFUNCTION("""COMPUTED_VALUE"""),"F-143")</f>
        <v>F-143</v>
      </c>
      <c r="B3096" s="226" t="str">
        <f>IFERROR(__xludf.DUMMYFUNCTION("""COMPUTED_VALUE"""),"5907615804748")</f>
        <v>5907615804748</v>
      </c>
      <c r="C3096" t="str">
        <f>IFERROR(__xludf.DUMMYFUNCTION("""COMPUTED_VALUE"""),"Steinhof")</f>
        <v>Steinhof</v>
      </c>
    </row>
    <row r="3097">
      <c r="A3097" t="str">
        <f>IFERROR(__xludf.DUMMYFUNCTION("""COMPUTED_VALUE"""),"F-143")</f>
        <v>F-143</v>
      </c>
      <c r="B3097" s="226" t="str">
        <f>IFERROR(__xludf.DUMMYFUNCTION("""COMPUTED_VALUE"""),"5907615804748")</f>
        <v>5907615804748</v>
      </c>
      <c r="C3097" t="str">
        <f>IFERROR(__xludf.DUMMYFUNCTION("""COMPUTED_VALUE"""),"Steinhof")</f>
        <v>Steinhof</v>
      </c>
    </row>
    <row r="3098">
      <c r="A3098" t="str">
        <f>IFERROR(__xludf.DUMMYFUNCTION("""COMPUTED_VALUE"""),"F-148")</f>
        <v>F-148</v>
      </c>
      <c r="B3098" s="226" t="str">
        <f>IFERROR(__xludf.DUMMYFUNCTION("""COMPUTED_VALUE"""),"5907615804755")</f>
        <v>5907615804755</v>
      </c>
      <c r="C3098" t="str">
        <f>IFERROR(__xludf.DUMMYFUNCTION("""COMPUTED_VALUE"""),"Steinhof")</f>
        <v>Steinhof</v>
      </c>
    </row>
    <row r="3099">
      <c r="A3099" t="str">
        <f>IFERROR(__xludf.DUMMYFUNCTION("""COMPUTED_VALUE"""),"F-148")</f>
        <v>F-148</v>
      </c>
      <c r="B3099" s="226" t="str">
        <f>IFERROR(__xludf.DUMMYFUNCTION("""COMPUTED_VALUE"""),"5907615804755")</f>
        <v>5907615804755</v>
      </c>
      <c r="C3099" t="str">
        <f>IFERROR(__xludf.DUMMYFUNCTION("""COMPUTED_VALUE"""),"Steinhof")</f>
        <v>Steinhof</v>
      </c>
    </row>
    <row r="3100">
      <c r="A3100" t="str">
        <f>IFERROR(__xludf.DUMMYFUNCTION("""COMPUTED_VALUE"""),"F-148")</f>
        <v>F-148</v>
      </c>
      <c r="B3100" s="226" t="str">
        <f>IFERROR(__xludf.DUMMYFUNCTION("""COMPUTED_VALUE"""),"5907615804755")</f>
        <v>5907615804755</v>
      </c>
      <c r="C3100" t="str">
        <f>IFERROR(__xludf.DUMMYFUNCTION("""COMPUTED_VALUE"""),"Steinhof")</f>
        <v>Steinhof</v>
      </c>
    </row>
    <row r="3101">
      <c r="A3101" t="str">
        <f>IFERROR(__xludf.DUMMYFUNCTION("""COMPUTED_VALUE"""),"F-148")</f>
        <v>F-148</v>
      </c>
      <c r="B3101" s="226" t="str">
        <f>IFERROR(__xludf.DUMMYFUNCTION("""COMPUTED_VALUE"""),"5907615804755")</f>
        <v>5907615804755</v>
      </c>
      <c r="C3101" t="str">
        <f>IFERROR(__xludf.DUMMYFUNCTION("""COMPUTED_VALUE"""),"Steinhof")</f>
        <v>Steinhof</v>
      </c>
    </row>
    <row r="3102">
      <c r="A3102" t="str">
        <f>IFERROR(__xludf.DUMMYFUNCTION("""COMPUTED_VALUE"""),"F-148")</f>
        <v>F-148</v>
      </c>
      <c r="B3102" s="226" t="str">
        <f>IFERROR(__xludf.DUMMYFUNCTION("""COMPUTED_VALUE"""),"5907615804755")</f>
        <v>5907615804755</v>
      </c>
      <c r="C3102" t="str">
        <f>IFERROR(__xludf.DUMMYFUNCTION("""COMPUTED_VALUE"""),"Steinhof")</f>
        <v>Steinhof</v>
      </c>
    </row>
    <row r="3103">
      <c r="A3103" t="str">
        <f>IFERROR(__xludf.DUMMYFUNCTION("""COMPUTED_VALUE"""),"F-148")</f>
        <v>F-148</v>
      </c>
      <c r="B3103" s="226" t="str">
        <f>IFERROR(__xludf.DUMMYFUNCTION("""COMPUTED_VALUE"""),"5907615804755")</f>
        <v>5907615804755</v>
      </c>
      <c r="C3103" t="str">
        <f>IFERROR(__xludf.DUMMYFUNCTION("""COMPUTED_VALUE"""),"Steinhof")</f>
        <v>Steinhof</v>
      </c>
    </row>
    <row r="3104">
      <c r="A3104" t="str">
        <f>IFERROR(__xludf.DUMMYFUNCTION("""COMPUTED_VALUE"""),"F-148")</f>
        <v>F-148</v>
      </c>
      <c r="B3104" s="226" t="str">
        <f>IFERROR(__xludf.DUMMYFUNCTION("""COMPUTED_VALUE"""),"5907615804755")</f>
        <v>5907615804755</v>
      </c>
      <c r="C3104" t="str">
        <f>IFERROR(__xludf.DUMMYFUNCTION("""COMPUTED_VALUE"""),"Steinhof")</f>
        <v>Steinhof</v>
      </c>
    </row>
    <row r="3105">
      <c r="A3105" t="str">
        <f>IFERROR(__xludf.DUMMYFUNCTION("""COMPUTED_VALUE"""),"F-148")</f>
        <v>F-148</v>
      </c>
      <c r="B3105" s="226" t="str">
        <f>IFERROR(__xludf.DUMMYFUNCTION("""COMPUTED_VALUE"""),"5907615804755")</f>
        <v>5907615804755</v>
      </c>
      <c r="C3105" t="str">
        <f>IFERROR(__xludf.DUMMYFUNCTION("""COMPUTED_VALUE"""),"Steinhof")</f>
        <v>Steinhof</v>
      </c>
    </row>
    <row r="3106">
      <c r="A3106" t="str">
        <f>IFERROR(__xludf.DUMMYFUNCTION("""COMPUTED_VALUE"""),"F-149")</f>
        <v>F-149</v>
      </c>
      <c r="B3106" s="226" t="str">
        <f>IFERROR(__xludf.DUMMYFUNCTION("""COMPUTED_VALUE"""),"5907615804762")</f>
        <v>5907615804762</v>
      </c>
      <c r="C3106" t="str">
        <f>IFERROR(__xludf.DUMMYFUNCTION("""COMPUTED_VALUE"""),"Steinhof")</f>
        <v>Steinhof</v>
      </c>
    </row>
    <row r="3107">
      <c r="A3107" t="str">
        <f>IFERROR(__xludf.DUMMYFUNCTION("""COMPUTED_VALUE"""),"F-149")</f>
        <v>F-149</v>
      </c>
      <c r="B3107" s="226" t="str">
        <f>IFERROR(__xludf.DUMMYFUNCTION("""COMPUTED_VALUE"""),"5907615804762")</f>
        <v>5907615804762</v>
      </c>
      <c r="C3107" t="str">
        <f>IFERROR(__xludf.DUMMYFUNCTION("""COMPUTED_VALUE"""),"Steinhof")</f>
        <v>Steinhof</v>
      </c>
    </row>
    <row r="3108">
      <c r="A3108" t="str">
        <f>IFERROR(__xludf.DUMMYFUNCTION("""COMPUTED_VALUE"""),"F-149")</f>
        <v>F-149</v>
      </c>
      <c r="B3108" s="226" t="str">
        <f>IFERROR(__xludf.DUMMYFUNCTION("""COMPUTED_VALUE"""),"5907615804762")</f>
        <v>5907615804762</v>
      </c>
      <c r="C3108" t="str">
        <f>IFERROR(__xludf.DUMMYFUNCTION("""COMPUTED_VALUE"""),"Steinhof")</f>
        <v>Steinhof</v>
      </c>
    </row>
    <row r="3109">
      <c r="A3109" t="str">
        <f>IFERROR(__xludf.DUMMYFUNCTION("""COMPUTED_VALUE"""),"F-149")</f>
        <v>F-149</v>
      </c>
      <c r="B3109" s="226" t="str">
        <f>IFERROR(__xludf.DUMMYFUNCTION("""COMPUTED_VALUE"""),"5907615804762")</f>
        <v>5907615804762</v>
      </c>
      <c r="C3109" t="str">
        <f>IFERROR(__xludf.DUMMYFUNCTION("""COMPUTED_VALUE"""),"Steinhof")</f>
        <v>Steinhof</v>
      </c>
    </row>
    <row r="3110">
      <c r="A3110" t="str">
        <f>IFERROR(__xludf.DUMMYFUNCTION("""COMPUTED_VALUE"""),"F-149")</f>
        <v>F-149</v>
      </c>
      <c r="B3110" s="226" t="str">
        <f>IFERROR(__xludf.DUMMYFUNCTION("""COMPUTED_VALUE"""),"5907615804762")</f>
        <v>5907615804762</v>
      </c>
      <c r="C3110" t="str">
        <f>IFERROR(__xludf.DUMMYFUNCTION("""COMPUTED_VALUE"""),"Steinhof")</f>
        <v>Steinhof</v>
      </c>
    </row>
    <row r="3111">
      <c r="A3111" t="str">
        <f>IFERROR(__xludf.DUMMYFUNCTION("""COMPUTED_VALUE"""),"F-149")</f>
        <v>F-149</v>
      </c>
      <c r="B3111" s="226" t="str">
        <f>IFERROR(__xludf.DUMMYFUNCTION("""COMPUTED_VALUE"""),"5907615804762")</f>
        <v>5907615804762</v>
      </c>
      <c r="C3111" t="str">
        <f>IFERROR(__xludf.DUMMYFUNCTION("""COMPUTED_VALUE"""),"Steinhof")</f>
        <v>Steinhof</v>
      </c>
    </row>
    <row r="3112">
      <c r="A3112" t="str">
        <f>IFERROR(__xludf.DUMMYFUNCTION("""COMPUTED_VALUE"""),"F-149")</f>
        <v>F-149</v>
      </c>
      <c r="B3112" s="226" t="str">
        <f>IFERROR(__xludf.DUMMYFUNCTION("""COMPUTED_VALUE"""),"5907615804762")</f>
        <v>5907615804762</v>
      </c>
      <c r="C3112" t="str">
        <f>IFERROR(__xludf.DUMMYFUNCTION("""COMPUTED_VALUE"""),"Steinhof")</f>
        <v>Steinhof</v>
      </c>
    </row>
    <row r="3113">
      <c r="A3113" t="str">
        <f>IFERROR(__xludf.DUMMYFUNCTION("""COMPUTED_VALUE"""),"F-149")</f>
        <v>F-149</v>
      </c>
      <c r="B3113" s="226" t="str">
        <f>IFERROR(__xludf.DUMMYFUNCTION("""COMPUTED_VALUE"""),"5907615804762")</f>
        <v>5907615804762</v>
      </c>
      <c r="C3113" t="str">
        <f>IFERROR(__xludf.DUMMYFUNCTION("""COMPUTED_VALUE"""),"Steinhof")</f>
        <v>Steinhof</v>
      </c>
    </row>
    <row r="3114">
      <c r="A3114" t="str">
        <f>IFERROR(__xludf.DUMMYFUNCTION("""COMPUTED_VALUE"""),"F-150")</f>
        <v>F-150</v>
      </c>
      <c r="B3114" s="226" t="str">
        <f>IFERROR(__xludf.DUMMYFUNCTION("""COMPUTED_VALUE"""),"5907615804779")</f>
        <v>5907615804779</v>
      </c>
      <c r="C3114" t="str">
        <f>IFERROR(__xludf.DUMMYFUNCTION("""COMPUTED_VALUE"""),"Steinhof")</f>
        <v>Steinhof</v>
      </c>
    </row>
    <row r="3115">
      <c r="A3115" t="str">
        <f>IFERROR(__xludf.DUMMYFUNCTION("""COMPUTED_VALUE"""),"F-150")</f>
        <v>F-150</v>
      </c>
      <c r="B3115" s="226" t="str">
        <f>IFERROR(__xludf.DUMMYFUNCTION("""COMPUTED_VALUE"""),"5907615804779")</f>
        <v>5907615804779</v>
      </c>
      <c r="C3115" t="str">
        <f>IFERROR(__xludf.DUMMYFUNCTION("""COMPUTED_VALUE"""),"Steinhof")</f>
        <v>Steinhof</v>
      </c>
    </row>
    <row r="3116">
      <c r="A3116" t="str">
        <f>IFERROR(__xludf.DUMMYFUNCTION("""COMPUTED_VALUE"""),"F-151")</f>
        <v>F-151</v>
      </c>
      <c r="B3116" s="226" t="str">
        <f>IFERROR(__xludf.DUMMYFUNCTION("""COMPUTED_VALUE"""),"5907615804786")</f>
        <v>5907615804786</v>
      </c>
      <c r="C3116" t="str">
        <f>IFERROR(__xludf.DUMMYFUNCTION("""COMPUTED_VALUE"""),"Steinhof")</f>
        <v>Steinhof</v>
      </c>
    </row>
    <row r="3117">
      <c r="A3117" t="str">
        <f>IFERROR(__xludf.DUMMYFUNCTION("""COMPUTED_VALUE"""),"F-151")</f>
        <v>F-151</v>
      </c>
      <c r="B3117" s="226" t="str">
        <f>IFERROR(__xludf.DUMMYFUNCTION("""COMPUTED_VALUE"""),"5907615804786")</f>
        <v>5907615804786</v>
      </c>
      <c r="C3117" t="str">
        <f>IFERROR(__xludf.DUMMYFUNCTION("""COMPUTED_VALUE"""),"Steinhof")</f>
        <v>Steinhof</v>
      </c>
    </row>
    <row r="3118">
      <c r="A3118" t="str">
        <f>IFERROR(__xludf.DUMMYFUNCTION("""COMPUTED_VALUE"""),"F-152")</f>
        <v>F-152</v>
      </c>
      <c r="B3118" s="226" t="str">
        <f>IFERROR(__xludf.DUMMYFUNCTION("""COMPUTED_VALUE"""),"5907615804793")</f>
        <v>5907615804793</v>
      </c>
      <c r="C3118" t="str">
        <f>IFERROR(__xludf.DUMMYFUNCTION("""COMPUTED_VALUE"""),"Steinhof")</f>
        <v>Steinhof</v>
      </c>
    </row>
    <row r="3119">
      <c r="A3119" t="str">
        <f>IFERROR(__xludf.DUMMYFUNCTION("""COMPUTED_VALUE"""),"F-152")</f>
        <v>F-152</v>
      </c>
      <c r="B3119" s="226" t="str">
        <f>IFERROR(__xludf.DUMMYFUNCTION("""COMPUTED_VALUE"""),"5907615804793")</f>
        <v>5907615804793</v>
      </c>
      <c r="C3119" t="str">
        <f>IFERROR(__xludf.DUMMYFUNCTION("""COMPUTED_VALUE"""),"Steinhof")</f>
        <v>Steinhof</v>
      </c>
    </row>
    <row r="3120">
      <c r="A3120" t="str">
        <f>IFERROR(__xludf.DUMMYFUNCTION("""COMPUTED_VALUE"""),"F-153")</f>
        <v>F-153</v>
      </c>
      <c r="B3120" s="226" t="str">
        <f>IFERROR(__xludf.DUMMYFUNCTION("""COMPUTED_VALUE"""),"5907615804809")</f>
        <v>5907615804809</v>
      </c>
      <c r="C3120" t="str">
        <f>IFERROR(__xludf.DUMMYFUNCTION("""COMPUTED_VALUE"""),"Steinhof")</f>
        <v>Steinhof</v>
      </c>
    </row>
    <row r="3121">
      <c r="A3121" t="str">
        <f>IFERROR(__xludf.DUMMYFUNCTION("""COMPUTED_VALUE"""),"F-153")</f>
        <v>F-153</v>
      </c>
      <c r="B3121" s="226" t="str">
        <f>IFERROR(__xludf.DUMMYFUNCTION("""COMPUTED_VALUE"""),"5907615804809")</f>
        <v>5907615804809</v>
      </c>
      <c r="C3121" t="str">
        <f>IFERROR(__xludf.DUMMYFUNCTION("""COMPUTED_VALUE"""),"Steinhof")</f>
        <v>Steinhof</v>
      </c>
    </row>
    <row r="3122">
      <c r="A3122" t="str">
        <f>IFERROR(__xludf.DUMMYFUNCTION("""COMPUTED_VALUE"""),"F-201")</f>
        <v>F-201</v>
      </c>
      <c r="B3122" s="226" t="str">
        <f>IFERROR(__xludf.DUMMYFUNCTION("""COMPUTED_VALUE"""),"5907615804823")</f>
        <v>5907615804823</v>
      </c>
      <c r="C3122" t="str">
        <f>IFERROR(__xludf.DUMMYFUNCTION("""COMPUTED_VALUE"""),"Steinhof")</f>
        <v>Steinhof</v>
      </c>
    </row>
    <row r="3123">
      <c r="A3123" t="str">
        <f>IFERROR(__xludf.DUMMYFUNCTION("""COMPUTED_VALUE"""),"F-201")</f>
        <v>F-201</v>
      </c>
      <c r="B3123" s="226" t="str">
        <f>IFERROR(__xludf.DUMMYFUNCTION("""COMPUTED_VALUE"""),"5907615804823")</f>
        <v>5907615804823</v>
      </c>
      <c r="C3123" t="str">
        <f>IFERROR(__xludf.DUMMYFUNCTION("""COMPUTED_VALUE"""),"Steinhof")</f>
        <v>Steinhof</v>
      </c>
    </row>
    <row r="3124">
      <c r="A3124" t="str">
        <f>IFERROR(__xludf.DUMMYFUNCTION("""COMPUTED_VALUE"""),"F-202")</f>
        <v>F-202</v>
      </c>
      <c r="B3124" s="226" t="str">
        <f>IFERROR(__xludf.DUMMYFUNCTION("""COMPUTED_VALUE"""),"5907615804830")</f>
        <v>5907615804830</v>
      </c>
      <c r="C3124" t="str">
        <f>IFERROR(__xludf.DUMMYFUNCTION("""COMPUTED_VALUE"""),"Steinhof")</f>
        <v>Steinhof</v>
      </c>
    </row>
    <row r="3125">
      <c r="A3125" t="str">
        <f>IFERROR(__xludf.DUMMYFUNCTION("""COMPUTED_VALUE"""),"F-153/W7")</f>
        <v>F-153/W7</v>
      </c>
      <c r="B3125" s="226" t="str">
        <f>IFERROR(__xludf.DUMMYFUNCTION("""COMPUTED_VALUE"""),"5907615804847")</f>
        <v>5907615804847</v>
      </c>
      <c r="C3125" t="str">
        <f>IFERROR(__xludf.DUMMYFUNCTION("""COMPUTED_VALUE"""),"Steinhof")</f>
        <v>Steinhof</v>
      </c>
    </row>
    <row r="3126">
      <c r="A3126" t="str">
        <f>IFERROR(__xludf.DUMMYFUNCTION("""COMPUTED_VALUE"""),"F-153/W7")</f>
        <v>F-153/W7</v>
      </c>
      <c r="B3126" s="226" t="str">
        <f>IFERROR(__xludf.DUMMYFUNCTION("""COMPUTED_VALUE"""),"5907615804847")</f>
        <v>5907615804847</v>
      </c>
      <c r="C3126" t="str">
        <f>IFERROR(__xludf.DUMMYFUNCTION("""COMPUTED_VALUE"""),"Steinhof")</f>
        <v>Steinhof</v>
      </c>
    </row>
    <row r="3127">
      <c r="A3127" t="str">
        <f>IFERROR(__xludf.DUMMYFUNCTION("""COMPUTED_VALUE"""),"F-203")</f>
        <v>F-203</v>
      </c>
      <c r="B3127" s="226" t="str">
        <f>IFERROR(__xludf.DUMMYFUNCTION("""COMPUTED_VALUE"""),"5907615804854")</f>
        <v>5907615804854</v>
      </c>
      <c r="C3127" t="str">
        <f>IFERROR(__xludf.DUMMYFUNCTION("""COMPUTED_VALUE"""),"Steinhof")</f>
        <v>Steinhof</v>
      </c>
    </row>
    <row r="3128">
      <c r="A3128" t="str">
        <f>IFERROR(__xludf.DUMMYFUNCTION("""COMPUTED_VALUE"""),"F-203")</f>
        <v>F-203</v>
      </c>
      <c r="B3128" s="226" t="str">
        <f>IFERROR(__xludf.DUMMYFUNCTION("""COMPUTED_VALUE"""),"5907615804854")</f>
        <v>5907615804854</v>
      </c>
      <c r="C3128" t="str">
        <f>IFERROR(__xludf.DUMMYFUNCTION("""COMPUTED_VALUE"""),"Steinhof")</f>
        <v>Steinhof</v>
      </c>
    </row>
    <row r="3129">
      <c r="A3129" t="str">
        <f>IFERROR(__xludf.DUMMYFUNCTION("""COMPUTED_VALUE"""),"F-203")</f>
        <v>F-203</v>
      </c>
      <c r="B3129" s="226" t="str">
        <f>IFERROR(__xludf.DUMMYFUNCTION("""COMPUTED_VALUE"""),"5907615804854")</f>
        <v>5907615804854</v>
      </c>
      <c r="C3129" t="str">
        <f>IFERROR(__xludf.DUMMYFUNCTION("""COMPUTED_VALUE"""),"Steinhof")</f>
        <v>Steinhof</v>
      </c>
    </row>
    <row r="3130">
      <c r="A3130" t="str">
        <f>IFERROR(__xludf.DUMMYFUNCTION("""COMPUTED_VALUE"""),"F-203")</f>
        <v>F-203</v>
      </c>
      <c r="B3130" s="226" t="str">
        <f>IFERROR(__xludf.DUMMYFUNCTION("""COMPUTED_VALUE"""),"5907615804854")</f>
        <v>5907615804854</v>
      </c>
      <c r="C3130" t="str">
        <f>IFERROR(__xludf.DUMMYFUNCTION("""COMPUTED_VALUE"""),"Steinhof")</f>
        <v>Steinhof</v>
      </c>
    </row>
    <row r="3131">
      <c r="A3131" t="str">
        <f>IFERROR(__xludf.DUMMYFUNCTION("""COMPUTED_VALUE"""),"F-205")</f>
        <v>F-205</v>
      </c>
      <c r="B3131" s="226" t="str">
        <f>IFERROR(__xludf.DUMMYFUNCTION("""COMPUTED_VALUE"""),"5907615804861")</f>
        <v>5907615804861</v>
      </c>
      <c r="C3131" t="str">
        <f>IFERROR(__xludf.DUMMYFUNCTION("""COMPUTED_VALUE"""),"Steinhof")</f>
        <v>Steinhof</v>
      </c>
    </row>
    <row r="3132">
      <c r="A3132" t="str">
        <f>IFERROR(__xludf.DUMMYFUNCTION("""COMPUTED_VALUE"""),"F-205")</f>
        <v>F-205</v>
      </c>
      <c r="B3132" s="226" t="str">
        <f>IFERROR(__xludf.DUMMYFUNCTION("""COMPUTED_VALUE"""),"5907615804861")</f>
        <v>5907615804861</v>
      </c>
      <c r="C3132" t="str">
        <f>IFERROR(__xludf.DUMMYFUNCTION("""COMPUTED_VALUE"""),"Steinhof")</f>
        <v>Steinhof</v>
      </c>
    </row>
    <row r="3133">
      <c r="A3133" t="str">
        <f>IFERROR(__xludf.DUMMYFUNCTION("""COMPUTED_VALUE"""),"F-205")</f>
        <v>F-205</v>
      </c>
      <c r="B3133" s="226" t="str">
        <f>IFERROR(__xludf.DUMMYFUNCTION("""COMPUTED_VALUE"""),"5907615804861")</f>
        <v>5907615804861</v>
      </c>
      <c r="C3133" t="str">
        <f>IFERROR(__xludf.DUMMYFUNCTION("""COMPUTED_VALUE"""),"Steinhof")</f>
        <v>Steinhof</v>
      </c>
    </row>
    <row r="3134">
      <c r="A3134" t="str">
        <f>IFERROR(__xludf.DUMMYFUNCTION("""COMPUTED_VALUE"""),"F-205")</f>
        <v>F-205</v>
      </c>
      <c r="B3134" s="226" t="str">
        <f>IFERROR(__xludf.DUMMYFUNCTION("""COMPUTED_VALUE"""),"5907615804861")</f>
        <v>5907615804861</v>
      </c>
      <c r="C3134" t="str">
        <f>IFERROR(__xludf.DUMMYFUNCTION("""COMPUTED_VALUE"""),"Steinhof")</f>
        <v>Steinhof</v>
      </c>
    </row>
    <row r="3135">
      <c r="A3135" t="str">
        <f>IFERROR(__xludf.DUMMYFUNCTION("""COMPUTED_VALUE"""),"F-205")</f>
        <v>F-205</v>
      </c>
      <c r="B3135" s="226" t="str">
        <f>IFERROR(__xludf.DUMMYFUNCTION("""COMPUTED_VALUE"""),"5907615804861")</f>
        <v>5907615804861</v>
      </c>
      <c r="C3135" t="str">
        <f>IFERROR(__xludf.DUMMYFUNCTION("""COMPUTED_VALUE"""),"Steinhof")</f>
        <v>Steinhof</v>
      </c>
    </row>
    <row r="3136">
      <c r="A3136" t="str">
        <f>IFERROR(__xludf.DUMMYFUNCTION("""COMPUTED_VALUE"""),"F-205")</f>
        <v>F-205</v>
      </c>
      <c r="B3136" s="226" t="str">
        <f>IFERROR(__xludf.DUMMYFUNCTION("""COMPUTED_VALUE"""),"5907615804861")</f>
        <v>5907615804861</v>
      </c>
      <c r="C3136" t="str">
        <f>IFERROR(__xludf.DUMMYFUNCTION("""COMPUTED_VALUE"""),"Steinhof")</f>
        <v>Steinhof</v>
      </c>
    </row>
    <row r="3137">
      <c r="A3137" t="str">
        <f>IFERROR(__xludf.DUMMYFUNCTION("""COMPUTED_VALUE"""),"F-205")</f>
        <v>F-205</v>
      </c>
      <c r="B3137" s="226" t="str">
        <f>IFERROR(__xludf.DUMMYFUNCTION("""COMPUTED_VALUE"""),"5907615804861")</f>
        <v>5907615804861</v>
      </c>
      <c r="C3137" t="str">
        <f>IFERROR(__xludf.DUMMYFUNCTION("""COMPUTED_VALUE"""),"Steinhof")</f>
        <v>Steinhof</v>
      </c>
    </row>
    <row r="3138">
      <c r="A3138" t="str">
        <f>IFERROR(__xludf.DUMMYFUNCTION("""COMPUTED_VALUE"""),"F-205")</f>
        <v>F-205</v>
      </c>
      <c r="B3138" s="226" t="str">
        <f>IFERROR(__xludf.DUMMYFUNCTION("""COMPUTED_VALUE"""),"5907615804861")</f>
        <v>5907615804861</v>
      </c>
      <c r="C3138" t="str">
        <f>IFERROR(__xludf.DUMMYFUNCTION("""COMPUTED_VALUE"""),"Steinhof")</f>
        <v>Steinhof</v>
      </c>
    </row>
    <row r="3139">
      <c r="A3139" t="str">
        <f>IFERROR(__xludf.DUMMYFUNCTION("""COMPUTED_VALUE"""),"F-206")</f>
        <v>F-206</v>
      </c>
      <c r="B3139" s="226" t="str">
        <f>IFERROR(__xludf.DUMMYFUNCTION("""COMPUTED_VALUE"""),"5907615804878")</f>
        <v>5907615804878</v>
      </c>
      <c r="C3139" t="str">
        <f>IFERROR(__xludf.DUMMYFUNCTION("""COMPUTED_VALUE"""),"Steinhof")</f>
        <v>Steinhof</v>
      </c>
    </row>
    <row r="3140">
      <c r="A3140" t="str">
        <f>IFERROR(__xludf.DUMMYFUNCTION("""COMPUTED_VALUE"""),"F-206")</f>
        <v>F-206</v>
      </c>
      <c r="B3140" s="226" t="str">
        <f>IFERROR(__xludf.DUMMYFUNCTION("""COMPUTED_VALUE"""),"5907615804878")</f>
        <v>5907615804878</v>
      </c>
      <c r="C3140" t="str">
        <f>IFERROR(__xludf.DUMMYFUNCTION("""COMPUTED_VALUE"""),"Steinhof")</f>
        <v>Steinhof</v>
      </c>
    </row>
    <row r="3141">
      <c r="A3141" t="str">
        <f>IFERROR(__xludf.DUMMYFUNCTION("""COMPUTED_VALUE"""),"F-206")</f>
        <v>F-206</v>
      </c>
      <c r="B3141" s="226" t="str">
        <f>IFERROR(__xludf.DUMMYFUNCTION("""COMPUTED_VALUE"""),"5907615804878")</f>
        <v>5907615804878</v>
      </c>
      <c r="C3141" t="str">
        <f>IFERROR(__xludf.DUMMYFUNCTION("""COMPUTED_VALUE"""),"Steinhof")</f>
        <v>Steinhof</v>
      </c>
    </row>
    <row r="3142">
      <c r="A3142" t="str">
        <f>IFERROR(__xludf.DUMMYFUNCTION("""COMPUTED_VALUE"""),"F-206")</f>
        <v>F-206</v>
      </c>
      <c r="B3142" s="226" t="str">
        <f>IFERROR(__xludf.DUMMYFUNCTION("""COMPUTED_VALUE"""),"5907615804878")</f>
        <v>5907615804878</v>
      </c>
      <c r="C3142" t="str">
        <f>IFERROR(__xludf.DUMMYFUNCTION("""COMPUTED_VALUE"""),"Steinhof")</f>
        <v>Steinhof</v>
      </c>
    </row>
    <row r="3143">
      <c r="A3143" t="str">
        <f>IFERROR(__xludf.DUMMYFUNCTION("""COMPUTED_VALUE"""),"F-206")</f>
        <v>F-206</v>
      </c>
      <c r="B3143" s="226" t="str">
        <f>IFERROR(__xludf.DUMMYFUNCTION("""COMPUTED_VALUE"""),"5907615804878")</f>
        <v>5907615804878</v>
      </c>
      <c r="C3143" t="str">
        <f>IFERROR(__xludf.DUMMYFUNCTION("""COMPUTED_VALUE"""),"Steinhof")</f>
        <v>Steinhof</v>
      </c>
    </row>
    <row r="3144">
      <c r="A3144" t="str">
        <f>IFERROR(__xludf.DUMMYFUNCTION("""COMPUTED_VALUE"""),"F-206")</f>
        <v>F-206</v>
      </c>
      <c r="B3144" s="226" t="str">
        <f>IFERROR(__xludf.DUMMYFUNCTION("""COMPUTED_VALUE"""),"5907615804878")</f>
        <v>5907615804878</v>
      </c>
      <c r="C3144" t="str">
        <f>IFERROR(__xludf.DUMMYFUNCTION("""COMPUTED_VALUE"""),"Steinhof")</f>
        <v>Steinhof</v>
      </c>
    </row>
    <row r="3145">
      <c r="A3145" t="str">
        <f>IFERROR(__xludf.DUMMYFUNCTION("""COMPUTED_VALUE"""),"F-206")</f>
        <v>F-206</v>
      </c>
      <c r="B3145" s="226" t="str">
        <f>IFERROR(__xludf.DUMMYFUNCTION("""COMPUTED_VALUE"""),"5907615804878")</f>
        <v>5907615804878</v>
      </c>
      <c r="C3145" t="str">
        <f>IFERROR(__xludf.DUMMYFUNCTION("""COMPUTED_VALUE"""),"Steinhof")</f>
        <v>Steinhof</v>
      </c>
    </row>
    <row r="3146">
      <c r="A3146" t="str">
        <f>IFERROR(__xludf.DUMMYFUNCTION("""COMPUTED_VALUE"""),"F-206")</f>
        <v>F-206</v>
      </c>
      <c r="B3146" s="226" t="str">
        <f>IFERROR(__xludf.DUMMYFUNCTION("""COMPUTED_VALUE"""),"5907615804878")</f>
        <v>5907615804878</v>
      </c>
      <c r="C3146" t="str">
        <f>IFERROR(__xludf.DUMMYFUNCTION("""COMPUTED_VALUE"""),"Steinhof")</f>
        <v>Steinhof</v>
      </c>
    </row>
    <row r="3147">
      <c r="A3147" t="str">
        <f>IFERROR(__xludf.DUMMYFUNCTION("""COMPUTED_VALUE"""),"F-204")</f>
        <v>F-204</v>
      </c>
      <c r="B3147" s="226" t="str">
        <f>IFERROR(__xludf.DUMMYFUNCTION("""COMPUTED_VALUE"""),"5907615804885")</f>
        <v>5907615804885</v>
      </c>
      <c r="C3147" t="str">
        <f>IFERROR(__xludf.DUMMYFUNCTION("""COMPUTED_VALUE"""),"Steinhof")</f>
        <v>Steinhof</v>
      </c>
    </row>
    <row r="3148">
      <c r="A3148" t="str">
        <f>IFERROR(__xludf.DUMMYFUNCTION("""COMPUTED_VALUE"""),"F-204")</f>
        <v>F-204</v>
      </c>
      <c r="B3148" s="226" t="str">
        <f>IFERROR(__xludf.DUMMYFUNCTION("""COMPUTED_VALUE"""),"5907615804885")</f>
        <v>5907615804885</v>
      </c>
      <c r="C3148" t="str">
        <f>IFERROR(__xludf.DUMMYFUNCTION("""COMPUTED_VALUE"""),"Steinhof")</f>
        <v>Steinhof</v>
      </c>
    </row>
    <row r="3149">
      <c r="A3149" t="str">
        <f>IFERROR(__xludf.DUMMYFUNCTION("""COMPUTED_VALUE"""),"F-204")</f>
        <v>F-204</v>
      </c>
      <c r="B3149" s="226" t="str">
        <f>IFERROR(__xludf.DUMMYFUNCTION("""COMPUTED_VALUE"""),"5907615804885")</f>
        <v>5907615804885</v>
      </c>
      <c r="C3149" t="str">
        <f>IFERROR(__xludf.DUMMYFUNCTION("""COMPUTED_VALUE"""),"Steinhof")</f>
        <v>Steinhof</v>
      </c>
    </row>
    <row r="3150">
      <c r="A3150" t="str">
        <f>IFERROR(__xludf.DUMMYFUNCTION("""COMPUTED_VALUE"""),"F-204")</f>
        <v>F-204</v>
      </c>
      <c r="B3150" s="226" t="str">
        <f>IFERROR(__xludf.DUMMYFUNCTION("""COMPUTED_VALUE"""),"5907615804885")</f>
        <v>5907615804885</v>
      </c>
      <c r="C3150" t="str">
        <f>IFERROR(__xludf.DUMMYFUNCTION("""COMPUTED_VALUE"""),"Steinhof")</f>
        <v>Steinhof</v>
      </c>
    </row>
    <row r="3151">
      <c r="A3151" t="str">
        <f>IFERROR(__xludf.DUMMYFUNCTION("""COMPUTED_VALUE"""),"F-207")</f>
        <v>F-207</v>
      </c>
      <c r="B3151" s="226" t="str">
        <f>IFERROR(__xludf.DUMMYFUNCTION("""COMPUTED_VALUE"""),"5907615804892")</f>
        <v>5907615804892</v>
      </c>
      <c r="C3151" t="str">
        <f>IFERROR(__xludf.DUMMYFUNCTION("""COMPUTED_VALUE"""),"Steinhof")</f>
        <v>Steinhof</v>
      </c>
    </row>
    <row r="3152">
      <c r="A3152" t="str">
        <f>IFERROR(__xludf.DUMMYFUNCTION("""COMPUTED_VALUE"""),"F-208")</f>
        <v>F-208</v>
      </c>
      <c r="B3152" s="226" t="str">
        <f>IFERROR(__xludf.DUMMYFUNCTION("""COMPUTED_VALUE"""),"5907615804908")</f>
        <v>5907615804908</v>
      </c>
      <c r="C3152" t="str">
        <f>IFERROR(__xludf.DUMMYFUNCTION("""COMPUTED_VALUE"""),"Steinhof")</f>
        <v>Steinhof</v>
      </c>
    </row>
    <row r="3153">
      <c r="A3153" t="str">
        <f>IFERROR(__xludf.DUMMYFUNCTION("""COMPUTED_VALUE"""),"F-125")</f>
        <v>F-125</v>
      </c>
      <c r="B3153" s="226" t="str">
        <f>IFERROR(__xludf.DUMMYFUNCTION("""COMPUTED_VALUE"""),"5907615804915")</f>
        <v>5907615804915</v>
      </c>
      <c r="C3153" t="str">
        <f>IFERROR(__xludf.DUMMYFUNCTION("""COMPUTED_VALUE"""),"Steinhof")</f>
        <v>Steinhof</v>
      </c>
    </row>
    <row r="3154">
      <c r="A3154" t="str">
        <f>IFERROR(__xludf.DUMMYFUNCTION("""COMPUTED_VALUE"""),"F-125")</f>
        <v>F-125</v>
      </c>
      <c r="B3154" s="226" t="str">
        <f>IFERROR(__xludf.DUMMYFUNCTION("""COMPUTED_VALUE"""),"5907615804915")</f>
        <v>5907615804915</v>
      </c>
      <c r="C3154" t="str">
        <f>IFERROR(__xludf.DUMMYFUNCTION("""COMPUTED_VALUE"""),"Steinhof")</f>
        <v>Steinhof</v>
      </c>
    </row>
    <row r="3155">
      <c r="A3155" t="str">
        <f>IFERROR(__xludf.DUMMYFUNCTION("""COMPUTED_VALUE"""),"F-125")</f>
        <v>F-125</v>
      </c>
      <c r="B3155" s="226" t="str">
        <f>IFERROR(__xludf.DUMMYFUNCTION("""COMPUTED_VALUE"""),"5907615804915")</f>
        <v>5907615804915</v>
      </c>
      <c r="C3155" t="str">
        <f>IFERROR(__xludf.DUMMYFUNCTION("""COMPUTED_VALUE"""),"Steinhof")</f>
        <v>Steinhof</v>
      </c>
    </row>
    <row r="3156">
      <c r="A3156" t="str">
        <f>IFERROR(__xludf.DUMMYFUNCTION("""COMPUTED_VALUE"""),"F-125")</f>
        <v>F-125</v>
      </c>
      <c r="B3156" s="226" t="str">
        <f>IFERROR(__xludf.DUMMYFUNCTION("""COMPUTED_VALUE"""),"5907615804915")</f>
        <v>5907615804915</v>
      </c>
      <c r="C3156" t="str">
        <f>IFERROR(__xludf.DUMMYFUNCTION("""COMPUTED_VALUE"""),"Steinhof")</f>
        <v>Steinhof</v>
      </c>
    </row>
    <row r="3157">
      <c r="A3157" t="str">
        <f>IFERROR(__xludf.DUMMYFUNCTION("""COMPUTED_VALUE"""),"F-220")</f>
        <v>F-220</v>
      </c>
      <c r="B3157" s="226" t="str">
        <f>IFERROR(__xludf.DUMMYFUNCTION("""COMPUTED_VALUE"""),"5907615805011")</f>
        <v>5907615805011</v>
      </c>
      <c r="C3157" t="str">
        <f>IFERROR(__xludf.DUMMYFUNCTION("""COMPUTED_VALUE"""),"Steinhof")</f>
        <v>Steinhof</v>
      </c>
    </row>
    <row r="3158">
      <c r="A3158" t="str">
        <f>IFERROR(__xludf.DUMMYFUNCTION("""COMPUTED_VALUE"""),"F-221")</f>
        <v>F-221</v>
      </c>
      <c r="B3158" s="226" t="str">
        <f>IFERROR(__xludf.DUMMYFUNCTION("""COMPUTED_VALUE"""),"5907615805028")</f>
        <v>5907615805028</v>
      </c>
      <c r="C3158" t="str">
        <f>IFERROR(__xludf.DUMMYFUNCTION("""COMPUTED_VALUE"""),"Steinhof")</f>
        <v>Steinhof</v>
      </c>
    </row>
    <row r="3159">
      <c r="A3159" t="str">
        <f>IFERROR(__xludf.DUMMYFUNCTION("""COMPUTED_VALUE"""),"F-221")</f>
        <v>F-221</v>
      </c>
      <c r="B3159" s="226" t="str">
        <f>IFERROR(__xludf.DUMMYFUNCTION("""COMPUTED_VALUE"""),"5907615805028")</f>
        <v>5907615805028</v>
      </c>
      <c r="C3159" t="str">
        <f>IFERROR(__xludf.DUMMYFUNCTION("""COMPUTED_VALUE"""),"Steinhof")</f>
        <v>Steinhof</v>
      </c>
    </row>
    <row r="3160">
      <c r="A3160" t="str">
        <f>IFERROR(__xludf.DUMMYFUNCTION("""COMPUTED_VALUE"""),"F-221")</f>
        <v>F-221</v>
      </c>
      <c r="B3160" s="226" t="str">
        <f>IFERROR(__xludf.DUMMYFUNCTION("""COMPUTED_VALUE"""),"5907615805028")</f>
        <v>5907615805028</v>
      </c>
      <c r="C3160" t="str">
        <f>IFERROR(__xludf.DUMMYFUNCTION("""COMPUTED_VALUE"""),"Steinhof")</f>
        <v>Steinhof</v>
      </c>
    </row>
    <row r="3161">
      <c r="A3161" t="str">
        <f>IFERROR(__xludf.DUMMYFUNCTION("""COMPUTED_VALUE"""),"F-221")</f>
        <v>F-221</v>
      </c>
      <c r="B3161" s="226" t="str">
        <f>IFERROR(__xludf.DUMMYFUNCTION("""COMPUTED_VALUE"""),"5907615805028")</f>
        <v>5907615805028</v>
      </c>
      <c r="C3161" t="str">
        <f>IFERROR(__xludf.DUMMYFUNCTION("""COMPUTED_VALUE"""),"Steinhof")</f>
        <v>Steinhof</v>
      </c>
    </row>
    <row r="3162">
      <c r="A3162" t="str">
        <f>IFERROR(__xludf.DUMMYFUNCTION("""COMPUTED_VALUE"""),"F-222")</f>
        <v>F-222</v>
      </c>
      <c r="B3162" s="226" t="str">
        <f>IFERROR(__xludf.DUMMYFUNCTION("""COMPUTED_VALUE"""),"5907615805035")</f>
        <v>5907615805035</v>
      </c>
      <c r="C3162" t="str">
        <f>IFERROR(__xludf.DUMMYFUNCTION("""COMPUTED_VALUE"""),"Steinhof")</f>
        <v>Steinhof</v>
      </c>
    </row>
    <row r="3163">
      <c r="A3163" t="str">
        <f>IFERROR(__xludf.DUMMYFUNCTION("""COMPUTED_VALUE"""),"F-222")</f>
        <v>F-222</v>
      </c>
      <c r="B3163" s="226" t="str">
        <f>IFERROR(__xludf.DUMMYFUNCTION("""COMPUTED_VALUE"""),"5907615805035")</f>
        <v>5907615805035</v>
      </c>
      <c r="C3163" t="str">
        <f>IFERROR(__xludf.DUMMYFUNCTION("""COMPUTED_VALUE"""),"Steinhof")</f>
        <v>Steinhof</v>
      </c>
    </row>
    <row r="3164">
      <c r="A3164" t="str">
        <f>IFERROR(__xludf.DUMMYFUNCTION("""COMPUTED_VALUE"""),"F-223/1")</f>
        <v>F-223/1</v>
      </c>
      <c r="B3164" s="226" t="str">
        <f>IFERROR(__xludf.DUMMYFUNCTION("""COMPUTED_VALUE"""),"5907615805042")</f>
        <v>5907615805042</v>
      </c>
      <c r="C3164" t="str">
        <f>IFERROR(__xludf.DUMMYFUNCTION("""COMPUTED_VALUE"""),"Steinhof")</f>
        <v>Steinhof</v>
      </c>
    </row>
    <row r="3165">
      <c r="A3165" t="str">
        <f>IFERROR(__xludf.DUMMYFUNCTION("""COMPUTED_VALUE"""),"F-223/1")</f>
        <v>F-223/1</v>
      </c>
      <c r="B3165" s="226" t="str">
        <f>IFERROR(__xludf.DUMMYFUNCTION("""COMPUTED_VALUE"""),"5907615805042")</f>
        <v>5907615805042</v>
      </c>
      <c r="C3165" t="str">
        <f>IFERROR(__xludf.DUMMYFUNCTION("""COMPUTED_VALUE"""),"Steinhof")</f>
        <v>Steinhof</v>
      </c>
    </row>
    <row r="3166">
      <c r="A3166" t="str">
        <f>IFERROR(__xludf.DUMMYFUNCTION("""COMPUTED_VALUE"""),"F-223/1")</f>
        <v>F-223/1</v>
      </c>
      <c r="B3166" s="226" t="str">
        <f>IFERROR(__xludf.DUMMYFUNCTION("""COMPUTED_VALUE"""),"5907615805042")</f>
        <v>5907615805042</v>
      </c>
      <c r="C3166" t="str">
        <f>IFERROR(__xludf.DUMMYFUNCTION("""COMPUTED_VALUE"""),"Steinhof")</f>
        <v>Steinhof</v>
      </c>
    </row>
    <row r="3167">
      <c r="A3167" t="str">
        <f>IFERROR(__xludf.DUMMYFUNCTION("""COMPUTED_VALUE"""),"F-223/1")</f>
        <v>F-223/1</v>
      </c>
      <c r="B3167" s="226" t="str">
        <f>IFERROR(__xludf.DUMMYFUNCTION("""COMPUTED_VALUE"""),"5907615805042")</f>
        <v>5907615805042</v>
      </c>
      <c r="C3167" t="str">
        <f>IFERROR(__xludf.DUMMYFUNCTION("""COMPUTED_VALUE"""),"Steinhof")</f>
        <v>Steinhof</v>
      </c>
    </row>
    <row r="3168">
      <c r="A3168" t="str">
        <f>IFERROR(__xludf.DUMMYFUNCTION("""COMPUTED_VALUE"""),"F-224")</f>
        <v>F-224</v>
      </c>
      <c r="B3168" s="226" t="str">
        <f>IFERROR(__xludf.DUMMYFUNCTION("""COMPUTED_VALUE"""),"5907615805059")</f>
        <v>5907615805059</v>
      </c>
      <c r="C3168" t="str">
        <f>IFERROR(__xludf.DUMMYFUNCTION("""COMPUTED_VALUE"""),"Steinhof")</f>
        <v>Steinhof</v>
      </c>
    </row>
    <row r="3169">
      <c r="A3169" t="str">
        <f>IFERROR(__xludf.DUMMYFUNCTION("""COMPUTED_VALUE"""),"F-224")</f>
        <v>F-224</v>
      </c>
      <c r="B3169" s="226" t="str">
        <f>IFERROR(__xludf.DUMMYFUNCTION("""COMPUTED_VALUE"""),"5907615805059")</f>
        <v>5907615805059</v>
      </c>
      <c r="C3169" t="str">
        <f>IFERROR(__xludf.DUMMYFUNCTION("""COMPUTED_VALUE"""),"Steinhof")</f>
        <v>Steinhof</v>
      </c>
    </row>
    <row r="3170">
      <c r="A3170" t="str">
        <f>IFERROR(__xludf.DUMMYFUNCTION("""COMPUTED_VALUE"""),"F-224")</f>
        <v>F-224</v>
      </c>
      <c r="B3170" s="226" t="str">
        <f>IFERROR(__xludf.DUMMYFUNCTION("""COMPUTED_VALUE"""),"5907615805059")</f>
        <v>5907615805059</v>
      </c>
      <c r="C3170" t="str">
        <f>IFERROR(__xludf.DUMMYFUNCTION("""COMPUTED_VALUE"""),"Steinhof")</f>
        <v>Steinhof</v>
      </c>
    </row>
    <row r="3171">
      <c r="A3171" t="str">
        <f>IFERROR(__xludf.DUMMYFUNCTION("""COMPUTED_VALUE"""),"F-224")</f>
        <v>F-224</v>
      </c>
      <c r="B3171" s="226" t="str">
        <f>IFERROR(__xludf.DUMMYFUNCTION("""COMPUTED_VALUE"""),"5907615805059")</f>
        <v>5907615805059</v>
      </c>
      <c r="C3171" t="str">
        <f>IFERROR(__xludf.DUMMYFUNCTION("""COMPUTED_VALUE"""),"Steinhof")</f>
        <v>Steinhof</v>
      </c>
    </row>
    <row r="3172">
      <c r="A3172" t="str">
        <f>IFERROR(__xludf.DUMMYFUNCTION("""COMPUTED_VALUE"""),"F-224")</f>
        <v>F-224</v>
      </c>
      <c r="B3172" s="226" t="str">
        <f>IFERROR(__xludf.DUMMYFUNCTION("""COMPUTED_VALUE"""),"5907615805059")</f>
        <v>5907615805059</v>
      </c>
      <c r="C3172" t="str">
        <f>IFERROR(__xludf.DUMMYFUNCTION("""COMPUTED_VALUE"""),"Steinhof")</f>
        <v>Steinhof</v>
      </c>
    </row>
    <row r="3173">
      <c r="A3173" t="str">
        <f>IFERROR(__xludf.DUMMYFUNCTION("""COMPUTED_VALUE"""),"F-224")</f>
        <v>F-224</v>
      </c>
      <c r="B3173" s="226" t="str">
        <f>IFERROR(__xludf.DUMMYFUNCTION("""COMPUTED_VALUE"""),"5907615805059")</f>
        <v>5907615805059</v>
      </c>
      <c r="C3173" t="str">
        <f>IFERROR(__xludf.DUMMYFUNCTION("""COMPUTED_VALUE"""),"Steinhof")</f>
        <v>Steinhof</v>
      </c>
    </row>
    <row r="3174">
      <c r="A3174" t="str">
        <f>IFERROR(__xludf.DUMMYFUNCTION("""COMPUTED_VALUE"""),"F-225")</f>
        <v>F-225</v>
      </c>
      <c r="B3174" s="226" t="str">
        <f>IFERROR(__xludf.DUMMYFUNCTION("""COMPUTED_VALUE"""),"5907615805066")</f>
        <v>5907615805066</v>
      </c>
      <c r="C3174" t="str">
        <f>IFERROR(__xludf.DUMMYFUNCTION("""COMPUTED_VALUE"""),"Steinhof")</f>
        <v>Steinhof</v>
      </c>
    </row>
    <row r="3175">
      <c r="A3175" t="str">
        <f>IFERROR(__xludf.DUMMYFUNCTION("""COMPUTED_VALUE"""),"F-226")</f>
        <v>F-226</v>
      </c>
      <c r="B3175" s="226" t="str">
        <f>IFERROR(__xludf.DUMMYFUNCTION("""COMPUTED_VALUE"""),"5907615805073")</f>
        <v>5907615805073</v>
      </c>
      <c r="C3175" t="str">
        <f>IFERROR(__xludf.DUMMYFUNCTION("""COMPUTED_VALUE"""),"Steinhof")</f>
        <v>Steinhof</v>
      </c>
    </row>
    <row r="3176">
      <c r="A3176" t="str">
        <f>IFERROR(__xludf.DUMMYFUNCTION("""COMPUTED_VALUE"""),"F-226")</f>
        <v>F-226</v>
      </c>
      <c r="B3176" s="226" t="str">
        <f>IFERROR(__xludf.DUMMYFUNCTION("""COMPUTED_VALUE"""),"5907615805073")</f>
        <v>5907615805073</v>
      </c>
      <c r="C3176" t="str">
        <f>IFERROR(__xludf.DUMMYFUNCTION("""COMPUTED_VALUE"""),"Steinhof")</f>
        <v>Steinhof</v>
      </c>
    </row>
    <row r="3177">
      <c r="A3177" t="str">
        <f>IFERROR(__xludf.DUMMYFUNCTION("""COMPUTED_VALUE"""),"F-229")</f>
        <v>F-229</v>
      </c>
      <c r="B3177" s="226" t="str">
        <f>IFERROR(__xludf.DUMMYFUNCTION("""COMPUTED_VALUE"""),"5907615805103")</f>
        <v>5907615805103</v>
      </c>
      <c r="C3177" t="str">
        <f>IFERROR(__xludf.DUMMYFUNCTION("""COMPUTED_VALUE"""),"Steinhof")</f>
        <v>Steinhof</v>
      </c>
    </row>
    <row r="3178">
      <c r="A3178" t="str">
        <f>IFERROR(__xludf.DUMMYFUNCTION("""COMPUTED_VALUE"""),"F-229")</f>
        <v>F-229</v>
      </c>
      <c r="B3178" s="226" t="str">
        <f>IFERROR(__xludf.DUMMYFUNCTION("""COMPUTED_VALUE"""),"5907615805103")</f>
        <v>5907615805103</v>
      </c>
      <c r="C3178" t="str">
        <f>IFERROR(__xludf.DUMMYFUNCTION("""COMPUTED_VALUE"""),"Steinhof")</f>
        <v>Steinhof</v>
      </c>
    </row>
    <row r="3179">
      <c r="A3179" t="str">
        <f>IFERROR(__xludf.DUMMYFUNCTION("""COMPUTED_VALUE"""),"F-229")</f>
        <v>F-229</v>
      </c>
      <c r="B3179" s="226" t="str">
        <f>IFERROR(__xludf.DUMMYFUNCTION("""COMPUTED_VALUE"""),"5907615805103")</f>
        <v>5907615805103</v>
      </c>
      <c r="C3179" t="str">
        <f>IFERROR(__xludf.DUMMYFUNCTION("""COMPUTED_VALUE"""),"Steinhof")</f>
        <v>Steinhof</v>
      </c>
    </row>
    <row r="3180">
      <c r="A3180" t="str">
        <f>IFERROR(__xludf.DUMMYFUNCTION("""COMPUTED_VALUE"""),"F-229")</f>
        <v>F-229</v>
      </c>
      <c r="B3180" s="226" t="str">
        <f>IFERROR(__xludf.DUMMYFUNCTION("""COMPUTED_VALUE"""),"5907615805103")</f>
        <v>5907615805103</v>
      </c>
      <c r="C3180" t="str">
        <f>IFERROR(__xludf.DUMMYFUNCTION("""COMPUTED_VALUE"""),"Steinhof")</f>
        <v>Steinhof</v>
      </c>
    </row>
    <row r="3181">
      <c r="A3181" t="str">
        <f>IFERROR(__xludf.DUMMYFUNCTION("""COMPUTED_VALUE"""),"F-229")</f>
        <v>F-229</v>
      </c>
      <c r="B3181" s="226" t="str">
        <f>IFERROR(__xludf.DUMMYFUNCTION("""COMPUTED_VALUE"""),"5907615805103")</f>
        <v>5907615805103</v>
      </c>
      <c r="C3181" t="str">
        <f>IFERROR(__xludf.DUMMYFUNCTION("""COMPUTED_VALUE"""),"Steinhof")</f>
        <v>Steinhof</v>
      </c>
    </row>
    <row r="3182">
      <c r="A3182" t="str">
        <f>IFERROR(__xludf.DUMMYFUNCTION("""COMPUTED_VALUE"""),"F-229")</f>
        <v>F-229</v>
      </c>
      <c r="B3182" s="226" t="str">
        <f>IFERROR(__xludf.DUMMYFUNCTION("""COMPUTED_VALUE"""),"5907615805103")</f>
        <v>5907615805103</v>
      </c>
      <c r="C3182" t="str">
        <f>IFERROR(__xludf.DUMMYFUNCTION("""COMPUTED_VALUE"""),"Steinhof")</f>
        <v>Steinhof</v>
      </c>
    </row>
    <row r="3183">
      <c r="A3183" t="str">
        <f>IFERROR(__xludf.DUMMYFUNCTION("""COMPUTED_VALUE"""),"F-230/1")</f>
        <v>F-230/1</v>
      </c>
      <c r="B3183" s="226" t="str">
        <f>IFERROR(__xludf.DUMMYFUNCTION("""COMPUTED_VALUE"""),"5907615805127")</f>
        <v>5907615805127</v>
      </c>
      <c r="C3183" t="str">
        <f>IFERROR(__xludf.DUMMYFUNCTION("""COMPUTED_VALUE"""),"Steinhof")</f>
        <v>Steinhof</v>
      </c>
    </row>
    <row r="3184">
      <c r="A3184" t="str">
        <f>IFERROR(__xludf.DUMMYFUNCTION("""COMPUTED_VALUE"""),"F-230/1")</f>
        <v>F-230/1</v>
      </c>
      <c r="B3184" s="226" t="str">
        <f>IFERROR(__xludf.DUMMYFUNCTION("""COMPUTED_VALUE"""),"5907615805127")</f>
        <v>5907615805127</v>
      </c>
      <c r="C3184" t="str">
        <f>IFERROR(__xludf.DUMMYFUNCTION("""COMPUTED_VALUE"""),"Steinhof")</f>
        <v>Steinhof</v>
      </c>
    </row>
    <row r="3185">
      <c r="A3185" t="str">
        <f>IFERROR(__xludf.DUMMYFUNCTION("""COMPUTED_VALUE"""),"F-227/1")</f>
        <v>F-227/1</v>
      </c>
      <c r="B3185" s="226" t="str">
        <f>IFERROR(__xludf.DUMMYFUNCTION("""COMPUTED_VALUE"""),"5907615805141")</f>
        <v>5907615805141</v>
      </c>
      <c r="C3185" t="str">
        <f>IFERROR(__xludf.DUMMYFUNCTION("""COMPUTED_VALUE"""),"Steinhof")</f>
        <v>Steinhof</v>
      </c>
    </row>
    <row r="3186">
      <c r="A3186" t="str">
        <f>IFERROR(__xludf.DUMMYFUNCTION("""COMPUTED_VALUE"""),"F-227/1")</f>
        <v>F-227/1</v>
      </c>
      <c r="B3186" s="226" t="str">
        <f>IFERROR(__xludf.DUMMYFUNCTION("""COMPUTED_VALUE"""),"5907615805141")</f>
        <v>5907615805141</v>
      </c>
      <c r="C3186" t="str">
        <f>IFERROR(__xludf.DUMMYFUNCTION("""COMPUTED_VALUE"""),"Steinhof")</f>
        <v>Steinhof</v>
      </c>
    </row>
    <row r="3187">
      <c r="A3187" t="str">
        <f>IFERROR(__xludf.DUMMYFUNCTION("""COMPUTED_VALUE"""),"F-234/1")</f>
        <v>F-234/1</v>
      </c>
      <c r="B3187" s="226" t="str">
        <f>IFERROR(__xludf.DUMMYFUNCTION("""COMPUTED_VALUE"""),"5907615805165")</f>
        <v>5907615805165</v>
      </c>
      <c r="C3187" t="str">
        <f>IFERROR(__xludf.DUMMYFUNCTION("""COMPUTED_VALUE"""),"Steinhof")</f>
        <v>Steinhof</v>
      </c>
    </row>
    <row r="3188">
      <c r="A3188" t="str">
        <f>IFERROR(__xludf.DUMMYFUNCTION("""COMPUTED_VALUE"""),"F-234/1")</f>
        <v>F-234/1</v>
      </c>
      <c r="B3188" s="226" t="str">
        <f>IFERROR(__xludf.DUMMYFUNCTION("""COMPUTED_VALUE"""),"5907615805165")</f>
        <v>5907615805165</v>
      </c>
      <c r="C3188" t="str">
        <f>IFERROR(__xludf.DUMMYFUNCTION("""COMPUTED_VALUE"""),"Steinhof")</f>
        <v>Steinhof</v>
      </c>
    </row>
    <row r="3189">
      <c r="A3189" t="str">
        <f>IFERROR(__xludf.DUMMYFUNCTION("""COMPUTED_VALUE"""),"F-236")</f>
        <v>F-236</v>
      </c>
      <c r="B3189" s="226" t="str">
        <f>IFERROR(__xludf.DUMMYFUNCTION("""COMPUTED_VALUE"""),"5907615805172")</f>
        <v>5907615805172</v>
      </c>
      <c r="C3189" t="str">
        <f>IFERROR(__xludf.DUMMYFUNCTION("""COMPUTED_VALUE"""),"Steinhof")</f>
        <v>Steinhof</v>
      </c>
    </row>
    <row r="3190">
      <c r="A3190" t="str">
        <f>IFERROR(__xludf.DUMMYFUNCTION("""COMPUTED_VALUE"""),"F-236")</f>
        <v>F-236</v>
      </c>
      <c r="B3190" s="226" t="str">
        <f>IFERROR(__xludf.DUMMYFUNCTION("""COMPUTED_VALUE"""),"5907615805172")</f>
        <v>5907615805172</v>
      </c>
      <c r="C3190" t="str">
        <f>IFERROR(__xludf.DUMMYFUNCTION("""COMPUTED_VALUE"""),"Steinhof")</f>
        <v>Steinhof</v>
      </c>
    </row>
    <row r="3191">
      <c r="A3191" t="str">
        <f>IFERROR(__xludf.DUMMYFUNCTION("""COMPUTED_VALUE"""),"F-242")</f>
        <v>F-242</v>
      </c>
      <c r="B3191" s="226" t="str">
        <f>IFERROR(__xludf.DUMMYFUNCTION("""COMPUTED_VALUE"""),"5907615805189")</f>
        <v>5907615805189</v>
      </c>
      <c r="C3191" t="str">
        <f>IFERROR(__xludf.DUMMYFUNCTION("""COMPUTED_VALUE"""),"Steinhof")</f>
        <v>Steinhof</v>
      </c>
    </row>
    <row r="3192">
      <c r="A3192" t="str">
        <f>IFERROR(__xludf.DUMMYFUNCTION("""COMPUTED_VALUE"""),"F-242")</f>
        <v>F-242</v>
      </c>
      <c r="B3192" s="226" t="str">
        <f>IFERROR(__xludf.DUMMYFUNCTION("""COMPUTED_VALUE"""),"5907615805189")</f>
        <v>5907615805189</v>
      </c>
      <c r="C3192" t="str">
        <f>IFERROR(__xludf.DUMMYFUNCTION("""COMPUTED_VALUE"""),"Steinhof")</f>
        <v>Steinhof</v>
      </c>
    </row>
    <row r="3193">
      <c r="A3193" t="str">
        <f>IFERROR(__xludf.DUMMYFUNCTION("""COMPUTED_VALUE"""),"F-242")</f>
        <v>F-242</v>
      </c>
      <c r="B3193" s="226" t="str">
        <f>IFERROR(__xludf.DUMMYFUNCTION("""COMPUTED_VALUE"""),"5907615805189")</f>
        <v>5907615805189</v>
      </c>
      <c r="C3193" t="str">
        <f>IFERROR(__xludf.DUMMYFUNCTION("""COMPUTED_VALUE"""),"Steinhof")</f>
        <v>Steinhof</v>
      </c>
    </row>
    <row r="3194">
      <c r="A3194" t="str">
        <f>IFERROR(__xludf.DUMMYFUNCTION("""COMPUTED_VALUE"""),"F-242")</f>
        <v>F-242</v>
      </c>
      <c r="B3194" s="226" t="str">
        <f>IFERROR(__xludf.DUMMYFUNCTION("""COMPUTED_VALUE"""),"5907615805189")</f>
        <v>5907615805189</v>
      </c>
      <c r="C3194" t="str">
        <f>IFERROR(__xludf.DUMMYFUNCTION("""COMPUTED_VALUE"""),"Steinhof")</f>
        <v>Steinhof</v>
      </c>
    </row>
    <row r="3195">
      <c r="A3195" t="str">
        <f>IFERROR(__xludf.DUMMYFUNCTION("""COMPUTED_VALUE"""),"F-242")</f>
        <v>F-242</v>
      </c>
      <c r="B3195" s="226" t="str">
        <f>IFERROR(__xludf.DUMMYFUNCTION("""COMPUTED_VALUE"""),"5907615805189")</f>
        <v>5907615805189</v>
      </c>
      <c r="C3195" t="str">
        <f>IFERROR(__xludf.DUMMYFUNCTION("""COMPUTED_VALUE"""),"Steinhof")</f>
        <v>Steinhof</v>
      </c>
    </row>
    <row r="3196">
      <c r="A3196" t="str">
        <f>IFERROR(__xludf.DUMMYFUNCTION("""COMPUTED_VALUE"""),"F-242")</f>
        <v>F-242</v>
      </c>
      <c r="B3196" s="226" t="str">
        <f>IFERROR(__xludf.DUMMYFUNCTION("""COMPUTED_VALUE"""),"5907615805189")</f>
        <v>5907615805189</v>
      </c>
      <c r="C3196" t="str">
        <f>IFERROR(__xludf.DUMMYFUNCTION("""COMPUTED_VALUE"""),"Steinhof")</f>
        <v>Steinhof</v>
      </c>
    </row>
    <row r="3197">
      <c r="A3197" t="str">
        <f>IFERROR(__xludf.DUMMYFUNCTION("""COMPUTED_VALUE"""),"F-238")</f>
        <v>F-238</v>
      </c>
      <c r="B3197" s="226" t="str">
        <f>IFERROR(__xludf.DUMMYFUNCTION("""COMPUTED_VALUE"""),"5907615805196")</f>
        <v>5907615805196</v>
      </c>
      <c r="C3197" t="str">
        <f>IFERROR(__xludf.DUMMYFUNCTION("""COMPUTED_VALUE"""),"Steinhof")</f>
        <v>Steinhof</v>
      </c>
    </row>
    <row r="3198">
      <c r="A3198" t="str">
        <f>IFERROR(__xludf.DUMMYFUNCTION("""COMPUTED_VALUE"""),"F-238")</f>
        <v>F-238</v>
      </c>
      <c r="B3198" s="226" t="str">
        <f>IFERROR(__xludf.DUMMYFUNCTION("""COMPUTED_VALUE"""),"5907615805196")</f>
        <v>5907615805196</v>
      </c>
      <c r="C3198" t="str">
        <f>IFERROR(__xludf.DUMMYFUNCTION("""COMPUTED_VALUE"""),"Steinhof")</f>
        <v>Steinhof</v>
      </c>
    </row>
    <row r="3199">
      <c r="A3199" t="str">
        <f>IFERROR(__xludf.DUMMYFUNCTION("""COMPUTED_VALUE"""),"F-238")</f>
        <v>F-238</v>
      </c>
      <c r="B3199" s="226" t="str">
        <f>IFERROR(__xludf.DUMMYFUNCTION("""COMPUTED_VALUE"""),"5907615805196")</f>
        <v>5907615805196</v>
      </c>
      <c r="C3199" t="str">
        <f>IFERROR(__xludf.DUMMYFUNCTION("""COMPUTED_VALUE"""),"Steinhof")</f>
        <v>Steinhof</v>
      </c>
    </row>
    <row r="3200">
      <c r="A3200" t="str">
        <f>IFERROR(__xludf.DUMMYFUNCTION("""COMPUTED_VALUE"""),"F-238")</f>
        <v>F-238</v>
      </c>
      <c r="B3200" s="226" t="str">
        <f>IFERROR(__xludf.DUMMYFUNCTION("""COMPUTED_VALUE"""),"5907615805196")</f>
        <v>5907615805196</v>
      </c>
      <c r="C3200" t="str">
        <f>IFERROR(__xludf.DUMMYFUNCTION("""COMPUTED_VALUE"""),"Steinhof")</f>
        <v>Steinhof</v>
      </c>
    </row>
    <row r="3201">
      <c r="A3201" t="str">
        <f>IFERROR(__xludf.DUMMYFUNCTION("""COMPUTED_VALUE"""),"F-238")</f>
        <v>F-238</v>
      </c>
      <c r="B3201" s="226" t="str">
        <f>IFERROR(__xludf.DUMMYFUNCTION("""COMPUTED_VALUE"""),"5907615805196")</f>
        <v>5907615805196</v>
      </c>
      <c r="C3201" t="str">
        <f>IFERROR(__xludf.DUMMYFUNCTION("""COMPUTED_VALUE"""),"Steinhof")</f>
        <v>Steinhof</v>
      </c>
    </row>
    <row r="3202">
      <c r="A3202" t="str">
        <f>IFERROR(__xludf.DUMMYFUNCTION("""COMPUTED_VALUE"""),"F-238")</f>
        <v>F-238</v>
      </c>
      <c r="B3202" s="226" t="str">
        <f>IFERROR(__xludf.DUMMYFUNCTION("""COMPUTED_VALUE"""),"5907615805196")</f>
        <v>5907615805196</v>
      </c>
      <c r="C3202" t="str">
        <f>IFERROR(__xludf.DUMMYFUNCTION("""COMPUTED_VALUE"""),"Steinhof")</f>
        <v>Steinhof</v>
      </c>
    </row>
    <row r="3203">
      <c r="A3203" t="str">
        <f>IFERROR(__xludf.DUMMYFUNCTION("""COMPUTED_VALUE"""),"F-238")</f>
        <v>F-238</v>
      </c>
      <c r="B3203" s="226" t="str">
        <f>IFERROR(__xludf.DUMMYFUNCTION("""COMPUTED_VALUE"""),"5907615805196")</f>
        <v>5907615805196</v>
      </c>
      <c r="C3203" t="str">
        <f>IFERROR(__xludf.DUMMYFUNCTION("""COMPUTED_VALUE"""),"Steinhof")</f>
        <v>Steinhof</v>
      </c>
    </row>
    <row r="3204">
      <c r="A3204" t="str">
        <f>IFERROR(__xludf.DUMMYFUNCTION("""COMPUTED_VALUE"""),"F-238")</f>
        <v>F-238</v>
      </c>
      <c r="B3204" s="226" t="str">
        <f>IFERROR(__xludf.DUMMYFUNCTION("""COMPUTED_VALUE"""),"5907615805196")</f>
        <v>5907615805196</v>
      </c>
      <c r="C3204" t="str">
        <f>IFERROR(__xludf.DUMMYFUNCTION("""COMPUTED_VALUE"""),"Steinhof")</f>
        <v>Steinhof</v>
      </c>
    </row>
    <row r="3205">
      <c r="A3205" t="str">
        <f>IFERROR(__xludf.DUMMYFUNCTION("""COMPUTED_VALUE"""),"F-239")</f>
        <v>F-239</v>
      </c>
      <c r="B3205" s="226" t="str">
        <f>IFERROR(__xludf.DUMMYFUNCTION("""COMPUTED_VALUE"""),"5907615805202")</f>
        <v>5907615805202</v>
      </c>
      <c r="C3205" t="str">
        <f>IFERROR(__xludf.DUMMYFUNCTION("""COMPUTED_VALUE"""),"Steinhof")</f>
        <v>Steinhof</v>
      </c>
    </row>
    <row r="3206">
      <c r="A3206" t="str">
        <f>IFERROR(__xludf.DUMMYFUNCTION("""COMPUTED_VALUE"""),"F-239")</f>
        <v>F-239</v>
      </c>
      <c r="B3206" s="226" t="str">
        <f>IFERROR(__xludf.DUMMYFUNCTION("""COMPUTED_VALUE"""),"5907615805202")</f>
        <v>5907615805202</v>
      </c>
      <c r="C3206" t="str">
        <f>IFERROR(__xludf.DUMMYFUNCTION("""COMPUTED_VALUE"""),"Steinhof")</f>
        <v>Steinhof</v>
      </c>
    </row>
    <row r="3207">
      <c r="A3207" t="str">
        <f>IFERROR(__xludf.DUMMYFUNCTION("""COMPUTED_VALUE"""),"F-239")</f>
        <v>F-239</v>
      </c>
      <c r="B3207" s="226" t="str">
        <f>IFERROR(__xludf.DUMMYFUNCTION("""COMPUTED_VALUE"""),"5907615805202")</f>
        <v>5907615805202</v>
      </c>
      <c r="C3207" t="str">
        <f>IFERROR(__xludf.DUMMYFUNCTION("""COMPUTED_VALUE"""),"Steinhof")</f>
        <v>Steinhof</v>
      </c>
    </row>
    <row r="3208">
      <c r="A3208" t="str">
        <f>IFERROR(__xludf.DUMMYFUNCTION("""COMPUTED_VALUE"""),"F-239")</f>
        <v>F-239</v>
      </c>
      <c r="B3208" s="226" t="str">
        <f>IFERROR(__xludf.DUMMYFUNCTION("""COMPUTED_VALUE"""),"5907615805202")</f>
        <v>5907615805202</v>
      </c>
      <c r="C3208" t="str">
        <f>IFERROR(__xludf.DUMMYFUNCTION("""COMPUTED_VALUE"""),"Steinhof")</f>
        <v>Steinhof</v>
      </c>
    </row>
    <row r="3209">
      <c r="A3209" t="str">
        <f>IFERROR(__xludf.DUMMYFUNCTION("""COMPUTED_VALUE"""),"F-239")</f>
        <v>F-239</v>
      </c>
      <c r="B3209" s="226" t="str">
        <f>IFERROR(__xludf.DUMMYFUNCTION("""COMPUTED_VALUE"""),"5907615805202")</f>
        <v>5907615805202</v>
      </c>
      <c r="C3209" t="str">
        <f>IFERROR(__xludf.DUMMYFUNCTION("""COMPUTED_VALUE"""),"Steinhof")</f>
        <v>Steinhof</v>
      </c>
    </row>
    <row r="3210">
      <c r="A3210" t="str">
        <f>IFERROR(__xludf.DUMMYFUNCTION("""COMPUTED_VALUE"""),"F-239")</f>
        <v>F-239</v>
      </c>
      <c r="B3210" s="226" t="str">
        <f>IFERROR(__xludf.DUMMYFUNCTION("""COMPUTED_VALUE"""),"5907615805202")</f>
        <v>5907615805202</v>
      </c>
      <c r="C3210" t="str">
        <f>IFERROR(__xludf.DUMMYFUNCTION("""COMPUTED_VALUE"""),"Steinhof")</f>
        <v>Steinhof</v>
      </c>
    </row>
    <row r="3211">
      <c r="A3211" t="str">
        <f>IFERROR(__xludf.DUMMYFUNCTION("""COMPUTED_VALUE"""),"F-239")</f>
        <v>F-239</v>
      </c>
      <c r="B3211" s="226" t="str">
        <f>IFERROR(__xludf.DUMMYFUNCTION("""COMPUTED_VALUE"""),"5907615805202")</f>
        <v>5907615805202</v>
      </c>
      <c r="C3211" t="str">
        <f>IFERROR(__xludf.DUMMYFUNCTION("""COMPUTED_VALUE"""),"Steinhof")</f>
        <v>Steinhof</v>
      </c>
    </row>
    <row r="3212">
      <c r="A3212" t="str">
        <f>IFERROR(__xludf.DUMMYFUNCTION("""COMPUTED_VALUE"""),"F-239")</f>
        <v>F-239</v>
      </c>
      <c r="B3212" s="226" t="str">
        <f>IFERROR(__xludf.DUMMYFUNCTION("""COMPUTED_VALUE"""),"5907615805202")</f>
        <v>5907615805202</v>
      </c>
      <c r="C3212" t="str">
        <f>IFERROR(__xludf.DUMMYFUNCTION("""COMPUTED_VALUE"""),"Steinhof")</f>
        <v>Steinhof</v>
      </c>
    </row>
    <row r="3213">
      <c r="A3213" t="str">
        <f>IFERROR(__xludf.DUMMYFUNCTION("""COMPUTED_VALUE"""),"F-245")</f>
        <v>F-245</v>
      </c>
      <c r="B3213" s="226" t="str">
        <f>IFERROR(__xludf.DUMMYFUNCTION("""COMPUTED_VALUE"""),"5907615805219")</f>
        <v>5907615805219</v>
      </c>
      <c r="C3213" t="str">
        <f>IFERROR(__xludf.DUMMYFUNCTION("""COMPUTED_VALUE"""),"Steinhof")</f>
        <v>Steinhof</v>
      </c>
    </row>
    <row r="3214">
      <c r="A3214" t="str">
        <f>IFERROR(__xludf.DUMMYFUNCTION("""COMPUTED_VALUE"""),"F-245")</f>
        <v>F-245</v>
      </c>
      <c r="B3214" s="226" t="str">
        <f>IFERROR(__xludf.DUMMYFUNCTION("""COMPUTED_VALUE"""),"5907615805219")</f>
        <v>5907615805219</v>
      </c>
      <c r="C3214" t="str">
        <f>IFERROR(__xludf.DUMMYFUNCTION("""COMPUTED_VALUE"""),"Steinhof")</f>
        <v>Steinhof</v>
      </c>
    </row>
    <row r="3215">
      <c r="A3215" t="str">
        <f>IFERROR(__xludf.DUMMYFUNCTION("""COMPUTED_VALUE"""),"F-245")</f>
        <v>F-245</v>
      </c>
      <c r="B3215" s="226" t="str">
        <f>IFERROR(__xludf.DUMMYFUNCTION("""COMPUTED_VALUE"""),"5907615805219")</f>
        <v>5907615805219</v>
      </c>
      <c r="C3215" t="str">
        <f>IFERROR(__xludf.DUMMYFUNCTION("""COMPUTED_VALUE"""),"Steinhof")</f>
        <v>Steinhof</v>
      </c>
    </row>
    <row r="3216">
      <c r="A3216" t="str">
        <f>IFERROR(__xludf.DUMMYFUNCTION("""COMPUTED_VALUE"""),"F-245")</f>
        <v>F-245</v>
      </c>
      <c r="B3216" s="226" t="str">
        <f>IFERROR(__xludf.DUMMYFUNCTION("""COMPUTED_VALUE"""),"5907615805219")</f>
        <v>5907615805219</v>
      </c>
      <c r="C3216" t="str">
        <f>IFERROR(__xludf.DUMMYFUNCTION("""COMPUTED_VALUE"""),"Steinhof")</f>
        <v>Steinhof</v>
      </c>
    </row>
    <row r="3217">
      <c r="A3217" t="str">
        <f>IFERROR(__xludf.DUMMYFUNCTION("""COMPUTED_VALUE"""),"F-246")</f>
        <v>F-246</v>
      </c>
      <c r="B3217" s="226" t="str">
        <f>IFERROR(__xludf.DUMMYFUNCTION("""COMPUTED_VALUE"""),"5907615805226")</f>
        <v>5907615805226</v>
      </c>
      <c r="C3217" t="str">
        <f>IFERROR(__xludf.DUMMYFUNCTION("""COMPUTED_VALUE"""),"Steinhof")</f>
        <v>Steinhof</v>
      </c>
    </row>
    <row r="3218">
      <c r="A3218" t="str">
        <f>IFERROR(__xludf.DUMMYFUNCTION("""COMPUTED_VALUE"""),"F-246")</f>
        <v>F-246</v>
      </c>
      <c r="B3218" s="226" t="str">
        <f>IFERROR(__xludf.DUMMYFUNCTION("""COMPUTED_VALUE"""),"5907615805226")</f>
        <v>5907615805226</v>
      </c>
      <c r="C3218" t="str">
        <f>IFERROR(__xludf.DUMMYFUNCTION("""COMPUTED_VALUE"""),"Steinhof")</f>
        <v>Steinhof</v>
      </c>
    </row>
    <row r="3219">
      <c r="A3219" t="str">
        <f>IFERROR(__xludf.DUMMYFUNCTION("""COMPUTED_VALUE"""),"F-246")</f>
        <v>F-246</v>
      </c>
      <c r="B3219" s="226" t="str">
        <f>IFERROR(__xludf.DUMMYFUNCTION("""COMPUTED_VALUE"""),"5907615805226")</f>
        <v>5907615805226</v>
      </c>
      <c r="C3219" t="str">
        <f>IFERROR(__xludf.DUMMYFUNCTION("""COMPUTED_VALUE"""),"Steinhof")</f>
        <v>Steinhof</v>
      </c>
    </row>
    <row r="3220">
      <c r="A3220" t="str">
        <f>IFERROR(__xludf.DUMMYFUNCTION("""COMPUTED_VALUE"""),"F-246")</f>
        <v>F-246</v>
      </c>
      <c r="B3220" s="226" t="str">
        <f>IFERROR(__xludf.DUMMYFUNCTION("""COMPUTED_VALUE"""),"5907615805226")</f>
        <v>5907615805226</v>
      </c>
      <c r="C3220" t="str">
        <f>IFERROR(__xludf.DUMMYFUNCTION("""COMPUTED_VALUE"""),"Steinhof")</f>
        <v>Steinhof</v>
      </c>
    </row>
    <row r="3221">
      <c r="A3221" t="str">
        <f>IFERROR(__xludf.DUMMYFUNCTION("""COMPUTED_VALUE"""),"F-253")</f>
        <v>F-253</v>
      </c>
      <c r="B3221" s="226" t="str">
        <f>IFERROR(__xludf.DUMMYFUNCTION("""COMPUTED_VALUE"""),"5907615805233")</f>
        <v>5907615805233</v>
      </c>
      <c r="C3221" t="str">
        <f>IFERROR(__xludf.DUMMYFUNCTION("""COMPUTED_VALUE"""),"Steinhof")</f>
        <v>Steinhof</v>
      </c>
    </row>
    <row r="3222">
      <c r="A3222" t="str">
        <f>IFERROR(__xludf.DUMMYFUNCTION("""COMPUTED_VALUE"""),"F-254")</f>
        <v>F-254</v>
      </c>
      <c r="B3222" s="226" t="str">
        <f>IFERROR(__xludf.DUMMYFUNCTION("""COMPUTED_VALUE"""),"5907615805240")</f>
        <v>5907615805240</v>
      </c>
      <c r="C3222" t="str">
        <f>IFERROR(__xludf.DUMMYFUNCTION("""COMPUTED_VALUE"""),"Steinhof")</f>
        <v>Steinhof</v>
      </c>
    </row>
    <row r="3223">
      <c r="A3223" t="str">
        <f>IFERROR(__xludf.DUMMYFUNCTION("""COMPUTED_VALUE"""),"F-254")</f>
        <v>F-254</v>
      </c>
      <c r="B3223" s="226" t="str">
        <f>IFERROR(__xludf.DUMMYFUNCTION("""COMPUTED_VALUE"""),"5907615805240")</f>
        <v>5907615805240</v>
      </c>
      <c r="C3223" t="str">
        <f>IFERROR(__xludf.DUMMYFUNCTION("""COMPUTED_VALUE"""),"Steinhof")</f>
        <v>Steinhof</v>
      </c>
    </row>
    <row r="3224">
      <c r="A3224" t="str">
        <f>IFERROR(__xludf.DUMMYFUNCTION("""COMPUTED_VALUE"""),"F-240")</f>
        <v>F-240</v>
      </c>
      <c r="B3224" s="226" t="str">
        <f>IFERROR(__xludf.DUMMYFUNCTION("""COMPUTED_VALUE"""),"5907615805257")</f>
        <v>5907615805257</v>
      </c>
      <c r="C3224" t="str">
        <f>IFERROR(__xludf.DUMMYFUNCTION("""COMPUTED_VALUE"""),"Steinhof")</f>
        <v>Steinhof</v>
      </c>
    </row>
    <row r="3225">
      <c r="A3225" t="str">
        <f>IFERROR(__xludf.DUMMYFUNCTION("""COMPUTED_VALUE"""),"F-240")</f>
        <v>F-240</v>
      </c>
      <c r="B3225" s="226" t="str">
        <f>IFERROR(__xludf.DUMMYFUNCTION("""COMPUTED_VALUE"""),"5907615805257")</f>
        <v>5907615805257</v>
      </c>
      <c r="C3225" t="str">
        <f>IFERROR(__xludf.DUMMYFUNCTION("""COMPUTED_VALUE"""),"Steinhof")</f>
        <v>Steinhof</v>
      </c>
    </row>
    <row r="3226">
      <c r="A3226" t="str">
        <f>IFERROR(__xludf.DUMMYFUNCTION("""COMPUTED_VALUE"""),"F-241")</f>
        <v>F-241</v>
      </c>
      <c r="B3226" s="226" t="str">
        <f>IFERROR(__xludf.DUMMYFUNCTION("""COMPUTED_VALUE"""),"5907615805264")</f>
        <v>5907615805264</v>
      </c>
      <c r="C3226" t="str">
        <f>IFERROR(__xludf.DUMMYFUNCTION("""COMPUTED_VALUE"""),"Steinhof")</f>
        <v>Steinhof</v>
      </c>
    </row>
    <row r="3227">
      <c r="A3227" t="str">
        <f>IFERROR(__xludf.DUMMYFUNCTION("""COMPUTED_VALUE"""),"F-241")</f>
        <v>F-241</v>
      </c>
      <c r="B3227" s="226" t="str">
        <f>IFERROR(__xludf.DUMMYFUNCTION("""COMPUTED_VALUE"""),"5907615805264")</f>
        <v>5907615805264</v>
      </c>
      <c r="C3227" t="str">
        <f>IFERROR(__xludf.DUMMYFUNCTION("""COMPUTED_VALUE"""),"Steinhof")</f>
        <v>Steinhof</v>
      </c>
    </row>
    <row r="3228">
      <c r="A3228" t="str">
        <f>IFERROR(__xludf.DUMMYFUNCTION("""COMPUTED_VALUE"""),"F-243")</f>
        <v>F-243</v>
      </c>
      <c r="B3228" s="226" t="str">
        <f>IFERROR(__xludf.DUMMYFUNCTION("""COMPUTED_VALUE"""),"5907615805271")</f>
        <v>5907615805271</v>
      </c>
      <c r="C3228" t="str">
        <f>IFERROR(__xludf.DUMMYFUNCTION("""COMPUTED_VALUE"""),"Steinhof")</f>
        <v>Steinhof</v>
      </c>
    </row>
    <row r="3229">
      <c r="A3229" t="str">
        <f>IFERROR(__xludf.DUMMYFUNCTION("""COMPUTED_VALUE"""),"F-243")</f>
        <v>F-243</v>
      </c>
      <c r="B3229" s="226" t="str">
        <f>IFERROR(__xludf.DUMMYFUNCTION("""COMPUTED_VALUE"""),"5907615805271")</f>
        <v>5907615805271</v>
      </c>
      <c r="C3229" t="str">
        <f>IFERROR(__xludf.DUMMYFUNCTION("""COMPUTED_VALUE"""),"Steinhof")</f>
        <v>Steinhof</v>
      </c>
    </row>
    <row r="3230">
      <c r="A3230" t="str">
        <f>IFERROR(__xludf.DUMMYFUNCTION("""COMPUTED_VALUE"""),"F-243")</f>
        <v>F-243</v>
      </c>
      <c r="B3230" s="226" t="str">
        <f>IFERROR(__xludf.DUMMYFUNCTION("""COMPUTED_VALUE"""),"5907615805271")</f>
        <v>5907615805271</v>
      </c>
      <c r="C3230" t="str">
        <f>IFERROR(__xludf.DUMMYFUNCTION("""COMPUTED_VALUE"""),"Steinhof")</f>
        <v>Steinhof</v>
      </c>
    </row>
    <row r="3231">
      <c r="A3231" t="str">
        <f>IFERROR(__xludf.DUMMYFUNCTION("""COMPUTED_VALUE"""),"F-243")</f>
        <v>F-243</v>
      </c>
      <c r="B3231" s="226" t="str">
        <f>IFERROR(__xludf.DUMMYFUNCTION("""COMPUTED_VALUE"""),"5907615805271")</f>
        <v>5907615805271</v>
      </c>
      <c r="C3231" t="str">
        <f>IFERROR(__xludf.DUMMYFUNCTION("""COMPUTED_VALUE"""),"Steinhof")</f>
        <v>Steinhof</v>
      </c>
    </row>
    <row r="3232">
      <c r="A3232" t="str">
        <f>IFERROR(__xludf.DUMMYFUNCTION("""COMPUTED_VALUE"""),"F-243")</f>
        <v>F-243</v>
      </c>
      <c r="B3232" s="226" t="str">
        <f>IFERROR(__xludf.DUMMYFUNCTION("""COMPUTED_VALUE"""),"5907615805271")</f>
        <v>5907615805271</v>
      </c>
      <c r="C3232" t="str">
        <f>IFERROR(__xludf.DUMMYFUNCTION("""COMPUTED_VALUE"""),"Steinhof")</f>
        <v>Steinhof</v>
      </c>
    </row>
    <row r="3233">
      <c r="A3233" t="str">
        <f>IFERROR(__xludf.DUMMYFUNCTION("""COMPUTED_VALUE"""),"F-243")</f>
        <v>F-243</v>
      </c>
      <c r="B3233" s="226" t="str">
        <f>IFERROR(__xludf.DUMMYFUNCTION("""COMPUTED_VALUE"""),"5907615805271")</f>
        <v>5907615805271</v>
      </c>
      <c r="C3233" t="str">
        <f>IFERROR(__xludf.DUMMYFUNCTION("""COMPUTED_VALUE"""),"Steinhof")</f>
        <v>Steinhof</v>
      </c>
    </row>
    <row r="3234">
      <c r="A3234" t="str">
        <f>IFERROR(__xludf.DUMMYFUNCTION("""COMPUTED_VALUE"""),"F-249")</f>
        <v>F-249</v>
      </c>
      <c r="B3234" s="226" t="str">
        <f>IFERROR(__xludf.DUMMYFUNCTION("""COMPUTED_VALUE"""),"5907615805288")</f>
        <v>5907615805288</v>
      </c>
      <c r="C3234" t="str">
        <f>IFERROR(__xludf.DUMMYFUNCTION("""COMPUTED_VALUE"""),"Steinhof")</f>
        <v>Steinhof</v>
      </c>
    </row>
    <row r="3235">
      <c r="A3235" t="str">
        <f>IFERROR(__xludf.DUMMYFUNCTION("""COMPUTED_VALUE"""),"F-249")</f>
        <v>F-249</v>
      </c>
      <c r="B3235" s="226" t="str">
        <f>IFERROR(__xludf.DUMMYFUNCTION("""COMPUTED_VALUE"""),"5907615805288")</f>
        <v>5907615805288</v>
      </c>
      <c r="C3235" t="str">
        <f>IFERROR(__xludf.DUMMYFUNCTION("""COMPUTED_VALUE"""),"Steinhof")</f>
        <v>Steinhof</v>
      </c>
    </row>
    <row r="3236">
      <c r="A3236" t="str">
        <f>IFERROR(__xludf.DUMMYFUNCTION("""COMPUTED_VALUE"""),"F-249")</f>
        <v>F-249</v>
      </c>
      <c r="B3236" s="226" t="str">
        <f>IFERROR(__xludf.DUMMYFUNCTION("""COMPUTED_VALUE"""),"5907615805288")</f>
        <v>5907615805288</v>
      </c>
      <c r="C3236" t="str">
        <f>IFERROR(__xludf.DUMMYFUNCTION("""COMPUTED_VALUE"""),"Steinhof")</f>
        <v>Steinhof</v>
      </c>
    </row>
    <row r="3237">
      <c r="A3237" t="str">
        <f>IFERROR(__xludf.DUMMYFUNCTION("""COMPUTED_VALUE"""),"F-249")</f>
        <v>F-249</v>
      </c>
      <c r="B3237" s="226" t="str">
        <f>IFERROR(__xludf.DUMMYFUNCTION("""COMPUTED_VALUE"""),"5907615805288")</f>
        <v>5907615805288</v>
      </c>
      <c r="C3237" t="str">
        <f>IFERROR(__xludf.DUMMYFUNCTION("""COMPUTED_VALUE"""),"Steinhof")</f>
        <v>Steinhof</v>
      </c>
    </row>
    <row r="3238">
      <c r="A3238" t="str">
        <f>IFERROR(__xludf.DUMMYFUNCTION("""COMPUTED_VALUE"""),"F-250")</f>
        <v>F-250</v>
      </c>
      <c r="B3238" s="226" t="str">
        <f>IFERROR(__xludf.DUMMYFUNCTION("""COMPUTED_VALUE"""),"5907615805295")</f>
        <v>5907615805295</v>
      </c>
      <c r="C3238" t="str">
        <f>IFERROR(__xludf.DUMMYFUNCTION("""COMPUTED_VALUE"""),"Steinhof")</f>
        <v>Steinhof</v>
      </c>
    </row>
    <row r="3239">
      <c r="A3239" t="str">
        <f>IFERROR(__xludf.DUMMYFUNCTION("""COMPUTED_VALUE"""),"F-250")</f>
        <v>F-250</v>
      </c>
      <c r="B3239" s="226" t="str">
        <f>IFERROR(__xludf.DUMMYFUNCTION("""COMPUTED_VALUE"""),"5907615805295")</f>
        <v>5907615805295</v>
      </c>
      <c r="C3239" t="str">
        <f>IFERROR(__xludf.DUMMYFUNCTION("""COMPUTED_VALUE"""),"Steinhof")</f>
        <v>Steinhof</v>
      </c>
    </row>
    <row r="3240">
      <c r="A3240" t="str">
        <f>IFERROR(__xludf.DUMMYFUNCTION("""COMPUTED_VALUE"""),"F-250")</f>
        <v>F-250</v>
      </c>
      <c r="B3240" s="226" t="str">
        <f>IFERROR(__xludf.DUMMYFUNCTION("""COMPUTED_VALUE"""),"5907615805295")</f>
        <v>5907615805295</v>
      </c>
      <c r="C3240" t="str">
        <f>IFERROR(__xludf.DUMMYFUNCTION("""COMPUTED_VALUE"""),"Steinhof")</f>
        <v>Steinhof</v>
      </c>
    </row>
    <row r="3241">
      <c r="A3241" t="str">
        <f>IFERROR(__xludf.DUMMYFUNCTION("""COMPUTED_VALUE"""),"F-250")</f>
        <v>F-250</v>
      </c>
      <c r="B3241" s="226" t="str">
        <f>IFERROR(__xludf.DUMMYFUNCTION("""COMPUTED_VALUE"""),"5907615805295")</f>
        <v>5907615805295</v>
      </c>
      <c r="C3241" t="str">
        <f>IFERROR(__xludf.DUMMYFUNCTION("""COMPUTED_VALUE"""),"Steinhof")</f>
        <v>Steinhof</v>
      </c>
    </row>
    <row r="3242">
      <c r="A3242" t="str">
        <f>IFERROR(__xludf.DUMMYFUNCTION("""COMPUTED_VALUE"""),"F-247")</f>
        <v>F-247</v>
      </c>
      <c r="B3242" s="226" t="str">
        <f>IFERROR(__xludf.DUMMYFUNCTION("""COMPUTED_VALUE"""),"5907615805301")</f>
        <v>5907615805301</v>
      </c>
      <c r="C3242" t="str">
        <f>IFERROR(__xludf.DUMMYFUNCTION("""COMPUTED_VALUE"""),"Steinhof")</f>
        <v>Steinhof</v>
      </c>
    </row>
    <row r="3243">
      <c r="A3243" t="str">
        <f>IFERROR(__xludf.DUMMYFUNCTION("""COMPUTED_VALUE"""),"F-247")</f>
        <v>F-247</v>
      </c>
      <c r="B3243" s="226" t="str">
        <f>IFERROR(__xludf.DUMMYFUNCTION("""COMPUTED_VALUE"""),"5907615805301")</f>
        <v>5907615805301</v>
      </c>
      <c r="C3243" t="str">
        <f>IFERROR(__xludf.DUMMYFUNCTION("""COMPUTED_VALUE"""),"Steinhof")</f>
        <v>Steinhof</v>
      </c>
    </row>
    <row r="3244">
      <c r="A3244" t="str">
        <f>IFERROR(__xludf.DUMMYFUNCTION("""COMPUTED_VALUE"""),"F-247")</f>
        <v>F-247</v>
      </c>
      <c r="B3244" s="226" t="str">
        <f>IFERROR(__xludf.DUMMYFUNCTION("""COMPUTED_VALUE"""),"5907615805301")</f>
        <v>5907615805301</v>
      </c>
      <c r="C3244" t="str">
        <f>IFERROR(__xludf.DUMMYFUNCTION("""COMPUTED_VALUE"""),"Steinhof")</f>
        <v>Steinhof</v>
      </c>
    </row>
    <row r="3245">
      <c r="A3245" t="str">
        <f>IFERROR(__xludf.DUMMYFUNCTION("""COMPUTED_VALUE"""),"F-247")</f>
        <v>F-247</v>
      </c>
      <c r="B3245" s="226" t="str">
        <f>IFERROR(__xludf.DUMMYFUNCTION("""COMPUTED_VALUE"""),"5907615805301")</f>
        <v>5907615805301</v>
      </c>
      <c r="C3245" t="str">
        <f>IFERROR(__xludf.DUMMYFUNCTION("""COMPUTED_VALUE"""),"Steinhof")</f>
        <v>Steinhof</v>
      </c>
    </row>
    <row r="3246">
      <c r="A3246" t="str">
        <f>IFERROR(__xludf.DUMMYFUNCTION("""COMPUTED_VALUE"""),"F-247")</f>
        <v>F-247</v>
      </c>
      <c r="B3246" s="226" t="str">
        <f>IFERROR(__xludf.DUMMYFUNCTION("""COMPUTED_VALUE"""),"5907615805301")</f>
        <v>5907615805301</v>
      </c>
      <c r="C3246" t="str">
        <f>IFERROR(__xludf.DUMMYFUNCTION("""COMPUTED_VALUE"""),"Steinhof")</f>
        <v>Steinhof</v>
      </c>
    </row>
    <row r="3247">
      <c r="A3247" t="str">
        <f>IFERROR(__xludf.DUMMYFUNCTION("""COMPUTED_VALUE"""),"F-247")</f>
        <v>F-247</v>
      </c>
      <c r="B3247" s="226" t="str">
        <f>IFERROR(__xludf.DUMMYFUNCTION("""COMPUTED_VALUE"""),"5907615805301")</f>
        <v>5907615805301</v>
      </c>
      <c r="C3247" t="str">
        <f>IFERROR(__xludf.DUMMYFUNCTION("""COMPUTED_VALUE"""),"Steinhof")</f>
        <v>Steinhof</v>
      </c>
    </row>
    <row r="3248">
      <c r="A3248" t="str">
        <f>IFERROR(__xludf.DUMMYFUNCTION("""COMPUTED_VALUE"""),"F-247")</f>
        <v>F-247</v>
      </c>
      <c r="B3248" s="226" t="str">
        <f>IFERROR(__xludf.DUMMYFUNCTION("""COMPUTED_VALUE"""),"5907615805301")</f>
        <v>5907615805301</v>
      </c>
      <c r="C3248" t="str">
        <f>IFERROR(__xludf.DUMMYFUNCTION("""COMPUTED_VALUE"""),"Steinhof")</f>
        <v>Steinhof</v>
      </c>
    </row>
    <row r="3249">
      <c r="A3249" t="str">
        <f>IFERROR(__xludf.DUMMYFUNCTION("""COMPUTED_VALUE"""),"F-247")</f>
        <v>F-247</v>
      </c>
      <c r="B3249" s="226" t="str">
        <f>IFERROR(__xludf.DUMMYFUNCTION("""COMPUTED_VALUE"""),"5907615805301")</f>
        <v>5907615805301</v>
      </c>
      <c r="C3249" t="str">
        <f>IFERROR(__xludf.DUMMYFUNCTION("""COMPUTED_VALUE"""),"Steinhof")</f>
        <v>Steinhof</v>
      </c>
    </row>
    <row r="3250">
      <c r="A3250" t="str">
        <f>IFERROR(__xludf.DUMMYFUNCTION("""COMPUTED_VALUE"""),"F-248")</f>
        <v>F-248</v>
      </c>
      <c r="B3250" s="226" t="str">
        <f>IFERROR(__xludf.DUMMYFUNCTION("""COMPUTED_VALUE"""),"5907615805318")</f>
        <v>5907615805318</v>
      </c>
      <c r="C3250" t="str">
        <f>IFERROR(__xludf.DUMMYFUNCTION("""COMPUTED_VALUE"""),"Steinhof")</f>
        <v>Steinhof</v>
      </c>
    </row>
    <row r="3251">
      <c r="A3251" t="str">
        <f>IFERROR(__xludf.DUMMYFUNCTION("""COMPUTED_VALUE"""),"F-248")</f>
        <v>F-248</v>
      </c>
      <c r="B3251" s="226" t="str">
        <f>IFERROR(__xludf.DUMMYFUNCTION("""COMPUTED_VALUE"""),"5907615805318")</f>
        <v>5907615805318</v>
      </c>
      <c r="C3251" t="str">
        <f>IFERROR(__xludf.DUMMYFUNCTION("""COMPUTED_VALUE"""),"Steinhof")</f>
        <v>Steinhof</v>
      </c>
    </row>
    <row r="3252">
      <c r="A3252" t="str">
        <f>IFERROR(__xludf.DUMMYFUNCTION("""COMPUTED_VALUE"""),"F-248")</f>
        <v>F-248</v>
      </c>
      <c r="B3252" s="226" t="str">
        <f>IFERROR(__xludf.DUMMYFUNCTION("""COMPUTED_VALUE"""),"5907615805318")</f>
        <v>5907615805318</v>
      </c>
      <c r="C3252" t="str">
        <f>IFERROR(__xludf.DUMMYFUNCTION("""COMPUTED_VALUE"""),"Steinhof")</f>
        <v>Steinhof</v>
      </c>
    </row>
    <row r="3253">
      <c r="A3253" t="str">
        <f>IFERROR(__xludf.DUMMYFUNCTION("""COMPUTED_VALUE"""),"F-248")</f>
        <v>F-248</v>
      </c>
      <c r="B3253" s="226" t="str">
        <f>IFERROR(__xludf.DUMMYFUNCTION("""COMPUTED_VALUE"""),"5907615805318")</f>
        <v>5907615805318</v>
      </c>
      <c r="C3253" t="str">
        <f>IFERROR(__xludf.DUMMYFUNCTION("""COMPUTED_VALUE"""),"Steinhof")</f>
        <v>Steinhof</v>
      </c>
    </row>
    <row r="3254">
      <c r="A3254" t="str">
        <f>IFERROR(__xludf.DUMMYFUNCTION("""COMPUTED_VALUE"""),"F-248")</f>
        <v>F-248</v>
      </c>
      <c r="B3254" s="226" t="str">
        <f>IFERROR(__xludf.DUMMYFUNCTION("""COMPUTED_VALUE"""),"5907615805318")</f>
        <v>5907615805318</v>
      </c>
      <c r="C3254" t="str">
        <f>IFERROR(__xludf.DUMMYFUNCTION("""COMPUTED_VALUE"""),"Steinhof")</f>
        <v>Steinhof</v>
      </c>
    </row>
    <row r="3255">
      <c r="A3255" t="str">
        <f>IFERROR(__xludf.DUMMYFUNCTION("""COMPUTED_VALUE"""),"F-248")</f>
        <v>F-248</v>
      </c>
      <c r="B3255" s="226" t="str">
        <f>IFERROR(__xludf.DUMMYFUNCTION("""COMPUTED_VALUE"""),"5907615805318")</f>
        <v>5907615805318</v>
      </c>
      <c r="C3255" t="str">
        <f>IFERROR(__xludf.DUMMYFUNCTION("""COMPUTED_VALUE"""),"Steinhof")</f>
        <v>Steinhof</v>
      </c>
    </row>
    <row r="3256">
      <c r="A3256" t="str">
        <f>IFERROR(__xludf.DUMMYFUNCTION("""COMPUTED_VALUE"""),"F-248")</f>
        <v>F-248</v>
      </c>
      <c r="B3256" s="226" t="str">
        <f>IFERROR(__xludf.DUMMYFUNCTION("""COMPUTED_VALUE"""),"5907615805318")</f>
        <v>5907615805318</v>
      </c>
      <c r="C3256" t="str">
        <f>IFERROR(__xludf.DUMMYFUNCTION("""COMPUTED_VALUE"""),"Steinhof")</f>
        <v>Steinhof</v>
      </c>
    </row>
    <row r="3257">
      <c r="A3257" t="str">
        <f>IFERROR(__xludf.DUMMYFUNCTION("""COMPUTED_VALUE"""),"F-255")</f>
        <v>F-255</v>
      </c>
      <c r="B3257" s="226" t="str">
        <f>IFERROR(__xludf.DUMMYFUNCTION("""COMPUTED_VALUE"""),"5907615805325")</f>
        <v>5907615805325</v>
      </c>
      <c r="C3257" t="str">
        <f>IFERROR(__xludf.DUMMYFUNCTION("""COMPUTED_VALUE"""),"Steinhof")</f>
        <v>Steinhof</v>
      </c>
    </row>
    <row r="3258">
      <c r="A3258" t="str">
        <f>IFERROR(__xludf.DUMMYFUNCTION("""COMPUTED_VALUE"""),"F-255")</f>
        <v>F-255</v>
      </c>
      <c r="B3258" s="226" t="str">
        <f>IFERROR(__xludf.DUMMYFUNCTION("""COMPUTED_VALUE"""),"5907615805325")</f>
        <v>5907615805325</v>
      </c>
      <c r="C3258" t="str">
        <f>IFERROR(__xludf.DUMMYFUNCTION("""COMPUTED_VALUE"""),"Steinhof")</f>
        <v>Steinhof</v>
      </c>
    </row>
    <row r="3259">
      <c r="A3259" t="str">
        <f>IFERROR(__xludf.DUMMYFUNCTION("""COMPUTED_VALUE"""),"F-256")</f>
        <v>F-256</v>
      </c>
      <c r="B3259" s="226" t="str">
        <f>IFERROR(__xludf.DUMMYFUNCTION("""COMPUTED_VALUE"""),"5907615805332")</f>
        <v>5907615805332</v>
      </c>
      <c r="C3259" t="str">
        <f>IFERROR(__xludf.DUMMYFUNCTION("""COMPUTED_VALUE"""),"Steinhof")</f>
        <v>Steinhof</v>
      </c>
    </row>
    <row r="3260">
      <c r="A3260" t="str">
        <f>IFERROR(__xludf.DUMMYFUNCTION("""COMPUTED_VALUE"""),"F-256")</f>
        <v>F-256</v>
      </c>
      <c r="B3260" s="226" t="str">
        <f>IFERROR(__xludf.DUMMYFUNCTION("""COMPUTED_VALUE"""),"5907615805332")</f>
        <v>5907615805332</v>
      </c>
      <c r="C3260" t="str">
        <f>IFERROR(__xludf.DUMMYFUNCTION("""COMPUTED_VALUE"""),"Steinhof")</f>
        <v>Steinhof</v>
      </c>
    </row>
    <row r="3261">
      <c r="A3261" t="str">
        <f>IFERROR(__xludf.DUMMYFUNCTION("""COMPUTED_VALUE"""),"F-251")</f>
        <v>F-251</v>
      </c>
      <c r="B3261" s="226" t="str">
        <f>IFERROR(__xludf.DUMMYFUNCTION("""COMPUTED_VALUE"""),"5907615805349")</f>
        <v>5907615805349</v>
      </c>
      <c r="C3261" t="str">
        <f>IFERROR(__xludf.DUMMYFUNCTION("""COMPUTED_VALUE"""),"Steinhof")</f>
        <v>Steinhof</v>
      </c>
    </row>
    <row r="3262">
      <c r="A3262" t="str">
        <f>IFERROR(__xludf.DUMMYFUNCTION("""COMPUTED_VALUE"""),"F-251")</f>
        <v>F-251</v>
      </c>
      <c r="B3262" s="226" t="str">
        <f>IFERROR(__xludf.DUMMYFUNCTION("""COMPUTED_VALUE"""),"5907615805349")</f>
        <v>5907615805349</v>
      </c>
      <c r="C3262" t="str">
        <f>IFERROR(__xludf.DUMMYFUNCTION("""COMPUTED_VALUE"""),"Steinhof")</f>
        <v>Steinhof</v>
      </c>
    </row>
    <row r="3263">
      <c r="A3263" t="str">
        <f>IFERROR(__xludf.DUMMYFUNCTION("""COMPUTED_VALUE"""),"F-252")</f>
        <v>F-252</v>
      </c>
      <c r="B3263" s="226" t="str">
        <f>IFERROR(__xludf.DUMMYFUNCTION("""COMPUTED_VALUE"""),"5907615805356")</f>
        <v>5907615805356</v>
      </c>
      <c r="C3263" t="str">
        <f>IFERROR(__xludf.DUMMYFUNCTION("""COMPUTED_VALUE"""),"Steinhof")</f>
        <v>Steinhof</v>
      </c>
    </row>
    <row r="3264">
      <c r="A3264" t="str">
        <f>IFERROR(__xludf.DUMMYFUNCTION("""COMPUTED_VALUE"""),"F-252")</f>
        <v>F-252</v>
      </c>
      <c r="B3264" s="226" t="str">
        <f>IFERROR(__xludf.DUMMYFUNCTION("""COMPUTED_VALUE"""),"5907615805356")</f>
        <v>5907615805356</v>
      </c>
      <c r="C3264" t="str">
        <f>IFERROR(__xludf.DUMMYFUNCTION("""COMPUTED_VALUE"""),"Steinhof")</f>
        <v>Steinhof</v>
      </c>
    </row>
    <row r="3265">
      <c r="A3265" t="str">
        <f>IFERROR(__xludf.DUMMYFUNCTION("""COMPUTED_VALUE"""),"F-257")</f>
        <v>F-257</v>
      </c>
      <c r="B3265" s="226" t="str">
        <f>IFERROR(__xludf.DUMMYFUNCTION("""COMPUTED_VALUE"""),"5907615805363")</f>
        <v>5907615805363</v>
      </c>
      <c r="C3265" t="str">
        <f>IFERROR(__xludf.DUMMYFUNCTION("""COMPUTED_VALUE"""),"Steinhof")</f>
        <v>Steinhof</v>
      </c>
    </row>
    <row r="3266">
      <c r="A3266" t="str">
        <f>IFERROR(__xludf.DUMMYFUNCTION("""COMPUTED_VALUE"""),"F-257")</f>
        <v>F-257</v>
      </c>
      <c r="B3266" s="226" t="str">
        <f>IFERROR(__xludf.DUMMYFUNCTION("""COMPUTED_VALUE"""),"5907615805363")</f>
        <v>5907615805363</v>
      </c>
      <c r="C3266" t="str">
        <f>IFERROR(__xludf.DUMMYFUNCTION("""COMPUTED_VALUE"""),"Steinhof")</f>
        <v>Steinhof</v>
      </c>
    </row>
    <row r="3267">
      <c r="A3267" t="str">
        <f>IFERROR(__xludf.DUMMYFUNCTION("""COMPUTED_VALUE"""),"F-258")</f>
        <v>F-258</v>
      </c>
      <c r="B3267" s="226" t="str">
        <f>IFERROR(__xludf.DUMMYFUNCTION("""COMPUTED_VALUE"""),"5907615805370")</f>
        <v>5907615805370</v>
      </c>
      <c r="C3267" t="str">
        <f>IFERROR(__xludf.DUMMYFUNCTION("""COMPUTED_VALUE"""),"Steinhof")</f>
        <v>Steinhof</v>
      </c>
    </row>
    <row r="3268">
      <c r="A3268" t="str">
        <f>IFERROR(__xludf.DUMMYFUNCTION("""COMPUTED_VALUE"""),"F-258")</f>
        <v>F-258</v>
      </c>
      <c r="B3268" s="226" t="str">
        <f>IFERROR(__xludf.DUMMYFUNCTION("""COMPUTED_VALUE"""),"5907615805370")</f>
        <v>5907615805370</v>
      </c>
      <c r="C3268" t="str">
        <f>IFERROR(__xludf.DUMMYFUNCTION("""COMPUTED_VALUE"""),"Steinhof")</f>
        <v>Steinhof</v>
      </c>
    </row>
    <row r="3269">
      <c r="A3269" t="str">
        <f>IFERROR(__xludf.DUMMYFUNCTION("""COMPUTED_VALUE"""),"F-248/W7")</f>
        <v>F-248/W7</v>
      </c>
      <c r="B3269" s="226" t="str">
        <f>IFERROR(__xludf.DUMMYFUNCTION("""COMPUTED_VALUE"""),"5907615805387")</f>
        <v>5907615805387</v>
      </c>
      <c r="C3269" t="str">
        <f>IFERROR(__xludf.DUMMYFUNCTION("""COMPUTED_VALUE"""),"Steinhof")</f>
        <v>Steinhof</v>
      </c>
    </row>
    <row r="3270">
      <c r="A3270" t="str">
        <f>IFERROR(__xludf.DUMMYFUNCTION("""COMPUTED_VALUE"""),"F-248/W7")</f>
        <v>F-248/W7</v>
      </c>
      <c r="B3270" s="226" t="str">
        <f>IFERROR(__xludf.DUMMYFUNCTION("""COMPUTED_VALUE"""),"5907615805387")</f>
        <v>5907615805387</v>
      </c>
      <c r="C3270" t="str">
        <f>IFERROR(__xludf.DUMMYFUNCTION("""COMPUTED_VALUE"""),"Steinhof")</f>
        <v>Steinhof</v>
      </c>
    </row>
    <row r="3271">
      <c r="A3271" t="str">
        <f>IFERROR(__xludf.DUMMYFUNCTION("""COMPUTED_VALUE"""),"F-248/W7")</f>
        <v>F-248/W7</v>
      </c>
      <c r="B3271" s="226" t="str">
        <f>IFERROR(__xludf.DUMMYFUNCTION("""COMPUTED_VALUE"""),"5907615805387")</f>
        <v>5907615805387</v>
      </c>
      <c r="C3271" t="str">
        <f>IFERROR(__xludf.DUMMYFUNCTION("""COMPUTED_VALUE"""),"Steinhof")</f>
        <v>Steinhof</v>
      </c>
    </row>
    <row r="3272">
      <c r="A3272" t="str">
        <f>IFERROR(__xludf.DUMMYFUNCTION("""COMPUTED_VALUE"""),"F-261")</f>
        <v>F-261</v>
      </c>
      <c r="B3272" s="226" t="str">
        <f>IFERROR(__xludf.DUMMYFUNCTION("""COMPUTED_VALUE"""),"5907615805424")</f>
        <v>5907615805424</v>
      </c>
      <c r="C3272" t="str">
        <f>IFERROR(__xludf.DUMMYFUNCTION("""COMPUTED_VALUE"""),"Steinhof")</f>
        <v>Steinhof</v>
      </c>
    </row>
    <row r="3273">
      <c r="A3273" t="str">
        <f>IFERROR(__xludf.DUMMYFUNCTION("""COMPUTED_VALUE"""),"F-261")</f>
        <v>F-261</v>
      </c>
      <c r="B3273" s="226" t="str">
        <f>IFERROR(__xludf.DUMMYFUNCTION("""COMPUTED_VALUE"""),"5907615805424")</f>
        <v>5907615805424</v>
      </c>
      <c r="C3273" t="str">
        <f>IFERROR(__xludf.DUMMYFUNCTION("""COMPUTED_VALUE"""),"Steinhof")</f>
        <v>Steinhof</v>
      </c>
    </row>
    <row r="3274">
      <c r="A3274" t="str">
        <f>IFERROR(__xludf.DUMMYFUNCTION("""COMPUTED_VALUE"""),"F-262")</f>
        <v>F-262</v>
      </c>
      <c r="B3274" s="226" t="str">
        <f>IFERROR(__xludf.DUMMYFUNCTION("""COMPUTED_VALUE"""),"5907615805431")</f>
        <v>5907615805431</v>
      </c>
      <c r="C3274" t="str">
        <f>IFERROR(__xludf.DUMMYFUNCTION("""COMPUTED_VALUE"""),"Steinhof")</f>
        <v>Steinhof</v>
      </c>
    </row>
    <row r="3275">
      <c r="A3275" t="str">
        <f>IFERROR(__xludf.DUMMYFUNCTION("""COMPUTED_VALUE"""),"F-262")</f>
        <v>F-262</v>
      </c>
      <c r="B3275" s="226" t="str">
        <f>IFERROR(__xludf.DUMMYFUNCTION("""COMPUTED_VALUE"""),"5907615805431")</f>
        <v>5907615805431</v>
      </c>
      <c r="C3275" t="str">
        <f>IFERROR(__xludf.DUMMYFUNCTION("""COMPUTED_VALUE"""),"Steinhof")</f>
        <v>Steinhof</v>
      </c>
    </row>
    <row r="3276">
      <c r="A3276" t="str">
        <f>IFERROR(__xludf.DUMMYFUNCTION("""COMPUTED_VALUE"""),"F-263")</f>
        <v>F-263</v>
      </c>
      <c r="B3276" s="226" t="str">
        <f>IFERROR(__xludf.DUMMYFUNCTION("""COMPUTED_VALUE"""),"5907615805448")</f>
        <v>5907615805448</v>
      </c>
      <c r="C3276" t="str">
        <f>IFERROR(__xludf.DUMMYFUNCTION("""COMPUTED_VALUE"""),"Steinhof")</f>
        <v>Steinhof</v>
      </c>
    </row>
    <row r="3277">
      <c r="A3277" t="str">
        <f>IFERROR(__xludf.DUMMYFUNCTION("""COMPUTED_VALUE"""),"F-263")</f>
        <v>F-263</v>
      </c>
      <c r="B3277" s="226" t="str">
        <f>IFERROR(__xludf.DUMMYFUNCTION("""COMPUTED_VALUE"""),"5907615805448")</f>
        <v>5907615805448</v>
      </c>
      <c r="C3277" t="str">
        <f>IFERROR(__xludf.DUMMYFUNCTION("""COMPUTED_VALUE"""),"Steinhof")</f>
        <v>Steinhof</v>
      </c>
    </row>
    <row r="3278">
      <c r="A3278" t="str">
        <f>IFERROR(__xludf.DUMMYFUNCTION("""COMPUTED_VALUE"""),"F-267")</f>
        <v>F-267</v>
      </c>
      <c r="B3278" s="226" t="str">
        <f>IFERROR(__xludf.DUMMYFUNCTION("""COMPUTED_VALUE"""),"5907615805486")</f>
        <v>5907615805486</v>
      </c>
      <c r="C3278" t="str">
        <f>IFERROR(__xludf.DUMMYFUNCTION("""COMPUTED_VALUE"""),"Steinhof")</f>
        <v>Steinhof</v>
      </c>
    </row>
    <row r="3279">
      <c r="A3279" t="str">
        <f>IFERROR(__xludf.DUMMYFUNCTION("""COMPUTED_VALUE"""),"F-267")</f>
        <v>F-267</v>
      </c>
      <c r="B3279" s="226" t="str">
        <f>IFERROR(__xludf.DUMMYFUNCTION("""COMPUTED_VALUE"""),"5907615805486")</f>
        <v>5907615805486</v>
      </c>
      <c r="C3279" t="str">
        <f>IFERROR(__xludf.DUMMYFUNCTION("""COMPUTED_VALUE"""),"Steinhof")</f>
        <v>Steinhof</v>
      </c>
    </row>
    <row r="3280">
      <c r="A3280" t="str">
        <f>IFERROR(__xludf.DUMMYFUNCTION("""COMPUTED_VALUE"""),"F-268")</f>
        <v>F-268</v>
      </c>
      <c r="B3280" s="226" t="str">
        <f>IFERROR(__xludf.DUMMYFUNCTION("""COMPUTED_VALUE"""),"5907615805493")</f>
        <v>5907615805493</v>
      </c>
      <c r="C3280" t="str">
        <f>IFERROR(__xludf.DUMMYFUNCTION("""COMPUTED_VALUE"""),"Steinhof")</f>
        <v>Steinhof</v>
      </c>
    </row>
    <row r="3281">
      <c r="A3281" t="str">
        <f>IFERROR(__xludf.DUMMYFUNCTION("""COMPUTED_VALUE"""),"F-268")</f>
        <v>F-268</v>
      </c>
      <c r="B3281" s="226" t="str">
        <f>IFERROR(__xludf.DUMMYFUNCTION("""COMPUTED_VALUE"""),"5907615805493")</f>
        <v>5907615805493</v>
      </c>
      <c r="C3281" t="str">
        <f>IFERROR(__xludf.DUMMYFUNCTION("""COMPUTED_VALUE"""),"Steinhof")</f>
        <v>Steinhof</v>
      </c>
    </row>
    <row r="3282">
      <c r="A3282" t="str">
        <f>IFERROR(__xludf.DUMMYFUNCTION("""COMPUTED_VALUE"""),"F-269")</f>
        <v>F-269</v>
      </c>
      <c r="B3282" s="226" t="str">
        <f>IFERROR(__xludf.DUMMYFUNCTION("""COMPUTED_VALUE"""),"5907615805509")</f>
        <v>5907615805509</v>
      </c>
      <c r="C3282" t="str">
        <f>IFERROR(__xludf.DUMMYFUNCTION("""COMPUTED_VALUE"""),"Steinhof")</f>
        <v>Steinhof</v>
      </c>
    </row>
    <row r="3283">
      <c r="A3283" t="str">
        <f>IFERROR(__xludf.DUMMYFUNCTION("""COMPUTED_VALUE"""),"F-269")</f>
        <v>F-269</v>
      </c>
      <c r="B3283" s="226" t="str">
        <f>IFERROR(__xludf.DUMMYFUNCTION("""COMPUTED_VALUE"""),"5907615805509")</f>
        <v>5907615805509</v>
      </c>
      <c r="C3283" t="str">
        <f>IFERROR(__xludf.DUMMYFUNCTION("""COMPUTED_VALUE"""),"Steinhof")</f>
        <v>Steinhof</v>
      </c>
    </row>
    <row r="3284">
      <c r="A3284" t="str">
        <f>IFERROR(__xludf.DUMMYFUNCTION("""COMPUTED_VALUE"""),"F-271")</f>
        <v>F-271</v>
      </c>
      <c r="B3284" s="226" t="str">
        <f>IFERROR(__xludf.DUMMYFUNCTION("""COMPUTED_VALUE"""),"5907615805523")</f>
        <v>5907615805523</v>
      </c>
      <c r="C3284" t="str">
        <f>IFERROR(__xludf.DUMMYFUNCTION("""COMPUTED_VALUE"""),"Steinhof")</f>
        <v>Steinhof</v>
      </c>
    </row>
    <row r="3285">
      <c r="A3285" t="str">
        <f>IFERROR(__xludf.DUMMYFUNCTION("""COMPUTED_VALUE"""),"F-271")</f>
        <v>F-271</v>
      </c>
      <c r="B3285" s="226" t="str">
        <f>IFERROR(__xludf.DUMMYFUNCTION("""COMPUTED_VALUE"""),"5907615805523")</f>
        <v>5907615805523</v>
      </c>
      <c r="C3285" t="str">
        <f>IFERROR(__xludf.DUMMYFUNCTION("""COMPUTED_VALUE"""),"Steinhof")</f>
        <v>Steinhof</v>
      </c>
    </row>
    <row r="3286">
      <c r="A3286" t="str">
        <f>IFERROR(__xludf.DUMMYFUNCTION("""COMPUTED_VALUE"""),"F-272")</f>
        <v>F-272</v>
      </c>
      <c r="B3286" s="226" t="str">
        <f>IFERROR(__xludf.DUMMYFUNCTION("""COMPUTED_VALUE"""),"5907615805530")</f>
        <v>5907615805530</v>
      </c>
      <c r="C3286" t="str">
        <f>IFERROR(__xludf.DUMMYFUNCTION("""COMPUTED_VALUE"""),"Steinhof")</f>
        <v>Steinhof</v>
      </c>
    </row>
    <row r="3287">
      <c r="A3287" t="str">
        <f>IFERROR(__xludf.DUMMYFUNCTION("""COMPUTED_VALUE"""),"F-272")</f>
        <v>F-272</v>
      </c>
      <c r="B3287" s="226" t="str">
        <f>IFERROR(__xludf.DUMMYFUNCTION("""COMPUTED_VALUE"""),"5907615805530")</f>
        <v>5907615805530</v>
      </c>
      <c r="C3287" t="str">
        <f>IFERROR(__xludf.DUMMYFUNCTION("""COMPUTED_VALUE"""),"Steinhof")</f>
        <v>Steinhof</v>
      </c>
    </row>
    <row r="3288">
      <c r="A3288" t="str">
        <f>IFERROR(__xludf.DUMMYFUNCTION("""COMPUTED_VALUE"""),"F-273")</f>
        <v>F-273</v>
      </c>
      <c r="B3288" s="226" t="str">
        <f>IFERROR(__xludf.DUMMYFUNCTION("""COMPUTED_VALUE"""),"5907615805547")</f>
        <v>5907615805547</v>
      </c>
      <c r="C3288" t="str">
        <f>IFERROR(__xludf.DUMMYFUNCTION("""COMPUTED_VALUE"""),"Steinhof")</f>
        <v>Steinhof</v>
      </c>
    </row>
    <row r="3289">
      <c r="A3289" t="str">
        <f>IFERROR(__xludf.DUMMYFUNCTION("""COMPUTED_VALUE"""),"F-273")</f>
        <v>F-273</v>
      </c>
      <c r="B3289" s="226" t="str">
        <f>IFERROR(__xludf.DUMMYFUNCTION("""COMPUTED_VALUE"""),"5907615805547")</f>
        <v>5907615805547</v>
      </c>
      <c r="C3289" t="str">
        <f>IFERROR(__xludf.DUMMYFUNCTION("""COMPUTED_VALUE"""),"Steinhof")</f>
        <v>Steinhof</v>
      </c>
    </row>
    <row r="3290">
      <c r="A3290" t="str">
        <f>IFERROR(__xludf.DUMMYFUNCTION("""COMPUTED_VALUE"""),"F-273")</f>
        <v>F-273</v>
      </c>
      <c r="B3290" s="226" t="str">
        <f>IFERROR(__xludf.DUMMYFUNCTION("""COMPUTED_VALUE"""),"5907615805547")</f>
        <v>5907615805547</v>
      </c>
      <c r="C3290" t="str">
        <f>IFERROR(__xludf.DUMMYFUNCTION("""COMPUTED_VALUE"""),"Steinhof")</f>
        <v>Steinhof</v>
      </c>
    </row>
    <row r="3291">
      <c r="A3291" t="str">
        <f>IFERROR(__xludf.DUMMYFUNCTION("""COMPUTED_VALUE"""),"F-273")</f>
        <v>F-273</v>
      </c>
      <c r="B3291" s="226" t="str">
        <f>IFERROR(__xludf.DUMMYFUNCTION("""COMPUTED_VALUE"""),"5907615805547")</f>
        <v>5907615805547</v>
      </c>
      <c r="C3291" t="str">
        <f>IFERROR(__xludf.DUMMYFUNCTION("""COMPUTED_VALUE"""),"Steinhof")</f>
        <v>Steinhof</v>
      </c>
    </row>
    <row r="3292">
      <c r="A3292" t="str">
        <f>IFERROR(__xludf.DUMMYFUNCTION("""COMPUTED_VALUE"""),"F-274")</f>
        <v>F-274</v>
      </c>
      <c r="B3292" s="226" t="str">
        <f>IFERROR(__xludf.DUMMYFUNCTION("""COMPUTED_VALUE"""),"5907615805554")</f>
        <v>5907615805554</v>
      </c>
      <c r="C3292" t="str">
        <f>IFERROR(__xludf.DUMMYFUNCTION("""COMPUTED_VALUE"""),"Steinhof")</f>
        <v>Steinhof</v>
      </c>
    </row>
    <row r="3293">
      <c r="A3293" t="str">
        <f>IFERROR(__xludf.DUMMYFUNCTION("""COMPUTED_VALUE"""),"F-274")</f>
        <v>F-274</v>
      </c>
      <c r="B3293" s="226" t="str">
        <f>IFERROR(__xludf.DUMMYFUNCTION("""COMPUTED_VALUE"""),"5907615805554")</f>
        <v>5907615805554</v>
      </c>
      <c r="C3293" t="str">
        <f>IFERROR(__xludf.DUMMYFUNCTION("""COMPUTED_VALUE"""),"Steinhof")</f>
        <v>Steinhof</v>
      </c>
    </row>
    <row r="3294">
      <c r="A3294" t="str">
        <f>IFERROR(__xludf.DUMMYFUNCTION("""COMPUTED_VALUE"""),"F-274")</f>
        <v>F-274</v>
      </c>
      <c r="B3294" s="226" t="str">
        <f>IFERROR(__xludf.DUMMYFUNCTION("""COMPUTED_VALUE"""),"5907615805554")</f>
        <v>5907615805554</v>
      </c>
      <c r="C3294" t="str">
        <f>IFERROR(__xludf.DUMMYFUNCTION("""COMPUTED_VALUE"""),"Steinhof")</f>
        <v>Steinhof</v>
      </c>
    </row>
    <row r="3295">
      <c r="A3295" t="str">
        <f>IFERROR(__xludf.DUMMYFUNCTION("""COMPUTED_VALUE"""),"F-274")</f>
        <v>F-274</v>
      </c>
      <c r="B3295" s="226" t="str">
        <f>IFERROR(__xludf.DUMMYFUNCTION("""COMPUTED_VALUE"""),"5907615805554")</f>
        <v>5907615805554</v>
      </c>
      <c r="C3295" t="str">
        <f>IFERROR(__xludf.DUMMYFUNCTION("""COMPUTED_VALUE"""),"Steinhof")</f>
        <v>Steinhof</v>
      </c>
    </row>
    <row r="3296">
      <c r="A3296" t="str">
        <f>IFERROR(__xludf.DUMMYFUNCTION("""COMPUTED_VALUE"""),"F-275")</f>
        <v>F-275</v>
      </c>
      <c r="B3296" s="226" t="str">
        <f>IFERROR(__xludf.DUMMYFUNCTION("""COMPUTED_VALUE"""),"5907615805561")</f>
        <v>5907615805561</v>
      </c>
      <c r="C3296" t="str">
        <f>IFERROR(__xludf.DUMMYFUNCTION("""COMPUTED_VALUE"""),"Steinhof")</f>
        <v>Steinhof</v>
      </c>
    </row>
    <row r="3297">
      <c r="A3297" t="str">
        <f>IFERROR(__xludf.DUMMYFUNCTION("""COMPUTED_VALUE"""),"F-275")</f>
        <v>F-275</v>
      </c>
      <c r="B3297" s="226" t="str">
        <f>IFERROR(__xludf.DUMMYFUNCTION("""COMPUTED_VALUE"""),"5907615805561")</f>
        <v>5907615805561</v>
      </c>
      <c r="C3297" t="str">
        <f>IFERROR(__xludf.DUMMYFUNCTION("""COMPUTED_VALUE"""),"Steinhof")</f>
        <v>Steinhof</v>
      </c>
    </row>
    <row r="3298">
      <c r="A3298" t="str">
        <f>IFERROR(__xludf.DUMMYFUNCTION("""COMPUTED_VALUE"""),"F-276")</f>
        <v>F-276</v>
      </c>
      <c r="B3298" s="226" t="str">
        <f>IFERROR(__xludf.DUMMYFUNCTION("""COMPUTED_VALUE"""),"5907615805578")</f>
        <v>5907615805578</v>
      </c>
      <c r="C3298" t="str">
        <f>IFERROR(__xludf.DUMMYFUNCTION("""COMPUTED_VALUE"""),"Steinhof")</f>
        <v>Steinhof</v>
      </c>
    </row>
    <row r="3299">
      <c r="A3299" t="str">
        <f>IFERROR(__xludf.DUMMYFUNCTION("""COMPUTED_VALUE"""),"F-276")</f>
        <v>F-276</v>
      </c>
      <c r="B3299" s="226" t="str">
        <f>IFERROR(__xludf.DUMMYFUNCTION("""COMPUTED_VALUE"""),"5907615805578")</f>
        <v>5907615805578</v>
      </c>
      <c r="C3299" t="str">
        <f>IFERROR(__xludf.DUMMYFUNCTION("""COMPUTED_VALUE"""),"Steinhof")</f>
        <v>Steinhof</v>
      </c>
    </row>
    <row r="3300">
      <c r="A3300" t="str">
        <f>IFERROR(__xludf.DUMMYFUNCTION("""COMPUTED_VALUE"""),"F-277")</f>
        <v>F-277</v>
      </c>
      <c r="B3300" s="226" t="str">
        <f>IFERROR(__xludf.DUMMYFUNCTION("""COMPUTED_VALUE"""),"5907615805585")</f>
        <v>5907615805585</v>
      </c>
      <c r="C3300" t="str">
        <f>IFERROR(__xludf.DUMMYFUNCTION("""COMPUTED_VALUE"""),"Steinhof")</f>
        <v>Steinhof</v>
      </c>
    </row>
    <row r="3301">
      <c r="A3301" t="str">
        <f>IFERROR(__xludf.DUMMYFUNCTION("""COMPUTED_VALUE"""),"F-278")</f>
        <v>F-278</v>
      </c>
      <c r="B3301" s="226" t="str">
        <f>IFERROR(__xludf.DUMMYFUNCTION("""COMPUTED_VALUE"""),"5907615805592")</f>
        <v>5907615805592</v>
      </c>
      <c r="C3301" t="str">
        <f>IFERROR(__xludf.DUMMYFUNCTION("""COMPUTED_VALUE"""),"Steinhof")</f>
        <v>Steinhof</v>
      </c>
    </row>
    <row r="3302">
      <c r="A3302" t="str">
        <f>IFERROR(__xludf.DUMMYFUNCTION("""COMPUTED_VALUE"""),"F-280")</f>
        <v>F-280</v>
      </c>
      <c r="B3302" s="226" t="str">
        <f>IFERROR(__xludf.DUMMYFUNCTION("""COMPUTED_VALUE"""),"5907615805615")</f>
        <v>5907615805615</v>
      </c>
      <c r="C3302" t="str">
        <f>IFERROR(__xludf.DUMMYFUNCTION("""COMPUTED_VALUE"""),"Steinhof")</f>
        <v>Steinhof</v>
      </c>
    </row>
    <row r="3303">
      <c r="A3303" t="str">
        <f>IFERROR(__xludf.DUMMYFUNCTION("""COMPUTED_VALUE"""),"F-280")</f>
        <v>F-280</v>
      </c>
      <c r="B3303" s="226" t="str">
        <f>IFERROR(__xludf.DUMMYFUNCTION("""COMPUTED_VALUE"""),"5907615805615")</f>
        <v>5907615805615</v>
      </c>
      <c r="C3303" t="str">
        <f>IFERROR(__xludf.DUMMYFUNCTION("""COMPUTED_VALUE"""),"Steinhof")</f>
        <v>Steinhof</v>
      </c>
    </row>
    <row r="3304">
      <c r="A3304" t="str">
        <f>IFERROR(__xludf.DUMMYFUNCTION("""COMPUTED_VALUE"""),"F-280")</f>
        <v>F-280</v>
      </c>
      <c r="B3304" s="226" t="str">
        <f>IFERROR(__xludf.DUMMYFUNCTION("""COMPUTED_VALUE"""),"5907615805615")</f>
        <v>5907615805615</v>
      </c>
      <c r="C3304" t="str">
        <f>IFERROR(__xludf.DUMMYFUNCTION("""COMPUTED_VALUE"""),"Steinhof")</f>
        <v>Steinhof</v>
      </c>
    </row>
    <row r="3305">
      <c r="A3305" t="str">
        <f>IFERROR(__xludf.DUMMYFUNCTION("""COMPUTED_VALUE"""),"F-280")</f>
        <v>F-280</v>
      </c>
      <c r="B3305" s="226" t="str">
        <f>IFERROR(__xludf.DUMMYFUNCTION("""COMPUTED_VALUE"""),"5907615805615")</f>
        <v>5907615805615</v>
      </c>
      <c r="C3305" t="str">
        <f>IFERROR(__xludf.DUMMYFUNCTION("""COMPUTED_VALUE"""),"Steinhof")</f>
        <v>Steinhof</v>
      </c>
    </row>
    <row r="3306">
      <c r="A3306" t="str">
        <f>IFERROR(__xludf.DUMMYFUNCTION("""COMPUTED_VALUE"""),"F-280")</f>
        <v>F-280</v>
      </c>
      <c r="B3306" s="226" t="str">
        <f>IFERROR(__xludf.DUMMYFUNCTION("""COMPUTED_VALUE"""),"5907615805615")</f>
        <v>5907615805615</v>
      </c>
      <c r="C3306" t="str">
        <f>IFERROR(__xludf.DUMMYFUNCTION("""COMPUTED_VALUE"""),"Steinhof")</f>
        <v>Steinhof</v>
      </c>
    </row>
    <row r="3307">
      <c r="A3307" t="str">
        <f>IFERROR(__xludf.DUMMYFUNCTION("""COMPUTED_VALUE"""),"F-280")</f>
        <v>F-280</v>
      </c>
      <c r="B3307" s="226" t="str">
        <f>IFERROR(__xludf.DUMMYFUNCTION("""COMPUTED_VALUE"""),"5907615805615")</f>
        <v>5907615805615</v>
      </c>
      <c r="C3307" t="str">
        <f>IFERROR(__xludf.DUMMYFUNCTION("""COMPUTED_VALUE"""),"Steinhof")</f>
        <v>Steinhof</v>
      </c>
    </row>
    <row r="3308">
      <c r="A3308" t="str">
        <f>IFERROR(__xludf.DUMMYFUNCTION("""COMPUTED_VALUE"""),"F-281")</f>
        <v>F-281</v>
      </c>
      <c r="B3308" s="226" t="str">
        <f>IFERROR(__xludf.DUMMYFUNCTION("""COMPUTED_VALUE"""),"5907615805622")</f>
        <v>5907615805622</v>
      </c>
      <c r="C3308" t="str">
        <f>IFERROR(__xludf.DUMMYFUNCTION("""COMPUTED_VALUE"""),"Steinhof")</f>
        <v>Steinhof</v>
      </c>
    </row>
    <row r="3309">
      <c r="A3309" t="str">
        <f>IFERROR(__xludf.DUMMYFUNCTION("""COMPUTED_VALUE"""),"F-281")</f>
        <v>F-281</v>
      </c>
      <c r="B3309" s="226" t="str">
        <f>IFERROR(__xludf.DUMMYFUNCTION("""COMPUTED_VALUE"""),"5907615805622")</f>
        <v>5907615805622</v>
      </c>
      <c r="C3309" t="str">
        <f>IFERROR(__xludf.DUMMYFUNCTION("""COMPUTED_VALUE"""),"Steinhof")</f>
        <v>Steinhof</v>
      </c>
    </row>
    <row r="3310">
      <c r="A3310" t="str">
        <f>IFERROR(__xludf.DUMMYFUNCTION("""COMPUTED_VALUE"""),"F-281")</f>
        <v>F-281</v>
      </c>
      <c r="B3310" s="226" t="str">
        <f>IFERROR(__xludf.DUMMYFUNCTION("""COMPUTED_VALUE"""),"5907615805622")</f>
        <v>5907615805622</v>
      </c>
      <c r="C3310" t="str">
        <f>IFERROR(__xludf.DUMMYFUNCTION("""COMPUTED_VALUE"""),"Steinhof")</f>
        <v>Steinhof</v>
      </c>
    </row>
    <row r="3311">
      <c r="A3311" t="str">
        <f>IFERROR(__xludf.DUMMYFUNCTION("""COMPUTED_VALUE"""),"F-281")</f>
        <v>F-281</v>
      </c>
      <c r="B3311" s="226" t="str">
        <f>IFERROR(__xludf.DUMMYFUNCTION("""COMPUTED_VALUE"""),"5907615805622")</f>
        <v>5907615805622</v>
      </c>
      <c r="C3311" t="str">
        <f>IFERROR(__xludf.DUMMYFUNCTION("""COMPUTED_VALUE"""),"Steinhof")</f>
        <v>Steinhof</v>
      </c>
    </row>
    <row r="3312">
      <c r="A3312" t="str">
        <f>IFERROR(__xludf.DUMMYFUNCTION("""COMPUTED_VALUE"""),"F-281")</f>
        <v>F-281</v>
      </c>
      <c r="B3312" s="226" t="str">
        <f>IFERROR(__xludf.DUMMYFUNCTION("""COMPUTED_VALUE"""),"5907615805622")</f>
        <v>5907615805622</v>
      </c>
      <c r="C3312" t="str">
        <f>IFERROR(__xludf.DUMMYFUNCTION("""COMPUTED_VALUE"""),"Steinhof")</f>
        <v>Steinhof</v>
      </c>
    </row>
    <row r="3313">
      <c r="A3313" t="str">
        <f>IFERROR(__xludf.DUMMYFUNCTION("""COMPUTED_VALUE"""),"F-281")</f>
        <v>F-281</v>
      </c>
      <c r="B3313" s="226" t="str">
        <f>IFERROR(__xludf.DUMMYFUNCTION("""COMPUTED_VALUE"""),"5907615805622")</f>
        <v>5907615805622</v>
      </c>
      <c r="C3313" t="str">
        <f>IFERROR(__xludf.DUMMYFUNCTION("""COMPUTED_VALUE"""),"Steinhof")</f>
        <v>Steinhof</v>
      </c>
    </row>
    <row r="3314">
      <c r="A3314" t="str">
        <f>IFERROR(__xludf.DUMMYFUNCTION("""COMPUTED_VALUE"""),"F-282")</f>
        <v>F-282</v>
      </c>
      <c r="B3314" s="226" t="str">
        <f>IFERROR(__xludf.DUMMYFUNCTION("""COMPUTED_VALUE"""),"5907615805639")</f>
        <v>5907615805639</v>
      </c>
      <c r="C3314" t="str">
        <f>IFERROR(__xludf.DUMMYFUNCTION("""COMPUTED_VALUE"""),"Steinhof")</f>
        <v>Steinhof</v>
      </c>
    </row>
    <row r="3315">
      <c r="A3315" t="str">
        <f>IFERROR(__xludf.DUMMYFUNCTION("""COMPUTED_VALUE"""),"F-282")</f>
        <v>F-282</v>
      </c>
      <c r="B3315" s="226" t="str">
        <f>IFERROR(__xludf.DUMMYFUNCTION("""COMPUTED_VALUE"""),"5907615805639")</f>
        <v>5907615805639</v>
      </c>
      <c r="C3315" t="str">
        <f>IFERROR(__xludf.DUMMYFUNCTION("""COMPUTED_VALUE"""),"Steinhof")</f>
        <v>Steinhof</v>
      </c>
    </row>
    <row r="3316">
      <c r="A3316" t="str">
        <f>IFERROR(__xludf.DUMMYFUNCTION("""COMPUTED_VALUE"""),"F-282")</f>
        <v>F-282</v>
      </c>
      <c r="B3316" s="226" t="str">
        <f>IFERROR(__xludf.DUMMYFUNCTION("""COMPUTED_VALUE"""),"5907615805639")</f>
        <v>5907615805639</v>
      </c>
      <c r="C3316" t="str">
        <f>IFERROR(__xludf.DUMMYFUNCTION("""COMPUTED_VALUE"""),"Steinhof")</f>
        <v>Steinhof</v>
      </c>
    </row>
    <row r="3317">
      <c r="A3317" t="str">
        <f>IFERROR(__xludf.DUMMYFUNCTION("""COMPUTED_VALUE"""),"F-282")</f>
        <v>F-282</v>
      </c>
      <c r="B3317" s="226" t="str">
        <f>IFERROR(__xludf.DUMMYFUNCTION("""COMPUTED_VALUE"""),"5907615805639")</f>
        <v>5907615805639</v>
      </c>
      <c r="C3317" t="str">
        <f>IFERROR(__xludf.DUMMYFUNCTION("""COMPUTED_VALUE"""),"Steinhof")</f>
        <v>Steinhof</v>
      </c>
    </row>
    <row r="3318">
      <c r="A3318" t="str">
        <f>IFERROR(__xludf.DUMMYFUNCTION("""COMPUTED_VALUE"""),"F-294")</f>
        <v>F-294</v>
      </c>
      <c r="B3318" s="226" t="str">
        <f>IFERROR(__xludf.DUMMYFUNCTION("""COMPUTED_VALUE"""),"5907615805752")</f>
        <v>5907615805752</v>
      </c>
      <c r="C3318" t="str">
        <f>IFERROR(__xludf.DUMMYFUNCTION("""COMPUTED_VALUE"""),"Steinhof")</f>
        <v>Steinhof</v>
      </c>
    </row>
    <row r="3319">
      <c r="A3319" t="str">
        <f>IFERROR(__xludf.DUMMYFUNCTION("""COMPUTED_VALUE"""),"F-294")</f>
        <v>F-294</v>
      </c>
      <c r="B3319" s="226" t="str">
        <f>IFERROR(__xludf.DUMMYFUNCTION("""COMPUTED_VALUE"""),"5907615805752")</f>
        <v>5907615805752</v>
      </c>
      <c r="C3319" t="str">
        <f>IFERROR(__xludf.DUMMYFUNCTION("""COMPUTED_VALUE"""),"Steinhof")</f>
        <v>Steinhof</v>
      </c>
    </row>
    <row r="3320">
      <c r="A3320" t="str">
        <f>IFERROR(__xludf.DUMMYFUNCTION("""COMPUTED_VALUE"""),"F-294")</f>
        <v>F-294</v>
      </c>
      <c r="B3320" s="226" t="str">
        <f>IFERROR(__xludf.DUMMYFUNCTION("""COMPUTED_VALUE"""),"5907615805752")</f>
        <v>5907615805752</v>
      </c>
      <c r="C3320" t="str">
        <f>IFERROR(__xludf.DUMMYFUNCTION("""COMPUTED_VALUE"""),"Steinhof")</f>
        <v>Steinhof</v>
      </c>
    </row>
    <row r="3321">
      <c r="A3321" t="str">
        <f>IFERROR(__xludf.DUMMYFUNCTION("""COMPUTED_VALUE"""),"F-295")</f>
        <v>F-295</v>
      </c>
      <c r="B3321" s="226" t="str">
        <f>IFERROR(__xludf.DUMMYFUNCTION("""COMPUTED_VALUE"""),"5907615805769")</f>
        <v>5907615805769</v>
      </c>
      <c r="C3321" t="str">
        <f>IFERROR(__xludf.DUMMYFUNCTION("""COMPUTED_VALUE"""),"Steinhof")</f>
        <v>Steinhof</v>
      </c>
    </row>
    <row r="3322">
      <c r="A3322" t="str">
        <f>IFERROR(__xludf.DUMMYFUNCTION("""COMPUTED_VALUE"""),"F-295")</f>
        <v>F-295</v>
      </c>
      <c r="B3322" s="226" t="str">
        <f>IFERROR(__xludf.DUMMYFUNCTION("""COMPUTED_VALUE"""),"5907615805769")</f>
        <v>5907615805769</v>
      </c>
      <c r="C3322" t="str">
        <f>IFERROR(__xludf.DUMMYFUNCTION("""COMPUTED_VALUE"""),"Steinhof")</f>
        <v>Steinhof</v>
      </c>
    </row>
    <row r="3323">
      <c r="A3323" t="str">
        <f>IFERROR(__xludf.DUMMYFUNCTION("""COMPUTED_VALUE"""),"F-295")</f>
        <v>F-295</v>
      </c>
      <c r="B3323" s="226" t="str">
        <f>IFERROR(__xludf.DUMMYFUNCTION("""COMPUTED_VALUE"""),"5907615805769")</f>
        <v>5907615805769</v>
      </c>
      <c r="C3323" t="str">
        <f>IFERROR(__xludf.DUMMYFUNCTION("""COMPUTED_VALUE"""),"Steinhof")</f>
        <v>Steinhof</v>
      </c>
    </row>
    <row r="3324">
      <c r="A3324" t="str">
        <f>IFERROR(__xludf.DUMMYFUNCTION("""COMPUTED_VALUE"""),"F-295")</f>
        <v>F-295</v>
      </c>
      <c r="B3324" s="226" t="str">
        <f>IFERROR(__xludf.DUMMYFUNCTION("""COMPUTED_VALUE"""),"5907615805769")</f>
        <v>5907615805769</v>
      </c>
      <c r="C3324" t="str">
        <f>IFERROR(__xludf.DUMMYFUNCTION("""COMPUTED_VALUE"""),"Steinhof")</f>
        <v>Steinhof</v>
      </c>
    </row>
    <row r="3325">
      <c r="A3325" t="str">
        <f>IFERROR(__xludf.DUMMYFUNCTION("""COMPUTED_VALUE"""),"F-296")</f>
        <v>F-296</v>
      </c>
      <c r="B3325" s="226" t="str">
        <f>IFERROR(__xludf.DUMMYFUNCTION("""COMPUTED_VALUE"""),"5907615805776")</f>
        <v>5907615805776</v>
      </c>
      <c r="C3325" t="str">
        <f>IFERROR(__xludf.DUMMYFUNCTION("""COMPUTED_VALUE"""),"Steinhof")</f>
        <v>Steinhof</v>
      </c>
    </row>
    <row r="3326">
      <c r="A3326" t="str">
        <f>IFERROR(__xludf.DUMMYFUNCTION("""COMPUTED_VALUE"""),"F-296")</f>
        <v>F-296</v>
      </c>
      <c r="B3326" s="226" t="str">
        <f>IFERROR(__xludf.DUMMYFUNCTION("""COMPUTED_VALUE"""),"5907615805776")</f>
        <v>5907615805776</v>
      </c>
      <c r="C3326" t="str">
        <f>IFERROR(__xludf.DUMMYFUNCTION("""COMPUTED_VALUE"""),"Steinhof")</f>
        <v>Steinhof</v>
      </c>
    </row>
    <row r="3327">
      <c r="A3327" t="str">
        <f>IFERROR(__xludf.DUMMYFUNCTION("""COMPUTED_VALUE"""),"F-297")</f>
        <v>F-297</v>
      </c>
      <c r="B3327" s="226" t="str">
        <f>IFERROR(__xludf.DUMMYFUNCTION("""COMPUTED_VALUE"""),"5907615805783")</f>
        <v>5907615805783</v>
      </c>
      <c r="C3327" t="str">
        <f>IFERROR(__xludf.DUMMYFUNCTION("""COMPUTED_VALUE"""),"Steinhof")</f>
        <v>Steinhof</v>
      </c>
    </row>
    <row r="3328">
      <c r="A3328" t="str">
        <f>IFERROR(__xludf.DUMMYFUNCTION("""COMPUTED_VALUE"""),"F-298")</f>
        <v>F-298</v>
      </c>
      <c r="B3328" s="226" t="str">
        <f>IFERROR(__xludf.DUMMYFUNCTION("""COMPUTED_VALUE"""),"5907615805790")</f>
        <v>5907615805790</v>
      </c>
      <c r="C3328" t="str">
        <f>IFERROR(__xludf.DUMMYFUNCTION("""COMPUTED_VALUE"""),"Steinhof")</f>
        <v>Steinhof</v>
      </c>
    </row>
    <row r="3329">
      <c r="A3329" t="str">
        <f>IFERROR(__xludf.DUMMYFUNCTION("""COMPUTED_VALUE"""),"F-298")</f>
        <v>F-298</v>
      </c>
      <c r="B3329" s="226" t="str">
        <f>IFERROR(__xludf.DUMMYFUNCTION("""COMPUTED_VALUE"""),"5907615805790")</f>
        <v>5907615805790</v>
      </c>
      <c r="C3329" t="str">
        <f>IFERROR(__xludf.DUMMYFUNCTION("""COMPUTED_VALUE"""),"Steinhof")</f>
        <v>Steinhof</v>
      </c>
    </row>
    <row r="3330">
      <c r="A3330" t="str">
        <f>IFERROR(__xludf.DUMMYFUNCTION("""COMPUTED_VALUE"""),"F-298")</f>
        <v>F-298</v>
      </c>
      <c r="B3330" s="226" t="str">
        <f>IFERROR(__xludf.DUMMYFUNCTION("""COMPUTED_VALUE"""),"5907615805790")</f>
        <v>5907615805790</v>
      </c>
      <c r="C3330" t="str">
        <f>IFERROR(__xludf.DUMMYFUNCTION("""COMPUTED_VALUE"""),"Steinhof")</f>
        <v>Steinhof</v>
      </c>
    </row>
    <row r="3331">
      <c r="A3331" t="str">
        <f>IFERROR(__xludf.DUMMYFUNCTION("""COMPUTED_VALUE"""),"F-300")</f>
        <v>F-300</v>
      </c>
      <c r="B3331" s="226" t="str">
        <f>IFERROR(__xludf.DUMMYFUNCTION("""COMPUTED_VALUE"""),"5907615805813")</f>
        <v>5907615805813</v>
      </c>
      <c r="C3331" t="str">
        <f>IFERROR(__xludf.DUMMYFUNCTION("""COMPUTED_VALUE"""),"Steinhof")</f>
        <v>Steinhof</v>
      </c>
    </row>
    <row r="3332">
      <c r="A3332" t="str">
        <f>IFERROR(__xludf.DUMMYFUNCTION("""COMPUTED_VALUE"""),"F-300")</f>
        <v>F-300</v>
      </c>
      <c r="B3332" s="226" t="str">
        <f>IFERROR(__xludf.DUMMYFUNCTION("""COMPUTED_VALUE"""),"5907615805813")</f>
        <v>5907615805813</v>
      </c>
      <c r="C3332" t="str">
        <f>IFERROR(__xludf.DUMMYFUNCTION("""COMPUTED_VALUE"""),"Steinhof")</f>
        <v>Steinhof</v>
      </c>
    </row>
    <row r="3333">
      <c r="A3333" t="str">
        <f>IFERROR(__xludf.DUMMYFUNCTION("""COMPUTED_VALUE"""),"F-300")</f>
        <v>F-300</v>
      </c>
      <c r="B3333" s="226" t="str">
        <f>IFERROR(__xludf.DUMMYFUNCTION("""COMPUTED_VALUE"""),"5907615805813")</f>
        <v>5907615805813</v>
      </c>
      <c r="C3333" t="str">
        <f>IFERROR(__xludf.DUMMYFUNCTION("""COMPUTED_VALUE"""),"Steinhof")</f>
        <v>Steinhof</v>
      </c>
    </row>
    <row r="3334">
      <c r="A3334" t="str">
        <f>IFERROR(__xludf.DUMMYFUNCTION("""COMPUTED_VALUE"""),"F-300")</f>
        <v>F-300</v>
      </c>
      <c r="B3334" s="226" t="str">
        <f>IFERROR(__xludf.DUMMYFUNCTION("""COMPUTED_VALUE"""),"5907615805813")</f>
        <v>5907615805813</v>
      </c>
      <c r="C3334" t="str">
        <f>IFERROR(__xludf.DUMMYFUNCTION("""COMPUTED_VALUE"""),"Steinhof")</f>
        <v>Steinhof</v>
      </c>
    </row>
    <row r="3335">
      <c r="A3335" t="str">
        <f>IFERROR(__xludf.DUMMYFUNCTION("""COMPUTED_VALUE"""),"F-299/1")</f>
        <v>F-299/1</v>
      </c>
      <c r="B3335" s="226" t="str">
        <f>IFERROR(__xludf.DUMMYFUNCTION("""COMPUTED_VALUE"""),"5907615805820")</f>
        <v>5907615805820</v>
      </c>
      <c r="C3335" t="str">
        <f>IFERROR(__xludf.DUMMYFUNCTION("""COMPUTED_VALUE"""),"Steinhof")</f>
        <v>Steinhof</v>
      </c>
    </row>
    <row r="3336">
      <c r="A3336" t="str">
        <f>IFERROR(__xludf.DUMMYFUNCTION("""COMPUTED_VALUE"""),"F-299/1")</f>
        <v>F-299/1</v>
      </c>
      <c r="B3336" s="226" t="str">
        <f>IFERROR(__xludf.DUMMYFUNCTION("""COMPUTED_VALUE"""),"5907615805820")</f>
        <v>5907615805820</v>
      </c>
      <c r="C3336" t="str">
        <f>IFERROR(__xludf.DUMMYFUNCTION("""COMPUTED_VALUE"""),"Steinhof")</f>
        <v>Steinhof</v>
      </c>
    </row>
    <row r="3337">
      <c r="A3337" t="str">
        <f>IFERROR(__xludf.DUMMYFUNCTION("""COMPUTED_VALUE"""),"F-299/1")</f>
        <v>F-299/1</v>
      </c>
      <c r="B3337" s="226" t="str">
        <f>IFERROR(__xludf.DUMMYFUNCTION("""COMPUTED_VALUE"""),"5907615805820")</f>
        <v>5907615805820</v>
      </c>
      <c r="C3337" t="str">
        <f>IFERROR(__xludf.DUMMYFUNCTION("""COMPUTED_VALUE"""),"Steinhof")</f>
        <v>Steinhof</v>
      </c>
    </row>
    <row r="3338">
      <c r="A3338" t="str">
        <f>IFERROR(__xludf.DUMMYFUNCTION("""COMPUTED_VALUE"""),"F-299/1")</f>
        <v>F-299/1</v>
      </c>
      <c r="B3338" s="226" t="str">
        <f>IFERROR(__xludf.DUMMYFUNCTION("""COMPUTED_VALUE"""),"5907615805820")</f>
        <v>5907615805820</v>
      </c>
      <c r="C3338" t="str">
        <f>IFERROR(__xludf.DUMMYFUNCTION("""COMPUTED_VALUE"""),"Steinhof")</f>
        <v>Steinhof</v>
      </c>
    </row>
    <row r="3339">
      <c r="A3339" t="str">
        <f>IFERROR(__xludf.DUMMYFUNCTION("""COMPUTED_VALUE"""),"F-301")</f>
        <v>F-301</v>
      </c>
      <c r="B3339" s="226" t="str">
        <f>IFERROR(__xludf.DUMMYFUNCTION("""COMPUTED_VALUE"""),"5907615805837")</f>
        <v>5907615805837</v>
      </c>
      <c r="C3339" t="str">
        <f>IFERROR(__xludf.DUMMYFUNCTION("""COMPUTED_VALUE"""),"Steinhof")</f>
        <v>Steinhof</v>
      </c>
    </row>
    <row r="3340">
      <c r="A3340" t="str">
        <f>IFERROR(__xludf.DUMMYFUNCTION("""COMPUTED_VALUE"""),"F-301")</f>
        <v>F-301</v>
      </c>
      <c r="B3340" s="226" t="str">
        <f>IFERROR(__xludf.DUMMYFUNCTION("""COMPUTED_VALUE"""),"5907615805837")</f>
        <v>5907615805837</v>
      </c>
      <c r="C3340" t="str">
        <f>IFERROR(__xludf.DUMMYFUNCTION("""COMPUTED_VALUE"""),"Steinhof")</f>
        <v>Steinhof</v>
      </c>
    </row>
    <row r="3341">
      <c r="A3341" t="str">
        <f>IFERROR(__xludf.DUMMYFUNCTION("""COMPUTED_VALUE"""),"F-301")</f>
        <v>F-301</v>
      </c>
      <c r="B3341" s="226" t="str">
        <f>IFERROR(__xludf.DUMMYFUNCTION("""COMPUTED_VALUE"""),"5907615805837")</f>
        <v>5907615805837</v>
      </c>
      <c r="C3341" t="str">
        <f>IFERROR(__xludf.DUMMYFUNCTION("""COMPUTED_VALUE"""),"Steinhof")</f>
        <v>Steinhof</v>
      </c>
    </row>
    <row r="3342">
      <c r="A3342" t="str">
        <f>IFERROR(__xludf.DUMMYFUNCTION("""COMPUTED_VALUE"""),"F-301")</f>
        <v>F-301</v>
      </c>
      <c r="B3342" s="226" t="str">
        <f>IFERROR(__xludf.DUMMYFUNCTION("""COMPUTED_VALUE"""),"5907615805837")</f>
        <v>5907615805837</v>
      </c>
      <c r="C3342" t="str">
        <f>IFERROR(__xludf.DUMMYFUNCTION("""COMPUTED_VALUE"""),"Steinhof")</f>
        <v>Steinhof</v>
      </c>
    </row>
    <row r="3343">
      <c r="A3343" t="str">
        <f>IFERROR(__xludf.DUMMYFUNCTION("""COMPUTED_VALUE"""),"F-301")</f>
        <v>F-301</v>
      </c>
      <c r="B3343" s="226" t="str">
        <f>IFERROR(__xludf.DUMMYFUNCTION("""COMPUTED_VALUE"""),"5907615805837")</f>
        <v>5907615805837</v>
      </c>
      <c r="C3343" t="str">
        <f>IFERROR(__xludf.DUMMYFUNCTION("""COMPUTED_VALUE"""),"Steinhof")</f>
        <v>Steinhof</v>
      </c>
    </row>
    <row r="3344">
      <c r="A3344" t="str">
        <f>IFERROR(__xludf.DUMMYFUNCTION("""COMPUTED_VALUE"""),"F-301")</f>
        <v>F-301</v>
      </c>
      <c r="B3344" s="226" t="str">
        <f>IFERROR(__xludf.DUMMYFUNCTION("""COMPUTED_VALUE"""),"5907615805837")</f>
        <v>5907615805837</v>
      </c>
      <c r="C3344" t="str">
        <f>IFERROR(__xludf.DUMMYFUNCTION("""COMPUTED_VALUE"""),"Steinhof")</f>
        <v>Steinhof</v>
      </c>
    </row>
    <row r="3345">
      <c r="A3345" t="str">
        <f>IFERROR(__xludf.DUMMYFUNCTION("""COMPUTED_VALUE"""),"F-301")</f>
        <v>F-301</v>
      </c>
      <c r="B3345" s="226" t="str">
        <f>IFERROR(__xludf.DUMMYFUNCTION("""COMPUTED_VALUE"""),"5907615805837")</f>
        <v>5907615805837</v>
      </c>
      <c r="C3345" t="str">
        <f>IFERROR(__xludf.DUMMYFUNCTION("""COMPUTED_VALUE"""),"Steinhof")</f>
        <v>Steinhof</v>
      </c>
    </row>
    <row r="3346">
      <c r="A3346" t="str">
        <f>IFERROR(__xludf.DUMMYFUNCTION("""COMPUTED_VALUE"""),"F-301")</f>
        <v>F-301</v>
      </c>
      <c r="B3346" s="226" t="str">
        <f>IFERROR(__xludf.DUMMYFUNCTION("""COMPUTED_VALUE"""),"5907615805837")</f>
        <v>5907615805837</v>
      </c>
      <c r="C3346" t="str">
        <f>IFERROR(__xludf.DUMMYFUNCTION("""COMPUTED_VALUE"""),"Steinhof")</f>
        <v>Steinhof</v>
      </c>
    </row>
    <row r="3347">
      <c r="A3347" t="str">
        <f>IFERROR(__xludf.DUMMYFUNCTION("""COMPUTED_VALUE"""),"F-302")</f>
        <v>F-302</v>
      </c>
      <c r="B3347" s="226" t="str">
        <f>IFERROR(__xludf.DUMMYFUNCTION("""COMPUTED_VALUE"""),"5907615805844")</f>
        <v>5907615805844</v>
      </c>
      <c r="C3347" t="str">
        <f>IFERROR(__xludf.DUMMYFUNCTION("""COMPUTED_VALUE"""),"Steinhof")</f>
        <v>Steinhof</v>
      </c>
    </row>
    <row r="3348">
      <c r="A3348" t="str">
        <f>IFERROR(__xludf.DUMMYFUNCTION("""COMPUTED_VALUE"""),"F-302")</f>
        <v>F-302</v>
      </c>
      <c r="B3348" s="226" t="str">
        <f>IFERROR(__xludf.DUMMYFUNCTION("""COMPUTED_VALUE"""),"5907615805844")</f>
        <v>5907615805844</v>
      </c>
      <c r="C3348" t="str">
        <f>IFERROR(__xludf.DUMMYFUNCTION("""COMPUTED_VALUE"""),"Steinhof")</f>
        <v>Steinhof</v>
      </c>
    </row>
    <row r="3349">
      <c r="A3349" t="str">
        <f>IFERROR(__xludf.DUMMYFUNCTION("""COMPUTED_VALUE"""),"F-302")</f>
        <v>F-302</v>
      </c>
      <c r="B3349" s="226" t="str">
        <f>IFERROR(__xludf.DUMMYFUNCTION("""COMPUTED_VALUE"""),"5907615805844")</f>
        <v>5907615805844</v>
      </c>
      <c r="C3349" t="str">
        <f>IFERROR(__xludf.DUMMYFUNCTION("""COMPUTED_VALUE"""),"Steinhof")</f>
        <v>Steinhof</v>
      </c>
    </row>
    <row r="3350">
      <c r="A3350" t="str">
        <f>IFERROR(__xludf.DUMMYFUNCTION("""COMPUTED_VALUE"""),"F-302")</f>
        <v>F-302</v>
      </c>
      <c r="B3350" s="226" t="str">
        <f>IFERROR(__xludf.DUMMYFUNCTION("""COMPUTED_VALUE"""),"5907615805844")</f>
        <v>5907615805844</v>
      </c>
      <c r="C3350" t="str">
        <f>IFERROR(__xludf.DUMMYFUNCTION("""COMPUTED_VALUE"""),"Steinhof")</f>
        <v>Steinhof</v>
      </c>
    </row>
    <row r="3351">
      <c r="A3351" t="str">
        <f>IFERROR(__xludf.DUMMYFUNCTION("""COMPUTED_VALUE"""),"F-302")</f>
        <v>F-302</v>
      </c>
      <c r="B3351" s="226" t="str">
        <f>IFERROR(__xludf.DUMMYFUNCTION("""COMPUTED_VALUE"""),"5907615805844")</f>
        <v>5907615805844</v>
      </c>
      <c r="C3351" t="str">
        <f>IFERROR(__xludf.DUMMYFUNCTION("""COMPUTED_VALUE"""),"Steinhof")</f>
        <v>Steinhof</v>
      </c>
    </row>
    <row r="3352">
      <c r="A3352" t="str">
        <f>IFERROR(__xludf.DUMMYFUNCTION("""COMPUTED_VALUE"""),"F-302")</f>
        <v>F-302</v>
      </c>
      <c r="B3352" s="226" t="str">
        <f>IFERROR(__xludf.DUMMYFUNCTION("""COMPUTED_VALUE"""),"5907615805844")</f>
        <v>5907615805844</v>
      </c>
      <c r="C3352" t="str">
        <f>IFERROR(__xludf.DUMMYFUNCTION("""COMPUTED_VALUE"""),"Steinhof")</f>
        <v>Steinhof</v>
      </c>
    </row>
    <row r="3353">
      <c r="A3353" t="str">
        <f>IFERROR(__xludf.DUMMYFUNCTION("""COMPUTED_VALUE"""),"F-303")</f>
        <v>F-303</v>
      </c>
      <c r="B3353" s="226" t="str">
        <f>IFERROR(__xludf.DUMMYFUNCTION("""COMPUTED_VALUE"""),"5907615805851")</f>
        <v>5907615805851</v>
      </c>
      <c r="C3353" t="str">
        <f>IFERROR(__xludf.DUMMYFUNCTION("""COMPUTED_VALUE"""),"Steinhof")</f>
        <v>Steinhof</v>
      </c>
    </row>
    <row r="3354">
      <c r="A3354" t="str">
        <f>IFERROR(__xludf.DUMMYFUNCTION("""COMPUTED_VALUE"""),"F-303")</f>
        <v>F-303</v>
      </c>
      <c r="B3354" s="226" t="str">
        <f>IFERROR(__xludf.DUMMYFUNCTION("""COMPUTED_VALUE"""),"5907615805851")</f>
        <v>5907615805851</v>
      </c>
      <c r="C3354" t="str">
        <f>IFERROR(__xludf.DUMMYFUNCTION("""COMPUTED_VALUE"""),"Steinhof")</f>
        <v>Steinhof</v>
      </c>
    </row>
    <row r="3355">
      <c r="A3355" t="str">
        <f>IFERROR(__xludf.DUMMYFUNCTION("""COMPUTED_VALUE"""),"F-303")</f>
        <v>F-303</v>
      </c>
      <c r="B3355" s="226" t="str">
        <f>IFERROR(__xludf.DUMMYFUNCTION("""COMPUTED_VALUE"""),"5907615805851")</f>
        <v>5907615805851</v>
      </c>
      <c r="C3355" t="str">
        <f>IFERROR(__xludf.DUMMYFUNCTION("""COMPUTED_VALUE"""),"Steinhof")</f>
        <v>Steinhof</v>
      </c>
    </row>
    <row r="3356">
      <c r="A3356" t="str">
        <f>IFERROR(__xludf.DUMMYFUNCTION("""COMPUTED_VALUE"""),"F-303")</f>
        <v>F-303</v>
      </c>
      <c r="B3356" s="226" t="str">
        <f>IFERROR(__xludf.DUMMYFUNCTION("""COMPUTED_VALUE"""),"5907615805851")</f>
        <v>5907615805851</v>
      </c>
      <c r="C3356" t="str">
        <f>IFERROR(__xludf.DUMMYFUNCTION("""COMPUTED_VALUE"""),"Steinhof")</f>
        <v>Steinhof</v>
      </c>
    </row>
    <row r="3357">
      <c r="A3357" t="str">
        <f>IFERROR(__xludf.DUMMYFUNCTION("""COMPUTED_VALUE"""),"F-303")</f>
        <v>F-303</v>
      </c>
      <c r="B3357" s="226" t="str">
        <f>IFERROR(__xludf.DUMMYFUNCTION("""COMPUTED_VALUE"""),"5907615805851")</f>
        <v>5907615805851</v>
      </c>
      <c r="C3357" t="str">
        <f>IFERROR(__xludf.DUMMYFUNCTION("""COMPUTED_VALUE"""),"Steinhof")</f>
        <v>Steinhof</v>
      </c>
    </row>
    <row r="3358">
      <c r="A3358" t="str">
        <f>IFERROR(__xludf.DUMMYFUNCTION("""COMPUTED_VALUE"""),"F-303")</f>
        <v>F-303</v>
      </c>
      <c r="B3358" s="226" t="str">
        <f>IFERROR(__xludf.DUMMYFUNCTION("""COMPUTED_VALUE"""),"5907615805851")</f>
        <v>5907615805851</v>
      </c>
      <c r="C3358" t="str">
        <f>IFERROR(__xludf.DUMMYFUNCTION("""COMPUTED_VALUE"""),"Steinhof")</f>
        <v>Steinhof</v>
      </c>
    </row>
    <row r="3359">
      <c r="A3359" t="str">
        <f>IFERROR(__xludf.DUMMYFUNCTION("""COMPUTED_VALUE"""),"F-304")</f>
        <v>F-304</v>
      </c>
      <c r="B3359" s="226" t="str">
        <f>IFERROR(__xludf.DUMMYFUNCTION("""COMPUTED_VALUE"""),"5907615805868")</f>
        <v>5907615805868</v>
      </c>
      <c r="C3359" t="str">
        <f>IFERROR(__xludf.DUMMYFUNCTION("""COMPUTED_VALUE"""),"Steinhof")</f>
        <v>Steinhof</v>
      </c>
    </row>
    <row r="3360">
      <c r="A3360" t="str">
        <f>IFERROR(__xludf.DUMMYFUNCTION("""COMPUTED_VALUE"""),"F-304")</f>
        <v>F-304</v>
      </c>
      <c r="B3360" s="226" t="str">
        <f>IFERROR(__xludf.DUMMYFUNCTION("""COMPUTED_VALUE"""),"5907615805868")</f>
        <v>5907615805868</v>
      </c>
      <c r="C3360" t="str">
        <f>IFERROR(__xludf.DUMMYFUNCTION("""COMPUTED_VALUE"""),"Steinhof")</f>
        <v>Steinhof</v>
      </c>
    </row>
    <row r="3361">
      <c r="A3361" t="str">
        <f>IFERROR(__xludf.DUMMYFUNCTION("""COMPUTED_VALUE"""),"F-304")</f>
        <v>F-304</v>
      </c>
      <c r="B3361" s="226" t="str">
        <f>IFERROR(__xludf.DUMMYFUNCTION("""COMPUTED_VALUE"""),"5907615805868")</f>
        <v>5907615805868</v>
      </c>
      <c r="C3361" t="str">
        <f>IFERROR(__xludf.DUMMYFUNCTION("""COMPUTED_VALUE"""),"Steinhof")</f>
        <v>Steinhof</v>
      </c>
    </row>
    <row r="3362">
      <c r="A3362" t="str">
        <f>IFERROR(__xludf.DUMMYFUNCTION("""COMPUTED_VALUE"""),"F-304")</f>
        <v>F-304</v>
      </c>
      <c r="B3362" s="226" t="str">
        <f>IFERROR(__xludf.DUMMYFUNCTION("""COMPUTED_VALUE"""),"5907615805868")</f>
        <v>5907615805868</v>
      </c>
      <c r="C3362" t="str">
        <f>IFERROR(__xludf.DUMMYFUNCTION("""COMPUTED_VALUE"""),"Steinhof")</f>
        <v>Steinhof</v>
      </c>
    </row>
    <row r="3363">
      <c r="A3363" t="str">
        <f>IFERROR(__xludf.DUMMYFUNCTION("""COMPUTED_VALUE"""),"F-305")</f>
        <v>F-305</v>
      </c>
      <c r="B3363" s="226" t="str">
        <f>IFERROR(__xludf.DUMMYFUNCTION("""COMPUTED_VALUE"""),"5907615805875")</f>
        <v>5907615805875</v>
      </c>
      <c r="C3363" t="str">
        <f>IFERROR(__xludf.DUMMYFUNCTION("""COMPUTED_VALUE"""),"Steinhof")</f>
        <v>Steinhof</v>
      </c>
    </row>
    <row r="3364">
      <c r="A3364" t="str">
        <f>IFERROR(__xludf.DUMMYFUNCTION("""COMPUTED_VALUE"""),"F-305")</f>
        <v>F-305</v>
      </c>
      <c r="B3364" s="226" t="str">
        <f>IFERROR(__xludf.DUMMYFUNCTION("""COMPUTED_VALUE"""),"5907615805875")</f>
        <v>5907615805875</v>
      </c>
      <c r="C3364" t="str">
        <f>IFERROR(__xludf.DUMMYFUNCTION("""COMPUTED_VALUE"""),"Steinhof")</f>
        <v>Steinhof</v>
      </c>
    </row>
    <row r="3365">
      <c r="A3365" t="str">
        <f>IFERROR(__xludf.DUMMYFUNCTION("""COMPUTED_VALUE"""),"F-305")</f>
        <v>F-305</v>
      </c>
      <c r="B3365" s="226" t="str">
        <f>IFERROR(__xludf.DUMMYFUNCTION("""COMPUTED_VALUE"""),"5907615805875")</f>
        <v>5907615805875</v>
      </c>
      <c r="C3365" t="str">
        <f>IFERROR(__xludf.DUMMYFUNCTION("""COMPUTED_VALUE"""),"Steinhof")</f>
        <v>Steinhof</v>
      </c>
    </row>
    <row r="3366">
      <c r="A3366" t="str">
        <f>IFERROR(__xludf.DUMMYFUNCTION("""COMPUTED_VALUE"""),"F-305")</f>
        <v>F-305</v>
      </c>
      <c r="B3366" s="226" t="str">
        <f>IFERROR(__xludf.DUMMYFUNCTION("""COMPUTED_VALUE"""),"5907615805875")</f>
        <v>5907615805875</v>
      </c>
      <c r="C3366" t="str">
        <f>IFERROR(__xludf.DUMMYFUNCTION("""COMPUTED_VALUE"""),"Steinhof")</f>
        <v>Steinhof</v>
      </c>
    </row>
    <row r="3367">
      <c r="A3367" t="str">
        <f>IFERROR(__xludf.DUMMYFUNCTION("""COMPUTED_VALUE"""),"F-306")</f>
        <v>F-306</v>
      </c>
      <c r="B3367" s="226" t="str">
        <f>IFERROR(__xludf.DUMMYFUNCTION("""COMPUTED_VALUE"""),"5907615805882")</f>
        <v>5907615805882</v>
      </c>
      <c r="C3367" t="str">
        <f>IFERROR(__xludf.DUMMYFUNCTION("""COMPUTED_VALUE"""),"Steinhof")</f>
        <v>Steinhof</v>
      </c>
    </row>
    <row r="3368">
      <c r="A3368" t="str">
        <f>IFERROR(__xludf.DUMMYFUNCTION("""COMPUTED_VALUE"""),"F-306")</f>
        <v>F-306</v>
      </c>
      <c r="B3368" s="226" t="str">
        <f>IFERROR(__xludf.DUMMYFUNCTION("""COMPUTED_VALUE"""),"5907615805882")</f>
        <v>5907615805882</v>
      </c>
      <c r="C3368" t="str">
        <f>IFERROR(__xludf.DUMMYFUNCTION("""COMPUTED_VALUE"""),"Steinhof")</f>
        <v>Steinhof</v>
      </c>
    </row>
    <row r="3369">
      <c r="A3369" t="str">
        <f>IFERROR(__xludf.DUMMYFUNCTION("""COMPUTED_VALUE"""),"F-306")</f>
        <v>F-306</v>
      </c>
      <c r="B3369" s="226" t="str">
        <f>IFERROR(__xludf.DUMMYFUNCTION("""COMPUTED_VALUE"""),"5907615805882")</f>
        <v>5907615805882</v>
      </c>
      <c r="C3369" t="str">
        <f>IFERROR(__xludf.DUMMYFUNCTION("""COMPUTED_VALUE"""),"Steinhof")</f>
        <v>Steinhof</v>
      </c>
    </row>
    <row r="3370">
      <c r="A3370" t="str">
        <f>IFERROR(__xludf.DUMMYFUNCTION("""COMPUTED_VALUE"""),"F-306")</f>
        <v>F-306</v>
      </c>
      <c r="B3370" s="226" t="str">
        <f>IFERROR(__xludf.DUMMYFUNCTION("""COMPUTED_VALUE"""),"5907615805882")</f>
        <v>5907615805882</v>
      </c>
      <c r="C3370" t="str">
        <f>IFERROR(__xludf.DUMMYFUNCTION("""COMPUTED_VALUE"""),"Steinhof")</f>
        <v>Steinhof</v>
      </c>
    </row>
    <row r="3371">
      <c r="A3371" t="str">
        <f>IFERROR(__xludf.DUMMYFUNCTION("""COMPUTED_VALUE"""),"F-307")</f>
        <v>F-307</v>
      </c>
      <c r="B3371" s="226" t="str">
        <f>IFERROR(__xludf.DUMMYFUNCTION("""COMPUTED_VALUE"""),"5907615805899")</f>
        <v>5907615805899</v>
      </c>
      <c r="C3371" t="str">
        <f>IFERROR(__xludf.DUMMYFUNCTION("""COMPUTED_VALUE"""),"Steinhof")</f>
        <v>Steinhof</v>
      </c>
    </row>
    <row r="3372">
      <c r="A3372" t="str">
        <f>IFERROR(__xludf.DUMMYFUNCTION("""COMPUTED_VALUE"""),"H-073")</f>
        <v>H-073</v>
      </c>
      <c r="B3372" s="226" t="str">
        <f>IFERROR(__xludf.DUMMYFUNCTION("""COMPUTED_VALUE"""),"5907615806209")</f>
        <v>5907615806209</v>
      </c>
      <c r="C3372" t="str">
        <f>IFERROR(__xludf.DUMMYFUNCTION("""COMPUTED_VALUE"""),"Steinhof")</f>
        <v>Steinhof</v>
      </c>
    </row>
    <row r="3373">
      <c r="A3373" t="str">
        <f>IFERROR(__xludf.DUMMYFUNCTION("""COMPUTED_VALUE"""),"H-073")</f>
        <v>H-073</v>
      </c>
      <c r="B3373" s="226" t="str">
        <f>IFERROR(__xludf.DUMMYFUNCTION("""COMPUTED_VALUE"""),"5907615806209")</f>
        <v>5907615806209</v>
      </c>
      <c r="C3373" t="str">
        <f>IFERROR(__xludf.DUMMYFUNCTION("""COMPUTED_VALUE"""),"Steinhof")</f>
        <v>Steinhof</v>
      </c>
    </row>
    <row r="3374">
      <c r="A3374" t="str">
        <f>IFERROR(__xludf.DUMMYFUNCTION("""COMPUTED_VALUE"""),"H-074")</f>
        <v>H-074</v>
      </c>
      <c r="B3374" s="226" t="str">
        <f>IFERROR(__xludf.DUMMYFUNCTION("""COMPUTED_VALUE"""),"5907615806216")</f>
        <v>5907615806216</v>
      </c>
      <c r="C3374" t="str">
        <f>IFERROR(__xludf.DUMMYFUNCTION("""COMPUTED_VALUE"""),"Steinhof")</f>
        <v>Steinhof</v>
      </c>
    </row>
    <row r="3375">
      <c r="A3375" t="str">
        <f>IFERROR(__xludf.DUMMYFUNCTION("""COMPUTED_VALUE"""),"H-074")</f>
        <v>H-074</v>
      </c>
      <c r="B3375" s="226" t="str">
        <f>IFERROR(__xludf.DUMMYFUNCTION("""COMPUTED_VALUE"""),"5907615806216")</f>
        <v>5907615806216</v>
      </c>
      <c r="C3375" t="str">
        <f>IFERROR(__xludf.DUMMYFUNCTION("""COMPUTED_VALUE"""),"Steinhof")</f>
        <v>Steinhof</v>
      </c>
    </row>
    <row r="3376">
      <c r="A3376" t="str">
        <f>IFERROR(__xludf.DUMMYFUNCTION("""COMPUTED_VALUE"""),"H-075")</f>
        <v>H-075</v>
      </c>
      <c r="B3376" s="226" t="str">
        <f>IFERROR(__xludf.DUMMYFUNCTION("""COMPUTED_VALUE"""),"5907615806223")</f>
        <v>5907615806223</v>
      </c>
      <c r="C3376" t="str">
        <f>IFERROR(__xludf.DUMMYFUNCTION("""COMPUTED_VALUE"""),"Steinhof")</f>
        <v>Steinhof</v>
      </c>
    </row>
    <row r="3377">
      <c r="A3377" t="str">
        <f>IFERROR(__xludf.DUMMYFUNCTION("""COMPUTED_VALUE"""),"H-076")</f>
        <v>H-076</v>
      </c>
      <c r="B3377" s="226" t="str">
        <f>IFERROR(__xludf.DUMMYFUNCTION("""COMPUTED_VALUE"""),"5907615806230")</f>
        <v>5907615806230</v>
      </c>
      <c r="C3377" t="str">
        <f>IFERROR(__xludf.DUMMYFUNCTION("""COMPUTED_VALUE"""),"Steinhof")</f>
        <v>Steinhof</v>
      </c>
    </row>
    <row r="3378">
      <c r="A3378" t="str">
        <f>IFERROR(__xludf.DUMMYFUNCTION("""COMPUTED_VALUE"""),"H-077")</f>
        <v>H-077</v>
      </c>
      <c r="B3378" s="226" t="str">
        <f>IFERROR(__xludf.DUMMYFUNCTION("""COMPUTED_VALUE"""),"5907615806247")</f>
        <v>5907615806247</v>
      </c>
      <c r="C3378" t="str">
        <f>IFERROR(__xludf.DUMMYFUNCTION("""COMPUTED_VALUE"""),"Steinhof")</f>
        <v>Steinhof</v>
      </c>
    </row>
    <row r="3379">
      <c r="A3379" t="str">
        <f>IFERROR(__xludf.DUMMYFUNCTION("""COMPUTED_VALUE"""),"H-078")</f>
        <v>H-078</v>
      </c>
      <c r="B3379" s="226" t="str">
        <f>IFERROR(__xludf.DUMMYFUNCTION("""COMPUTED_VALUE"""),"5907615806254")</f>
        <v>5907615806254</v>
      </c>
      <c r="C3379" t="str">
        <f>IFERROR(__xludf.DUMMYFUNCTION("""COMPUTED_VALUE"""),"Steinhof")</f>
        <v>Steinhof</v>
      </c>
    </row>
    <row r="3380">
      <c r="A3380" t="str">
        <f>IFERROR(__xludf.DUMMYFUNCTION("""COMPUTED_VALUE"""),"H-079")</f>
        <v>H-079</v>
      </c>
      <c r="B3380" s="226" t="str">
        <f>IFERROR(__xludf.DUMMYFUNCTION("""COMPUTED_VALUE"""),"5907615806261")</f>
        <v>5907615806261</v>
      </c>
      <c r="C3380" t="str">
        <f>IFERROR(__xludf.DUMMYFUNCTION("""COMPUTED_VALUE"""),"Steinhof")</f>
        <v>Steinhof</v>
      </c>
    </row>
    <row r="3381">
      <c r="A3381" t="str">
        <f>IFERROR(__xludf.DUMMYFUNCTION("""COMPUTED_VALUE"""),"H-080")</f>
        <v>H-080</v>
      </c>
      <c r="B3381" s="226" t="str">
        <f>IFERROR(__xludf.DUMMYFUNCTION("""COMPUTED_VALUE"""),"5907615806278")</f>
        <v>5907615806278</v>
      </c>
      <c r="C3381" t="str">
        <f>IFERROR(__xludf.DUMMYFUNCTION("""COMPUTED_VALUE"""),"Steinhof")</f>
        <v>Steinhof</v>
      </c>
    </row>
    <row r="3382">
      <c r="A3382" t="str">
        <f>IFERROR(__xludf.DUMMYFUNCTION("""COMPUTED_VALUE"""),"H-030")</f>
        <v>H-030</v>
      </c>
      <c r="B3382" s="226" t="str">
        <f>IFERROR(__xludf.DUMMYFUNCTION("""COMPUTED_VALUE"""),"5907615806308")</f>
        <v>5907615806308</v>
      </c>
      <c r="C3382" t="str">
        <f>IFERROR(__xludf.DUMMYFUNCTION("""COMPUTED_VALUE"""),"Steinhof")</f>
        <v>Steinhof</v>
      </c>
    </row>
    <row r="3383">
      <c r="A3383" t="str">
        <f>IFERROR(__xludf.DUMMYFUNCTION("""COMPUTED_VALUE"""),"H-030")</f>
        <v>H-030</v>
      </c>
      <c r="B3383" s="226" t="str">
        <f>IFERROR(__xludf.DUMMYFUNCTION("""COMPUTED_VALUE"""),"5907615806308")</f>
        <v>5907615806308</v>
      </c>
      <c r="C3383" t="str">
        <f>IFERROR(__xludf.DUMMYFUNCTION("""COMPUTED_VALUE"""),"Steinhof")</f>
        <v>Steinhof</v>
      </c>
    </row>
    <row r="3384">
      <c r="A3384" t="str">
        <f>IFERROR(__xludf.DUMMYFUNCTION("""COMPUTED_VALUE"""),"H-030")</f>
        <v>H-030</v>
      </c>
      <c r="B3384" s="226" t="str">
        <f>IFERROR(__xludf.DUMMYFUNCTION("""COMPUTED_VALUE"""),"5907615806308")</f>
        <v>5907615806308</v>
      </c>
      <c r="C3384" t="str">
        <f>IFERROR(__xludf.DUMMYFUNCTION("""COMPUTED_VALUE"""),"Steinhof")</f>
        <v>Steinhof</v>
      </c>
    </row>
    <row r="3385">
      <c r="A3385" t="str">
        <f>IFERROR(__xludf.DUMMYFUNCTION("""COMPUTED_VALUE"""),"H-031")</f>
        <v>H-031</v>
      </c>
      <c r="B3385" s="226" t="str">
        <f>IFERROR(__xludf.DUMMYFUNCTION("""COMPUTED_VALUE"""),"5907615806315")</f>
        <v>5907615806315</v>
      </c>
      <c r="C3385" t="str">
        <f>IFERROR(__xludf.DUMMYFUNCTION("""COMPUTED_VALUE"""),"Steinhof")</f>
        <v>Steinhof</v>
      </c>
    </row>
    <row r="3386">
      <c r="A3386" t="str">
        <f>IFERROR(__xludf.DUMMYFUNCTION("""COMPUTED_VALUE"""),"H-031")</f>
        <v>H-031</v>
      </c>
      <c r="B3386" s="226" t="str">
        <f>IFERROR(__xludf.DUMMYFUNCTION("""COMPUTED_VALUE"""),"5907615806315")</f>
        <v>5907615806315</v>
      </c>
      <c r="C3386" t="str">
        <f>IFERROR(__xludf.DUMMYFUNCTION("""COMPUTED_VALUE"""),"Steinhof")</f>
        <v>Steinhof</v>
      </c>
    </row>
    <row r="3387">
      <c r="A3387" t="str">
        <f>IFERROR(__xludf.DUMMYFUNCTION("""COMPUTED_VALUE"""),"H-034")</f>
        <v>H-034</v>
      </c>
      <c r="B3387" s="226" t="str">
        <f>IFERROR(__xludf.DUMMYFUNCTION("""COMPUTED_VALUE"""),"5907615806339")</f>
        <v>5907615806339</v>
      </c>
      <c r="C3387" t="str">
        <f>IFERROR(__xludf.DUMMYFUNCTION("""COMPUTED_VALUE"""),"Steinhof")</f>
        <v>Steinhof</v>
      </c>
    </row>
    <row r="3388">
      <c r="A3388" t="str">
        <f>IFERROR(__xludf.DUMMYFUNCTION("""COMPUTED_VALUE"""),"H-034")</f>
        <v>H-034</v>
      </c>
      <c r="B3388" s="226" t="str">
        <f>IFERROR(__xludf.DUMMYFUNCTION("""COMPUTED_VALUE"""),"5907615806339")</f>
        <v>5907615806339</v>
      </c>
      <c r="C3388" t="str">
        <f>IFERROR(__xludf.DUMMYFUNCTION("""COMPUTED_VALUE"""),"Steinhof")</f>
        <v>Steinhof</v>
      </c>
    </row>
    <row r="3389">
      <c r="A3389" t="str">
        <f>IFERROR(__xludf.DUMMYFUNCTION("""COMPUTED_VALUE"""),"H-038")</f>
        <v>H-038</v>
      </c>
      <c r="B3389" s="226" t="str">
        <f>IFERROR(__xludf.DUMMYFUNCTION("""COMPUTED_VALUE"""),"5907615806360")</f>
        <v>5907615806360</v>
      </c>
      <c r="C3389" t="str">
        <f>IFERROR(__xludf.DUMMYFUNCTION("""COMPUTED_VALUE"""),"Steinhof")</f>
        <v>Steinhof</v>
      </c>
    </row>
    <row r="3390">
      <c r="A3390" t="str">
        <f>IFERROR(__xludf.DUMMYFUNCTION("""COMPUTED_VALUE"""),"H-038")</f>
        <v>H-038</v>
      </c>
      <c r="B3390" s="226" t="str">
        <f>IFERROR(__xludf.DUMMYFUNCTION("""COMPUTED_VALUE"""),"5907615806360")</f>
        <v>5907615806360</v>
      </c>
      <c r="C3390" t="str">
        <f>IFERROR(__xludf.DUMMYFUNCTION("""COMPUTED_VALUE"""),"Steinhof")</f>
        <v>Steinhof</v>
      </c>
    </row>
    <row r="3391">
      <c r="A3391" t="str">
        <f>IFERROR(__xludf.DUMMYFUNCTION("""COMPUTED_VALUE"""),"H-039")</f>
        <v>H-039</v>
      </c>
      <c r="B3391" s="226" t="str">
        <f>IFERROR(__xludf.DUMMYFUNCTION("""COMPUTED_VALUE"""),"5907615806377")</f>
        <v>5907615806377</v>
      </c>
      <c r="C3391" t="str">
        <f>IFERROR(__xludf.DUMMYFUNCTION("""COMPUTED_VALUE"""),"Steinhof")</f>
        <v>Steinhof</v>
      </c>
    </row>
    <row r="3392">
      <c r="A3392" t="str">
        <f>IFERROR(__xludf.DUMMYFUNCTION("""COMPUTED_VALUE"""),"H-039")</f>
        <v>H-039</v>
      </c>
      <c r="B3392" s="226" t="str">
        <f>IFERROR(__xludf.DUMMYFUNCTION("""COMPUTED_VALUE"""),"5907615806377")</f>
        <v>5907615806377</v>
      </c>
      <c r="C3392" t="str">
        <f>IFERROR(__xludf.DUMMYFUNCTION("""COMPUTED_VALUE"""),"Steinhof")</f>
        <v>Steinhof</v>
      </c>
    </row>
    <row r="3393">
      <c r="A3393" t="str">
        <f>IFERROR(__xludf.DUMMYFUNCTION("""COMPUTED_VALUE"""),"H-040")</f>
        <v>H-040</v>
      </c>
      <c r="B3393" s="226" t="str">
        <f>IFERROR(__xludf.DUMMYFUNCTION("""COMPUTED_VALUE"""),"5907615806384")</f>
        <v>5907615806384</v>
      </c>
      <c r="C3393" t="str">
        <f>IFERROR(__xludf.DUMMYFUNCTION("""COMPUTED_VALUE"""),"Steinhof")</f>
        <v>Steinhof</v>
      </c>
    </row>
    <row r="3394">
      <c r="A3394" t="str">
        <f>IFERROR(__xludf.DUMMYFUNCTION("""COMPUTED_VALUE"""),"H-040")</f>
        <v>H-040</v>
      </c>
      <c r="B3394" s="226" t="str">
        <f>IFERROR(__xludf.DUMMYFUNCTION("""COMPUTED_VALUE"""),"5907615806384")</f>
        <v>5907615806384</v>
      </c>
      <c r="C3394" t="str">
        <f>IFERROR(__xludf.DUMMYFUNCTION("""COMPUTED_VALUE"""),"Steinhof")</f>
        <v>Steinhof</v>
      </c>
    </row>
    <row r="3395">
      <c r="A3395" t="str">
        <f>IFERROR(__xludf.DUMMYFUNCTION("""COMPUTED_VALUE"""),"H-041")</f>
        <v>H-041</v>
      </c>
      <c r="B3395" s="226" t="str">
        <f>IFERROR(__xludf.DUMMYFUNCTION("""COMPUTED_VALUE"""),"5907615806391")</f>
        <v>5907615806391</v>
      </c>
      <c r="C3395" t="str">
        <f>IFERROR(__xludf.DUMMYFUNCTION("""COMPUTED_VALUE"""),"Steinhof")</f>
        <v>Steinhof</v>
      </c>
    </row>
    <row r="3396">
      <c r="A3396" t="str">
        <f>IFERROR(__xludf.DUMMYFUNCTION("""COMPUTED_VALUE"""),"H-041")</f>
        <v>H-041</v>
      </c>
      <c r="B3396" s="226" t="str">
        <f>IFERROR(__xludf.DUMMYFUNCTION("""COMPUTED_VALUE"""),"5907615806391")</f>
        <v>5907615806391</v>
      </c>
      <c r="C3396" t="str">
        <f>IFERROR(__xludf.DUMMYFUNCTION("""COMPUTED_VALUE"""),"Steinhof")</f>
        <v>Steinhof</v>
      </c>
    </row>
    <row r="3397">
      <c r="A3397" t="str">
        <f>IFERROR(__xludf.DUMMYFUNCTION("""COMPUTED_VALUE"""),"H-042")</f>
        <v>H-042</v>
      </c>
      <c r="B3397" s="226" t="str">
        <f>IFERROR(__xludf.DUMMYFUNCTION("""COMPUTED_VALUE"""),"5907615806407")</f>
        <v>5907615806407</v>
      </c>
      <c r="C3397" t="str">
        <f>IFERROR(__xludf.DUMMYFUNCTION("""COMPUTED_VALUE"""),"Steinhof")</f>
        <v>Steinhof</v>
      </c>
    </row>
    <row r="3398">
      <c r="A3398" t="str">
        <f>IFERROR(__xludf.DUMMYFUNCTION("""COMPUTED_VALUE"""),"H-043")</f>
        <v>H-043</v>
      </c>
      <c r="B3398" s="226" t="str">
        <f>IFERROR(__xludf.DUMMYFUNCTION("""COMPUTED_VALUE"""),"5907615806414")</f>
        <v>5907615806414</v>
      </c>
      <c r="C3398" t="str">
        <f>IFERROR(__xludf.DUMMYFUNCTION("""COMPUTED_VALUE"""),"Steinhof")</f>
        <v>Steinhof</v>
      </c>
    </row>
    <row r="3399">
      <c r="A3399" t="str">
        <f>IFERROR(__xludf.DUMMYFUNCTION("""COMPUTED_VALUE"""),"H-043")</f>
        <v>H-043</v>
      </c>
      <c r="B3399" s="226" t="str">
        <f>IFERROR(__xludf.DUMMYFUNCTION("""COMPUTED_VALUE"""),"5907615806414")</f>
        <v>5907615806414</v>
      </c>
      <c r="C3399" t="str">
        <f>IFERROR(__xludf.DUMMYFUNCTION("""COMPUTED_VALUE"""),"Steinhof")</f>
        <v>Steinhof</v>
      </c>
    </row>
    <row r="3400">
      <c r="A3400" t="str">
        <f>IFERROR(__xludf.DUMMYFUNCTION("""COMPUTED_VALUE"""),"H-044")</f>
        <v>H-044</v>
      </c>
      <c r="B3400" s="226" t="str">
        <f>IFERROR(__xludf.DUMMYFUNCTION("""COMPUTED_VALUE"""),"5907615806421")</f>
        <v>5907615806421</v>
      </c>
      <c r="C3400" t="str">
        <f>IFERROR(__xludf.DUMMYFUNCTION("""COMPUTED_VALUE"""),"Steinhof")</f>
        <v>Steinhof</v>
      </c>
    </row>
    <row r="3401">
      <c r="A3401" t="str">
        <f>IFERROR(__xludf.DUMMYFUNCTION("""COMPUTED_VALUE"""),"H-045")</f>
        <v>H-045</v>
      </c>
      <c r="B3401" s="226" t="str">
        <f>IFERROR(__xludf.DUMMYFUNCTION("""COMPUTED_VALUE"""),"5907615806438")</f>
        <v>5907615806438</v>
      </c>
      <c r="C3401" t="str">
        <f>IFERROR(__xludf.DUMMYFUNCTION("""COMPUTED_VALUE"""),"Steinhof")</f>
        <v>Steinhof</v>
      </c>
    </row>
    <row r="3402">
      <c r="A3402" t="str">
        <f>IFERROR(__xludf.DUMMYFUNCTION("""COMPUTED_VALUE"""),"H-046")</f>
        <v>H-046</v>
      </c>
      <c r="B3402" s="226" t="str">
        <f>IFERROR(__xludf.DUMMYFUNCTION("""COMPUTED_VALUE"""),"5907615806445")</f>
        <v>5907615806445</v>
      </c>
      <c r="C3402" t="str">
        <f>IFERROR(__xludf.DUMMYFUNCTION("""COMPUTED_VALUE"""),"Steinhof")</f>
        <v>Steinhof</v>
      </c>
    </row>
    <row r="3403">
      <c r="A3403" t="str">
        <f>IFERROR(__xludf.DUMMYFUNCTION("""COMPUTED_VALUE"""),"H-046")</f>
        <v>H-046</v>
      </c>
      <c r="B3403" s="226" t="str">
        <f>IFERROR(__xludf.DUMMYFUNCTION("""COMPUTED_VALUE"""),"5907615806445")</f>
        <v>5907615806445</v>
      </c>
      <c r="C3403" t="str">
        <f>IFERROR(__xludf.DUMMYFUNCTION("""COMPUTED_VALUE"""),"Steinhof")</f>
        <v>Steinhof</v>
      </c>
    </row>
    <row r="3404">
      <c r="A3404" t="str">
        <f>IFERROR(__xludf.DUMMYFUNCTION("""COMPUTED_VALUE"""),"H-047")</f>
        <v>H-047</v>
      </c>
      <c r="B3404" s="226" t="str">
        <f>IFERROR(__xludf.DUMMYFUNCTION("""COMPUTED_VALUE"""),"5907615806452")</f>
        <v>5907615806452</v>
      </c>
      <c r="C3404" t="str">
        <f>IFERROR(__xludf.DUMMYFUNCTION("""COMPUTED_VALUE"""),"Steinhof")</f>
        <v>Steinhof</v>
      </c>
    </row>
    <row r="3405">
      <c r="A3405" t="str">
        <f>IFERROR(__xludf.DUMMYFUNCTION("""COMPUTED_VALUE"""),"H-047")</f>
        <v>H-047</v>
      </c>
      <c r="B3405" s="226" t="str">
        <f>IFERROR(__xludf.DUMMYFUNCTION("""COMPUTED_VALUE"""),"5907615806452")</f>
        <v>5907615806452</v>
      </c>
      <c r="C3405" t="str">
        <f>IFERROR(__xludf.DUMMYFUNCTION("""COMPUTED_VALUE"""),"Steinhof")</f>
        <v>Steinhof</v>
      </c>
    </row>
    <row r="3406">
      <c r="A3406" t="str">
        <f>IFERROR(__xludf.DUMMYFUNCTION("""COMPUTED_VALUE"""),"H-048")</f>
        <v>H-048</v>
      </c>
      <c r="B3406" s="226" t="str">
        <f>IFERROR(__xludf.DUMMYFUNCTION("""COMPUTED_VALUE"""),"5907615806469")</f>
        <v>5907615806469</v>
      </c>
      <c r="C3406" t="str">
        <f>IFERROR(__xludf.DUMMYFUNCTION("""COMPUTED_VALUE"""),"Steinhof")</f>
        <v>Steinhof</v>
      </c>
    </row>
    <row r="3407">
      <c r="A3407" t="str">
        <f>IFERROR(__xludf.DUMMYFUNCTION("""COMPUTED_VALUE"""),"H-048")</f>
        <v>H-048</v>
      </c>
      <c r="B3407" s="226" t="str">
        <f>IFERROR(__xludf.DUMMYFUNCTION("""COMPUTED_VALUE"""),"5907615806469")</f>
        <v>5907615806469</v>
      </c>
      <c r="C3407" t="str">
        <f>IFERROR(__xludf.DUMMYFUNCTION("""COMPUTED_VALUE"""),"Steinhof")</f>
        <v>Steinhof</v>
      </c>
    </row>
    <row r="3408">
      <c r="A3408" t="str">
        <f>IFERROR(__xludf.DUMMYFUNCTION("""COMPUTED_VALUE"""),"H-049")</f>
        <v>H-049</v>
      </c>
      <c r="B3408" s="226" t="str">
        <f>IFERROR(__xludf.DUMMYFUNCTION("""COMPUTED_VALUE"""),"5907615806476")</f>
        <v>5907615806476</v>
      </c>
      <c r="C3408" t="str">
        <f>IFERROR(__xludf.DUMMYFUNCTION("""COMPUTED_VALUE"""),"Steinhof")</f>
        <v>Steinhof</v>
      </c>
    </row>
    <row r="3409">
      <c r="A3409" t="str">
        <f>IFERROR(__xludf.DUMMYFUNCTION("""COMPUTED_VALUE"""),"H-049")</f>
        <v>H-049</v>
      </c>
      <c r="B3409" s="226" t="str">
        <f>IFERROR(__xludf.DUMMYFUNCTION("""COMPUTED_VALUE"""),"5907615806476")</f>
        <v>5907615806476</v>
      </c>
      <c r="C3409" t="str">
        <f>IFERROR(__xludf.DUMMYFUNCTION("""COMPUTED_VALUE"""),"Steinhof")</f>
        <v>Steinhof</v>
      </c>
    </row>
    <row r="3410">
      <c r="A3410" t="str">
        <f>IFERROR(__xludf.DUMMYFUNCTION("""COMPUTED_VALUE"""),"H-050")</f>
        <v>H-050</v>
      </c>
      <c r="B3410" s="226" t="str">
        <f>IFERROR(__xludf.DUMMYFUNCTION("""COMPUTED_VALUE"""),"5907615806483")</f>
        <v>5907615806483</v>
      </c>
      <c r="C3410" t="str">
        <f>IFERROR(__xludf.DUMMYFUNCTION("""COMPUTED_VALUE"""),"Steinhof")</f>
        <v>Steinhof</v>
      </c>
    </row>
    <row r="3411">
      <c r="A3411" t="str">
        <f>IFERROR(__xludf.DUMMYFUNCTION("""COMPUTED_VALUE"""),"H-050")</f>
        <v>H-050</v>
      </c>
      <c r="B3411" s="226" t="str">
        <f>IFERROR(__xludf.DUMMYFUNCTION("""COMPUTED_VALUE"""),"5907615806483")</f>
        <v>5907615806483</v>
      </c>
      <c r="C3411" t="str">
        <f>IFERROR(__xludf.DUMMYFUNCTION("""COMPUTED_VALUE"""),"Steinhof")</f>
        <v>Steinhof</v>
      </c>
    </row>
    <row r="3412">
      <c r="A3412" t="str">
        <f>IFERROR(__xludf.DUMMYFUNCTION("""COMPUTED_VALUE"""),"H-051")</f>
        <v>H-051</v>
      </c>
      <c r="B3412" s="226" t="str">
        <f>IFERROR(__xludf.DUMMYFUNCTION("""COMPUTED_VALUE"""),"5907615806490")</f>
        <v>5907615806490</v>
      </c>
      <c r="C3412" t="str">
        <f>IFERROR(__xludf.DUMMYFUNCTION("""COMPUTED_VALUE"""),"Steinhof")</f>
        <v>Steinhof</v>
      </c>
    </row>
    <row r="3413">
      <c r="A3413" t="str">
        <f>IFERROR(__xludf.DUMMYFUNCTION("""COMPUTED_VALUE"""),"H-051")</f>
        <v>H-051</v>
      </c>
      <c r="B3413" s="226" t="str">
        <f>IFERROR(__xludf.DUMMYFUNCTION("""COMPUTED_VALUE"""),"5907615806490")</f>
        <v>5907615806490</v>
      </c>
      <c r="C3413" t="str">
        <f>IFERROR(__xludf.DUMMYFUNCTION("""COMPUTED_VALUE"""),"Steinhof")</f>
        <v>Steinhof</v>
      </c>
    </row>
    <row r="3414">
      <c r="A3414" t="str">
        <f>IFERROR(__xludf.DUMMYFUNCTION("""COMPUTED_VALUE"""),"H-052")</f>
        <v>H-052</v>
      </c>
      <c r="B3414" s="226" t="str">
        <f>IFERROR(__xludf.DUMMYFUNCTION("""COMPUTED_VALUE"""),"5907615806506")</f>
        <v>5907615806506</v>
      </c>
      <c r="C3414" t="str">
        <f>IFERROR(__xludf.DUMMYFUNCTION("""COMPUTED_VALUE"""),"Steinhof")</f>
        <v>Steinhof</v>
      </c>
    </row>
    <row r="3415">
      <c r="A3415" t="str">
        <f>IFERROR(__xludf.DUMMYFUNCTION("""COMPUTED_VALUE"""),"H-053")</f>
        <v>H-053</v>
      </c>
      <c r="B3415" s="226" t="str">
        <f>IFERROR(__xludf.DUMMYFUNCTION("""COMPUTED_VALUE"""),"5907615806513")</f>
        <v>5907615806513</v>
      </c>
      <c r="C3415" t="str">
        <f>IFERROR(__xludf.DUMMYFUNCTION("""COMPUTED_VALUE"""),"Steinhof")</f>
        <v>Steinhof</v>
      </c>
    </row>
    <row r="3416">
      <c r="A3416" t="str">
        <f>IFERROR(__xludf.DUMMYFUNCTION("""COMPUTED_VALUE"""),"H-055")</f>
        <v>H-055</v>
      </c>
      <c r="B3416" s="226" t="str">
        <f>IFERROR(__xludf.DUMMYFUNCTION("""COMPUTED_VALUE"""),"5907615806537")</f>
        <v>5907615806537</v>
      </c>
      <c r="C3416" t="str">
        <f>IFERROR(__xludf.DUMMYFUNCTION("""COMPUTED_VALUE"""),"Steinhof")</f>
        <v>Steinhof</v>
      </c>
    </row>
    <row r="3417">
      <c r="A3417" t="str">
        <f>IFERROR(__xludf.DUMMYFUNCTION("""COMPUTED_VALUE"""),"H-055")</f>
        <v>H-055</v>
      </c>
      <c r="B3417" s="226" t="str">
        <f>IFERROR(__xludf.DUMMYFUNCTION("""COMPUTED_VALUE"""),"5907615806537")</f>
        <v>5907615806537</v>
      </c>
      <c r="C3417" t="str">
        <f>IFERROR(__xludf.DUMMYFUNCTION("""COMPUTED_VALUE"""),"Steinhof")</f>
        <v>Steinhof</v>
      </c>
    </row>
    <row r="3418">
      <c r="A3418" t="str">
        <f>IFERROR(__xludf.DUMMYFUNCTION("""COMPUTED_VALUE"""),"H-056")</f>
        <v>H-056</v>
      </c>
      <c r="B3418" s="226" t="str">
        <f>IFERROR(__xludf.DUMMYFUNCTION("""COMPUTED_VALUE"""),"5907615806544")</f>
        <v>5907615806544</v>
      </c>
      <c r="C3418" t="str">
        <f>IFERROR(__xludf.DUMMYFUNCTION("""COMPUTED_VALUE"""),"Steinhof")</f>
        <v>Steinhof</v>
      </c>
    </row>
    <row r="3419">
      <c r="A3419" t="str">
        <f>IFERROR(__xludf.DUMMYFUNCTION("""COMPUTED_VALUE"""),"H-056")</f>
        <v>H-056</v>
      </c>
      <c r="B3419" s="226" t="str">
        <f>IFERROR(__xludf.DUMMYFUNCTION("""COMPUTED_VALUE"""),"5907615806544")</f>
        <v>5907615806544</v>
      </c>
      <c r="C3419" t="str">
        <f>IFERROR(__xludf.DUMMYFUNCTION("""COMPUTED_VALUE"""),"Steinhof")</f>
        <v>Steinhof</v>
      </c>
    </row>
    <row r="3420">
      <c r="A3420" t="str">
        <f>IFERROR(__xludf.DUMMYFUNCTION("""COMPUTED_VALUE"""),"H-057")</f>
        <v>H-057</v>
      </c>
      <c r="B3420" s="226" t="str">
        <f>IFERROR(__xludf.DUMMYFUNCTION("""COMPUTED_VALUE"""),"5907615806551")</f>
        <v>5907615806551</v>
      </c>
      <c r="C3420" t="str">
        <f>IFERROR(__xludf.DUMMYFUNCTION("""COMPUTED_VALUE"""),"Steinhof")</f>
        <v>Steinhof</v>
      </c>
    </row>
    <row r="3421">
      <c r="A3421" t="str">
        <f>IFERROR(__xludf.DUMMYFUNCTION("""COMPUTED_VALUE"""),"H-057")</f>
        <v>H-057</v>
      </c>
      <c r="B3421" s="226" t="str">
        <f>IFERROR(__xludf.DUMMYFUNCTION("""COMPUTED_VALUE"""),"5907615806551")</f>
        <v>5907615806551</v>
      </c>
      <c r="C3421" t="str">
        <f>IFERROR(__xludf.DUMMYFUNCTION("""COMPUTED_VALUE"""),"Steinhof")</f>
        <v>Steinhof</v>
      </c>
    </row>
    <row r="3422">
      <c r="A3422" t="str">
        <f>IFERROR(__xludf.DUMMYFUNCTION("""COMPUTED_VALUE"""),"H-057")</f>
        <v>H-057</v>
      </c>
      <c r="B3422" s="226" t="str">
        <f>IFERROR(__xludf.DUMMYFUNCTION("""COMPUTED_VALUE"""),"5907615806551")</f>
        <v>5907615806551</v>
      </c>
      <c r="C3422" t="str">
        <f>IFERROR(__xludf.DUMMYFUNCTION("""COMPUTED_VALUE"""),"Steinhof")</f>
        <v>Steinhof</v>
      </c>
    </row>
    <row r="3423">
      <c r="A3423" t="str">
        <f>IFERROR(__xludf.DUMMYFUNCTION("""COMPUTED_VALUE"""),"H-057")</f>
        <v>H-057</v>
      </c>
      <c r="B3423" s="226" t="str">
        <f>IFERROR(__xludf.DUMMYFUNCTION("""COMPUTED_VALUE"""),"5907615806551")</f>
        <v>5907615806551</v>
      </c>
      <c r="C3423" t="str">
        <f>IFERROR(__xludf.DUMMYFUNCTION("""COMPUTED_VALUE"""),"Steinhof")</f>
        <v>Steinhof</v>
      </c>
    </row>
    <row r="3424">
      <c r="A3424" t="str">
        <f>IFERROR(__xludf.DUMMYFUNCTION("""COMPUTED_VALUE"""),"H-058")</f>
        <v>H-058</v>
      </c>
      <c r="B3424" s="226" t="str">
        <f>IFERROR(__xludf.DUMMYFUNCTION("""COMPUTED_VALUE"""),"5907615806568")</f>
        <v>5907615806568</v>
      </c>
      <c r="C3424" t="str">
        <f>IFERROR(__xludf.DUMMYFUNCTION("""COMPUTED_VALUE"""),"Steinhof")</f>
        <v>Steinhof</v>
      </c>
    </row>
    <row r="3425">
      <c r="A3425" t="str">
        <f>IFERROR(__xludf.DUMMYFUNCTION("""COMPUTED_VALUE"""),"H-058")</f>
        <v>H-058</v>
      </c>
      <c r="B3425" s="226" t="str">
        <f>IFERROR(__xludf.DUMMYFUNCTION("""COMPUTED_VALUE"""),"5907615806568")</f>
        <v>5907615806568</v>
      </c>
      <c r="C3425" t="str">
        <f>IFERROR(__xludf.DUMMYFUNCTION("""COMPUTED_VALUE"""),"Steinhof")</f>
        <v>Steinhof</v>
      </c>
    </row>
    <row r="3426">
      <c r="A3426" t="str">
        <f>IFERROR(__xludf.DUMMYFUNCTION("""COMPUTED_VALUE"""),"H-058")</f>
        <v>H-058</v>
      </c>
      <c r="B3426" s="226" t="str">
        <f>IFERROR(__xludf.DUMMYFUNCTION("""COMPUTED_VALUE"""),"5907615806568")</f>
        <v>5907615806568</v>
      </c>
      <c r="C3426" t="str">
        <f>IFERROR(__xludf.DUMMYFUNCTION("""COMPUTED_VALUE"""),"Steinhof")</f>
        <v>Steinhof</v>
      </c>
    </row>
    <row r="3427">
      <c r="A3427" t="str">
        <f>IFERROR(__xludf.DUMMYFUNCTION("""COMPUTED_VALUE"""),"H-058")</f>
        <v>H-058</v>
      </c>
      <c r="B3427" s="226" t="str">
        <f>IFERROR(__xludf.DUMMYFUNCTION("""COMPUTED_VALUE"""),"5907615806568")</f>
        <v>5907615806568</v>
      </c>
      <c r="C3427" t="str">
        <f>IFERROR(__xludf.DUMMYFUNCTION("""COMPUTED_VALUE"""),"Steinhof")</f>
        <v>Steinhof</v>
      </c>
    </row>
    <row r="3428">
      <c r="A3428" t="str">
        <f>IFERROR(__xludf.DUMMYFUNCTION("""COMPUTED_VALUE"""),"H-059")</f>
        <v>H-059</v>
      </c>
      <c r="B3428" s="226" t="str">
        <f>IFERROR(__xludf.DUMMYFUNCTION("""COMPUTED_VALUE"""),"5907615806575")</f>
        <v>5907615806575</v>
      </c>
      <c r="C3428" t="str">
        <f>IFERROR(__xludf.DUMMYFUNCTION("""COMPUTED_VALUE"""),"Steinhof")</f>
        <v>Steinhof</v>
      </c>
    </row>
    <row r="3429">
      <c r="A3429" t="str">
        <f>IFERROR(__xludf.DUMMYFUNCTION("""COMPUTED_VALUE"""),"H-059")</f>
        <v>H-059</v>
      </c>
      <c r="B3429" s="226" t="str">
        <f>IFERROR(__xludf.DUMMYFUNCTION("""COMPUTED_VALUE"""),"5907615806575")</f>
        <v>5907615806575</v>
      </c>
      <c r="C3429" t="str">
        <f>IFERROR(__xludf.DUMMYFUNCTION("""COMPUTED_VALUE"""),"Steinhof")</f>
        <v>Steinhof</v>
      </c>
    </row>
    <row r="3430">
      <c r="A3430" t="str">
        <f>IFERROR(__xludf.DUMMYFUNCTION("""COMPUTED_VALUE"""),"H-060")</f>
        <v>H-060</v>
      </c>
      <c r="B3430" s="226" t="str">
        <f>IFERROR(__xludf.DUMMYFUNCTION("""COMPUTED_VALUE"""),"5907615806582")</f>
        <v>5907615806582</v>
      </c>
      <c r="C3430" t="str">
        <f>IFERROR(__xludf.DUMMYFUNCTION("""COMPUTED_VALUE"""),"Steinhof")</f>
        <v>Steinhof</v>
      </c>
    </row>
    <row r="3431">
      <c r="A3431" t="str">
        <f>IFERROR(__xludf.DUMMYFUNCTION("""COMPUTED_VALUE"""),"H-060")</f>
        <v>H-060</v>
      </c>
      <c r="B3431" s="226" t="str">
        <f>IFERROR(__xludf.DUMMYFUNCTION("""COMPUTED_VALUE"""),"5907615806582")</f>
        <v>5907615806582</v>
      </c>
      <c r="C3431" t="str">
        <f>IFERROR(__xludf.DUMMYFUNCTION("""COMPUTED_VALUE"""),"Steinhof")</f>
        <v>Steinhof</v>
      </c>
    </row>
    <row r="3432">
      <c r="A3432" t="str">
        <f>IFERROR(__xludf.DUMMYFUNCTION("""COMPUTED_VALUE"""),"H-061")</f>
        <v>H-061</v>
      </c>
      <c r="B3432" s="226" t="str">
        <f>IFERROR(__xludf.DUMMYFUNCTION("""COMPUTED_VALUE"""),"5907615806599")</f>
        <v>5907615806599</v>
      </c>
      <c r="C3432" t="str">
        <f>IFERROR(__xludf.DUMMYFUNCTION("""COMPUTED_VALUE"""),"Steinhof")</f>
        <v>Steinhof</v>
      </c>
    </row>
    <row r="3433">
      <c r="A3433" t="str">
        <f>IFERROR(__xludf.DUMMYFUNCTION("""COMPUTED_VALUE"""),"H-061")</f>
        <v>H-061</v>
      </c>
      <c r="B3433" s="226" t="str">
        <f>IFERROR(__xludf.DUMMYFUNCTION("""COMPUTED_VALUE"""),"5907615806599")</f>
        <v>5907615806599</v>
      </c>
      <c r="C3433" t="str">
        <f>IFERROR(__xludf.DUMMYFUNCTION("""COMPUTED_VALUE"""),"Steinhof")</f>
        <v>Steinhof</v>
      </c>
    </row>
    <row r="3434">
      <c r="A3434" t="str">
        <f>IFERROR(__xludf.DUMMYFUNCTION("""COMPUTED_VALUE"""),"H-062")</f>
        <v>H-062</v>
      </c>
      <c r="B3434" s="226" t="str">
        <f>IFERROR(__xludf.DUMMYFUNCTION("""COMPUTED_VALUE"""),"5907615806605")</f>
        <v>5907615806605</v>
      </c>
      <c r="C3434" t="str">
        <f>IFERROR(__xludf.DUMMYFUNCTION("""COMPUTED_VALUE"""),"Steinhof")</f>
        <v>Steinhof</v>
      </c>
    </row>
    <row r="3435">
      <c r="A3435" t="str">
        <f>IFERROR(__xludf.DUMMYFUNCTION("""COMPUTED_VALUE"""),"H-062")</f>
        <v>H-062</v>
      </c>
      <c r="B3435" s="226" t="str">
        <f>IFERROR(__xludf.DUMMYFUNCTION("""COMPUTED_VALUE"""),"5907615806605")</f>
        <v>5907615806605</v>
      </c>
      <c r="C3435" t="str">
        <f>IFERROR(__xludf.DUMMYFUNCTION("""COMPUTED_VALUE"""),"Steinhof")</f>
        <v>Steinhof</v>
      </c>
    </row>
    <row r="3436">
      <c r="A3436" t="str">
        <f>IFERROR(__xludf.DUMMYFUNCTION("""COMPUTED_VALUE"""),"H-063")</f>
        <v>H-063</v>
      </c>
      <c r="B3436" s="226" t="str">
        <f>IFERROR(__xludf.DUMMYFUNCTION("""COMPUTED_VALUE"""),"5907615806612")</f>
        <v>5907615806612</v>
      </c>
      <c r="C3436" t="str">
        <f>IFERROR(__xludf.DUMMYFUNCTION("""COMPUTED_VALUE"""),"Steinhof")</f>
        <v>Steinhof</v>
      </c>
    </row>
    <row r="3437">
      <c r="A3437" t="str">
        <f>IFERROR(__xludf.DUMMYFUNCTION("""COMPUTED_VALUE"""),"H-063")</f>
        <v>H-063</v>
      </c>
      <c r="B3437" s="226" t="str">
        <f>IFERROR(__xludf.DUMMYFUNCTION("""COMPUTED_VALUE"""),"5907615806612")</f>
        <v>5907615806612</v>
      </c>
      <c r="C3437" t="str">
        <f>IFERROR(__xludf.DUMMYFUNCTION("""COMPUTED_VALUE"""),"Steinhof")</f>
        <v>Steinhof</v>
      </c>
    </row>
    <row r="3438">
      <c r="A3438" t="str">
        <f>IFERROR(__xludf.DUMMYFUNCTION("""COMPUTED_VALUE"""),"H-064")</f>
        <v>H-064</v>
      </c>
      <c r="B3438" s="226" t="str">
        <f>IFERROR(__xludf.DUMMYFUNCTION("""COMPUTED_VALUE"""),"5907615806629")</f>
        <v>5907615806629</v>
      </c>
      <c r="C3438" t="str">
        <f>IFERROR(__xludf.DUMMYFUNCTION("""COMPUTED_VALUE"""),"Steinhof")</f>
        <v>Steinhof</v>
      </c>
    </row>
    <row r="3439">
      <c r="A3439" t="str">
        <f>IFERROR(__xludf.DUMMYFUNCTION("""COMPUTED_VALUE"""),"H-064")</f>
        <v>H-064</v>
      </c>
      <c r="B3439" s="226" t="str">
        <f>IFERROR(__xludf.DUMMYFUNCTION("""COMPUTED_VALUE"""),"5907615806629")</f>
        <v>5907615806629</v>
      </c>
      <c r="C3439" t="str">
        <f>IFERROR(__xludf.DUMMYFUNCTION("""COMPUTED_VALUE"""),"Steinhof")</f>
        <v>Steinhof</v>
      </c>
    </row>
    <row r="3440">
      <c r="A3440" t="str">
        <f>IFERROR(__xludf.DUMMYFUNCTION("""COMPUTED_VALUE"""),"H-065")</f>
        <v>H-065</v>
      </c>
      <c r="B3440" s="226" t="str">
        <f>IFERROR(__xludf.DUMMYFUNCTION("""COMPUTED_VALUE"""),"5907615806636")</f>
        <v>5907615806636</v>
      </c>
      <c r="C3440" t="str">
        <f>IFERROR(__xludf.DUMMYFUNCTION("""COMPUTED_VALUE"""),"Steinhof")</f>
        <v>Steinhof</v>
      </c>
    </row>
    <row r="3441">
      <c r="A3441" t="str">
        <f>IFERROR(__xludf.DUMMYFUNCTION("""COMPUTED_VALUE"""),"H-065")</f>
        <v>H-065</v>
      </c>
      <c r="B3441" s="226" t="str">
        <f>IFERROR(__xludf.DUMMYFUNCTION("""COMPUTED_VALUE"""),"5907615806636")</f>
        <v>5907615806636</v>
      </c>
      <c r="C3441" t="str">
        <f>IFERROR(__xludf.DUMMYFUNCTION("""COMPUTED_VALUE"""),"Steinhof")</f>
        <v>Steinhof</v>
      </c>
    </row>
    <row r="3442">
      <c r="A3442" t="str">
        <f>IFERROR(__xludf.DUMMYFUNCTION("""COMPUTED_VALUE"""),"H-066")</f>
        <v>H-066</v>
      </c>
      <c r="B3442" s="226" t="str">
        <f>IFERROR(__xludf.DUMMYFUNCTION("""COMPUTED_VALUE"""),"5907615806643")</f>
        <v>5907615806643</v>
      </c>
      <c r="C3442" t="str">
        <f>IFERROR(__xludf.DUMMYFUNCTION("""COMPUTED_VALUE"""),"Steinhof")</f>
        <v>Steinhof</v>
      </c>
    </row>
    <row r="3443">
      <c r="A3443" t="str">
        <f>IFERROR(__xludf.DUMMYFUNCTION("""COMPUTED_VALUE"""),"H-066")</f>
        <v>H-066</v>
      </c>
      <c r="B3443" s="226" t="str">
        <f>IFERROR(__xludf.DUMMYFUNCTION("""COMPUTED_VALUE"""),"5907615806643")</f>
        <v>5907615806643</v>
      </c>
      <c r="C3443" t="str">
        <f>IFERROR(__xludf.DUMMYFUNCTION("""COMPUTED_VALUE"""),"Steinhof")</f>
        <v>Steinhof</v>
      </c>
    </row>
    <row r="3444">
      <c r="A3444" t="str">
        <f>IFERROR(__xludf.DUMMYFUNCTION("""COMPUTED_VALUE"""),"H-067")</f>
        <v>H-067</v>
      </c>
      <c r="B3444" s="226" t="str">
        <f>IFERROR(__xludf.DUMMYFUNCTION("""COMPUTED_VALUE"""),"5907615806650")</f>
        <v>5907615806650</v>
      </c>
      <c r="C3444" t="str">
        <f>IFERROR(__xludf.DUMMYFUNCTION("""COMPUTED_VALUE"""),"Steinhof")</f>
        <v>Steinhof</v>
      </c>
    </row>
    <row r="3445">
      <c r="A3445" t="str">
        <f>IFERROR(__xludf.DUMMYFUNCTION("""COMPUTED_VALUE"""),"H-067")</f>
        <v>H-067</v>
      </c>
      <c r="B3445" s="226" t="str">
        <f>IFERROR(__xludf.DUMMYFUNCTION("""COMPUTED_VALUE"""),"5907615806650")</f>
        <v>5907615806650</v>
      </c>
      <c r="C3445" t="str">
        <f>IFERROR(__xludf.DUMMYFUNCTION("""COMPUTED_VALUE"""),"Steinhof")</f>
        <v>Steinhof</v>
      </c>
    </row>
    <row r="3446">
      <c r="A3446" t="str">
        <f>IFERROR(__xludf.DUMMYFUNCTION("""COMPUTED_VALUE"""),"H-068")</f>
        <v>H-068</v>
      </c>
      <c r="B3446" s="226" t="str">
        <f>IFERROR(__xludf.DUMMYFUNCTION("""COMPUTED_VALUE"""),"5907615806667")</f>
        <v>5907615806667</v>
      </c>
      <c r="C3446" t="str">
        <f>IFERROR(__xludf.DUMMYFUNCTION("""COMPUTED_VALUE"""),"Steinhof")</f>
        <v>Steinhof</v>
      </c>
    </row>
    <row r="3447">
      <c r="A3447" t="str">
        <f>IFERROR(__xludf.DUMMYFUNCTION("""COMPUTED_VALUE"""),"H-068")</f>
        <v>H-068</v>
      </c>
      <c r="B3447" s="226" t="str">
        <f>IFERROR(__xludf.DUMMYFUNCTION("""COMPUTED_VALUE"""),"5907615806667")</f>
        <v>5907615806667</v>
      </c>
      <c r="C3447" t="str">
        <f>IFERROR(__xludf.DUMMYFUNCTION("""COMPUTED_VALUE"""),"Steinhof")</f>
        <v>Steinhof</v>
      </c>
    </row>
    <row r="3448">
      <c r="A3448" t="str">
        <f>IFERROR(__xludf.DUMMYFUNCTION("""COMPUTED_VALUE"""),"H-069")</f>
        <v>H-069</v>
      </c>
      <c r="B3448" s="226" t="str">
        <f>IFERROR(__xludf.DUMMYFUNCTION("""COMPUTED_VALUE"""),"5907615806674")</f>
        <v>5907615806674</v>
      </c>
      <c r="C3448" t="str">
        <f>IFERROR(__xludf.DUMMYFUNCTION("""COMPUTED_VALUE"""),"Steinhof")</f>
        <v>Steinhof</v>
      </c>
    </row>
    <row r="3449">
      <c r="A3449" t="str">
        <f>IFERROR(__xludf.DUMMYFUNCTION("""COMPUTED_VALUE"""),"H-069")</f>
        <v>H-069</v>
      </c>
      <c r="B3449" s="226" t="str">
        <f>IFERROR(__xludf.DUMMYFUNCTION("""COMPUTED_VALUE"""),"5907615806674")</f>
        <v>5907615806674</v>
      </c>
      <c r="C3449" t="str">
        <f>IFERROR(__xludf.DUMMYFUNCTION("""COMPUTED_VALUE"""),"Steinhof")</f>
        <v>Steinhof</v>
      </c>
    </row>
    <row r="3450">
      <c r="A3450" t="str">
        <f>IFERROR(__xludf.DUMMYFUNCTION("""COMPUTED_VALUE"""),"H-070")</f>
        <v>H-070</v>
      </c>
      <c r="B3450" s="226" t="str">
        <f>IFERROR(__xludf.DUMMYFUNCTION("""COMPUTED_VALUE"""),"5907615806681")</f>
        <v>5907615806681</v>
      </c>
      <c r="C3450" t="str">
        <f>IFERROR(__xludf.DUMMYFUNCTION("""COMPUTED_VALUE"""),"Steinhof")</f>
        <v>Steinhof</v>
      </c>
    </row>
    <row r="3451">
      <c r="A3451" t="str">
        <f>IFERROR(__xludf.DUMMYFUNCTION("""COMPUTED_VALUE"""),"H-070")</f>
        <v>H-070</v>
      </c>
      <c r="B3451" s="226" t="str">
        <f>IFERROR(__xludf.DUMMYFUNCTION("""COMPUTED_VALUE"""),"5907615806681")</f>
        <v>5907615806681</v>
      </c>
      <c r="C3451" t="str">
        <f>IFERROR(__xludf.DUMMYFUNCTION("""COMPUTED_VALUE"""),"Steinhof")</f>
        <v>Steinhof</v>
      </c>
    </row>
    <row r="3452">
      <c r="A3452" t="str">
        <f>IFERROR(__xludf.DUMMYFUNCTION("""COMPUTED_VALUE"""),"H-071")</f>
        <v>H-071</v>
      </c>
      <c r="B3452" s="226" t="str">
        <f>IFERROR(__xludf.DUMMYFUNCTION("""COMPUTED_VALUE"""),"5907615806698")</f>
        <v>5907615806698</v>
      </c>
      <c r="C3452" t="str">
        <f>IFERROR(__xludf.DUMMYFUNCTION("""COMPUTED_VALUE"""),"Steinhof")</f>
        <v>Steinhof</v>
      </c>
    </row>
    <row r="3453">
      <c r="A3453" t="str">
        <f>IFERROR(__xludf.DUMMYFUNCTION("""COMPUTED_VALUE"""),"H-071")</f>
        <v>H-071</v>
      </c>
      <c r="B3453" s="226" t="str">
        <f>IFERROR(__xludf.DUMMYFUNCTION("""COMPUTED_VALUE"""),"5907615806698")</f>
        <v>5907615806698</v>
      </c>
      <c r="C3453" t="str">
        <f>IFERROR(__xludf.DUMMYFUNCTION("""COMPUTED_VALUE"""),"Steinhof")</f>
        <v>Steinhof</v>
      </c>
    </row>
    <row r="3454">
      <c r="A3454" t="str">
        <f>IFERROR(__xludf.DUMMYFUNCTION("""COMPUTED_VALUE"""),"H-072")</f>
        <v>H-072</v>
      </c>
      <c r="B3454" s="226" t="str">
        <f>IFERROR(__xludf.DUMMYFUNCTION("""COMPUTED_VALUE"""),"5907615806704")</f>
        <v>5907615806704</v>
      </c>
      <c r="C3454" t="str">
        <f>IFERROR(__xludf.DUMMYFUNCTION("""COMPUTED_VALUE"""),"Steinhof")</f>
        <v>Steinhof</v>
      </c>
    </row>
    <row r="3455">
      <c r="A3455" t="str">
        <f>IFERROR(__xludf.DUMMYFUNCTION("""COMPUTED_VALUE"""),"H-072")</f>
        <v>H-072</v>
      </c>
      <c r="B3455" s="226" t="str">
        <f>IFERROR(__xludf.DUMMYFUNCTION("""COMPUTED_VALUE"""),"5907615806704")</f>
        <v>5907615806704</v>
      </c>
      <c r="C3455" t="str">
        <f>IFERROR(__xludf.DUMMYFUNCTION("""COMPUTED_VALUE"""),"Steinhof")</f>
        <v>Steinhof</v>
      </c>
    </row>
    <row r="3456">
      <c r="A3456" t="str">
        <f>IFERROR(__xludf.DUMMYFUNCTION("""COMPUTED_VALUE"""),"H-204")</f>
        <v>H-204</v>
      </c>
      <c r="B3456" s="226" t="str">
        <f>IFERROR(__xludf.DUMMYFUNCTION("""COMPUTED_VALUE"""),"5907615806711")</f>
        <v>5907615806711</v>
      </c>
      <c r="C3456" t="str">
        <f>IFERROR(__xludf.DUMMYFUNCTION("""COMPUTED_VALUE"""),"Steinhof")</f>
        <v>Steinhof</v>
      </c>
    </row>
    <row r="3457">
      <c r="A3457" t="str">
        <f>IFERROR(__xludf.DUMMYFUNCTION("""COMPUTED_VALUE"""),"H-204")</f>
        <v>H-204</v>
      </c>
      <c r="B3457" s="226" t="str">
        <f>IFERROR(__xludf.DUMMYFUNCTION("""COMPUTED_VALUE"""),"5907615806711")</f>
        <v>5907615806711</v>
      </c>
      <c r="C3457" t="str">
        <f>IFERROR(__xludf.DUMMYFUNCTION("""COMPUTED_VALUE"""),"Steinhof")</f>
        <v>Steinhof</v>
      </c>
    </row>
    <row r="3458">
      <c r="A3458" t="str">
        <f>IFERROR(__xludf.DUMMYFUNCTION("""COMPUTED_VALUE"""),"H-202")</f>
        <v>H-202</v>
      </c>
      <c r="B3458" s="226" t="str">
        <f>IFERROR(__xludf.DUMMYFUNCTION("""COMPUTED_VALUE"""),"5907615806728")</f>
        <v>5907615806728</v>
      </c>
      <c r="C3458" t="str">
        <f>IFERROR(__xludf.DUMMYFUNCTION("""COMPUTED_VALUE"""),"Steinhof")</f>
        <v>Steinhof</v>
      </c>
    </row>
    <row r="3459">
      <c r="A3459" t="str">
        <f>IFERROR(__xludf.DUMMYFUNCTION("""COMPUTED_VALUE"""),"H-202")</f>
        <v>H-202</v>
      </c>
      <c r="B3459" s="226" t="str">
        <f>IFERROR(__xludf.DUMMYFUNCTION("""COMPUTED_VALUE"""),"5907615806728")</f>
        <v>5907615806728</v>
      </c>
      <c r="C3459" t="str">
        <f>IFERROR(__xludf.DUMMYFUNCTION("""COMPUTED_VALUE"""),"Steinhof")</f>
        <v>Steinhof</v>
      </c>
    </row>
    <row r="3460">
      <c r="A3460" t="str">
        <f>IFERROR(__xludf.DUMMYFUNCTION("""COMPUTED_VALUE"""),"H-205")</f>
        <v>H-205</v>
      </c>
      <c r="B3460" s="226" t="str">
        <f>IFERROR(__xludf.DUMMYFUNCTION("""COMPUTED_VALUE"""),"5907615806759")</f>
        <v>5907615806759</v>
      </c>
      <c r="C3460" t="str">
        <f>IFERROR(__xludf.DUMMYFUNCTION("""COMPUTED_VALUE"""),"Steinhof")</f>
        <v>Steinhof</v>
      </c>
    </row>
    <row r="3461">
      <c r="A3461" t="str">
        <f>IFERROR(__xludf.DUMMYFUNCTION("""COMPUTED_VALUE"""),"H-205")</f>
        <v>H-205</v>
      </c>
      <c r="B3461" s="226" t="str">
        <f>IFERROR(__xludf.DUMMYFUNCTION("""COMPUTED_VALUE"""),"5907615806759")</f>
        <v>5907615806759</v>
      </c>
      <c r="C3461" t="str">
        <f>IFERROR(__xludf.DUMMYFUNCTION("""COMPUTED_VALUE"""),"Steinhof")</f>
        <v>Steinhof</v>
      </c>
    </row>
    <row r="3462">
      <c r="A3462" t="str">
        <f>IFERROR(__xludf.DUMMYFUNCTION("""COMPUTED_VALUE"""),"H-207")</f>
        <v>H-207</v>
      </c>
      <c r="B3462" s="226" t="str">
        <f>IFERROR(__xludf.DUMMYFUNCTION("""COMPUTED_VALUE"""),"5907615806773")</f>
        <v>5907615806773</v>
      </c>
      <c r="C3462" t="str">
        <f>IFERROR(__xludf.DUMMYFUNCTION("""COMPUTED_VALUE"""),"Steinhof")</f>
        <v>Steinhof</v>
      </c>
    </row>
    <row r="3463">
      <c r="A3463" t="str">
        <f>IFERROR(__xludf.DUMMYFUNCTION("""COMPUTED_VALUE"""),"H-207")</f>
        <v>H-207</v>
      </c>
      <c r="B3463" s="226" t="str">
        <f>IFERROR(__xludf.DUMMYFUNCTION("""COMPUTED_VALUE"""),"5907615806773")</f>
        <v>5907615806773</v>
      </c>
      <c r="C3463" t="str">
        <f>IFERROR(__xludf.DUMMYFUNCTION("""COMPUTED_VALUE"""),"Steinhof")</f>
        <v>Steinhof</v>
      </c>
    </row>
    <row r="3464">
      <c r="A3464" t="str">
        <f>IFERROR(__xludf.DUMMYFUNCTION("""COMPUTED_VALUE"""),"H-208")</f>
        <v>H-208</v>
      </c>
      <c r="B3464" s="226" t="str">
        <f>IFERROR(__xludf.DUMMYFUNCTION("""COMPUTED_VALUE"""),"5907615806780")</f>
        <v>5907615806780</v>
      </c>
      <c r="C3464" t="str">
        <f>IFERROR(__xludf.DUMMYFUNCTION("""COMPUTED_VALUE"""),"Steinhof")</f>
        <v>Steinhof</v>
      </c>
    </row>
    <row r="3465">
      <c r="A3465" t="str">
        <f>IFERROR(__xludf.DUMMYFUNCTION("""COMPUTED_VALUE"""),"H-208")</f>
        <v>H-208</v>
      </c>
      <c r="B3465" s="226" t="str">
        <f>IFERROR(__xludf.DUMMYFUNCTION("""COMPUTED_VALUE"""),"5907615806780")</f>
        <v>5907615806780</v>
      </c>
      <c r="C3465" t="str">
        <f>IFERROR(__xludf.DUMMYFUNCTION("""COMPUTED_VALUE"""),"Steinhof")</f>
        <v>Steinhof</v>
      </c>
    </row>
    <row r="3466">
      <c r="A3466" t="str">
        <f>IFERROR(__xludf.DUMMYFUNCTION("""COMPUTED_VALUE"""),"H-208")</f>
        <v>H-208</v>
      </c>
      <c r="B3466" s="226" t="str">
        <f>IFERROR(__xludf.DUMMYFUNCTION("""COMPUTED_VALUE"""),"5907615806780")</f>
        <v>5907615806780</v>
      </c>
      <c r="C3466" t="str">
        <f>IFERROR(__xludf.DUMMYFUNCTION("""COMPUTED_VALUE"""),"Steinhof")</f>
        <v>Steinhof</v>
      </c>
    </row>
    <row r="3467">
      <c r="A3467" t="str">
        <f>IFERROR(__xludf.DUMMYFUNCTION("""COMPUTED_VALUE"""),"H-208")</f>
        <v>H-208</v>
      </c>
      <c r="B3467" s="226" t="str">
        <f>IFERROR(__xludf.DUMMYFUNCTION("""COMPUTED_VALUE"""),"5907615806780")</f>
        <v>5907615806780</v>
      </c>
      <c r="C3467" t="str">
        <f>IFERROR(__xludf.DUMMYFUNCTION("""COMPUTED_VALUE"""),"Steinhof")</f>
        <v>Steinhof</v>
      </c>
    </row>
    <row r="3468">
      <c r="A3468" t="str">
        <f>IFERROR(__xludf.DUMMYFUNCTION("""COMPUTED_VALUE"""),"H-210")</f>
        <v>H-210</v>
      </c>
      <c r="B3468" s="226" t="str">
        <f>IFERROR(__xludf.DUMMYFUNCTION("""COMPUTED_VALUE"""),"5907615806803")</f>
        <v>5907615806803</v>
      </c>
      <c r="C3468" t="str">
        <f>IFERROR(__xludf.DUMMYFUNCTION("""COMPUTED_VALUE"""),"Steinhof")</f>
        <v>Steinhof</v>
      </c>
    </row>
    <row r="3469">
      <c r="A3469" t="str">
        <f>IFERROR(__xludf.DUMMYFUNCTION("""COMPUTED_VALUE"""),"H-210")</f>
        <v>H-210</v>
      </c>
      <c r="B3469" s="226" t="str">
        <f>IFERROR(__xludf.DUMMYFUNCTION("""COMPUTED_VALUE"""),"5907615806803")</f>
        <v>5907615806803</v>
      </c>
      <c r="C3469" t="str">
        <f>IFERROR(__xludf.DUMMYFUNCTION("""COMPUTED_VALUE"""),"Steinhof")</f>
        <v>Steinhof</v>
      </c>
    </row>
    <row r="3470">
      <c r="A3470" t="str">
        <f>IFERROR(__xludf.DUMMYFUNCTION("""COMPUTED_VALUE"""),"H-210")</f>
        <v>H-210</v>
      </c>
      <c r="B3470" s="226" t="str">
        <f>IFERROR(__xludf.DUMMYFUNCTION("""COMPUTED_VALUE"""),"5907615806803")</f>
        <v>5907615806803</v>
      </c>
      <c r="C3470" t="str">
        <f>IFERROR(__xludf.DUMMYFUNCTION("""COMPUTED_VALUE"""),"Steinhof")</f>
        <v>Steinhof</v>
      </c>
    </row>
    <row r="3471">
      <c r="A3471" t="str">
        <f>IFERROR(__xludf.DUMMYFUNCTION("""COMPUTED_VALUE"""),"H-210")</f>
        <v>H-210</v>
      </c>
      <c r="B3471" s="226" t="str">
        <f>IFERROR(__xludf.DUMMYFUNCTION("""COMPUTED_VALUE"""),"5907615806803")</f>
        <v>5907615806803</v>
      </c>
      <c r="C3471" t="str">
        <f>IFERROR(__xludf.DUMMYFUNCTION("""COMPUTED_VALUE"""),"Steinhof")</f>
        <v>Steinhof</v>
      </c>
    </row>
    <row r="3472">
      <c r="A3472" t="str">
        <f>IFERROR(__xludf.DUMMYFUNCTION("""COMPUTED_VALUE"""),"H-212")</f>
        <v>H-212</v>
      </c>
      <c r="B3472" s="226" t="str">
        <f>IFERROR(__xludf.DUMMYFUNCTION("""COMPUTED_VALUE"""),"5907615806827")</f>
        <v>5907615806827</v>
      </c>
      <c r="C3472" t="str">
        <f>IFERROR(__xludf.DUMMYFUNCTION("""COMPUTED_VALUE"""),"Steinhof")</f>
        <v>Steinhof</v>
      </c>
    </row>
    <row r="3473">
      <c r="A3473" t="str">
        <f>IFERROR(__xludf.DUMMYFUNCTION("""COMPUTED_VALUE"""),"H-212")</f>
        <v>H-212</v>
      </c>
      <c r="B3473" s="226" t="str">
        <f>IFERROR(__xludf.DUMMYFUNCTION("""COMPUTED_VALUE"""),"5907615806827")</f>
        <v>5907615806827</v>
      </c>
      <c r="C3473" t="str">
        <f>IFERROR(__xludf.DUMMYFUNCTION("""COMPUTED_VALUE"""),"Steinhof")</f>
        <v>Steinhof</v>
      </c>
    </row>
    <row r="3474">
      <c r="A3474" t="str">
        <f>IFERROR(__xludf.DUMMYFUNCTION("""COMPUTED_VALUE"""),"H-213")</f>
        <v>H-213</v>
      </c>
      <c r="B3474" s="226" t="str">
        <f>IFERROR(__xludf.DUMMYFUNCTION("""COMPUTED_VALUE"""),"5907615806834")</f>
        <v>5907615806834</v>
      </c>
      <c r="C3474" t="str">
        <f>IFERROR(__xludf.DUMMYFUNCTION("""COMPUTED_VALUE"""),"Steinhof")</f>
        <v>Steinhof</v>
      </c>
    </row>
    <row r="3475">
      <c r="A3475" t="str">
        <f>IFERROR(__xludf.DUMMYFUNCTION("""COMPUTED_VALUE"""),"H-213")</f>
        <v>H-213</v>
      </c>
      <c r="B3475" s="226" t="str">
        <f>IFERROR(__xludf.DUMMYFUNCTION("""COMPUTED_VALUE"""),"5907615806834")</f>
        <v>5907615806834</v>
      </c>
      <c r="C3475" t="str">
        <f>IFERROR(__xludf.DUMMYFUNCTION("""COMPUTED_VALUE"""),"Steinhof")</f>
        <v>Steinhof</v>
      </c>
    </row>
    <row r="3476">
      <c r="A3476" t="str">
        <f>IFERROR(__xludf.DUMMYFUNCTION("""COMPUTED_VALUE"""),"H-214")</f>
        <v>H-214</v>
      </c>
      <c r="B3476" s="226" t="str">
        <f>IFERROR(__xludf.DUMMYFUNCTION("""COMPUTED_VALUE"""),"5907615806841")</f>
        <v>5907615806841</v>
      </c>
      <c r="C3476" t="str">
        <f>IFERROR(__xludf.DUMMYFUNCTION("""COMPUTED_VALUE"""),"Steinhof")</f>
        <v>Steinhof</v>
      </c>
    </row>
    <row r="3477">
      <c r="A3477" t="str">
        <f>IFERROR(__xludf.DUMMYFUNCTION("""COMPUTED_VALUE"""),"H-214")</f>
        <v>H-214</v>
      </c>
      <c r="B3477" s="226" t="str">
        <f>IFERROR(__xludf.DUMMYFUNCTION("""COMPUTED_VALUE"""),"5907615806841")</f>
        <v>5907615806841</v>
      </c>
      <c r="C3477" t="str">
        <f>IFERROR(__xludf.DUMMYFUNCTION("""COMPUTED_VALUE"""),"Steinhof")</f>
        <v>Steinhof</v>
      </c>
    </row>
    <row r="3478">
      <c r="A3478" t="str">
        <f>IFERROR(__xludf.DUMMYFUNCTION("""COMPUTED_VALUE"""),"H-215")</f>
        <v>H-215</v>
      </c>
      <c r="B3478" s="226" t="str">
        <f>IFERROR(__xludf.DUMMYFUNCTION("""COMPUTED_VALUE"""),"5907615806858")</f>
        <v>5907615806858</v>
      </c>
      <c r="C3478" t="str">
        <f>IFERROR(__xludf.DUMMYFUNCTION("""COMPUTED_VALUE"""),"Steinhof")</f>
        <v>Steinhof</v>
      </c>
    </row>
    <row r="3479">
      <c r="A3479" t="str">
        <f>IFERROR(__xludf.DUMMYFUNCTION("""COMPUTED_VALUE"""),"H-215")</f>
        <v>H-215</v>
      </c>
      <c r="B3479" s="226" t="str">
        <f>IFERROR(__xludf.DUMMYFUNCTION("""COMPUTED_VALUE"""),"5907615806858")</f>
        <v>5907615806858</v>
      </c>
      <c r="C3479" t="str">
        <f>IFERROR(__xludf.DUMMYFUNCTION("""COMPUTED_VALUE"""),"Steinhof")</f>
        <v>Steinhof</v>
      </c>
    </row>
    <row r="3480">
      <c r="A3480" t="str">
        <f>IFERROR(__xludf.DUMMYFUNCTION("""COMPUTED_VALUE"""),"H-232")</f>
        <v>H-232</v>
      </c>
      <c r="B3480" s="226" t="str">
        <f>IFERROR(__xludf.DUMMYFUNCTION("""COMPUTED_VALUE"""),"5907615807022")</f>
        <v>5907615807022</v>
      </c>
      <c r="C3480" t="str">
        <f>IFERROR(__xludf.DUMMYFUNCTION("""COMPUTED_VALUE"""),"Steinhof")</f>
        <v>Steinhof</v>
      </c>
    </row>
    <row r="3481">
      <c r="A3481" t="str">
        <f>IFERROR(__xludf.DUMMYFUNCTION("""COMPUTED_VALUE"""),"H-232")</f>
        <v>H-232</v>
      </c>
      <c r="B3481" s="226" t="str">
        <f>IFERROR(__xludf.DUMMYFUNCTION("""COMPUTED_VALUE"""),"5907615807022")</f>
        <v>5907615807022</v>
      </c>
      <c r="C3481" t="str">
        <f>IFERROR(__xludf.DUMMYFUNCTION("""COMPUTED_VALUE"""),"Steinhof")</f>
        <v>Steinhof</v>
      </c>
    </row>
    <row r="3482">
      <c r="A3482" t="str">
        <f>IFERROR(__xludf.DUMMYFUNCTION("""COMPUTED_VALUE"""),"H-232")</f>
        <v>H-232</v>
      </c>
      <c r="B3482" s="226" t="str">
        <f>IFERROR(__xludf.DUMMYFUNCTION("""COMPUTED_VALUE"""),"5907615807022")</f>
        <v>5907615807022</v>
      </c>
      <c r="C3482" t="str">
        <f>IFERROR(__xludf.DUMMYFUNCTION("""COMPUTED_VALUE"""),"Steinhof")</f>
        <v>Steinhof</v>
      </c>
    </row>
    <row r="3483">
      <c r="A3483" t="str">
        <f>IFERROR(__xludf.DUMMYFUNCTION("""COMPUTED_VALUE"""),"H-232")</f>
        <v>H-232</v>
      </c>
      <c r="B3483" s="226" t="str">
        <f>IFERROR(__xludf.DUMMYFUNCTION("""COMPUTED_VALUE"""),"5907615807022")</f>
        <v>5907615807022</v>
      </c>
      <c r="C3483" t="str">
        <f>IFERROR(__xludf.DUMMYFUNCTION("""COMPUTED_VALUE"""),"Steinhof")</f>
        <v>Steinhof</v>
      </c>
    </row>
    <row r="3484">
      <c r="A3484" t="str">
        <f>IFERROR(__xludf.DUMMYFUNCTION("""COMPUTED_VALUE"""),"H-233")</f>
        <v>H-233</v>
      </c>
      <c r="B3484" s="226" t="str">
        <f>IFERROR(__xludf.DUMMYFUNCTION("""COMPUTED_VALUE"""),"5907615807039")</f>
        <v>5907615807039</v>
      </c>
      <c r="C3484" t="str">
        <f>IFERROR(__xludf.DUMMYFUNCTION("""COMPUTED_VALUE"""),"Steinhof")</f>
        <v>Steinhof</v>
      </c>
    </row>
    <row r="3485">
      <c r="A3485" t="str">
        <f>IFERROR(__xludf.DUMMYFUNCTION("""COMPUTED_VALUE"""),"H-233")</f>
        <v>H-233</v>
      </c>
      <c r="B3485" s="226" t="str">
        <f>IFERROR(__xludf.DUMMYFUNCTION("""COMPUTED_VALUE"""),"5907615807039")</f>
        <v>5907615807039</v>
      </c>
      <c r="C3485" t="str">
        <f>IFERROR(__xludf.DUMMYFUNCTION("""COMPUTED_VALUE"""),"Steinhof")</f>
        <v>Steinhof</v>
      </c>
    </row>
    <row r="3486">
      <c r="A3486" t="str">
        <f>IFERROR(__xludf.DUMMYFUNCTION("""COMPUTED_VALUE"""),"H-233")</f>
        <v>H-233</v>
      </c>
      <c r="B3486" s="226" t="str">
        <f>IFERROR(__xludf.DUMMYFUNCTION("""COMPUTED_VALUE"""),"5907615807039")</f>
        <v>5907615807039</v>
      </c>
      <c r="C3486" t="str">
        <f>IFERROR(__xludf.DUMMYFUNCTION("""COMPUTED_VALUE"""),"Steinhof")</f>
        <v>Steinhof</v>
      </c>
    </row>
    <row r="3487">
      <c r="A3487" t="str">
        <f>IFERROR(__xludf.DUMMYFUNCTION("""COMPUTED_VALUE"""),"H-233")</f>
        <v>H-233</v>
      </c>
      <c r="B3487" s="226" t="str">
        <f>IFERROR(__xludf.DUMMYFUNCTION("""COMPUTED_VALUE"""),"5907615807039")</f>
        <v>5907615807039</v>
      </c>
      <c r="C3487" t="str">
        <f>IFERROR(__xludf.DUMMYFUNCTION("""COMPUTED_VALUE"""),"Steinhof")</f>
        <v>Steinhof</v>
      </c>
    </row>
    <row r="3488">
      <c r="A3488" t="str">
        <f>IFERROR(__xludf.DUMMYFUNCTION("""COMPUTED_VALUE"""),"H-234")</f>
        <v>H-234</v>
      </c>
      <c r="B3488" s="226" t="str">
        <f>IFERROR(__xludf.DUMMYFUNCTION("""COMPUTED_VALUE"""),"5907615807046")</f>
        <v>5907615807046</v>
      </c>
      <c r="C3488" t="str">
        <f>IFERROR(__xludf.DUMMYFUNCTION("""COMPUTED_VALUE"""),"Steinhof")</f>
        <v>Steinhof</v>
      </c>
    </row>
    <row r="3489">
      <c r="A3489" t="str">
        <f>IFERROR(__xludf.DUMMYFUNCTION("""COMPUTED_VALUE"""),"H-234")</f>
        <v>H-234</v>
      </c>
      <c r="B3489" s="226" t="str">
        <f>IFERROR(__xludf.DUMMYFUNCTION("""COMPUTED_VALUE"""),"5907615807046")</f>
        <v>5907615807046</v>
      </c>
      <c r="C3489" t="str">
        <f>IFERROR(__xludf.DUMMYFUNCTION("""COMPUTED_VALUE"""),"Steinhof")</f>
        <v>Steinhof</v>
      </c>
    </row>
    <row r="3490">
      <c r="A3490" t="str">
        <f>IFERROR(__xludf.DUMMYFUNCTION("""COMPUTED_VALUE"""),"H-235")</f>
        <v>H-235</v>
      </c>
      <c r="B3490" s="226" t="str">
        <f>IFERROR(__xludf.DUMMYFUNCTION("""COMPUTED_VALUE"""),"5907615807053")</f>
        <v>5907615807053</v>
      </c>
      <c r="C3490" t="str">
        <f>IFERROR(__xludf.DUMMYFUNCTION("""COMPUTED_VALUE"""),"Steinhof")</f>
        <v>Steinhof</v>
      </c>
    </row>
    <row r="3491">
      <c r="A3491" t="str">
        <f>IFERROR(__xludf.DUMMYFUNCTION("""COMPUTED_VALUE"""),"H-235")</f>
        <v>H-235</v>
      </c>
      <c r="B3491" s="226" t="str">
        <f>IFERROR(__xludf.DUMMYFUNCTION("""COMPUTED_VALUE"""),"5907615807053")</f>
        <v>5907615807053</v>
      </c>
      <c r="C3491" t="str">
        <f>IFERROR(__xludf.DUMMYFUNCTION("""COMPUTED_VALUE"""),"Steinhof")</f>
        <v>Steinhof</v>
      </c>
    </row>
    <row r="3492">
      <c r="A3492" t="str">
        <f>IFERROR(__xludf.DUMMYFUNCTION("""COMPUTED_VALUE"""),"H-236")</f>
        <v>H-236</v>
      </c>
      <c r="B3492" s="226" t="str">
        <f>IFERROR(__xludf.DUMMYFUNCTION("""COMPUTED_VALUE"""),"5907615807060")</f>
        <v>5907615807060</v>
      </c>
      <c r="C3492" t="str">
        <f>IFERROR(__xludf.DUMMYFUNCTION("""COMPUTED_VALUE"""),"Steinhof")</f>
        <v>Steinhof</v>
      </c>
    </row>
    <row r="3493">
      <c r="A3493" t="str">
        <f>IFERROR(__xludf.DUMMYFUNCTION("""COMPUTED_VALUE"""),"H-215/W7")</f>
        <v>H-215/W7</v>
      </c>
      <c r="B3493" s="226" t="str">
        <f>IFERROR(__xludf.DUMMYFUNCTION("""COMPUTED_VALUE"""),"5907615807060")</f>
        <v>5907615807060</v>
      </c>
      <c r="C3493" t="str">
        <f>IFERROR(__xludf.DUMMYFUNCTION("""COMPUTED_VALUE"""),"Steinhof")</f>
        <v>Steinhof</v>
      </c>
    </row>
    <row r="3494">
      <c r="A3494" t="str">
        <f>IFERROR(__xludf.DUMMYFUNCTION("""COMPUTED_VALUE"""),"H-237")</f>
        <v>H-237</v>
      </c>
      <c r="B3494" s="226" t="str">
        <f>IFERROR(__xludf.DUMMYFUNCTION("""COMPUTED_VALUE"""),"5907615807077")</f>
        <v>5907615807077</v>
      </c>
      <c r="C3494" t="str">
        <f>IFERROR(__xludf.DUMMYFUNCTION("""COMPUTED_VALUE"""),"Steinhof")</f>
        <v>Steinhof</v>
      </c>
    </row>
    <row r="3495">
      <c r="A3495" t="str">
        <f>IFERROR(__xludf.DUMMYFUNCTION("""COMPUTED_VALUE"""),"H-237")</f>
        <v>H-237</v>
      </c>
      <c r="B3495" s="226" t="str">
        <f>IFERROR(__xludf.DUMMYFUNCTION("""COMPUTED_VALUE"""),"5907615807077")</f>
        <v>5907615807077</v>
      </c>
      <c r="C3495" t="str">
        <f>IFERROR(__xludf.DUMMYFUNCTION("""COMPUTED_VALUE"""),"Steinhof")</f>
        <v>Steinhof</v>
      </c>
    </row>
    <row r="3496">
      <c r="A3496" t="str">
        <f>IFERROR(__xludf.DUMMYFUNCTION("""COMPUTED_VALUE"""),"H-238")</f>
        <v>H-238</v>
      </c>
      <c r="B3496" s="226" t="str">
        <f>IFERROR(__xludf.DUMMYFUNCTION("""COMPUTED_VALUE"""),"5907615807084")</f>
        <v>5907615807084</v>
      </c>
      <c r="C3496" t="str">
        <f>IFERROR(__xludf.DUMMYFUNCTION("""COMPUTED_VALUE"""),"Steinhof")</f>
        <v>Steinhof</v>
      </c>
    </row>
    <row r="3497">
      <c r="A3497" t="str">
        <f>IFERROR(__xludf.DUMMYFUNCTION("""COMPUTED_VALUE"""),"H-238")</f>
        <v>H-238</v>
      </c>
      <c r="B3497" s="226" t="str">
        <f>IFERROR(__xludf.DUMMYFUNCTION("""COMPUTED_VALUE"""),"5907615807084")</f>
        <v>5907615807084</v>
      </c>
      <c r="C3497" t="str">
        <f>IFERROR(__xludf.DUMMYFUNCTION("""COMPUTED_VALUE"""),"Steinhof")</f>
        <v>Steinhof</v>
      </c>
    </row>
    <row r="3498">
      <c r="A3498" t="str">
        <f>IFERROR(__xludf.DUMMYFUNCTION("""COMPUTED_VALUE"""),"H-240")</f>
        <v>H-240</v>
      </c>
      <c r="B3498" s="226" t="str">
        <f>IFERROR(__xludf.DUMMYFUNCTION("""COMPUTED_VALUE"""),"5907615807107")</f>
        <v>5907615807107</v>
      </c>
      <c r="C3498" t="str">
        <f>IFERROR(__xludf.DUMMYFUNCTION("""COMPUTED_VALUE"""),"Steinhof")</f>
        <v>Steinhof</v>
      </c>
    </row>
    <row r="3499">
      <c r="A3499" t="str">
        <f>IFERROR(__xludf.DUMMYFUNCTION("""COMPUTED_VALUE"""),"H-240")</f>
        <v>H-240</v>
      </c>
      <c r="B3499" s="226" t="str">
        <f>IFERROR(__xludf.DUMMYFUNCTION("""COMPUTED_VALUE"""),"5907615807107")</f>
        <v>5907615807107</v>
      </c>
      <c r="C3499" t="str">
        <f>IFERROR(__xludf.DUMMYFUNCTION("""COMPUTED_VALUE"""),"Steinhof")</f>
        <v>Steinhof</v>
      </c>
    </row>
    <row r="3500">
      <c r="A3500" t="str">
        <f>IFERROR(__xludf.DUMMYFUNCTION("""COMPUTED_VALUE"""),"H-241")</f>
        <v>H-241</v>
      </c>
      <c r="B3500" s="226" t="str">
        <f>IFERROR(__xludf.DUMMYFUNCTION("""COMPUTED_VALUE"""),"5907615807114")</f>
        <v>5907615807114</v>
      </c>
      <c r="C3500" t="str">
        <f>IFERROR(__xludf.DUMMYFUNCTION("""COMPUTED_VALUE"""),"Steinhof")</f>
        <v>Steinhof</v>
      </c>
    </row>
    <row r="3501">
      <c r="A3501" t="str">
        <f>IFERROR(__xludf.DUMMYFUNCTION("""COMPUTED_VALUE"""),"H-241")</f>
        <v>H-241</v>
      </c>
      <c r="B3501" s="226" t="str">
        <f>IFERROR(__xludf.DUMMYFUNCTION("""COMPUTED_VALUE"""),"5907615807114")</f>
        <v>5907615807114</v>
      </c>
      <c r="C3501" t="str">
        <f>IFERROR(__xludf.DUMMYFUNCTION("""COMPUTED_VALUE"""),"Steinhof")</f>
        <v>Steinhof</v>
      </c>
    </row>
    <row r="3502">
      <c r="A3502" t="str">
        <f>IFERROR(__xludf.DUMMYFUNCTION("""COMPUTED_VALUE"""),"H-243")</f>
        <v>H-243</v>
      </c>
      <c r="B3502" s="226" t="str">
        <f>IFERROR(__xludf.DUMMYFUNCTION("""COMPUTED_VALUE"""),"5907615807138")</f>
        <v>5907615807138</v>
      </c>
      <c r="C3502" t="str">
        <f>IFERROR(__xludf.DUMMYFUNCTION("""COMPUTED_VALUE"""),"Steinhof")</f>
        <v>Steinhof</v>
      </c>
    </row>
    <row r="3503">
      <c r="A3503" t="str">
        <f>IFERROR(__xludf.DUMMYFUNCTION("""COMPUTED_VALUE"""),"H-243")</f>
        <v>H-243</v>
      </c>
      <c r="B3503" s="226" t="str">
        <f>IFERROR(__xludf.DUMMYFUNCTION("""COMPUTED_VALUE"""),"5907615807138")</f>
        <v>5907615807138</v>
      </c>
      <c r="C3503" t="str">
        <f>IFERROR(__xludf.DUMMYFUNCTION("""COMPUTED_VALUE"""),"Steinhof")</f>
        <v>Steinhof</v>
      </c>
    </row>
    <row r="3504">
      <c r="A3504" t="str">
        <f>IFERROR(__xludf.DUMMYFUNCTION("""COMPUTED_VALUE"""),"H-243")</f>
        <v>H-243</v>
      </c>
      <c r="B3504" s="226" t="str">
        <f>IFERROR(__xludf.DUMMYFUNCTION("""COMPUTED_VALUE"""),"5907615807138")</f>
        <v>5907615807138</v>
      </c>
      <c r="C3504" t="str">
        <f>IFERROR(__xludf.DUMMYFUNCTION("""COMPUTED_VALUE"""),"Steinhof")</f>
        <v>Steinhof</v>
      </c>
    </row>
    <row r="3505">
      <c r="A3505" t="str">
        <f>IFERROR(__xludf.DUMMYFUNCTION("""COMPUTED_VALUE"""),"H-243")</f>
        <v>H-243</v>
      </c>
      <c r="B3505" s="226" t="str">
        <f>IFERROR(__xludf.DUMMYFUNCTION("""COMPUTED_VALUE"""),"5907615807138")</f>
        <v>5907615807138</v>
      </c>
      <c r="C3505" t="str">
        <f>IFERROR(__xludf.DUMMYFUNCTION("""COMPUTED_VALUE"""),"Steinhof")</f>
        <v>Steinhof</v>
      </c>
    </row>
    <row r="3506">
      <c r="A3506" t="str">
        <f>IFERROR(__xludf.DUMMYFUNCTION("""COMPUTED_VALUE"""),"H-244")</f>
        <v>H-244</v>
      </c>
      <c r="B3506" s="226" t="str">
        <f>IFERROR(__xludf.DUMMYFUNCTION("""COMPUTED_VALUE"""),"5907615807145")</f>
        <v>5907615807145</v>
      </c>
      <c r="C3506" t="str">
        <f>IFERROR(__xludf.DUMMYFUNCTION("""COMPUTED_VALUE"""),"Steinhof")</f>
        <v>Steinhof</v>
      </c>
    </row>
    <row r="3507">
      <c r="A3507" t="str">
        <f>IFERROR(__xludf.DUMMYFUNCTION("""COMPUTED_VALUE"""),"H-244")</f>
        <v>H-244</v>
      </c>
      <c r="B3507" s="226" t="str">
        <f>IFERROR(__xludf.DUMMYFUNCTION("""COMPUTED_VALUE"""),"5907615807145")</f>
        <v>5907615807145</v>
      </c>
      <c r="C3507" t="str">
        <f>IFERROR(__xludf.DUMMYFUNCTION("""COMPUTED_VALUE"""),"Steinhof")</f>
        <v>Steinhof</v>
      </c>
    </row>
    <row r="3508">
      <c r="A3508" t="str">
        <f>IFERROR(__xludf.DUMMYFUNCTION("""COMPUTED_VALUE"""),"H-244")</f>
        <v>H-244</v>
      </c>
      <c r="B3508" s="226" t="str">
        <f>IFERROR(__xludf.DUMMYFUNCTION("""COMPUTED_VALUE"""),"5907615807145")</f>
        <v>5907615807145</v>
      </c>
      <c r="C3508" t="str">
        <f>IFERROR(__xludf.DUMMYFUNCTION("""COMPUTED_VALUE"""),"Steinhof")</f>
        <v>Steinhof</v>
      </c>
    </row>
    <row r="3509">
      <c r="A3509" t="str">
        <f>IFERROR(__xludf.DUMMYFUNCTION("""COMPUTED_VALUE"""),"H-244")</f>
        <v>H-244</v>
      </c>
      <c r="B3509" s="226" t="str">
        <f>IFERROR(__xludf.DUMMYFUNCTION("""COMPUTED_VALUE"""),"5907615807145")</f>
        <v>5907615807145</v>
      </c>
      <c r="C3509" t="str">
        <f>IFERROR(__xludf.DUMMYFUNCTION("""COMPUTED_VALUE"""),"Steinhof")</f>
        <v>Steinhof</v>
      </c>
    </row>
    <row r="3510">
      <c r="A3510" t="str">
        <f>IFERROR(__xludf.DUMMYFUNCTION("""COMPUTED_VALUE"""),"H-245")</f>
        <v>H-245</v>
      </c>
      <c r="B3510" s="226" t="str">
        <f>IFERROR(__xludf.DUMMYFUNCTION("""COMPUTED_VALUE"""),"5907615807152")</f>
        <v>5907615807152</v>
      </c>
      <c r="C3510" t="str">
        <f>IFERROR(__xludf.DUMMYFUNCTION("""COMPUTED_VALUE"""),"Steinhof")</f>
        <v>Steinhof</v>
      </c>
    </row>
    <row r="3511">
      <c r="A3511" t="str">
        <f>IFERROR(__xludf.DUMMYFUNCTION("""COMPUTED_VALUE"""),"H-245")</f>
        <v>H-245</v>
      </c>
      <c r="B3511" s="226" t="str">
        <f>IFERROR(__xludf.DUMMYFUNCTION("""COMPUTED_VALUE"""),"5907615807152")</f>
        <v>5907615807152</v>
      </c>
      <c r="C3511" t="str">
        <f>IFERROR(__xludf.DUMMYFUNCTION("""COMPUTED_VALUE"""),"Steinhof")</f>
        <v>Steinhof</v>
      </c>
    </row>
    <row r="3512">
      <c r="A3512" t="str">
        <f>IFERROR(__xludf.DUMMYFUNCTION("""COMPUTED_VALUE"""),"H-246")</f>
        <v>H-246</v>
      </c>
      <c r="B3512" s="226" t="str">
        <f>IFERROR(__xludf.DUMMYFUNCTION("""COMPUTED_VALUE"""),"5907615807169")</f>
        <v>5907615807169</v>
      </c>
      <c r="C3512" t="str">
        <f>IFERROR(__xludf.DUMMYFUNCTION("""COMPUTED_VALUE"""),"Steinhof")</f>
        <v>Steinhof</v>
      </c>
    </row>
    <row r="3513">
      <c r="A3513" t="str">
        <f>IFERROR(__xludf.DUMMYFUNCTION("""COMPUTED_VALUE"""),"H-246")</f>
        <v>H-246</v>
      </c>
      <c r="B3513" s="226" t="str">
        <f>IFERROR(__xludf.DUMMYFUNCTION("""COMPUTED_VALUE"""),"5907615807169")</f>
        <v>5907615807169</v>
      </c>
      <c r="C3513" t="str">
        <f>IFERROR(__xludf.DUMMYFUNCTION("""COMPUTED_VALUE"""),"Steinhof")</f>
        <v>Steinhof</v>
      </c>
    </row>
    <row r="3514">
      <c r="A3514" t="str">
        <f>IFERROR(__xludf.DUMMYFUNCTION("""COMPUTED_VALUE"""),"H-247")</f>
        <v>H-247</v>
      </c>
      <c r="B3514" s="226" t="str">
        <f>IFERROR(__xludf.DUMMYFUNCTION("""COMPUTED_VALUE"""),"5907615807176")</f>
        <v>5907615807176</v>
      </c>
      <c r="C3514" t="str">
        <f>IFERROR(__xludf.DUMMYFUNCTION("""COMPUTED_VALUE"""),"Steinhof")</f>
        <v>Steinhof</v>
      </c>
    </row>
    <row r="3515">
      <c r="A3515" t="str">
        <f>IFERROR(__xludf.DUMMYFUNCTION("""COMPUTED_VALUE"""),"H-247")</f>
        <v>H-247</v>
      </c>
      <c r="B3515" s="226" t="str">
        <f>IFERROR(__xludf.DUMMYFUNCTION("""COMPUTED_VALUE"""),"5907615807176")</f>
        <v>5907615807176</v>
      </c>
      <c r="C3515" t="str">
        <f>IFERROR(__xludf.DUMMYFUNCTION("""COMPUTED_VALUE"""),"Steinhof")</f>
        <v>Steinhof</v>
      </c>
    </row>
    <row r="3516">
      <c r="A3516" t="str">
        <f>IFERROR(__xludf.DUMMYFUNCTION("""COMPUTED_VALUE"""),"H-248")</f>
        <v>H-248</v>
      </c>
      <c r="B3516" s="226" t="str">
        <f>IFERROR(__xludf.DUMMYFUNCTION("""COMPUTED_VALUE"""),"5907615807183")</f>
        <v>5907615807183</v>
      </c>
      <c r="C3516" t="str">
        <f>IFERROR(__xludf.DUMMYFUNCTION("""COMPUTED_VALUE"""),"Steinhof")</f>
        <v>Steinhof</v>
      </c>
    </row>
    <row r="3517">
      <c r="A3517" t="str">
        <f>IFERROR(__xludf.DUMMYFUNCTION("""COMPUTED_VALUE"""),"H-248")</f>
        <v>H-248</v>
      </c>
      <c r="B3517" s="226" t="str">
        <f>IFERROR(__xludf.DUMMYFUNCTION("""COMPUTED_VALUE"""),"5907615807183")</f>
        <v>5907615807183</v>
      </c>
      <c r="C3517" t="str">
        <f>IFERROR(__xludf.DUMMYFUNCTION("""COMPUTED_VALUE"""),"Steinhof")</f>
        <v>Steinhof</v>
      </c>
    </row>
    <row r="3518">
      <c r="A3518" t="str">
        <f>IFERROR(__xludf.DUMMYFUNCTION("""COMPUTED_VALUE"""),"H-249")</f>
        <v>H-249</v>
      </c>
      <c r="B3518" s="226" t="str">
        <f>IFERROR(__xludf.DUMMYFUNCTION("""COMPUTED_VALUE"""),"5907615807190")</f>
        <v>5907615807190</v>
      </c>
      <c r="C3518" t="str">
        <f>IFERROR(__xludf.DUMMYFUNCTION("""COMPUTED_VALUE"""),"Steinhof")</f>
        <v>Steinhof</v>
      </c>
    </row>
    <row r="3519">
      <c r="A3519" t="str">
        <f>IFERROR(__xludf.DUMMYFUNCTION("""COMPUTED_VALUE"""),"H-249")</f>
        <v>H-249</v>
      </c>
      <c r="B3519" s="226" t="str">
        <f>IFERROR(__xludf.DUMMYFUNCTION("""COMPUTED_VALUE"""),"5907615807190")</f>
        <v>5907615807190</v>
      </c>
      <c r="C3519" t="str">
        <f>IFERROR(__xludf.DUMMYFUNCTION("""COMPUTED_VALUE"""),"Steinhof")</f>
        <v>Steinhof</v>
      </c>
    </row>
    <row r="3520">
      <c r="A3520" t="str">
        <f>IFERROR(__xludf.DUMMYFUNCTION("""COMPUTED_VALUE"""),"H-250")</f>
        <v>H-250</v>
      </c>
      <c r="B3520" s="226" t="str">
        <f>IFERROR(__xludf.DUMMYFUNCTION("""COMPUTED_VALUE"""),"5907615807206")</f>
        <v>5907615807206</v>
      </c>
      <c r="C3520" t="str">
        <f>IFERROR(__xludf.DUMMYFUNCTION("""COMPUTED_VALUE"""),"Steinhof")</f>
        <v>Steinhof</v>
      </c>
    </row>
    <row r="3521">
      <c r="A3521" t="str">
        <f>IFERROR(__xludf.DUMMYFUNCTION("""COMPUTED_VALUE"""),"H-250")</f>
        <v>H-250</v>
      </c>
      <c r="B3521" s="226" t="str">
        <f>IFERROR(__xludf.DUMMYFUNCTION("""COMPUTED_VALUE"""),"5907615807206")</f>
        <v>5907615807206</v>
      </c>
      <c r="C3521" t="str">
        <f>IFERROR(__xludf.DUMMYFUNCTION("""COMPUTED_VALUE"""),"Steinhof")</f>
        <v>Steinhof</v>
      </c>
    </row>
    <row r="3522">
      <c r="A3522" t="str">
        <f>IFERROR(__xludf.DUMMYFUNCTION("""COMPUTED_VALUE"""),"H-251")</f>
        <v>H-251</v>
      </c>
      <c r="B3522" s="226" t="str">
        <f>IFERROR(__xludf.DUMMYFUNCTION("""COMPUTED_VALUE"""),"5907615807213")</f>
        <v>5907615807213</v>
      </c>
      <c r="C3522" t="str">
        <f>IFERROR(__xludf.DUMMYFUNCTION("""COMPUTED_VALUE"""),"Steinhof")</f>
        <v>Steinhof</v>
      </c>
    </row>
    <row r="3523">
      <c r="A3523" t="str">
        <f>IFERROR(__xludf.DUMMYFUNCTION("""COMPUTED_VALUE"""),"H-251")</f>
        <v>H-251</v>
      </c>
      <c r="B3523" s="226" t="str">
        <f>IFERROR(__xludf.DUMMYFUNCTION("""COMPUTED_VALUE"""),"5907615807213")</f>
        <v>5907615807213</v>
      </c>
      <c r="C3523" t="str">
        <f>IFERROR(__xludf.DUMMYFUNCTION("""COMPUTED_VALUE"""),"Steinhof")</f>
        <v>Steinhof</v>
      </c>
    </row>
    <row r="3524">
      <c r="A3524" t="str">
        <f>IFERROR(__xludf.DUMMYFUNCTION("""COMPUTED_VALUE"""),"H-252")</f>
        <v>H-252</v>
      </c>
      <c r="B3524" s="226" t="str">
        <f>IFERROR(__xludf.DUMMYFUNCTION("""COMPUTED_VALUE"""),"5907615807220")</f>
        <v>5907615807220</v>
      </c>
      <c r="C3524" t="str">
        <f>IFERROR(__xludf.DUMMYFUNCTION("""COMPUTED_VALUE"""),"Steinhof")</f>
        <v>Steinhof</v>
      </c>
    </row>
    <row r="3525">
      <c r="A3525" t="str">
        <f>IFERROR(__xludf.DUMMYFUNCTION("""COMPUTED_VALUE"""),"H-252")</f>
        <v>H-252</v>
      </c>
      <c r="B3525" s="226" t="str">
        <f>IFERROR(__xludf.DUMMYFUNCTION("""COMPUTED_VALUE"""),"5907615807220")</f>
        <v>5907615807220</v>
      </c>
      <c r="C3525" t="str">
        <f>IFERROR(__xludf.DUMMYFUNCTION("""COMPUTED_VALUE"""),"Steinhof")</f>
        <v>Steinhof</v>
      </c>
    </row>
    <row r="3526">
      <c r="A3526" t="str">
        <f>IFERROR(__xludf.DUMMYFUNCTION("""COMPUTED_VALUE"""),"H-253")</f>
        <v>H-253</v>
      </c>
      <c r="B3526" s="226" t="str">
        <f>IFERROR(__xludf.DUMMYFUNCTION("""COMPUTED_VALUE"""),"5907615807237")</f>
        <v>5907615807237</v>
      </c>
      <c r="C3526" t="str">
        <f>IFERROR(__xludf.DUMMYFUNCTION("""COMPUTED_VALUE"""),"Steinhof")</f>
        <v>Steinhof</v>
      </c>
    </row>
    <row r="3527">
      <c r="A3527" t="str">
        <f>IFERROR(__xludf.DUMMYFUNCTION("""COMPUTED_VALUE"""),"H-253")</f>
        <v>H-253</v>
      </c>
      <c r="B3527" s="226" t="str">
        <f>IFERROR(__xludf.DUMMYFUNCTION("""COMPUTED_VALUE"""),"5907615807237")</f>
        <v>5907615807237</v>
      </c>
      <c r="C3527" t="str">
        <f>IFERROR(__xludf.DUMMYFUNCTION("""COMPUTED_VALUE"""),"Steinhof")</f>
        <v>Steinhof</v>
      </c>
    </row>
    <row r="3528">
      <c r="A3528" t="str">
        <f>IFERROR(__xludf.DUMMYFUNCTION("""COMPUTED_VALUE"""),"H-253")</f>
        <v>H-253</v>
      </c>
      <c r="B3528" s="226" t="str">
        <f>IFERROR(__xludf.DUMMYFUNCTION("""COMPUTED_VALUE"""),"5907615807237")</f>
        <v>5907615807237</v>
      </c>
      <c r="C3528" t="str">
        <f>IFERROR(__xludf.DUMMYFUNCTION("""COMPUTED_VALUE"""),"Steinhof")</f>
        <v>Steinhof</v>
      </c>
    </row>
    <row r="3529">
      <c r="A3529" t="str">
        <f>IFERROR(__xludf.DUMMYFUNCTION("""COMPUTED_VALUE"""),"H-254")</f>
        <v>H-254</v>
      </c>
      <c r="B3529" s="226" t="str">
        <f>IFERROR(__xludf.DUMMYFUNCTION("""COMPUTED_VALUE"""),"5907615807244")</f>
        <v>5907615807244</v>
      </c>
      <c r="C3529" t="str">
        <f>IFERROR(__xludf.DUMMYFUNCTION("""COMPUTED_VALUE"""),"Steinhof")</f>
        <v>Steinhof</v>
      </c>
    </row>
    <row r="3530">
      <c r="A3530" t="str">
        <f>IFERROR(__xludf.DUMMYFUNCTION("""COMPUTED_VALUE"""),"H-254")</f>
        <v>H-254</v>
      </c>
      <c r="B3530" s="226" t="str">
        <f>IFERROR(__xludf.DUMMYFUNCTION("""COMPUTED_VALUE"""),"5907615807244")</f>
        <v>5907615807244</v>
      </c>
      <c r="C3530" t="str">
        <f>IFERROR(__xludf.DUMMYFUNCTION("""COMPUTED_VALUE"""),"Steinhof")</f>
        <v>Steinhof</v>
      </c>
    </row>
    <row r="3531">
      <c r="A3531" t="str">
        <f>IFERROR(__xludf.DUMMYFUNCTION("""COMPUTED_VALUE"""),"H-254")</f>
        <v>H-254</v>
      </c>
      <c r="B3531" s="226" t="str">
        <f>IFERROR(__xludf.DUMMYFUNCTION("""COMPUTED_VALUE"""),"5907615807244")</f>
        <v>5907615807244</v>
      </c>
      <c r="C3531" t="str">
        <f>IFERROR(__xludf.DUMMYFUNCTION("""COMPUTED_VALUE"""),"Steinhof")</f>
        <v>Steinhof</v>
      </c>
    </row>
    <row r="3532">
      <c r="A3532" t="str">
        <f>IFERROR(__xludf.DUMMYFUNCTION("""COMPUTED_VALUE"""),"H-255")</f>
        <v>H-255</v>
      </c>
      <c r="B3532" s="226" t="str">
        <f>IFERROR(__xludf.DUMMYFUNCTION("""COMPUTED_VALUE"""),"5907615807251")</f>
        <v>5907615807251</v>
      </c>
      <c r="C3532" t="str">
        <f>IFERROR(__xludf.DUMMYFUNCTION("""COMPUTED_VALUE"""),"Steinhof")</f>
        <v>Steinhof</v>
      </c>
    </row>
    <row r="3533">
      <c r="A3533" t="str">
        <f>IFERROR(__xludf.DUMMYFUNCTION("""COMPUTED_VALUE"""),"H-255")</f>
        <v>H-255</v>
      </c>
      <c r="B3533" s="226" t="str">
        <f>IFERROR(__xludf.DUMMYFUNCTION("""COMPUTED_VALUE"""),"5907615807251")</f>
        <v>5907615807251</v>
      </c>
      <c r="C3533" t="str">
        <f>IFERROR(__xludf.DUMMYFUNCTION("""COMPUTED_VALUE"""),"Steinhof")</f>
        <v>Steinhof</v>
      </c>
    </row>
    <row r="3534">
      <c r="A3534" t="str">
        <f>IFERROR(__xludf.DUMMYFUNCTION("""COMPUTED_VALUE"""),"H-256")</f>
        <v>H-256</v>
      </c>
      <c r="B3534" s="226" t="str">
        <f>IFERROR(__xludf.DUMMYFUNCTION("""COMPUTED_VALUE"""),"5907615807268")</f>
        <v>5907615807268</v>
      </c>
      <c r="C3534" t="str">
        <f>IFERROR(__xludf.DUMMYFUNCTION("""COMPUTED_VALUE"""),"Steinhof")</f>
        <v>Steinhof</v>
      </c>
    </row>
    <row r="3535">
      <c r="A3535" t="str">
        <f>IFERROR(__xludf.DUMMYFUNCTION("""COMPUTED_VALUE"""),"H-256")</f>
        <v>H-256</v>
      </c>
      <c r="B3535" s="226" t="str">
        <f>IFERROR(__xludf.DUMMYFUNCTION("""COMPUTED_VALUE"""),"5907615807268")</f>
        <v>5907615807268</v>
      </c>
      <c r="C3535" t="str">
        <f>IFERROR(__xludf.DUMMYFUNCTION("""COMPUTED_VALUE"""),"Steinhof")</f>
        <v>Steinhof</v>
      </c>
    </row>
    <row r="3536">
      <c r="A3536" t="str">
        <f>IFERROR(__xludf.DUMMYFUNCTION("""COMPUTED_VALUE"""),"H-257")</f>
        <v>H-257</v>
      </c>
      <c r="B3536" s="226" t="str">
        <f>IFERROR(__xludf.DUMMYFUNCTION("""COMPUTED_VALUE"""),"5907615807275")</f>
        <v>5907615807275</v>
      </c>
      <c r="C3536" t="str">
        <f>IFERROR(__xludf.DUMMYFUNCTION("""COMPUTED_VALUE"""),"Steinhof")</f>
        <v>Steinhof</v>
      </c>
    </row>
    <row r="3537">
      <c r="A3537" t="str">
        <f>IFERROR(__xludf.DUMMYFUNCTION("""COMPUTED_VALUE"""),"H-257")</f>
        <v>H-257</v>
      </c>
      <c r="B3537" s="226" t="str">
        <f>IFERROR(__xludf.DUMMYFUNCTION("""COMPUTED_VALUE"""),"5907615807275")</f>
        <v>5907615807275</v>
      </c>
      <c r="C3537" t="str">
        <f>IFERROR(__xludf.DUMMYFUNCTION("""COMPUTED_VALUE"""),"Steinhof")</f>
        <v>Steinhof</v>
      </c>
    </row>
    <row r="3538">
      <c r="A3538" t="str">
        <f>IFERROR(__xludf.DUMMYFUNCTION("""COMPUTED_VALUE"""),"H-258")</f>
        <v>H-258</v>
      </c>
      <c r="B3538" s="226" t="str">
        <f>IFERROR(__xludf.DUMMYFUNCTION("""COMPUTED_VALUE"""),"5907615807282")</f>
        <v>5907615807282</v>
      </c>
      <c r="C3538" t="str">
        <f>IFERROR(__xludf.DUMMYFUNCTION("""COMPUTED_VALUE"""),"Steinhof")</f>
        <v>Steinhof</v>
      </c>
    </row>
    <row r="3539">
      <c r="A3539" t="str">
        <f>IFERROR(__xludf.DUMMYFUNCTION("""COMPUTED_VALUE"""),"H-261")</f>
        <v>H-261</v>
      </c>
      <c r="B3539" s="226" t="str">
        <f>IFERROR(__xludf.DUMMYFUNCTION("""COMPUTED_VALUE"""),"5907615807312")</f>
        <v>5907615807312</v>
      </c>
      <c r="C3539" t="str">
        <f>IFERROR(__xludf.DUMMYFUNCTION("""COMPUTED_VALUE"""),"Steinhof")</f>
        <v>Steinhof</v>
      </c>
    </row>
    <row r="3540">
      <c r="A3540" t="str">
        <f>IFERROR(__xludf.DUMMYFUNCTION("""COMPUTED_VALUE"""),"H-262")</f>
        <v>H-262</v>
      </c>
      <c r="B3540" s="226" t="str">
        <f>IFERROR(__xludf.DUMMYFUNCTION("""COMPUTED_VALUE"""),"5907615807329")</f>
        <v>5907615807329</v>
      </c>
      <c r="C3540" t="str">
        <f>IFERROR(__xludf.DUMMYFUNCTION("""COMPUTED_VALUE"""),"Steinhof")</f>
        <v>Steinhof</v>
      </c>
    </row>
    <row r="3541">
      <c r="A3541" t="str">
        <f>IFERROR(__xludf.DUMMYFUNCTION("""COMPUTED_VALUE"""),"H-263")</f>
        <v>H-263</v>
      </c>
      <c r="B3541" s="226" t="str">
        <f>IFERROR(__xludf.DUMMYFUNCTION("""COMPUTED_VALUE"""),"5907615807336")</f>
        <v>5907615807336</v>
      </c>
      <c r="C3541" t="str">
        <f>IFERROR(__xludf.DUMMYFUNCTION("""COMPUTED_VALUE"""),"Steinhof")</f>
        <v>Steinhof</v>
      </c>
    </row>
    <row r="3542">
      <c r="A3542" t="str">
        <f>IFERROR(__xludf.DUMMYFUNCTION("""COMPUTED_VALUE"""),"H-264")</f>
        <v>H-264</v>
      </c>
      <c r="B3542" s="226" t="str">
        <f>IFERROR(__xludf.DUMMYFUNCTION("""COMPUTED_VALUE"""),"5907615807343")</f>
        <v>5907615807343</v>
      </c>
      <c r="C3542" t="str">
        <f>IFERROR(__xludf.DUMMYFUNCTION("""COMPUTED_VALUE"""),"Steinhof")</f>
        <v>Steinhof</v>
      </c>
    </row>
    <row r="3543">
      <c r="A3543" t="str">
        <f>IFERROR(__xludf.DUMMYFUNCTION("""COMPUTED_VALUE"""),"H-265")</f>
        <v>H-265</v>
      </c>
      <c r="B3543" s="226" t="str">
        <f>IFERROR(__xludf.DUMMYFUNCTION("""COMPUTED_VALUE"""),"5907615807350")</f>
        <v>5907615807350</v>
      </c>
      <c r="C3543" t="str">
        <f>IFERROR(__xludf.DUMMYFUNCTION("""COMPUTED_VALUE"""),"Steinhof")</f>
        <v>Steinhof</v>
      </c>
    </row>
    <row r="3544">
      <c r="A3544" t="str">
        <f>IFERROR(__xludf.DUMMYFUNCTION("""COMPUTED_VALUE"""),"H-265")</f>
        <v>H-265</v>
      </c>
      <c r="B3544" s="226" t="str">
        <f>IFERROR(__xludf.DUMMYFUNCTION("""COMPUTED_VALUE"""),"5907615807350")</f>
        <v>5907615807350</v>
      </c>
      <c r="C3544" t="str">
        <f>IFERROR(__xludf.DUMMYFUNCTION("""COMPUTED_VALUE"""),"Steinhof")</f>
        <v>Steinhof</v>
      </c>
    </row>
    <row r="3545">
      <c r="A3545" t="str">
        <f>IFERROR(__xludf.DUMMYFUNCTION("""COMPUTED_VALUE"""),"H-266")</f>
        <v>H-266</v>
      </c>
      <c r="B3545" s="226" t="str">
        <f>IFERROR(__xludf.DUMMYFUNCTION("""COMPUTED_VALUE"""),"5907615807367")</f>
        <v>5907615807367</v>
      </c>
      <c r="C3545" t="str">
        <f>IFERROR(__xludf.DUMMYFUNCTION("""COMPUTED_VALUE"""),"Steinhof")</f>
        <v>Steinhof</v>
      </c>
    </row>
    <row r="3546">
      <c r="A3546" t="str">
        <f>IFERROR(__xludf.DUMMYFUNCTION("""COMPUTED_VALUE"""),"H-266")</f>
        <v>H-266</v>
      </c>
      <c r="B3546" s="226" t="str">
        <f>IFERROR(__xludf.DUMMYFUNCTION("""COMPUTED_VALUE"""),"5907615807367")</f>
        <v>5907615807367</v>
      </c>
      <c r="C3546" t="str">
        <f>IFERROR(__xludf.DUMMYFUNCTION("""COMPUTED_VALUE"""),"Steinhof")</f>
        <v>Steinhof</v>
      </c>
    </row>
    <row r="3547">
      <c r="A3547" t="str">
        <f>IFERROR(__xludf.DUMMYFUNCTION("""COMPUTED_VALUE"""),"H-268")</f>
        <v>H-268</v>
      </c>
      <c r="B3547" s="226" t="str">
        <f>IFERROR(__xludf.DUMMYFUNCTION("""COMPUTED_VALUE"""),"5907615807381")</f>
        <v>5907615807381</v>
      </c>
      <c r="C3547" t="str">
        <f>IFERROR(__xludf.DUMMYFUNCTION("""COMPUTED_VALUE"""),"Steinhof")</f>
        <v>Steinhof</v>
      </c>
    </row>
    <row r="3548">
      <c r="A3548" t="str">
        <f>IFERROR(__xludf.DUMMYFUNCTION("""COMPUTED_VALUE"""),"H-269")</f>
        <v>H-269</v>
      </c>
      <c r="B3548" s="226" t="str">
        <f>IFERROR(__xludf.DUMMYFUNCTION("""COMPUTED_VALUE"""),"5907615807398")</f>
        <v>5907615807398</v>
      </c>
      <c r="C3548" t="str">
        <f>IFERROR(__xludf.DUMMYFUNCTION("""COMPUTED_VALUE"""),"Steinhof")</f>
        <v>Steinhof</v>
      </c>
    </row>
    <row r="3549">
      <c r="A3549" t="str">
        <f>IFERROR(__xludf.DUMMYFUNCTION("""COMPUTED_VALUE"""),"H-270")</f>
        <v>H-270</v>
      </c>
      <c r="B3549" s="226" t="str">
        <f>IFERROR(__xludf.DUMMYFUNCTION("""COMPUTED_VALUE"""),"5907615807404")</f>
        <v>5907615807404</v>
      </c>
      <c r="C3549" t="str">
        <f>IFERROR(__xludf.DUMMYFUNCTION("""COMPUTED_VALUE"""),"Steinhof")</f>
        <v>Steinhof</v>
      </c>
    </row>
    <row r="3550">
      <c r="A3550" t="str">
        <f>IFERROR(__xludf.DUMMYFUNCTION("""COMPUTED_VALUE"""),"H-270")</f>
        <v>H-270</v>
      </c>
      <c r="B3550" s="226" t="str">
        <f>IFERROR(__xludf.DUMMYFUNCTION("""COMPUTED_VALUE"""),"5907615807404")</f>
        <v>5907615807404</v>
      </c>
      <c r="C3550" t="str">
        <f>IFERROR(__xludf.DUMMYFUNCTION("""COMPUTED_VALUE"""),"Steinhof")</f>
        <v>Steinhof</v>
      </c>
    </row>
    <row r="3551">
      <c r="A3551" t="str">
        <f>IFERROR(__xludf.DUMMYFUNCTION("""COMPUTED_VALUE"""),"H-272")</f>
        <v>H-272</v>
      </c>
      <c r="B3551" s="226" t="str">
        <f>IFERROR(__xludf.DUMMYFUNCTION("""COMPUTED_VALUE"""),"5907615807428")</f>
        <v>5907615807428</v>
      </c>
      <c r="C3551" t="str">
        <f>IFERROR(__xludf.DUMMYFUNCTION("""COMPUTED_VALUE"""),"Steinhof")</f>
        <v>Steinhof</v>
      </c>
    </row>
    <row r="3552">
      <c r="A3552" t="str">
        <f>IFERROR(__xludf.DUMMYFUNCTION("""COMPUTED_VALUE"""),"H-272")</f>
        <v>H-272</v>
      </c>
      <c r="B3552" s="226" t="str">
        <f>IFERROR(__xludf.DUMMYFUNCTION("""COMPUTED_VALUE"""),"5907615807428")</f>
        <v>5907615807428</v>
      </c>
      <c r="C3552" t="str">
        <f>IFERROR(__xludf.DUMMYFUNCTION("""COMPUTED_VALUE"""),"Steinhof")</f>
        <v>Steinhof</v>
      </c>
    </row>
    <row r="3553">
      <c r="A3553" t="str">
        <f>IFERROR(__xludf.DUMMYFUNCTION("""COMPUTED_VALUE"""),"H-273")</f>
        <v>H-273</v>
      </c>
      <c r="B3553" s="226" t="str">
        <f>IFERROR(__xludf.DUMMYFUNCTION("""COMPUTED_VALUE"""),"5907615807435")</f>
        <v>5907615807435</v>
      </c>
      <c r="C3553" t="str">
        <f>IFERROR(__xludf.DUMMYFUNCTION("""COMPUTED_VALUE"""),"Steinhof")</f>
        <v>Steinhof</v>
      </c>
    </row>
    <row r="3554">
      <c r="A3554" t="str">
        <f>IFERROR(__xludf.DUMMYFUNCTION("""COMPUTED_VALUE"""),"H-273")</f>
        <v>H-273</v>
      </c>
      <c r="B3554" s="226" t="str">
        <f>IFERROR(__xludf.DUMMYFUNCTION("""COMPUTED_VALUE"""),"5907615807435")</f>
        <v>5907615807435</v>
      </c>
      <c r="C3554" t="str">
        <f>IFERROR(__xludf.DUMMYFUNCTION("""COMPUTED_VALUE"""),"Steinhof")</f>
        <v>Steinhof</v>
      </c>
    </row>
    <row r="3555">
      <c r="A3555" t="str">
        <f>IFERROR(__xludf.DUMMYFUNCTION("""COMPUTED_VALUE"""),"H-278")</f>
        <v>H-278</v>
      </c>
      <c r="B3555" s="226" t="str">
        <f>IFERROR(__xludf.DUMMYFUNCTION("""COMPUTED_VALUE"""),"5907615807480")</f>
        <v>5907615807480</v>
      </c>
      <c r="C3555" t="str">
        <f>IFERROR(__xludf.DUMMYFUNCTION("""COMPUTED_VALUE"""),"Steinhof")</f>
        <v>Steinhof</v>
      </c>
    </row>
    <row r="3556">
      <c r="A3556" t="str">
        <f>IFERROR(__xludf.DUMMYFUNCTION("""COMPUTED_VALUE"""),"H-278")</f>
        <v>H-278</v>
      </c>
      <c r="B3556" s="226" t="str">
        <f>IFERROR(__xludf.DUMMYFUNCTION("""COMPUTED_VALUE"""),"5907615807480")</f>
        <v>5907615807480</v>
      </c>
      <c r="C3556" t="str">
        <f>IFERROR(__xludf.DUMMYFUNCTION("""COMPUTED_VALUE"""),"Steinhof")</f>
        <v>Steinhof</v>
      </c>
    </row>
    <row r="3557">
      <c r="A3557" t="str">
        <f>IFERROR(__xludf.DUMMYFUNCTION("""COMPUTED_VALUE"""),"H-278")</f>
        <v>H-278</v>
      </c>
      <c r="B3557" s="226" t="str">
        <f>IFERROR(__xludf.DUMMYFUNCTION("""COMPUTED_VALUE"""),"5907615807480")</f>
        <v>5907615807480</v>
      </c>
      <c r="C3557" t="str">
        <f>IFERROR(__xludf.DUMMYFUNCTION("""COMPUTED_VALUE"""),"Steinhof")</f>
        <v>Steinhof</v>
      </c>
    </row>
    <row r="3558">
      <c r="A3558" t="str">
        <f>IFERROR(__xludf.DUMMYFUNCTION("""COMPUTED_VALUE"""),"H-278")</f>
        <v>H-278</v>
      </c>
      <c r="B3558" s="226" t="str">
        <f>IFERROR(__xludf.DUMMYFUNCTION("""COMPUTED_VALUE"""),"5907615807480")</f>
        <v>5907615807480</v>
      </c>
      <c r="C3558" t="str">
        <f>IFERROR(__xludf.DUMMYFUNCTION("""COMPUTED_VALUE"""),"Steinhof")</f>
        <v>Steinhof</v>
      </c>
    </row>
    <row r="3559">
      <c r="A3559" t="str">
        <f>IFERROR(__xludf.DUMMYFUNCTION("""COMPUTED_VALUE"""),"H-279")</f>
        <v>H-279</v>
      </c>
      <c r="B3559" s="226" t="str">
        <f>IFERROR(__xludf.DUMMYFUNCTION("""COMPUTED_VALUE"""),"5907615807497")</f>
        <v>5907615807497</v>
      </c>
      <c r="C3559" t="str">
        <f>IFERROR(__xludf.DUMMYFUNCTION("""COMPUTED_VALUE"""),"Steinhof")</f>
        <v>Steinhof</v>
      </c>
    </row>
    <row r="3560">
      <c r="A3560" t="str">
        <f>IFERROR(__xludf.DUMMYFUNCTION("""COMPUTED_VALUE"""),"H-279")</f>
        <v>H-279</v>
      </c>
      <c r="B3560" s="226" t="str">
        <f>IFERROR(__xludf.DUMMYFUNCTION("""COMPUTED_VALUE"""),"5907615807497")</f>
        <v>5907615807497</v>
      </c>
      <c r="C3560" t="str">
        <f>IFERROR(__xludf.DUMMYFUNCTION("""COMPUTED_VALUE"""),"Steinhof")</f>
        <v>Steinhof</v>
      </c>
    </row>
    <row r="3561">
      <c r="A3561" t="str">
        <f>IFERROR(__xludf.DUMMYFUNCTION("""COMPUTED_VALUE"""),"H-279")</f>
        <v>H-279</v>
      </c>
      <c r="B3561" s="226" t="str">
        <f>IFERROR(__xludf.DUMMYFUNCTION("""COMPUTED_VALUE"""),"5907615807497")</f>
        <v>5907615807497</v>
      </c>
      <c r="C3561" t="str">
        <f>IFERROR(__xludf.DUMMYFUNCTION("""COMPUTED_VALUE"""),"Steinhof")</f>
        <v>Steinhof</v>
      </c>
    </row>
    <row r="3562">
      <c r="A3562" t="str">
        <f>IFERROR(__xludf.DUMMYFUNCTION("""COMPUTED_VALUE"""),"H-279")</f>
        <v>H-279</v>
      </c>
      <c r="B3562" s="226" t="str">
        <f>IFERROR(__xludf.DUMMYFUNCTION("""COMPUTED_VALUE"""),"5907615807497")</f>
        <v>5907615807497</v>
      </c>
      <c r="C3562" t="str">
        <f>IFERROR(__xludf.DUMMYFUNCTION("""COMPUTED_VALUE"""),"Steinhof")</f>
        <v>Steinhof</v>
      </c>
    </row>
    <row r="3563">
      <c r="A3563" t="str">
        <f>IFERROR(__xludf.DUMMYFUNCTION("""COMPUTED_VALUE"""),"H-280")</f>
        <v>H-280</v>
      </c>
      <c r="B3563" s="226" t="str">
        <f>IFERROR(__xludf.DUMMYFUNCTION("""COMPUTED_VALUE"""),"5907615807503")</f>
        <v>5907615807503</v>
      </c>
      <c r="C3563" t="str">
        <f>IFERROR(__xludf.DUMMYFUNCTION("""COMPUTED_VALUE"""),"Steinhof")</f>
        <v>Steinhof</v>
      </c>
    </row>
    <row r="3564">
      <c r="A3564" t="str">
        <f>IFERROR(__xludf.DUMMYFUNCTION("""COMPUTED_VALUE"""),"H-280")</f>
        <v>H-280</v>
      </c>
      <c r="B3564" s="226" t="str">
        <f>IFERROR(__xludf.DUMMYFUNCTION("""COMPUTED_VALUE"""),"5907615807503")</f>
        <v>5907615807503</v>
      </c>
      <c r="C3564" t="str">
        <f>IFERROR(__xludf.DUMMYFUNCTION("""COMPUTED_VALUE"""),"Steinhof")</f>
        <v>Steinhof</v>
      </c>
    </row>
    <row r="3565">
      <c r="A3565" t="str">
        <f>IFERROR(__xludf.DUMMYFUNCTION("""COMPUTED_VALUE"""),"H-280")</f>
        <v>H-280</v>
      </c>
      <c r="B3565" s="226" t="str">
        <f>IFERROR(__xludf.DUMMYFUNCTION("""COMPUTED_VALUE"""),"5907615807503")</f>
        <v>5907615807503</v>
      </c>
      <c r="C3565" t="str">
        <f>IFERROR(__xludf.DUMMYFUNCTION("""COMPUTED_VALUE"""),"Steinhof")</f>
        <v>Steinhof</v>
      </c>
    </row>
    <row r="3566">
      <c r="A3566" t="str">
        <f>IFERROR(__xludf.DUMMYFUNCTION("""COMPUTED_VALUE"""),"H-280")</f>
        <v>H-280</v>
      </c>
      <c r="B3566" s="226" t="str">
        <f>IFERROR(__xludf.DUMMYFUNCTION("""COMPUTED_VALUE"""),"5907615807503")</f>
        <v>5907615807503</v>
      </c>
      <c r="C3566" t="str">
        <f>IFERROR(__xludf.DUMMYFUNCTION("""COMPUTED_VALUE"""),"Steinhof")</f>
        <v>Steinhof</v>
      </c>
    </row>
    <row r="3567">
      <c r="A3567" t="str">
        <f>IFERROR(__xludf.DUMMYFUNCTION("""COMPUTED_VALUE"""),"H-281")</f>
        <v>H-281</v>
      </c>
      <c r="B3567" s="226" t="str">
        <f>IFERROR(__xludf.DUMMYFUNCTION("""COMPUTED_VALUE"""),"5907615807510")</f>
        <v>5907615807510</v>
      </c>
      <c r="C3567" t="str">
        <f>IFERROR(__xludf.DUMMYFUNCTION("""COMPUTED_VALUE"""),"Steinhof")</f>
        <v>Steinhof</v>
      </c>
    </row>
    <row r="3568">
      <c r="A3568" t="str">
        <f>IFERROR(__xludf.DUMMYFUNCTION("""COMPUTED_VALUE"""),"H-281")</f>
        <v>H-281</v>
      </c>
      <c r="B3568" s="226" t="str">
        <f>IFERROR(__xludf.DUMMYFUNCTION("""COMPUTED_VALUE"""),"5907615807510")</f>
        <v>5907615807510</v>
      </c>
      <c r="C3568" t="str">
        <f>IFERROR(__xludf.DUMMYFUNCTION("""COMPUTED_VALUE"""),"Steinhof")</f>
        <v>Steinhof</v>
      </c>
    </row>
    <row r="3569">
      <c r="A3569" t="str">
        <f>IFERROR(__xludf.DUMMYFUNCTION("""COMPUTED_VALUE"""),"H-281")</f>
        <v>H-281</v>
      </c>
      <c r="B3569" s="226" t="str">
        <f>IFERROR(__xludf.DUMMYFUNCTION("""COMPUTED_VALUE"""),"5907615807510")</f>
        <v>5907615807510</v>
      </c>
      <c r="C3569" t="str">
        <f>IFERROR(__xludf.DUMMYFUNCTION("""COMPUTED_VALUE"""),"Steinhof")</f>
        <v>Steinhof</v>
      </c>
    </row>
    <row r="3570">
      <c r="A3570" t="str">
        <f>IFERROR(__xludf.DUMMYFUNCTION("""COMPUTED_VALUE"""),"H-281")</f>
        <v>H-281</v>
      </c>
      <c r="B3570" s="226" t="str">
        <f>IFERROR(__xludf.DUMMYFUNCTION("""COMPUTED_VALUE"""),"5907615807510")</f>
        <v>5907615807510</v>
      </c>
      <c r="C3570" t="str">
        <f>IFERROR(__xludf.DUMMYFUNCTION("""COMPUTED_VALUE"""),"Steinhof")</f>
        <v>Steinhof</v>
      </c>
    </row>
    <row r="3571">
      <c r="A3571" t="str">
        <f>IFERROR(__xludf.DUMMYFUNCTION("""COMPUTED_VALUE"""),"I-030")</f>
        <v>I-030</v>
      </c>
      <c r="B3571" s="226" t="str">
        <f>IFERROR(__xludf.DUMMYFUNCTION("""COMPUTED_VALUE"""),"5907615807619")</f>
        <v>5907615807619</v>
      </c>
      <c r="C3571" t="str">
        <f>IFERROR(__xludf.DUMMYFUNCTION("""COMPUTED_VALUE"""),"Steinhof")</f>
        <v>Steinhof</v>
      </c>
    </row>
    <row r="3572">
      <c r="A3572" t="str">
        <f>IFERROR(__xludf.DUMMYFUNCTION("""COMPUTED_VALUE"""),"I-031")</f>
        <v>I-031</v>
      </c>
      <c r="B3572" s="226" t="str">
        <f>IFERROR(__xludf.DUMMYFUNCTION("""COMPUTED_VALUE"""),"5907615807626")</f>
        <v>5907615807626</v>
      </c>
      <c r="C3572" t="str">
        <f>IFERROR(__xludf.DUMMYFUNCTION("""COMPUTED_VALUE"""),"Steinhof")</f>
        <v>Steinhof</v>
      </c>
    </row>
    <row r="3573">
      <c r="A3573" t="str">
        <f>IFERROR(__xludf.DUMMYFUNCTION("""COMPUTED_VALUE"""),"I-031")</f>
        <v>I-031</v>
      </c>
      <c r="B3573" s="226" t="str">
        <f>IFERROR(__xludf.DUMMYFUNCTION("""COMPUTED_VALUE"""),"5907615807626")</f>
        <v>5907615807626</v>
      </c>
      <c r="C3573" t="str">
        <f>IFERROR(__xludf.DUMMYFUNCTION("""COMPUTED_VALUE"""),"Steinhof")</f>
        <v>Steinhof</v>
      </c>
    </row>
    <row r="3574">
      <c r="A3574" t="str">
        <f>IFERROR(__xludf.DUMMYFUNCTION("""COMPUTED_VALUE"""),"I-032")</f>
        <v>I-032</v>
      </c>
      <c r="B3574" s="226" t="str">
        <f>IFERROR(__xludf.DUMMYFUNCTION("""COMPUTED_VALUE"""),"5907615807633")</f>
        <v>5907615807633</v>
      </c>
      <c r="C3574" t="str">
        <f>IFERROR(__xludf.DUMMYFUNCTION("""COMPUTED_VALUE"""),"Steinhof")</f>
        <v>Steinhof</v>
      </c>
    </row>
    <row r="3575">
      <c r="A3575" t="str">
        <f>IFERROR(__xludf.DUMMYFUNCTION("""COMPUTED_VALUE"""),"I-026")</f>
        <v>I-026</v>
      </c>
      <c r="B3575" s="226" t="str">
        <f>IFERROR(__xludf.DUMMYFUNCTION("""COMPUTED_VALUE"""),"5907615807718")</f>
        <v>5907615807718</v>
      </c>
      <c r="C3575" t="str">
        <f>IFERROR(__xludf.DUMMYFUNCTION("""COMPUTED_VALUE"""),"Steinhof")</f>
        <v>Steinhof</v>
      </c>
    </row>
    <row r="3576">
      <c r="A3576" t="str">
        <f>IFERROR(__xludf.DUMMYFUNCTION("""COMPUTED_VALUE"""),"I-026")</f>
        <v>I-026</v>
      </c>
      <c r="B3576" s="226" t="str">
        <f>IFERROR(__xludf.DUMMYFUNCTION("""COMPUTED_VALUE"""),"5907615807718")</f>
        <v>5907615807718</v>
      </c>
      <c r="C3576" t="str">
        <f>IFERROR(__xludf.DUMMYFUNCTION("""COMPUTED_VALUE"""),"Steinhof")</f>
        <v>Steinhof</v>
      </c>
    </row>
    <row r="3577">
      <c r="A3577" t="str">
        <f>IFERROR(__xludf.DUMMYFUNCTION("""COMPUTED_VALUE"""),"I-027")</f>
        <v>I-027</v>
      </c>
      <c r="B3577" s="226" t="str">
        <f>IFERROR(__xludf.DUMMYFUNCTION("""COMPUTED_VALUE"""),"5907615807725")</f>
        <v>5907615807725</v>
      </c>
      <c r="C3577" t="str">
        <f>IFERROR(__xludf.DUMMYFUNCTION("""COMPUTED_VALUE"""),"Steinhof")</f>
        <v>Steinhof</v>
      </c>
    </row>
    <row r="3578">
      <c r="A3578" t="str">
        <f>IFERROR(__xludf.DUMMYFUNCTION("""COMPUTED_VALUE"""),"I-027")</f>
        <v>I-027</v>
      </c>
      <c r="B3578" s="226" t="str">
        <f>IFERROR(__xludf.DUMMYFUNCTION("""COMPUTED_VALUE"""),"5907615807725")</f>
        <v>5907615807725</v>
      </c>
      <c r="C3578" t="str">
        <f>IFERROR(__xludf.DUMMYFUNCTION("""COMPUTED_VALUE"""),"Steinhof")</f>
        <v>Steinhof</v>
      </c>
    </row>
    <row r="3579">
      <c r="A3579" t="str">
        <f>IFERROR(__xludf.DUMMYFUNCTION("""COMPUTED_VALUE"""),"I-027")</f>
        <v>I-027</v>
      </c>
      <c r="B3579" s="226" t="str">
        <f>IFERROR(__xludf.DUMMYFUNCTION("""COMPUTED_VALUE"""),"5907615807725")</f>
        <v>5907615807725</v>
      </c>
      <c r="C3579" t="str">
        <f>IFERROR(__xludf.DUMMYFUNCTION("""COMPUTED_VALUE"""),"Steinhof")</f>
        <v>Steinhof</v>
      </c>
    </row>
    <row r="3580">
      <c r="A3580" t="str">
        <f>IFERROR(__xludf.DUMMYFUNCTION("""COMPUTED_VALUE"""),"I-027")</f>
        <v>I-027</v>
      </c>
      <c r="B3580" s="226" t="str">
        <f>IFERROR(__xludf.DUMMYFUNCTION("""COMPUTED_VALUE"""),"5907615807725")</f>
        <v>5907615807725</v>
      </c>
      <c r="C3580" t="str">
        <f>IFERROR(__xludf.DUMMYFUNCTION("""COMPUTED_VALUE"""),"Steinhof")</f>
        <v>Steinhof</v>
      </c>
    </row>
    <row r="3581">
      <c r="A3581" t="str">
        <f>IFERROR(__xludf.DUMMYFUNCTION("""COMPUTED_VALUE"""),"I-014/2")</f>
        <v>I-014/2</v>
      </c>
      <c r="B3581" s="226" t="str">
        <f>IFERROR(__xludf.DUMMYFUNCTION("""COMPUTED_VALUE"""),"5907615807879")</f>
        <v>5907615807879</v>
      </c>
      <c r="C3581" t="str">
        <f>IFERROR(__xludf.DUMMYFUNCTION("""COMPUTED_VALUE"""),"Steinhof")</f>
        <v>Steinhof</v>
      </c>
    </row>
    <row r="3582">
      <c r="A3582" t="str">
        <f>IFERROR(__xludf.DUMMYFUNCTION("""COMPUTED_VALUE"""),"I-014/2")</f>
        <v>I-014/2</v>
      </c>
      <c r="B3582" s="226" t="str">
        <f>IFERROR(__xludf.DUMMYFUNCTION("""COMPUTED_VALUE"""),"5907615807879")</f>
        <v>5907615807879</v>
      </c>
      <c r="C3582" t="str">
        <f>IFERROR(__xludf.DUMMYFUNCTION("""COMPUTED_VALUE"""),"Steinhof")</f>
        <v>Steinhof</v>
      </c>
    </row>
    <row r="3583">
      <c r="A3583" t="str">
        <f>IFERROR(__xludf.DUMMYFUNCTION("""COMPUTED_VALUE"""),"I-014/2")</f>
        <v>I-014/2</v>
      </c>
      <c r="B3583" s="226" t="str">
        <f>IFERROR(__xludf.DUMMYFUNCTION("""COMPUTED_VALUE"""),"5907615807879")</f>
        <v>5907615807879</v>
      </c>
      <c r="C3583" t="str">
        <f>IFERROR(__xludf.DUMMYFUNCTION("""COMPUTED_VALUE"""),"Steinhof")</f>
        <v>Steinhof</v>
      </c>
    </row>
    <row r="3584">
      <c r="A3584" t="str">
        <f>IFERROR(__xludf.DUMMYFUNCTION("""COMPUTED_VALUE"""),"I-014/2")</f>
        <v>I-014/2</v>
      </c>
      <c r="B3584" s="226" t="str">
        <f>IFERROR(__xludf.DUMMYFUNCTION("""COMPUTED_VALUE"""),"5907615807879")</f>
        <v>5907615807879</v>
      </c>
      <c r="C3584" t="str">
        <f>IFERROR(__xludf.DUMMYFUNCTION("""COMPUTED_VALUE"""),"Steinhof")</f>
        <v>Steinhof</v>
      </c>
    </row>
    <row r="3585">
      <c r="A3585" t="str">
        <f>IFERROR(__xludf.DUMMYFUNCTION("""COMPUTED_VALUE"""),"I-015")</f>
        <v>I-015</v>
      </c>
      <c r="B3585" s="226" t="str">
        <f>IFERROR(__xludf.DUMMYFUNCTION("""COMPUTED_VALUE"""),"5907615807886")</f>
        <v>5907615807886</v>
      </c>
      <c r="C3585" t="str">
        <f>IFERROR(__xludf.DUMMYFUNCTION("""COMPUTED_VALUE"""),"Steinhof")</f>
        <v>Steinhof</v>
      </c>
    </row>
    <row r="3586">
      <c r="A3586" t="str">
        <f>IFERROR(__xludf.DUMMYFUNCTION("""COMPUTED_VALUE"""),"I-015")</f>
        <v>I-015</v>
      </c>
      <c r="B3586" s="226" t="str">
        <f>IFERROR(__xludf.DUMMYFUNCTION("""COMPUTED_VALUE"""),"5907615807886")</f>
        <v>5907615807886</v>
      </c>
      <c r="C3586" t="str">
        <f>IFERROR(__xludf.DUMMYFUNCTION("""COMPUTED_VALUE"""),"Steinhof")</f>
        <v>Steinhof</v>
      </c>
    </row>
    <row r="3587">
      <c r="A3587" t="str">
        <f>IFERROR(__xludf.DUMMYFUNCTION("""COMPUTED_VALUE"""),"I-015")</f>
        <v>I-015</v>
      </c>
      <c r="B3587" s="226" t="str">
        <f>IFERROR(__xludf.DUMMYFUNCTION("""COMPUTED_VALUE"""),"5907615807886")</f>
        <v>5907615807886</v>
      </c>
      <c r="C3587" t="str">
        <f>IFERROR(__xludf.DUMMYFUNCTION("""COMPUTED_VALUE"""),"Steinhof")</f>
        <v>Steinhof</v>
      </c>
    </row>
    <row r="3588">
      <c r="A3588" t="str">
        <f>IFERROR(__xludf.DUMMYFUNCTION("""COMPUTED_VALUE"""),"I-015")</f>
        <v>I-015</v>
      </c>
      <c r="B3588" s="226" t="str">
        <f>IFERROR(__xludf.DUMMYFUNCTION("""COMPUTED_VALUE"""),"5907615807886")</f>
        <v>5907615807886</v>
      </c>
      <c r="C3588" t="str">
        <f>IFERROR(__xludf.DUMMYFUNCTION("""COMPUTED_VALUE"""),"Steinhof")</f>
        <v>Steinhof</v>
      </c>
    </row>
    <row r="3589">
      <c r="A3589" t="str">
        <f>IFERROR(__xludf.DUMMYFUNCTION("""COMPUTED_VALUE"""),"I-017")</f>
        <v>I-017</v>
      </c>
      <c r="B3589" s="226" t="str">
        <f>IFERROR(__xludf.DUMMYFUNCTION("""COMPUTED_VALUE"""),"5907615807909")</f>
        <v>5907615807909</v>
      </c>
      <c r="C3589" t="str">
        <f>IFERROR(__xludf.DUMMYFUNCTION("""COMPUTED_VALUE"""),"Steinhof")</f>
        <v>Steinhof</v>
      </c>
    </row>
    <row r="3590">
      <c r="A3590" t="str">
        <f>IFERROR(__xludf.DUMMYFUNCTION("""COMPUTED_VALUE"""),"I-017")</f>
        <v>I-017</v>
      </c>
      <c r="B3590" s="226" t="str">
        <f>IFERROR(__xludf.DUMMYFUNCTION("""COMPUTED_VALUE"""),"5907615807909")</f>
        <v>5907615807909</v>
      </c>
      <c r="C3590" t="str">
        <f>IFERROR(__xludf.DUMMYFUNCTION("""COMPUTED_VALUE"""),"Steinhof")</f>
        <v>Steinhof</v>
      </c>
    </row>
    <row r="3591">
      <c r="A3591" t="str">
        <f>IFERROR(__xludf.DUMMYFUNCTION("""COMPUTED_VALUE"""),"I-018")</f>
        <v>I-018</v>
      </c>
      <c r="B3591" s="226" t="str">
        <f>IFERROR(__xludf.DUMMYFUNCTION("""COMPUTED_VALUE"""),"5907615807916")</f>
        <v>5907615807916</v>
      </c>
      <c r="C3591" t="str">
        <f>IFERROR(__xludf.DUMMYFUNCTION("""COMPUTED_VALUE"""),"Steinhof")</f>
        <v>Steinhof</v>
      </c>
    </row>
    <row r="3592">
      <c r="A3592" t="str">
        <f>IFERROR(__xludf.DUMMYFUNCTION("""COMPUTED_VALUE"""),"I-018")</f>
        <v>I-018</v>
      </c>
      <c r="B3592" s="226" t="str">
        <f>IFERROR(__xludf.DUMMYFUNCTION("""COMPUTED_VALUE"""),"5907615807916")</f>
        <v>5907615807916</v>
      </c>
      <c r="C3592" t="str">
        <f>IFERROR(__xludf.DUMMYFUNCTION("""COMPUTED_VALUE"""),"Steinhof")</f>
        <v>Steinhof</v>
      </c>
    </row>
    <row r="3593">
      <c r="A3593" t="str">
        <f>IFERROR(__xludf.DUMMYFUNCTION("""COMPUTED_VALUE"""),"I-019")</f>
        <v>I-019</v>
      </c>
      <c r="B3593" s="226" t="str">
        <f>IFERROR(__xludf.DUMMYFUNCTION("""COMPUTED_VALUE"""),"5907615807923")</f>
        <v>5907615807923</v>
      </c>
      <c r="C3593" t="str">
        <f>IFERROR(__xludf.DUMMYFUNCTION("""COMPUTED_VALUE"""),"Steinhof")</f>
        <v>Steinhof</v>
      </c>
    </row>
    <row r="3594">
      <c r="A3594" t="str">
        <f>IFERROR(__xludf.DUMMYFUNCTION("""COMPUTED_VALUE"""),"J-050/1")</f>
        <v>J-050/1</v>
      </c>
      <c r="B3594" s="226" t="str">
        <f>IFERROR(__xludf.DUMMYFUNCTION("""COMPUTED_VALUE"""),"5907615808029")</f>
        <v>5907615808029</v>
      </c>
      <c r="C3594" t="str">
        <f>IFERROR(__xludf.DUMMYFUNCTION("""COMPUTED_VALUE"""),"Steinhof")</f>
        <v>Steinhof</v>
      </c>
    </row>
    <row r="3595">
      <c r="A3595" t="str">
        <f>IFERROR(__xludf.DUMMYFUNCTION("""COMPUTED_VALUE"""),"J-050/1")</f>
        <v>J-050/1</v>
      </c>
      <c r="B3595" s="226" t="str">
        <f>IFERROR(__xludf.DUMMYFUNCTION("""COMPUTED_VALUE"""),"5907615808029")</f>
        <v>5907615808029</v>
      </c>
      <c r="C3595" t="str">
        <f>IFERROR(__xludf.DUMMYFUNCTION("""COMPUTED_VALUE"""),"Steinhof")</f>
        <v>Steinhof</v>
      </c>
    </row>
    <row r="3596">
      <c r="A3596" t="str">
        <f>IFERROR(__xludf.DUMMYFUNCTION("""COMPUTED_VALUE"""),"J-050/1")</f>
        <v>J-050/1</v>
      </c>
      <c r="B3596" s="226" t="str">
        <f>IFERROR(__xludf.DUMMYFUNCTION("""COMPUTED_VALUE"""),"5907615808029")</f>
        <v>5907615808029</v>
      </c>
      <c r="C3596" t="str">
        <f>IFERROR(__xludf.DUMMYFUNCTION("""COMPUTED_VALUE"""),"Steinhof")</f>
        <v>Steinhof</v>
      </c>
    </row>
    <row r="3597">
      <c r="A3597" t="str">
        <f>IFERROR(__xludf.DUMMYFUNCTION("""COMPUTED_VALUE"""),"J-050/1")</f>
        <v>J-050/1</v>
      </c>
      <c r="B3597" s="226" t="str">
        <f>IFERROR(__xludf.DUMMYFUNCTION("""COMPUTED_VALUE"""),"5907615808029")</f>
        <v>5907615808029</v>
      </c>
      <c r="C3597" t="str">
        <f>IFERROR(__xludf.DUMMYFUNCTION("""COMPUTED_VALUE"""),"Steinhof")</f>
        <v>Steinhof</v>
      </c>
    </row>
    <row r="3598">
      <c r="A3598" t="str">
        <f>IFERROR(__xludf.DUMMYFUNCTION("""COMPUTED_VALUE"""),"J-053")</f>
        <v>J-053</v>
      </c>
      <c r="B3598" s="226" t="str">
        <f>IFERROR(__xludf.DUMMYFUNCTION("""COMPUTED_VALUE"""),"5907615808036")</f>
        <v>5907615808036</v>
      </c>
      <c r="C3598" t="str">
        <f>IFERROR(__xludf.DUMMYFUNCTION("""COMPUTED_VALUE"""),"Steinhof")</f>
        <v>Steinhof</v>
      </c>
    </row>
    <row r="3599">
      <c r="A3599" t="str">
        <f>IFERROR(__xludf.DUMMYFUNCTION("""COMPUTED_VALUE"""),"J-053")</f>
        <v>J-053</v>
      </c>
      <c r="B3599" s="226" t="str">
        <f>IFERROR(__xludf.DUMMYFUNCTION("""COMPUTED_VALUE"""),"5907615808036")</f>
        <v>5907615808036</v>
      </c>
      <c r="C3599" t="str">
        <f>IFERROR(__xludf.DUMMYFUNCTION("""COMPUTED_VALUE"""),"Steinhof")</f>
        <v>Steinhof</v>
      </c>
    </row>
    <row r="3600">
      <c r="A3600" t="str">
        <f>IFERROR(__xludf.DUMMYFUNCTION("""COMPUTED_VALUE"""),"J-053")</f>
        <v>J-053</v>
      </c>
      <c r="B3600" s="226" t="str">
        <f>IFERROR(__xludf.DUMMYFUNCTION("""COMPUTED_VALUE"""),"5907615808036")</f>
        <v>5907615808036</v>
      </c>
      <c r="C3600" t="str">
        <f>IFERROR(__xludf.DUMMYFUNCTION("""COMPUTED_VALUE"""),"Steinhof")</f>
        <v>Steinhof</v>
      </c>
    </row>
    <row r="3601">
      <c r="A3601" t="str">
        <f>IFERROR(__xludf.DUMMYFUNCTION("""COMPUTED_VALUE"""),"J-053")</f>
        <v>J-053</v>
      </c>
      <c r="B3601" s="226" t="str">
        <f>IFERROR(__xludf.DUMMYFUNCTION("""COMPUTED_VALUE"""),"5907615808036")</f>
        <v>5907615808036</v>
      </c>
      <c r="C3601" t="str">
        <f>IFERROR(__xludf.DUMMYFUNCTION("""COMPUTED_VALUE"""),"Steinhof")</f>
        <v>Steinhof</v>
      </c>
    </row>
    <row r="3602">
      <c r="A3602" t="str">
        <f>IFERROR(__xludf.DUMMYFUNCTION("""COMPUTED_VALUE"""),"J-054")</f>
        <v>J-054</v>
      </c>
      <c r="B3602" s="226" t="str">
        <f>IFERROR(__xludf.DUMMYFUNCTION("""COMPUTED_VALUE"""),"5907615808043")</f>
        <v>5907615808043</v>
      </c>
      <c r="C3602" t="str">
        <f>IFERROR(__xludf.DUMMYFUNCTION("""COMPUTED_VALUE"""),"Steinhof")</f>
        <v>Steinhof</v>
      </c>
    </row>
    <row r="3603">
      <c r="A3603" t="str">
        <f>IFERROR(__xludf.DUMMYFUNCTION("""COMPUTED_VALUE"""),"J-054")</f>
        <v>J-054</v>
      </c>
      <c r="B3603" s="226" t="str">
        <f>IFERROR(__xludf.DUMMYFUNCTION("""COMPUTED_VALUE"""),"5907615808043")</f>
        <v>5907615808043</v>
      </c>
      <c r="C3603" t="str">
        <f>IFERROR(__xludf.DUMMYFUNCTION("""COMPUTED_VALUE"""),"Steinhof")</f>
        <v>Steinhof</v>
      </c>
    </row>
    <row r="3604">
      <c r="A3604" t="str">
        <f>IFERROR(__xludf.DUMMYFUNCTION("""COMPUTED_VALUE"""),"J-054")</f>
        <v>J-054</v>
      </c>
      <c r="B3604" s="226" t="str">
        <f>IFERROR(__xludf.DUMMYFUNCTION("""COMPUTED_VALUE"""),"5907615808043")</f>
        <v>5907615808043</v>
      </c>
      <c r="C3604" t="str">
        <f>IFERROR(__xludf.DUMMYFUNCTION("""COMPUTED_VALUE"""),"Steinhof")</f>
        <v>Steinhof</v>
      </c>
    </row>
    <row r="3605">
      <c r="A3605" t="str">
        <f>IFERROR(__xludf.DUMMYFUNCTION("""COMPUTED_VALUE"""),"J-054")</f>
        <v>J-054</v>
      </c>
      <c r="B3605" s="226" t="str">
        <f>IFERROR(__xludf.DUMMYFUNCTION("""COMPUTED_VALUE"""),"5907615808043")</f>
        <v>5907615808043</v>
      </c>
      <c r="C3605" t="str">
        <f>IFERROR(__xludf.DUMMYFUNCTION("""COMPUTED_VALUE"""),"Steinhof")</f>
        <v>Steinhof</v>
      </c>
    </row>
    <row r="3606">
      <c r="A3606" t="str">
        <f>IFERROR(__xludf.DUMMYFUNCTION("""COMPUTED_VALUE"""),"J-055")</f>
        <v>J-055</v>
      </c>
      <c r="B3606" s="226" t="str">
        <f>IFERROR(__xludf.DUMMYFUNCTION("""COMPUTED_VALUE"""),"5907615808050")</f>
        <v>5907615808050</v>
      </c>
      <c r="C3606" t="str">
        <f>IFERROR(__xludf.DUMMYFUNCTION("""COMPUTED_VALUE"""),"Steinhof")</f>
        <v>Steinhof</v>
      </c>
    </row>
    <row r="3607">
      <c r="A3607" t="str">
        <f>IFERROR(__xludf.DUMMYFUNCTION("""COMPUTED_VALUE"""),"J-055")</f>
        <v>J-055</v>
      </c>
      <c r="B3607" s="226" t="str">
        <f>IFERROR(__xludf.DUMMYFUNCTION("""COMPUTED_VALUE"""),"5907615808050")</f>
        <v>5907615808050</v>
      </c>
      <c r="C3607" t="str">
        <f>IFERROR(__xludf.DUMMYFUNCTION("""COMPUTED_VALUE"""),"Steinhof")</f>
        <v>Steinhof</v>
      </c>
    </row>
    <row r="3608">
      <c r="A3608" t="str">
        <f>IFERROR(__xludf.DUMMYFUNCTION("""COMPUTED_VALUE"""),"J-055")</f>
        <v>J-055</v>
      </c>
      <c r="B3608" s="226" t="str">
        <f>IFERROR(__xludf.DUMMYFUNCTION("""COMPUTED_VALUE"""),"5907615808050")</f>
        <v>5907615808050</v>
      </c>
      <c r="C3608" t="str">
        <f>IFERROR(__xludf.DUMMYFUNCTION("""COMPUTED_VALUE"""),"Steinhof")</f>
        <v>Steinhof</v>
      </c>
    </row>
    <row r="3609">
      <c r="A3609" t="str">
        <f>IFERROR(__xludf.DUMMYFUNCTION("""COMPUTED_VALUE"""),"J-055")</f>
        <v>J-055</v>
      </c>
      <c r="B3609" s="226" t="str">
        <f>IFERROR(__xludf.DUMMYFUNCTION("""COMPUTED_VALUE"""),"5907615808050")</f>
        <v>5907615808050</v>
      </c>
      <c r="C3609" t="str">
        <f>IFERROR(__xludf.DUMMYFUNCTION("""COMPUTED_VALUE"""),"Steinhof")</f>
        <v>Steinhof</v>
      </c>
    </row>
    <row r="3610">
      <c r="A3610" t="str">
        <f>IFERROR(__xludf.DUMMYFUNCTION("""COMPUTED_VALUE"""),"J-056")</f>
        <v>J-056</v>
      </c>
      <c r="B3610" s="226" t="str">
        <f>IFERROR(__xludf.DUMMYFUNCTION("""COMPUTED_VALUE"""),"5907615808067")</f>
        <v>5907615808067</v>
      </c>
      <c r="C3610" t="str">
        <f>IFERROR(__xludf.DUMMYFUNCTION("""COMPUTED_VALUE"""),"Steinhof")</f>
        <v>Steinhof</v>
      </c>
    </row>
    <row r="3611">
      <c r="A3611" t="str">
        <f>IFERROR(__xludf.DUMMYFUNCTION("""COMPUTED_VALUE"""),"J-056")</f>
        <v>J-056</v>
      </c>
      <c r="B3611" s="226" t="str">
        <f>IFERROR(__xludf.DUMMYFUNCTION("""COMPUTED_VALUE"""),"5907615808067")</f>
        <v>5907615808067</v>
      </c>
      <c r="C3611" t="str">
        <f>IFERROR(__xludf.DUMMYFUNCTION("""COMPUTED_VALUE"""),"Steinhof")</f>
        <v>Steinhof</v>
      </c>
    </row>
    <row r="3612">
      <c r="A3612" t="str">
        <f>IFERROR(__xludf.DUMMYFUNCTION("""COMPUTED_VALUE"""),"J-056")</f>
        <v>J-056</v>
      </c>
      <c r="B3612" s="226" t="str">
        <f>IFERROR(__xludf.DUMMYFUNCTION("""COMPUTED_VALUE"""),"5907615808067")</f>
        <v>5907615808067</v>
      </c>
      <c r="C3612" t="str">
        <f>IFERROR(__xludf.DUMMYFUNCTION("""COMPUTED_VALUE"""),"Steinhof")</f>
        <v>Steinhof</v>
      </c>
    </row>
    <row r="3613">
      <c r="A3613" t="str">
        <f>IFERROR(__xludf.DUMMYFUNCTION("""COMPUTED_VALUE"""),"J-056")</f>
        <v>J-056</v>
      </c>
      <c r="B3613" s="226" t="str">
        <f>IFERROR(__xludf.DUMMYFUNCTION("""COMPUTED_VALUE"""),"5907615808067")</f>
        <v>5907615808067</v>
      </c>
      <c r="C3613" t="str">
        <f>IFERROR(__xludf.DUMMYFUNCTION("""COMPUTED_VALUE"""),"Steinhof")</f>
        <v>Steinhof</v>
      </c>
    </row>
    <row r="3614">
      <c r="A3614" t="str">
        <f>IFERROR(__xludf.DUMMYFUNCTION("""COMPUTED_VALUE"""),"J-057")</f>
        <v>J-057</v>
      </c>
      <c r="B3614" s="226" t="str">
        <f>IFERROR(__xludf.DUMMYFUNCTION("""COMPUTED_VALUE"""),"5907615808074")</f>
        <v>5907615808074</v>
      </c>
      <c r="C3614" t="str">
        <f>IFERROR(__xludf.DUMMYFUNCTION("""COMPUTED_VALUE"""),"Steinhof")</f>
        <v>Steinhof</v>
      </c>
    </row>
    <row r="3615">
      <c r="A3615" t="str">
        <f>IFERROR(__xludf.DUMMYFUNCTION("""COMPUTED_VALUE"""),"J-057")</f>
        <v>J-057</v>
      </c>
      <c r="B3615" s="226" t="str">
        <f>IFERROR(__xludf.DUMMYFUNCTION("""COMPUTED_VALUE"""),"5907615808074")</f>
        <v>5907615808074</v>
      </c>
      <c r="C3615" t="str">
        <f>IFERROR(__xludf.DUMMYFUNCTION("""COMPUTED_VALUE"""),"Steinhof")</f>
        <v>Steinhof</v>
      </c>
    </row>
    <row r="3616">
      <c r="A3616" t="str">
        <f>IFERROR(__xludf.DUMMYFUNCTION("""COMPUTED_VALUE"""),"J-057")</f>
        <v>J-057</v>
      </c>
      <c r="B3616" s="226" t="str">
        <f>IFERROR(__xludf.DUMMYFUNCTION("""COMPUTED_VALUE"""),"5907615808074")</f>
        <v>5907615808074</v>
      </c>
      <c r="C3616" t="str">
        <f>IFERROR(__xludf.DUMMYFUNCTION("""COMPUTED_VALUE"""),"Steinhof")</f>
        <v>Steinhof</v>
      </c>
    </row>
    <row r="3617">
      <c r="A3617" t="str">
        <f>IFERROR(__xludf.DUMMYFUNCTION("""COMPUTED_VALUE"""),"J-057")</f>
        <v>J-057</v>
      </c>
      <c r="B3617" s="226" t="str">
        <f>IFERROR(__xludf.DUMMYFUNCTION("""COMPUTED_VALUE"""),"5907615808074")</f>
        <v>5907615808074</v>
      </c>
      <c r="C3617" t="str">
        <f>IFERROR(__xludf.DUMMYFUNCTION("""COMPUTED_VALUE"""),"Steinhof")</f>
        <v>Steinhof</v>
      </c>
    </row>
    <row r="3618">
      <c r="A3618" t="str">
        <f>IFERROR(__xludf.DUMMYFUNCTION("""COMPUTED_VALUE"""),"J-058")</f>
        <v>J-058</v>
      </c>
      <c r="B3618" s="226" t="str">
        <f>IFERROR(__xludf.DUMMYFUNCTION("""COMPUTED_VALUE"""),"5907615808081")</f>
        <v>5907615808081</v>
      </c>
      <c r="C3618" t="str">
        <f>IFERROR(__xludf.DUMMYFUNCTION("""COMPUTED_VALUE"""),"Steinhof")</f>
        <v>Steinhof</v>
      </c>
    </row>
    <row r="3619">
      <c r="A3619" t="str">
        <f>IFERROR(__xludf.DUMMYFUNCTION("""COMPUTED_VALUE"""),"J-058")</f>
        <v>J-058</v>
      </c>
      <c r="B3619" s="226" t="str">
        <f>IFERROR(__xludf.DUMMYFUNCTION("""COMPUTED_VALUE"""),"5907615808081")</f>
        <v>5907615808081</v>
      </c>
      <c r="C3619" t="str">
        <f>IFERROR(__xludf.DUMMYFUNCTION("""COMPUTED_VALUE"""),"Steinhof")</f>
        <v>Steinhof</v>
      </c>
    </row>
    <row r="3620">
      <c r="A3620" t="str">
        <f>IFERROR(__xludf.DUMMYFUNCTION("""COMPUTED_VALUE"""),"J-058")</f>
        <v>J-058</v>
      </c>
      <c r="B3620" s="226" t="str">
        <f>IFERROR(__xludf.DUMMYFUNCTION("""COMPUTED_VALUE"""),"5907615808081")</f>
        <v>5907615808081</v>
      </c>
      <c r="C3620" t="str">
        <f>IFERROR(__xludf.DUMMYFUNCTION("""COMPUTED_VALUE"""),"Steinhof")</f>
        <v>Steinhof</v>
      </c>
    </row>
    <row r="3621">
      <c r="A3621" t="str">
        <f>IFERROR(__xludf.DUMMYFUNCTION("""COMPUTED_VALUE"""),"J-058")</f>
        <v>J-058</v>
      </c>
      <c r="B3621" s="226" t="str">
        <f>IFERROR(__xludf.DUMMYFUNCTION("""COMPUTED_VALUE"""),"5907615808081")</f>
        <v>5907615808081</v>
      </c>
      <c r="C3621" t="str">
        <f>IFERROR(__xludf.DUMMYFUNCTION("""COMPUTED_VALUE"""),"Steinhof")</f>
        <v>Steinhof</v>
      </c>
    </row>
    <row r="3622">
      <c r="A3622" t="str">
        <f>IFERROR(__xludf.DUMMYFUNCTION("""COMPUTED_VALUE"""),"J-058")</f>
        <v>J-058</v>
      </c>
      <c r="B3622" s="226" t="str">
        <f>IFERROR(__xludf.DUMMYFUNCTION("""COMPUTED_VALUE"""),"5907615808081")</f>
        <v>5907615808081</v>
      </c>
      <c r="C3622" t="str">
        <f>IFERROR(__xludf.DUMMYFUNCTION("""COMPUTED_VALUE"""),"Steinhof")</f>
        <v>Steinhof</v>
      </c>
    </row>
    <row r="3623">
      <c r="A3623" t="str">
        <f>IFERROR(__xludf.DUMMYFUNCTION("""COMPUTED_VALUE"""),"J-058")</f>
        <v>J-058</v>
      </c>
      <c r="B3623" s="226" t="str">
        <f>IFERROR(__xludf.DUMMYFUNCTION("""COMPUTED_VALUE"""),"5907615808081")</f>
        <v>5907615808081</v>
      </c>
      <c r="C3623" t="str">
        <f>IFERROR(__xludf.DUMMYFUNCTION("""COMPUTED_VALUE"""),"Steinhof")</f>
        <v>Steinhof</v>
      </c>
    </row>
    <row r="3624">
      <c r="A3624" t="str">
        <f>IFERROR(__xludf.DUMMYFUNCTION("""COMPUTED_VALUE"""),"J-059")</f>
        <v>J-059</v>
      </c>
      <c r="B3624" s="226" t="str">
        <f>IFERROR(__xludf.DUMMYFUNCTION("""COMPUTED_VALUE"""),"5907615808098")</f>
        <v>5907615808098</v>
      </c>
      <c r="C3624" t="str">
        <f>IFERROR(__xludf.DUMMYFUNCTION("""COMPUTED_VALUE"""),"Steinhof")</f>
        <v>Steinhof</v>
      </c>
    </row>
    <row r="3625">
      <c r="A3625" t="str">
        <f>IFERROR(__xludf.DUMMYFUNCTION("""COMPUTED_VALUE"""),"J-059")</f>
        <v>J-059</v>
      </c>
      <c r="B3625" s="226" t="str">
        <f>IFERROR(__xludf.DUMMYFUNCTION("""COMPUTED_VALUE"""),"5907615808098")</f>
        <v>5907615808098</v>
      </c>
      <c r="C3625" t="str">
        <f>IFERROR(__xludf.DUMMYFUNCTION("""COMPUTED_VALUE"""),"Steinhof")</f>
        <v>Steinhof</v>
      </c>
    </row>
    <row r="3626">
      <c r="A3626" t="str">
        <f>IFERROR(__xludf.DUMMYFUNCTION("""COMPUTED_VALUE"""),"J-059")</f>
        <v>J-059</v>
      </c>
      <c r="B3626" s="226" t="str">
        <f>IFERROR(__xludf.DUMMYFUNCTION("""COMPUTED_VALUE"""),"5907615808098")</f>
        <v>5907615808098</v>
      </c>
      <c r="C3626" t="str">
        <f>IFERROR(__xludf.DUMMYFUNCTION("""COMPUTED_VALUE"""),"Steinhof")</f>
        <v>Steinhof</v>
      </c>
    </row>
    <row r="3627">
      <c r="A3627" t="str">
        <f>IFERROR(__xludf.DUMMYFUNCTION("""COMPUTED_VALUE"""),"J-059")</f>
        <v>J-059</v>
      </c>
      <c r="B3627" s="226" t="str">
        <f>IFERROR(__xludf.DUMMYFUNCTION("""COMPUTED_VALUE"""),"5907615808098")</f>
        <v>5907615808098</v>
      </c>
      <c r="C3627" t="str">
        <f>IFERROR(__xludf.DUMMYFUNCTION("""COMPUTED_VALUE"""),"Steinhof")</f>
        <v>Steinhof</v>
      </c>
    </row>
    <row r="3628">
      <c r="A3628" t="str">
        <f>IFERROR(__xludf.DUMMYFUNCTION("""COMPUTED_VALUE"""),"J-059")</f>
        <v>J-059</v>
      </c>
      <c r="B3628" s="226" t="str">
        <f>IFERROR(__xludf.DUMMYFUNCTION("""COMPUTED_VALUE"""),"5907615808098")</f>
        <v>5907615808098</v>
      </c>
      <c r="C3628" t="str">
        <f>IFERROR(__xludf.DUMMYFUNCTION("""COMPUTED_VALUE"""),"Steinhof")</f>
        <v>Steinhof</v>
      </c>
    </row>
    <row r="3629">
      <c r="A3629" t="str">
        <f>IFERROR(__xludf.DUMMYFUNCTION("""COMPUTED_VALUE"""),"J-059")</f>
        <v>J-059</v>
      </c>
      <c r="B3629" s="226" t="str">
        <f>IFERROR(__xludf.DUMMYFUNCTION("""COMPUTED_VALUE"""),"5907615808098")</f>
        <v>5907615808098</v>
      </c>
      <c r="C3629" t="str">
        <f>IFERROR(__xludf.DUMMYFUNCTION("""COMPUTED_VALUE"""),"Steinhof")</f>
        <v>Steinhof</v>
      </c>
    </row>
    <row r="3630">
      <c r="A3630" t="str">
        <f>IFERROR(__xludf.DUMMYFUNCTION("""COMPUTED_VALUE"""),"J-060")</f>
        <v>J-060</v>
      </c>
      <c r="B3630" s="226" t="str">
        <f>IFERROR(__xludf.DUMMYFUNCTION("""COMPUTED_VALUE"""),"5907615808104")</f>
        <v>5907615808104</v>
      </c>
      <c r="C3630" t="str">
        <f>IFERROR(__xludf.DUMMYFUNCTION("""COMPUTED_VALUE"""),"Steinhof")</f>
        <v>Steinhof</v>
      </c>
    </row>
    <row r="3631">
      <c r="A3631" t="str">
        <f>IFERROR(__xludf.DUMMYFUNCTION("""COMPUTED_VALUE"""),"J-060")</f>
        <v>J-060</v>
      </c>
      <c r="B3631" s="226" t="str">
        <f>IFERROR(__xludf.DUMMYFUNCTION("""COMPUTED_VALUE"""),"5907615808104")</f>
        <v>5907615808104</v>
      </c>
      <c r="C3631" t="str">
        <f>IFERROR(__xludf.DUMMYFUNCTION("""COMPUTED_VALUE"""),"Steinhof")</f>
        <v>Steinhof</v>
      </c>
    </row>
    <row r="3632">
      <c r="A3632" t="str">
        <f>IFERROR(__xludf.DUMMYFUNCTION("""COMPUTED_VALUE"""),"J-061")</f>
        <v>J-061</v>
      </c>
      <c r="B3632" s="226" t="str">
        <f>IFERROR(__xludf.DUMMYFUNCTION("""COMPUTED_VALUE"""),"5907615808111")</f>
        <v>5907615808111</v>
      </c>
      <c r="C3632" t="str">
        <f>IFERROR(__xludf.DUMMYFUNCTION("""COMPUTED_VALUE"""),"Steinhof")</f>
        <v>Steinhof</v>
      </c>
    </row>
    <row r="3633">
      <c r="A3633" t="str">
        <f>IFERROR(__xludf.DUMMYFUNCTION("""COMPUTED_VALUE"""),"J-063")</f>
        <v>J-063</v>
      </c>
      <c r="B3633" s="226" t="str">
        <f>IFERROR(__xludf.DUMMYFUNCTION("""COMPUTED_VALUE"""),"5907615808142")</f>
        <v>5907615808142</v>
      </c>
      <c r="C3633" t="str">
        <f>IFERROR(__xludf.DUMMYFUNCTION("""COMPUTED_VALUE"""),"Steinhof")</f>
        <v>Steinhof</v>
      </c>
    </row>
    <row r="3634">
      <c r="A3634" t="str">
        <f>IFERROR(__xludf.DUMMYFUNCTION("""COMPUTED_VALUE"""),"J-064")</f>
        <v>J-064</v>
      </c>
      <c r="B3634" s="226" t="str">
        <f>IFERROR(__xludf.DUMMYFUNCTION("""COMPUTED_VALUE"""),"5907615808159")</f>
        <v>5907615808159</v>
      </c>
      <c r="C3634" t="str">
        <f>IFERROR(__xludf.DUMMYFUNCTION("""COMPUTED_VALUE"""),"Steinhof")</f>
        <v>Steinhof</v>
      </c>
    </row>
    <row r="3635">
      <c r="A3635" t="str">
        <f>IFERROR(__xludf.DUMMYFUNCTION("""COMPUTED_VALUE"""),"J-064")</f>
        <v>J-064</v>
      </c>
      <c r="B3635" s="226" t="str">
        <f>IFERROR(__xludf.DUMMYFUNCTION("""COMPUTED_VALUE"""),"5907615808159")</f>
        <v>5907615808159</v>
      </c>
      <c r="C3635" t="str">
        <f>IFERROR(__xludf.DUMMYFUNCTION("""COMPUTED_VALUE"""),"Steinhof")</f>
        <v>Steinhof</v>
      </c>
    </row>
    <row r="3636">
      <c r="A3636" t="str">
        <f>IFERROR(__xludf.DUMMYFUNCTION("""COMPUTED_VALUE"""),"J-064")</f>
        <v>J-064</v>
      </c>
      <c r="B3636" s="226" t="str">
        <f>IFERROR(__xludf.DUMMYFUNCTION("""COMPUTED_VALUE"""),"5907615808159")</f>
        <v>5907615808159</v>
      </c>
      <c r="C3636" t="str">
        <f>IFERROR(__xludf.DUMMYFUNCTION("""COMPUTED_VALUE"""),"Steinhof")</f>
        <v>Steinhof</v>
      </c>
    </row>
    <row r="3637">
      <c r="A3637" t="str">
        <f>IFERROR(__xludf.DUMMYFUNCTION("""COMPUTED_VALUE"""),"J-064")</f>
        <v>J-064</v>
      </c>
      <c r="B3637" s="226" t="str">
        <f>IFERROR(__xludf.DUMMYFUNCTION("""COMPUTED_VALUE"""),"5907615808159")</f>
        <v>5907615808159</v>
      </c>
      <c r="C3637" t="str">
        <f>IFERROR(__xludf.DUMMYFUNCTION("""COMPUTED_VALUE"""),"Steinhof")</f>
        <v>Steinhof</v>
      </c>
    </row>
    <row r="3638">
      <c r="A3638" t="str">
        <f>IFERROR(__xludf.DUMMYFUNCTION("""COMPUTED_VALUE"""),"J-065")</f>
        <v>J-065</v>
      </c>
      <c r="B3638" s="226" t="str">
        <f>IFERROR(__xludf.DUMMYFUNCTION("""COMPUTED_VALUE"""),"5907615808166")</f>
        <v>5907615808166</v>
      </c>
      <c r="C3638" t="str">
        <f>IFERROR(__xludf.DUMMYFUNCTION("""COMPUTED_VALUE"""),"Steinhof")</f>
        <v>Steinhof</v>
      </c>
    </row>
    <row r="3639">
      <c r="A3639" t="str">
        <f>IFERROR(__xludf.DUMMYFUNCTION("""COMPUTED_VALUE"""),"J-065")</f>
        <v>J-065</v>
      </c>
      <c r="B3639" s="226" t="str">
        <f>IFERROR(__xludf.DUMMYFUNCTION("""COMPUTED_VALUE"""),"5907615808166")</f>
        <v>5907615808166</v>
      </c>
      <c r="C3639" t="str">
        <f>IFERROR(__xludf.DUMMYFUNCTION("""COMPUTED_VALUE"""),"Steinhof")</f>
        <v>Steinhof</v>
      </c>
    </row>
    <row r="3640">
      <c r="A3640" t="str">
        <f>IFERROR(__xludf.DUMMYFUNCTION("""COMPUTED_VALUE"""),"J-065")</f>
        <v>J-065</v>
      </c>
      <c r="B3640" s="226" t="str">
        <f>IFERROR(__xludf.DUMMYFUNCTION("""COMPUTED_VALUE"""),"5907615808166")</f>
        <v>5907615808166</v>
      </c>
      <c r="C3640" t="str">
        <f>IFERROR(__xludf.DUMMYFUNCTION("""COMPUTED_VALUE"""),"Steinhof")</f>
        <v>Steinhof</v>
      </c>
    </row>
    <row r="3641">
      <c r="A3641" t="str">
        <f>IFERROR(__xludf.DUMMYFUNCTION("""COMPUTED_VALUE"""),"J-065")</f>
        <v>J-065</v>
      </c>
      <c r="B3641" s="226" t="str">
        <f>IFERROR(__xludf.DUMMYFUNCTION("""COMPUTED_VALUE"""),"5907615808166")</f>
        <v>5907615808166</v>
      </c>
      <c r="C3641" t="str">
        <f>IFERROR(__xludf.DUMMYFUNCTION("""COMPUTED_VALUE"""),"Steinhof")</f>
        <v>Steinhof</v>
      </c>
    </row>
    <row r="3642">
      <c r="A3642" t="str">
        <f>IFERROR(__xludf.DUMMYFUNCTION("""COMPUTED_VALUE"""),"J-067")</f>
        <v>J-067</v>
      </c>
      <c r="B3642" s="226" t="str">
        <f>IFERROR(__xludf.DUMMYFUNCTION("""COMPUTED_VALUE"""),"5907615808180")</f>
        <v>5907615808180</v>
      </c>
      <c r="C3642" t="str">
        <f>IFERROR(__xludf.DUMMYFUNCTION("""COMPUTED_VALUE"""),"Steinhof")</f>
        <v>Steinhof</v>
      </c>
    </row>
    <row r="3643">
      <c r="A3643" t="str">
        <f>IFERROR(__xludf.DUMMYFUNCTION("""COMPUTED_VALUE"""),"J-067")</f>
        <v>J-067</v>
      </c>
      <c r="B3643" s="226" t="str">
        <f>IFERROR(__xludf.DUMMYFUNCTION("""COMPUTED_VALUE"""),"5907615808180")</f>
        <v>5907615808180</v>
      </c>
      <c r="C3643" t="str">
        <f>IFERROR(__xludf.DUMMYFUNCTION("""COMPUTED_VALUE"""),"Steinhof")</f>
        <v>Steinhof</v>
      </c>
    </row>
    <row r="3644">
      <c r="A3644" t="str">
        <f>IFERROR(__xludf.DUMMYFUNCTION("""COMPUTED_VALUE"""),"J-067")</f>
        <v>J-067</v>
      </c>
      <c r="B3644" s="226" t="str">
        <f>IFERROR(__xludf.DUMMYFUNCTION("""COMPUTED_VALUE"""),"5907615808180")</f>
        <v>5907615808180</v>
      </c>
      <c r="C3644" t="str">
        <f>IFERROR(__xludf.DUMMYFUNCTION("""COMPUTED_VALUE"""),"Steinhof")</f>
        <v>Steinhof</v>
      </c>
    </row>
    <row r="3645">
      <c r="A3645" t="str">
        <f>IFERROR(__xludf.DUMMYFUNCTION("""COMPUTED_VALUE"""),"J-067")</f>
        <v>J-067</v>
      </c>
      <c r="B3645" s="226" t="str">
        <f>IFERROR(__xludf.DUMMYFUNCTION("""COMPUTED_VALUE"""),"5907615808180")</f>
        <v>5907615808180</v>
      </c>
      <c r="C3645" t="str">
        <f>IFERROR(__xludf.DUMMYFUNCTION("""COMPUTED_VALUE"""),"Steinhof")</f>
        <v>Steinhof</v>
      </c>
    </row>
    <row r="3646">
      <c r="A3646" t="str">
        <f>IFERROR(__xludf.DUMMYFUNCTION("""COMPUTED_VALUE"""),"J-067")</f>
        <v>J-067</v>
      </c>
      <c r="B3646" s="226" t="str">
        <f>IFERROR(__xludf.DUMMYFUNCTION("""COMPUTED_VALUE"""),"5907615808180")</f>
        <v>5907615808180</v>
      </c>
      <c r="C3646" t="str">
        <f>IFERROR(__xludf.DUMMYFUNCTION("""COMPUTED_VALUE"""),"Steinhof")</f>
        <v>Steinhof</v>
      </c>
    </row>
    <row r="3647">
      <c r="A3647" t="str">
        <f>IFERROR(__xludf.DUMMYFUNCTION("""COMPUTED_VALUE"""),"J-067")</f>
        <v>J-067</v>
      </c>
      <c r="B3647" s="226" t="str">
        <f>IFERROR(__xludf.DUMMYFUNCTION("""COMPUTED_VALUE"""),"5907615808180")</f>
        <v>5907615808180</v>
      </c>
      <c r="C3647" t="str">
        <f>IFERROR(__xludf.DUMMYFUNCTION("""COMPUTED_VALUE"""),"Steinhof")</f>
        <v>Steinhof</v>
      </c>
    </row>
    <row r="3648">
      <c r="A3648" t="str">
        <f>IFERROR(__xludf.DUMMYFUNCTION("""COMPUTED_VALUE"""),"J-067")</f>
        <v>J-067</v>
      </c>
      <c r="B3648" s="226" t="str">
        <f>IFERROR(__xludf.DUMMYFUNCTION("""COMPUTED_VALUE"""),"5907615808180")</f>
        <v>5907615808180</v>
      </c>
      <c r="C3648" t="str">
        <f>IFERROR(__xludf.DUMMYFUNCTION("""COMPUTED_VALUE"""),"Steinhof")</f>
        <v>Steinhof</v>
      </c>
    </row>
    <row r="3649">
      <c r="A3649" t="str">
        <f>IFERROR(__xludf.DUMMYFUNCTION("""COMPUTED_VALUE"""),"J-067")</f>
        <v>J-067</v>
      </c>
      <c r="B3649" s="226" t="str">
        <f>IFERROR(__xludf.DUMMYFUNCTION("""COMPUTED_VALUE"""),"5907615808180")</f>
        <v>5907615808180</v>
      </c>
      <c r="C3649" t="str">
        <f>IFERROR(__xludf.DUMMYFUNCTION("""COMPUTED_VALUE"""),"Steinhof")</f>
        <v>Steinhof</v>
      </c>
    </row>
    <row r="3650">
      <c r="A3650" t="str">
        <f>IFERROR(__xludf.DUMMYFUNCTION("""COMPUTED_VALUE"""),"J-068")</f>
        <v>J-068</v>
      </c>
      <c r="B3650" s="226" t="str">
        <f>IFERROR(__xludf.DUMMYFUNCTION("""COMPUTED_VALUE"""),"5907615808197")</f>
        <v>5907615808197</v>
      </c>
      <c r="C3650" t="str">
        <f>IFERROR(__xludf.DUMMYFUNCTION("""COMPUTED_VALUE"""),"Steinhof")</f>
        <v>Steinhof</v>
      </c>
    </row>
    <row r="3651">
      <c r="A3651" t="str">
        <f>IFERROR(__xludf.DUMMYFUNCTION("""COMPUTED_VALUE"""),"J-068")</f>
        <v>J-068</v>
      </c>
      <c r="B3651" s="226" t="str">
        <f>IFERROR(__xludf.DUMMYFUNCTION("""COMPUTED_VALUE"""),"5907615808197")</f>
        <v>5907615808197</v>
      </c>
      <c r="C3651" t="str">
        <f>IFERROR(__xludf.DUMMYFUNCTION("""COMPUTED_VALUE"""),"Steinhof")</f>
        <v>Steinhof</v>
      </c>
    </row>
    <row r="3652">
      <c r="A3652" t="str">
        <f>IFERROR(__xludf.DUMMYFUNCTION("""COMPUTED_VALUE"""),"J-068")</f>
        <v>J-068</v>
      </c>
      <c r="B3652" s="226" t="str">
        <f>IFERROR(__xludf.DUMMYFUNCTION("""COMPUTED_VALUE"""),"5907615808197")</f>
        <v>5907615808197</v>
      </c>
      <c r="C3652" t="str">
        <f>IFERROR(__xludf.DUMMYFUNCTION("""COMPUTED_VALUE"""),"Steinhof")</f>
        <v>Steinhof</v>
      </c>
    </row>
    <row r="3653">
      <c r="A3653" t="str">
        <f>IFERROR(__xludf.DUMMYFUNCTION("""COMPUTED_VALUE"""),"J-068")</f>
        <v>J-068</v>
      </c>
      <c r="B3653" s="226" t="str">
        <f>IFERROR(__xludf.DUMMYFUNCTION("""COMPUTED_VALUE"""),"5907615808197")</f>
        <v>5907615808197</v>
      </c>
      <c r="C3653" t="str">
        <f>IFERROR(__xludf.DUMMYFUNCTION("""COMPUTED_VALUE"""),"Steinhof")</f>
        <v>Steinhof</v>
      </c>
    </row>
    <row r="3654">
      <c r="A3654" t="str">
        <f>IFERROR(__xludf.DUMMYFUNCTION("""COMPUTED_VALUE"""),"J-068")</f>
        <v>J-068</v>
      </c>
      <c r="B3654" s="226" t="str">
        <f>IFERROR(__xludf.DUMMYFUNCTION("""COMPUTED_VALUE"""),"5907615808197")</f>
        <v>5907615808197</v>
      </c>
      <c r="C3654" t="str">
        <f>IFERROR(__xludf.DUMMYFUNCTION("""COMPUTED_VALUE"""),"Steinhof")</f>
        <v>Steinhof</v>
      </c>
    </row>
    <row r="3655">
      <c r="A3655" t="str">
        <f>IFERROR(__xludf.DUMMYFUNCTION("""COMPUTED_VALUE"""),"J-068")</f>
        <v>J-068</v>
      </c>
      <c r="B3655" s="226" t="str">
        <f>IFERROR(__xludf.DUMMYFUNCTION("""COMPUTED_VALUE"""),"5907615808197")</f>
        <v>5907615808197</v>
      </c>
      <c r="C3655" t="str">
        <f>IFERROR(__xludf.DUMMYFUNCTION("""COMPUTED_VALUE"""),"Steinhof")</f>
        <v>Steinhof</v>
      </c>
    </row>
    <row r="3656">
      <c r="A3656" t="str">
        <f>IFERROR(__xludf.DUMMYFUNCTION("""COMPUTED_VALUE"""),"J-068")</f>
        <v>J-068</v>
      </c>
      <c r="B3656" s="226" t="str">
        <f>IFERROR(__xludf.DUMMYFUNCTION("""COMPUTED_VALUE"""),"5907615808197")</f>
        <v>5907615808197</v>
      </c>
      <c r="C3656" t="str">
        <f>IFERROR(__xludf.DUMMYFUNCTION("""COMPUTED_VALUE"""),"Steinhof")</f>
        <v>Steinhof</v>
      </c>
    </row>
    <row r="3657">
      <c r="A3657" t="str">
        <f>IFERROR(__xludf.DUMMYFUNCTION("""COMPUTED_VALUE"""),"J-068")</f>
        <v>J-068</v>
      </c>
      <c r="B3657" s="226" t="str">
        <f>IFERROR(__xludf.DUMMYFUNCTION("""COMPUTED_VALUE"""),"5907615808197")</f>
        <v>5907615808197</v>
      </c>
      <c r="C3657" t="str">
        <f>IFERROR(__xludf.DUMMYFUNCTION("""COMPUTED_VALUE"""),"Steinhof")</f>
        <v>Steinhof</v>
      </c>
    </row>
    <row r="3658">
      <c r="A3658" t="str">
        <f>IFERROR(__xludf.DUMMYFUNCTION("""COMPUTED_VALUE"""),"J-069")</f>
        <v>J-069</v>
      </c>
      <c r="B3658" s="226" t="str">
        <f>IFERROR(__xludf.DUMMYFUNCTION("""COMPUTED_VALUE"""),"5907615808203")</f>
        <v>5907615808203</v>
      </c>
      <c r="C3658" t="str">
        <f>IFERROR(__xludf.DUMMYFUNCTION("""COMPUTED_VALUE"""),"Steinhof")</f>
        <v>Steinhof</v>
      </c>
    </row>
    <row r="3659">
      <c r="A3659" t="str">
        <f>IFERROR(__xludf.DUMMYFUNCTION("""COMPUTED_VALUE"""),"J-069")</f>
        <v>J-069</v>
      </c>
      <c r="B3659" s="226" t="str">
        <f>IFERROR(__xludf.DUMMYFUNCTION("""COMPUTED_VALUE"""),"5907615808203")</f>
        <v>5907615808203</v>
      </c>
      <c r="C3659" t="str">
        <f>IFERROR(__xludf.DUMMYFUNCTION("""COMPUTED_VALUE"""),"Steinhof")</f>
        <v>Steinhof</v>
      </c>
    </row>
    <row r="3660">
      <c r="A3660" t="str">
        <f>IFERROR(__xludf.DUMMYFUNCTION("""COMPUTED_VALUE"""),"J-070")</f>
        <v>J-070</v>
      </c>
      <c r="B3660" s="226" t="str">
        <f>IFERROR(__xludf.DUMMYFUNCTION("""COMPUTED_VALUE"""),"5907615808210")</f>
        <v>5907615808210</v>
      </c>
      <c r="C3660" t="str">
        <f>IFERROR(__xludf.DUMMYFUNCTION("""COMPUTED_VALUE"""),"Steinhof")</f>
        <v>Steinhof</v>
      </c>
    </row>
    <row r="3661">
      <c r="A3661" t="str">
        <f>IFERROR(__xludf.DUMMYFUNCTION("""COMPUTED_VALUE"""),"J-070")</f>
        <v>J-070</v>
      </c>
      <c r="B3661" s="226" t="str">
        <f>IFERROR(__xludf.DUMMYFUNCTION("""COMPUTED_VALUE"""),"5907615808210")</f>
        <v>5907615808210</v>
      </c>
      <c r="C3661" t="str">
        <f>IFERROR(__xludf.DUMMYFUNCTION("""COMPUTED_VALUE"""),"Steinhof")</f>
        <v>Steinhof</v>
      </c>
    </row>
    <row r="3662">
      <c r="A3662" t="str">
        <f>IFERROR(__xludf.DUMMYFUNCTION("""COMPUTED_VALUE"""),"J-071")</f>
        <v>J-071</v>
      </c>
      <c r="B3662" s="226" t="str">
        <f>IFERROR(__xludf.DUMMYFUNCTION("""COMPUTED_VALUE"""),"5907615808227")</f>
        <v>5907615808227</v>
      </c>
      <c r="C3662" t="str">
        <f>IFERROR(__xludf.DUMMYFUNCTION("""COMPUTED_VALUE"""),"Steinhof")</f>
        <v>Steinhof</v>
      </c>
    </row>
    <row r="3663">
      <c r="A3663" t="str">
        <f>IFERROR(__xludf.DUMMYFUNCTION("""COMPUTED_VALUE"""),"J-071")</f>
        <v>J-071</v>
      </c>
      <c r="B3663" s="226" t="str">
        <f>IFERROR(__xludf.DUMMYFUNCTION("""COMPUTED_VALUE"""),"5907615808227")</f>
        <v>5907615808227</v>
      </c>
      <c r="C3663" t="str">
        <f>IFERROR(__xludf.DUMMYFUNCTION("""COMPUTED_VALUE"""),"Steinhof")</f>
        <v>Steinhof</v>
      </c>
    </row>
    <row r="3664">
      <c r="A3664" t="str">
        <f>IFERROR(__xludf.DUMMYFUNCTION("""COMPUTED_VALUE"""),"J-072")</f>
        <v>J-072</v>
      </c>
      <c r="B3664" s="226" t="str">
        <f>IFERROR(__xludf.DUMMYFUNCTION("""COMPUTED_VALUE"""),"5907615808234")</f>
        <v>5907615808234</v>
      </c>
      <c r="C3664" t="str">
        <f>IFERROR(__xludf.DUMMYFUNCTION("""COMPUTED_VALUE"""),"Steinhof")</f>
        <v>Steinhof</v>
      </c>
    </row>
    <row r="3665">
      <c r="A3665" t="str">
        <f>IFERROR(__xludf.DUMMYFUNCTION("""COMPUTED_VALUE"""),"J-072")</f>
        <v>J-072</v>
      </c>
      <c r="B3665" s="226" t="str">
        <f>IFERROR(__xludf.DUMMYFUNCTION("""COMPUTED_VALUE"""),"5907615808234")</f>
        <v>5907615808234</v>
      </c>
      <c r="C3665" t="str">
        <f>IFERROR(__xludf.DUMMYFUNCTION("""COMPUTED_VALUE"""),"Steinhof")</f>
        <v>Steinhof</v>
      </c>
    </row>
    <row r="3666">
      <c r="A3666" t="str">
        <f>IFERROR(__xludf.DUMMYFUNCTION("""COMPUTED_VALUE"""),"J-073")</f>
        <v>J-073</v>
      </c>
      <c r="B3666" s="226" t="str">
        <f>IFERROR(__xludf.DUMMYFUNCTION("""COMPUTED_VALUE"""),"5907615808241")</f>
        <v>5907615808241</v>
      </c>
      <c r="C3666" t="str">
        <f>IFERROR(__xludf.DUMMYFUNCTION("""COMPUTED_VALUE"""),"Steinhof")</f>
        <v>Steinhof</v>
      </c>
    </row>
    <row r="3667">
      <c r="A3667" t="str">
        <f>IFERROR(__xludf.DUMMYFUNCTION("""COMPUTED_VALUE"""),"J-073")</f>
        <v>J-073</v>
      </c>
      <c r="B3667" s="226" t="str">
        <f>IFERROR(__xludf.DUMMYFUNCTION("""COMPUTED_VALUE"""),"5907615808241")</f>
        <v>5907615808241</v>
      </c>
      <c r="C3667" t="str">
        <f>IFERROR(__xludf.DUMMYFUNCTION("""COMPUTED_VALUE"""),"Steinhof")</f>
        <v>Steinhof</v>
      </c>
    </row>
    <row r="3668">
      <c r="A3668" t="str">
        <f>IFERROR(__xludf.DUMMYFUNCTION("""COMPUTED_VALUE"""),"J-074")</f>
        <v>J-074</v>
      </c>
      <c r="B3668" s="226" t="str">
        <f>IFERROR(__xludf.DUMMYFUNCTION("""COMPUTED_VALUE"""),"5907615808258")</f>
        <v>5907615808258</v>
      </c>
      <c r="C3668" t="str">
        <f>IFERROR(__xludf.DUMMYFUNCTION("""COMPUTED_VALUE"""),"Steinhof")</f>
        <v>Steinhof</v>
      </c>
    </row>
    <row r="3669">
      <c r="A3669" t="str">
        <f>IFERROR(__xludf.DUMMYFUNCTION("""COMPUTED_VALUE"""),"J-074")</f>
        <v>J-074</v>
      </c>
      <c r="B3669" s="226" t="str">
        <f>IFERROR(__xludf.DUMMYFUNCTION("""COMPUTED_VALUE"""),"5907615808258")</f>
        <v>5907615808258</v>
      </c>
      <c r="C3669" t="str">
        <f>IFERROR(__xludf.DUMMYFUNCTION("""COMPUTED_VALUE"""),"Steinhof")</f>
        <v>Steinhof</v>
      </c>
    </row>
    <row r="3670">
      <c r="A3670" t="str">
        <f>IFERROR(__xludf.DUMMYFUNCTION("""COMPUTED_VALUE"""),"K-049")</f>
        <v>K-049</v>
      </c>
      <c r="B3670" s="226" t="str">
        <f>IFERROR(__xludf.DUMMYFUNCTION("""COMPUTED_VALUE"""),"5907615808319")</f>
        <v>5907615808319</v>
      </c>
      <c r="C3670" t="str">
        <f>IFERROR(__xludf.DUMMYFUNCTION("""COMPUTED_VALUE"""),"Steinhof")</f>
        <v>Steinhof</v>
      </c>
    </row>
    <row r="3671">
      <c r="A3671" t="str">
        <f>IFERROR(__xludf.DUMMYFUNCTION("""COMPUTED_VALUE"""),"K-049")</f>
        <v>K-049</v>
      </c>
      <c r="B3671" s="226" t="str">
        <f>IFERROR(__xludf.DUMMYFUNCTION("""COMPUTED_VALUE"""),"5907615808319")</f>
        <v>5907615808319</v>
      </c>
      <c r="C3671" t="str">
        <f>IFERROR(__xludf.DUMMYFUNCTION("""COMPUTED_VALUE"""),"Steinhof")</f>
        <v>Steinhof</v>
      </c>
    </row>
    <row r="3672">
      <c r="A3672" t="str">
        <f>IFERROR(__xludf.DUMMYFUNCTION("""COMPUTED_VALUE"""),"K-050")</f>
        <v>K-050</v>
      </c>
      <c r="B3672" s="226" t="str">
        <f>IFERROR(__xludf.DUMMYFUNCTION("""COMPUTED_VALUE"""),"5907615808326")</f>
        <v>5907615808326</v>
      </c>
      <c r="C3672" t="str">
        <f>IFERROR(__xludf.DUMMYFUNCTION("""COMPUTED_VALUE"""),"Steinhof")</f>
        <v>Steinhof</v>
      </c>
    </row>
    <row r="3673">
      <c r="A3673" t="str">
        <f>IFERROR(__xludf.DUMMYFUNCTION("""COMPUTED_VALUE"""),"K-050")</f>
        <v>K-050</v>
      </c>
      <c r="B3673" s="226" t="str">
        <f>IFERROR(__xludf.DUMMYFUNCTION("""COMPUTED_VALUE"""),"5907615808326")</f>
        <v>5907615808326</v>
      </c>
      <c r="C3673" t="str">
        <f>IFERROR(__xludf.DUMMYFUNCTION("""COMPUTED_VALUE"""),"Steinhof")</f>
        <v>Steinhof</v>
      </c>
    </row>
    <row r="3674">
      <c r="A3674" t="str">
        <f>IFERROR(__xludf.DUMMYFUNCTION("""COMPUTED_VALUE"""),"K-063")</f>
        <v>K-063</v>
      </c>
      <c r="B3674" s="226" t="str">
        <f>IFERROR(__xludf.DUMMYFUNCTION("""COMPUTED_VALUE"""),"5907615808333")</f>
        <v>5907615808333</v>
      </c>
      <c r="C3674" t="str">
        <f>IFERROR(__xludf.DUMMYFUNCTION("""COMPUTED_VALUE"""),"Steinhof")</f>
        <v>Steinhof</v>
      </c>
    </row>
    <row r="3675">
      <c r="A3675" t="str">
        <f>IFERROR(__xludf.DUMMYFUNCTION("""COMPUTED_VALUE"""),"K-063")</f>
        <v>K-063</v>
      </c>
      <c r="B3675" s="226" t="str">
        <f>IFERROR(__xludf.DUMMYFUNCTION("""COMPUTED_VALUE"""),"5907615808333")</f>
        <v>5907615808333</v>
      </c>
      <c r="C3675" t="str">
        <f>IFERROR(__xludf.DUMMYFUNCTION("""COMPUTED_VALUE"""),"Steinhof")</f>
        <v>Steinhof</v>
      </c>
    </row>
    <row r="3676">
      <c r="A3676" t="str">
        <f>IFERROR(__xludf.DUMMYFUNCTION("""COMPUTED_VALUE"""),"K-063")</f>
        <v>K-063</v>
      </c>
      <c r="B3676" s="226" t="str">
        <f>IFERROR(__xludf.DUMMYFUNCTION("""COMPUTED_VALUE"""),"5907615808333")</f>
        <v>5907615808333</v>
      </c>
      <c r="C3676" t="str">
        <f>IFERROR(__xludf.DUMMYFUNCTION("""COMPUTED_VALUE"""),"Steinhof")</f>
        <v>Steinhof</v>
      </c>
    </row>
    <row r="3677">
      <c r="A3677" t="str">
        <f>IFERROR(__xludf.DUMMYFUNCTION("""COMPUTED_VALUE"""),"K-063")</f>
        <v>K-063</v>
      </c>
      <c r="B3677" s="226" t="str">
        <f>IFERROR(__xludf.DUMMYFUNCTION("""COMPUTED_VALUE"""),"5907615808333")</f>
        <v>5907615808333</v>
      </c>
      <c r="C3677" t="str">
        <f>IFERROR(__xludf.DUMMYFUNCTION("""COMPUTED_VALUE"""),"Steinhof")</f>
        <v>Steinhof</v>
      </c>
    </row>
    <row r="3678">
      <c r="A3678" t="str">
        <f>IFERROR(__xludf.DUMMYFUNCTION("""COMPUTED_VALUE"""),"K-064")</f>
        <v>K-064</v>
      </c>
      <c r="B3678" s="226" t="str">
        <f>IFERROR(__xludf.DUMMYFUNCTION("""COMPUTED_VALUE"""),"5907615808340")</f>
        <v>5907615808340</v>
      </c>
      <c r="C3678" t="str">
        <f>IFERROR(__xludf.DUMMYFUNCTION("""COMPUTED_VALUE"""),"Steinhof")</f>
        <v>Steinhof</v>
      </c>
    </row>
    <row r="3679">
      <c r="A3679" t="str">
        <f>IFERROR(__xludf.DUMMYFUNCTION("""COMPUTED_VALUE"""),"K-064")</f>
        <v>K-064</v>
      </c>
      <c r="B3679" s="226" t="str">
        <f>IFERROR(__xludf.DUMMYFUNCTION("""COMPUTED_VALUE"""),"5907615808340")</f>
        <v>5907615808340</v>
      </c>
      <c r="C3679" t="str">
        <f>IFERROR(__xludf.DUMMYFUNCTION("""COMPUTED_VALUE"""),"Steinhof")</f>
        <v>Steinhof</v>
      </c>
    </row>
    <row r="3680">
      <c r="A3680" t="str">
        <f>IFERROR(__xludf.DUMMYFUNCTION("""COMPUTED_VALUE"""),"K-064")</f>
        <v>K-064</v>
      </c>
      <c r="B3680" s="226" t="str">
        <f>IFERROR(__xludf.DUMMYFUNCTION("""COMPUTED_VALUE"""),"5907615808340")</f>
        <v>5907615808340</v>
      </c>
      <c r="C3680" t="str">
        <f>IFERROR(__xludf.DUMMYFUNCTION("""COMPUTED_VALUE"""),"Steinhof")</f>
        <v>Steinhof</v>
      </c>
    </row>
    <row r="3681">
      <c r="A3681" t="str">
        <f>IFERROR(__xludf.DUMMYFUNCTION("""COMPUTED_VALUE"""),"K-064")</f>
        <v>K-064</v>
      </c>
      <c r="B3681" s="226" t="str">
        <f>IFERROR(__xludf.DUMMYFUNCTION("""COMPUTED_VALUE"""),"5907615808340")</f>
        <v>5907615808340</v>
      </c>
      <c r="C3681" t="str">
        <f>IFERROR(__xludf.DUMMYFUNCTION("""COMPUTED_VALUE"""),"Steinhof")</f>
        <v>Steinhof</v>
      </c>
    </row>
    <row r="3682">
      <c r="A3682" t="str">
        <f>IFERROR(__xludf.DUMMYFUNCTION("""COMPUTED_VALUE"""),"K-065")</f>
        <v>K-065</v>
      </c>
      <c r="B3682" s="226" t="str">
        <f>IFERROR(__xludf.DUMMYFUNCTION("""COMPUTED_VALUE"""),"5907615808357")</f>
        <v>5907615808357</v>
      </c>
      <c r="C3682" t="str">
        <f>IFERROR(__xludf.DUMMYFUNCTION("""COMPUTED_VALUE"""),"Steinhof")</f>
        <v>Steinhof</v>
      </c>
    </row>
    <row r="3683">
      <c r="A3683" t="str">
        <f>IFERROR(__xludf.DUMMYFUNCTION("""COMPUTED_VALUE"""),"K-065")</f>
        <v>K-065</v>
      </c>
      <c r="B3683" s="226" t="str">
        <f>IFERROR(__xludf.DUMMYFUNCTION("""COMPUTED_VALUE"""),"5907615808357")</f>
        <v>5907615808357</v>
      </c>
      <c r="C3683" t="str">
        <f>IFERROR(__xludf.DUMMYFUNCTION("""COMPUTED_VALUE"""),"Steinhof")</f>
        <v>Steinhof</v>
      </c>
    </row>
    <row r="3684">
      <c r="A3684" t="str">
        <f>IFERROR(__xludf.DUMMYFUNCTION("""COMPUTED_VALUE"""),"K-066")</f>
        <v>K-066</v>
      </c>
      <c r="B3684" s="226" t="str">
        <f>IFERROR(__xludf.DUMMYFUNCTION("""COMPUTED_VALUE"""),"5907615808364")</f>
        <v>5907615808364</v>
      </c>
      <c r="C3684" t="str">
        <f>IFERROR(__xludf.DUMMYFUNCTION("""COMPUTED_VALUE"""),"Steinhof")</f>
        <v>Steinhof</v>
      </c>
    </row>
    <row r="3685">
      <c r="A3685" t="str">
        <f>IFERROR(__xludf.DUMMYFUNCTION("""COMPUTED_VALUE"""),"K-066")</f>
        <v>K-066</v>
      </c>
      <c r="B3685" s="226" t="str">
        <f>IFERROR(__xludf.DUMMYFUNCTION("""COMPUTED_VALUE"""),"5907615808364")</f>
        <v>5907615808364</v>
      </c>
      <c r="C3685" t="str">
        <f>IFERROR(__xludf.DUMMYFUNCTION("""COMPUTED_VALUE"""),"Steinhof")</f>
        <v>Steinhof</v>
      </c>
    </row>
    <row r="3686">
      <c r="A3686" t="str">
        <f>IFERROR(__xludf.DUMMYFUNCTION("""COMPUTED_VALUE"""),"K-067")</f>
        <v>K-067</v>
      </c>
      <c r="B3686" s="226" t="str">
        <f>IFERROR(__xludf.DUMMYFUNCTION("""COMPUTED_VALUE"""),"5907615808371")</f>
        <v>5907615808371</v>
      </c>
      <c r="C3686" t="str">
        <f>IFERROR(__xludf.DUMMYFUNCTION("""COMPUTED_VALUE"""),"Steinhof")</f>
        <v>Steinhof</v>
      </c>
    </row>
    <row r="3687">
      <c r="A3687" t="str">
        <f>IFERROR(__xludf.DUMMYFUNCTION("""COMPUTED_VALUE"""),"K-067")</f>
        <v>K-067</v>
      </c>
      <c r="B3687" s="226" t="str">
        <f>IFERROR(__xludf.DUMMYFUNCTION("""COMPUTED_VALUE"""),"5907615808371")</f>
        <v>5907615808371</v>
      </c>
      <c r="C3687" t="str">
        <f>IFERROR(__xludf.DUMMYFUNCTION("""COMPUTED_VALUE"""),"Steinhof")</f>
        <v>Steinhof</v>
      </c>
    </row>
    <row r="3688">
      <c r="A3688" t="str">
        <f>IFERROR(__xludf.DUMMYFUNCTION("""COMPUTED_VALUE"""),"K-068")</f>
        <v>K-068</v>
      </c>
      <c r="B3688" s="226" t="str">
        <f>IFERROR(__xludf.DUMMYFUNCTION("""COMPUTED_VALUE"""),"5907615808388")</f>
        <v>5907615808388</v>
      </c>
      <c r="C3688" t="str">
        <f>IFERROR(__xludf.DUMMYFUNCTION("""COMPUTED_VALUE"""),"Steinhof")</f>
        <v>Steinhof</v>
      </c>
    </row>
    <row r="3689">
      <c r="A3689" t="str">
        <f>IFERROR(__xludf.DUMMYFUNCTION("""COMPUTED_VALUE"""),"K-068")</f>
        <v>K-068</v>
      </c>
      <c r="B3689" s="226" t="str">
        <f>IFERROR(__xludf.DUMMYFUNCTION("""COMPUTED_VALUE"""),"5907615808388")</f>
        <v>5907615808388</v>
      </c>
      <c r="C3689" t="str">
        <f>IFERROR(__xludf.DUMMYFUNCTION("""COMPUTED_VALUE"""),"Steinhof")</f>
        <v>Steinhof</v>
      </c>
    </row>
    <row r="3690">
      <c r="A3690" t="str">
        <f>IFERROR(__xludf.DUMMYFUNCTION("""COMPUTED_VALUE"""),"K-069")</f>
        <v>K-069</v>
      </c>
      <c r="B3690" s="226" t="str">
        <f>IFERROR(__xludf.DUMMYFUNCTION("""COMPUTED_VALUE"""),"5907615808395")</f>
        <v>5907615808395</v>
      </c>
      <c r="C3690" t="str">
        <f>IFERROR(__xludf.DUMMYFUNCTION("""COMPUTED_VALUE"""),"Steinhof")</f>
        <v>Steinhof</v>
      </c>
    </row>
    <row r="3691">
      <c r="A3691" t="str">
        <f>IFERROR(__xludf.DUMMYFUNCTION("""COMPUTED_VALUE"""),"K-070")</f>
        <v>K-070</v>
      </c>
      <c r="B3691" s="226" t="str">
        <f>IFERROR(__xludf.DUMMYFUNCTION("""COMPUTED_VALUE"""),"5907615808401")</f>
        <v>5907615808401</v>
      </c>
      <c r="C3691" t="str">
        <f>IFERROR(__xludf.DUMMYFUNCTION("""COMPUTED_VALUE"""),"Steinhof")</f>
        <v>Steinhof</v>
      </c>
    </row>
    <row r="3692">
      <c r="A3692" t="str">
        <f>IFERROR(__xludf.DUMMYFUNCTION("""COMPUTED_VALUE"""),"K-071")</f>
        <v>K-071</v>
      </c>
      <c r="B3692" s="226" t="str">
        <f>IFERROR(__xludf.DUMMYFUNCTION("""COMPUTED_VALUE"""),"5907615808418")</f>
        <v>5907615808418</v>
      </c>
      <c r="C3692" t="str">
        <f>IFERROR(__xludf.DUMMYFUNCTION("""COMPUTED_VALUE"""),"Steinhof")</f>
        <v>Steinhof</v>
      </c>
    </row>
    <row r="3693">
      <c r="A3693" t="str">
        <f>IFERROR(__xludf.DUMMYFUNCTION("""COMPUTED_VALUE"""),"K-072")</f>
        <v>K-072</v>
      </c>
      <c r="B3693" s="226" t="str">
        <f>IFERROR(__xludf.DUMMYFUNCTION("""COMPUTED_VALUE"""),"5907615808425")</f>
        <v>5907615808425</v>
      </c>
      <c r="C3693" t="str">
        <f>IFERROR(__xludf.DUMMYFUNCTION("""COMPUTED_VALUE"""),"Steinhof")</f>
        <v>Steinhof</v>
      </c>
    </row>
    <row r="3694">
      <c r="A3694" t="str">
        <f>IFERROR(__xludf.DUMMYFUNCTION("""COMPUTED_VALUE"""),"K-073")</f>
        <v>K-073</v>
      </c>
      <c r="B3694" s="226" t="str">
        <f>IFERROR(__xludf.DUMMYFUNCTION("""COMPUTED_VALUE"""),"5907615808432")</f>
        <v>5907615808432</v>
      </c>
      <c r="C3694" t="str">
        <f>IFERROR(__xludf.DUMMYFUNCTION("""COMPUTED_VALUE"""),"Steinhof")</f>
        <v>Steinhof</v>
      </c>
    </row>
    <row r="3695">
      <c r="A3695" t="str">
        <f>IFERROR(__xludf.DUMMYFUNCTION("""COMPUTED_VALUE"""),"K-074")</f>
        <v>K-074</v>
      </c>
      <c r="B3695" s="226" t="str">
        <f>IFERROR(__xludf.DUMMYFUNCTION("""COMPUTED_VALUE"""),"5907615808449")</f>
        <v>5907615808449</v>
      </c>
      <c r="C3695" t="str">
        <f>IFERROR(__xludf.DUMMYFUNCTION("""COMPUTED_VALUE"""),"Steinhof")</f>
        <v>Steinhof</v>
      </c>
    </row>
    <row r="3696">
      <c r="A3696" t="str">
        <f>IFERROR(__xludf.DUMMYFUNCTION("""COMPUTED_VALUE"""),"K-075")</f>
        <v>K-075</v>
      </c>
      <c r="B3696" s="226" t="str">
        <f>IFERROR(__xludf.DUMMYFUNCTION("""COMPUTED_VALUE"""),"5907615808456")</f>
        <v>5907615808456</v>
      </c>
      <c r="C3696" t="str">
        <f>IFERROR(__xludf.DUMMYFUNCTION("""COMPUTED_VALUE"""),"Steinhof")</f>
        <v>Steinhof</v>
      </c>
    </row>
    <row r="3697">
      <c r="A3697" t="str">
        <f>IFERROR(__xludf.DUMMYFUNCTION("""COMPUTED_VALUE"""),"K-076")</f>
        <v>K-076</v>
      </c>
      <c r="B3697" s="226" t="str">
        <f>IFERROR(__xludf.DUMMYFUNCTION("""COMPUTED_VALUE"""),"5907615808463")</f>
        <v>5907615808463</v>
      </c>
      <c r="C3697" t="str">
        <f>IFERROR(__xludf.DUMMYFUNCTION("""COMPUTED_VALUE"""),"Steinhof")</f>
        <v>Steinhof</v>
      </c>
    </row>
    <row r="3698">
      <c r="A3698" t="str">
        <f>IFERROR(__xludf.DUMMYFUNCTION("""COMPUTED_VALUE"""),"K-057")</f>
        <v>K-057</v>
      </c>
      <c r="B3698" s="226" t="str">
        <f>IFERROR(__xludf.DUMMYFUNCTION("""COMPUTED_VALUE"""),"5907615808548")</f>
        <v>5907615808548</v>
      </c>
      <c r="C3698" t="str">
        <f>IFERROR(__xludf.DUMMYFUNCTION("""COMPUTED_VALUE"""),"Steinhof")</f>
        <v>Steinhof</v>
      </c>
    </row>
    <row r="3699">
      <c r="A3699" t="str">
        <f>IFERROR(__xludf.DUMMYFUNCTION("""COMPUTED_VALUE"""),"K-057")</f>
        <v>K-057</v>
      </c>
      <c r="B3699" s="226" t="str">
        <f>IFERROR(__xludf.DUMMYFUNCTION("""COMPUTED_VALUE"""),"5907615808548")</f>
        <v>5907615808548</v>
      </c>
      <c r="C3699" t="str">
        <f>IFERROR(__xludf.DUMMYFUNCTION("""COMPUTED_VALUE"""),"Steinhof")</f>
        <v>Steinhof</v>
      </c>
    </row>
    <row r="3700">
      <c r="A3700" t="str">
        <f>IFERROR(__xludf.DUMMYFUNCTION("""COMPUTED_VALUE"""),"K-058")</f>
        <v>K-058</v>
      </c>
      <c r="B3700" s="226" t="str">
        <f>IFERROR(__xludf.DUMMYFUNCTION("""COMPUTED_VALUE"""),"5907615808555")</f>
        <v>5907615808555</v>
      </c>
      <c r="C3700" t="str">
        <f>IFERROR(__xludf.DUMMYFUNCTION("""COMPUTED_VALUE"""),"Steinhof")</f>
        <v>Steinhof</v>
      </c>
    </row>
    <row r="3701">
      <c r="A3701" t="str">
        <f>IFERROR(__xludf.DUMMYFUNCTION("""COMPUTED_VALUE"""),"K-001")</f>
        <v>K-001</v>
      </c>
      <c r="B3701" s="226" t="str">
        <f>IFERROR(__xludf.DUMMYFUNCTION("""COMPUTED_VALUE"""),"5907615808562")</f>
        <v>5907615808562</v>
      </c>
      <c r="C3701" t="str">
        <f>IFERROR(__xludf.DUMMYFUNCTION("""COMPUTED_VALUE"""),"Steinhof")</f>
        <v>Steinhof</v>
      </c>
    </row>
    <row r="3702">
      <c r="A3702" t="str">
        <f>IFERROR(__xludf.DUMMYFUNCTION("""COMPUTED_VALUE"""),"K-001")</f>
        <v>K-001</v>
      </c>
      <c r="B3702" s="226" t="str">
        <f>IFERROR(__xludf.DUMMYFUNCTION("""COMPUTED_VALUE"""),"5907615808562")</f>
        <v>5907615808562</v>
      </c>
      <c r="C3702" t="str">
        <f>IFERROR(__xludf.DUMMYFUNCTION("""COMPUTED_VALUE"""),"Steinhof")</f>
        <v>Steinhof</v>
      </c>
    </row>
    <row r="3703">
      <c r="A3703" t="str">
        <f>IFERROR(__xludf.DUMMYFUNCTION("""COMPUTED_VALUE"""),"K-001")</f>
        <v>K-001</v>
      </c>
      <c r="B3703" s="226" t="str">
        <f>IFERROR(__xludf.DUMMYFUNCTION("""COMPUTED_VALUE"""),"5907615808562")</f>
        <v>5907615808562</v>
      </c>
      <c r="C3703" t="str">
        <f>IFERROR(__xludf.DUMMYFUNCTION("""COMPUTED_VALUE"""),"Steinhof")</f>
        <v>Steinhof</v>
      </c>
    </row>
    <row r="3704">
      <c r="A3704" t="str">
        <f>IFERROR(__xludf.DUMMYFUNCTION("""COMPUTED_VALUE"""),"K-059")</f>
        <v>K-059</v>
      </c>
      <c r="B3704" s="226" t="str">
        <f>IFERROR(__xludf.DUMMYFUNCTION("""COMPUTED_VALUE"""),"5907615808579")</f>
        <v>5907615808579</v>
      </c>
      <c r="C3704" t="str">
        <f>IFERROR(__xludf.DUMMYFUNCTION("""COMPUTED_VALUE"""),"Steinhof")</f>
        <v>Steinhof</v>
      </c>
    </row>
    <row r="3705">
      <c r="A3705" t="str">
        <f>IFERROR(__xludf.DUMMYFUNCTION("""COMPUTED_VALUE"""),"K-059")</f>
        <v>K-059</v>
      </c>
      <c r="B3705" s="226" t="str">
        <f>IFERROR(__xludf.DUMMYFUNCTION("""COMPUTED_VALUE"""),"5907615808579")</f>
        <v>5907615808579</v>
      </c>
      <c r="C3705" t="str">
        <f>IFERROR(__xludf.DUMMYFUNCTION("""COMPUTED_VALUE"""),"Steinhof")</f>
        <v>Steinhof</v>
      </c>
    </row>
    <row r="3706">
      <c r="A3706" t="str">
        <f>IFERROR(__xludf.DUMMYFUNCTION("""COMPUTED_VALUE"""),"K-003")</f>
        <v>K-003</v>
      </c>
      <c r="B3706" s="226" t="str">
        <f>IFERROR(__xludf.DUMMYFUNCTION("""COMPUTED_VALUE"""),"5907615808586")</f>
        <v>5907615808586</v>
      </c>
      <c r="C3706" t="str">
        <f>IFERROR(__xludf.DUMMYFUNCTION("""COMPUTED_VALUE"""),"Steinhof")</f>
        <v>Steinhof</v>
      </c>
    </row>
    <row r="3707">
      <c r="A3707" t="str">
        <f>IFERROR(__xludf.DUMMYFUNCTION("""COMPUTED_VALUE"""),"K-003")</f>
        <v>K-003</v>
      </c>
      <c r="B3707" s="226" t="str">
        <f>IFERROR(__xludf.DUMMYFUNCTION("""COMPUTED_VALUE"""),"5907615808586")</f>
        <v>5907615808586</v>
      </c>
      <c r="C3707" t="str">
        <f>IFERROR(__xludf.DUMMYFUNCTION("""COMPUTED_VALUE"""),"Steinhof")</f>
        <v>Steinhof</v>
      </c>
    </row>
    <row r="3708">
      <c r="A3708" t="str">
        <f>IFERROR(__xludf.DUMMYFUNCTION("""COMPUTED_VALUE"""),"K-004")</f>
        <v>K-004</v>
      </c>
      <c r="B3708" s="226" t="str">
        <f>IFERROR(__xludf.DUMMYFUNCTION("""COMPUTED_VALUE"""),"5907615808593")</f>
        <v>5907615808593</v>
      </c>
      <c r="C3708" t="str">
        <f>IFERROR(__xludf.DUMMYFUNCTION("""COMPUTED_VALUE"""),"Steinhof")</f>
        <v>Steinhof</v>
      </c>
    </row>
    <row r="3709">
      <c r="A3709" t="str">
        <f>IFERROR(__xludf.DUMMYFUNCTION("""COMPUTED_VALUE"""),"K-004")</f>
        <v>K-004</v>
      </c>
      <c r="B3709" s="226" t="str">
        <f>IFERROR(__xludf.DUMMYFUNCTION("""COMPUTED_VALUE"""),"5907615808593")</f>
        <v>5907615808593</v>
      </c>
      <c r="C3709" t="str">
        <f>IFERROR(__xludf.DUMMYFUNCTION("""COMPUTED_VALUE"""),"Steinhof")</f>
        <v>Steinhof</v>
      </c>
    </row>
    <row r="3710">
      <c r="A3710" t="str">
        <f>IFERROR(__xludf.DUMMYFUNCTION("""COMPUTED_VALUE"""),"K-005")</f>
        <v>K-005</v>
      </c>
      <c r="B3710" s="226" t="str">
        <f>IFERROR(__xludf.DUMMYFUNCTION("""COMPUTED_VALUE"""),"5907615808609")</f>
        <v>5907615808609</v>
      </c>
      <c r="C3710" t="str">
        <f>IFERROR(__xludf.DUMMYFUNCTION("""COMPUTED_VALUE"""),"Steinhof")</f>
        <v>Steinhof</v>
      </c>
    </row>
    <row r="3711">
      <c r="A3711" t="str">
        <f>IFERROR(__xludf.DUMMYFUNCTION("""COMPUTED_VALUE"""),"K-005")</f>
        <v>K-005</v>
      </c>
      <c r="B3711" s="226" t="str">
        <f>IFERROR(__xludf.DUMMYFUNCTION("""COMPUTED_VALUE"""),"5907615808609")</f>
        <v>5907615808609</v>
      </c>
      <c r="C3711" t="str">
        <f>IFERROR(__xludf.DUMMYFUNCTION("""COMPUTED_VALUE"""),"Steinhof")</f>
        <v>Steinhof</v>
      </c>
    </row>
    <row r="3712">
      <c r="A3712" t="str">
        <f>IFERROR(__xludf.DUMMYFUNCTION("""COMPUTED_VALUE"""),"K-006")</f>
        <v>K-006</v>
      </c>
      <c r="B3712" s="226" t="str">
        <f>IFERROR(__xludf.DUMMYFUNCTION("""COMPUTED_VALUE"""),"5907615808616")</f>
        <v>5907615808616</v>
      </c>
      <c r="C3712" t="str">
        <f>IFERROR(__xludf.DUMMYFUNCTION("""COMPUTED_VALUE"""),"Steinhof")</f>
        <v>Steinhof</v>
      </c>
    </row>
    <row r="3713">
      <c r="A3713" t="str">
        <f>IFERROR(__xludf.DUMMYFUNCTION("""COMPUTED_VALUE"""),"K-006")</f>
        <v>K-006</v>
      </c>
      <c r="B3713" s="226" t="str">
        <f>IFERROR(__xludf.DUMMYFUNCTION("""COMPUTED_VALUE"""),"5907615808616")</f>
        <v>5907615808616</v>
      </c>
      <c r="C3713" t="str">
        <f>IFERROR(__xludf.DUMMYFUNCTION("""COMPUTED_VALUE"""),"Steinhof")</f>
        <v>Steinhof</v>
      </c>
    </row>
    <row r="3714">
      <c r="A3714" t="str">
        <f>IFERROR(__xludf.DUMMYFUNCTION("""COMPUTED_VALUE"""),"K-060")</f>
        <v>K-060</v>
      </c>
      <c r="B3714" s="226" t="str">
        <f>IFERROR(__xludf.DUMMYFUNCTION("""COMPUTED_VALUE"""),"5907615808623")</f>
        <v>5907615808623</v>
      </c>
      <c r="C3714" t="str">
        <f>IFERROR(__xludf.DUMMYFUNCTION("""COMPUTED_VALUE"""),"Steinhof")</f>
        <v>Steinhof</v>
      </c>
    </row>
    <row r="3715">
      <c r="A3715" t="str">
        <f>IFERROR(__xludf.DUMMYFUNCTION("""COMPUTED_VALUE"""),"K-060")</f>
        <v>K-060</v>
      </c>
      <c r="B3715" s="226" t="str">
        <f>IFERROR(__xludf.DUMMYFUNCTION("""COMPUTED_VALUE"""),"5907615808623")</f>
        <v>5907615808623</v>
      </c>
      <c r="C3715" t="str">
        <f>IFERROR(__xludf.DUMMYFUNCTION("""COMPUTED_VALUE"""),"Steinhof")</f>
        <v>Steinhof</v>
      </c>
    </row>
    <row r="3716">
      <c r="A3716" t="str">
        <f>IFERROR(__xludf.DUMMYFUNCTION("""COMPUTED_VALUE"""),"K-008")</f>
        <v>K-008</v>
      </c>
      <c r="B3716" s="226" t="str">
        <f>IFERROR(__xludf.DUMMYFUNCTION("""COMPUTED_VALUE"""),"5907615808630")</f>
        <v>5907615808630</v>
      </c>
      <c r="C3716" t="str">
        <f>IFERROR(__xludf.DUMMYFUNCTION("""COMPUTED_VALUE"""),"Steinhof")</f>
        <v>Steinhof</v>
      </c>
    </row>
    <row r="3717">
      <c r="A3717" t="str">
        <f>IFERROR(__xludf.DUMMYFUNCTION("""COMPUTED_VALUE"""),"K-008")</f>
        <v>K-008</v>
      </c>
      <c r="B3717" s="226" t="str">
        <f>IFERROR(__xludf.DUMMYFUNCTION("""COMPUTED_VALUE"""),"5907615808630")</f>
        <v>5907615808630</v>
      </c>
      <c r="C3717" t="str">
        <f>IFERROR(__xludf.DUMMYFUNCTION("""COMPUTED_VALUE"""),"Steinhof")</f>
        <v>Steinhof</v>
      </c>
    </row>
    <row r="3718">
      <c r="A3718" t="str">
        <f>IFERROR(__xludf.DUMMYFUNCTION("""COMPUTED_VALUE"""),"K-009")</f>
        <v>K-009</v>
      </c>
      <c r="B3718" s="226" t="str">
        <f>IFERROR(__xludf.DUMMYFUNCTION("""COMPUTED_VALUE"""),"5907615808647")</f>
        <v>5907615808647</v>
      </c>
      <c r="C3718" t="str">
        <f>IFERROR(__xludf.DUMMYFUNCTION("""COMPUTED_VALUE"""),"Steinhof")</f>
        <v>Steinhof</v>
      </c>
    </row>
    <row r="3719">
      <c r="A3719" t="str">
        <f>IFERROR(__xludf.DUMMYFUNCTION("""COMPUTED_VALUE"""),"K-009")</f>
        <v>K-009</v>
      </c>
      <c r="B3719" s="226" t="str">
        <f>IFERROR(__xludf.DUMMYFUNCTION("""COMPUTED_VALUE"""),"5907615808647")</f>
        <v>5907615808647</v>
      </c>
      <c r="C3719" t="str">
        <f>IFERROR(__xludf.DUMMYFUNCTION("""COMPUTED_VALUE"""),"Steinhof")</f>
        <v>Steinhof</v>
      </c>
    </row>
    <row r="3720">
      <c r="A3720" t="str">
        <f>IFERROR(__xludf.DUMMYFUNCTION("""COMPUTED_VALUE"""),"K-013")</f>
        <v>K-013</v>
      </c>
      <c r="B3720" s="226" t="str">
        <f>IFERROR(__xludf.DUMMYFUNCTION("""COMPUTED_VALUE"""),"5907615808661")</f>
        <v>5907615808661</v>
      </c>
      <c r="C3720" t="str">
        <f>IFERROR(__xludf.DUMMYFUNCTION("""COMPUTED_VALUE"""),"Steinhof")</f>
        <v>Steinhof</v>
      </c>
    </row>
    <row r="3721">
      <c r="A3721" t="str">
        <f>IFERROR(__xludf.DUMMYFUNCTION("""COMPUTED_VALUE"""),"K-013")</f>
        <v>K-013</v>
      </c>
      <c r="B3721" s="226" t="str">
        <f>IFERROR(__xludf.DUMMYFUNCTION("""COMPUTED_VALUE"""),"5907615808661")</f>
        <v>5907615808661</v>
      </c>
      <c r="C3721" t="str">
        <f>IFERROR(__xludf.DUMMYFUNCTION("""COMPUTED_VALUE"""),"Steinhof")</f>
        <v>Steinhof</v>
      </c>
    </row>
    <row r="3722">
      <c r="A3722" t="str">
        <f>IFERROR(__xludf.DUMMYFUNCTION("""COMPUTED_VALUE"""),"K-012")</f>
        <v>K-012</v>
      </c>
      <c r="B3722" s="226" t="str">
        <f>IFERROR(__xludf.DUMMYFUNCTION("""COMPUTED_VALUE"""),"5907615808678")</f>
        <v>5907615808678</v>
      </c>
      <c r="C3722" t="str">
        <f>IFERROR(__xludf.DUMMYFUNCTION("""COMPUTED_VALUE"""),"Steinhof")</f>
        <v>Steinhof</v>
      </c>
    </row>
    <row r="3723">
      <c r="A3723" t="str">
        <f>IFERROR(__xludf.DUMMYFUNCTION("""COMPUTED_VALUE"""),"K-012")</f>
        <v>K-012</v>
      </c>
      <c r="B3723" s="226" t="str">
        <f>IFERROR(__xludf.DUMMYFUNCTION("""COMPUTED_VALUE"""),"5907615808678")</f>
        <v>5907615808678</v>
      </c>
      <c r="C3723" t="str">
        <f>IFERROR(__xludf.DUMMYFUNCTION("""COMPUTED_VALUE"""),"Steinhof")</f>
        <v>Steinhof</v>
      </c>
    </row>
    <row r="3724">
      <c r="A3724" t="str">
        <f>IFERROR(__xludf.DUMMYFUNCTION("""COMPUTED_VALUE"""),"K-020")</f>
        <v>K-020</v>
      </c>
      <c r="B3724" s="226" t="str">
        <f>IFERROR(__xludf.DUMMYFUNCTION("""COMPUTED_VALUE"""),"5907615808685")</f>
        <v>5907615808685</v>
      </c>
      <c r="C3724" t="str">
        <f>IFERROR(__xludf.DUMMYFUNCTION("""COMPUTED_VALUE"""),"Steinhof")</f>
        <v>Steinhof</v>
      </c>
    </row>
    <row r="3725">
      <c r="A3725" t="str">
        <f>IFERROR(__xludf.DUMMYFUNCTION("""COMPUTED_VALUE"""),"K-020")</f>
        <v>K-020</v>
      </c>
      <c r="B3725" s="226" t="str">
        <f>IFERROR(__xludf.DUMMYFUNCTION("""COMPUTED_VALUE"""),"5907615808685")</f>
        <v>5907615808685</v>
      </c>
      <c r="C3725" t="str">
        <f>IFERROR(__xludf.DUMMYFUNCTION("""COMPUTED_VALUE"""),"Steinhof")</f>
        <v>Steinhof</v>
      </c>
    </row>
    <row r="3726">
      <c r="A3726" t="str">
        <f>IFERROR(__xludf.DUMMYFUNCTION("""COMPUTED_VALUE"""),"K-021")</f>
        <v>K-021</v>
      </c>
      <c r="B3726" s="226" t="str">
        <f>IFERROR(__xludf.DUMMYFUNCTION("""COMPUTED_VALUE"""),"5907615808692")</f>
        <v>5907615808692</v>
      </c>
      <c r="C3726" t="str">
        <f>IFERROR(__xludf.DUMMYFUNCTION("""COMPUTED_VALUE"""),"Steinhof")</f>
        <v>Steinhof</v>
      </c>
    </row>
    <row r="3727">
      <c r="A3727" t="str">
        <f>IFERROR(__xludf.DUMMYFUNCTION("""COMPUTED_VALUE"""),"K-021")</f>
        <v>K-021</v>
      </c>
      <c r="B3727" s="226" t="str">
        <f>IFERROR(__xludf.DUMMYFUNCTION("""COMPUTED_VALUE"""),"5907615808692")</f>
        <v>5907615808692</v>
      </c>
      <c r="C3727" t="str">
        <f>IFERROR(__xludf.DUMMYFUNCTION("""COMPUTED_VALUE"""),"Steinhof")</f>
        <v>Steinhof</v>
      </c>
    </row>
    <row r="3728">
      <c r="A3728" t="str">
        <f>IFERROR(__xludf.DUMMYFUNCTION("""COMPUTED_VALUE"""),"K-022")</f>
        <v>K-022</v>
      </c>
      <c r="B3728" s="226" t="str">
        <f>IFERROR(__xludf.DUMMYFUNCTION("""COMPUTED_VALUE"""),"5907615808708")</f>
        <v>5907615808708</v>
      </c>
      <c r="C3728" t="str">
        <f>IFERROR(__xludf.DUMMYFUNCTION("""COMPUTED_VALUE"""),"Steinhof")</f>
        <v>Steinhof</v>
      </c>
    </row>
    <row r="3729">
      <c r="A3729" t="str">
        <f>IFERROR(__xludf.DUMMYFUNCTION("""COMPUTED_VALUE"""),"K-022")</f>
        <v>K-022</v>
      </c>
      <c r="B3729" s="226" t="str">
        <f>IFERROR(__xludf.DUMMYFUNCTION("""COMPUTED_VALUE"""),"5907615808708")</f>
        <v>5907615808708</v>
      </c>
      <c r="C3729" t="str">
        <f>IFERROR(__xludf.DUMMYFUNCTION("""COMPUTED_VALUE"""),"Steinhof")</f>
        <v>Steinhof</v>
      </c>
    </row>
    <row r="3730">
      <c r="A3730" t="str">
        <f>IFERROR(__xludf.DUMMYFUNCTION("""COMPUTED_VALUE"""),"K-023")</f>
        <v>K-023</v>
      </c>
      <c r="B3730" s="226" t="str">
        <f>IFERROR(__xludf.DUMMYFUNCTION("""COMPUTED_VALUE"""),"5907615808715")</f>
        <v>5907615808715</v>
      </c>
      <c r="C3730" t="str">
        <f>IFERROR(__xludf.DUMMYFUNCTION("""COMPUTED_VALUE"""),"Steinhof")</f>
        <v>Steinhof</v>
      </c>
    </row>
    <row r="3731">
      <c r="A3731" t="str">
        <f>IFERROR(__xludf.DUMMYFUNCTION("""COMPUTED_VALUE"""),"K-023")</f>
        <v>K-023</v>
      </c>
      <c r="B3731" s="226" t="str">
        <f>IFERROR(__xludf.DUMMYFUNCTION("""COMPUTED_VALUE"""),"5907615808715")</f>
        <v>5907615808715</v>
      </c>
      <c r="C3731" t="str">
        <f>IFERROR(__xludf.DUMMYFUNCTION("""COMPUTED_VALUE"""),"Steinhof")</f>
        <v>Steinhof</v>
      </c>
    </row>
    <row r="3732">
      <c r="A3732" t="str">
        <f>IFERROR(__xludf.DUMMYFUNCTION("""COMPUTED_VALUE"""),"K-025")</f>
        <v>K-025</v>
      </c>
      <c r="B3732" s="226" t="str">
        <f>IFERROR(__xludf.DUMMYFUNCTION("""COMPUTED_VALUE"""),"5907615808722")</f>
        <v>5907615808722</v>
      </c>
      <c r="C3732" t="str">
        <f>IFERROR(__xludf.DUMMYFUNCTION("""COMPUTED_VALUE"""),"Steinhof")</f>
        <v>Steinhof</v>
      </c>
    </row>
    <row r="3733">
      <c r="A3733" t="str">
        <f>IFERROR(__xludf.DUMMYFUNCTION("""COMPUTED_VALUE"""),"K-025")</f>
        <v>K-025</v>
      </c>
      <c r="B3733" s="226" t="str">
        <f>IFERROR(__xludf.DUMMYFUNCTION("""COMPUTED_VALUE"""),"5907615808722")</f>
        <v>5907615808722</v>
      </c>
      <c r="C3733" t="str">
        <f>IFERROR(__xludf.DUMMYFUNCTION("""COMPUTED_VALUE"""),"Steinhof")</f>
        <v>Steinhof</v>
      </c>
    </row>
    <row r="3734">
      <c r="A3734" t="str">
        <f>IFERROR(__xludf.DUMMYFUNCTION("""COMPUTED_VALUE"""),"K-016")</f>
        <v>K-016</v>
      </c>
      <c r="B3734" s="226" t="str">
        <f>IFERROR(__xludf.DUMMYFUNCTION("""COMPUTED_VALUE"""),"5907615808753")</f>
        <v>5907615808753</v>
      </c>
      <c r="C3734" t="str">
        <f>IFERROR(__xludf.DUMMYFUNCTION("""COMPUTED_VALUE"""),"Steinhof")</f>
        <v>Steinhof</v>
      </c>
    </row>
    <row r="3735">
      <c r="A3735" t="str">
        <f>IFERROR(__xludf.DUMMYFUNCTION("""COMPUTED_VALUE"""),"K-016")</f>
        <v>K-016</v>
      </c>
      <c r="B3735" s="226" t="str">
        <f>IFERROR(__xludf.DUMMYFUNCTION("""COMPUTED_VALUE"""),"5907615808753")</f>
        <v>5907615808753</v>
      </c>
      <c r="C3735" t="str">
        <f>IFERROR(__xludf.DUMMYFUNCTION("""COMPUTED_VALUE"""),"Steinhof")</f>
        <v>Steinhof</v>
      </c>
    </row>
    <row r="3736">
      <c r="A3736" t="str">
        <f>IFERROR(__xludf.DUMMYFUNCTION("""COMPUTED_VALUE"""),"K-016")</f>
        <v>K-016</v>
      </c>
      <c r="B3736" s="226" t="str">
        <f>IFERROR(__xludf.DUMMYFUNCTION("""COMPUTED_VALUE"""),"5907615808753")</f>
        <v>5907615808753</v>
      </c>
      <c r="C3736" t="str">
        <f>IFERROR(__xludf.DUMMYFUNCTION("""COMPUTED_VALUE"""),"Steinhof")</f>
        <v>Steinhof</v>
      </c>
    </row>
    <row r="3737">
      <c r="A3737" t="str">
        <f>IFERROR(__xludf.DUMMYFUNCTION("""COMPUTED_VALUE"""),"K-016")</f>
        <v>K-016</v>
      </c>
      <c r="B3737" s="226" t="str">
        <f>IFERROR(__xludf.DUMMYFUNCTION("""COMPUTED_VALUE"""),"5907615808753")</f>
        <v>5907615808753</v>
      </c>
      <c r="C3737" t="str">
        <f>IFERROR(__xludf.DUMMYFUNCTION("""COMPUTED_VALUE"""),"Steinhof")</f>
        <v>Steinhof</v>
      </c>
    </row>
    <row r="3738">
      <c r="A3738" t="str">
        <f>IFERROR(__xludf.DUMMYFUNCTION("""COMPUTED_VALUE"""),"K-017")</f>
        <v>K-017</v>
      </c>
      <c r="B3738" s="226" t="str">
        <f>IFERROR(__xludf.DUMMYFUNCTION("""COMPUTED_VALUE"""),"5907615808760")</f>
        <v>5907615808760</v>
      </c>
      <c r="C3738" t="str">
        <f>IFERROR(__xludf.DUMMYFUNCTION("""COMPUTED_VALUE"""),"Steinhof")</f>
        <v>Steinhof</v>
      </c>
    </row>
    <row r="3739">
      <c r="A3739" t="str">
        <f>IFERROR(__xludf.DUMMYFUNCTION("""COMPUTED_VALUE"""),"K-017")</f>
        <v>K-017</v>
      </c>
      <c r="B3739" s="226" t="str">
        <f>IFERROR(__xludf.DUMMYFUNCTION("""COMPUTED_VALUE"""),"5907615808760")</f>
        <v>5907615808760</v>
      </c>
      <c r="C3739" t="str">
        <f>IFERROR(__xludf.DUMMYFUNCTION("""COMPUTED_VALUE"""),"Steinhof")</f>
        <v>Steinhof</v>
      </c>
    </row>
    <row r="3740">
      <c r="A3740" t="str">
        <f>IFERROR(__xludf.DUMMYFUNCTION("""COMPUTED_VALUE"""),"K-017")</f>
        <v>K-017</v>
      </c>
      <c r="B3740" s="226" t="str">
        <f>IFERROR(__xludf.DUMMYFUNCTION("""COMPUTED_VALUE"""),"5907615808760")</f>
        <v>5907615808760</v>
      </c>
      <c r="C3740" t="str">
        <f>IFERROR(__xludf.DUMMYFUNCTION("""COMPUTED_VALUE"""),"Steinhof")</f>
        <v>Steinhof</v>
      </c>
    </row>
    <row r="3741">
      <c r="A3741" t="str">
        <f>IFERROR(__xludf.DUMMYFUNCTION("""COMPUTED_VALUE"""),"K-017")</f>
        <v>K-017</v>
      </c>
      <c r="B3741" s="226" t="str">
        <f>IFERROR(__xludf.DUMMYFUNCTION("""COMPUTED_VALUE"""),"5907615808760")</f>
        <v>5907615808760</v>
      </c>
      <c r="C3741" t="str">
        <f>IFERROR(__xludf.DUMMYFUNCTION("""COMPUTED_VALUE"""),"Steinhof")</f>
        <v>Steinhof</v>
      </c>
    </row>
    <row r="3742">
      <c r="A3742" t="str">
        <f>IFERROR(__xludf.DUMMYFUNCTION("""COMPUTED_VALUE"""),"K-028")</f>
        <v>K-028</v>
      </c>
      <c r="B3742" s="226" t="str">
        <f>IFERROR(__xludf.DUMMYFUNCTION("""COMPUTED_VALUE"""),"5907615808777")</f>
        <v>5907615808777</v>
      </c>
      <c r="C3742" t="str">
        <f>IFERROR(__xludf.DUMMYFUNCTION("""COMPUTED_VALUE"""),"Steinhof")</f>
        <v>Steinhof</v>
      </c>
    </row>
    <row r="3743">
      <c r="A3743" t="str">
        <f>IFERROR(__xludf.DUMMYFUNCTION("""COMPUTED_VALUE"""),"K-028")</f>
        <v>K-028</v>
      </c>
      <c r="B3743" s="226" t="str">
        <f>IFERROR(__xludf.DUMMYFUNCTION("""COMPUTED_VALUE"""),"5907615808777")</f>
        <v>5907615808777</v>
      </c>
      <c r="C3743" t="str">
        <f>IFERROR(__xludf.DUMMYFUNCTION("""COMPUTED_VALUE"""),"Steinhof")</f>
        <v>Steinhof</v>
      </c>
    </row>
    <row r="3744">
      <c r="A3744" t="str">
        <f>IFERROR(__xludf.DUMMYFUNCTION("""COMPUTED_VALUE"""),"K-029")</f>
        <v>K-029</v>
      </c>
      <c r="B3744" s="226" t="str">
        <f>IFERROR(__xludf.DUMMYFUNCTION("""COMPUTED_VALUE"""),"5907615808784")</f>
        <v>5907615808784</v>
      </c>
      <c r="C3744" t="str">
        <f>IFERROR(__xludf.DUMMYFUNCTION("""COMPUTED_VALUE"""),"Steinhof")</f>
        <v>Steinhof</v>
      </c>
    </row>
    <row r="3745">
      <c r="A3745" t="str">
        <f>IFERROR(__xludf.DUMMYFUNCTION("""COMPUTED_VALUE"""),"K-029")</f>
        <v>K-029</v>
      </c>
      <c r="B3745" s="226" t="str">
        <f>IFERROR(__xludf.DUMMYFUNCTION("""COMPUTED_VALUE"""),"5907615808784")</f>
        <v>5907615808784</v>
      </c>
      <c r="C3745" t="str">
        <f>IFERROR(__xludf.DUMMYFUNCTION("""COMPUTED_VALUE"""),"Steinhof")</f>
        <v>Steinhof</v>
      </c>
    </row>
    <row r="3746">
      <c r="A3746" t="str">
        <f>IFERROR(__xludf.DUMMYFUNCTION("""COMPUTED_VALUE"""),"K-018")</f>
        <v>K-018</v>
      </c>
      <c r="B3746" s="226" t="str">
        <f>IFERROR(__xludf.DUMMYFUNCTION("""COMPUTED_VALUE"""),"5907615808791")</f>
        <v>5907615808791</v>
      </c>
      <c r="C3746" t="str">
        <f>IFERROR(__xludf.DUMMYFUNCTION("""COMPUTED_VALUE"""),"Steinhof")</f>
        <v>Steinhof</v>
      </c>
    </row>
    <row r="3747">
      <c r="A3747" t="str">
        <f>IFERROR(__xludf.DUMMYFUNCTION("""COMPUTED_VALUE"""),"K-018")</f>
        <v>K-018</v>
      </c>
      <c r="B3747" s="226" t="str">
        <f>IFERROR(__xludf.DUMMYFUNCTION("""COMPUTED_VALUE"""),"5907615808791")</f>
        <v>5907615808791</v>
      </c>
      <c r="C3747" t="str">
        <f>IFERROR(__xludf.DUMMYFUNCTION("""COMPUTED_VALUE"""),"Steinhof")</f>
        <v>Steinhof</v>
      </c>
    </row>
    <row r="3748">
      <c r="A3748" t="str">
        <f>IFERROR(__xludf.DUMMYFUNCTION("""COMPUTED_VALUE"""),"K-030")</f>
        <v>K-030</v>
      </c>
      <c r="B3748" s="226" t="str">
        <f>IFERROR(__xludf.DUMMYFUNCTION("""COMPUTED_VALUE"""),"5907615808807")</f>
        <v>5907615808807</v>
      </c>
      <c r="C3748" t="str">
        <f>IFERROR(__xludf.DUMMYFUNCTION("""COMPUTED_VALUE"""),"Steinhof")</f>
        <v>Steinhof</v>
      </c>
    </row>
    <row r="3749">
      <c r="A3749" t="str">
        <f>IFERROR(__xludf.DUMMYFUNCTION("""COMPUTED_VALUE"""),"K-019")</f>
        <v>K-019</v>
      </c>
      <c r="B3749" s="226" t="str">
        <f>IFERROR(__xludf.DUMMYFUNCTION("""COMPUTED_VALUE"""),"5907615808814")</f>
        <v>5907615808814</v>
      </c>
      <c r="C3749" t="str">
        <f>IFERROR(__xludf.DUMMYFUNCTION("""COMPUTED_VALUE"""),"Steinhof")</f>
        <v>Steinhof</v>
      </c>
    </row>
    <row r="3750">
      <c r="A3750" t="str">
        <f>IFERROR(__xludf.DUMMYFUNCTION("""COMPUTED_VALUE"""),"K-019")</f>
        <v>K-019</v>
      </c>
      <c r="B3750" s="226" t="str">
        <f>IFERROR(__xludf.DUMMYFUNCTION("""COMPUTED_VALUE"""),"5907615808814")</f>
        <v>5907615808814</v>
      </c>
      <c r="C3750" t="str">
        <f>IFERROR(__xludf.DUMMYFUNCTION("""COMPUTED_VALUE"""),"Steinhof")</f>
        <v>Steinhof</v>
      </c>
    </row>
    <row r="3751">
      <c r="A3751" t="str">
        <f>IFERROR(__xludf.DUMMYFUNCTION("""COMPUTED_VALUE"""),"K-032")</f>
        <v>K-032</v>
      </c>
      <c r="B3751" s="226" t="str">
        <f>IFERROR(__xludf.DUMMYFUNCTION("""COMPUTED_VALUE"""),"5907615808821")</f>
        <v>5907615808821</v>
      </c>
      <c r="C3751" t="str">
        <f>IFERROR(__xludf.DUMMYFUNCTION("""COMPUTED_VALUE"""),"Steinhof")</f>
        <v>Steinhof</v>
      </c>
    </row>
    <row r="3752">
      <c r="A3752" t="str">
        <f>IFERROR(__xludf.DUMMYFUNCTION("""COMPUTED_VALUE"""),"K-032")</f>
        <v>K-032</v>
      </c>
      <c r="B3752" s="226" t="str">
        <f>IFERROR(__xludf.DUMMYFUNCTION("""COMPUTED_VALUE"""),"5907615808821")</f>
        <v>5907615808821</v>
      </c>
      <c r="C3752" t="str">
        <f>IFERROR(__xludf.DUMMYFUNCTION("""COMPUTED_VALUE"""),"Steinhof")</f>
        <v>Steinhof</v>
      </c>
    </row>
    <row r="3753">
      <c r="A3753" t="str">
        <f>IFERROR(__xludf.DUMMYFUNCTION("""COMPUTED_VALUE"""),"K-061")</f>
        <v>K-061</v>
      </c>
      <c r="B3753" s="226" t="str">
        <f>IFERROR(__xludf.DUMMYFUNCTION("""COMPUTED_VALUE"""),"5907615808838")</f>
        <v>5907615808838</v>
      </c>
      <c r="C3753" t="str">
        <f>IFERROR(__xludf.DUMMYFUNCTION("""COMPUTED_VALUE"""),"Steinhof")</f>
        <v>Steinhof</v>
      </c>
    </row>
    <row r="3754">
      <c r="A3754" t="str">
        <f>IFERROR(__xludf.DUMMYFUNCTION("""COMPUTED_VALUE"""),"K-061")</f>
        <v>K-061</v>
      </c>
      <c r="B3754" s="226" t="str">
        <f>IFERROR(__xludf.DUMMYFUNCTION("""COMPUTED_VALUE"""),"5907615808838")</f>
        <v>5907615808838</v>
      </c>
      <c r="C3754" t="str">
        <f>IFERROR(__xludf.DUMMYFUNCTION("""COMPUTED_VALUE"""),"Steinhof")</f>
        <v>Steinhof</v>
      </c>
    </row>
    <row r="3755">
      <c r="A3755" t="str">
        <f>IFERROR(__xludf.DUMMYFUNCTION("""COMPUTED_VALUE"""),"K-034")</f>
        <v>K-034</v>
      </c>
      <c r="B3755" s="226" t="str">
        <f>IFERROR(__xludf.DUMMYFUNCTION("""COMPUTED_VALUE"""),"5907615808845")</f>
        <v>5907615808845</v>
      </c>
      <c r="C3755" t="str">
        <f>IFERROR(__xludf.DUMMYFUNCTION("""COMPUTED_VALUE"""),"Steinhof")</f>
        <v>Steinhof</v>
      </c>
    </row>
    <row r="3756">
      <c r="A3756" t="str">
        <f>IFERROR(__xludf.DUMMYFUNCTION("""COMPUTED_VALUE"""),"K-034")</f>
        <v>K-034</v>
      </c>
      <c r="B3756" s="226" t="str">
        <f>IFERROR(__xludf.DUMMYFUNCTION("""COMPUTED_VALUE"""),"5907615808845")</f>
        <v>5907615808845</v>
      </c>
      <c r="C3756" t="str">
        <f>IFERROR(__xludf.DUMMYFUNCTION("""COMPUTED_VALUE"""),"Steinhof")</f>
        <v>Steinhof</v>
      </c>
    </row>
    <row r="3757">
      <c r="A3757" t="str">
        <f>IFERROR(__xludf.DUMMYFUNCTION("""COMPUTED_VALUE"""),"K-035")</f>
        <v>K-035</v>
      </c>
      <c r="B3757" s="226" t="str">
        <f>IFERROR(__xludf.DUMMYFUNCTION("""COMPUTED_VALUE"""),"5907615808852")</f>
        <v>5907615808852</v>
      </c>
      <c r="C3757" t="str">
        <f>IFERROR(__xludf.DUMMYFUNCTION("""COMPUTED_VALUE"""),"Steinhof")</f>
        <v>Steinhof</v>
      </c>
    </row>
    <row r="3758">
      <c r="A3758" t="str">
        <f>IFERROR(__xludf.DUMMYFUNCTION("""COMPUTED_VALUE"""),"K-035")</f>
        <v>K-035</v>
      </c>
      <c r="B3758" s="226" t="str">
        <f>IFERROR(__xludf.DUMMYFUNCTION("""COMPUTED_VALUE"""),"5907615808852")</f>
        <v>5907615808852</v>
      </c>
      <c r="C3758" t="str">
        <f>IFERROR(__xludf.DUMMYFUNCTION("""COMPUTED_VALUE"""),"Steinhof")</f>
        <v>Steinhof</v>
      </c>
    </row>
    <row r="3759">
      <c r="A3759" t="str">
        <f>IFERROR(__xludf.DUMMYFUNCTION("""COMPUTED_VALUE"""),"K-035")</f>
        <v>K-035</v>
      </c>
      <c r="B3759" s="226" t="str">
        <f>IFERROR(__xludf.DUMMYFUNCTION("""COMPUTED_VALUE"""),"5907615808852")</f>
        <v>5907615808852</v>
      </c>
      <c r="C3759" t="str">
        <f>IFERROR(__xludf.DUMMYFUNCTION("""COMPUTED_VALUE"""),"Steinhof")</f>
        <v>Steinhof</v>
      </c>
    </row>
    <row r="3760">
      <c r="A3760" t="str">
        <f>IFERROR(__xludf.DUMMYFUNCTION("""COMPUTED_VALUE"""),"K-035")</f>
        <v>K-035</v>
      </c>
      <c r="B3760" s="226" t="str">
        <f>IFERROR(__xludf.DUMMYFUNCTION("""COMPUTED_VALUE"""),"5907615808852")</f>
        <v>5907615808852</v>
      </c>
      <c r="C3760" t="str">
        <f>IFERROR(__xludf.DUMMYFUNCTION("""COMPUTED_VALUE"""),"Steinhof")</f>
        <v>Steinhof</v>
      </c>
    </row>
    <row r="3761">
      <c r="A3761" t="str">
        <f>IFERROR(__xludf.DUMMYFUNCTION("""COMPUTED_VALUE"""),"K-036")</f>
        <v>K-036</v>
      </c>
      <c r="B3761" s="226" t="str">
        <f>IFERROR(__xludf.DUMMYFUNCTION("""COMPUTED_VALUE"""),"5907615808869")</f>
        <v>5907615808869</v>
      </c>
      <c r="C3761" t="str">
        <f>IFERROR(__xludf.DUMMYFUNCTION("""COMPUTED_VALUE"""),"Steinhof")</f>
        <v>Steinhof</v>
      </c>
    </row>
    <row r="3762">
      <c r="A3762" t="str">
        <f>IFERROR(__xludf.DUMMYFUNCTION("""COMPUTED_VALUE"""),"K-036")</f>
        <v>K-036</v>
      </c>
      <c r="B3762" s="226" t="str">
        <f>IFERROR(__xludf.DUMMYFUNCTION("""COMPUTED_VALUE"""),"5907615808869")</f>
        <v>5907615808869</v>
      </c>
      <c r="C3762" t="str">
        <f>IFERROR(__xludf.DUMMYFUNCTION("""COMPUTED_VALUE"""),"Steinhof")</f>
        <v>Steinhof</v>
      </c>
    </row>
    <row r="3763">
      <c r="A3763" t="str">
        <f>IFERROR(__xludf.DUMMYFUNCTION("""COMPUTED_VALUE"""),"K-036")</f>
        <v>K-036</v>
      </c>
      <c r="B3763" s="226" t="str">
        <f>IFERROR(__xludf.DUMMYFUNCTION("""COMPUTED_VALUE"""),"5907615808869")</f>
        <v>5907615808869</v>
      </c>
      <c r="C3763" t="str">
        <f>IFERROR(__xludf.DUMMYFUNCTION("""COMPUTED_VALUE"""),"Steinhof")</f>
        <v>Steinhof</v>
      </c>
    </row>
    <row r="3764">
      <c r="A3764" t="str">
        <f>IFERROR(__xludf.DUMMYFUNCTION("""COMPUTED_VALUE"""),"K-036")</f>
        <v>K-036</v>
      </c>
      <c r="B3764" s="226" t="str">
        <f>IFERROR(__xludf.DUMMYFUNCTION("""COMPUTED_VALUE"""),"5907615808869")</f>
        <v>5907615808869</v>
      </c>
      <c r="C3764" t="str">
        <f>IFERROR(__xludf.DUMMYFUNCTION("""COMPUTED_VALUE"""),"Steinhof")</f>
        <v>Steinhof</v>
      </c>
    </row>
    <row r="3765">
      <c r="A3765" t="str">
        <f>IFERROR(__xludf.DUMMYFUNCTION("""COMPUTED_VALUE"""),"K-037")</f>
        <v>K-037</v>
      </c>
      <c r="B3765" s="226" t="str">
        <f>IFERROR(__xludf.DUMMYFUNCTION("""COMPUTED_VALUE"""),"5907615808876")</f>
        <v>5907615808876</v>
      </c>
      <c r="C3765" t="str">
        <f>IFERROR(__xludf.DUMMYFUNCTION("""COMPUTED_VALUE"""),"Steinhof")</f>
        <v>Steinhof</v>
      </c>
    </row>
    <row r="3766">
      <c r="A3766" t="str">
        <f>IFERROR(__xludf.DUMMYFUNCTION("""COMPUTED_VALUE"""),"K-037")</f>
        <v>K-037</v>
      </c>
      <c r="B3766" s="226" t="str">
        <f>IFERROR(__xludf.DUMMYFUNCTION("""COMPUTED_VALUE"""),"5907615808876")</f>
        <v>5907615808876</v>
      </c>
      <c r="C3766" t="str">
        <f>IFERROR(__xludf.DUMMYFUNCTION("""COMPUTED_VALUE"""),"Steinhof")</f>
        <v>Steinhof</v>
      </c>
    </row>
    <row r="3767">
      <c r="A3767" t="str">
        <f>IFERROR(__xludf.DUMMYFUNCTION("""COMPUTED_VALUE"""),"K-038")</f>
        <v>K-038</v>
      </c>
      <c r="B3767" s="226" t="str">
        <f>IFERROR(__xludf.DUMMYFUNCTION("""COMPUTED_VALUE"""),"5907615808883")</f>
        <v>5907615808883</v>
      </c>
      <c r="C3767" t="str">
        <f>IFERROR(__xludf.DUMMYFUNCTION("""COMPUTED_VALUE"""),"Steinhof")</f>
        <v>Steinhof</v>
      </c>
    </row>
    <row r="3768">
      <c r="A3768" t="str">
        <f>IFERROR(__xludf.DUMMYFUNCTION("""COMPUTED_VALUE"""),"K-038")</f>
        <v>K-038</v>
      </c>
      <c r="B3768" s="226" t="str">
        <f>IFERROR(__xludf.DUMMYFUNCTION("""COMPUTED_VALUE"""),"5907615808883")</f>
        <v>5907615808883</v>
      </c>
      <c r="C3768" t="str">
        <f>IFERROR(__xludf.DUMMYFUNCTION("""COMPUTED_VALUE"""),"Steinhof")</f>
        <v>Steinhof</v>
      </c>
    </row>
    <row r="3769">
      <c r="A3769" t="str">
        <f>IFERROR(__xludf.DUMMYFUNCTION("""COMPUTED_VALUE"""),"K-062")</f>
        <v>K-062</v>
      </c>
      <c r="B3769" s="226" t="str">
        <f>IFERROR(__xludf.DUMMYFUNCTION("""COMPUTED_VALUE"""),"5907615808890")</f>
        <v>5907615808890</v>
      </c>
      <c r="C3769" t="str">
        <f>IFERROR(__xludf.DUMMYFUNCTION("""COMPUTED_VALUE"""),"Steinhof")</f>
        <v>Steinhof</v>
      </c>
    </row>
    <row r="3770">
      <c r="A3770" t="str">
        <f>IFERROR(__xludf.DUMMYFUNCTION("""COMPUTED_VALUE"""),"K-062")</f>
        <v>K-062</v>
      </c>
      <c r="B3770" s="226" t="str">
        <f>IFERROR(__xludf.DUMMYFUNCTION("""COMPUTED_VALUE"""),"5907615808890")</f>
        <v>5907615808890</v>
      </c>
      <c r="C3770" t="str">
        <f>IFERROR(__xludf.DUMMYFUNCTION("""COMPUTED_VALUE"""),"Steinhof")</f>
        <v>Steinhof</v>
      </c>
    </row>
    <row r="3771">
      <c r="A3771" t="str">
        <f>IFERROR(__xludf.DUMMYFUNCTION("""COMPUTED_VALUE"""),"K-011")</f>
        <v>K-011</v>
      </c>
      <c r="B3771" s="226" t="str">
        <f>IFERROR(__xludf.DUMMYFUNCTION("""COMPUTED_VALUE"""),"5907615808906")</f>
        <v>5907615808906</v>
      </c>
      <c r="C3771" t="str">
        <f>IFERROR(__xludf.DUMMYFUNCTION("""COMPUTED_VALUE"""),"Steinhof")</f>
        <v>Steinhof</v>
      </c>
    </row>
    <row r="3772">
      <c r="A3772" t="str">
        <f>IFERROR(__xludf.DUMMYFUNCTION("""COMPUTED_VALUE"""),"K-011")</f>
        <v>K-011</v>
      </c>
      <c r="B3772" s="226" t="str">
        <f>IFERROR(__xludf.DUMMYFUNCTION("""COMPUTED_VALUE"""),"5907615808906")</f>
        <v>5907615808906</v>
      </c>
      <c r="C3772" t="str">
        <f>IFERROR(__xludf.DUMMYFUNCTION("""COMPUTED_VALUE"""),"Steinhof")</f>
        <v>Steinhof</v>
      </c>
    </row>
    <row r="3773">
      <c r="A3773" t="str">
        <f>IFERROR(__xludf.DUMMYFUNCTION("""COMPUTED_VALUE"""),"K-041")</f>
        <v>K-041</v>
      </c>
      <c r="B3773" s="226" t="str">
        <f>IFERROR(__xludf.DUMMYFUNCTION("""COMPUTED_VALUE"""),"5907615808913")</f>
        <v>5907615808913</v>
      </c>
      <c r="C3773" t="str">
        <f>IFERROR(__xludf.DUMMYFUNCTION("""COMPUTED_VALUE"""),"Steinhof")</f>
        <v>Steinhof</v>
      </c>
    </row>
    <row r="3774">
      <c r="A3774" t="str">
        <f>IFERROR(__xludf.DUMMYFUNCTION("""COMPUTED_VALUE"""),"K-041")</f>
        <v>K-041</v>
      </c>
      <c r="B3774" s="226" t="str">
        <f>IFERROR(__xludf.DUMMYFUNCTION("""COMPUTED_VALUE"""),"5907615808913")</f>
        <v>5907615808913</v>
      </c>
      <c r="C3774" t="str">
        <f>IFERROR(__xludf.DUMMYFUNCTION("""COMPUTED_VALUE"""),"Steinhof")</f>
        <v>Steinhof</v>
      </c>
    </row>
    <row r="3775">
      <c r="A3775" t="str">
        <f>IFERROR(__xludf.DUMMYFUNCTION("""COMPUTED_VALUE"""),"K-042")</f>
        <v>K-042</v>
      </c>
      <c r="B3775" s="226" t="str">
        <f>IFERROR(__xludf.DUMMYFUNCTION("""COMPUTED_VALUE"""),"5907615808920")</f>
        <v>5907615808920</v>
      </c>
      <c r="C3775" t="str">
        <f>IFERROR(__xludf.DUMMYFUNCTION("""COMPUTED_VALUE"""),"Steinhof")</f>
        <v>Steinhof</v>
      </c>
    </row>
    <row r="3776">
      <c r="A3776" t="str">
        <f>IFERROR(__xludf.DUMMYFUNCTION("""COMPUTED_VALUE"""),"K-042")</f>
        <v>K-042</v>
      </c>
      <c r="B3776" s="226" t="str">
        <f>IFERROR(__xludf.DUMMYFUNCTION("""COMPUTED_VALUE"""),"5907615808920")</f>
        <v>5907615808920</v>
      </c>
      <c r="C3776" t="str">
        <f>IFERROR(__xludf.DUMMYFUNCTION("""COMPUTED_VALUE"""),"Steinhof")</f>
        <v>Steinhof</v>
      </c>
    </row>
    <row r="3777">
      <c r="A3777" t="str">
        <f>IFERROR(__xludf.DUMMYFUNCTION("""COMPUTED_VALUE"""),"K-026")</f>
        <v>K-026</v>
      </c>
      <c r="B3777" s="226" t="str">
        <f>IFERROR(__xludf.DUMMYFUNCTION("""COMPUTED_VALUE"""),"5907615808937")</f>
        <v>5907615808937</v>
      </c>
      <c r="C3777" t="str">
        <f>IFERROR(__xludf.DUMMYFUNCTION("""COMPUTED_VALUE"""),"Steinhof")</f>
        <v>Steinhof</v>
      </c>
    </row>
    <row r="3778">
      <c r="A3778" t="str">
        <f>IFERROR(__xludf.DUMMYFUNCTION("""COMPUTED_VALUE"""),"K-026")</f>
        <v>K-026</v>
      </c>
      <c r="B3778" s="226" t="str">
        <f>IFERROR(__xludf.DUMMYFUNCTION("""COMPUTED_VALUE"""),"5907615808937")</f>
        <v>5907615808937</v>
      </c>
      <c r="C3778" t="str">
        <f>IFERROR(__xludf.DUMMYFUNCTION("""COMPUTED_VALUE"""),"Steinhof")</f>
        <v>Steinhof</v>
      </c>
    </row>
    <row r="3779">
      <c r="A3779" t="str">
        <f>IFERROR(__xludf.DUMMYFUNCTION("""COMPUTED_VALUE"""),"K-039")</f>
        <v>K-039</v>
      </c>
      <c r="B3779" s="226" t="str">
        <f>IFERROR(__xludf.DUMMYFUNCTION("""COMPUTED_VALUE"""),"5907615808944")</f>
        <v>5907615808944</v>
      </c>
      <c r="C3779" t="str">
        <f>IFERROR(__xludf.DUMMYFUNCTION("""COMPUTED_VALUE"""),"Steinhof")</f>
        <v>Steinhof</v>
      </c>
    </row>
    <row r="3780">
      <c r="A3780" t="str">
        <f>IFERROR(__xludf.DUMMYFUNCTION("""COMPUTED_VALUE"""),"K-039")</f>
        <v>K-039</v>
      </c>
      <c r="B3780" s="226" t="str">
        <f>IFERROR(__xludf.DUMMYFUNCTION("""COMPUTED_VALUE"""),"5907615808944")</f>
        <v>5907615808944</v>
      </c>
      <c r="C3780" t="str">
        <f>IFERROR(__xludf.DUMMYFUNCTION("""COMPUTED_VALUE"""),"Steinhof")</f>
        <v>Steinhof</v>
      </c>
    </row>
    <row r="3781">
      <c r="A3781" t="str">
        <f>IFERROR(__xludf.DUMMYFUNCTION("""COMPUTED_VALUE"""),"K-040")</f>
        <v>K-040</v>
      </c>
      <c r="B3781" s="226" t="str">
        <f>IFERROR(__xludf.DUMMYFUNCTION("""COMPUTED_VALUE"""),"5907615808951")</f>
        <v>5907615808951</v>
      </c>
      <c r="C3781" t="str">
        <f>IFERROR(__xludf.DUMMYFUNCTION("""COMPUTED_VALUE"""),"Steinhof")</f>
        <v>Steinhof</v>
      </c>
    </row>
    <row r="3782">
      <c r="A3782" t="str">
        <f>IFERROR(__xludf.DUMMYFUNCTION("""COMPUTED_VALUE"""),"K-040")</f>
        <v>K-040</v>
      </c>
      <c r="B3782" s="226" t="str">
        <f>IFERROR(__xludf.DUMMYFUNCTION("""COMPUTED_VALUE"""),"5907615808951")</f>
        <v>5907615808951</v>
      </c>
      <c r="C3782" t="str">
        <f>IFERROR(__xludf.DUMMYFUNCTION("""COMPUTED_VALUE"""),"Steinhof")</f>
        <v>Steinhof</v>
      </c>
    </row>
    <row r="3783">
      <c r="A3783" t="str">
        <f>IFERROR(__xludf.DUMMYFUNCTION("""COMPUTED_VALUE"""),"K-043")</f>
        <v>K-043</v>
      </c>
      <c r="B3783" s="226" t="str">
        <f>IFERROR(__xludf.DUMMYFUNCTION("""COMPUTED_VALUE"""),"5907615808968")</f>
        <v>5907615808968</v>
      </c>
      <c r="C3783" t="str">
        <f>IFERROR(__xludf.DUMMYFUNCTION("""COMPUTED_VALUE"""),"Steinhof")</f>
        <v>Steinhof</v>
      </c>
    </row>
    <row r="3784">
      <c r="A3784" t="str">
        <f>IFERROR(__xludf.DUMMYFUNCTION("""COMPUTED_VALUE"""),"K-043")</f>
        <v>K-043</v>
      </c>
      <c r="B3784" s="226" t="str">
        <f>IFERROR(__xludf.DUMMYFUNCTION("""COMPUTED_VALUE"""),"5907615808968")</f>
        <v>5907615808968</v>
      </c>
      <c r="C3784" t="str">
        <f>IFERROR(__xludf.DUMMYFUNCTION("""COMPUTED_VALUE"""),"Steinhof")</f>
        <v>Steinhof</v>
      </c>
    </row>
    <row r="3785">
      <c r="A3785" t="str">
        <f>IFERROR(__xludf.DUMMYFUNCTION("""COMPUTED_VALUE"""),"K-047")</f>
        <v>K-047</v>
      </c>
      <c r="B3785" s="226" t="str">
        <f>IFERROR(__xludf.DUMMYFUNCTION("""COMPUTED_VALUE"""),"5907615808975")</f>
        <v>5907615808975</v>
      </c>
      <c r="C3785" t="str">
        <f>IFERROR(__xludf.DUMMYFUNCTION("""COMPUTED_VALUE"""),"Steinhof")</f>
        <v>Steinhof</v>
      </c>
    </row>
    <row r="3786">
      <c r="A3786" t="str">
        <f>IFERROR(__xludf.DUMMYFUNCTION("""COMPUTED_VALUE"""),"K-047")</f>
        <v>K-047</v>
      </c>
      <c r="B3786" s="226" t="str">
        <f>IFERROR(__xludf.DUMMYFUNCTION("""COMPUTED_VALUE"""),"5907615808975")</f>
        <v>5907615808975</v>
      </c>
      <c r="C3786" t="str">
        <f>IFERROR(__xludf.DUMMYFUNCTION("""COMPUTED_VALUE"""),"Steinhof")</f>
        <v>Steinhof</v>
      </c>
    </row>
    <row r="3787">
      <c r="A3787" t="str">
        <f>IFERROR(__xludf.DUMMYFUNCTION("""COMPUTED_VALUE"""),"K-048")</f>
        <v>K-048</v>
      </c>
      <c r="B3787" s="226" t="str">
        <f>IFERROR(__xludf.DUMMYFUNCTION("""COMPUTED_VALUE"""),"5907615808982")</f>
        <v>5907615808982</v>
      </c>
      <c r="C3787" t="str">
        <f>IFERROR(__xludf.DUMMYFUNCTION("""COMPUTED_VALUE"""),"Steinhof")</f>
        <v>Steinhof</v>
      </c>
    </row>
    <row r="3788">
      <c r="A3788" t="str">
        <f>IFERROR(__xludf.DUMMYFUNCTION("""COMPUTED_VALUE"""),"K-048")</f>
        <v>K-048</v>
      </c>
      <c r="B3788" s="226" t="str">
        <f>IFERROR(__xludf.DUMMYFUNCTION("""COMPUTED_VALUE"""),"5907615808982")</f>
        <v>5907615808982</v>
      </c>
      <c r="C3788" t="str">
        <f>IFERROR(__xludf.DUMMYFUNCTION("""COMPUTED_VALUE"""),"Steinhof")</f>
        <v>Steinhof</v>
      </c>
    </row>
    <row r="3789">
      <c r="A3789" t="str">
        <f>IFERROR(__xludf.DUMMYFUNCTION("""COMPUTED_VALUE"""),"K-044")</f>
        <v>K-044</v>
      </c>
      <c r="B3789" s="226" t="str">
        <f>IFERROR(__xludf.DUMMYFUNCTION("""COMPUTED_VALUE"""),"5907615808999")</f>
        <v>5907615808999</v>
      </c>
      <c r="C3789" t="str">
        <f>IFERROR(__xludf.DUMMYFUNCTION("""COMPUTED_VALUE"""),"Steinhof")</f>
        <v>Steinhof</v>
      </c>
    </row>
    <row r="3790">
      <c r="A3790" t="str">
        <f>IFERROR(__xludf.DUMMYFUNCTION("""COMPUTED_VALUE"""),"K-044")</f>
        <v>K-044</v>
      </c>
      <c r="B3790" s="226" t="str">
        <f>IFERROR(__xludf.DUMMYFUNCTION("""COMPUTED_VALUE"""),"5907615808999")</f>
        <v>5907615808999</v>
      </c>
      <c r="C3790" t="str">
        <f>IFERROR(__xludf.DUMMYFUNCTION("""COMPUTED_VALUE"""),"Steinhof")</f>
        <v>Steinhof</v>
      </c>
    </row>
    <row r="3791">
      <c r="A3791" t="str">
        <f>IFERROR(__xludf.DUMMYFUNCTION("""COMPUTED_VALUE"""),"L-050")</f>
        <v>L-050</v>
      </c>
      <c r="B3791" s="226" t="str">
        <f>IFERROR(__xludf.DUMMYFUNCTION("""COMPUTED_VALUE"""),"5907615809101")</f>
        <v>5907615809101</v>
      </c>
      <c r="C3791" t="str">
        <f>IFERROR(__xludf.DUMMYFUNCTION("""COMPUTED_VALUE"""),"Steinhof")</f>
        <v>Steinhof</v>
      </c>
    </row>
    <row r="3792">
      <c r="A3792" t="str">
        <f>IFERROR(__xludf.DUMMYFUNCTION("""COMPUTED_VALUE"""),"L-050")</f>
        <v>L-050</v>
      </c>
      <c r="B3792" s="226" t="str">
        <f>IFERROR(__xludf.DUMMYFUNCTION("""COMPUTED_VALUE"""),"5907615809101")</f>
        <v>5907615809101</v>
      </c>
      <c r="C3792" t="str">
        <f>IFERROR(__xludf.DUMMYFUNCTION("""COMPUTED_VALUE"""),"Steinhof")</f>
        <v>Steinhof</v>
      </c>
    </row>
    <row r="3793">
      <c r="A3793" t="str">
        <f>IFERROR(__xludf.DUMMYFUNCTION("""COMPUTED_VALUE"""),"L-050")</f>
        <v>L-050</v>
      </c>
      <c r="B3793" s="226" t="str">
        <f>IFERROR(__xludf.DUMMYFUNCTION("""COMPUTED_VALUE"""),"5907615809101")</f>
        <v>5907615809101</v>
      </c>
      <c r="C3793" t="str">
        <f>IFERROR(__xludf.DUMMYFUNCTION("""COMPUTED_VALUE"""),"Steinhof")</f>
        <v>Steinhof</v>
      </c>
    </row>
    <row r="3794">
      <c r="A3794" t="str">
        <f>IFERROR(__xludf.DUMMYFUNCTION("""COMPUTED_VALUE"""),"L-050")</f>
        <v>L-050</v>
      </c>
      <c r="B3794" s="226" t="str">
        <f>IFERROR(__xludf.DUMMYFUNCTION("""COMPUTED_VALUE"""),"5907615809101")</f>
        <v>5907615809101</v>
      </c>
      <c r="C3794" t="str">
        <f>IFERROR(__xludf.DUMMYFUNCTION("""COMPUTED_VALUE"""),"Steinhof")</f>
        <v>Steinhof</v>
      </c>
    </row>
    <row r="3795">
      <c r="A3795" t="str">
        <f>IFERROR(__xludf.DUMMYFUNCTION("""COMPUTED_VALUE"""),"L-050")</f>
        <v>L-050</v>
      </c>
      <c r="B3795" s="226" t="str">
        <f>IFERROR(__xludf.DUMMYFUNCTION("""COMPUTED_VALUE"""),"5907615809101")</f>
        <v>5907615809101</v>
      </c>
      <c r="C3795" t="str">
        <f>IFERROR(__xludf.DUMMYFUNCTION("""COMPUTED_VALUE"""),"Steinhof")</f>
        <v>Steinhof</v>
      </c>
    </row>
    <row r="3796">
      <c r="A3796" t="str">
        <f>IFERROR(__xludf.DUMMYFUNCTION("""COMPUTED_VALUE"""),"L-050")</f>
        <v>L-050</v>
      </c>
      <c r="B3796" s="226" t="str">
        <f>IFERROR(__xludf.DUMMYFUNCTION("""COMPUTED_VALUE"""),"5907615809101")</f>
        <v>5907615809101</v>
      </c>
      <c r="C3796" t="str">
        <f>IFERROR(__xludf.DUMMYFUNCTION("""COMPUTED_VALUE"""),"Steinhof")</f>
        <v>Steinhof</v>
      </c>
    </row>
    <row r="3797">
      <c r="A3797" t="str">
        <f>IFERROR(__xludf.DUMMYFUNCTION("""COMPUTED_VALUE"""),"L-050")</f>
        <v>L-050</v>
      </c>
      <c r="B3797" s="226" t="str">
        <f>IFERROR(__xludf.DUMMYFUNCTION("""COMPUTED_VALUE"""),"5907615809101")</f>
        <v>5907615809101</v>
      </c>
      <c r="C3797" t="str">
        <f>IFERROR(__xludf.DUMMYFUNCTION("""COMPUTED_VALUE"""),"Steinhof")</f>
        <v>Steinhof</v>
      </c>
    </row>
    <row r="3798">
      <c r="A3798" t="str">
        <f>IFERROR(__xludf.DUMMYFUNCTION("""COMPUTED_VALUE"""),"L-050")</f>
        <v>L-050</v>
      </c>
      <c r="B3798" s="226" t="str">
        <f>IFERROR(__xludf.DUMMYFUNCTION("""COMPUTED_VALUE"""),"5907615809101")</f>
        <v>5907615809101</v>
      </c>
      <c r="C3798" t="str">
        <f>IFERROR(__xludf.DUMMYFUNCTION("""COMPUTED_VALUE"""),"Steinhof")</f>
        <v>Steinhof</v>
      </c>
    </row>
    <row r="3799">
      <c r="A3799" t="str">
        <f>IFERROR(__xludf.DUMMYFUNCTION("""COMPUTED_VALUE"""),"L-050")</f>
        <v>L-050</v>
      </c>
      <c r="B3799" s="226" t="str">
        <f>IFERROR(__xludf.DUMMYFUNCTION("""COMPUTED_VALUE"""),"5907615809101")</f>
        <v>5907615809101</v>
      </c>
      <c r="C3799" t="str">
        <f>IFERROR(__xludf.DUMMYFUNCTION("""COMPUTED_VALUE"""),"Steinhof")</f>
        <v>Steinhof</v>
      </c>
    </row>
    <row r="3800">
      <c r="A3800" t="str">
        <f>IFERROR(__xludf.DUMMYFUNCTION("""COMPUTED_VALUE"""),"L-050")</f>
        <v>L-050</v>
      </c>
      <c r="B3800" s="226" t="str">
        <f>IFERROR(__xludf.DUMMYFUNCTION("""COMPUTED_VALUE"""),"5907615809101")</f>
        <v>5907615809101</v>
      </c>
      <c r="C3800" t="str">
        <f>IFERROR(__xludf.DUMMYFUNCTION("""COMPUTED_VALUE"""),"Steinhof")</f>
        <v>Steinhof</v>
      </c>
    </row>
    <row r="3801">
      <c r="A3801" t="str">
        <f>IFERROR(__xludf.DUMMYFUNCTION("""COMPUTED_VALUE"""),"L-050")</f>
        <v>L-050</v>
      </c>
      <c r="B3801" s="226" t="str">
        <f>IFERROR(__xludf.DUMMYFUNCTION("""COMPUTED_VALUE"""),"5907615809101")</f>
        <v>5907615809101</v>
      </c>
      <c r="C3801" t="str">
        <f>IFERROR(__xludf.DUMMYFUNCTION("""COMPUTED_VALUE"""),"Steinhof")</f>
        <v>Steinhof</v>
      </c>
    </row>
    <row r="3802">
      <c r="A3802" t="str">
        <f>IFERROR(__xludf.DUMMYFUNCTION("""COMPUTED_VALUE"""),"L-050")</f>
        <v>L-050</v>
      </c>
      <c r="B3802" s="226" t="str">
        <f>IFERROR(__xludf.DUMMYFUNCTION("""COMPUTED_VALUE"""),"5907615809101")</f>
        <v>5907615809101</v>
      </c>
      <c r="C3802" t="str">
        <f>IFERROR(__xludf.DUMMYFUNCTION("""COMPUTED_VALUE"""),"Steinhof")</f>
        <v>Steinhof</v>
      </c>
    </row>
    <row r="3803">
      <c r="A3803" t="str">
        <f>IFERROR(__xludf.DUMMYFUNCTION("""COMPUTED_VALUE"""),"L-100/1")</f>
        <v>L-100/1</v>
      </c>
      <c r="B3803" s="226" t="str">
        <f>IFERROR(__xludf.DUMMYFUNCTION("""COMPUTED_VALUE"""),"5907615809316")</f>
        <v>5907615809316</v>
      </c>
      <c r="C3803" t="str">
        <f>IFERROR(__xludf.DUMMYFUNCTION("""COMPUTED_VALUE"""),"Steinhof")</f>
        <v>Steinhof</v>
      </c>
    </row>
    <row r="3804">
      <c r="A3804" t="str">
        <f>IFERROR(__xludf.DUMMYFUNCTION("""COMPUTED_VALUE"""),"L-100/1")</f>
        <v>L-100/1</v>
      </c>
      <c r="B3804" s="226" t="str">
        <f>IFERROR(__xludf.DUMMYFUNCTION("""COMPUTED_VALUE"""),"5907615809316")</f>
        <v>5907615809316</v>
      </c>
      <c r="C3804" t="str">
        <f>IFERROR(__xludf.DUMMYFUNCTION("""COMPUTED_VALUE"""),"Steinhof")</f>
        <v>Steinhof</v>
      </c>
    </row>
    <row r="3805">
      <c r="A3805" t="str">
        <f>IFERROR(__xludf.DUMMYFUNCTION("""COMPUTED_VALUE"""),"L-101")</f>
        <v>L-101</v>
      </c>
      <c r="B3805" s="226" t="str">
        <f>IFERROR(__xludf.DUMMYFUNCTION("""COMPUTED_VALUE"""),"5907615809323")</f>
        <v>5907615809323</v>
      </c>
      <c r="C3805" t="str">
        <f>IFERROR(__xludf.DUMMYFUNCTION("""COMPUTED_VALUE"""),"Steinhof")</f>
        <v>Steinhof</v>
      </c>
    </row>
    <row r="3806">
      <c r="A3806" t="str">
        <f>IFERROR(__xludf.DUMMYFUNCTION("""COMPUTED_VALUE"""),"L-101")</f>
        <v>L-101</v>
      </c>
      <c r="B3806" s="226" t="str">
        <f>IFERROR(__xludf.DUMMYFUNCTION("""COMPUTED_VALUE"""),"5907615809323")</f>
        <v>5907615809323</v>
      </c>
      <c r="C3806" t="str">
        <f>IFERROR(__xludf.DUMMYFUNCTION("""COMPUTED_VALUE"""),"Steinhof")</f>
        <v>Steinhof</v>
      </c>
    </row>
    <row r="3807">
      <c r="A3807" t="str">
        <f>IFERROR(__xludf.DUMMYFUNCTION("""COMPUTED_VALUE"""),"L-102")</f>
        <v>L-102</v>
      </c>
      <c r="B3807" s="226" t="str">
        <f>IFERROR(__xludf.DUMMYFUNCTION("""COMPUTED_VALUE"""),"5907615809330")</f>
        <v>5907615809330</v>
      </c>
      <c r="C3807" t="str">
        <f>IFERROR(__xludf.DUMMYFUNCTION("""COMPUTED_VALUE"""),"Steinhof")</f>
        <v>Steinhof</v>
      </c>
    </row>
    <row r="3808">
      <c r="A3808" t="str">
        <f>IFERROR(__xludf.DUMMYFUNCTION("""COMPUTED_VALUE"""),"L-102")</f>
        <v>L-102</v>
      </c>
      <c r="B3808" s="226" t="str">
        <f>IFERROR(__xludf.DUMMYFUNCTION("""COMPUTED_VALUE"""),"5907615809330")</f>
        <v>5907615809330</v>
      </c>
      <c r="C3808" t="str">
        <f>IFERROR(__xludf.DUMMYFUNCTION("""COMPUTED_VALUE"""),"Steinhof")</f>
        <v>Steinhof</v>
      </c>
    </row>
    <row r="3809">
      <c r="A3809" t="str">
        <f>IFERROR(__xludf.DUMMYFUNCTION("""COMPUTED_VALUE"""),"L-102")</f>
        <v>L-102</v>
      </c>
      <c r="B3809" s="226" t="str">
        <f>IFERROR(__xludf.DUMMYFUNCTION("""COMPUTED_VALUE"""),"5907615809330")</f>
        <v>5907615809330</v>
      </c>
      <c r="C3809" t="str">
        <f>IFERROR(__xludf.DUMMYFUNCTION("""COMPUTED_VALUE"""),"Steinhof")</f>
        <v>Steinhof</v>
      </c>
    </row>
    <row r="3810">
      <c r="A3810" t="str">
        <f>IFERROR(__xludf.DUMMYFUNCTION("""COMPUTED_VALUE"""),"L-102")</f>
        <v>L-102</v>
      </c>
      <c r="B3810" s="226" t="str">
        <f>IFERROR(__xludf.DUMMYFUNCTION("""COMPUTED_VALUE"""),"5907615809330")</f>
        <v>5907615809330</v>
      </c>
      <c r="C3810" t="str">
        <f>IFERROR(__xludf.DUMMYFUNCTION("""COMPUTED_VALUE"""),"Steinhof")</f>
        <v>Steinhof</v>
      </c>
    </row>
    <row r="3811">
      <c r="A3811" t="str">
        <f>IFERROR(__xludf.DUMMYFUNCTION("""COMPUTED_VALUE"""),"L-103")</f>
        <v>L-103</v>
      </c>
      <c r="B3811" s="226" t="str">
        <f>IFERROR(__xludf.DUMMYFUNCTION("""COMPUTED_VALUE"""),"5907615809347")</f>
        <v>5907615809347</v>
      </c>
      <c r="C3811" t="str">
        <f>IFERROR(__xludf.DUMMYFUNCTION("""COMPUTED_VALUE"""),"Steinhof")</f>
        <v>Steinhof</v>
      </c>
    </row>
    <row r="3812">
      <c r="A3812" t="str">
        <f>IFERROR(__xludf.DUMMYFUNCTION("""COMPUTED_VALUE"""),"L-103")</f>
        <v>L-103</v>
      </c>
      <c r="B3812" s="226" t="str">
        <f>IFERROR(__xludf.DUMMYFUNCTION("""COMPUTED_VALUE"""),"5907615809347")</f>
        <v>5907615809347</v>
      </c>
      <c r="C3812" t="str">
        <f>IFERROR(__xludf.DUMMYFUNCTION("""COMPUTED_VALUE"""),"Steinhof")</f>
        <v>Steinhof</v>
      </c>
    </row>
    <row r="3813">
      <c r="A3813" t="str">
        <f>IFERROR(__xludf.DUMMYFUNCTION("""COMPUTED_VALUE"""),"L-103")</f>
        <v>L-103</v>
      </c>
      <c r="B3813" s="226" t="str">
        <f>IFERROR(__xludf.DUMMYFUNCTION("""COMPUTED_VALUE"""),"5907615809347")</f>
        <v>5907615809347</v>
      </c>
      <c r="C3813" t="str">
        <f>IFERROR(__xludf.DUMMYFUNCTION("""COMPUTED_VALUE"""),"Steinhof")</f>
        <v>Steinhof</v>
      </c>
    </row>
    <row r="3814">
      <c r="A3814" t="str">
        <f>IFERROR(__xludf.DUMMYFUNCTION("""COMPUTED_VALUE"""),"L-103")</f>
        <v>L-103</v>
      </c>
      <c r="B3814" s="226" t="str">
        <f>IFERROR(__xludf.DUMMYFUNCTION("""COMPUTED_VALUE"""),"5907615809347")</f>
        <v>5907615809347</v>
      </c>
      <c r="C3814" t="str">
        <f>IFERROR(__xludf.DUMMYFUNCTION("""COMPUTED_VALUE"""),"Steinhof")</f>
        <v>Steinhof</v>
      </c>
    </row>
    <row r="3815">
      <c r="A3815" t="str">
        <f>IFERROR(__xludf.DUMMYFUNCTION("""COMPUTED_VALUE"""),"L-110")</f>
        <v>L-110</v>
      </c>
      <c r="B3815" s="226" t="str">
        <f>IFERROR(__xludf.DUMMYFUNCTION("""COMPUTED_VALUE"""),"5907615809354")</f>
        <v>5907615809354</v>
      </c>
      <c r="C3815" t="str">
        <f>IFERROR(__xludf.DUMMYFUNCTION("""COMPUTED_VALUE"""),"Steinhof")</f>
        <v>Steinhof</v>
      </c>
    </row>
    <row r="3816">
      <c r="A3816" t="str">
        <f>IFERROR(__xludf.DUMMYFUNCTION("""COMPUTED_VALUE"""),"L-110")</f>
        <v>L-110</v>
      </c>
      <c r="B3816" s="226" t="str">
        <f>IFERROR(__xludf.DUMMYFUNCTION("""COMPUTED_VALUE"""),"5907615809354")</f>
        <v>5907615809354</v>
      </c>
      <c r="C3816" t="str">
        <f>IFERROR(__xludf.DUMMYFUNCTION("""COMPUTED_VALUE"""),"Steinhof")</f>
        <v>Steinhof</v>
      </c>
    </row>
    <row r="3817">
      <c r="A3817" t="str">
        <f>IFERROR(__xludf.DUMMYFUNCTION("""COMPUTED_VALUE"""),"L-111")</f>
        <v>L-111</v>
      </c>
      <c r="B3817" s="226" t="str">
        <f>IFERROR(__xludf.DUMMYFUNCTION("""COMPUTED_VALUE"""),"5907615809361")</f>
        <v>5907615809361</v>
      </c>
      <c r="C3817" t="str">
        <f>IFERROR(__xludf.DUMMYFUNCTION("""COMPUTED_VALUE"""),"Steinhof")</f>
        <v>Steinhof</v>
      </c>
    </row>
    <row r="3818">
      <c r="A3818" t="str">
        <f>IFERROR(__xludf.DUMMYFUNCTION("""COMPUTED_VALUE"""),"L-111")</f>
        <v>L-111</v>
      </c>
      <c r="B3818" s="226" t="str">
        <f>IFERROR(__xludf.DUMMYFUNCTION("""COMPUTED_VALUE"""),"5907615809361")</f>
        <v>5907615809361</v>
      </c>
      <c r="C3818" t="str">
        <f>IFERROR(__xludf.DUMMYFUNCTION("""COMPUTED_VALUE"""),"Steinhof")</f>
        <v>Steinhof</v>
      </c>
    </row>
    <row r="3819">
      <c r="A3819" t="str">
        <f>IFERROR(__xludf.DUMMYFUNCTION("""COMPUTED_VALUE"""),"L-112")</f>
        <v>L-112</v>
      </c>
      <c r="B3819" s="226" t="str">
        <f>IFERROR(__xludf.DUMMYFUNCTION("""COMPUTED_VALUE"""),"5907615809378")</f>
        <v>5907615809378</v>
      </c>
      <c r="C3819" t="str">
        <f>IFERROR(__xludf.DUMMYFUNCTION("""COMPUTED_VALUE"""),"Steinhof")</f>
        <v>Steinhof</v>
      </c>
    </row>
    <row r="3820">
      <c r="A3820" t="str">
        <f>IFERROR(__xludf.DUMMYFUNCTION("""COMPUTED_VALUE"""),"L-112")</f>
        <v>L-112</v>
      </c>
      <c r="B3820" s="226" t="str">
        <f>IFERROR(__xludf.DUMMYFUNCTION("""COMPUTED_VALUE"""),"5907615809378")</f>
        <v>5907615809378</v>
      </c>
      <c r="C3820" t="str">
        <f>IFERROR(__xludf.DUMMYFUNCTION("""COMPUTED_VALUE"""),"Steinhof")</f>
        <v>Steinhof</v>
      </c>
    </row>
    <row r="3821">
      <c r="A3821" t="str">
        <f>IFERROR(__xludf.DUMMYFUNCTION("""COMPUTED_VALUE"""),"L-113")</f>
        <v>L-113</v>
      </c>
      <c r="B3821" s="226" t="str">
        <f>IFERROR(__xludf.DUMMYFUNCTION("""COMPUTED_VALUE"""),"5907615809385")</f>
        <v>5907615809385</v>
      </c>
      <c r="C3821" t="str">
        <f>IFERROR(__xludf.DUMMYFUNCTION("""COMPUTED_VALUE"""),"Steinhof")</f>
        <v>Steinhof</v>
      </c>
    </row>
    <row r="3822">
      <c r="A3822" t="str">
        <f>IFERROR(__xludf.DUMMYFUNCTION("""COMPUTED_VALUE"""),"L-113")</f>
        <v>L-113</v>
      </c>
      <c r="B3822" s="226" t="str">
        <f>IFERROR(__xludf.DUMMYFUNCTION("""COMPUTED_VALUE"""),"5907615809385")</f>
        <v>5907615809385</v>
      </c>
      <c r="C3822" t="str">
        <f>IFERROR(__xludf.DUMMYFUNCTION("""COMPUTED_VALUE"""),"Steinhof")</f>
        <v>Steinhof</v>
      </c>
    </row>
    <row r="3823">
      <c r="A3823" t="str">
        <f>IFERROR(__xludf.DUMMYFUNCTION("""COMPUTED_VALUE"""),"L-114")</f>
        <v>L-114</v>
      </c>
      <c r="B3823" s="226" t="str">
        <f>IFERROR(__xludf.DUMMYFUNCTION("""COMPUTED_VALUE"""),"5907615809392")</f>
        <v>5907615809392</v>
      </c>
      <c r="C3823" t="str">
        <f>IFERROR(__xludf.DUMMYFUNCTION("""COMPUTED_VALUE"""),"Steinhof")</f>
        <v>Steinhof</v>
      </c>
    </row>
    <row r="3824">
      <c r="A3824" t="str">
        <f>IFERROR(__xludf.DUMMYFUNCTION("""COMPUTED_VALUE"""),"L-114")</f>
        <v>L-114</v>
      </c>
      <c r="B3824" s="226" t="str">
        <f>IFERROR(__xludf.DUMMYFUNCTION("""COMPUTED_VALUE"""),"5907615809392")</f>
        <v>5907615809392</v>
      </c>
      <c r="C3824" t="str">
        <f>IFERROR(__xludf.DUMMYFUNCTION("""COMPUTED_VALUE"""),"Steinhof")</f>
        <v>Steinhof</v>
      </c>
    </row>
    <row r="3825">
      <c r="A3825" t="str">
        <f>IFERROR(__xludf.DUMMYFUNCTION("""COMPUTED_VALUE"""),"L-115")</f>
        <v>L-115</v>
      </c>
      <c r="B3825" s="226" t="str">
        <f>IFERROR(__xludf.DUMMYFUNCTION("""COMPUTED_VALUE"""),"5907615809408")</f>
        <v>5907615809408</v>
      </c>
      <c r="C3825" t="str">
        <f>IFERROR(__xludf.DUMMYFUNCTION("""COMPUTED_VALUE"""),"Steinhof")</f>
        <v>Steinhof</v>
      </c>
    </row>
    <row r="3826">
      <c r="A3826" t="str">
        <f>IFERROR(__xludf.DUMMYFUNCTION("""COMPUTED_VALUE"""),"L-115")</f>
        <v>L-115</v>
      </c>
      <c r="B3826" s="226" t="str">
        <f>IFERROR(__xludf.DUMMYFUNCTION("""COMPUTED_VALUE"""),"5907615809408")</f>
        <v>5907615809408</v>
      </c>
      <c r="C3826" t="str">
        <f>IFERROR(__xludf.DUMMYFUNCTION("""COMPUTED_VALUE"""),"Steinhof")</f>
        <v>Steinhof</v>
      </c>
    </row>
    <row r="3827">
      <c r="A3827" t="str">
        <f>IFERROR(__xludf.DUMMYFUNCTION("""COMPUTED_VALUE"""),"L-116")</f>
        <v>L-116</v>
      </c>
      <c r="B3827" s="226" t="str">
        <f>IFERROR(__xludf.DUMMYFUNCTION("""COMPUTED_VALUE"""),"5907615809415")</f>
        <v>5907615809415</v>
      </c>
      <c r="C3827" t="str">
        <f>IFERROR(__xludf.DUMMYFUNCTION("""COMPUTED_VALUE"""),"Steinhof")</f>
        <v>Steinhof</v>
      </c>
    </row>
    <row r="3828">
      <c r="A3828" t="str">
        <f>IFERROR(__xludf.DUMMYFUNCTION("""COMPUTED_VALUE"""),"L-116")</f>
        <v>L-116</v>
      </c>
      <c r="B3828" s="226" t="str">
        <f>IFERROR(__xludf.DUMMYFUNCTION("""COMPUTED_VALUE"""),"5907615809415")</f>
        <v>5907615809415</v>
      </c>
      <c r="C3828" t="str">
        <f>IFERROR(__xludf.DUMMYFUNCTION("""COMPUTED_VALUE"""),"Steinhof")</f>
        <v>Steinhof</v>
      </c>
    </row>
    <row r="3829">
      <c r="A3829" t="str">
        <f>IFERROR(__xludf.DUMMYFUNCTION("""COMPUTED_VALUE"""),"L-117")</f>
        <v>L-117</v>
      </c>
      <c r="B3829" s="226" t="str">
        <f>IFERROR(__xludf.DUMMYFUNCTION("""COMPUTED_VALUE"""),"5907615809422")</f>
        <v>5907615809422</v>
      </c>
      <c r="C3829" t="str">
        <f>IFERROR(__xludf.DUMMYFUNCTION("""COMPUTED_VALUE"""),"Steinhof")</f>
        <v>Steinhof</v>
      </c>
    </row>
    <row r="3830">
      <c r="A3830" t="str">
        <f>IFERROR(__xludf.DUMMYFUNCTION("""COMPUTED_VALUE"""),"L-117")</f>
        <v>L-117</v>
      </c>
      <c r="B3830" s="226" t="str">
        <f>IFERROR(__xludf.DUMMYFUNCTION("""COMPUTED_VALUE"""),"5907615809422")</f>
        <v>5907615809422</v>
      </c>
      <c r="C3830" t="str">
        <f>IFERROR(__xludf.DUMMYFUNCTION("""COMPUTED_VALUE"""),"Steinhof")</f>
        <v>Steinhof</v>
      </c>
    </row>
    <row r="3831">
      <c r="A3831" t="str">
        <f>IFERROR(__xludf.DUMMYFUNCTION("""COMPUTED_VALUE"""),"L-109")</f>
        <v>L-109</v>
      </c>
      <c r="B3831" s="226" t="str">
        <f>IFERROR(__xludf.DUMMYFUNCTION("""COMPUTED_VALUE"""),"5907615809439")</f>
        <v>5907615809439</v>
      </c>
      <c r="C3831" t="str">
        <f>IFERROR(__xludf.DUMMYFUNCTION("""COMPUTED_VALUE"""),"Steinhof")</f>
        <v>Steinhof</v>
      </c>
    </row>
    <row r="3832">
      <c r="A3832" t="str">
        <f>IFERROR(__xludf.DUMMYFUNCTION("""COMPUTED_VALUE"""),"L-109")</f>
        <v>L-109</v>
      </c>
      <c r="B3832" s="226" t="str">
        <f>IFERROR(__xludf.DUMMYFUNCTION("""COMPUTED_VALUE"""),"5907615809439")</f>
        <v>5907615809439</v>
      </c>
      <c r="C3832" t="str">
        <f>IFERROR(__xludf.DUMMYFUNCTION("""COMPUTED_VALUE"""),"Steinhof")</f>
        <v>Steinhof</v>
      </c>
    </row>
    <row r="3833">
      <c r="A3833" t="str">
        <f>IFERROR(__xludf.DUMMYFUNCTION("""COMPUTED_VALUE"""),"L-104")</f>
        <v>L-104</v>
      </c>
      <c r="B3833" s="226" t="str">
        <f>IFERROR(__xludf.DUMMYFUNCTION("""COMPUTED_VALUE"""),"5907615809477")</f>
        <v>5907615809477</v>
      </c>
      <c r="C3833" t="str">
        <f>IFERROR(__xludf.DUMMYFUNCTION("""COMPUTED_VALUE"""),"Steinhof")</f>
        <v>Steinhof</v>
      </c>
    </row>
    <row r="3834">
      <c r="A3834" t="str">
        <f>IFERROR(__xludf.DUMMYFUNCTION("""COMPUTED_VALUE"""),"L-105")</f>
        <v>L-105</v>
      </c>
      <c r="B3834" s="226" t="str">
        <f>IFERROR(__xludf.DUMMYFUNCTION("""COMPUTED_VALUE"""),"5907615809484")</f>
        <v>5907615809484</v>
      </c>
      <c r="C3834" t="str">
        <f>IFERROR(__xludf.DUMMYFUNCTION("""COMPUTED_VALUE"""),"Steinhof")</f>
        <v>Steinhof</v>
      </c>
    </row>
    <row r="3835">
      <c r="A3835" t="str">
        <f>IFERROR(__xludf.DUMMYFUNCTION("""COMPUTED_VALUE"""),"L-165")</f>
        <v>L-165</v>
      </c>
      <c r="B3835" s="226" t="str">
        <f>IFERROR(__xludf.DUMMYFUNCTION("""COMPUTED_VALUE"""),"5907615809569")</f>
        <v>5907615809569</v>
      </c>
      <c r="C3835" t="str">
        <f>IFERROR(__xludf.DUMMYFUNCTION("""COMPUTED_VALUE"""),"Steinhof")</f>
        <v>Steinhof</v>
      </c>
    </row>
    <row r="3836">
      <c r="A3836" t="str">
        <f>IFERROR(__xludf.DUMMYFUNCTION("""COMPUTED_VALUE"""),"L-165")</f>
        <v>L-165</v>
      </c>
      <c r="B3836" s="226" t="str">
        <f>IFERROR(__xludf.DUMMYFUNCTION("""COMPUTED_VALUE"""),"5907615809569")</f>
        <v>5907615809569</v>
      </c>
      <c r="C3836" t="str">
        <f>IFERROR(__xludf.DUMMYFUNCTION("""COMPUTED_VALUE"""),"Steinhof")</f>
        <v>Steinhof</v>
      </c>
    </row>
    <row r="3837">
      <c r="A3837" t="str">
        <f>IFERROR(__xludf.DUMMYFUNCTION("""COMPUTED_VALUE"""),"L-166")</f>
        <v>L-166</v>
      </c>
      <c r="B3837" s="226" t="str">
        <f>IFERROR(__xludf.DUMMYFUNCTION("""COMPUTED_VALUE"""),"5907615809576")</f>
        <v>5907615809576</v>
      </c>
      <c r="C3837" t="str">
        <f>IFERROR(__xludf.DUMMYFUNCTION("""COMPUTED_VALUE"""),"Steinhof")</f>
        <v>Steinhof</v>
      </c>
    </row>
    <row r="3838">
      <c r="A3838" t="str">
        <f>IFERROR(__xludf.DUMMYFUNCTION("""COMPUTED_VALUE"""),"L-166")</f>
        <v>L-166</v>
      </c>
      <c r="B3838" s="226" t="str">
        <f>IFERROR(__xludf.DUMMYFUNCTION("""COMPUTED_VALUE"""),"5907615809576")</f>
        <v>5907615809576</v>
      </c>
      <c r="C3838" t="str">
        <f>IFERROR(__xludf.DUMMYFUNCTION("""COMPUTED_VALUE"""),"Steinhof")</f>
        <v>Steinhof</v>
      </c>
    </row>
    <row r="3839">
      <c r="A3839" t="str">
        <f>IFERROR(__xludf.DUMMYFUNCTION("""COMPUTED_VALUE"""),"L-161")</f>
        <v>L-161</v>
      </c>
      <c r="B3839" s="226" t="str">
        <f>IFERROR(__xludf.DUMMYFUNCTION("""COMPUTED_VALUE"""),"5907615809583")</f>
        <v>5907615809583</v>
      </c>
      <c r="C3839" t="str">
        <f>IFERROR(__xludf.DUMMYFUNCTION("""COMPUTED_VALUE"""),"Steinhof")</f>
        <v>Steinhof</v>
      </c>
    </row>
    <row r="3840">
      <c r="A3840" t="str">
        <f>IFERROR(__xludf.DUMMYFUNCTION("""COMPUTED_VALUE"""),"L-161")</f>
        <v>L-161</v>
      </c>
      <c r="B3840" s="226" t="str">
        <f>IFERROR(__xludf.DUMMYFUNCTION("""COMPUTED_VALUE"""),"5907615809583")</f>
        <v>5907615809583</v>
      </c>
      <c r="C3840" t="str">
        <f>IFERROR(__xludf.DUMMYFUNCTION("""COMPUTED_VALUE"""),"Steinhof")</f>
        <v>Steinhof</v>
      </c>
    </row>
    <row r="3841">
      <c r="A3841" t="str">
        <f>IFERROR(__xludf.DUMMYFUNCTION("""COMPUTED_VALUE"""),"L-163")</f>
        <v>L-163</v>
      </c>
      <c r="B3841" s="226" t="str">
        <f>IFERROR(__xludf.DUMMYFUNCTION("""COMPUTED_VALUE"""),"5907615809606")</f>
        <v>5907615809606</v>
      </c>
      <c r="C3841" t="str">
        <f>IFERROR(__xludf.DUMMYFUNCTION("""COMPUTED_VALUE"""),"Steinhof")</f>
        <v>Steinhof</v>
      </c>
    </row>
    <row r="3842">
      <c r="A3842" t="str">
        <f>IFERROR(__xludf.DUMMYFUNCTION("""COMPUTED_VALUE"""),"L-163")</f>
        <v>L-163</v>
      </c>
      <c r="B3842" s="226" t="str">
        <f>IFERROR(__xludf.DUMMYFUNCTION("""COMPUTED_VALUE"""),"5907615809606")</f>
        <v>5907615809606</v>
      </c>
      <c r="C3842" t="str">
        <f>IFERROR(__xludf.DUMMYFUNCTION("""COMPUTED_VALUE"""),"Steinhof")</f>
        <v>Steinhof</v>
      </c>
    </row>
    <row r="3843">
      <c r="A3843" t="str">
        <f>IFERROR(__xludf.DUMMYFUNCTION("""COMPUTED_VALUE"""),"L-164")</f>
        <v>L-164</v>
      </c>
      <c r="B3843" s="226" t="str">
        <f>IFERROR(__xludf.DUMMYFUNCTION("""COMPUTED_VALUE"""),"5907615809613")</f>
        <v>5907615809613</v>
      </c>
      <c r="C3843" t="str">
        <f>IFERROR(__xludf.DUMMYFUNCTION("""COMPUTED_VALUE"""),"Steinhof")</f>
        <v>Steinhof</v>
      </c>
    </row>
    <row r="3844">
      <c r="A3844" t="str">
        <f>IFERROR(__xludf.DUMMYFUNCTION("""COMPUTED_VALUE"""),"L-164")</f>
        <v>L-164</v>
      </c>
      <c r="B3844" s="226" t="str">
        <f>IFERROR(__xludf.DUMMYFUNCTION("""COMPUTED_VALUE"""),"5907615809613")</f>
        <v>5907615809613</v>
      </c>
      <c r="C3844" t="str">
        <f>IFERROR(__xludf.DUMMYFUNCTION("""COMPUTED_VALUE"""),"Steinhof")</f>
        <v>Steinhof</v>
      </c>
    </row>
    <row r="3845">
      <c r="A3845" t="str">
        <f>IFERROR(__xludf.DUMMYFUNCTION("""COMPUTED_VALUE"""),"K-055")</f>
        <v>K-055</v>
      </c>
      <c r="B3845" s="226" t="str">
        <f>IFERROR(__xludf.DUMMYFUNCTION("""COMPUTED_VALUE"""),"5907615809958")</f>
        <v>5907615809958</v>
      </c>
      <c r="C3845" t="str">
        <f>IFERROR(__xludf.DUMMYFUNCTION("""COMPUTED_VALUE"""),"Steinhof")</f>
        <v>Steinhof</v>
      </c>
    </row>
    <row r="3846">
      <c r="A3846" t="str">
        <f>IFERROR(__xludf.DUMMYFUNCTION("""COMPUTED_VALUE"""),"K-055")</f>
        <v>K-055</v>
      </c>
      <c r="B3846" s="226" t="str">
        <f>IFERROR(__xludf.DUMMYFUNCTION("""COMPUTED_VALUE"""),"5907615809958")</f>
        <v>5907615809958</v>
      </c>
      <c r="C3846" t="str">
        <f>IFERROR(__xludf.DUMMYFUNCTION("""COMPUTED_VALUE"""),"Steinhof")</f>
        <v>Steinhof</v>
      </c>
    </row>
    <row r="3847">
      <c r="A3847" t="str">
        <f>IFERROR(__xludf.DUMMYFUNCTION("""COMPUTED_VALUE"""),"K-055")</f>
        <v>K-055</v>
      </c>
      <c r="B3847" s="226" t="str">
        <f>IFERROR(__xludf.DUMMYFUNCTION("""COMPUTED_VALUE"""),"5907615809958")</f>
        <v>5907615809958</v>
      </c>
      <c r="C3847" t="str">
        <f>IFERROR(__xludf.DUMMYFUNCTION("""COMPUTED_VALUE"""),"Steinhof")</f>
        <v>Steinhof</v>
      </c>
    </row>
    <row r="3848">
      <c r="A3848" t="str">
        <f>IFERROR(__xludf.DUMMYFUNCTION("""COMPUTED_VALUE"""),"K-055")</f>
        <v>K-055</v>
      </c>
      <c r="B3848" s="226" t="str">
        <f>IFERROR(__xludf.DUMMYFUNCTION("""COMPUTED_VALUE"""),"5907615809958")</f>
        <v>5907615809958</v>
      </c>
      <c r="C3848" t="str">
        <f>IFERROR(__xludf.DUMMYFUNCTION("""COMPUTED_VALUE"""),"Steinhof")</f>
        <v>Steinhof</v>
      </c>
    </row>
    <row r="3849">
      <c r="A3849" t="str">
        <f>IFERROR(__xludf.DUMMYFUNCTION("""COMPUTED_VALUE"""),"K-056")</f>
        <v>K-056</v>
      </c>
      <c r="B3849" s="226" t="str">
        <f>IFERROR(__xludf.DUMMYFUNCTION("""COMPUTED_VALUE"""),"5907615809965")</f>
        <v>5907615809965</v>
      </c>
      <c r="C3849" t="str">
        <f>IFERROR(__xludf.DUMMYFUNCTION("""COMPUTED_VALUE"""),"Steinhof")</f>
        <v>Steinhof</v>
      </c>
    </row>
    <row r="3850">
      <c r="A3850" t="str">
        <f>IFERROR(__xludf.DUMMYFUNCTION("""COMPUTED_VALUE"""),"K-056")</f>
        <v>K-056</v>
      </c>
      <c r="B3850" s="226" t="str">
        <f>IFERROR(__xludf.DUMMYFUNCTION("""COMPUTED_VALUE"""),"5907615809965")</f>
        <v>5907615809965</v>
      </c>
      <c r="C3850" t="str">
        <f>IFERROR(__xludf.DUMMYFUNCTION("""COMPUTED_VALUE"""),"Steinhof")</f>
        <v>Steinhof</v>
      </c>
    </row>
    <row r="3851">
      <c r="A3851" t="str">
        <f>IFERROR(__xludf.DUMMYFUNCTION("""COMPUTED_VALUE"""),"K-056")</f>
        <v>K-056</v>
      </c>
      <c r="B3851" s="226" t="str">
        <f>IFERROR(__xludf.DUMMYFUNCTION("""COMPUTED_VALUE"""),"5907615809965")</f>
        <v>5907615809965</v>
      </c>
      <c r="C3851" t="str">
        <f>IFERROR(__xludf.DUMMYFUNCTION("""COMPUTED_VALUE"""),"Steinhof")</f>
        <v>Steinhof</v>
      </c>
    </row>
    <row r="3852">
      <c r="A3852" t="str">
        <f>IFERROR(__xludf.DUMMYFUNCTION("""COMPUTED_VALUE"""),"K-056")</f>
        <v>K-056</v>
      </c>
      <c r="B3852" s="226" t="str">
        <f>IFERROR(__xludf.DUMMYFUNCTION("""COMPUTED_VALUE"""),"5907615809965")</f>
        <v>5907615809965</v>
      </c>
      <c r="C3852" t="str">
        <f>IFERROR(__xludf.DUMMYFUNCTION("""COMPUTED_VALUE"""),"Steinhof")</f>
        <v>Steinhof</v>
      </c>
    </row>
    <row r="3853">
      <c r="A3853" t="str">
        <f>IFERROR(__xludf.DUMMYFUNCTION("""COMPUTED_VALUE"""),"M-018/1")</f>
        <v>M-018/1</v>
      </c>
      <c r="B3853" s="226" t="str">
        <f>IFERROR(__xludf.DUMMYFUNCTION("""COMPUTED_VALUE"""),"5907615810503")</f>
        <v>5907615810503</v>
      </c>
      <c r="C3853" t="str">
        <f>IFERROR(__xludf.DUMMYFUNCTION("""COMPUTED_VALUE"""),"Steinhof")</f>
        <v>Steinhof</v>
      </c>
    </row>
    <row r="3854">
      <c r="A3854" t="str">
        <f>IFERROR(__xludf.DUMMYFUNCTION("""COMPUTED_VALUE"""),"M-018/1")</f>
        <v>M-018/1</v>
      </c>
      <c r="B3854" s="226" t="str">
        <f>IFERROR(__xludf.DUMMYFUNCTION("""COMPUTED_VALUE"""),"5907615810503")</f>
        <v>5907615810503</v>
      </c>
      <c r="C3854" t="str">
        <f>IFERROR(__xludf.DUMMYFUNCTION("""COMPUTED_VALUE"""),"Steinhof")</f>
        <v>Steinhof</v>
      </c>
    </row>
    <row r="3855">
      <c r="A3855" t="str">
        <f>IFERROR(__xludf.DUMMYFUNCTION("""COMPUTED_VALUE"""),"M-018/1")</f>
        <v>M-018/1</v>
      </c>
      <c r="B3855" s="226" t="str">
        <f>IFERROR(__xludf.DUMMYFUNCTION("""COMPUTED_VALUE"""),"5907615810503")</f>
        <v>5907615810503</v>
      </c>
      <c r="C3855" t="str">
        <f>IFERROR(__xludf.DUMMYFUNCTION("""COMPUTED_VALUE"""),"Steinhof")</f>
        <v>Steinhof</v>
      </c>
    </row>
    <row r="3856">
      <c r="A3856" t="str">
        <f>IFERROR(__xludf.DUMMYFUNCTION("""COMPUTED_VALUE"""),"M-018/1")</f>
        <v>M-018/1</v>
      </c>
      <c r="B3856" s="226" t="str">
        <f>IFERROR(__xludf.DUMMYFUNCTION("""COMPUTED_VALUE"""),"5907615810503")</f>
        <v>5907615810503</v>
      </c>
      <c r="C3856" t="str">
        <f>IFERROR(__xludf.DUMMYFUNCTION("""COMPUTED_VALUE"""),"Steinhof")</f>
        <v>Steinhof</v>
      </c>
    </row>
    <row r="3857">
      <c r="A3857" t="str">
        <f>IFERROR(__xludf.DUMMYFUNCTION("""COMPUTED_VALUE"""),"M-018/1")</f>
        <v>M-018/1</v>
      </c>
      <c r="B3857" s="226" t="str">
        <f>IFERROR(__xludf.DUMMYFUNCTION("""COMPUTED_VALUE"""),"5907615810503")</f>
        <v>5907615810503</v>
      </c>
      <c r="C3857" t="str">
        <f>IFERROR(__xludf.DUMMYFUNCTION("""COMPUTED_VALUE"""),"Steinhof")</f>
        <v>Steinhof</v>
      </c>
    </row>
    <row r="3858">
      <c r="A3858" t="str">
        <f>IFERROR(__xludf.DUMMYFUNCTION("""COMPUTED_VALUE"""),"M-018/1")</f>
        <v>M-018/1</v>
      </c>
      <c r="B3858" s="226" t="str">
        <f>IFERROR(__xludf.DUMMYFUNCTION("""COMPUTED_VALUE"""),"5907615810503")</f>
        <v>5907615810503</v>
      </c>
      <c r="C3858" t="str">
        <f>IFERROR(__xludf.DUMMYFUNCTION("""COMPUTED_VALUE"""),"Steinhof")</f>
        <v>Steinhof</v>
      </c>
    </row>
    <row r="3859">
      <c r="A3859" t="str">
        <f>IFERROR(__xludf.DUMMYFUNCTION("""COMPUTED_VALUE"""),"M-020")</f>
        <v>M-020</v>
      </c>
      <c r="B3859" s="226" t="str">
        <f>IFERROR(__xludf.DUMMYFUNCTION("""COMPUTED_VALUE"""),"5907615810510")</f>
        <v>5907615810510</v>
      </c>
      <c r="C3859" t="str">
        <f>IFERROR(__xludf.DUMMYFUNCTION("""COMPUTED_VALUE"""),"Steinhof")</f>
        <v>Steinhof</v>
      </c>
    </row>
    <row r="3860">
      <c r="A3860" t="str">
        <f>IFERROR(__xludf.DUMMYFUNCTION("""COMPUTED_VALUE"""),"M-020")</f>
        <v>M-020</v>
      </c>
      <c r="B3860" s="226" t="str">
        <f>IFERROR(__xludf.DUMMYFUNCTION("""COMPUTED_VALUE"""),"5907615810510")</f>
        <v>5907615810510</v>
      </c>
      <c r="C3860" t="str">
        <f>IFERROR(__xludf.DUMMYFUNCTION("""COMPUTED_VALUE"""),"Steinhof")</f>
        <v>Steinhof</v>
      </c>
    </row>
    <row r="3861">
      <c r="A3861" t="str">
        <f>IFERROR(__xludf.DUMMYFUNCTION("""COMPUTED_VALUE"""),"M-020")</f>
        <v>M-020</v>
      </c>
      <c r="B3861" s="226" t="str">
        <f>IFERROR(__xludf.DUMMYFUNCTION("""COMPUTED_VALUE"""),"5907615810510")</f>
        <v>5907615810510</v>
      </c>
      <c r="C3861" t="str">
        <f>IFERROR(__xludf.DUMMYFUNCTION("""COMPUTED_VALUE"""),"Steinhof")</f>
        <v>Steinhof</v>
      </c>
    </row>
    <row r="3862">
      <c r="A3862" t="str">
        <f>IFERROR(__xludf.DUMMYFUNCTION("""COMPUTED_VALUE"""),"M-020")</f>
        <v>M-020</v>
      </c>
      <c r="B3862" s="226" t="str">
        <f>IFERROR(__xludf.DUMMYFUNCTION("""COMPUTED_VALUE"""),"5907615810510")</f>
        <v>5907615810510</v>
      </c>
      <c r="C3862" t="str">
        <f>IFERROR(__xludf.DUMMYFUNCTION("""COMPUTED_VALUE"""),"Steinhof")</f>
        <v>Steinhof</v>
      </c>
    </row>
    <row r="3863">
      <c r="A3863" t="str">
        <f>IFERROR(__xludf.DUMMYFUNCTION("""COMPUTED_VALUE"""),"M-020")</f>
        <v>M-020</v>
      </c>
      <c r="B3863" s="226" t="str">
        <f>IFERROR(__xludf.DUMMYFUNCTION("""COMPUTED_VALUE"""),"5907615810510")</f>
        <v>5907615810510</v>
      </c>
      <c r="C3863" t="str">
        <f>IFERROR(__xludf.DUMMYFUNCTION("""COMPUTED_VALUE"""),"Steinhof")</f>
        <v>Steinhof</v>
      </c>
    </row>
    <row r="3864">
      <c r="A3864" t="str">
        <f>IFERROR(__xludf.DUMMYFUNCTION("""COMPUTED_VALUE"""),"M-020")</f>
        <v>M-020</v>
      </c>
      <c r="B3864" s="226" t="str">
        <f>IFERROR(__xludf.DUMMYFUNCTION("""COMPUTED_VALUE"""),"5907615810510")</f>
        <v>5907615810510</v>
      </c>
      <c r="C3864" t="str">
        <f>IFERROR(__xludf.DUMMYFUNCTION("""COMPUTED_VALUE"""),"Steinhof")</f>
        <v>Steinhof</v>
      </c>
    </row>
    <row r="3865">
      <c r="A3865" t="str">
        <f>IFERROR(__xludf.DUMMYFUNCTION("""COMPUTED_VALUE"""),"M-009")</f>
        <v>M-009</v>
      </c>
      <c r="B3865" s="226" t="str">
        <f>IFERROR(__xludf.DUMMYFUNCTION("""COMPUTED_VALUE"""),"5907615810589")</f>
        <v>5907615810589</v>
      </c>
      <c r="C3865" t="str">
        <f>IFERROR(__xludf.DUMMYFUNCTION("""COMPUTED_VALUE"""),"Steinhof")</f>
        <v>Steinhof</v>
      </c>
    </row>
    <row r="3866">
      <c r="A3866" t="str">
        <f>IFERROR(__xludf.DUMMYFUNCTION("""COMPUTED_VALUE"""),"M-009")</f>
        <v>M-009</v>
      </c>
      <c r="B3866" s="226" t="str">
        <f>IFERROR(__xludf.DUMMYFUNCTION("""COMPUTED_VALUE"""),"5907615810589")</f>
        <v>5907615810589</v>
      </c>
      <c r="C3866" t="str">
        <f>IFERROR(__xludf.DUMMYFUNCTION("""COMPUTED_VALUE"""),"Steinhof")</f>
        <v>Steinhof</v>
      </c>
    </row>
    <row r="3867">
      <c r="A3867" t="str">
        <f>IFERROR(__xludf.DUMMYFUNCTION("""COMPUTED_VALUE"""),"M-011")</f>
        <v>M-011</v>
      </c>
      <c r="B3867" s="226" t="str">
        <f>IFERROR(__xludf.DUMMYFUNCTION("""COMPUTED_VALUE"""),"5907615810602")</f>
        <v>5907615810602</v>
      </c>
      <c r="C3867" t="str">
        <f>IFERROR(__xludf.DUMMYFUNCTION("""COMPUTED_VALUE"""),"Steinhof")</f>
        <v>Steinhof</v>
      </c>
    </row>
    <row r="3868">
      <c r="A3868" t="str">
        <f>IFERROR(__xludf.DUMMYFUNCTION("""COMPUTED_VALUE"""),"M-012")</f>
        <v>M-012</v>
      </c>
      <c r="B3868" s="226" t="str">
        <f>IFERROR(__xludf.DUMMYFUNCTION("""COMPUTED_VALUE"""),"5907615810619")</f>
        <v>5907615810619</v>
      </c>
      <c r="C3868" t="str">
        <f>IFERROR(__xludf.DUMMYFUNCTION("""COMPUTED_VALUE"""),"Steinhof")</f>
        <v>Steinhof</v>
      </c>
    </row>
    <row r="3869">
      <c r="A3869" t="str">
        <f>IFERROR(__xludf.DUMMYFUNCTION("""COMPUTED_VALUE"""),"M-012")</f>
        <v>M-012</v>
      </c>
      <c r="B3869" s="226" t="str">
        <f>IFERROR(__xludf.DUMMYFUNCTION("""COMPUTED_VALUE"""),"5907615810619")</f>
        <v>5907615810619</v>
      </c>
      <c r="C3869" t="str">
        <f>IFERROR(__xludf.DUMMYFUNCTION("""COMPUTED_VALUE"""),"Steinhof")</f>
        <v>Steinhof</v>
      </c>
    </row>
    <row r="3870">
      <c r="A3870" t="str">
        <f>IFERROR(__xludf.DUMMYFUNCTION("""COMPUTED_VALUE"""),"M-013")</f>
        <v>M-013</v>
      </c>
      <c r="B3870" s="226" t="str">
        <f>IFERROR(__xludf.DUMMYFUNCTION("""COMPUTED_VALUE"""),"5907615810626")</f>
        <v>5907615810626</v>
      </c>
      <c r="C3870" t="str">
        <f>IFERROR(__xludf.DUMMYFUNCTION("""COMPUTED_VALUE"""),"Steinhof")</f>
        <v>Steinhof</v>
      </c>
    </row>
    <row r="3871">
      <c r="A3871" t="str">
        <f>IFERROR(__xludf.DUMMYFUNCTION("""COMPUTED_VALUE"""),"M-014")</f>
        <v>M-014</v>
      </c>
      <c r="B3871" s="226" t="str">
        <f>IFERROR(__xludf.DUMMYFUNCTION("""COMPUTED_VALUE"""),"5907615810633")</f>
        <v>5907615810633</v>
      </c>
      <c r="C3871" t="str">
        <f>IFERROR(__xludf.DUMMYFUNCTION("""COMPUTED_VALUE"""),"Steinhof")</f>
        <v>Steinhof</v>
      </c>
    </row>
    <row r="3872">
      <c r="A3872" t="str">
        <f>IFERROR(__xludf.DUMMYFUNCTION("""COMPUTED_VALUE"""),"M-014")</f>
        <v>M-014</v>
      </c>
      <c r="B3872" s="226" t="str">
        <f>IFERROR(__xludf.DUMMYFUNCTION("""COMPUTED_VALUE"""),"5907615810633")</f>
        <v>5907615810633</v>
      </c>
      <c r="C3872" t="str">
        <f>IFERROR(__xludf.DUMMYFUNCTION("""COMPUTED_VALUE"""),"Steinhof")</f>
        <v>Steinhof</v>
      </c>
    </row>
    <row r="3873">
      <c r="A3873" t="str">
        <f>IFERROR(__xludf.DUMMYFUNCTION("""COMPUTED_VALUE"""),"M-015")</f>
        <v>M-015</v>
      </c>
      <c r="B3873" s="226" t="str">
        <f>IFERROR(__xludf.DUMMYFUNCTION("""COMPUTED_VALUE"""),"5907615810640")</f>
        <v>5907615810640</v>
      </c>
      <c r="C3873" t="str">
        <f>IFERROR(__xludf.DUMMYFUNCTION("""COMPUTED_VALUE"""),"Steinhof")</f>
        <v>Steinhof</v>
      </c>
    </row>
    <row r="3874">
      <c r="A3874" t="str">
        <f>IFERROR(__xludf.DUMMYFUNCTION("""COMPUTED_VALUE"""),"M-015")</f>
        <v>M-015</v>
      </c>
      <c r="B3874" s="226" t="str">
        <f>IFERROR(__xludf.DUMMYFUNCTION("""COMPUTED_VALUE"""),"5907615810640")</f>
        <v>5907615810640</v>
      </c>
      <c r="C3874" t="str">
        <f>IFERROR(__xludf.DUMMYFUNCTION("""COMPUTED_VALUE"""),"Steinhof")</f>
        <v>Steinhof</v>
      </c>
    </row>
    <row r="3875">
      <c r="A3875" t="str">
        <f>IFERROR(__xludf.DUMMYFUNCTION("""COMPUTED_VALUE"""),"M-016")</f>
        <v>M-016</v>
      </c>
      <c r="B3875" s="226" t="str">
        <f>IFERROR(__xludf.DUMMYFUNCTION("""COMPUTED_VALUE"""),"5907615810657")</f>
        <v>5907615810657</v>
      </c>
      <c r="C3875" t="str">
        <f>IFERROR(__xludf.DUMMYFUNCTION("""COMPUTED_VALUE"""),"Steinhof")</f>
        <v>Steinhof</v>
      </c>
    </row>
    <row r="3876">
      <c r="A3876" t="str">
        <f>IFERROR(__xludf.DUMMYFUNCTION("""COMPUTED_VALUE"""),"M-016")</f>
        <v>M-016</v>
      </c>
      <c r="B3876" s="226" t="str">
        <f>IFERROR(__xludf.DUMMYFUNCTION("""COMPUTED_VALUE"""),"5907615810657")</f>
        <v>5907615810657</v>
      </c>
      <c r="C3876" t="str">
        <f>IFERROR(__xludf.DUMMYFUNCTION("""COMPUTED_VALUE"""),"Steinhof")</f>
        <v>Steinhof</v>
      </c>
    </row>
    <row r="3877">
      <c r="A3877" t="str">
        <f>IFERROR(__xludf.DUMMYFUNCTION("""COMPUTED_VALUE"""),"M-017")</f>
        <v>M-017</v>
      </c>
      <c r="B3877" s="226" t="str">
        <f>IFERROR(__xludf.DUMMYFUNCTION("""COMPUTED_VALUE"""),"5907615810664")</f>
        <v>5907615810664</v>
      </c>
      <c r="C3877" t="str">
        <f>IFERROR(__xludf.DUMMYFUNCTION("""COMPUTED_VALUE"""),"Steinhof")</f>
        <v>Steinhof</v>
      </c>
    </row>
    <row r="3878">
      <c r="A3878" t="str">
        <f>IFERROR(__xludf.DUMMYFUNCTION("""COMPUTED_VALUE"""),"M-019")</f>
        <v>M-019</v>
      </c>
      <c r="B3878" s="226" t="str">
        <f>IFERROR(__xludf.DUMMYFUNCTION("""COMPUTED_VALUE"""),"5907615810688")</f>
        <v>5907615810688</v>
      </c>
      <c r="C3878" t="str">
        <f>IFERROR(__xludf.DUMMYFUNCTION("""COMPUTED_VALUE"""),"Steinhof")</f>
        <v>Steinhof</v>
      </c>
    </row>
    <row r="3879">
      <c r="A3879" t="str">
        <f>IFERROR(__xludf.DUMMYFUNCTION("""COMPUTED_VALUE"""),"M-019")</f>
        <v>M-019</v>
      </c>
      <c r="B3879" s="226" t="str">
        <f>IFERROR(__xludf.DUMMYFUNCTION("""COMPUTED_VALUE"""),"5907615810688")</f>
        <v>5907615810688</v>
      </c>
      <c r="C3879" t="str">
        <f>IFERROR(__xludf.DUMMYFUNCTION("""COMPUTED_VALUE"""),"Steinhof")</f>
        <v>Steinhof</v>
      </c>
    </row>
    <row r="3880">
      <c r="A3880" t="str">
        <f>IFERROR(__xludf.DUMMYFUNCTION("""COMPUTED_VALUE"""),"M-021")</f>
        <v>M-021</v>
      </c>
      <c r="B3880" s="226" t="str">
        <f>IFERROR(__xludf.DUMMYFUNCTION("""COMPUTED_VALUE"""),"5907615810701")</f>
        <v>5907615810701</v>
      </c>
      <c r="C3880" t="str">
        <f>IFERROR(__xludf.DUMMYFUNCTION("""COMPUTED_VALUE"""),"Steinhof")</f>
        <v>Steinhof</v>
      </c>
    </row>
    <row r="3881">
      <c r="A3881" t="str">
        <f>IFERROR(__xludf.DUMMYFUNCTION("""COMPUTED_VALUE"""),"M-021")</f>
        <v>M-021</v>
      </c>
      <c r="B3881" s="226" t="str">
        <f>IFERROR(__xludf.DUMMYFUNCTION("""COMPUTED_VALUE"""),"5907615810701")</f>
        <v>5907615810701</v>
      </c>
      <c r="C3881" t="str">
        <f>IFERROR(__xludf.DUMMYFUNCTION("""COMPUTED_VALUE"""),"Steinhof")</f>
        <v>Steinhof</v>
      </c>
    </row>
    <row r="3882">
      <c r="A3882" t="str">
        <f>IFERROR(__xludf.DUMMYFUNCTION("""COMPUTED_VALUE"""),"M-022")</f>
        <v>M-022</v>
      </c>
      <c r="B3882" s="226" t="str">
        <f>IFERROR(__xludf.DUMMYFUNCTION("""COMPUTED_VALUE"""),"5907615810718")</f>
        <v>5907615810718</v>
      </c>
      <c r="C3882" t="str">
        <f>IFERROR(__xludf.DUMMYFUNCTION("""COMPUTED_VALUE"""),"Steinhof")</f>
        <v>Steinhof</v>
      </c>
    </row>
    <row r="3883">
      <c r="A3883" t="str">
        <f>IFERROR(__xludf.DUMMYFUNCTION("""COMPUTED_VALUE"""),"M-022")</f>
        <v>M-022</v>
      </c>
      <c r="B3883" s="226" t="str">
        <f>IFERROR(__xludf.DUMMYFUNCTION("""COMPUTED_VALUE"""),"5907615810718")</f>
        <v>5907615810718</v>
      </c>
      <c r="C3883" t="str">
        <f>IFERROR(__xludf.DUMMYFUNCTION("""COMPUTED_VALUE"""),"Steinhof")</f>
        <v>Steinhof</v>
      </c>
    </row>
    <row r="3884">
      <c r="A3884" t="str">
        <f>IFERROR(__xludf.DUMMYFUNCTION("""COMPUTED_VALUE"""),"M-024")</f>
        <v>M-024</v>
      </c>
      <c r="B3884" s="226" t="str">
        <f>IFERROR(__xludf.DUMMYFUNCTION("""COMPUTED_VALUE"""),"5907615810732")</f>
        <v>5907615810732</v>
      </c>
      <c r="C3884" t="str">
        <f>IFERROR(__xludf.DUMMYFUNCTION("""COMPUTED_VALUE"""),"Steinhof")</f>
        <v>Steinhof</v>
      </c>
    </row>
    <row r="3885">
      <c r="A3885" t="str">
        <f>IFERROR(__xludf.DUMMYFUNCTION("""COMPUTED_VALUE"""),"M-024")</f>
        <v>M-024</v>
      </c>
      <c r="B3885" s="226" t="str">
        <f>IFERROR(__xludf.DUMMYFUNCTION("""COMPUTED_VALUE"""),"5907615810732")</f>
        <v>5907615810732</v>
      </c>
      <c r="C3885" t="str">
        <f>IFERROR(__xludf.DUMMYFUNCTION("""COMPUTED_VALUE"""),"Steinhof")</f>
        <v>Steinhof</v>
      </c>
    </row>
    <row r="3886">
      <c r="A3886" t="str">
        <f>IFERROR(__xludf.DUMMYFUNCTION("""COMPUTED_VALUE"""),"M-025")</f>
        <v>M-025</v>
      </c>
      <c r="B3886" s="226" t="str">
        <f>IFERROR(__xludf.DUMMYFUNCTION("""COMPUTED_VALUE"""),"5907615810749")</f>
        <v>5907615810749</v>
      </c>
      <c r="C3886" t="str">
        <f>IFERROR(__xludf.DUMMYFUNCTION("""COMPUTED_VALUE"""),"Steinhof")</f>
        <v>Steinhof</v>
      </c>
    </row>
    <row r="3887">
      <c r="A3887" t="str">
        <f>IFERROR(__xludf.DUMMYFUNCTION("""COMPUTED_VALUE"""),"M-025")</f>
        <v>M-025</v>
      </c>
      <c r="B3887" s="226" t="str">
        <f>IFERROR(__xludf.DUMMYFUNCTION("""COMPUTED_VALUE"""),"5907615810749")</f>
        <v>5907615810749</v>
      </c>
      <c r="C3887" t="str">
        <f>IFERROR(__xludf.DUMMYFUNCTION("""COMPUTED_VALUE"""),"Steinhof")</f>
        <v>Steinhof</v>
      </c>
    </row>
    <row r="3888">
      <c r="A3888" t="str">
        <f>IFERROR(__xludf.DUMMYFUNCTION("""COMPUTED_VALUE"""),"M-026")</f>
        <v>M-026</v>
      </c>
      <c r="B3888" s="226" t="str">
        <f>IFERROR(__xludf.DUMMYFUNCTION("""COMPUTED_VALUE"""),"5907615810756")</f>
        <v>5907615810756</v>
      </c>
      <c r="C3888" t="str">
        <f>IFERROR(__xludf.DUMMYFUNCTION("""COMPUTED_VALUE"""),"Steinhof")</f>
        <v>Steinhof</v>
      </c>
    </row>
    <row r="3889">
      <c r="A3889" t="str">
        <f>IFERROR(__xludf.DUMMYFUNCTION("""COMPUTED_VALUE"""),"M-026")</f>
        <v>M-026</v>
      </c>
      <c r="B3889" s="226" t="str">
        <f>IFERROR(__xludf.DUMMYFUNCTION("""COMPUTED_VALUE"""),"5907615810756")</f>
        <v>5907615810756</v>
      </c>
      <c r="C3889" t="str">
        <f>IFERROR(__xludf.DUMMYFUNCTION("""COMPUTED_VALUE"""),"Steinhof")</f>
        <v>Steinhof</v>
      </c>
    </row>
    <row r="3890">
      <c r="A3890" t="str">
        <f>IFERROR(__xludf.DUMMYFUNCTION("""COMPUTED_VALUE"""),"M-027")</f>
        <v>M-027</v>
      </c>
      <c r="B3890" s="226" t="str">
        <f>IFERROR(__xludf.DUMMYFUNCTION("""COMPUTED_VALUE"""),"5907615810763")</f>
        <v>5907615810763</v>
      </c>
      <c r="C3890" t="str">
        <f>IFERROR(__xludf.DUMMYFUNCTION("""COMPUTED_VALUE"""),"Steinhof")</f>
        <v>Steinhof</v>
      </c>
    </row>
    <row r="3891">
      <c r="A3891" t="str">
        <f>IFERROR(__xludf.DUMMYFUNCTION("""COMPUTED_VALUE"""),"M-027")</f>
        <v>M-027</v>
      </c>
      <c r="B3891" s="226" t="str">
        <f>IFERROR(__xludf.DUMMYFUNCTION("""COMPUTED_VALUE"""),"5907615810763")</f>
        <v>5907615810763</v>
      </c>
      <c r="C3891" t="str">
        <f>IFERROR(__xludf.DUMMYFUNCTION("""COMPUTED_VALUE"""),"Steinhof")</f>
        <v>Steinhof</v>
      </c>
    </row>
    <row r="3892">
      <c r="A3892" t="str">
        <f>IFERROR(__xludf.DUMMYFUNCTION("""COMPUTED_VALUE"""),"M-028")</f>
        <v>M-028</v>
      </c>
      <c r="B3892" s="226" t="str">
        <f>IFERROR(__xludf.DUMMYFUNCTION("""COMPUTED_VALUE"""),"5907615810770")</f>
        <v>5907615810770</v>
      </c>
      <c r="C3892" t="str">
        <f>IFERROR(__xludf.DUMMYFUNCTION("""COMPUTED_VALUE"""),"Steinhof")</f>
        <v>Steinhof</v>
      </c>
    </row>
    <row r="3893">
      <c r="A3893" t="str">
        <f>IFERROR(__xludf.DUMMYFUNCTION("""COMPUTED_VALUE"""),"M-028")</f>
        <v>M-028</v>
      </c>
      <c r="B3893" s="226" t="str">
        <f>IFERROR(__xludf.DUMMYFUNCTION("""COMPUTED_VALUE"""),"5907615810770")</f>
        <v>5907615810770</v>
      </c>
      <c r="C3893" t="str">
        <f>IFERROR(__xludf.DUMMYFUNCTION("""COMPUTED_VALUE"""),"Steinhof")</f>
        <v>Steinhof</v>
      </c>
    </row>
    <row r="3894">
      <c r="A3894" t="str">
        <f>IFERROR(__xludf.DUMMYFUNCTION("""COMPUTED_VALUE"""),"M-028")</f>
        <v>M-028</v>
      </c>
      <c r="B3894" s="226" t="str">
        <f>IFERROR(__xludf.DUMMYFUNCTION("""COMPUTED_VALUE"""),"5907615810770")</f>
        <v>5907615810770</v>
      </c>
      <c r="C3894" t="str">
        <f>IFERROR(__xludf.DUMMYFUNCTION("""COMPUTED_VALUE"""),"Steinhof")</f>
        <v>Steinhof</v>
      </c>
    </row>
    <row r="3895">
      <c r="A3895" t="str">
        <f>IFERROR(__xludf.DUMMYFUNCTION("""COMPUTED_VALUE"""),"M-028")</f>
        <v>M-028</v>
      </c>
      <c r="B3895" s="226" t="str">
        <f>IFERROR(__xludf.DUMMYFUNCTION("""COMPUTED_VALUE"""),"5907615810770")</f>
        <v>5907615810770</v>
      </c>
      <c r="C3895" t="str">
        <f>IFERROR(__xludf.DUMMYFUNCTION("""COMPUTED_VALUE"""),"Steinhof")</f>
        <v>Steinhof</v>
      </c>
    </row>
    <row r="3896">
      <c r="A3896" t="str">
        <f>IFERROR(__xludf.DUMMYFUNCTION("""COMPUTED_VALUE"""),"M-029")</f>
        <v>M-029</v>
      </c>
      <c r="B3896" s="226" t="str">
        <f>IFERROR(__xludf.DUMMYFUNCTION("""COMPUTED_VALUE"""),"5907615810787")</f>
        <v>5907615810787</v>
      </c>
      <c r="C3896" t="str">
        <f>IFERROR(__xludf.DUMMYFUNCTION("""COMPUTED_VALUE"""),"Steinhof")</f>
        <v>Steinhof</v>
      </c>
    </row>
    <row r="3897">
      <c r="A3897" t="str">
        <f>IFERROR(__xludf.DUMMYFUNCTION("""COMPUTED_VALUE"""),"M-029")</f>
        <v>M-029</v>
      </c>
      <c r="B3897" s="226" t="str">
        <f>IFERROR(__xludf.DUMMYFUNCTION("""COMPUTED_VALUE"""),"5907615810787")</f>
        <v>5907615810787</v>
      </c>
      <c r="C3897" t="str">
        <f>IFERROR(__xludf.DUMMYFUNCTION("""COMPUTED_VALUE"""),"Steinhof")</f>
        <v>Steinhof</v>
      </c>
    </row>
    <row r="3898">
      <c r="A3898" t="str">
        <f>IFERROR(__xludf.DUMMYFUNCTION("""COMPUTED_VALUE"""),"M-029")</f>
        <v>M-029</v>
      </c>
      <c r="B3898" s="226" t="str">
        <f>IFERROR(__xludf.DUMMYFUNCTION("""COMPUTED_VALUE"""),"5907615810787")</f>
        <v>5907615810787</v>
      </c>
      <c r="C3898" t="str">
        <f>IFERROR(__xludf.DUMMYFUNCTION("""COMPUTED_VALUE"""),"Steinhof")</f>
        <v>Steinhof</v>
      </c>
    </row>
    <row r="3899">
      <c r="A3899" t="str">
        <f>IFERROR(__xludf.DUMMYFUNCTION("""COMPUTED_VALUE"""),"M-029")</f>
        <v>M-029</v>
      </c>
      <c r="B3899" s="226" t="str">
        <f>IFERROR(__xludf.DUMMYFUNCTION("""COMPUTED_VALUE"""),"5907615810787")</f>
        <v>5907615810787</v>
      </c>
      <c r="C3899" t="str">
        <f>IFERROR(__xludf.DUMMYFUNCTION("""COMPUTED_VALUE"""),"Steinhof")</f>
        <v>Steinhof</v>
      </c>
    </row>
    <row r="3900">
      <c r="A3900" t="str">
        <f>IFERROR(__xludf.DUMMYFUNCTION("""COMPUTED_VALUE"""),"M-030")</f>
        <v>M-030</v>
      </c>
      <c r="B3900" s="226" t="str">
        <f>IFERROR(__xludf.DUMMYFUNCTION("""COMPUTED_VALUE"""),"5907615810794")</f>
        <v>5907615810794</v>
      </c>
      <c r="C3900" t="str">
        <f>IFERROR(__xludf.DUMMYFUNCTION("""COMPUTED_VALUE"""),"Steinhof")</f>
        <v>Steinhof</v>
      </c>
    </row>
    <row r="3901">
      <c r="A3901" t="str">
        <f>IFERROR(__xludf.DUMMYFUNCTION("""COMPUTED_VALUE"""),"M-030")</f>
        <v>M-030</v>
      </c>
      <c r="B3901" s="226" t="str">
        <f>IFERROR(__xludf.DUMMYFUNCTION("""COMPUTED_VALUE"""),"5907615810794")</f>
        <v>5907615810794</v>
      </c>
      <c r="C3901" t="str">
        <f>IFERROR(__xludf.DUMMYFUNCTION("""COMPUTED_VALUE"""),"Steinhof")</f>
        <v>Steinhof</v>
      </c>
    </row>
    <row r="3902">
      <c r="A3902" t="str">
        <f>IFERROR(__xludf.DUMMYFUNCTION("""COMPUTED_VALUE"""),"M-031")</f>
        <v>M-031</v>
      </c>
      <c r="B3902" s="226" t="str">
        <f>IFERROR(__xludf.DUMMYFUNCTION("""COMPUTED_VALUE"""),"5907615810800")</f>
        <v>5907615810800</v>
      </c>
      <c r="C3902" t="str">
        <f>IFERROR(__xludf.DUMMYFUNCTION("""COMPUTED_VALUE"""),"Steinhof")</f>
        <v>Steinhof</v>
      </c>
    </row>
    <row r="3903">
      <c r="A3903" t="str">
        <f>IFERROR(__xludf.DUMMYFUNCTION("""COMPUTED_VALUE"""),"M-031")</f>
        <v>M-031</v>
      </c>
      <c r="B3903" s="226" t="str">
        <f>IFERROR(__xludf.DUMMYFUNCTION("""COMPUTED_VALUE"""),"5907615810800")</f>
        <v>5907615810800</v>
      </c>
      <c r="C3903" t="str">
        <f>IFERROR(__xludf.DUMMYFUNCTION("""COMPUTED_VALUE"""),"Steinhof")</f>
        <v>Steinhof</v>
      </c>
    </row>
    <row r="3904">
      <c r="A3904" t="str">
        <f>IFERROR(__xludf.DUMMYFUNCTION("""COMPUTED_VALUE"""),"M-032")</f>
        <v>M-032</v>
      </c>
      <c r="B3904" s="226" t="str">
        <f>IFERROR(__xludf.DUMMYFUNCTION("""COMPUTED_VALUE"""),"5907615810817")</f>
        <v>5907615810817</v>
      </c>
      <c r="C3904" t="str">
        <f>IFERROR(__xludf.DUMMYFUNCTION("""COMPUTED_VALUE"""),"Steinhof")</f>
        <v>Steinhof</v>
      </c>
    </row>
    <row r="3905">
      <c r="A3905" t="str">
        <f>IFERROR(__xludf.DUMMYFUNCTION("""COMPUTED_VALUE"""),"M-032")</f>
        <v>M-032</v>
      </c>
      <c r="B3905" s="226" t="str">
        <f>IFERROR(__xludf.DUMMYFUNCTION("""COMPUTED_VALUE"""),"5907615810817")</f>
        <v>5907615810817</v>
      </c>
      <c r="C3905" t="str">
        <f>IFERROR(__xludf.DUMMYFUNCTION("""COMPUTED_VALUE"""),"Steinhof")</f>
        <v>Steinhof</v>
      </c>
    </row>
    <row r="3906">
      <c r="A3906" t="str">
        <f>IFERROR(__xludf.DUMMYFUNCTION("""COMPUTED_VALUE"""),"M-033")</f>
        <v>M-033</v>
      </c>
      <c r="B3906" s="226" t="str">
        <f>IFERROR(__xludf.DUMMYFUNCTION("""COMPUTED_VALUE"""),"5907615810824")</f>
        <v>5907615810824</v>
      </c>
      <c r="C3906" t="str">
        <f>IFERROR(__xludf.DUMMYFUNCTION("""COMPUTED_VALUE"""),"Steinhof")</f>
        <v>Steinhof</v>
      </c>
    </row>
    <row r="3907">
      <c r="A3907" t="str">
        <f>IFERROR(__xludf.DUMMYFUNCTION("""COMPUTED_VALUE"""),"M-033")</f>
        <v>M-033</v>
      </c>
      <c r="B3907" s="226" t="str">
        <f>IFERROR(__xludf.DUMMYFUNCTION("""COMPUTED_VALUE"""),"5907615810824")</f>
        <v>5907615810824</v>
      </c>
      <c r="C3907" t="str">
        <f>IFERROR(__xludf.DUMMYFUNCTION("""COMPUTED_VALUE"""),"Steinhof")</f>
        <v>Steinhof</v>
      </c>
    </row>
    <row r="3908">
      <c r="A3908" t="str">
        <f>IFERROR(__xludf.DUMMYFUNCTION("""COMPUTED_VALUE"""),"M-034")</f>
        <v>M-034</v>
      </c>
      <c r="B3908" s="226" t="str">
        <f>IFERROR(__xludf.DUMMYFUNCTION("""COMPUTED_VALUE"""),"5907615810831")</f>
        <v>5907615810831</v>
      </c>
      <c r="C3908" t="str">
        <f>IFERROR(__xludf.DUMMYFUNCTION("""COMPUTED_VALUE"""),"Steinhof")</f>
        <v>Steinhof</v>
      </c>
    </row>
    <row r="3909">
      <c r="A3909" t="str">
        <f>IFERROR(__xludf.DUMMYFUNCTION("""COMPUTED_VALUE"""),"M-034")</f>
        <v>M-034</v>
      </c>
      <c r="B3909" s="226" t="str">
        <f>IFERROR(__xludf.DUMMYFUNCTION("""COMPUTED_VALUE"""),"5907615810831")</f>
        <v>5907615810831</v>
      </c>
      <c r="C3909" t="str">
        <f>IFERROR(__xludf.DUMMYFUNCTION("""COMPUTED_VALUE"""),"Steinhof")</f>
        <v>Steinhof</v>
      </c>
    </row>
    <row r="3910">
      <c r="A3910" t="str">
        <f>IFERROR(__xludf.DUMMYFUNCTION("""COMPUTED_VALUE"""),"M-035")</f>
        <v>M-035</v>
      </c>
      <c r="B3910" s="226" t="str">
        <f>IFERROR(__xludf.DUMMYFUNCTION("""COMPUTED_VALUE"""),"5907615810848")</f>
        <v>5907615810848</v>
      </c>
      <c r="C3910" t="str">
        <f>IFERROR(__xludf.DUMMYFUNCTION("""COMPUTED_VALUE"""),"Steinhof")</f>
        <v>Steinhof</v>
      </c>
    </row>
    <row r="3911">
      <c r="A3911" t="str">
        <f>IFERROR(__xludf.DUMMYFUNCTION("""COMPUTED_VALUE"""),"M-035")</f>
        <v>M-035</v>
      </c>
      <c r="B3911" s="226" t="str">
        <f>IFERROR(__xludf.DUMMYFUNCTION("""COMPUTED_VALUE"""),"5907615810848")</f>
        <v>5907615810848</v>
      </c>
      <c r="C3911" t="str">
        <f>IFERROR(__xludf.DUMMYFUNCTION("""COMPUTED_VALUE"""),"Steinhof")</f>
        <v>Steinhof</v>
      </c>
    </row>
    <row r="3912">
      <c r="A3912" t="str">
        <f>IFERROR(__xludf.DUMMYFUNCTION("""COMPUTED_VALUE"""),"M-036")</f>
        <v>M-036</v>
      </c>
      <c r="B3912" s="226" t="str">
        <f>IFERROR(__xludf.DUMMYFUNCTION("""COMPUTED_VALUE"""),"5907615810855")</f>
        <v>5907615810855</v>
      </c>
      <c r="C3912" t="str">
        <f>IFERROR(__xludf.DUMMYFUNCTION("""COMPUTED_VALUE"""),"Steinhof")</f>
        <v>Steinhof</v>
      </c>
    </row>
    <row r="3913">
      <c r="A3913" t="str">
        <f>IFERROR(__xludf.DUMMYFUNCTION("""COMPUTED_VALUE"""),"M-036")</f>
        <v>M-036</v>
      </c>
      <c r="B3913" s="226" t="str">
        <f>IFERROR(__xludf.DUMMYFUNCTION("""COMPUTED_VALUE"""),"5907615810855")</f>
        <v>5907615810855</v>
      </c>
      <c r="C3913" t="str">
        <f>IFERROR(__xludf.DUMMYFUNCTION("""COMPUTED_VALUE"""),"Steinhof")</f>
        <v>Steinhof</v>
      </c>
    </row>
    <row r="3914">
      <c r="A3914" t="str">
        <f>IFERROR(__xludf.DUMMYFUNCTION("""COMPUTED_VALUE"""),"M-037")</f>
        <v>M-037</v>
      </c>
      <c r="B3914" s="226" t="str">
        <f>IFERROR(__xludf.DUMMYFUNCTION("""COMPUTED_VALUE"""),"5907615810862")</f>
        <v>5907615810862</v>
      </c>
      <c r="C3914" t="str">
        <f>IFERROR(__xludf.DUMMYFUNCTION("""COMPUTED_VALUE"""),"Steinhof")</f>
        <v>Steinhof</v>
      </c>
    </row>
    <row r="3915">
      <c r="A3915" t="str">
        <f>IFERROR(__xludf.DUMMYFUNCTION("""COMPUTED_VALUE"""),"M-037")</f>
        <v>M-037</v>
      </c>
      <c r="B3915" s="226" t="str">
        <f>IFERROR(__xludf.DUMMYFUNCTION("""COMPUTED_VALUE"""),"5907615810862")</f>
        <v>5907615810862</v>
      </c>
      <c r="C3915" t="str">
        <f>IFERROR(__xludf.DUMMYFUNCTION("""COMPUTED_VALUE"""),"Steinhof")</f>
        <v>Steinhof</v>
      </c>
    </row>
    <row r="3916">
      <c r="A3916" t="str">
        <f>IFERROR(__xludf.DUMMYFUNCTION("""COMPUTED_VALUE"""),"M-038")</f>
        <v>M-038</v>
      </c>
      <c r="B3916" s="226" t="str">
        <f>IFERROR(__xludf.DUMMYFUNCTION("""COMPUTED_VALUE"""),"5907615810879")</f>
        <v>5907615810879</v>
      </c>
      <c r="C3916" t="str">
        <f>IFERROR(__xludf.DUMMYFUNCTION("""COMPUTED_VALUE"""),"Steinhof")</f>
        <v>Steinhof</v>
      </c>
    </row>
    <row r="3917">
      <c r="A3917" t="str">
        <f>IFERROR(__xludf.DUMMYFUNCTION("""COMPUTED_VALUE"""),"M-038")</f>
        <v>M-038</v>
      </c>
      <c r="B3917" s="226" t="str">
        <f>IFERROR(__xludf.DUMMYFUNCTION("""COMPUTED_VALUE"""),"5907615810879")</f>
        <v>5907615810879</v>
      </c>
      <c r="C3917" t="str">
        <f>IFERROR(__xludf.DUMMYFUNCTION("""COMPUTED_VALUE"""),"Steinhof")</f>
        <v>Steinhof</v>
      </c>
    </row>
    <row r="3918">
      <c r="A3918" t="str">
        <f>IFERROR(__xludf.DUMMYFUNCTION("""COMPUTED_VALUE"""),"M-039")</f>
        <v>M-039</v>
      </c>
      <c r="B3918" s="226" t="str">
        <f>IFERROR(__xludf.DUMMYFUNCTION("""COMPUTED_VALUE"""),"5907615810886")</f>
        <v>5907615810886</v>
      </c>
      <c r="C3918" t="str">
        <f>IFERROR(__xludf.DUMMYFUNCTION("""COMPUTED_VALUE"""),"Steinhof")</f>
        <v>Steinhof</v>
      </c>
    </row>
    <row r="3919">
      <c r="A3919" t="str">
        <f>IFERROR(__xludf.DUMMYFUNCTION("""COMPUTED_VALUE"""),"M-039")</f>
        <v>M-039</v>
      </c>
      <c r="B3919" s="226" t="str">
        <f>IFERROR(__xludf.DUMMYFUNCTION("""COMPUTED_VALUE"""),"5907615810886")</f>
        <v>5907615810886</v>
      </c>
      <c r="C3919" t="str">
        <f>IFERROR(__xludf.DUMMYFUNCTION("""COMPUTED_VALUE"""),"Steinhof")</f>
        <v>Steinhof</v>
      </c>
    </row>
    <row r="3920">
      <c r="A3920" t="str">
        <f>IFERROR(__xludf.DUMMYFUNCTION("""COMPUTED_VALUE"""),"M-040")</f>
        <v>M-040</v>
      </c>
      <c r="B3920" s="226" t="str">
        <f>IFERROR(__xludf.DUMMYFUNCTION("""COMPUTED_VALUE"""),"5907615810893")</f>
        <v>5907615810893</v>
      </c>
      <c r="C3920" t="str">
        <f>IFERROR(__xludf.DUMMYFUNCTION("""COMPUTED_VALUE"""),"Steinhof")</f>
        <v>Steinhof</v>
      </c>
    </row>
    <row r="3921">
      <c r="A3921" t="str">
        <f>IFERROR(__xludf.DUMMYFUNCTION("""COMPUTED_VALUE"""),"M-040")</f>
        <v>M-040</v>
      </c>
      <c r="B3921" s="226" t="str">
        <f>IFERROR(__xludf.DUMMYFUNCTION("""COMPUTED_VALUE"""),"5907615810893")</f>
        <v>5907615810893</v>
      </c>
      <c r="C3921" t="str">
        <f>IFERROR(__xludf.DUMMYFUNCTION("""COMPUTED_VALUE"""),"Steinhof")</f>
        <v>Steinhof</v>
      </c>
    </row>
    <row r="3922">
      <c r="A3922" t="str">
        <f>IFERROR(__xludf.DUMMYFUNCTION("""COMPUTED_VALUE"""),"M-041")</f>
        <v>M-041</v>
      </c>
      <c r="B3922" s="226" t="str">
        <f>IFERROR(__xludf.DUMMYFUNCTION("""COMPUTED_VALUE"""),"5907615810909")</f>
        <v>5907615810909</v>
      </c>
      <c r="C3922" t="str">
        <f>IFERROR(__xludf.DUMMYFUNCTION("""COMPUTED_VALUE"""),"Steinhof")</f>
        <v>Steinhof</v>
      </c>
    </row>
    <row r="3923">
      <c r="A3923" t="str">
        <f>IFERROR(__xludf.DUMMYFUNCTION("""COMPUTED_VALUE"""),"M-041")</f>
        <v>M-041</v>
      </c>
      <c r="B3923" s="226" t="str">
        <f>IFERROR(__xludf.DUMMYFUNCTION("""COMPUTED_VALUE"""),"5907615810909")</f>
        <v>5907615810909</v>
      </c>
      <c r="C3923" t="str">
        <f>IFERROR(__xludf.DUMMYFUNCTION("""COMPUTED_VALUE"""),"Steinhof")</f>
        <v>Steinhof</v>
      </c>
    </row>
    <row r="3924">
      <c r="A3924" t="str">
        <f>IFERROR(__xludf.DUMMYFUNCTION("""COMPUTED_VALUE"""),"M-042")</f>
        <v>M-042</v>
      </c>
      <c r="B3924" s="226" t="str">
        <f>IFERROR(__xludf.DUMMYFUNCTION("""COMPUTED_VALUE"""),"5907615810916")</f>
        <v>5907615810916</v>
      </c>
      <c r="C3924" t="str">
        <f>IFERROR(__xludf.DUMMYFUNCTION("""COMPUTED_VALUE"""),"Steinhof")</f>
        <v>Steinhof</v>
      </c>
    </row>
    <row r="3925">
      <c r="A3925" t="str">
        <f>IFERROR(__xludf.DUMMYFUNCTION("""COMPUTED_VALUE"""),"M-042")</f>
        <v>M-042</v>
      </c>
      <c r="B3925" s="226" t="str">
        <f>IFERROR(__xludf.DUMMYFUNCTION("""COMPUTED_VALUE"""),"5907615810916")</f>
        <v>5907615810916</v>
      </c>
      <c r="C3925" t="str">
        <f>IFERROR(__xludf.DUMMYFUNCTION("""COMPUTED_VALUE"""),"Steinhof")</f>
        <v>Steinhof</v>
      </c>
    </row>
    <row r="3926">
      <c r="A3926" t="str">
        <f>IFERROR(__xludf.DUMMYFUNCTION("""COMPUTED_VALUE"""),"M-043")</f>
        <v>M-043</v>
      </c>
      <c r="B3926" s="226" t="str">
        <f>IFERROR(__xludf.DUMMYFUNCTION("""COMPUTED_VALUE"""),"5907615810923")</f>
        <v>5907615810923</v>
      </c>
      <c r="C3926" t="str">
        <f>IFERROR(__xludf.DUMMYFUNCTION("""COMPUTED_VALUE"""),"Steinhof")</f>
        <v>Steinhof</v>
      </c>
    </row>
    <row r="3927">
      <c r="A3927" t="str">
        <f>IFERROR(__xludf.DUMMYFUNCTION("""COMPUTED_VALUE"""),"M-043")</f>
        <v>M-043</v>
      </c>
      <c r="B3927" s="226" t="str">
        <f>IFERROR(__xludf.DUMMYFUNCTION("""COMPUTED_VALUE"""),"5907615810923")</f>
        <v>5907615810923</v>
      </c>
      <c r="C3927" t="str">
        <f>IFERROR(__xludf.DUMMYFUNCTION("""COMPUTED_VALUE"""),"Steinhof")</f>
        <v>Steinhof</v>
      </c>
    </row>
    <row r="3928">
      <c r="A3928" t="str">
        <f>IFERROR(__xludf.DUMMYFUNCTION("""COMPUTED_VALUE"""),"M-044")</f>
        <v>M-044</v>
      </c>
      <c r="B3928" s="226" t="str">
        <f>IFERROR(__xludf.DUMMYFUNCTION("""COMPUTED_VALUE"""),"5907615810930")</f>
        <v>5907615810930</v>
      </c>
      <c r="C3928" t="str">
        <f>IFERROR(__xludf.DUMMYFUNCTION("""COMPUTED_VALUE"""),"Steinhof")</f>
        <v>Steinhof</v>
      </c>
    </row>
    <row r="3929">
      <c r="A3929" t="str">
        <f>IFERROR(__xludf.DUMMYFUNCTION("""COMPUTED_VALUE"""),"M-044")</f>
        <v>M-044</v>
      </c>
      <c r="B3929" s="226" t="str">
        <f>IFERROR(__xludf.DUMMYFUNCTION("""COMPUTED_VALUE"""),"5907615810930")</f>
        <v>5907615810930</v>
      </c>
      <c r="C3929" t="str">
        <f>IFERROR(__xludf.DUMMYFUNCTION("""COMPUTED_VALUE"""),"Steinhof")</f>
        <v>Steinhof</v>
      </c>
    </row>
    <row r="3930">
      <c r="A3930" t="str">
        <f>IFERROR(__xludf.DUMMYFUNCTION("""COMPUTED_VALUE"""),"M-045")</f>
        <v>M-045</v>
      </c>
      <c r="B3930" s="226" t="str">
        <f>IFERROR(__xludf.DUMMYFUNCTION("""COMPUTED_VALUE"""),"5907615810947")</f>
        <v>5907615810947</v>
      </c>
      <c r="C3930" t="str">
        <f>IFERROR(__xludf.DUMMYFUNCTION("""COMPUTED_VALUE"""),"Steinhof")</f>
        <v>Steinhof</v>
      </c>
    </row>
    <row r="3931">
      <c r="A3931" t="str">
        <f>IFERROR(__xludf.DUMMYFUNCTION("""COMPUTED_VALUE"""),"M-045")</f>
        <v>M-045</v>
      </c>
      <c r="B3931" s="226" t="str">
        <f>IFERROR(__xludf.DUMMYFUNCTION("""COMPUTED_VALUE"""),"5907615810947")</f>
        <v>5907615810947</v>
      </c>
      <c r="C3931" t="str">
        <f>IFERROR(__xludf.DUMMYFUNCTION("""COMPUTED_VALUE"""),"Steinhof")</f>
        <v>Steinhof</v>
      </c>
    </row>
    <row r="3932">
      <c r="A3932" t="str">
        <f>IFERROR(__xludf.DUMMYFUNCTION("""COMPUTED_VALUE"""),"M-046")</f>
        <v>M-046</v>
      </c>
      <c r="B3932" s="226" t="str">
        <f>IFERROR(__xludf.DUMMYFUNCTION("""COMPUTED_VALUE"""),"5907615810954")</f>
        <v>5907615810954</v>
      </c>
      <c r="C3932" t="str">
        <f>IFERROR(__xludf.DUMMYFUNCTION("""COMPUTED_VALUE"""),"Steinhof")</f>
        <v>Steinhof</v>
      </c>
    </row>
    <row r="3933">
      <c r="A3933" t="str">
        <f>IFERROR(__xludf.DUMMYFUNCTION("""COMPUTED_VALUE"""),"M-046")</f>
        <v>M-046</v>
      </c>
      <c r="B3933" s="226" t="str">
        <f>IFERROR(__xludf.DUMMYFUNCTION("""COMPUTED_VALUE"""),"5907615810954")</f>
        <v>5907615810954</v>
      </c>
      <c r="C3933" t="str">
        <f>IFERROR(__xludf.DUMMYFUNCTION("""COMPUTED_VALUE"""),"Steinhof")</f>
        <v>Steinhof</v>
      </c>
    </row>
    <row r="3934">
      <c r="A3934" t="str">
        <f>IFERROR(__xludf.DUMMYFUNCTION("""COMPUTED_VALUE"""),"M-047")</f>
        <v>M-047</v>
      </c>
      <c r="B3934" s="226" t="str">
        <f>IFERROR(__xludf.DUMMYFUNCTION("""COMPUTED_VALUE"""),"5907615810961")</f>
        <v>5907615810961</v>
      </c>
      <c r="C3934" t="str">
        <f>IFERROR(__xludf.DUMMYFUNCTION("""COMPUTED_VALUE"""),"Steinhof")</f>
        <v>Steinhof</v>
      </c>
    </row>
    <row r="3935">
      <c r="A3935" t="str">
        <f>IFERROR(__xludf.DUMMYFUNCTION("""COMPUTED_VALUE"""),"M-047")</f>
        <v>M-047</v>
      </c>
      <c r="B3935" s="226" t="str">
        <f>IFERROR(__xludf.DUMMYFUNCTION("""COMPUTED_VALUE"""),"5907615810961")</f>
        <v>5907615810961</v>
      </c>
      <c r="C3935" t="str">
        <f>IFERROR(__xludf.DUMMYFUNCTION("""COMPUTED_VALUE"""),"Steinhof")</f>
        <v>Steinhof</v>
      </c>
    </row>
    <row r="3936">
      <c r="A3936" t="str">
        <f>IFERROR(__xludf.DUMMYFUNCTION("""COMPUTED_VALUE"""),"M-048")</f>
        <v>M-048</v>
      </c>
      <c r="B3936" s="226" t="str">
        <f>IFERROR(__xludf.DUMMYFUNCTION("""COMPUTED_VALUE"""),"5907615810978")</f>
        <v>5907615810978</v>
      </c>
      <c r="C3936" t="str">
        <f>IFERROR(__xludf.DUMMYFUNCTION("""COMPUTED_VALUE"""),"Steinhof")</f>
        <v>Steinhof</v>
      </c>
    </row>
    <row r="3937">
      <c r="A3937" t="str">
        <f>IFERROR(__xludf.DUMMYFUNCTION("""COMPUTED_VALUE"""),"M-048")</f>
        <v>M-048</v>
      </c>
      <c r="B3937" s="226" t="str">
        <f>IFERROR(__xludf.DUMMYFUNCTION("""COMPUTED_VALUE"""),"5907615810978")</f>
        <v>5907615810978</v>
      </c>
      <c r="C3937" t="str">
        <f>IFERROR(__xludf.DUMMYFUNCTION("""COMPUTED_VALUE"""),"Steinhof")</f>
        <v>Steinhof</v>
      </c>
    </row>
    <row r="3938">
      <c r="A3938" t="str">
        <f>IFERROR(__xludf.DUMMYFUNCTION("""COMPUTED_VALUE"""),"M-049")</f>
        <v>M-049</v>
      </c>
      <c r="B3938" s="226" t="str">
        <f>IFERROR(__xludf.DUMMYFUNCTION("""COMPUTED_VALUE"""),"5907615810985")</f>
        <v>5907615810985</v>
      </c>
      <c r="C3938" t="str">
        <f>IFERROR(__xludf.DUMMYFUNCTION("""COMPUTED_VALUE"""),"Steinhof")</f>
        <v>Steinhof</v>
      </c>
    </row>
    <row r="3939">
      <c r="A3939" t="str">
        <f>IFERROR(__xludf.DUMMYFUNCTION("""COMPUTED_VALUE"""),"M-049")</f>
        <v>M-049</v>
      </c>
      <c r="B3939" s="226" t="str">
        <f>IFERROR(__xludf.DUMMYFUNCTION("""COMPUTED_VALUE"""),"5907615810985")</f>
        <v>5907615810985</v>
      </c>
      <c r="C3939" t="str">
        <f>IFERROR(__xludf.DUMMYFUNCTION("""COMPUTED_VALUE"""),"Steinhof")</f>
        <v>Steinhof</v>
      </c>
    </row>
    <row r="3940">
      <c r="A3940" t="str">
        <f>IFERROR(__xludf.DUMMYFUNCTION("""COMPUTED_VALUE"""),"M-050")</f>
        <v>M-050</v>
      </c>
      <c r="B3940" s="226" t="str">
        <f>IFERROR(__xludf.DUMMYFUNCTION("""COMPUTED_VALUE"""),"5907615810992")</f>
        <v>5907615810992</v>
      </c>
      <c r="C3940" t="str">
        <f>IFERROR(__xludf.DUMMYFUNCTION("""COMPUTED_VALUE"""),"Steinhof")</f>
        <v>Steinhof</v>
      </c>
    </row>
    <row r="3941">
      <c r="A3941" t="str">
        <f>IFERROR(__xludf.DUMMYFUNCTION("""COMPUTED_VALUE"""),"M-050")</f>
        <v>M-050</v>
      </c>
      <c r="B3941" s="226" t="str">
        <f>IFERROR(__xludf.DUMMYFUNCTION("""COMPUTED_VALUE"""),"5907615810992")</f>
        <v>5907615810992</v>
      </c>
      <c r="C3941" t="str">
        <f>IFERROR(__xludf.DUMMYFUNCTION("""COMPUTED_VALUE"""),"Steinhof")</f>
        <v>Steinhof</v>
      </c>
    </row>
    <row r="3942">
      <c r="A3942" t="str">
        <f>IFERROR(__xludf.DUMMYFUNCTION("""COMPUTED_VALUE"""),"M-050")</f>
        <v>M-050</v>
      </c>
      <c r="B3942" s="226" t="str">
        <f>IFERROR(__xludf.DUMMYFUNCTION("""COMPUTED_VALUE"""),"5907615810992")</f>
        <v>5907615810992</v>
      </c>
      <c r="C3942" t="str">
        <f>IFERROR(__xludf.DUMMYFUNCTION("""COMPUTED_VALUE"""),"Steinhof")</f>
        <v>Steinhof</v>
      </c>
    </row>
    <row r="3943">
      <c r="A3943" t="str">
        <f>IFERROR(__xludf.DUMMYFUNCTION("""COMPUTED_VALUE"""),"M-050")</f>
        <v>M-050</v>
      </c>
      <c r="B3943" s="226" t="str">
        <f>IFERROR(__xludf.DUMMYFUNCTION("""COMPUTED_VALUE"""),"5907615810992")</f>
        <v>5907615810992</v>
      </c>
      <c r="C3943" t="str">
        <f>IFERROR(__xludf.DUMMYFUNCTION("""COMPUTED_VALUE"""),"Steinhof")</f>
        <v>Steinhof</v>
      </c>
    </row>
    <row r="3944">
      <c r="A3944" t="str">
        <f>IFERROR(__xludf.DUMMYFUNCTION("""COMPUTED_VALUE"""),"M-051")</f>
        <v>M-051</v>
      </c>
      <c r="B3944" s="226" t="str">
        <f>IFERROR(__xludf.DUMMYFUNCTION("""COMPUTED_VALUE"""),"5907615811005")</f>
        <v>5907615811005</v>
      </c>
      <c r="C3944" t="str">
        <f>IFERROR(__xludf.DUMMYFUNCTION("""COMPUTED_VALUE"""),"Steinhof")</f>
        <v>Steinhof</v>
      </c>
    </row>
    <row r="3945">
      <c r="A3945" t="str">
        <f>IFERROR(__xludf.DUMMYFUNCTION("""COMPUTED_VALUE"""),"M-051")</f>
        <v>M-051</v>
      </c>
      <c r="B3945" s="226" t="str">
        <f>IFERROR(__xludf.DUMMYFUNCTION("""COMPUTED_VALUE"""),"5907615811005")</f>
        <v>5907615811005</v>
      </c>
      <c r="C3945" t="str">
        <f>IFERROR(__xludf.DUMMYFUNCTION("""COMPUTED_VALUE"""),"Steinhof")</f>
        <v>Steinhof</v>
      </c>
    </row>
    <row r="3946">
      <c r="A3946" t="str">
        <f>IFERROR(__xludf.DUMMYFUNCTION("""COMPUTED_VALUE"""),"M-051")</f>
        <v>M-051</v>
      </c>
      <c r="B3946" s="226" t="str">
        <f>IFERROR(__xludf.DUMMYFUNCTION("""COMPUTED_VALUE"""),"5907615811005")</f>
        <v>5907615811005</v>
      </c>
      <c r="C3946" t="str">
        <f>IFERROR(__xludf.DUMMYFUNCTION("""COMPUTED_VALUE"""),"Steinhof")</f>
        <v>Steinhof</v>
      </c>
    </row>
    <row r="3947">
      <c r="A3947" t="str">
        <f>IFERROR(__xludf.DUMMYFUNCTION("""COMPUTED_VALUE"""),"M-051")</f>
        <v>M-051</v>
      </c>
      <c r="B3947" s="226" t="str">
        <f>IFERROR(__xludf.DUMMYFUNCTION("""COMPUTED_VALUE"""),"5907615811005")</f>
        <v>5907615811005</v>
      </c>
      <c r="C3947" t="str">
        <f>IFERROR(__xludf.DUMMYFUNCTION("""COMPUTED_VALUE"""),"Steinhof")</f>
        <v>Steinhof</v>
      </c>
    </row>
    <row r="3948">
      <c r="A3948" t="str">
        <f>IFERROR(__xludf.DUMMYFUNCTION("""COMPUTED_VALUE"""),"M-052")</f>
        <v>M-052</v>
      </c>
      <c r="B3948" s="226" t="str">
        <f>IFERROR(__xludf.DUMMYFUNCTION("""COMPUTED_VALUE"""),"5907615811012")</f>
        <v>5907615811012</v>
      </c>
      <c r="C3948" t="str">
        <f>IFERROR(__xludf.DUMMYFUNCTION("""COMPUTED_VALUE"""),"Steinhof")</f>
        <v>Steinhof</v>
      </c>
    </row>
    <row r="3949">
      <c r="A3949" t="str">
        <f>IFERROR(__xludf.DUMMYFUNCTION("""COMPUTED_VALUE"""),"M-052")</f>
        <v>M-052</v>
      </c>
      <c r="B3949" s="226" t="str">
        <f>IFERROR(__xludf.DUMMYFUNCTION("""COMPUTED_VALUE"""),"5907615811012")</f>
        <v>5907615811012</v>
      </c>
      <c r="C3949" t="str">
        <f>IFERROR(__xludf.DUMMYFUNCTION("""COMPUTED_VALUE"""),"Steinhof")</f>
        <v>Steinhof</v>
      </c>
    </row>
    <row r="3950">
      <c r="A3950" t="str">
        <f>IFERROR(__xludf.DUMMYFUNCTION("""COMPUTED_VALUE"""),"M-053")</f>
        <v>M-053</v>
      </c>
      <c r="B3950" s="226" t="str">
        <f>IFERROR(__xludf.DUMMYFUNCTION("""COMPUTED_VALUE"""),"5907615811029")</f>
        <v>5907615811029</v>
      </c>
      <c r="C3950" t="str">
        <f>IFERROR(__xludf.DUMMYFUNCTION("""COMPUTED_VALUE"""),"Steinhof")</f>
        <v>Steinhof</v>
      </c>
    </row>
    <row r="3951">
      <c r="A3951" t="str">
        <f>IFERROR(__xludf.DUMMYFUNCTION("""COMPUTED_VALUE"""),"M-053")</f>
        <v>M-053</v>
      </c>
      <c r="B3951" s="226" t="str">
        <f>IFERROR(__xludf.DUMMYFUNCTION("""COMPUTED_VALUE"""),"5907615811029")</f>
        <v>5907615811029</v>
      </c>
      <c r="C3951" t="str">
        <f>IFERROR(__xludf.DUMMYFUNCTION("""COMPUTED_VALUE"""),"Steinhof")</f>
        <v>Steinhof</v>
      </c>
    </row>
    <row r="3952">
      <c r="A3952" t="str">
        <f>IFERROR(__xludf.DUMMYFUNCTION("""COMPUTED_VALUE"""),"M-054")</f>
        <v>M-054</v>
      </c>
      <c r="B3952" s="226" t="str">
        <f>IFERROR(__xludf.DUMMYFUNCTION("""COMPUTED_VALUE"""),"5907615811036")</f>
        <v>5907615811036</v>
      </c>
      <c r="C3952" t="str">
        <f>IFERROR(__xludf.DUMMYFUNCTION("""COMPUTED_VALUE"""),"Steinhof")</f>
        <v>Steinhof</v>
      </c>
    </row>
    <row r="3953">
      <c r="A3953" t="str">
        <f>IFERROR(__xludf.DUMMYFUNCTION("""COMPUTED_VALUE"""),"M-055")</f>
        <v>M-055</v>
      </c>
      <c r="B3953" s="226" t="str">
        <f>IFERROR(__xludf.DUMMYFUNCTION("""COMPUTED_VALUE"""),"5907615811043")</f>
        <v>5907615811043</v>
      </c>
      <c r="C3953" t="str">
        <f>IFERROR(__xludf.DUMMYFUNCTION("""COMPUTED_VALUE"""),"Steinhof")</f>
        <v>Steinhof</v>
      </c>
    </row>
    <row r="3954">
      <c r="A3954" t="str">
        <f>IFERROR(__xludf.DUMMYFUNCTION("""COMPUTED_VALUE"""),"M-056")</f>
        <v>M-056</v>
      </c>
      <c r="B3954" s="226" t="str">
        <f>IFERROR(__xludf.DUMMYFUNCTION("""COMPUTED_VALUE"""),"5907615811050")</f>
        <v>5907615811050</v>
      </c>
      <c r="C3954" t="str">
        <f>IFERROR(__xludf.DUMMYFUNCTION("""COMPUTED_VALUE"""),"Steinhof")</f>
        <v>Steinhof</v>
      </c>
    </row>
    <row r="3955">
      <c r="A3955" t="str">
        <f>IFERROR(__xludf.DUMMYFUNCTION("""COMPUTED_VALUE"""),"M-057")</f>
        <v>M-057</v>
      </c>
      <c r="B3955" s="226" t="str">
        <f>IFERROR(__xludf.DUMMYFUNCTION("""COMPUTED_VALUE"""),"5907615811067")</f>
        <v>5907615811067</v>
      </c>
      <c r="C3955" t="str">
        <f>IFERROR(__xludf.DUMMYFUNCTION("""COMPUTED_VALUE"""),"Steinhof")</f>
        <v>Steinhof</v>
      </c>
    </row>
    <row r="3956">
      <c r="A3956" t="str">
        <f>IFERROR(__xludf.DUMMYFUNCTION("""COMPUTED_VALUE"""),"M-095")</f>
        <v>M-095</v>
      </c>
      <c r="B3956" s="226" t="str">
        <f>IFERROR(__xludf.DUMMYFUNCTION("""COMPUTED_VALUE"""),"5907615811456")</f>
        <v>5907615811456</v>
      </c>
      <c r="C3956" t="str">
        <f>IFERROR(__xludf.DUMMYFUNCTION("""COMPUTED_VALUE"""),"Steinhof")</f>
        <v>Steinhof</v>
      </c>
    </row>
    <row r="3957">
      <c r="A3957" t="str">
        <f>IFERROR(__xludf.DUMMYFUNCTION("""COMPUTED_VALUE"""),"M-096")</f>
        <v>M-096</v>
      </c>
      <c r="B3957" s="226" t="str">
        <f>IFERROR(__xludf.DUMMYFUNCTION("""COMPUTED_VALUE"""),"5907615811463")</f>
        <v>5907615811463</v>
      </c>
      <c r="C3957" t="str">
        <f>IFERROR(__xludf.DUMMYFUNCTION("""COMPUTED_VALUE"""),"Steinhof")</f>
        <v>Steinhof</v>
      </c>
    </row>
    <row r="3958">
      <c r="A3958" t="str">
        <f>IFERROR(__xludf.DUMMYFUNCTION("""COMPUTED_VALUE"""),"M-096")</f>
        <v>M-096</v>
      </c>
      <c r="B3958" s="226" t="str">
        <f>IFERROR(__xludf.DUMMYFUNCTION("""COMPUTED_VALUE"""),"5907615811463")</f>
        <v>5907615811463</v>
      </c>
      <c r="C3958" t="str">
        <f>IFERROR(__xludf.DUMMYFUNCTION("""COMPUTED_VALUE"""),"Steinhof")</f>
        <v>Steinhof</v>
      </c>
    </row>
    <row r="3959">
      <c r="A3959" t="str">
        <f>IFERROR(__xludf.DUMMYFUNCTION("""COMPUTED_VALUE"""),"M-098")</f>
        <v>M-098</v>
      </c>
      <c r="B3959" s="226" t="str">
        <f>IFERROR(__xludf.DUMMYFUNCTION("""COMPUTED_VALUE"""),"5907615811487")</f>
        <v>5907615811487</v>
      </c>
      <c r="C3959" t="str">
        <f>IFERROR(__xludf.DUMMYFUNCTION("""COMPUTED_VALUE"""),"Steinhof")</f>
        <v>Steinhof</v>
      </c>
    </row>
    <row r="3960">
      <c r="A3960" t="str">
        <f>IFERROR(__xludf.DUMMYFUNCTION("""COMPUTED_VALUE"""),"M-098")</f>
        <v>M-098</v>
      </c>
      <c r="B3960" s="226" t="str">
        <f>IFERROR(__xludf.DUMMYFUNCTION("""COMPUTED_VALUE"""),"5907615811487")</f>
        <v>5907615811487</v>
      </c>
      <c r="C3960" t="str">
        <f>IFERROR(__xludf.DUMMYFUNCTION("""COMPUTED_VALUE"""),"Steinhof")</f>
        <v>Steinhof</v>
      </c>
    </row>
    <row r="3961">
      <c r="A3961" t="str">
        <f>IFERROR(__xludf.DUMMYFUNCTION("""COMPUTED_VALUE"""),"M-098")</f>
        <v>M-098</v>
      </c>
      <c r="B3961" s="226" t="str">
        <f>IFERROR(__xludf.DUMMYFUNCTION("""COMPUTED_VALUE"""),"5907615811487")</f>
        <v>5907615811487</v>
      </c>
      <c r="C3961" t="str">
        <f>IFERROR(__xludf.DUMMYFUNCTION("""COMPUTED_VALUE"""),"Steinhof")</f>
        <v>Steinhof</v>
      </c>
    </row>
    <row r="3962">
      <c r="A3962" t="str">
        <f>IFERROR(__xludf.DUMMYFUNCTION("""COMPUTED_VALUE"""),"M-098")</f>
        <v>M-098</v>
      </c>
      <c r="B3962" s="226" t="str">
        <f>IFERROR(__xludf.DUMMYFUNCTION("""COMPUTED_VALUE"""),"5907615811487")</f>
        <v>5907615811487</v>
      </c>
      <c r="C3962" t="str">
        <f>IFERROR(__xludf.DUMMYFUNCTION("""COMPUTED_VALUE"""),"Steinhof")</f>
        <v>Steinhof</v>
      </c>
    </row>
    <row r="3963">
      <c r="A3963" t="str">
        <f>IFERROR(__xludf.DUMMYFUNCTION("""COMPUTED_VALUE"""),"M-099")</f>
        <v>M-099</v>
      </c>
      <c r="B3963" s="226" t="str">
        <f>IFERROR(__xludf.DUMMYFUNCTION("""COMPUTED_VALUE"""),"5907615811494")</f>
        <v>5907615811494</v>
      </c>
      <c r="C3963" t="str">
        <f>IFERROR(__xludf.DUMMYFUNCTION("""COMPUTED_VALUE"""),"Steinhof")</f>
        <v>Steinhof</v>
      </c>
    </row>
    <row r="3964">
      <c r="A3964" t="str">
        <f>IFERROR(__xludf.DUMMYFUNCTION("""COMPUTED_VALUE"""),"M-099")</f>
        <v>M-099</v>
      </c>
      <c r="B3964" s="226" t="str">
        <f>IFERROR(__xludf.DUMMYFUNCTION("""COMPUTED_VALUE"""),"5907615811494")</f>
        <v>5907615811494</v>
      </c>
      <c r="C3964" t="str">
        <f>IFERROR(__xludf.DUMMYFUNCTION("""COMPUTED_VALUE"""),"Steinhof")</f>
        <v>Steinhof</v>
      </c>
    </row>
    <row r="3965">
      <c r="A3965" t="str">
        <f>IFERROR(__xludf.DUMMYFUNCTION("""COMPUTED_VALUE"""),"M-099")</f>
        <v>M-099</v>
      </c>
      <c r="B3965" s="226" t="str">
        <f>IFERROR(__xludf.DUMMYFUNCTION("""COMPUTED_VALUE"""),"5907615811494")</f>
        <v>5907615811494</v>
      </c>
      <c r="C3965" t="str">
        <f>IFERROR(__xludf.DUMMYFUNCTION("""COMPUTED_VALUE"""),"Steinhof")</f>
        <v>Steinhof</v>
      </c>
    </row>
    <row r="3966">
      <c r="A3966" t="str">
        <f>IFERROR(__xludf.DUMMYFUNCTION("""COMPUTED_VALUE"""),"M-099")</f>
        <v>M-099</v>
      </c>
      <c r="B3966" s="226" t="str">
        <f>IFERROR(__xludf.DUMMYFUNCTION("""COMPUTED_VALUE"""),"5907615811494")</f>
        <v>5907615811494</v>
      </c>
      <c r="C3966" t="str">
        <f>IFERROR(__xludf.DUMMYFUNCTION("""COMPUTED_VALUE"""),"Steinhof")</f>
        <v>Steinhof</v>
      </c>
    </row>
    <row r="3967">
      <c r="A3967" t="str">
        <f>IFERROR(__xludf.DUMMYFUNCTION("""COMPUTED_VALUE"""),"M-101")</f>
        <v>M-101</v>
      </c>
      <c r="B3967" s="226" t="str">
        <f>IFERROR(__xludf.DUMMYFUNCTION("""COMPUTED_VALUE"""),"5907615811517")</f>
        <v>5907615811517</v>
      </c>
      <c r="C3967" t="str">
        <f>IFERROR(__xludf.DUMMYFUNCTION("""COMPUTED_VALUE"""),"Steinhof")</f>
        <v>Steinhof</v>
      </c>
    </row>
    <row r="3968">
      <c r="A3968" t="str">
        <f>IFERROR(__xludf.DUMMYFUNCTION("""COMPUTED_VALUE"""),"M-101")</f>
        <v>M-101</v>
      </c>
      <c r="B3968" s="226" t="str">
        <f>IFERROR(__xludf.DUMMYFUNCTION("""COMPUTED_VALUE"""),"5907615811517")</f>
        <v>5907615811517</v>
      </c>
      <c r="C3968" t="str">
        <f>IFERROR(__xludf.DUMMYFUNCTION("""COMPUTED_VALUE"""),"Steinhof")</f>
        <v>Steinhof</v>
      </c>
    </row>
    <row r="3969">
      <c r="A3969" t="str">
        <f>IFERROR(__xludf.DUMMYFUNCTION("""COMPUTED_VALUE"""),"M-101")</f>
        <v>M-101</v>
      </c>
      <c r="B3969" s="226" t="str">
        <f>IFERROR(__xludf.DUMMYFUNCTION("""COMPUTED_VALUE"""),"5907615811517")</f>
        <v>5907615811517</v>
      </c>
      <c r="C3969" t="str">
        <f>IFERROR(__xludf.DUMMYFUNCTION("""COMPUTED_VALUE"""),"Steinhof")</f>
        <v>Steinhof</v>
      </c>
    </row>
    <row r="3970">
      <c r="A3970" t="str">
        <f>IFERROR(__xludf.DUMMYFUNCTION("""COMPUTED_VALUE"""),"M-101")</f>
        <v>M-101</v>
      </c>
      <c r="B3970" s="226" t="str">
        <f>IFERROR(__xludf.DUMMYFUNCTION("""COMPUTED_VALUE"""),"5907615811517")</f>
        <v>5907615811517</v>
      </c>
      <c r="C3970" t="str">
        <f>IFERROR(__xludf.DUMMYFUNCTION("""COMPUTED_VALUE"""),"Steinhof")</f>
        <v>Steinhof</v>
      </c>
    </row>
    <row r="3971">
      <c r="A3971" t="str">
        <f>IFERROR(__xludf.DUMMYFUNCTION("""COMPUTED_VALUE"""),"M-102")</f>
        <v>M-102</v>
      </c>
      <c r="B3971" s="226" t="str">
        <f>IFERROR(__xludf.DUMMYFUNCTION("""COMPUTED_VALUE"""),"5907615811524")</f>
        <v>5907615811524</v>
      </c>
      <c r="C3971" t="str">
        <f>IFERROR(__xludf.DUMMYFUNCTION("""COMPUTED_VALUE"""),"Steinhof")</f>
        <v>Steinhof</v>
      </c>
    </row>
    <row r="3972">
      <c r="A3972" t="str">
        <f>IFERROR(__xludf.DUMMYFUNCTION("""COMPUTED_VALUE"""),"M-102")</f>
        <v>M-102</v>
      </c>
      <c r="B3972" s="226" t="str">
        <f>IFERROR(__xludf.DUMMYFUNCTION("""COMPUTED_VALUE"""),"5907615811524")</f>
        <v>5907615811524</v>
      </c>
      <c r="C3972" t="str">
        <f>IFERROR(__xludf.DUMMYFUNCTION("""COMPUTED_VALUE"""),"Steinhof")</f>
        <v>Steinhof</v>
      </c>
    </row>
    <row r="3973">
      <c r="A3973" t="str">
        <f>IFERROR(__xludf.DUMMYFUNCTION("""COMPUTED_VALUE"""),"M-103")</f>
        <v>M-103</v>
      </c>
      <c r="B3973" s="226" t="str">
        <f>IFERROR(__xludf.DUMMYFUNCTION("""COMPUTED_VALUE"""),"5907615811531")</f>
        <v>5907615811531</v>
      </c>
      <c r="C3973" t="str">
        <f>IFERROR(__xludf.DUMMYFUNCTION("""COMPUTED_VALUE"""),"Steinhof")</f>
        <v>Steinhof</v>
      </c>
    </row>
    <row r="3974">
      <c r="A3974" t="str">
        <f>IFERROR(__xludf.DUMMYFUNCTION("""COMPUTED_VALUE"""),"M-104")</f>
        <v>M-104</v>
      </c>
      <c r="B3974" s="226" t="str">
        <f>IFERROR(__xludf.DUMMYFUNCTION("""COMPUTED_VALUE"""),"5907615811548")</f>
        <v>5907615811548</v>
      </c>
      <c r="C3974" t="str">
        <f>IFERROR(__xludf.DUMMYFUNCTION("""COMPUTED_VALUE"""),"Steinhof")</f>
        <v>Steinhof</v>
      </c>
    </row>
    <row r="3975">
      <c r="A3975" t="str">
        <f>IFERROR(__xludf.DUMMYFUNCTION("""COMPUTED_VALUE"""),"M-105")</f>
        <v>M-105</v>
      </c>
      <c r="B3975" s="226" t="str">
        <f>IFERROR(__xludf.DUMMYFUNCTION("""COMPUTED_VALUE"""),"5907615811555")</f>
        <v>5907615811555</v>
      </c>
      <c r="C3975" t="str">
        <f>IFERROR(__xludf.DUMMYFUNCTION("""COMPUTED_VALUE"""),"Steinhof")</f>
        <v>Steinhof</v>
      </c>
    </row>
    <row r="3976">
      <c r="A3976" t="str">
        <f>IFERROR(__xludf.DUMMYFUNCTION("""COMPUTED_VALUE"""),"M-106")</f>
        <v>M-106</v>
      </c>
      <c r="B3976" s="226" t="str">
        <f>IFERROR(__xludf.DUMMYFUNCTION("""COMPUTED_VALUE"""),"5907615811562")</f>
        <v>5907615811562</v>
      </c>
      <c r="C3976" t="str">
        <f>IFERROR(__xludf.DUMMYFUNCTION("""COMPUTED_VALUE"""),"Steinhof")</f>
        <v>Steinhof</v>
      </c>
    </row>
    <row r="3977">
      <c r="A3977" t="str">
        <f>IFERROR(__xludf.DUMMYFUNCTION("""COMPUTED_VALUE"""),"M-108")</f>
        <v>M-108</v>
      </c>
      <c r="B3977" s="226" t="str">
        <f>IFERROR(__xludf.DUMMYFUNCTION("""COMPUTED_VALUE"""),"5907615811586")</f>
        <v>5907615811586</v>
      </c>
      <c r="C3977" t="str">
        <f>IFERROR(__xludf.DUMMYFUNCTION("""COMPUTED_VALUE"""),"Steinhof")</f>
        <v>Steinhof</v>
      </c>
    </row>
    <row r="3978">
      <c r="A3978" t="str">
        <f>IFERROR(__xludf.DUMMYFUNCTION("""COMPUTED_VALUE"""),"M-109")</f>
        <v>M-109</v>
      </c>
      <c r="B3978" s="226" t="str">
        <f>IFERROR(__xludf.DUMMYFUNCTION("""COMPUTED_VALUE"""),"5907615811593")</f>
        <v>5907615811593</v>
      </c>
      <c r="C3978" t="str">
        <f>IFERROR(__xludf.DUMMYFUNCTION("""COMPUTED_VALUE"""),"Steinhof")</f>
        <v>Steinhof</v>
      </c>
    </row>
    <row r="3979">
      <c r="A3979" t="str">
        <f>IFERROR(__xludf.DUMMYFUNCTION("""COMPUTED_VALUE"""),"M-110")</f>
        <v>M-110</v>
      </c>
      <c r="B3979" s="226" t="str">
        <f>IFERROR(__xludf.DUMMYFUNCTION("""COMPUTED_VALUE"""),"5907615811609")</f>
        <v>5907615811609</v>
      </c>
      <c r="C3979" t="str">
        <f>IFERROR(__xludf.DUMMYFUNCTION("""COMPUTED_VALUE"""),"Steinhof")</f>
        <v>Steinhof</v>
      </c>
    </row>
    <row r="3980">
      <c r="A3980" t="str">
        <f>IFERROR(__xludf.DUMMYFUNCTION("""COMPUTED_VALUE"""),"M-111")</f>
        <v>M-111</v>
      </c>
      <c r="B3980" s="226" t="str">
        <f>IFERROR(__xludf.DUMMYFUNCTION("""COMPUTED_VALUE"""),"5907615811616")</f>
        <v>5907615811616</v>
      </c>
      <c r="C3980" t="str">
        <f>IFERROR(__xludf.DUMMYFUNCTION("""COMPUTED_VALUE"""),"Steinhof")</f>
        <v>Steinhof</v>
      </c>
    </row>
    <row r="3981">
      <c r="A3981" t="str">
        <f>IFERROR(__xludf.DUMMYFUNCTION("""COMPUTED_VALUE"""),"M-111")</f>
        <v>M-111</v>
      </c>
      <c r="B3981" s="226" t="str">
        <f>IFERROR(__xludf.DUMMYFUNCTION("""COMPUTED_VALUE"""),"5907615811616")</f>
        <v>5907615811616</v>
      </c>
      <c r="C3981" t="str">
        <f>IFERROR(__xludf.DUMMYFUNCTION("""COMPUTED_VALUE"""),"Steinhof")</f>
        <v>Steinhof</v>
      </c>
    </row>
    <row r="3982">
      <c r="A3982" t="str">
        <f>IFERROR(__xludf.DUMMYFUNCTION("""COMPUTED_VALUE"""),"M-113")</f>
        <v>M-113</v>
      </c>
      <c r="B3982" s="226" t="str">
        <f>IFERROR(__xludf.DUMMYFUNCTION("""COMPUTED_VALUE"""),"5907615811630")</f>
        <v>5907615811630</v>
      </c>
      <c r="C3982" t="str">
        <f>IFERROR(__xludf.DUMMYFUNCTION("""COMPUTED_VALUE"""),"Steinhof")</f>
        <v>Steinhof</v>
      </c>
    </row>
    <row r="3983">
      <c r="A3983" t="str">
        <f>IFERROR(__xludf.DUMMYFUNCTION("""COMPUTED_VALUE"""),"M-113")</f>
        <v>M-113</v>
      </c>
      <c r="B3983" s="226" t="str">
        <f>IFERROR(__xludf.DUMMYFUNCTION("""COMPUTED_VALUE"""),"5907615811630")</f>
        <v>5907615811630</v>
      </c>
      <c r="C3983" t="str">
        <f>IFERROR(__xludf.DUMMYFUNCTION("""COMPUTED_VALUE"""),"Steinhof")</f>
        <v>Steinhof</v>
      </c>
    </row>
    <row r="3984">
      <c r="A3984" t="str">
        <f>IFERROR(__xludf.DUMMYFUNCTION("""COMPUTED_VALUE"""),"M-113")</f>
        <v>M-113</v>
      </c>
      <c r="B3984" s="226" t="str">
        <f>IFERROR(__xludf.DUMMYFUNCTION("""COMPUTED_VALUE"""),"5907615811630")</f>
        <v>5907615811630</v>
      </c>
      <c r="C3984" t="str">
        <f>IFERROR(__xludf.DUMMYFUNCTION("""COMPUTED_VALUE"""),"Steinhof")</f>
        <v>Steinhof</v>
      </c>
    </row>
    <row r="3985">
      <c r="A3985" t="str">
        <f>IFERROR(__xludf.DUMMYFUNCTION("""COMPUTED_VALUE"""),"M-113")</f>
        <v>M-113</v>
      </c>
      <c r="B3985" s="226" t="str">
        <f>IFERROR(__xludf.DUMMYFUNCTION("""COMPUTED_VALUE"""),"5907615811630")</f>
        <v>5907615811630</v>
      </c>
      <c r="C3985" t="str">
        <f>IFERROR(__xludf.DUMMYFUNCTION("""COMPUTED_VALUE"""),"Steinhof")</f>
        <v>Steinhof</v>
      </c>
    </row>
    <row r="3986">
      <c r="A3986" t="str">
        <f>IFERROR(__xludf.DUMMYFUNCTION("""COMPUTED_VALUE"""),"M-114")</f>
        <v>M-114</v>
      </c>
      <c r="B3986" s="226" t="str">
        <f>IFERROR(__xludf.DUMMYFUNCTION("""COMPUTED_VALUE"""),"5907615811647")</f>
        <v>5907615811647</v>
      </c>
      <c r="C3986" t="str">
        <f>IFERROR(__xludf.DUMMYFUNCTION("""COMPUTED_VALUE"""),"Steinhof")</f>
        <v>Steinhof</v>
      </c>
    </row>
    <row r="3987">
      <c r="A3987" t="str">
        <f>IFERROR(__xludf.DUMMYFUNCTION("""COMPUTED_VALUE"""),"M-114")</f>
        <v>M-114</v>
      </c>
      <c r="B3987" s="226" t="str">
        <f>IFERROR(__xludf.DUMMYFUNCTION("""COMPUTED_VALUE"""),"5907615811647")</f>
        <v>5907615811647</v>
      </c>
      <c r="C3987" t="str">
        <f>IFERROR(__xludf.DUMMYFUNCTION("""COMPUTED_VALUE"""),"Steinhof")</f>
        <v>Steinhof</v>
      </c>
    </row>
    <row r="3988">
      <c r="A3988" t="str">
        <f>IFERROR(__xludf.DUMMYFUNCTION("""COMPUTED_VALUE"""),"M-114")</f>
        <v>M-114</v>
      </c>
      <c r="B3988" s="226" t="str">
        <f>IFERROR(__xludf.DUMMYFUNCTION("""COMPUTED_VALUE"""),"5907615811647")</f>
        <v>5907615811647</v>
      </c>
      <c r="C3988" t="str">
        <f>IFERROR(__xludf.DUMMYFUNCTION("""COMPUTED_VALUE"""),"Steinhof")</f>
        <v>Steinhof</v>
      </c>
    </row>
    <row r="3989">
      <c r="A3989" t="str">
        <f>IFERROR(__xludf.DUMMYFUNCTION("""COMPUTED_VALUE"""),"M-114")</f>
        <v>M-114</v>
      </c>
      <c r="B3989" s="226" t="str">
        <f>IFERROR(__xludf.DUMMYFUNCTION("""COMPUTED_VALUE"""),"5907615811647")</f>
        <v>5907615811647</v>
      </c>
      <c r="C3989" t="str">
        <f>IFERROR(__xludf.DUMMYFUNCTION("""COMPUTED_VALUE"""),"Steinhof")</f>
        <v>Steinhof</v>
      </c>
    </row>
    <row r="3990">
      <c r="A3990" t="str">
        <f>IFERROR(__xludf.DUMMYFUNCTION("""COMPUTED_VALUE"""),"M-115")</f>
        <v>M-115</v>
      </c>
      <c r="B3990" s="226" t="str">
        <f>IFERROR(__xludf.DUMMYFUNCTION("""COMPUTED_VALUE"""),"5907615811654")</f>
        <v>5907615811654</v>
      </c>
      <c r="C3990" t="str">
        <f>IFERROR(__xludf.DUMMYFUNCTION("""COMPUTED_VALUE"""),"Steinhof")</f>
        <v>Steinhof</v>
      </c>
    </row>
    <row r="3991">
      <c r="A3991" t="str">
        <f>IFERROR(__xludf.DUMMYFUNCTION("""COMPUTED_VALUE"""),"M-115")</f>
        <v>M-115</v>
      </c>
      <c r="B3991" s="226" t="str">
        <f>IFERROR(__xludf.DUMMYFUNCTION("""COMPUTED_VALUE"""),"5907615811654")</f>
        <v>5907615811654</v>
      </c>
      <c r="C3991" t="str">
        <f>IFERROR(__xludf.DUMMYFUNCTION("""COMPUTED_VALUE"""),"Steinhof")</f>
        <v>Steinhof</v>
      </c>
    </row>
    <row r="3992">
      <c r="A3992" t="str">
        <f>IFERROR(__xludf.DUMMYFUNCTION("""COMPUTED_VALUE"""),"M-116")</f>
        <v>M-116</v>
      </c>
      <c r="B3992" s="226" t="str">
        <f>IFERROR(__xludf.DUMMYFUNCTION("""COMPUTED_VALUE"""),"5907615811661")</f>
        <v>5907615811661</v>
      </c>
      <c r="C3992" t="str">
        <f>IFERROR(__xludf.DUMMYFUNCTION("""COMPUTED_VALUE"""),"Steinhof")</f>
        <v>Steinhof</v>
      </c>
    </row>
    <row r="3993">
      <c r="A3993" t="str">
        <f>IFERROR(__xludf.DUMMYFUNCTION("""COMPUTED_VALUE"""),"M-116")</f>
        <v>M-116</v>
      </c>
      <c r="B3993" s="226" t="str">
        <f>IFERROR(__xludf.DUMMYFUNCTION("""COMPUTED_VALUE"""),"5907615811661")</f>
        <v>5907615811661</v>
      </c>
      <c r="C3993" t="str">
        <f>IFERROR(__xludf.DUMMYFUNCTION("""COMPUTED_VALUE"""),"Steinhof")</f>
        <v>Steinhof</v>
      </c>
    </row>
    <row r="3994">
      <c r="A3994" t="str">
        <f>IFERROR(__xludf.DUMMYFUNCTION("""COMPUTED_VALUE"""),"M-117")</f>
        <v>M-117</v>
      </c>
      <c r="B3994" s="226" t="str">
        <f>IFERROR(__xludf.DUMMYFUNCTION("""COMPUTED_VALUE"""),"5907615811678")</f>
        <v>5907615811678</v>
      </c>
      <c r="C3994" t="str">
        <f>IFERROR(__xludf.DUMMYFUNCTION("""COMPUTED_VALUE"""),"Steinhof")</f>
        <v>Steinhof</v>
      </c>
    </row>
    <row r="3995">
      <c r="A3995" t="str">
        <f>IFERROR(__xludf.DUMMYFUNCTION("""COMPUTED_VALUE"""),"M-117")</f>
        <v>M-117</v>
      </c>
      <c r="B3995" s="226" t="str">
        <f>IFERROR(__xludf.DUMMYFUNCTION("""COMPUTED_VALUE"""),"5907615811678")</f>
        <v>5907615811678</v>
      </c>
      <c r="C3995" t="str">
        <f>IFERROR(__xludf.DUMMYFUNCTION("""COMPUTED_VALUE"""),"Steinhof")</f>
        <v>Steinhof</v>
      </c>
    </row>
    <row r="3996">
      <c r="A3996" t="str">
        <f>IFERROR(__xludf.DUMMYFUNCTION("""COMPUTED_VALUE"""),"M-118")</f>
        <v>M-118</v>
      </c>
      <c r="B3996" s="226" t="str">
        <f>IFERROR(__xludf.DUMMYFUNCTION("""COMPUTED_VALUE"""),"5907615811685")</f>
        <v>5907615811685</v>
      </c>
      <c r="C3996" t="str">
        <f>IFERROR(__xludf.DUMMYFUNCTION("""COMPUTED_VALUE"""),"Steinhof")</f>
        <v>Steinhof</v>
      </c>
    </row>
    <row r="3997">
      <c r="A3997" t="str">
        <f>IFERROR(__xludf.DUMMYFUNCTION("""COMPUTED_VALUE"""),"M-118")</f>
        <v>M-118</v>
      </c>
      <c r="B3997" s="226" t="str">
        <f>IFERROR(__xludf.DUMMYFUNCTION("""COMPUTED_VALUE"""),"5907615811685")</f>
        <v>5907615811685</v>
      </c>
      <c r="C3997" t="str">
        <f>IFERROR(__xludf.DUMMYFUNCTION("""COMPUTED_VALUE"""),"Steinhof")</f>
        <v>Steinhof</v>
      </c>
    </row>
    <row r="3998">
      <c r="A3998" t="str">
        <f>IFERROR(__xludf.DUMMYFUNCTION("""COMPUTED_VALUE"""),"M-119")</f>
        <v>M-119</v>
      </c>
      <c r="B3998" s="226" t="str">
        <f>IFERROR(__xludf.DUMMYFUNCTION("""COMPUTED_VALUE"""),"5907615811692")</f>
        <v>5907615811692</v>
      </c>
      <c r="C3998" t="str">
        <f>IFERROR(__xludf.DUMMYFUNCTION("""COMPUTED_VALUE"""),"Steinhof")</f>
        <v>Steinhof</v>
      </c>
    </row>
    <row r="3999">
      <c r="A3999" t="str">
        <f>IFERROR(__xludf.DUMMYFUNCTION("""COMPUTED_VALUE"""),"M-119")</f>
        <v>M-119</v>
      </c>
      <c r="B3999" s="226" t="str">
        <f>IFERROR(__xludf.DUMMYFUNCTION("""COMPUTED_VALUE"""),"5907615811692")</f>
        <v>5907615811692</v>
      </c>
      <c r="C3999" t="str">
        <f>IFERROR(__xludf.DUMMYFUNCTION("""COMPUTED_VALUE"""),"Steinhof")</f>
        <v>Steinhof</v>
      </c>
    </row>
    <row r="4000">
      <c r="A4000" t="str">
        <f>IFERROR(__xludf.DUMMYFUNCTION("""COMPUTED_VALUE"""),"M-120")</f>
        <v>M-120</v>
      </c>
      <c r="B4000" s="226" t="str">
        <f>IFERROR(__xludf.DUMMYFUNCTION("""COMPUTED_VALUE"""),"5907615811708")</f>
        <v>5907615811708</v>
      </c>
      <c r="C4000" t="str">
        <f>IFERROR(__xludf.DUMMYFUNCTION("""COMPUTED_VALUE"""),"Steinhof")</f>
        <v>Steinhof</v>
      </c>
    </row>
    <row r="4001">
      <c r="A4001" t="str">
        <f>IFERROR(__xludf.DUMMYFUNCTION("""COMPUTED_VALUE"""),"M-120")</f>
        <v>M-120</v>
      </c>
      <c r="B4001" s="226" t="str">
        <f>IFERROR(__xludf.DUMMYFUNCTION("""COMPUTED_VALUE"""),"5907615811708")</f>
        <v>5907615811708</v>
      </c>
      <c r="C4001" t="str">
        <f>IFERROR(__xludf.DUMMYFUNCTION("""COMPUTED_VALUE"""),"Steinhof")</f>
        <v>Steinhof</v>
      </c>
    </row>
    <row r="4002">
      <c r="A4002" t="str">
        <f>IFERROR(__xludf.DUMMYFUNCTION("""COMPUTED_VALUE"""),"M-122")</f>
        <v>M-122</v>
      </c>
      <c r="B4002" s="226" t="str">
        <f>IFERROR(__xludf.DUMMYFUNCTION("""COMPUTED_VALUE"""),"5907615811722")</f>
        <v>5907615811722</v>
      </c>
      <c r="C4002" t="str">
        <f>IFERROR(__xludf.DUMMYFUNCTION("""COMPUTED_VALUE"""),"Steinhof")</f>
        <v>Steinhof</v>
      </c>
    </row>
    <row r="4003">
      <c r="A4003" t="str">
        <f>IFERROR(__xludf.DUMMYFUNCTION("""COMPUTED_VALUE"""),"M-122")</f>
        <v>M-122</v>
      </c>
      <c r="B4003" s="226" t="str">
        <f>IFERROR(__xludf.DUMMYFUNCTION("""COMPUTED_VALUE"""),"5907615811722")</f>
        <v>5907615811722</v>
      </c>
      <c r="C4003" t="str">
        <f>IFERROR(__xludf.DUMMYFUNCTION("""COMPUTED_VALUE"""),"Steinhof")</f>
        <v>Steinhof</v>
      </c>
    </row>
    <row r="4004">
      <c r="A4004" t="str">
        <f>IFERROR(__xludf.DUMMYFUNCTION("""COMPUTED_VALUE"""),"M-124")</f>
        <v>M-124</v>
      </c>
      <c r="B4004" s="226" t="str">
        <f>IFERROR(__xludf.DUMMYFUNCTION("""COMPUTED_VALUE"""),"5907615811746")</f>
        <v>5907615811746</v>
      </c>
      <c r="C4004" t="str">
        <f>IFERROR(__xludf.DUMMYFUNCTION("""COMPUTED_VALUE"""),"Steinhof")</f>
        <v>Steinhof</v>
      </c>
    </row>
    <row r="4005">
      <c r="A4005" t="str">
        <f>IFERROR(__xludf.DUMMYFUNCTION("""COMPUTED_VALUE"""),"M-124")</f>
        <v>M-124</v>
      </c>
      <c r="B4005" s="226" t="str">
        <f>IFERROR(__xludf.DUMMYFUNCTION("""COMPUTED_VALUE"""),"5907615811746")</f>
        <v>5907615811746</v>
      </c>
      <c r="C4005" t="str">
        <f>IFERROR(__xludf.DUMMYFUNCTION("""COMPUTED_VALUE"""),"Steinhof")</f>
        <v>Steinhof</v>
      </c>
    </row>
    <row r="4006">
      <c r="A4006" t="str">
        <f>IFERROR(__xludf.DUMMYFUNCTION("""COMPUTED_VALUE"""),"M-126")</f>
        <v>M-126</v>
      </c>
      <c r="B4006" s="226" t="str">
        <f>IFERROR(__xludf.DUMMYFUNCTION("""COMPUTED_VALUE"""),"5907615811760")</f>
        <v>5907615811760</v>
      </c>
      <c r="C4006" t="str">
        <f>IFERROR(__xludf.DUMMYFUNCTION("""COMPUTED_VALUE"""),"Steinhof")</f>
        <v>Steinhof</v>
      </c>
    </row>
    <row r="4007">
      <c r="A4007" t="str">
        <f>IFERROR(__xludf.DUMMYFUNCTION("""COMPUTED_VALUE"""),"M-126")</f>
        <v>M-126</v>
      </c>
      <c r="B4007" s="226" t="str">
        <f>IFERROR(__xludf.DUMMYFUNCTION("""COMPUTED_VALUE"""),"5907615811760")</f>
        <v>5907615811760</v>
      </c>
      <c r="C4007" t="str">
        <f>IFERROR(__xludf.DUMMYFUNCTION("""COMPUTED_VALUE"""),"Steinhof")</f>
        <v>Steinhof</v>
      </c>
    </row>
    <row r="4008">
      <c r="A4008" t="str">
        <f>IFERROR(__xludf.DUMMYFUNCTION("""COMPUTED_VALUE"""),"M-127")</f>
        <v>M-127</v>
      </c>
      <c r="B4008" s="226" t="str">
        <f>IFERROR(__xludf.DUMMYFUNCTION("""COMPUTED_VALUE"""),"5907615811777")</f>
        <v>5907615811777</v>
      </c>
      <c r="C4008" t="str">
        <f>IFERROR(__xludf.DUMMYFUNCTION("""COMPUTED_VALUE"""),"Steinhof")</f>
        <v>Steinhof</v>
      </c>
    </row>
    <row r="4009">
      <c r="A4009" t="str">
        <f>IFERROR(__xludf.DUMMYFUNCTION("""COMPUTED_VALUE"""),"M-127")</f>
        <v>M-127</v>
      </c>
      <c r="B4009" s="226" t="str">
        <f>IFERROR(__xludf.DUMMYFUNCTION("""COMPUTED_VALUE"""),"5907615811777")</f>
        <v>5907615811777</v>
      </c>
      <c r="C4009" t="str">
        <f>IFERROR(__xludf.DUMMYFUNCTION("""COMPUTED_VALUE"""),"Steinhof")</f>
        <v>Steinhof</v>
      </c>
    </row>
    <row r="4010">
      <c r="A4010" t="str">
        <f>IFERROR(__xludf.DUMMYFUNCTION("""COMPUTED_VALUE"""),"M-128")</f>
        <v>M-128</v>
      </c>
      <c r="B4010" s="226" t="str">
        <f>IFERROR(__xludf.DUMMYFUNCTION("""COMPUTED_VALUE"""),"5907615811784")</f>
        <v>5907615811784</v>
      </c>
      <c r="C4010" t="str">
        <f>IFERROR(__xludf.DUMMYFUNCTION("""COMPUTED_VALUE"""),"Steinhof")</f>
        <v>Steinhof</v>
      </c>
    </row>
    <row r="4011">
      <c r="A4011" t="str">
        <f>IFERROR(__xludf.DUMMYFUNCTION("""COMPUTED_VALUE"""),"M-128")</f>
        <v>M-128</v>
      </c>
      <c r="B4011" s="226" t="str">
        <f>IFERROR(__xludf.DUMMYFUNCTION("""COMPUTED_VALUE"""),"5907615811784")</f>
        <v>5907615811784</v>
      </c>
      <c r="C4011" t="str">
        <f>IFERROR(__xludf.DUMMYFUNCTION("""COMPUTED_VALUE"""),"Steinhof")</f>
        <v>Steinhof</v>
      </c>
    </row>
    <row r="4012">
      <c r="A4012" t="str">
        <f>IFERROR(__xludf.DUMMYFUNCTION("""COMPUTED_VALUE"""),"M-128")</f>
        <v>M-128</v>
      </c>
      <c r="B4012" s="226" t="str">
        <f>IFERROR(__xludf.DUMMYFUNCTION("""COMPUTED_VALUE"""),"5907615811784")</f>
        <v>5907615811784</v>
      </c>
      <c r="C4012" t="str">
        <f>IFERROR(__xludf.DUMMYFUNCTION("""COMPUTED_VALUE"""),"Steinhof")</f>
        <v>Steinhof</v>
      </c>
    </row>
    <row r="4013">
      <c r="A4013" t="str">
        <f>IFERROR(__xludf.DUMMYFUNCTION("""COMPUTED_VALUE"""),"M-128")</f>
        <v>M-128</v>
      </c>
      <c r="B4013" s="226" t="str">
        <f>IFERROR(__xludf.DUMMYFUNCTION("""COMPUTED_VALUE"""),"5907615811784")</f>
        <v>5907615811784</v>
      </c>
      <c r="C4013" t="str">
        <f>IFERROR(__xludf.DUMMYFUNCTION("""COMPUTED_VALUE"""),"Steinhof")</f>
        <v>Steinhof</v>
      </c>
    </row>
    <row r="4014">
      <c r="A4014" t="str">
        <f>IFERROR(__xludf.DUMMYFUNCTION("""COMPUTED_VALUE"""),"M-129")</f>
        <v>M-129</v>
      </c>
      <c r="B4014" s="226" t="str">
        <f>IFERROR(__xludf.DUMMYFUNCTION("""COMPUTED_VALUE"""),"5907615811791")</f>
        <v>5907615811791</v>
      </c>
      <c r="C4014" t="str">
        <f>IFERROR(__xludf.DUMMYFUNCTION("""COMPUTED_VALUE"""),"Steinhof")</f>
        <v>Steinhof</v>
      </c>
    </row>
    <row r="4015">
      <c r="A4015" t="str">
        <f>IFERROR(__xludf.DUMMYFUNCTION("""COMPUTED_VALUE"""),"M-129")</f>
        <v>M-129</v>
      </c>
      <c r="B4015" s="226" t="str">
        <f>IFERROR(__xludf.DUMMYFUNCTION("""COMPUTED_VALUE"""),"5907615811791")</f>
        <v>5907615811791</v>
      </c>
      <c r="C4015" t="str">
        <f>IFERROR(__xludf.DUMMYFUNCTION("""COMPUTED_VALUE"""),"Steinhof")</f>
        <v>Steinhof</v>
      </c>
    </row>
    <row r="4016">
      <c r="A4016" t="str">
        <f>IFERROR(__xludf.DUMMYFUNCTION("""COMPUTED_VALUE"""),"M-129")</f>
        <v>M-129</v>
      </c>
      <c r="B4016" s="226" t="str">
        <f>IFERROR(__xludf.DUMMYFUNCTION("""COMPUTED_VALUE"""),"5907615811791")</f>
        <v>5907615811791</v>
      </c>
      <c r="C4016" t="str">
        <f>IFERROR(__xludf.DUMMYFUNCTION("""COMPUTED_VALUE"""),"Steinhof")</f>
        <v>Steinhof</v>
      </c>
    </row>
    <row r="4017">
      <c r="A4017" t="str">
        <f>IFERROR(__xludf.DUMMYFUNCTION("""COMPUTED_VALUE"""),"M-129")</f>
        <v>M-129</v>
      </c>
      <c r="B4017" s="226" t="str">
        <f>IFERROR(__xludf.DUMMYFUNCTION("""COMPUTED_VALUE"""),"5907615811791")</f>
        <v>5907615811791</v>
      </c>
      <c r="C4017" t="str">
        <f>IFERROR(__xludf.DUMMYFUNCTION("""COMPUTED_VALUE"""),"Steinhof")</f>
        <v>Steinhof</v>
      </c>
    </row>
    <row r="4018">
      <c r="A4018" t="str">
        <f>IFERROR(__xludf.DUMMYFUNCTION("""COMPUTED_VALUE"""),"M-131")</f>
        <v>M-131</v>
      </c>
      <c r="B4018" s="226" t="str">
        <f>IFERROR(__xludf.DUMMYFUNCTION("""COMPUTED_VALUE"""),"5907615811814")</f>
        <v>5907615811814</v>
      </c>
      <c r="C4018" t="str">
        <f>IFERROR(__xludf.DUMMYFUNCTION("""COMPUTED_VALUE"""),"Steinhof")</f>
        <v>Steinhof</v>
      </c>
    </row>
    <row r="4019">
      <c r="A4019" t="str">
        <f>IFERROR(__xludf.DUMMYFUNCTION("""COMPUTED_VALUE"""),"M-131")</f>
        <v>M-131</v>
      </c>
      <c r="B4019" s="226" t="str">
        <f>IFERROR(__xludf.DUMMYFUNCTION("""COMPUTED_VALUE"""),"5907615811814")</f>
        <v>5907615811814</v>
      </c>
      <c r="C4019" t="str">
        <f>IFERROR(__xludf.DUMMYFUNCTION("""COMPUTED_VALUE"""),"Steinhof")</f>
        <v>Steinhof</v>
      </c>
    </row>
    <row r="4020">
      <c r="A4020" t="str">
        <f>IFERROR(__xludf.DUMMYFUNCTION("""COMPUTED_VALUE"""),"M-131")</f>
        <v>M-131</v>
      </c>
      <c r="B4020" s="226" t="str">
        <f>IFERROR(__xludf.DUMMYFUNCTION("""COMPUTED_VALUE"""),"5907615811814")</f>
        <v>5907615811814</v>
      </c>
      <c r="C4020" t="str">
        <f>IFERROR(__xludf.DUMMYFUNCTION("""COMPUTED_VALUE"""),"Steinhof")</f>
        <v>Steinhof</v>
      </c>
    </row>
    <row r="4021">
      <c r="A4021" t="str">
        <f>IFERROR(__xludf.DUMMYFUNCTION("""COMPUTED_VALUE"""),"M-131")</f>
        <v>M-131</v>
      </c>
      <c r="B4021" s="226" t="str">
        <f>IFERROR(__xludf.DUMMYFUNCTION("""COMPUTED_VALUE"""),"5907615811814")</f>
        <v>5907615811814</v>
      </c>
      <c r="C4021" t="str">
        <f>IFERROR(__xludf.DUMMYFUNCTION("""COMPUTED_VALUE"""),"Steinhof")</f>
        <v>Steinhof</v>
      </c>
    </row>
    <row r="4022">
      <c r="A4022" t="str">
        <f>IFERROR(__xludf.DUMMYFUNCTION("""COMPUTED_VALUE"""),"M-132")</f>
        <v>M-132</v>
      </c>
      <c r="B4022" s="226" t="str">
        <f>IFERROR(__xludf.DUMMYFUNCTION("""COMPUTED_VALUE"""),"5907615811838")</f>
        <v>5907615811838</v>
      </c>
      <c r="C4022" t="str">
        <f>IFERROR(__xludf.DUMMYFUNCTION("""COMPUTED_VALUE"""),"Steinhof")</f>
        <v>Steinhof</v>
      </c>
    </row>
    <row r="4023">
      <c r="A4023" t="str">
        <f>IFERROR(__xludf.DUMMYFUNCTION("""COMPUTED_VALUE"""),"M-134")</f>
        <v>M-134</v>
      </c>
      <c r="B4023" s="226" t="str">
        <f>IFERROR(__xludf.DUMMYFUNCTION("""COMPUTED_VALUE"""),"5907615811852")</f>
        <v>5907615811852</v>
      </c>
      <c r="C4023" t="str">
        <f>IFERROR(__xludf.DUMMYFUNCTION("""COMPUTED_VALUE"""),"Steinhof")</f>
        <v>Steinhof</v>
      </c>
    </row>
    <row r="4024">
      <c r="A4024" t="str">
        <f>IFERROR(__xludf.DUMMYFUNCTION("""COMPUTED_VALUE"""),"M-134")</f>
        <v>M-134</v>
      </c>
      <c r="B4024" s="226" t="str">
        <f>IFERROR(__xludf.DUMMYFUNCTION("""COMPUTED_VALUE"""),"5907615811852")</f>
        <v>5907615811852</v>
      </c>
      <c r="C4024" t="str">
        <f>IFERROR(__xludf.DUMMYFUNCTION("""COMPUTED_VALUE"""),"Steinhof")</f>
        <v>Steinhof</v>
      </c>
    </row>
    <row r="4025">
      <c r="A4025" t="str">
        <f>IFERROR(__xludf.DUMMYFUNCTION("""COMPUTED_VALUE"""),"M-134")</f>
        <v>M-134</v>
      </c>
      <c r="B4025" s="226" t="str">
        <f>IFERROR(__xludf.DUMMYFUNCTION("""COMPUTED_VALUE"""),"5907615811852")</f>
        <v>5907615811852</v>
      </c>
      <c r="C4025" t="str">
        <f>IFERROR(__xludf.DUMMYFUNCTION("""COMPUTED_VALUE"""),"Steinhof")</f>
        <v>Steinhof</v>
      </c>
    </row>
    <row r="4026">
      <c r="A4026" t="str">
        <f>IFERROR(__xludf.DUMMYFUNCTION("""COMPUTED_VALUE"""),"M-134")</f>
        <v>M-134</v>
      </c>
      <c r="B4026" s="226" t="str">
        <f>IFERROR(__xludf.DUMMYFUNCTION("""COMPUTED_VALUE"""),"5907615811852")</f>
        <v>5907615811852</v>
      </c>
      <c r="C4026" t="str">
        <f>IFERROR(__xludf.DUMMYFUNCTION("""COMPUTED_VALUE"""),"Steinhof")</f>
        <v>Steinhof</v>
      </c>
    </row>
    <row r="4027">
      <c r="A4027" t="str">
        <f>IFERROR(__xludf.DUMMYFUNCTION("""COMPUTED_VALUE"""),"M-135")</f>
        <v>M-135</v>
      </c>
      <c r="B4027" s="226" t="str">
        <f>IFERROR(__xludf.DUMMYFUNCTION("""COMPUTED_VALUE"""),"5907615811869")</f>
        <v>5907615811869</v>
      </c>
      <c r="C4027" t="str">
        <f>IFERROR(__xludf.DUMMYFUNCTION("""COMPUTED_VALUE"""),"Steinhof")</f>
        <v>Steinhof</v>
      </c>
    </row>
    <row r="4028">
      <c r="A4028" t="str">
        <f>IFERROR(__xludf.DUMMYFUNCTION("""COMPUTED_VALUE"""),"M-135")</f>
        <v>M-135</v>
      </c>
      <c r="B4028" s="226" t="str">
        <f>IFERROR(__xludf.DUMMYFUNCTION("""COMPUTED_VALUE"""),"5907615811869")</f>
        <v>5907615811869</v>
      </c>
      <c r="C4028" t="str">
        <f>IFERROR(__xludf.DUMMYFUNCTION("""COMPUTED_VALUE"""),"Steinhof")</f>
        <v>Steinhof</v>
      </c>
    </row>
    <row r="4029">
      <c r="A4029" t="str">
        <f>IFERROR(__xludf.DUMMYFUNCTION("""COMPUTED_VALUE"""),"M-135")</f>
        <v>M-135</v>
      </c>
      <c r="B4029" s="226" t="str">
        <f>IFERROR(__xludf.DUMMYFUNCTION("""COMPUTED_VALUE"""),"5907615811869")</f>
        <v>5907615811869</v>
      </c>
      <c r="C4029" t="str">
        <f>IFERROR(__xludf.DUMMYFUNCTION("""COMPUTED_VALUE"""),"Steinhof")</f>
        <v>Steinhof</v>
      </c>
    </row>
    <row r="4030">
      <c r="A4030" t="str">
        <f>IFERROR(__xludf.DUMMYFUNCTION("""COMPUTED_VALUE"""),"M-135")</f>
        <v>M-135</v>
      </c>
      <c r="B4030" s="226" t="str">
        <f>IFERROR(__xludf.DUMMYFUNCTION("""COMPUTED_VALUE"""),"5907615811869")</f>
        <v>5907615811869</v>
      </c>
      <c r="C4030" t="str">
        <f>IFERROR(__xludf.DUMMYFUNCTION("""COMPUTED_VALUE"""),"Steinhof")</f>
        <v>Steinhof</v>
      </c>
    </row>
    <row r="4031">
      <c r="A4031" t="str">
        <f>IFERROR(__xludf.DUMMYFUNCTION("""COMPUTED_VALUE"""),"M-136")</f>
        <v>M-136</v>
      </c>
      <c r="B4031" s="226" t="str">
        <f>IFERROR(__xludf.DUMMYFUNCTION("""COMPUTED_VALUE"""),"5907615811876")</f>
        <v>5907615811876</v>
      </c>
      <c r="C4031" t="str">
        <f>IFERROR(__xludf.DUMMYFUNCTION("""COMPUTED_VALUE"""),"Steinhof")</f>
        <v>Steinhof</v>
      </c>
    </row>
    <row r="4032">
      <c r="A4032" t="str">
        <f>IFERROR(__xludf.DUMMYFUNCTION("""COMPUTED_VALUE"""),"M-136")</f>
        <v>M-136</v>
      </c>
      <c r="B4032" s="226" t="str">
        <f>IFERROR(__xludf.DUMMYFUNCTION("""COMPUTED_VALUE"""),"5907615811876")</f>
        <v>5907615811876</v>
      </c>
      <c r="C4032" t="str">
        <f>IFERROR(__xludf.DUMMYFUNCTION("""COMPUTED_VALUE"""),"Steinhof")</f>
        <v>Steinhof</v>
      </c>
    </row>
    <row r="4033">
      <c r="A4033" t="str">
        <f>IFERROR(__xludf.DUMMYFUNCTION("""COMPUTED_VALUE"""),"M-137")</f>
        <v>M-137</v>
      </c>
      <c r="B4033" s="226" t="str">
        <f>IFERROR(__xludf.DUMMYFUNCTION("""COMPUTED_VALUE"""),"5907615811883")</f>
        <v>5907615811883</v>
      </c>
      <c r="C4033" t="str">
        <f>IFERROR(__xludf.DUMMYFUNCTION("""COMPUTED_VALUE"""),"Steinhof")</f>
        <v>Steinhof</v>
      </c>
    </row>
    <row r="4034">
      <c r="A4034" t="str">
        <f>IFERROR(__xludf.DUMMYFUNCTION("""COMPUTED_VALUE"""),"M-137")</f>
        <v>M-137</v>
      </c>
      <c r="B4034" s="226" t="str">
        <f>IFERROR(__xludf.DUMMYFUNCTION("""COMPUTED_VALUE"""),"5907615811883")</f>
        <v>5907615811883</v>
      </c>
      <c r="C4034" t="str">
        <f>IFERROR(__xludf.DUMMYFUNCTION("""COMPUTED_VALUE"""),"Steinhof")</f>
        <v>Steinhof</v>
      </c>
    </row>
    <row r="4035">
      <c r="A4035" t="str">
        <f>IFERROR(__xludf.DUMMYFUNCTION("""COMPUTED_VALUE"""),"M-138")</f>
        <v>M-138</v>
      </c>
      <c r="B4035" s="226" t="str">
        <f>IFERROR(__xludf.DUMMYFUNCTION("""COMPUTED_VALUE"""),"5907615811890")</f>
        <v>5907615811890</v>
      </c>
      <c r="C4035" t="str">
        <f>IFERROR(__xludf.DUMMYFUNCTION("""COMPUTED_VALUE"""),"Steinhof")</f>
        <v>Steinhof</v>
      </c>
    </row>
    <row r="4036">
      <c r="A4036" t="str">
        <f>IFERROR(__xludf.DUMMYFUNCTION("""COMPUTED_VALUE"""),"M-138")</f>
        <v>M-138</v>
      </c>
      <c r="B4036" s="226" t="str">
        <f>IFERROR(__xludf.DUMMYFUNCTION("""COMPUTED_VALUE"""),"5907615811890")</f>
        <v>5907615811890</v>
      </c>
      <c r="C4036" t="str">
        <f>IFERROR(__xludf.DUMMYFUNCTION("""COMPUTED_VALUE"""),"Steinhof")</f>
        <v>Steinhof</v>
      </c>
    </row>
    <row r="4037">
      <c r="A4037" t="str">
        <f>IFERROR(__xludf.DUMMYFUNCTION("""COMPUTED_VALUE"""),"M-139")</f>
        <v>M-139</v>
      </c>
      <c r="B4037" s="226" t="str">
        <f>IFERROR(__xludf.DUMMYFUNCTION("""COMPUTED_VALUE"""),"5907615811906")</f>
        <v>5907615811906</v>
      </c>
      <c r="C4037" t="str">
        <f>IFERROR(__xludf.DUMMYFUNCTION("""COMPUTED_VALUE"""),"Steinhof")</f>
        <v>Steinhof</v>
      </c>
    </row>
    <row r="4038">
      <c r="A4038" t="str">
        <f>IFERROR(__xludf.DUMMYFUNCTION("""COMPUTED_VALUE"""),"M-139")</f>
        <v>M-139</v>
      </c>
      <c r="B4038" s="226" t="str">
        <f>IFERROR(__xludf.DUMMYFUNCTION("""COMPUTED_VALUE"""),"5907615811906")</f>
        <v>5907615811906</v>
      </c>
      <c r="C4038" t="str">
        <f>IFERROR(__xludf.DUMMYFUNCTION("""COMPUTED_VALUE"""),"Steinhof")</f>
        <v>Steinhof</v>
      </c>
    </row>
    <row r="4039">
      <c r="A4039" t="str">
        <f>IFERROR(__xludf.DUMMYFUNCTION("""COMPUTED_VALUE"""),"M-140")</f>
        <v>M-140</v>
      </c>
      <c r="B4039" s="226" t="str">
        <f>IFERROR(__xludf.DUMMYFUNCTION("""COMPUTED_VALUE"""),"5907615811913")</f>
        <v>5907615811913</v>
      </c>
      <c r="C4039" t="str">
        <f>IFERROR(__xludf.DUMMYFUNCTION("""COMPUTED_VALUE"""),"Steinhof")</f>
        <v>Steinhof</v>
      </c>
    </row>
    <row r="4040">
      <c r="A4040" t="str">
        <f>IFERROR(__xludf.DUMMYFUNCTION("""COMPUTED_VALUE"""),"M-140")</f>
        <v>M-140</v>
      </c>
      <c r="B4040" s="226" t="str">
        <f>IFERROR(__xludf.DUMMYFUNCTION("""COMPUTED_VALUE"""),"5907615811913")</f>
        <v>5907615811913</v>
      </c>
      <c r="C4040" t="str">
        <f>IFERROR(__xludf.DUMMYFUNCTION("""COMPUTED_VALUE"""),"Steinhof")</f>
        <v>Steinhof</v>
      </c>
    </row>
    <row r="4041">
      <c r="A4041" t="str">
        <f>IFERROR(__xludf.DUMMYFUNCTION("""COMPUTED_VALUE"""),"M-141")</f>
        <v>M-141</v>
      </c>
      <c r="B4041" s="226" t="str">
        <f>IFERROR(__xludf.DUMMYFUNCTION("""COMPUTED_VALUE"""),"5907615811920")</f>
        <v>5907615811920</v>
      </c>
      <c r="C4041" t="str">
        <f>IFERROR(__xludf.DUMMYFUNCTION("""COMPUTED_VALUE"""),"Steinhof")</f>
        <v>Steinhof</v>
      </c>
    </row>
    <row r="4042">
      <c r="A4042" t="str">
        <f>IFERROR(__xludf.DUMMYFUNCTION("""COMPUTED_VALUE"""),"M-141")</f>
        <v>M-141</v>
      </c>
      <c r="B4042" s="226" t="str">
        <f>IFERROR(__xludf.DUMMYFUNCTION("""COMPUTED_VALUE"""),"5907615811920")</f>
        <v>5907615811920</v>
      </c>
      <c r="C4042" t="str">
        <f>IFERROR(__xludf.DUMMYFUNCTION("""COMPUTED_VALUE"""),"Steinhof")</f>
        <v>Steinhof</v>
      </c>
    </row>
    <row r="4043">
      <c r="A4043" t="str">
        <f>IFERROR(__xludf.DUMMYFUNCTION("""COMPUTED_VALUE"""),"M-142")</f>
        <v>M-142</v>
      </c>
      <c r="B4043" s="226" t="str">
        <f>IFERROR(__xludf.DUMMYFUNCTION("""COMPUTED_VALUE"""),"5907615811937")</f>
        <v>5907615811937</v>
      </c>
      <c r="C4043" t="str">
        <f>IFERROR(__xludf.DUMMYFUNCTION("""COMPUTED_VALUE"""),"Steinhof")</f>
        <v>Steinhof</v>
      </c>
    </row>
    <row r="4044">
      <c r="A4044" t="str">
        <f>IFERROR(__xludf.DUMMYFUNCTION("""COMPUTED_VALUE"""),"M-142")</f>
        <v>M-142</v>
      </c>
      <c r="B4044" s="226" t="str">
        <f>IFERROR(__xludf.DUMMYFUNCTION("""COMPUTED_VALUE"""),"5907615811937")</f>
        <v>5907615811937</v>
      </c>
      <c r="C4044" t="str">
        <f>IFERROR(__xludf.DUMMYFUNCTION("""COMPUTED_VALUE"""),"Steinhof")</f>
        <v>Steinhof</v>
      </c>
    </row>
    <row r="4045">
      <c r="A4045" t="str">
        <f>IFERROR(__xludf.DUMMYFUNCTION("""COMPUTED_VALUE"""),"M-142")</f>
        <v>M-142</v>
      </c>
      <c r="B4045" s="226" t="str">
        <f>IFERROR(__xludf.DUMMYFUNCTION("""COMPUTED_VALUE"""),"5907615811937")</f>
        <v>5907615811937</v>
      </c>
      <c r="C4045" t="str">
        <f>IFERROR(__xludf.DUMMYFUNCTION("""COMPUTED_VALUE"""),"Steinhof")</f>
        <v>Steinhof</v>
      </c>
    </row>
    <row r="4046">
      <c r="A4046" t="str">
        <f>IFERROR(__xludf.DUMMYFUNCTION("""COMPUTED_VALUE"""),"M-142")</f>
        <v>M-142</v>
      </c>
      <c r="B4046" s="226" t="str">
        <f>IFERROR(__xludf.DUMMYFUNCTION("""COMPUTED_VALUE"""),"5907615811937")</f>
        <v>5907615811937</v>
      </c>
      <c r="C4046" t="str">
        <f>IFERROR(__xludf.DUMMYFUNCTION("""COMPUTED_VALUE"""),"Steinhof")</f>
        <v>Steinhof</v>
      </c>
    </row>
    <row r="4047">
      <c r="A4047" t="str">
        <f>IFERROR(__xludf.DUMMYFUNCTION("""COMPUTED_VALUE"""),"M-143")</f>
        <v>M-143</v>
      </c>
      <c r="B4047" s="226" t="str">
        <f>IFERROR(__xludf.DUMMYFUNCTION("""COMPUTED_VALUE"""),"5907615811944")</f>
        <v>5907615811944</v>
      </c>
      <c r="C4047" t="str">
        <f>IFERROR(__xludf.DUMMYFUNCTION("""COMPUTED_VALUE"""),"Steinhof")</f>
        <v>Steinhof</v>
      </c>
    </row>
    <row r="4048">
      <c r="A4048" t="str">
        <f>IFERROR(__xludf.DUMMYFUNCTION("""COMPUTED_VALUE"""),"M-143")</f>
        <v>M-143</v>
      </c>
      <c r="B4048" s="226" t="str">
        <f>IFERROR(__xludf.DUMMYFUNCTION("""COMPUTED_VALUE"""),"5907615811944")</f>
        <v>5907615811944</v>
      </c>
      <c r="C4048" t="str">
        <f>IFERROR(__xludf.DUMMYFUNCTION("""COMPUTED_VALUE"""),"Steinhof")</f>
        <v>Steinhof</v>
      </c>
    </row>
    <row r="4049">
      <c r="A4049" t="str">
        <f>IFERROR(__xludf.DUMMYFUNCTION("""COMPUTED_VALUE"""),"M-143")</f>
        <v>M-143</v>
      </c>
      <c r="B4049" s="226" t="str">
        <f>IFERROR(__xludf.DUMMYFUNCTION("""COMPUTED_VALUE"""),"5907615811944")</f>
        <v>5907615811944</v>
      </c>
      <c r="C4049" t="str">
        <f>IFERROR(__xludf.DUMMYFUNCTION("""COMPUTED_VALUE"""),"Steinhof")</f>
        <v>Steinhof</v>
      </c>
    </row>
    <row r="4050">
      <c r="A4050" t="str">
        <f>IFERROR(__xludf.DUMMYFUNCTION("""COMPUTED_VALUE"""),"M-143")</f>
        <v>M-143</v>
      </c>
      <c r="B4050" s="226" t="str">
        <f>IFERROR(__xludf.DUMMYFUNCTION("""COMPUTED_VALUE"""),"5907615811944")</f>
        <v>5907615811944</v>
      </c>
      <c r="C4050" t="str">
        <f>IFERROR(__xludf.DUMMYFUNCTION("""COMPUTED_VALUE"""),"Steinhof")</f>
        <v>Steinhof</v>
      </c>
    </row>
    <row r="4051">
      <c r="A4051" t="str">
        <f>IFERROR(__xludf.DUMMYFUNCTION("""COMPUTED_VALUE"""),"M-144")</f>
        <v>M-144</v>
      </c>
      <c r="B4051" s="226" t="str">
        <f>IFERROR(__xludf.DUMMYFUNCTION("""COMPUTED_VALUE"""),"5907615811951")</f>
        <v>5907615811951</v>
      </c>
      <c r="C4051" t="str">
        <f>IFERROR(__xludf.DUMMYFUNCTION("""COMPUTED_VALUE"""),"Steinhof")</f>
        <v>Steinhof</v>
      </c>
    </row>
    <row r="4052">
      <c r="A4052" t="str">
        <f>IFERROR(__xludf.DUMMYFUNCTION("""COMPUTED_VALUE"""),"M-144")</f>
        <v>M-144</v>
      </c>
      <c r="B4052" s="226" t="str">
        <f>IFERROR(__xludf.DUMMYFUNCTION("""COMPUTED_VALUE"""),"5907615811951")</f>
        <v>5907615811951</v>
      </c>
      <c r="C4052" t="str">
        <f>IFERROR(__xludf.DUMMYFUNCTION("""COMPUTED_VALUE"""),"Steinhof")</f>
        <v>Steinhof</v>
      </c>
    </row>
    <row r="4053">
      <c r="A4053" t="str">
        <f>IFERROR(__xludf.DUMMYFUNCTION("""COMPUTED_VALUE"""),"M-145")</f>
        <v>M-145</v>
      </c>
      <c r="B4053" s="226" t="str">
        <f>IFERROR(__xludf.DUMMYFUNCTION("""COMPUTED_VALUE"""),"5907615811968")</f>
        <v>5907615811968</v>
      </c>
      <c r="C4053" t="str">
        <f>IFERROR(__xludf.DUMMYFUNCTION("""COMPUTED_VALUE"""),"Steinhof")</f>
        <v>Steinhof</v>
      </c>
    </row>
    <row r="4054">
      <c r="A4054" t="str">
        <f>IFERROR(__xludf.DUMMYFUNCTION("""COMPUTED_VALUE"""),"M-145")</f>
        <v>M-145</v>
      </c>
      <c r="B4054" s="226" t="str">
        <f>IFERROR(__xludf.DUMMYFUNCTION("""COMPUTED_VALUE"""),"5907615811968")</f>
        <v>5907615811968</v>
      </c>
      <c r="C4054" t="str">
        <f>IFERROR(__xludf.DUMMYFUNCTION("""COMPUTED_VALUE"""),"Steinhof")</f>
        <v>Steinhof</v>
      </c>
    </row>
    <row r="4055">
      <c r="A4055" t="str">
        <f>IFERROR(__xludf.DUMMYFUNCTION("""COMPUTED_VALUE"""),"M-146")</f>
        <v>M-146</v>
      </c>
      <c r="B4055" s="226" t="str">
        <f>IFERROR(__xludf.DUMMYFUNCTION("""COMPUTED_VALUE"""),"5907615811975")</f>
        <v>5907615811975</v>
      </c>
      <c r="C4055" t="str">
        <f>IFERROR(__xludf.DUMMYFUNCTION("""COMPUTED_VALUE"""),"Steinhof")</f>
        <v>Steinhof</v>
      </c>
    </row>
    <row r="4056">
      <c r="A4056" t="str">
        <f>IFERROR(__xludf.DUMMYFUNCTION("""COMPUTED_VALUE"""),"M-146")</f>
        <v>M-146</v>
      </c>
      <c r="B4056" s="226" t="str">
        <f>IFERROR(__xludf.DUMMYFUNCTION("""COMPUTED_VALUE"""),"5907615811975")</f>
        <v>5907615811975</v>
      </c>
      <c r="C4056" t="str">
        <f>IFERROR(__xludf.DUMMYFUNCTION("""COMPUTED_VALUE"""),"Steinhof")</f>
        <v>Steinhof</v>
      </c>
    </row>
    <row r="4057">
      <c r="A4057" t="str">
        <f>IFERROR(__xludf.DUMMYFUNCTION("""COMPUTED_VALUE"""),"M-147")</f>
        <v>M-147</v>
      </c>
      <c r="B4057" s="226" t="str">
        <f>IFERROR(__xludf.DUMMYFUNCTION("""COMPUTED_VALUE"""),"5907615811982")</f>
        <v>5907615811982</v>
      </c>
      <c r="C4057" t="str">
        <f>IFERROR(__xludf.DUMMYFUNCTION("""COMPUTED_VALUE"""),"Steinhof")</f>
        <v>Steinhof</v>
      </c>
    </row>
    <row r="4058">
      <c r="A4058" t="str">
        <f>IFERROR(__xludf.DUMMYFUNCTION("""COMPUTED_VALUE"""),"M-147")</f>
        <v>M-147</v>
      </c>
      <c r="B4058" s="226" t="str">
        <f>IFERROR(__xludf.DUMMYFUNCTION("""COMPUTED_VALUE"""),"5907615811982")</f>
        <v>5907615811982</v>
      </c>
      <c r="C4058" t="str">
        <f>IFERROR(__xludf.DUMMYFUNCTION("""COMPUTED_VALUE"""),"Steinhof")</f>
        <v>Steinhof</v>
      </c>
    </row>
    <row r="4059">
      <c r="A4059" t="str">
        <f>IFERROR(__xludf.DUMMYFUNCTION("""COMPUTED_VALUE"""),"M-148")</f>
        <v>M-148</v>
      </c>
      <c r="B4059" s="226" t="str">
        <f>IFERROR(__xludf.DUMMYFUNCTION("""COMPUTED_VALUE"""),"5907615811999")</f>
        <v>5907615811999</v>
      </c>
      <c r="C4059" t="str">
        <f>IFERROR(__xludf.DUMMYFUNCTION("""COMPUTED_VALUE"""),"Steinhof")</f>
        <v>Steinhof</v>
      </c>
    </row>
    <row r="4060">
      <c r="A4060" t="str">
        <f>IFERROR(__xludf.DUMMYFUNCTION("""COMPUTED_VALUE"""),"M-148")</f>
        <v>M-148</v>
      </c>
      <c r="B4060" s="226" t="str">
        <f>IFERROR(__xludf.DUMMYFUNCTION("""COMPUTED_VALUE"""),"5907615811999")</f>
        <v>5907615811999</v>
      </c>
      <c r="C4060" t="str">
        <f>IFERROR(__xludf.DUMMYFUNCTION("""COMPUTED_VALUE"""),"Steinhof")</f>
        <v>Steinhof</v>
      </c>
    </row>
    <row r="4061">
      <c r="A4061" t="str">
        <f>IFERROR(__xludf.DUMMYFUNCTION("""COMPUTED_VALUE"""),"M-149")</f>
        <v>M-149</v>
      </c>
      <c r="B4061" s="226" t="str">
        <f>IFERROR(__xludf.DUMMYFUNCTION("""COMPUTED_VALUE"""),"5907615812002")</f>
        <v>5907615812002</v>
      </c>
      <c r="C4061" t="str">
        <f>IFERROR(__xludf.DUMMYFUNCTION("""COMPUTED_VALUE"""),"Steinhof")</f>
        <v>Steinhof</v>
      </c>
    </row>
    <row r="4062">
      <c r="A4062" t="str">
        <f>IFERROR(__xludf.DUMMYFUNCTION("""COMPUTED_VALUE"""),"M-149")</f>
        <v>M-149</v>
      </c>
      <c r="B4062" s="226" t="str">
        <f>IFERROR(__xludf.DUMMYFUNCTION("""COMPUTED_VALUE"""),"5907615812002")</f>
        <v>5907615812002</v>
      </c>
      <c r="C4062" t="str">
        <f>IFERROR(__xludf.DUMMYFUNCTION("""COMPUTED_VALUE"""),"Steinhof")</f>
        <v>Steinhof</v>
      </c>
    </row>
    <row r="4063">
      <c r="A4063" t="str">
        <f>IFERROR(__xludf.DUMMYFUNCTION("""COMPUTED_VALUE"""),"M-150")</f>
        <v>M-150</v>
      </c>
      <c r="B4063" s="226" t="str">
        <f>IFERROR(__xludf.DUMMYFUNCTION("""COMPUTED_VALUE"""),"5907615812026")</f>
        <v>5907615812026</v>
      </c>
      <c r="C4063" t="str">
        <f>IFERROR(__xludf.DUMMYFUNCTION("""COMPUTED_VALUE"""),"Steinhof")</f>
        <v>Steinhof</v>
      </c>
    </row>
    <row r="4064">
      <c r="A4064" t="str">
        <f>IFERROR(__xludf.DUMMYFUNCTION("""COMPUTED_VALUE"""),"M-150")</f>
        <v>M-150</v>
      </c>
      <c r="B4064" s="226" t="str">
        <f>IFERROR(__xludf.DUMMYFUNCTION("""COMPUTED_VALUE"""),"5907615812026")</f>
        <v>5907615812026</v>
      </c>
      <c r="C4064" t="str">
        <f>IFERROR(__xludf.DUMMYFUNCTION("""COMPUTED_VALUE"""),"Steinhof")</f>
        <v>Steinhof</v>
      </c>
    </row>
    <row r="4065">
      <c r="A4065" t="str">
        <f>IFERROR(__xludf.DUMMYFUNCTION("""COMPUTED_VALUE"""),"M-150")</f>
        <v>M-150</v>
      </c>
      <c r="B4065" s="226" t="str">
        <f>IFERROR(__xludf.DUMMYFUNCTION("""COMPUTED_VALUE"""),"5907615812026")</f>
        <v>5907615812026</v>
      </c>
      <c r="C4065" t="str">
        <f>IFERROR(__xludf.DUMMYFUNCTION("""COMPUTED_VALUE"""),"Steinhof")</f>
        <v>Steinhof</v>
      </c>
    </row>
    <row r="4066">
      <c r="A4066" t="str">
        <f>IFERROR(__xludf.DUMMYFUNCTION("""COMPUTED_VALUE"""),"M-150")</f>
        <v>M-150</v>
      </c>
      <c r="B4066" s="226" t="str">
        <f>IFERROR(__xludf.DUMMYFUNCTION("""COMPUTED_VALUE"""),"5907615812026")</f>
        <v>5907615812026</v>
      </c>
      <c r="C4066" t="str">
        <f>IFERROR(__xludf.DUMMYFUNCTION("""COMPUTED_VALUE"""),"Steinhof")</f>
        <v>Steinhof</v>
      </c>
    </row>
    <row r="4067">
      <c r="A4067" t="str">
        <f>IFERROR(__xludf.DUMMYFUNCTION("""COMPUTED_VALUE"""),"M-150")</f>
        <v>M-150</v>
      </c>
      <c r="B4067" s="226" t="str">
        <f>IFERROR(__xludf.DUMMYFUNCTION("""COMPUTED_VALUE"""),"5907615812026")</f>
        <v>5907615812026</v>
      </c>
      <c r="C4067" t="str">
        <f>IFERROR(__xludf.DUMMYFUNCTION("""COMPUTED_VALUE"""),"Steinhof")</f>
        <v>Steinhof</v>
      </c>
    </row>
    <row r="4068">
      <c r="A4068" t="str">
        <f>IFERROR(__xludf.DUMMYFUNCTION("""COMPUTED_VALUE"""),"M-151")</f>
        <v>M-151</v>
      </c>
      <c r="B4068" s="226" t="str">
        <f>IFERROR(__xludf.DUMMYFUNCTION("""COMPUTED_VALUE"""),"5907615812033")</f>
        <v>5907615812033</v>
      </c>
      <c r="C4068" t="str">
        <f>IFERROR(__xludf.DUMMYFUNCTION("""COMPUTED_VALUE"""),"Steinhof")</f>
        <v>Steinhof</v>
      </c>
    </row>
    <row r="4069">
      <c r="A4069" t="str">
        <f>IFERROR(__xludf.DUMMYFUNCTION("""COMPUTED_VALUE"""),"M-151")</f>
        <v>M-151</v>
      </c>
      <c r="B4069" s="226" t="str">
        <f>IFERROR(__xludf.DUMMYFUNCTION("""COMPUTED_VALUE"""),"5907615812033")</f>
        <v>5907615812033</v>
      </c>
      <c r="C4069" t="str">
        <f>IFERROR(__xludf.DUMMYFUNCTION("""COMPUTED_VALUE"""),"Steinhof")</f>
        <v>Steinhof</v>
      </c>
    </row>
    <row r="4070">
      <c r="A4070" t="str">
        <f>IFERROR(__xludf.DUMMYFUNCTION("""COMPUTED_VALUE"""),"M-151")</f>
        <v>M-151</v>
      </c>
      <c r="B4070" s="226" t="str">
        <f>IFERROR(__xludf.DUMMYFUNCTION("""COMPUTED_VALUE"""),"5907615812033")</f>
        <v>5907615812033</v>
      </c>
      <c r="C4070" t="str">
        <f>IFERROR(__xludf.DUMMYFUNCTION("""COMPUTED_VALUE"""),"Steinhof")</f>
        <v>Steinhof</v>
      </c>
    </row>
    <row r="4071">
      <c r="A4071" t="str">
        <f>IFERROR(__xludf.DUMMYFUNCTION("""COMPUTED_VALUE"""),"M-151")</f>
        <v>M-151</v>
      </c>
      <c r="B4071" s="226" t="str">
        <f>IFERROR(__xludf.DUMMYFUNCTION("""COMPUTED_VALUE"""),"5907615812033")</f>
        <v>5907615812033</v>
      </c>
      <c r="C4071" t="str">
        <f>IFERROR(__xludf.DUMMYFUNCTION("""COMPUTED_VALUE"""),"Steinhof")</f>
        <v>Steinhof</v>
      </c>
    </row>
    <row r="4072">
      <c r="A4072" t="str">
        <f>IFERROR(__xludf.DUMMYFUNCTION("""COMPUTED_VALUE"""),"M-151")</f>
        <v>M-151</v>
      </c>
      <c r="B4072" s="226" t="str">
        <f>IFERROR(__xludf.DUMMYFUNCTION("""COMPUTED_VALUE"""),"5907615812033")</f>
        <v>5907615812033</v>
      </c>
      <c r="C4072" t="str">
        <f>IFERROR(__xludf.DUMMYFUNCTION("""COMPUTED_VALUE"""),"Steinhof")</f>
        <v>Steinhof</v>
      </c>
    </row>
    <row r="4073">
      <c r="A4073" t="str">
        <f>IFERROR(__xludf.DUMMYFUNCTION("""COMPUTED_VALUE"""),"M-152")</f>
        <v>M-152</v>
      </c>
      <c r="B4073" s="226" t="str">
        <f>IFERROR(__xludf.DUMMYFUNCTION("""COMPUTED_VALUE"""),"5907615812040")</f>
        <v>5907615812040</v>
      </c>
      <c r="C4073" t="str">
        <f>IFERROR(__xludf.DUMMYFUNCTION("""COMPUTED_VALUE"""),"Steinhof")</f>
        <v>Steinhof</v>
      </c>
    </row>
    <row r="4074">
      <c r="A4074" t="str">
        <f>IFERROR(__xludf.DUMMYFUNCTION("""COMPUTED_VALUE"""),"M-153")</f>
        <v>M-153</v>
      </c>
      <c r="B4074" s="226" t="str">
        <f>IFERROR(__xludf.DUMMYFUNCTION("""COMPUTED_VALUE"""),"5907615812057")</f>
        <v>5907615812057</v>
      </c>
      <c r="C4074" t="str">
        <f>IFERROR(__xludf.DUMMYFUNCTION("""COMPUTED_VALUE"""),"Steinhof")</f>
        <v>Steinhof</v>
      </c>
    </row>
    <row r="4075">
      <c r="A4075" t="str">
        <f>IFERROR(__xludf.DUMMYFUNCTION("""COMPUTED_VALUE"""),"M-154")</f>
        <v>M-154</v>
      </c>
      <c r="B4075" s="226" t="str">
        <f>IFERROR(__xludf.DUMMYFUNCTION("""COMPUTED_VALUE"""),"5907615812064")</f>
        <v>5907615812064</v>
      </c>
      <c r="C4075" t="str">
        <f>IFERROR(__xludf.DUMMYFUNCTION("""COMPUTED_VALUE"""),"Steinhof")</f>
        <v>Steinhof</v>
      </c>
    </row>
    <row r="4076">
      <c r="A4076" t="str">
        <f>IFERROR(__xludf.DUMMYFUNCTION("""COMPUTED_VALUE"""),"M-155")</f>
        <v>M-155</v>
      </c>
      <c r="B4076" s="226" t="str">
        <f>IFERROR(__xludf.DUMMYFUNCTION("""COMPUTED_VALUE"""),"5907615812071")</f>
        <v>5907615812071</v>
      </c>
      <c r="C4076" t="str">
        <f>IFERROR(__xludf.DUMMYFUNCTION("""COMPUTED_VALUE"""),"Steinhof")</f>
        <v>Steinhof</v>
      </c>
    </row>
    <row r="4077">
      <c r="A4077" t="str">
        <f>IFERROR(__xludf.DUMMYFUNCTION("""COMPUTED_VALUE"""),"M-156")</f>
        <v>M-156</v>
      </c>
      <c r="B4077" s="226" t="str">
        <f>IFERROR(__xludf.DUMMYFUNCTION("""COMPUTED_VALUE"""),"5907615812088")</f>
        <v>5907615812088</v>
      </c>
      <c r="C4077" t="str">
        <f>IFERROR(__xludf.DUMMYFUNCTION("""COMPUTED_VALUE"""),"Steinhof")</f>
        <v>Steinhof</v>
      </c>
    </row>
    <row r="4078">
      <c r="A4078" t="str">
        <f>IFERROR(__xludf.DUMMYFUNCTION("""COMPUTED_VALUE"""),"M-221")</f>
        <v>M-221</v>
      </c>
      <c r="B4078" s="226" t="str">
        <f>IFERROR(__xludf.DUMMYFUNCTION("""COMPUTED_VALUE"""),"5907615812415")</f>
        <v>5907615812415</v>
      </c>
      <c r="C4078" t="str">
        <f>IFERROR(__xludf.DUMMYFUNCTION("""COMPUTED_VALUE"""),"Steinhof")</f>
        <v>Steinhof</v>
      </c>
    </row>
    <row r="4079">
      <c r="A4079" t="str">
        <f>IFERROR(__xludf.DUMMYFUNCTION("""COMPUTED_VALUE"""),"M-221")</f>
        <v>M-221</v>
      </c>
      <c r="B4079" s="226" t="str">
        <f>IFERROR(__xludf.DUMMYFUNCTION("""COMPUTED_VALUE"""),"5907615812415")</f>
        <v>5907615812415</v>
      </c>
      <c r="C4079" t="str">
        <f>IFERROR(__xludf.DUMMYFUNCTION("""COMPUTED_VALUE"""),"Steinhof")</f>
        <v>Steinhof</v>
      </c>
    </row>
    <row r="4080">
      <c r="A4080" t="str">
        <f>IFERROR(__xludf.DUMMYFUNCTION("""COMPUTED_VALUE"""),"M-221")</f>
        <v>M-221</v>
      </c>
      <c r="B4080" s="226" t="str">
        <f>IFERROR(__xludf.DUMMYFUNCTION("""COMPUTED_VALUE"""),"5907615812415")</f>
        <v>5907615812415</v>
      </c>
      <c r="C4080" t="str">
        <f>IFERROR(__xludf.DUMMYFUNCTION("""COMPUTED_VALUE"""),"Steinhof")</f>
        <v>Steinhof</v>
      </c>
    </row>
    <row r="4081">
      <c r="A4081" t="str">
        <f>IFERROR(__xludf.DUMMYFUNCTION("""COMPUTED_VALUE"""),"M-221")</f>
        <v>M-221</v>
      </c>
      <c r="B4081" s="226" t="str">
        <f>IFERROR(__xludf.DUMMYFUNCTION("""COMPUTED_VALUE"""),"5907615812415")</f>
        <v>5907615812415</v>
      </c>
      <c r="C4081" t="str">
        <f>IFERROR(__xludf.DUMMYFUNCTION("""COMPUTED_VALUE"""),"Steinhof")</f>
        <v>Steinhof</v>
      </c>
    </row>
    <row r="4082">
      <c r="A4082" t="str">
        <f>IFERROR(__xludf.DUMMYFUNCTION("""COMPUTED_VALUE"""),"M-221")</f>
        <v>M-221</v>
      </c>
      <c r="B4082" s="226" t="str">
        <f>IFERROR(__xludf.DUMMYFUNCTION("""COMPUTED_VALUE"""),"5907615812415")</f>
        <v>5907615812415</v>
      </c>
      <c r="C4082" t="str">
        <f>IFERROR(__xludf.DUMMYFUNCTION("""COMPUTED_VALUE"""),"Steinhof")</f>
        <v>Steinhof</v>
      </c>
    </row>
    <row r="4083">
      <c r="A4083" t="str">
        <f>IFERROR(__xludf.DUMMYFUNCTION("""COMPUTED_VALUE"""),"M-221")</f>
        <v>M-221</v>
      </c>
      <c r="B4083" s="226" t="str">
        <f>IFERROR(__xludf.DUMMYFUNCTION("""COMPUTED_VALUE"""),"5907615812415")</f>
        <v>5907615812415</v>
      </c>
      <c r="C4083" t="str">
        <f>IFERROR(__xludf.DUMMYFUNCTION("""COMPUTED_VALUE"""),"Steinhof")</f>
        <v>Steinhof</v>
      </c>
    </row>
    <row r="4084">
      <c r="A4084" t="str">
        <f>IFERROR(__xludf.DUMMYFUNCTION("""COMPUTED_VALUE"""),"M-221")</f>
        <v>M-221</v>
      </c>
      <c r="B4084" s="226" t="str">
        <f>IFERROR(__xludf.DUMMYFUNCTION("""COMPUTED_VALUE"""),"5907615812415")</f>
        <v>5907615812415</v>
      </c>
      <c r="C4084" t="str">
        <f>IFERROR(__xludf.DUMMYFUNCTION("""COMPUTED_VALUE"""),"Steinhof")</f>
        <v>Steinhof</v>
      </c>
    </row>
    <row r="4085">
      <c r="A4085" t="str">
        <f>IFERROR(__xludf.DUMMYFUNCTION("""COMPUTED_VALUE"""),"M-221")</f>
        <v>M-221</v>
      </c>
      <c r="B4085" s="226" t="str">
        <f>IFERROR(__xludf.DUMMYFUNCTION("""COMPUTED_VALUE"""),"5907615812415")</f>
        <v>5907615812415</v>
      </c>
      <c r="C4085" t="str">
        <f>IFERROR(__xludf.DUMMYFUNCTION("""COMPUTED_VALUE"""),"Steinhof")</f>
        <v>Steinhof</v>
      </c>
    </row>
    <row r="4086">
      <c r="A4086" t="str">
        <f>IFERROR(__xludf.DUMMYFUNCTION("""COMPUTED_VALUE"""),"M-222")</f>
        <v>M-222</v>
      </c>
      <c r="B4086" s="226" t="str">
        <f>IFERROR(__xludf.DUMMYFUNCTION("""COMPUTED_VALUE"""),"5907615812422")</f>
        <v>5907615812422</v>
      </c>
      <c r="C4086" t="str">
        <f>IFERROR(__xludf.DUMMYFUNCTION("""COMPUTED_VALUE"""),"Steinhof")</f>
        <v>Steinhof</v>
      </c>
    </row>
    <row r="4087">
      <c r="A4087" t="str">
        <f>IFERROR(__xludf.DUMMYFUNCTION("""COMPUTED_VALUE"""),"M-222")</f>
        <v>M-222</v>
      </c>
      <c r="B4087" s="226" t="str">
        <f>IFERROR(__xludf.DUMMYFUNCTION("""COMPUTED_VALUE"""),"5907615812422")</f>
        <v>5907615812422</v>
      </c>
      <c r="C4087" t="str">
        <f>IFERROR(__xludf.DUMMYFUNCTION("""COMPUTED_VALUE"""),"Steinhof")</f>
        <v>Steinhof</v>
      </c>
    </row>
    <row r="4088">
      <c r="A4088" t="str">
        <f>IFERROR(__xludf.DUMMYFUNCTION("""COMPUTED_VALUE"""),"M-223")</f>
        <v>M-223</v>
      </c>
      <c r="B4088" s="226" t="str">
        <f>IFERROR(__xludf.DUMMYFUNCTION("""COMPUTED_VALUE"""),"5907615812439")</f>
        <v>5907615812439</v>
      </c>
      <c r="C4088" t="str">
        <f>IFERROR(__xludf.DUMMYFUNCTION("""COMPUTED_VALUE"""),"Steinhof")</f>
        <v>Steinhof</v>
      </c>
    </row>
    <row r="4089">
      <c r="A4089" t="str">
        <f>IFERROR(__xludf.DUMMYFUNCTION("""COMPUTED_VALUE"""),"M-223")</f>
        <v>M-223</v>
      </c>
      <c r="B4089" s="226" t="str">
        <f>IFERROR(__xludf.DUMMYFUNCTION("""COMPUTED_VALUE"""),"5907615812439")</f>
        <v>5907615812439</v>
      </c>
      <c r="C4089" t="str">
        <f>IFERROR(__xludf.DUMMYFUNCTION("""COMPUTED_VALUE"""),"Steinhof")</f>
        <v>Steinhof</v>
      </c>
    </row>
    <row r="4090">
      <c r="A4090" t="str">
        <f>IFERROR(__xludf.DUMMYFUNCTION("""COMPUTED_VALUE"""),"M-223")</f>
        <v>M-223</v>
      </c>
      <c r="B4090" s="226" t="str">
        <f>IFERROR(__xludf.DUMMYFUNCTION("""COMPUTED_VALUE"""),"5907615812439")</f>
        <v>5907615812439</v>
      </c>
      <c r="C4090" t="str">
        <f>IFERROR(__xludf.DUMMYFUNCTION("""COMPUTED_VALUE"""),"Steinhof")</f>
        <v>Steinhof</v>
      </c>
    </row>
    <row r="4091">
      <c r="A4091" t="str">
        <f>IFERROR(__xludf.DUMMYFUNCTION("""COMPUTED_VALUE"""),"M-223")</f>
        <v>M-223</v>
      </c>
      <c r="B4091" s="226" t="str">
        <f>IFERROR(__xludf.DUMMYFUNCTION("""COMPUTED_VALUE"""),"5907615812439")</f>
        <v>5907615812439</v>
      </c>
      <c r="C4091" t="str">
        <f>IFERROR(__xludf.DUMMYFUNCTION("""COMPUTED_VALUE"""),"Steinhof")</f>
        <v>Steinhof</v>
      </c>
    </row>
    <row r="4092">
      <c r="A4092" t="str">
        <f>IFERROR(__xludf.DUMMYFUNCTION("""COMPUTED_VALUE"""),"M-223")</f>
        <v>M-223</v>
      </c>
      <c r="B4092" s="226" t="str">
        <f>IFERROR(__xludf.DUMMYFUNCTION("""COMPUTED_VALUE"""),"5907615812439")</f>
        <v>5907615812439</v>
      </c>
      <c r="C4092" t="str">
        <f>IFERROR(__xludf.DUMMYFUNCTION("""COMPUTED_VALUE"""),"Steinhof")</f>
        <v>Steinhof</v>
      </c>
    </row>
    <row r="4093">
      <c r="A4093" t="str">
        <f>IFERROR(__xludf.DUMMYFUNCTION("""COMPUTED_VALUE"""),"M-223")</f>
        <v>M-223</v>
      </c>
      <c r="B4093" s="226" t="str">
        <f>IFERROR(__xludf.DUMMYFUNCTION("""COMPUTED_VALUE"""),"5907615812439")</f>
        <v>5907615812439</v>
      </c>
      <c r="C4093" t="str">
        <f>IFERROR(__xludf.DUMMYFUNCTION("""COMPUTED_VALUE"""),"Steinhof")</f>
        <v>Steinhof</v>
      </c>
    </row>
    <row r="4094">
      <c r="A4094" t="str">
        <f>IFERROR(__xludf.DUMMYFUNCTION("""COMPUTED_VALUE"""),"M-223")</f>
        <v>M-223</v>
      </c>
      <c r="B4094" s="226" t="str">
        <f>IFERROR(__xludf.DUMMYFUNCTION("""COMPUTED_VALUE"""),"5907615812439")</f>
        <v>5907615812439</v>
      </c>
      <c r="C4094" t="str">
        <f>IFERROR(__xludf.DUMMYFUNCTION("""COMPUTED_VALUE"""),"Steinhof")</f>
        <v>Steinhof</v>
      </c>
    </row>
    <row r="4095">
      <c r="A4095" t="str">
        <f>IFERROR(__xludf.DUMMYFUNCTION("""COMPUTED_VALUE"""),"M-223")</f>
        <v>M-223</v>
      </c>
      <c r="B4095" s="226" t="str">
        <f>IFERROR(__xludf.DUMMYFUNCTION("""COMPUTED_VALUE"""),"5907615812439")</f>
        <v>5907615812439</v>
      </c>
      <c r="C4095" t="str">
        <f>IFERROR(__xludf.DUMMYFUNCTION("""COMPUTED_VALUE"""),"Steinhof")</f>
        <v>Steinhof</v>
      </c>
    </row>
    <row r="4096">
      <c r="A4096" t="str">
        <f>IFERROR(__xludf.DUMMYFUNCTION("""COMPUTED_VALUE"""),"M-225")</f>
        <v>M-225</v>
      </c>
      <c r="B4096" s="226" t="str">
        <f>IFERROR(__xludf.DUMMYFUNCTION("""COMPUTED_VALUE"""),"5907615812453")</f>
        <v>5907615812453</v>
      </c>
      <c r="C4096" t="str">
        <f>IFERROR(__xludf.DUMMYFUNCTION("""COMPUTED_VALUE"""),"Steinhof")</f>
        <v>Steinhof</v>
      </c>
    </row>
    <row r="4097">
      <c r="A4097" t="str">
        <f>IFERROR(__xludf.DUMMYFUNCTION("""COMPUTED_VALUE"""),"M-225")</f>
        <v>M-225</v>
      </c>
      <c r="B4097" s="226" t="str">
        <f>IFERROR(__xludf.DUMMYFUNCTION("""COMPUTED_VALUE"""),"5907615812453")</f>
        <v>5907615812453</v>
      </c>
      <c r="C4097" t="str">
        <f>IFERROR(__xludf.DUMMYFUNCTION("""COMPUTED_VALUE"""),"Steinhof")</f>
        <v>Steinhof</v>
      </c>
    </row>
    <row r="4098">
      <c r="A4098" t="str">
        <f>IFERROR(__xludf.DUMMYFUNCTION("""COMPUTED_VALUE"""),"M-226")</f>
        <v>M-226</v>
      </c>
      <c r="B4098" s="226" t="str">
        <f>IFERROR(__xludf.DUMMYFUNCTION("""COMPUTED_VALUE"""),"5907615812460")</f>
        <v>5907615812460</v>
      </c>
      <c r="C4098" t="str">
        <f>IFERROR(__xludf.DUMMYFUNCTION("""COMPUTED_VALUE"""),"Steinhof")</f>
        <v>Steinhof</v>
      </c>
    </row>
    <row r="4099">
      <c r="A4099" t="str">
        <f>IFERROR(__xludf.DUMMYFUNCTION("""COMPUTED_VALUE"""),"M-226")</f>
        <v>M-226</v>
      </c>
      <c r="B4099" s="226" t="str">
        <f>IFERROR(__xludf.DUMMYFUNCTION("""COMPUTED_VALUE"""),"5907615812460")</f>
        <v>5907615812460</v>
      </c>
      <c r="C4099" t="str">
        <f>IFERROR(__xludf.DUMMYFUNCTION("""COMPUTED_VALUE"""),"Steinhof")</f>
        <v>Steinhof</v>
      </c>
    </row>
    <row r="4100">
      <c r="A4100" t="str">
        <f>IFERROR(__xludf.DUMMYFUNCTION("""COMPUTED_VALUE"""),"M-226")</f>
        <v>M-226</v>
      </c>
      <c r="B4100" s="226" t="str">
        <f>IFERROR(__xludf.DUMMYFUNCTION("""COMPUTED_VALUE"""),"5907615812460")</f>
        <v>5907615812460</v>
      </c>
      <c r="C4100" t="str">
        <f>IFERROR(__xludf.DUMMYFUNCTION("""COMPUTED_VALUE"""),"Steinhof")</f>
        <v>Steinhof</v>
      </c>
    </row>
    <row r="4101">
      <c r="A4101" t="str">
        <f>IFERROR(__xludf.DUMMYFUNCTION("""COMPUTED_VALUE"""),"M-226")</f>
        <v>M-226</v>
      </c>
      <c r="B4101" s="226" t="str">
        <f>IFERROR(__xludf.DUMMYFUNCTION("""COMPUTED_VALUE"""),"5907615812460")</f>
        <v>5907615812460</v>
      </c>
      <c r="C4101" t="str">
        <f>IFERROR(__xludf.DUMMYFUNCTION("""COMPUTED_VALUE"""),"Steinhof")</f>
        <v>Steinhof</v>
      </c>
    </row>
    <row r="4102">
      <c r="A4102" t="str">
        <f>IFERROR(__xludf.DUMMYFUNCTION("""COMPUTED_VALUE"""),"M-233")</f>
        <v>M-233</v>
      </c>
      <c r="B4102" s="226" t="str">
        <f>IFERROR(__xludf.DUMMYFUNCTION("""COMPUTED_VALUE"""),"5907615812545")</f>
        <v>5907615812545</v>
      </c>
      <c r="C4102" t="str">
        <f>IFERROR(__xludf.DUMMYFUNCTION("""COMPUTED_VALUE"""),"Steinhof")</f>
        <v>Steinhof</v>
      </c>
    </row>
    <row r="4103">
      <c r="A4103" t="str">
        <f>IFERROR(__xludf.DUMMYFUNCTION("""COMPUTED_VALUE"""),"M-233")</f>
        <v>M-233</v>
      </c>
      <c r="B4103" s="226" t="str">
        <f>IFERROR(__xludf.DUMMYFUNCTION("""COMPUTED_VALUE"""),"5907615812545")</f>
        <v>5907615812545</v>
      </c>
      <c r="C4103" t="str">
        <f>IFERROR(__xludf.DUMMYFUNCTION("""COMPUTED_VALUE"""),"Steinhof")</f>
        <v>Steinhof</v>
      </c>
    </row>
    <row r="4104">
      <c r="A4104" t="str">
        <f>IFERROR(__xludf.DUMMYFUNCTION("""COMPUTED_VALUE"""),"M-234")</f>
        <v>M-234</v>
      </c>
      <c r="B4104" s="226" t="str">
        <f>IFERROR(__xludf.DUMMYFUNCTION("""COMPUTED_VALUE"""),"5907615812552")</f>
        <v>5907615812552</v>
      </c>
      <c r="C4104" t="str">
        <f>IFERROR(__xludf.DUMMYFUNCTION("""COMPUTED_VALUE"""),"Steinhof")</f>
        <v>Steinhof</v>
      </c>
    </row>
    <row r="4105">
      <c r="A4105" t="str">
        <f>IFERROR(__xludf.DUMMYFUNCTION("""COMPUTED_VALUE"""),"M-234")</f>
        <v>M-234</v>
      </c>
      <c r="B4105" s="226" t="str">
        <f>IFERROR(__xludf.DUMMYFUNCTION("""COMPUTED_VALUE"""),"5907615812552")</f>
        <v>5907615812552</v>
      </c>
      <c r="C4105" t="str">
        <f>IFERROR(__xludf.DUMMYFUNCTION("""COMPUTED_VALUE"""),"Steinhof")</f>
        <v>Steinhof</v>
      </c>
    </row>
    <row r="4106">
      <c r="A4106" t="str">
        <f>IFERROR(__xludf.DUMMYFUNCTION("""COMPUTED_VALUE"""),"M-235")</f>
        <v>M-235</v>
      </c>
      <c r="B4106" s="226" t="str">
        <f>IFERROR(__xludf.DUMMYFUNCTION("""COMPUTED_VALUE"""),"5907615812569")</f>
        <v>5907615812569</v>
      </c>
      <c r="C4106" t="str">
        <f>IFERROR(__xludf.DUMMYFUNCTION("""COMPUTED_VALUE"""),"Steinhof")</f>
        <v>Steinhof</v>
      </c>
    </row>
    <row r="4107">
      <c r="A4107" t="str">
        <f>IFERROR(__xludf.DUMMYFUNCTION("""COMPUTED_VALUE"""),"M-235")</f>
        <v>M-235</v>
      </c>
      <c r="B4107" s="226" t="str">
        <f>IFERROR(__xludf.DUMMYFUNCTION("""COMPUTED_VALUE"""),"5907615812569")</f>
        <v>5907615812569</v>
      </c>
      <c r="C4107" t="str">
        <f>IFERROR(__xludf.DUMMYFUNCTION("""COMPUTED_VALUE"""),"Steinhof")</f>
        <v>Steinhof</v>
      </c>
    </row>
    <row r="4108">
      <c r="A4108" t="str">
        <f>IFERROR(__xludf.DUMMYFUNCTION("""COMPUTED_VALUE"""),"M-237")</f>
        <v>M-237</v>
      </c>
      <c r="B4108" s="226" t="str">
        <f>IFERROR(__xludf.DUMMYFUNCTION("""COMPUTED_VALUE"""),"5907615812583")</f>
        <v>5907615812583</v>
      </c>
      <c r="C4108" t="str">
        <f>IFERROR(__xludf.DUMMYFUNCTION("""COMPUTED_VALUE"""),"Steinhof")</f>
        <v>Steinhof</v>
      </c>
    </row>
    <row r="4109">
      <c r="A4109" t="str">
        <f>IFERROR(__xludf.DUMMYFUNCTION("""COMPUTED_VALUE"""),"M-237")</f>
        <v>M-237</v>
      </c>
      <c r="B4109" s="226" t="str">
        <f>IFERROR(__xludf.DUMMYFUNCTION("""COMPUTED_VALUE"""),"5907615812583")</f>
        <v>5907615812583</v>
      </c>
      <c r="C4109" t="str">
        <f>IFERROR(__xludf.DUMMYFUNCTION("""COMPUTED_VALUE"""),"Steinhof")</f>
        <v>Steinhof</v>
      </c>
    </row>
    <row r="4110">
      <c r="A4110" t="str">
        <f>IFERROR(__xludf.DUMMYFUNCTION("""COMPUTED_VALUE"""),"M-237")</f>
        <v>M-237</v>
      </c>
      <c r="B4110" s="226" t="str">
        <f>IFERROR(__xludf.DUMMYFUNCTION("""COMPUTED_VALUE"""),"5907615812583")</f>
        <v>5907615812583</v>
      </c>
      <c r="C4110" t="str">
        <f>IFERROR(__xludf.DUMMYFUNCTION("""COMPUTED_VALUE"""),"Steinhof")</f>
        <v>Steinhof</v>
      </c>
    </row>
    <row r="4111">
      <c r="A4111" t="str">
        <f>IFERROR(__xludf.DUMMYFUNCTION("""COMPUTED_VALUE"""),"M-237")</f>
        <v>M-237</v>
      </c>
      <c r="B4111" s="226" t="str">
        <f>IFERROR(__xludf.DUMMYFUNCTION("""COMPUTED_VALUE"""),"5907615812583")</f>
        <v>5907615812583</v>
      </c>
      <c r="C4111" t="str">
        <f>IFERROR(__xludf.DUMMYFUNCTION("""COMPUTED_VALUE"""),"Steinhof")</f>
        <v>Steinhof</v>
      </c>
    </row>
    <row r="4112">
      <c r="A4112" t="str">
        <f>IFERROR(__xludf.DUMMYFUNCTION("""COMPUTED_VALUE"""),"M-237/1")</f>
        <v>M-237/1</v>
      </c>
      <c r="B4112" s="226" t="str">
        <f>IFERROR(__xludf.DUMMYFUNCTION("""COMPUTED_VALUE"""),"5907615812590")</f>
        <v>5907615812590</v>
      </c>
      <c r="C4112" t="str">
        <f>IFERROR(__xludf.DUMMYFUNCTION("""COMPUTED_VALUE"""),"Steinhof")</f>
        <v>Steinhof</v>
      </c>
    </row>
    <row r="4113">
      <c r="A4113" t="str">
        <f>IFERROR(__xludf.DUMMYFUNCTION("""COMPUTED_VALUE"""),"M-237/1")</f>
        <v>M-237/1</v>
      </c>
      <c r="B4113" s="226" t="str">
        <f>IFERROR(__xludf.DUMMYFUNCTION("""COMPUTED_VALUE"""),"5907615812590")</f>
        <v>5907615812590</v>
      </c>
      <c r="C4113" t="str">
        <f>IFERROR(__xludf.DUMMYFUNCTION("""COMPUTED_VALUE"""),"Steinhof")</f>
        <v>Steinhof</v>
      </c>
    </row>
    <row r="4114">
      <c r="A4114" t="str">
        <f>IFERROR(__xludf.DUMMYFUNCTION("""COMPUTED_VALUE"""),"M-237/1")</f>
        <v>M-237/1</v>
      </c>
      <c r="B4114" s="226" t="str">
        <f>IFERROR(__xludf.DUMMYFUNCTION("""COMPUTED_VALUE"""),"5907615812590")</f>
        <v>5907615812590</v>
      </c>
      <c r="C4114" t="str">
        <f>IFERROR(__xludf.DUMMYFUNCTION("""COMPUTED_VALUE"""),"Steinhof")</f>
        <v>Steinhof</v>
      </c>
    </row>
    <row r="4115">
      <c r="A4115" t="str">
        <f>IFERROR(__xludf.DUMMYFUNCTION("""COMPUTED_VALUE"""),"M-237/1")</f>
        <v>M-237/1</v>
      </c>
      <c r="B4115" s="226" t="str">
        <f>IFERROR(__xludf.DUMMYFUNCTION("""COMPUTED_VALUE"""),"5907615812590")</f>
        <v>5907615812590</v>
      </c>
      <c r="C4115" t="str">
        <f>IFERROR(__xludf.DUMMYFUNCTION("""COMPUTED_VALUE"""),"Steinhof")</f>
        <v>Steinhof</v>
      </c>
    </row>
    <row r="4116">
      <c r="A4116" t="str">
        <f>IFERROR(__xludf.DUMMYFUNCTION("""COMPUTED_VALUE"""),"M-238")</f>
        <v>M-238</v>
      </c>
      <c r="B4116" s="226" t="str">
        <f>IFERROR(__xludf.DUMMYFUNCTION("""COMPUTED_VALUE"""),"5907615812606")</f>
        <v>5907615812606</v>
      </c>
      <c r="C4116" t="str">
        <f>IFERROR(__xludf.DUMMYFUNCTION("""COMPUTED_VALUE"""),"Steinhof")</f>
        <v>Steinhof</v>
      </c>
    </row>
    <row r="4117">
      <c r="A4117" t="str">
        <f>IFERROR(__xludf.DUMMYFUNCTION("""COMPUTED_VALUE"""),"M-238")</f>
        <v>M-238</v>
      </c>
      <c r="B4117" s="226" t="str">
        <f>IFERROR(__xludf.DUMMYFUNCTION("""COMPUTED_VALUE"""),"5907615812606")</f>
        <v>5907615812606</v>
      </c>
      <c r="C4117" t="str">
        <f>IFERROR(__xludf.DUMMYFUNCTION("""COMPUTED_VALUE"""),"Steinhof")</f>
        <v>Steinhof</v>
      </c>
    </row>
    <row r="4118">
      <c r="A4118" t="str">
        <f>IFERROR(__xludf.DUMMYFUNCTION("""COMPUTED_VALUE"""),"M-238")</f>
        <v>M-238</v>
      </c>
      <c r="B4118" s="226" t="str">
        <f>IFERROR(__xludf.DUMMYFUNCTION("""COMPUTED_VALUE"""),"5907615812606")</f>
        <v>5907615812606</v>
      </c>
      <c r="C4118" t="str">
        <f>IFERROR(__xludf.DUMMYFUNCTION("""COMPUTED_VALUE"""),"Steinhof")</f>
        <v>Steinhof</v>
      </c>
    </row>
    <row r="4119">
      <c r="A4119" t="str">
        <f>IFERROR(__xludf.DUMMYFUNCTION("""COMPUTED_VALUE"""),"M-238")</f>
        <v>M-238</v>
      </c>
      <c r="B4119" s="226" t="str">
        <f>IFERROR(__xludf.DUMMYFUNCTION("""COMPUTED_VALUE"""),"5907615812606")</f>
        <v>5907615812606</v>
      </c>
      <c r="C4119" t="str">
        <f>IFERROR(__xludf.DUMMYFUNCTION("""COMPUTED_VALUE"""),"Steinhof")</f>
        <v>Steinhof</v>
      </c>
    </row>
    <row r="4120">
      <c r="A4120" t="str">
        <f>IFERROR(__xludf.DUMMYFUNCTION("""COMPUTED_VALUE"""),"M-238")</f>
        <v>M-238</v>
      </c>
      <c r="B4120" s="226" t="str">
        <f>IFERROR(__xludf.DUMMYFUNCTION("""COMPUTED_VALUE"""),"5907615812606")</f>
        <v>5907615812606</v>
      </c>
      <c r="C4120" t="str">
        <f>IFERROR(__xludf.DUMMYFUNCTION("""COMPUTED_VALUE"""),"Steinhof")</f>
        <v>Steinhof</v>
      </c>
    </row>
    <row r="4121">
      <c r="A4121" t="str">
        <f>IFERROR(__xludf.DUMMYFUNCTION("""COMPUTED_VALUE"""),"M-238")</f>
        <v>M-238</v>
      </c>
      <c r="B4121" s="226" t="str">
        <f>IFERROR(__xludf.DUMMYFUNCTION("""COMPUTED_VALUE"""),"5907615812606")</f>
        <v>5907615812606</v>
      </c>
      <c r="C4121" t="str">
        <f>IFERROR(__xludf.DUMMYFUNCTION("""COMPUTED_VALUE"""),"Steinhof")</f>
        <v>Steinhof</v>
      </c>
    </row>
    <row r="4122">
      <c r="A4122" t="str">
        <f>IFERROR(__xludf.DUMMYFUNCTION("""COMPUTED_VALUE"""),"M-238")</f>
        <v>M-238</v>
      </c>
      <c r="B4122" s="226" t="str">
        <f>IFERROR(__xludf.DUMMYFUNCTION("""COMPUTED_VALUE"""),"5907615812606")</f>
        <v>5907615812606</v>
      </c>
      <c r="C4122" t="str">
        <f>IFERROR(__xludf.DUMMYFUNCTION("""COMPUTED_VALUE"""),"Steinhof")</f>
        <v>Steinhof</v>
      </c>
    </row>
    <row r="4123">
      <c r="A4123" t="str">
        <f>IFERROR(__xludf.DUMMYFUNCTION("""COMPUTED_VALUE"""),"M-238")</f>
        <v>M-238</v>
      </c>
      <c r="B4123" s="226" t="str">
        <f>IFERROR(__xludf.DUMMYFUNCTION("""COMPUTED_VALUE"""),"5907615812606")</f>
        <v>5907615812606</v>
      </c>
      <c r="C4123" t="str">
        <f>IFERROR(__xludf.DUMMYFUNCTION("""COMPUTED_VALUE"""),"Steinhof")</f>
        <v>Steinhof</v>
      </c>
    </row>
    <row r="4124">
      <c r="A4124" t="str">
        <f>IFERROR(__xludf.DUMMYFUNCTION("""COMPUTED_VALUE"""),"M-239")</f>
        <v>M-239</v>
      </c>
      <c r="B4124" s="226" t="str">
        <f>IFERROR(__xludf.DUMMYFUNCTION("""COMPUTED_VALUE"""),"5907615812613")</f>
        <v>5907615812613</v>
      </c>
      <c r="C4124" t="str">
        <f>IFERROR(__xludf.DUMMYFUNCTION("""COMPUTED_VALUE"""),"Steinhof")</f>
        <v>Steinhof</v>
      </c>
    </row>
    <row r="4125">
      <c r="A4125" t="str">
        <f>IFERROR(__xludf.DUMMYFUNCTION("""COMPUTED_VALUE"""),"M-239")</f>
        <v>M-239</v>
      </c>
      <c r="B4125" s="226" t="str">
        <f>IFERROR(__xludf.DUMMYFUNCTION("""COMPUTED_VALUE"""),"5907615812613")</f>
        <v>5907615812613</v>
      </c>
      <c r="C4125" t="str">
        <f>IFERROR(__xludf.DUMMYFUNCTION("""COMPUTED_VALUE"""),"Steinhof")</f>
        <v>Steinhof</v>
      </c>
    </row>
    <row r="4126">
      <c r="A4126" t="str">
        <f>IFERROR(__xludf.DUMMYFUNCTION("""COMPUTED_VALUE"""),"M-239")</f>
        <v>M-239</v>
      </c>
      <c r="B4126" s="226" t="str">
        <f>IFERROR(__xludf.DUMMYFUNCTION("""COMPUTED_VALUE"""),"5907615812613")</f>
        <v>5907615812613</v>
      </c>
      <c r="C4126" t="str">
        <f>IFERROR(__xludf.DUMMYFUNCTION("""COMPUTED_VALUE"""),"Steinhof")</f>
        <v>Steinhof</v>
      </c>
    </row>
    <row r="4127">
      <c r="A4127" t="str">
        <f>IFERROR(__xludf.DUMMYFUNCTION("""COMPUTED_VALUE"""),"M-239")</f>
        <v>M-239</v>
      </c>
      <c r="B4127" s="226" t="str">
        <f>IFERROR(__xludf.DUMMYFUNCTION("""COMPUTED_VALUE"""),"5907615812613")</f>
        <v>5907615812613</v>
      </c>
      <c r="C4127" t="str">
        <f>IFERROR(__xludf.DUMMYFUNCTION("""COMPUTED_VALUE"""),"Steinhof")</f>
        <v>Steinhof</v>
      </c>
    </row>
    <row r="4128">
      <c r="A4128" t="str">
        <f>IFERROR(__xludf.DUMMYFUNCTION("""COMPUTED_VALUE"""),"M-239")</f>
        <v>M-239</v>
      </c>
      <c r="B4128" s="226" t="str">
        <f>IFERROR(__xludf.DUMMYFUNCTION("""COMPUTED_VALUE"""),"5907615812613")</f>
        <v>5907615812613</v>
      </c>
      <c r="C4128" t="str">
        <f>IFERROR(__xludf.DUMMYFUNCTION("""COMPUTED_VALUE"""),"Steinhof")</f>
        <v>Steinhof</v>
      </c>
    </row>
    <row r="4129">
      <c r="A4129" t="str">
        <f>IFERROR(__xludf.DUMMYFUNCTION("""COMPUTED_VALUE"""),"M-239")</f>
        <v>M-239</v>
      </c>
      <c r="B4129" s="226" t="str">
        <f>IFERROR(__xludf.DUMMYFUNCTION("""COMPUTED_VALUE"""),"5907615812613")</f>
        <v>5907615812613</v>
      </c>
      <c r="C4129" t="str">
        <f>IFERROR(__xludf.DUMMYFUNCTION("""COMPUTED_VALUE"""),"Steinhof")</f>
        <v>Steinhof</v>
      </c>
    </row>
    <row r="4130">
      <c r="A4130" t="str">
        <f>IFERROR(__xludf.DUMMYFUNCTION("""COMPUTED_VALUE"""),"M-239")</f>
        <v>M-239</v>
      </c>
      <c r="B4130" s="226" t="str">
        <f>IFERROR(__xludf.DUMMYFUNCTION("""COMPUTED_VALUE"""),"5907615812613")</f>
        <v>5907615812613</v>
      </c>
      <c r="C4130" t="str">
        <f>IFERROR(__xludf.DUMMYFUNCTION("""COMPUTED_VALUE"""),"Steinhof")</f>
        <v>Steinhof</v>
      </c>
    </row>
    <row r="4131">
      <c r="A4131" t="str">
        <f>IFERROR(__xludf.DUMMYFUNCTION("""COMPUTED_VALUE"""),"M-239")</f>
        <v>M-239</v>
      </c>
      <c r="B4131" s="226" t="str">
        <f>IFERROR(__xludf.DUMMYFUNCTION("""COMPUTED_VALUE"""),"5907615812613")</f>
        <v>5907615812613</v>
      </c>
      <c r="C4131" t="str">
        <f>IFERROR(__xludf.DUMMYFUNCTION("""COMPUTED_VALUE"""),"Steinhof")</f>
        <v>Steinhof</v>
      </c>
    </row>
    <row r="4132">
      <c r="A4132" t="str">
        <f>IFERROR(__xludf.DUMMYFUNCTION("""COMPUTED_VALUE"""),"M-280")</f>
        <v>M-280</v>
      </c>
      <c r="B4132" s="226" t="str">
        <f>IFERROR(__xludf.DUMMYFUNCTION("""COMPUTED_VALUE"""),"5907615812712")</f>
        <v>5907615812712</v>
      </c>
      <c r="C4132" t="str">
        <f>IFERROR(__xludf.DUMMYFUNCTION("""COMPUTED_VALUE"""),"Steinhof")</f>
        <v>Steinhof</v>
      </c>
    </row>
    <row r="4133">
      <c r="A4133" t="str">
        <f>IFERROR(__xludf.DUMMYFUNCTION("""COMPUTED_VALUE"""),"M-280")</f>
        <v>M-280</v>
      </c>
      <c r="B4133" s="226" t="str">
        <f>IFERROR(__xludf.DUMMYFUNCTION("""COMPUTED_VALUE"""),"5907615812712")</f>
        <v>5907615812712</v>
      </c>
      <c r="C4133" t="str">
        <f>IFERROR(__xludf.DUMMYFUNCTION("""COMPUTED_VALUE"""),"Steinhof")</f>
        <v>Steinhof</v>
      </c>
    </row>
    <row r="4134">
      <c r="A4134" t="str">
        <f>IFERROR(__xludf.DUMMYFUNCTION("""COMPUTED_VALUE"""),"M-281")</f>
        <v>M-281</v>
      </c>
      <c r="B4134" s="226" t="str">
        <f>IFERROR(__xludf.DUMMYFUNCTION("""COMPUTED_VALUE"""),"5907615812729")</f>
        <v>5907615812729</v>
      </c>
      <c r="C4134" t="str">
        <f>IFERROR(__xludf.DUMMYFUNCTION("""COMPUTED_VALUE"""),"Steinhof")</f>
        <v>Steinhof</v>
      </c>
    </row>
    <row r="4135">
      <c r="A4135" t="str">
        <f>IFERROR(__xludf.DUMMYFUNCTION("""COMPUTED_VALUE"""),"M-281")</f>
        <v>M-281</v>
      </c>
      <c r="B4135" s="226" t="str">
        <f>IFERROR(__xludf.DUMMYFUNCTION("""COMPUTED_VALUE"""),"5907615812729")</f>
        <v>5907615812729</v>
      </c>
      <c r="C4135" t="str">
        <f>IFERROR(__xludf.DUMMYFUNCTION("""COMPUTED_VALUE"""),"Steinhof")</f>
        <v>Steinhof</v>
      </c>
    </row>
    <row r="4136">
      <c r="A4136" t="str">
        <f>IFERROR(__xludf.DUMMYFUNCTION("""COMPUTED_VALUE"""),"M-282")</f>
        <v>M-282</v>
      </c>
      <c r="B4136" s="226" t="str">
        <f>IFERROR(__xludf.DUMMYFUNCTION("""COMPUTED_VALUE"""),"5907615812736")</f>
        <v>5907615812736</v>
      </c>
      <c r="C4136" t="str">
        <f>IFERROR(__xludf.DUMMYFUNCTION("""COMPUTED_VALUE"""),"Steinhof")</f>
        <v>Steinhof</v>
      </c>
    </row>
    <row r="4137">
      <c r="A4137" t="str">
        <f>IFERROR(__xludf.DUMMYFUNCTION("""COMPUTED_VALUE"""),"M-283")</f>
        <v>M-283</v>
      </c>
      <c r="B4137" s="226" t="str">
        <f>IFERROR(__xludf.DUMMYFUNCTION("""COMPUTED_VALUE"""),"5907615812743")</f>
        <v>5907615812743</v>
      </c>
      <c r="C4137" t="str">
        <f>IFERROR(__xludf.DUMMYFUNCTION("""COMPUTED_VALUE"""),"Steinhof")</f>
        <v>Steinhof</v>
      </c>
    </row>
    <row r="4138">
      <c r="A4138" t="str">
        <f>IFERROR(__xludf.DUMMYFUNCTION("""COMPUTED_VALUE"""),"M-300/1")</f>
        <v>M-300/1</v>
      </c>
      <c r="B4138" s="226" t="str">
        <f>IFERROR(__xludf.DUMMYFUNCTION("""COMPUTED_VALUE"""),"5907615813122")</f>
        <v>5907615813122</v>
      </c>
      <c r="C4138" t="str">
        <f>IFERROR(__xludf.DUMMYFUNCTION("""COMPUTED_VALUE"""),"Steinhof")</f>
        <v>Steinhof</v>
      </c>
    </row>
    <row r="4139">
      <c r="A4139" t="str">
        <f>IFERROR(__xludf.DUMMYFUNCTION("""COMPUTED_VALUE"""),"M-300/1")</f>
        <v>M-300/1</v>
      </c>
      <c r="B4139" s="226" t="str">
        <f>IFERROR(__xludf.DUMMYFUNCTION("""COMPUTED_VALUE"""),"5907615813122")</f>
        <v>5907615813122</v>
      </c>
      <c r="C4139" t="str">
        <f>IFERROR(__xludf.DUMMYFUNCTION("""COMPUTED_VALUE"""),"Steinhof")</f>
        <v>Steinhof</v>
      </c>
    </row>
    <row r="4140">
      <c r="A4140" t="str">
        <f>IFERROR(__xludf.DUMMYFUNCTION("""COMPUTED_VALUE"""),"M-302")</f>
        <v>M-302</v>
      </c>
      <c r="B4140" s="226" t="str">
        <f>IFERROR(__xludf.DUMMYFUNCTION("""COMPUTED_VALUE"""),"5907615813139")</f>
        <v>5907615813139</v>
      </c>
      <c r="C4140" t="str">
        <f>IFERROR(__xludf.DUMMYFUNCTION("""COMPUTED_VALUE"""),"Steinhof")</f>
        <v>Steinhof</v>
      </c>
    </row>
    <row r="4141">
      <c r="A4141" t="str">
        <f>IFERROR(__xludf.DUMMYFUNCTION("""COMPUTED_VALUE"""),"M-302")</f>
        <v>M-302</v>
      </c>
      <c r="B4141" s="226" t="str">
        <f>IFERROR(__xludf.DUMMYFUNCTION("""COMPUTED_VALUE"""),"5907615813139")</f>
        <v>5907615813139</v>
      </c>
      <c r="C4141" t="str">
        <f>IFERROR(__xludf.DUMMYFUNCTION("""COMPUTED_VALUE"""),"Steinhof")</f>
        <v>Steinhof</v>
      </c>
    </row>
    <row r="4142">
      <c r="A4142" t="str">
        <f>IFERROR(__xludf.DUMMYFUNCTION("""COMPUTED_VALUE"""),"M-303")</f>
        <v>M-303</v>
      </c>
      <c r="B4142" s="226" t="str">
        <f>IFERROR(__xludf.DUMMYFUNCTION("""COMPUTED_VALUE"""),"5907615813146")</f>
        <v>5907615813146</v>
      </c>
      <c r="C4142" t="str">
        <f>IFERROR(__xludf.DUMMYFUNCTION("""COMPUTED_VALUE"""),"Steinhof")</f>
        <v>Steinhof</v>
      </c>
    </row>
    <row r="4143">
      <c r="A4143" t="str">
        <f>IFERROR(__xludf.DUMMYFUNCTION("""COMPUTED_VALUE"""),"M-303")</f>
        <v>M-303</v>
      </c>
      <c r="B4143" s="226" t="str">
        <f>IFERROR(__xludf.DUMMYFUNCTION("""COMPUTED_VALUE"""),"5907615813146")</f>
        <v>5907615813146</v>
      </c>
      <c r="C4143" t="str">
        <f>IFERROR(__xludf.DUMMYFUNCTION("""COMPUTED_VALUE"""),"Steinhof")</f>
        <v>Steinhof</v>
      </c>
    </row>
    <row r="4144">
      <c r="A4144" t="str">
        <f>IFERROR(__xludf.DUMMYFUNCTION("""COMPUTED_VALUE"""),"M-303")</f>
        <v>M-303</v>
      </c>
      <c r="B4144" s="226" t="str">
        <f>IFERROR(__xludf.DUMMYFUNCTION("""COMPUTED_VALUE"""),"5907615813146")</f>
        <v>5907615813146</v>
      </c>
      <c r="C4144" t="str">
        <f>IFERROR(__xludf.DUMMYFUNCTION("""COMPUTED_VALUE"""),"Steinhof")</f>
        <v>Steinhof</v>
      </c>
    </row>
    <row r="4145">
      <c r="A4145" t="str">
        <f>IFERROR(__xludf.DUMMYFUNCTION("""COMPUTED_VALUE"""),"M-303")</f>
        <v>M-303</v>
      </c>
      <c r="B4145" s="226" t="str">
        <f>IFERROR(__xludf.DUMMYFUNCTION("""COMPUTED_VALUE"""),"5907615813146")</f>
        <v>5907615813146</v>
      </c>
      <c r="C4145" t="str">
        <f>IFERROR(__xludf.DUMMYFUNCTION("""COMPUTED_VALUE"""),"Steinhof")</f>
        <v>Steinhof</v>
      </c>
    </row>
    <row r="4146">
      <c r="A4146" t="str">
        <f>IFERROR(__xludf.DUMMYFUNCTION("""COMPUTED_VALUE"""),"M-310")</f>
        <v>M-310</v>
      </c>
      <c r="B4146" s="226" t="str">
        <f>IFERROR(__xludf.DUMMYFUNCTION("""COMPUTED_VALUE"""),"5907615813214")</f>
        <v>5907615813214</v>
      </c>
      <c r="C4146" t="str">
        <f>IFERROR(__xludf.DUMMYFUNCTION("""COMPUTED_VALUE"""),"Steinhof")</f>
        <v>Steinhof</v>
      </c>
    </row>
    <row r="4147">
      <c r="A4147" t="str">
        <f>IFERROR(__xludf.DUMMYFUNCTION("""COMPUTED_VALUE"""),"M-310")</f>
        <v>M-310</v>
      </c>
      <c r="B4147" s="226" t="str">
        <f>IFERROR(__xludf.DUMMYFUNCTION("""COMPUTED_VALUE"""),"5907615813214")</f>
        <v>5907615813214</v>
      </c>
      <c r="C4147" t="str">
        <f>IFERROR(__xludf.DUMMYFUNCTION("""COMPUTED_VALUE"""),"Steinhof")</f>
        <v>Steinhof</v>
      </c>
    </row>
    <row r="4148">
      <c r="A4148" t="str">
        <f>IFERROR(__xludf.DUMMYFUNCTION("""COMPUTED_VALUE"""),"M-310")</f>
        <v>M-310</v>
      </c>
      <c r="B4148" s="226" t="str">
        <f>IFERROR(__xludf.DUMMYFUNCTION("""COMPUTED_VALUE"""),"5907615813214")</f>
        <v>5907615813214</v>
      </c>
      <c r="C4148" t="str">
        <f>IFERROR(__xludf.DUMMYFUNCTION("""COMPUTED_VALUE"""),"Steinhof")</f>
        <v>Steinhof</v>
      </c>
    </row>
    <row r="4149">
      <c r="A4149" t="str">
        <f>IFERROR(__xludf.DUMMYFUNCTION("""COMPUTED_VALUE"""),"M-310")</f>
        <v>M-310</v>
      </c>
      <c r="B4149" s="226" t="str">
        <f>IFERROR(__xludf.DUMMYFUNCTION("""COMPUTED_VALUE"""),"5907615813214")</f>
        <v>5907615813214</v>
      </c>
      <c r="C4149" t="str">
        <f>IFERROR(__xludf.DUMMYFUNCTION("""COMPUTED_VALUE"""),"Steinhof")</f>
        <v>Steinhof</v>
      </c>
    </row>
    <row r="4150">
      <c r="A4150" t="str">
        <f>IFERROR(__xludf.DUMMYFUNCTION("""COMPUTED_VALUE"""),"M-311")</f>
        <v>M-311</v>
      </c>
      <c r="B4150" s="226" t="str">
        <f>IFERROR(__xludf.DUMMYFUNCTION("""COMPUTED_VALUE"""),"5907615813221")</f>
        <v>5907615813221</v>
      </c>
      <c r="C4150" t="str">
        <f>IFERROR(__xludf.DUMMYFUNCTION("""COMPUTED_VALUE"""),"Steinhof")</f>
        <v>Steinhof</v>
      </c>
    </row>
    <row r="4151">
      <c r="A4151" t="str">
        <f>IFERROR(__xludf.DUMMYFUNCTION("""COMPUTED_VALUE"""),"M-311")</f>
        <v>M-311</v>
      </c>
      <c r="B4151" s="226" t="str">
        <f>IFERROR(__xludf.DUMMYFUNCTION("""COMPUTED_VALUE"""),"5907615813221")</f>
        <v>5907615813221</v>
      </c>
      <c r="C4151" t="str">
        <f>IFERROR(__xludf.DUMMYFUNCTION("""COMPUTED_VALUE"""),"Steinhof")</f>
        <v>Steinhof</v>
      </c>
    </row>
    <row r="4152">
      <c r="A4152" t="str">
        <f>IFERROR(__xludf.DUMMYFUNCTION("""COMPUTED_VALUE"""),"M-311")</f>
        <v>M-311</v>
      </c>
      <c r="B4152" s="226" t="str">
        <f>IFERROR(__xludf.DUMMYFUNCTION("""COMPUTED_VALUE"""),"5907615813221")</f>
        <v>5907615813221</v>
      </c>
      <c r="C4152" t="str">
        <f>IFERROR(__xludf.DUMMYFUNCTION("""COMPUTED_VALUE"""),"Steinhof")</f>
        <v>Steinhof</v>
      </c>
    </row>
    <row r="4153">
      <c r="A4153" t="str">
        <f>IFERROR(__xludf.DUMMYFUNCTION("""COMPUTED_VALUE"""),"M-311")</f>
        <v>M-311</v>
      </c>
      <c r="B4153" s="226" t="str">
        <f>IFERROR(__xludf.DUMMYFUNCTION("""COMPUTED_VALUE"""),"5907615813221")</f>
        <v>5907615813221</v>
      </c>
      <c r="C4153" t="str">
        <f>IFERROR(__xludf.DUMMYFUNCTION("""COMPUTED_VALUE"""),"Steinhof")</f>
        <v>Steinhof</v>
      </c>
    </row>
    <row r="4154">
      <c r="A4154" t="str">
        <f>IFERROR(__xludf.DUMMYFUNCTION("""COMPUTED_VALUE"""),"M-317")</f>
        <v>M-317</v>
      </c>
      <c r="B4154" s="226" t="str">
        <f>IFERROR(__xludf.DUMMYFUNCTION("""COMPUTED_VALUE"""),"5907615813283")</f>
        <v>5907615813283</v>
      </c>
      <c r="C4154" t="str">
        <f>IFERROR(__xludf.DUMMYFUNCTION("""COMPUTED_VALUE"""),"Steinhof")</f>
        <v>Steinhof</v>
      </c>
    </row>
    <row r="4155">
      <c r="A4155" t="str">
        <f>IFERROR(__xludf.DUMMYFUNCTION("""COMPUTED_VALUE"""),"M-317")</f>
        <v>M-317</v>
      </c>
      <c r="B4155" s="226" t="str">
        <f>IFERROR(__xludf.DUMMYFUNCTION("""COMPUTED_VALUE"""),"5907615813283")</f>
        <v>5907615813283</v>
      </c>
      <c r="C4155" t="str">
        <f>IFERROR(__xludf.DUMMYFUNCTION("""COMPUTED_VALUE"""),"Steinhof")</f>
        <v>Steinhof</v>
      </c>
    </row>
    <row r="4156">
      <c r="A4156" t="str">
        <f>IFERROR(__xludf.DUMMYFUNCTION("""COMPUTED_VALUE"""),"M-317")</f>
        <v>M-317</v>
      </c>
      <c r="B4156" s="226" t="str">
        <f>IFERROR(__xludf.DUMMYFUNCTION("""COMPUTED_VALUE"""),"5907615813283")</f>
        <v>5907615813283</v>
      </c>
      <c r="C4156" t="str">
        <f>IFERROR(__xludf.DUMMYFUNCTION("""COMPUTED_VALUE"""),"Steinhof")</f>
        <v>Steinhof</v>
      </c>
    </row>
    <row r="4157">
      <c r="A4157" t="str">
        <f>IFERROR(__xludf.DUMMYFUNCTION("""COMPUTED_VALUE"""),"M-317")</f>
        <v>M-317</v>
      </c>
      <c r="B4157" s="226" t="str">
        <f>IFERROR(__xludf.DUMMYFUNCTION("""COMPUTED_VALUE"""),"5907615813283")</f>
        <v>5907615813283</v>
      </c>
      <c r="C4157" t="str">
        <f>IFERROR(__xludf.DUMMYFUNCTION("""COMPUTED_VALUE"""),"Steinhof")</f>
        <v>Steinhof</v>
      </c>
    </row>
    <row r="4158">
      <c r="A4158" t="str">
        <f>IFERROR(__xludf.DUMMYFUNCTION("""COMPUTED_VALUE"""),"M-318")</f>
        <v>M-318</v>
      </c>
      <c r="B4158" s="226" t="str">
        <f>IFERROR(__xludf.DUMMYFUNCTION("""COMPUTED_VALUE"""),"5907615813290")</f>
        <v>5907615813290</v>
      </c>
      <c r="C4158" t="str">
        <f>IFERROR(__xludf.DUMMYFUNCTION("""COMPUTED_VALUE"""),"Steinhof")</f>
        <v>Steinhof</v>
      </c>
    </row>
    <row r="4159">
      <c r="A4159" t="str">
        <f>IFERROR(__xludf.DUMMYFUNCTION("""COMPUTED_VALUE"""),"M-318")</f>
        <v>M-318</v>
      </c>
      <c r="B4159" s="226" t="str">
        <f>IFERROR(__xludf.DUMMYFUNCTION("""COMPUTED_VALUE"""),"5907615813290")</f>
        <v>5907615813290</v>
      </c>
      <c r="C4159" t="str">
        <f>IFERROR(__xludf.DUMMYFUNCTION("""COMPUTED_VALUE"""),"Steinhof")</f>
        <v>Steinhof</v>
      </c>
    </row>
    <row r="4160">
      <c r="A4160" t="str">
        <f>IFERROR(__xludf.DUMMYFUNCTION("""COMPUTED_VALUE"""),"M-318")</f>
        <v>M-318</v>
      </c>
      <c r="B4160" s="226" t="str">
        <f>IFERROR(__xludf.DUMMYFUNCTION("""COMPUTED_VALUE"""),"5907615813290")</f>
        <v>5907615813290</v>
      </c>
      <c r="C4160" t="str">
        <f>IFERROR(__xludf.DUMMYFUNCTION("""COMPUTED_VALUE"""),"Steinhof")</f>
        <v>Steinhof</v>
      </c>
    </row>
    <row r="4161">
      <c r="A4161" t="str">
        <f>IFERROR(__xludf.DUMMYFUNCTION("""COMPUTED_VALUE"""),"M-318")</f>
        <v>M-318</v>
      </c>
      <c r="B4161" s="226" t="str">
        <f>IFERROR(__xludf.DUMMYFUNCTION("""COMPUTED_VALUE"""),"5907615813290")</f>
        <v>5907615813290</v>
      </c>
      <c r="C4161" t="str">
        <f>IFERROR(__xludf.DUMMYFUNCTION("""COMPUTED_VALUE"""),"Steinhof")</f>
        <v>Steinhof</v>
      </c>
    </row>
    <row r="4162">
      <c r="A4162" t="str">
        <f>IFERROR(__xludf.DUMMYFUNCTION("""COMPUTED_VALUE"""),"M-334")</f>
        <v>M-334</v>
      </c>
      <c r="B4162" s="226" t="str">
        <f>IFERROR(__xludf.DUMMYFUNCTION("""COMPUTED_VALUE"""),"5907615813450")</f>
        <v>5907615813450</v>
      </c>
      <c r="C4162" t="str">
        <f>IFERROR(__xludf.DUMMYFUNCTION("""COMPUTED_VALUE"""),"Steinhof")</f>
        <v>Steinhof</v>
      </c>
    </row>
    <row r="4163">
      <c r="A4163" t="str">
        <f>IFERROR(__xludf.DUMMYFUNCTION("""COMPUTED_VALUE"""),"M-334")</f>
        <v>M-334</v>
      </c>
      <c r="B4163" s="226" t="str">
        <f>IFERROR(__xludf.DUMMYFUNCTION("""COMPUTED_VALUE"""),"5907615813450")</f>
        <v>5907615813450</v>
      </c>
      <c r="C4163" t="str">
        <f>IFERROR(__xludf.DUMMYFUNCTION("""COMPUTED_VALUE"""),"Steinhof")</f>
        <v>Steinhof</v>
      </c>
    </row>
    <row r="4164">
      <c r="A4164" t="str">
        <f>IFERROR(__xludf.DUMMYFUNCTION("""COMPUTED_VALUE"""),"M-334")</f>
        <v>M-334</v>
      </c>
      <c r="B4164" s="226" t="str">
        <f>IFERROR(__xludf.DUMMYFUNCTION("""COMPUTED_VALUE"""),"5907615813450")</f>
        <v>5907615813450</v>
      </c>
      <c r="C4164" t="str">
        <f>IFERROR(__xludf.DUMMYFUNCTION("""COMPUTED_VALUE"""),"Steinhof")</f>
        <v>Steinhof</v>
      </c>
    </row>
    <row r="4165">
      <c r="A4165" t="str">
        <f>IFERROR(__xludf.DUMMYFUNCTION("""COMPUTED_VALUE"""),"M-334")</f>
        <v>M-334</v>
      </c>
      <c r="B4165" s="226" t="str">
        <f>IFERROR(__xludf.DUMMYFUNCTION("""COMPUTED_VALUE"""),"5907615813450")</f>
        <v>5907615813450</v>
      </c>
      <c r="C4165" t="str">
        <f>IFERROR(__xludf.DUMMYFUNCTION("""COMPUTED_VALUE"""),"Steinhof")</f>
        <v>Steinhof</v>
      </c>
    </row>
    <row r="4166">
      <c r="A4166" t="str">
        <f>IFERROR(__xludf.DUMMYFUNCTION("""COMPUTED_VALUE"""),"M-335")</f>
        <v>M-335</v>
      </c>
      <c r="B4166" s="226" t="str">
        <f>IFERROR(__xludf.DUMMYFUNCTION("""COMPUTED_VALUE"""),"5907615813467")</f>
        <v>5907615813467</v>
      </c>
      <c r="C4166" t="str">
        <f>IFERROR(__xludf.DUMMYFUNCTION("""COMPUTED_VALUE"""),"Steinhof")</f>
        <v>Steinhof</v>
      </c>
    </row>
    <row r="4167">
      <c r="A4167" t="str">
        <f>IFERROR(__xludf.DUMMYFUNCTION("""COMPUTED_VALUE"""),"M-335")</f>
        <v>M-335</v>
      </c>
      <c r="B4167" s="226" t="str">
        <f>IFERROR(__xludf.DUMMYFUNCTION("""COMPUTED_VALUE"""),"5907615813467")</f>
        <v>5907615813467</v>
      </c>
      <c r="C4167" t="str">
        <f>IFERROR(__xludf.DUMMYFUNCTION("""COMPUTED_VALUE"""),"Steinhof")</f>
        <v>Steinhof</v>
      </c>
    </row>
    <row r="4168">
      <c r="A4168" t="str">
        <f>IFERROR(__xludf.DUMMYFUNCTION("""COMPUTED_VALUE"""),"M-335")</f>
        <v>M-335</v>
      </c>
      <c r="B4168" s="226" t="str">
        <f>IFERROR(__xludf.DUMMYFUNCTION("""COMPUTED_VALUE"""),"5907615813467")</f>
        <v>5907615813467</v>
      </c>
      <c r="C4168" t="str">
        <f>IFERROR(__xludf.DUMMYFUNCTION("""COMPUTED_VALUE"""),"Steinhof")</f>
        <v>Steinhof</v>
      </c>
    </row>
    <row r="4169">
      <c r="A4169" t="str">
        <f>IFERROR(__xludf.DUMMYFUNCTION("""COMPUTED_VALUE"""),"M-335")</f>
        <v>M-335</v>
      </c>
      <c r="B4169" s="226" t="str">
        <f>IFERROR(__xludf.DUMMYFUNCTION("""COMPUTED_VALUE"""),"5907615813467")</f>
        <v>5907615813467</v>
      </c>
      <c r="C4169" t="str">
        <f>IFERROR(__xludf.DUMMYFUNCTION("""COMPUTED_VALUE"""),"Steinhof")</f>
        <v>Steinhof</v>
      </c>
    </row>
    <row r="4170">
      <c r="A4170" t="str">
        <f>IFERROR(__xludf.DUMMYFUNCTION("""COMPUTED_VALUE"""),"M-336")</f>
        <v>M-336</v>
      </c>
      <c r="B4170" s="226" t="str">
        <f>IFERROR(__xludf.DUMMYFUNCTION("""COMPUTED_VALUE"""),"5907615813474")</f>
        <v>5907615813474</v>
      </c>
      <c r="C4170" t="str">
        <f>IFERROR(__xludf.DUMMYFUNCTION("""COMPUTED_VALUE"""),"Steinhof")</f>
        <v>Steinhof</v>
      </c>
    </row>
    <row r="4171">
      <c r="A4171" t="str">
        <f>IFERROR(__xludf.DUMMYFUNCTION("""COMPUTED_VALUE"""),"M-336")</f>
        <v>M-336</v>
      </c>
      <c r="B4171" s="226" t="str">
        <f>IFERROR(__xludf.DUMMYFUNCTION("""COMPUTED_VALUE"""),"5907615813474")</f>
        <v>5907615813474</v>
      </c>
      <c r="C4171" t="str">
        <f>IFERROR(__xludf.DUMMYFUNCTION("""COMPUTED_VALUE"""),"Steinhof")</f>
        <v>Steinhof</v>
      </c>
    </row>
    <row r="4172">
      <c r="A4172" t="str">
        <f>IFERROR(__xludf.DUMMYFUNCTION("""COMPUTED_VALUE"""),"M-337")</f>
        <v>M-337</v>
      </c>
      <c r="B4172" s="226" t="str">
        <f>IFERROR(__xludf.DUMMYFUNCTION("""COMPUTED_VALUE"""),"5907615813481")</f>
        <v>5907615813481</v>
      </c>
      <c r="C4172" t="str">
        <f>IFERROR(__xludf.DUMMYFUNCTION("""COMPUTED_VALUE"""),"Steinhof")</f>
        <v>Steinhof</v>
      </c>
    </row>
    <row r="4173">
      <c r="A4173" t="str">
        <f>IFERROR(__xludf.DUMMYFUNCTION("""COMPUTED_VALUE"""),"M-337")</f>
        <v>M-337</v>
      </c>
      <c r="B4173" s="226" t="str">
        <f>IFERROR(__xludf.DUMMYFUNCTION("""COMPUTED_VALUE"""),"5907615813481")</f>
        <v>5907615813481</v>
      </c>
      <c r="C4173" t="str">
        <f>IFERROR(__xludf.DUMMYFUNCTION("""COMPUTED_VALUE"""),"Steinhof")</f>
        <v>Steinhof</v>
      </c>
    </row>
    <row r="4174">
      <c r="A4174" t="str">
        <f>IFERROR(__xludf.DUMMYFUNCTION("""COMPUTED_VALUE"""),"M-338")</f>
        <v>M-338</v>
      </c>
      <c r="B4174" s="226" t="str">
        <f>IFERROR(__xludf.DUMMYFUNCTION("""COMPUTED_VALUE"""),"5907615813498")</f>
        <v>5907615813498</v>
      </c>
      <c r="C4174" t="str">
        <f>IFERROR(__xludf.DUMMYFUNCTION("""COMPUTED_VALUE"""),"Steinhof")</f>
        <v>Steinhof</v>
      </c>
    </row>
    <row r="4175">
      <c r="A4175" t="str">
        <f>IFERROR(__xludf.DUMMYFUNCTION("""COMPUTED_VALUE"""),"M-340")</f>
        <v>M-340</v>
      </c>
      <c r="B4175" s="226" t="str">
        <f>IFERROR(__xludf.DUMMYFUNCTION("""COMPUTED_VALUE"""),"5907615813511")</f>
        <v>5907615813511</v>
      </c>
      <c r="C4175" t="str">
        <f>IFERROR(__xludf.DUMMYFUNCTION("""COMPUTED_VALUE"""),"Steinhof")</f>
        <v>Steinhof</v>
      </c>
    </row>
    <row r="4176">
      <c r="A4176" t="str">
        <f>IFERROR(__xludf.DUMMYFUNCTION("""COMPUTED_VALUE"""),"M-340")</f>
        <v>M-340</v>
      </c>
      <c r="B4176" s="226" t="str">
        <f>IFERROR(__xludf.DUMMYFUNCTION("""COMPUTED_VALUE"""),"5907615813511")</f>
        <v>5907615813511</v>
      </c>
      <c r="C4176" t="str">
        <f>IFERROR(__xludf.DUMMYFUNCTION("""COMPUTED_VALUE"""),"Steinhof")</f>
        <v>Steinhof</v>
      </c>
    </row>
    <row r="4177">
      <c r="A4177" t="str">
        <f>IFERROR(__xludf.DUMMYFUNCTION("""COMPUTED_VALUE"""),"M-340")</f>
        <v>M-340</v>
      </c>
      <c r="B4177" s="226" t="str">
        <f>IFERROR(__xludf.DUMMYFUNCTION("""COMPUTED_VALUE"""),"5907615813511")</f>
        <v>5907615813511</v>
      </c>
      <c r="C4177" t="str">
        <f>IFERROR(__xludf.DUMMYFUNCTION("""COMPUTED_VALUE"""),"Steinhof")</f>
        <v>Steinhof</v>
      </c>
    </row>
    <row r="4178">
      <c r="A4178" t="str">
        <f>IFERROR(__xludf.DUMMYFUNCTION("""COMPUTED_VALUE"""),"M-340")</f>
        <v>M-340</v>
      </c>
      <c r="B4178" s="226" t="str">
        <f>IFERROR(__xludf.DUMMYFUNCTION("""COMPUTED_VALUE"""),"5907615813511")</f>
        <v>5907615813511</v>
      </c>
      <c r="C4178" t="str">
        <f>IFERROR(__xludf.DUMMYFUNCTION("""COMPUTED_VALUE"""),"Steinhof")</f>
        <v>Steinhof</v>
      </c>
    </row>
    <row r="4179">
      <c r="A4179" t="str">
        <f>IFERROR(__xludf.DUMMYFUNCTION("""COMPUTED_VALUE"""),"M-341")</f>
        <v>M-341</v>
      </c>
      <c r="B4179" s="226" t="str">
        <f>IFERROR(__xludf.DUMMYFUNCTION("""COMPUTED_VALUE"""),"5907615813528")</f>
        <v>5907615813528</v>
      </c>
      <c r="C4179" t="str">
        <f>IFERROR(__xludf.DUMMYFUNCTION("""COMPUTED_VALUE"""),"Steinhof")</f>
        <v>Steinhof</v>
      </c>
    </row>
    <row r="4180">
      <c r="A4180" t="str">
        <f>IFERROR(__xludf.DUMMYFUNCTION("""COMPUTED_VALUE"""),"M-341")</f>
        <v>M-341</v>
      </c>
      <c r="B4180" s="226" t="str">
        <f>IFERROR(__xludf.DUMMYFUNCTION("""COMPUTED_VALUE"""),"5907615813528")</f>
        <v>5907615813528</v>
      </c>
      <c r="C4180" t="str">
        <f>IFERROR(__xludf.DUMMYFUNCTION("""COMPUTED_VALUE"""),"Steinhof")</f>
        <v>Steinhof</v>
      </c>
    </row>
    <row r="4181">
      <c r="A4181" t="str">
        <f>IFERROR(__xludf.DUMMYFUNCTION("""COMPUTED_VALUE"""),"M-341")</f>
        <v>M-341</v>
      </c>
      <c r="B4181" s="226" t="str">
        <f>IFERROR(__xludf.DUMMYFUNCTION("""COMPUTED_VALUE"""),"5907615813528")</f>
        <v>5907615813528</v>
      </c>
      <c r="C4181" t="str">
        <f>IFERROR(__xludf.DUMMYFUNCTION("""COMPUTED_VALUE"""),"Steinhof")</f>
        <v>Steinhof</v>
      </c>
    </row>
    <row r="4182">
      <c r="A4182" t="str">
        <f>IFERROR(__xludf.DUMMYFUNCTION("""COMPUTED_VALUE"""),"M-341")</f>
        <v>M-341</v>
      </c>
      <c r="B4182" s="226" t="str">
        <f>IFERROR(__xludf.DUMMYFUNCTION("""COMPUTED_VALUE"""),"5907615813528")</f>
        <v>5907615813528</v>
      </c>
      <c r="C4182" t="str">
        <f>IFERROR(__xludf.DUMMYFUNCTION("""COMPUTED_VALUE"""),"Steinhof")</f>
        <v>Steinhof</v>
      </c>
    </row>
    <row r="4183">
      <c r="A4183" t="str">
        <f>IFERROR(__xludf.DUMMYFUNCTION("""COMPUTED_VALUE"""),"M-338/1")</f>
        <v>M-338/1</v>
      </c>
      <c r="B4183" s="226" t="str">
        <f>IFERROR(__xludf.DUMMYFUNCTION("""COMPUTED_VALUE"""),"5907615813535")</f>
        <v>5907615813535</v>
      </c>
      <c r="C4183" t="str">
        <f>IFERROR(__xludf.DUMMYFUNCTION("""COMPUTED_VALUE"""),"Steinhof")</f>
        <v>Steinhof</v>
      </c>
    </row>
    <row r="4184">
      <c r="A4184" t="str">
        <f>IFERROR(__xludf.DUMMYFUNCTION("""COMPUTED_VALUE"""),"M-338/1")</f>
        <v>M-338/1</v>
      </c>
      <c r="B4184" s="226" t="str">
        <f>IFERROR(__xludf.DUMMYFUNCTION("""COMPUTED_VALUE"""),"5907615813535")</f>
        <v>5907615813535</v>
      </c>
      <c r="C4184" t="str">
        <f>IFERROR(__xludf.DUMMYFUNCTION("""COMPUTED_VALUE"""),"Steinhof")</f>
        <v>Steinhof</v>
      </c>
    </row>
    <row r="4185">
      <c r="A4185" t="str">
        <f>IFERROR(__xludf.DUMMYFUNCTION("""COMPUTED_VALUE"""),"M-344")</f>
        <v>M-344</v>
      </c>
      <c r="B4185" s="226" t="str">
        <f>IFERROR(__xludf.DUMMYFUNCTION("""COMPUTED_VALUE"""),"5907615813559")</f>
        <v>5907615813559</v>
      </c>
      <c r="C4185" t="str">
        <f>IFERROR(__xludf.DUMMYFUNCTION("""COMPUTED_VALUE"""),"Steinhof")</f>
        <v>Steinhof</v>
      </c>
    </row>
    <row r="4186">
      <c r="A4186" t="str">
        <f>IFERROR(__xludf.DUMMYFUNCTION("""COMPUTED_VALUE"""),"M-344")</f>
        <v>M-344</v>
      </c>
      <c r="B4186" s="226" t="str">
        <f>IFERROR(__xludf.DUMMYFUNCTION("""COMPUTED_VALUE"""),"5907615813559")</f>
        <v>5907615813559</v>
      </c>
      <c r="C4186" t="str">
        <f>IFERROR(__xludf.DUMMYFUNCTION("""COMPUTED_VALUE"""),"Steinhof")</f>
        <v>Steinhof</v>
      </c>
    </row>
    <row r="4187">
      <c r="A4187" t="str">
        <f>IFERROR(__xludf.DUMMYFUNCTION("""COMPUTED_VALUE"""),"M-345")</f>
        <v>M-345</v>
      </c>
      <c r="B4187" s="226" t="str">
        <f>IFERROR(__xludf.DUMMYFUNCTION("""COMPUTED_VALUE"""),"5907615813566")</f>
        <v>5907615813566</v>
      </c>
      <c r="C4187" t="str">
        <f>IFERROR(__xludf.DUMMYFUNCTION("""COMPUTED_VALUE"""),"Steinhof")</f>
        <v>Steinhof</v>
      </c>
    </row>
    <row r="4188">
      <c r="A4188" t="str">
        <f>IFERROR(__xludf.DUMMYFUNCTION("""COMPUTED_VALUE"""),"M-345")</f>
        <v>M-345</v>
      </c>
      <c r="B4188" s="226" t="str">
        <f>IFERROR(__xludf.DUMMYFUNCTION("""COMPUTED_VALUE"""),"5907615813566")</f>
        <v>5907615813566</v>
      </c>
      <c r="C4188" t="str">
        <f>IFERROR(__xludf.DUMMYFUNCTION("""COMPUTED_VALUE"""),"Steinhof")</f>
        <v>Steinhof</v>
      </c>
    </row>
    <row r="4189">
      <c r="A4189" t="str">
        <f>IFERROR(__xludf.DUMMYFUNCTION("""COMPUTED_VALUE"""),"M-342")</f>
        <v>M-342</v>
      </c>
      <c r="B4189" s="226" t="str">
        <f>IFERROR(__xludf.DUMMYFUNCTION("""COMPUTED_VALUE"""),"5907615813580")</f>
        <v>5907615813580</v>
      </c>
      <c r="C4189" t="str">
        <f>IFERROR(__xludf.DUMMYFUNCTION("""COMPUTED_VALUE"""),"Steinhof")</f>
        <v>Steinhof</v>
      </c>
    </row>
    <row r="4190">
      <c r="A4190" t="str">
        <f>IFERROR(__xludf.DUMMYFUNCTION("""COMPUTED_VALUE"""),"M-342")</f>
        <v>M-342</v>
      </c>
      <c r="B4190" s="226" t="str">
        <f>IFERROR(__xludf.DUMMYFUNCTION("""COMPUTED_VALUE"""),"5907615813580")</f>
        <v>5907615813580</v>
      </c>
      <c r="C4190" t="str">
        <f>IFERROR(__xludf.DUMMYFUNCTION("""COMPUTED_VALUE"""),"Steinhof")</f>
        <v>Steinhof</v>
      </c>
    </row>
    <row r="4191">
      <c r="A4191" t="str">
        <f>IFERROR(__xludf.DUMMYFUNCTION("""COMPUTED_VALUE"""),"M-342")</f>
        <v>M-342</v>
      </c>
      <c r="B4191" s="226" t="str">
        <f>IFERROR(__xludf.DUMMYFUNCTION("""COMPUTED_VALUE"""),"5907615813580")</f>
        <v>5907615813580</v>
      </c>
      <c r="C4191" t="str">
        <f>IFERROR(__xludf.DUMMYFUNCTION("""COMPUTED_VALUE"""),"Steinhof")</f>
        <v>Steinhof</v>
      </c>
    </row>
    <row r="4192">
      <c r="A4192" t="str">
        <f>IFERROR(__xludf.DUMMYFUNCTION("""COMPUTED_VALUE"""),"M-342")</f>
        <v>M-342</v>
      </c>
      <c r="B4192" s="226" t="str">
        <f>IFERROR(__xludf.DUMMYFUNCTION("""COMPUTED_VALUE"""),"5907615813580")</f>
        <v>5907615813580</v>
      </c>
      <c r="C4192" t="str">
        <f>IFERROR(__xludf.DUMMYFUNCTION("""COMPUTED_VALUE"""),"Steinhof")</f>
        <v>Steinhof</v>
      </c>
    </row>
    <row r="4193">
      <c r="A4193" t="str">
        <f>IFERROR(__xludf.DUMMYFUNCTION("""COMPUTED_VALUE"""),"M-342")</f>
        <v>M-342</v>
      </c>
      <c r="B4193" s="226" t="str">
        <f>IFERROR(__xludf.DUMMYFUNCTION("""COMPUTED_VALUE"""),"5907615813580")</f>
        <v>5907615813580</v>
      </c>
      <c r="C4193" t="str">
        <f>IFERROR(__xludf.DUMMYFUNCTION("""COMPUTED_VALUE"""),"Steinhof")</f>
        <v>Steinhof</v>
      </c>
    </row>
    <row r="4194">
      <c r="A4194" t="str">
        <f>IFERROR(__xludf.DUMMYFUNCTION("""COMPUTED_VALUE"""),"M-342")</f>
        <v>M-342</v>
      </c>
      <c r="B4194" s="226" t="str">
        <f>IFERROR(__xludf.DUMMYFUNCTION("""COMPUTED_VALUE"""),"5907615813580")</f>
        <v>5907615813580</v>
      </c>
      <c r="C4194" t="str">
        <f>IFERROR(__xludf.DUMMYFUNCTION("""COMPUTED_VALUE"""),"Steinhof")</f>
        <v>Steinhof</v>
      </c>
    </row>
    <row r="4195">
      <c r="A4195" t="str">
        <f>IFERROR(__xludf.DUMMYFUNCTION("""COMPUTED_VALUE"""),"M-343")</f>
        <v>M-343</v>
      </c>
      <c r="B4195" s="226" t="str">
        <f>IFERROR(__xludf.DUMMYFUNCTION("""COMPUTED_VALUE"""),"5907615813597")</f>
        <v>5907615813597</v>
      </c>
      <c r="C4195" t="str">
        <f>IFERROR(__xludf.DUMMYFUNCTION("""COMPUTED_VALUE"""),"Steinhof")</f>
        <v>Steinhof</v>
      </c>
    </row>
    <row r="4196">
      <c r="A4196" t="str">
        <f>IFERROR(__xludf.DUMMYFUNCTION("""COMPUTED_VALUE"""),"M-343")</f>
        <v>M-343</v>
      </c>
      <c r="B4196" s="226" t="str">
        <f>IFERROR(__xludf.DUMMYFUNCTION("""COMPUTED_VALUE"""),"5907615813597")</f>
        <v>5907615813597</v>
      </c>
      <c r="C4196" t="str">
        <f>IFERROR(__xludf.DUMMYFUNCTION("""COMPUTED_VALUE"""),"Steinhof")</f>
        <v>Steinhof</v>
      </c>
    </row>
    <row r="4197">
      <c r="A4197" t="str">
        <f>IFERROR(__xludf.DUMMYFUNCTION("""COMPUTED_VALUE"""),"M-343")</f>
        <v>M-343</v>
      </c>
      <c r="B4197" s="226" t="str">
        <f>IFERROR(__xludf.DUMMYFUNCTION("""COMPUTED_VALUE"""),"5907615813597")</f>
        <v>5907615813597</v>
      </c>
      <c r="C4197" t="str">
        <f>IFERROR(__xludf.DUMMYFUNCTION("""COMPUTED_VALUE"""),"Steinhof")</f>
        <v>Steinhof</v>
      </c>
    </row>
    <row r="4198">
      <c r="A4198" t="str">
        <f>IFERROR(__xludf.DUMMYFUNCTION("""COMPUTED_VALUE"""),"M-343")</f>
        <v>M-343</v>
      </c>
      <c r="B4198" s="226" t="str">
        <f>IFERROR(__xludf.DUMMYFUNCTION("""COMPUTED_VALUE"""),"5907615813597")</f>
        <v>5907615813597</v>
      </c>
      <c r="C4198" t="str">
        <f>IFERROR(__xludf.DUMMYFUNCTION("""COMPUTED_VALUE"""),"Steinhof")</f>
        <v>Steinhof</v>
      </c>
    </row>
    <row r="4199">
      <c r="A4199" t="str">
        <f>IFERROR(__xludf.DUMMYFUNCTION("""COMPUTED_VALUE"""),"M-343")</f>
        <v>M-343</v>
      </c>
      <c r="B4199" s="226" t="str">
        <f>IFERROR(__xludf.DUMMYFUNCTION("""COMPUTED_VALUE"""),"5907615813597")</f>
        <v>5907615813597</v>
      </c>
      <c r="C4199" t="str">
        <f>IFERROR(__xludf.DUMMYFUNCTION("""COMPUTED_VALUE"""),"Steinhof")</f>
        <v>Steinhof</v>
      </c>
    </row>
    <row r="4200">
      <c r="A4200" t="str">
        <f>IFERROR(__xludf.DUMMYFUNCTION("""COMPUTED_VALUE"""),"M-343")</f>
        <v>M-343</v>
      </c>
      <c r="B4200" s="226" t="str">
        <f>IFERROR(__xludf.DUMMYFUNCTION("""COMPUTED_VALUE"""),"5907615813597")</f>
        <v>5907615813597</v>
      </c>
      <c r="C4200" t="str">
        <f>IFERROR(__xludf.DUMMYFUNCTION("""COMPUTED_VALUE"""),"Steinhof")</f>
        <v>Steinhof</v>
      </c>
    </row>
    <row r="4201">
      <c r="A4201" t="str">
        <f>IFERROR(__xludf.DUMMYFUNCTION("""COMPUTED_VALUE"""),"M-348")</f>
        <v>M-348</v>
      </c>
      <c r="B4201" s="226" t="str">
        <f>IFERROR(__xludf.DUMMYFUNCTION("""COMPUTED_VALUE"""),"5907615813603")</f>
        <v>5907615813603</v>
      </c>
      <c r="C4201" t="str">
        <f>IFERROR(__xludf.DUMMYFUNCTION("""COMPUTED_VALUE"""),"Steinhof")</f>
        <v>Steinhof</v>
      </c>
    </row>
    <row r="4202">
      <c r="A4202" t="str">
        <f>IFERROR(__xludf.DUMMYFUNCTION("""COMPUTED_VALUE"""),"M-348")</f>
        <v>M-348</v>
      </c>
      <c r="B4202" s="226" t="str">
        <f>IFERROR(__xludf.DUMMYFUNCTION("""COMPUTED_VALUE"""),"5907615813603")</f>
        <v>5907615813603</v>
      </c>
      <c r="C4202" t="str">
        <f>IFERROR(__xludf.DUMMYFUNCTION("""COMPUTED_VALUE"""),"Steinhof")</f>
        <v>Steinhof</v>
      </c>
    </row>
    <row r="4203">
      <c r="A4203" t="str">
        <f>IFERROR(__xludf.DUMMYFUNCTION("""COMPUTED_VALUE"""),"M-350")</f>
        <v>M-350</v>
      </c>
      <c r="B4203" s="226" t="str">
        <f>IFERROR(__xludf.DUMMYFUNCTION("""COMPUTED_VALUE"""),"5907615813627")</f>
        <v>5907615813627</v>
      </c>
      <c r="C4203" t="str">
        <f>IFERROR(__xludf.DUMMYFUNCTION("""COMPUTED_VALUE"""),"Steinhof")</f>
        <v>Steinhof</v>
      </c>
    </row>
    <row r="4204">
      <c r="A4204" t="str">
        <f>IFERROR(__xludf.DUMMYFUNCTION("""COMPUTED_VALUE"""),"M-350")</f>
        <v>M-350</v>
      </c>
      <c r="B4204" s="226" t="str">
        <f>IFERROR(__xludf.DUMMYFUNCTION("""COMPUTED_VALUE"""),"5907615813627")</f>
        <v>5907615813627</v>
      </c>
      <c r="C4204" t="str">
        <f>IFERROR(__xludf.DUMMYFUNCTION("""COMPUTED_VALUE"""),"Steinhof")</f>
        <v>Steinhof</v>
      </c>
    </row>
    <row r="4205">
      <c r="A4205" t="str">
        <f>IFERROR(__xludf.DUMMYFUNCTION("""COMPUTED_VALUE"""),"M-352")</f>
        <v>M-352</v>
      </c>
      <c r="B4205" s="226" t="str">
        <f>IFERROR(__xludf.DUMMYFUNCTION("""COMPUTED_VALUE"""),"5907615813641")</f>
        <v>5907615813641</v>
      </c>
      <c r="C4205" t="str">
        <f>IFERROR(__xludf.DUMMYFUNCTION("""COMPUTED_VALUE"""),"Steinhof")</f>
        <v>Steinhof</v>
      </c>
    </row>
    <row r="4206">
      <c r="A4206" t="str">
        <f>IFERROR(__xludf.DUMMYFUNCTION("""COMPUTED_VALUE"""),"M-352")</f>
        <v>M-352</v>
      </c>
      <c r="B4206" s="226" t="str">
        <f>IFERROR(__xludf.DUMMYFUNCTION("""COMPUTED_VALUE"""),"5907615813641")</f>
        <v>5907615813641</v>
      </c>
      <c r="C4206" t="str">
        <f>IFERROR(__xludf.DUMMYFUNCTION("""COMPUTED_VALUE"""),"Steinhof")</f>
        <v>Steinhof</v>
      </c>
    </row>
    <row r="4207">
      <c r="A4207" t="str">
        <f>IFERROR(__xludf.DUMMYFUNCTION("""COMPUTED_VALUE"""),"M-354")</f>
        <v>M-354</v>
      </c>
      <c r="B4207" s="226" t="str">
        <f>IFERROR(__xludf.DUMMYFUNCTION("""COMPUTED_VALUE"""),"5907615813665")</f>
        <v>5907615813665</v>
      </c>
      <c r="C4207" t="str">
        <f>IFERROR(__xludf.DUMMYFUNCTION("""COMPUTED_VALUE"""),"Steinhof")</f>
        <v>Steinhof</v>
      </c>
    </row>
    <row r="4208">
      <c r="A4208" t="str">
        <f>IFERROR(__xludf.DUMMYFUNCTION("""COMPUTED_VALUE"""),"M-354")</f>
        <v>M-354</v>
      </c>
      <c r="B4208" s="226" t="str">
        <f>IFERROR(__xludf.DUMMYFUNCTION("""COMPUTED_VALUE"""),"5907615813665")</f>
        <v>5907615813665</v>
      </c>
      <c r="C4208" t="str">
        <f>IFERROR(__xludf.DUMMYFUNCTION("""COMPUTED_VALUE"""),"Steinhof")</f>
        <v>Steinhof</v>
      </c>
    </row>
    <row r="4209">
      <c r="A4209" t="str">
        <f>IFERROR(__xludf.DUMMYFUNCTION("""COMPUTED_VALUE"""),"M-354")</f>
        <v>M-354</v>
      </c>
      <c r="B4209" s="226" t="str">
        <f>IFERROR(__xludf.DUMMYFUNCTION("""COMPUTED_VALUE"""),"5907615813665")</f>
        <v>5907615813665</v>
      </c>
      <c r="C4209" t="str">
        <f>IFERROR(__xludf.DUMMYFUNCTION("""COMPUTED_VALUE"""),"Steinhof")</f>
        <v>Steinhof</v>
      </c>
    </row>
    <row r="4210">
      <c r="A4210" t="str">
        <f>IFERROR(__xludf.DUMMYFUNCTION("""COMPUTED_VALUE"""),"M-354")</f>
        <v>M-354</v>
      </c>
      <c r="B4210" s="226" t="str">
        <f>IFERROR(__xludf.DUMMYFUNCTION("""COMPUTED_VALUE"""),"5907615813665")</f>
        <v>5907615813665</v>
      </c>
      <c r="C4210" t="str">
        <f>IFERROR(__xludf.DUMMYFUNCTION("""COMPUTED_VALUE"""),"Steinhof")</f>
        <v>Steinhof</v>
      </c>
    </row>
    <row r="4211">
      <c r="A4211" t="str">
        <f>IFERROR(__xludf.DUMMYFUNCTION("""COMPUTED_VALUE"""),"M-354")</f>
        <v>M-354</v>
      </c>
      <c r="B4211" s="226" t="str">
        <f>IFERROR(__xludf.DUMMYFUNCTION("""COMPUTED_VALUE"""),"5907615813665")</f>
        <v>5907615813665</v>
      </c>
      <c r="C4211" t="str">
        <f>IFERROR(__xludf.DUMMYFUNCTION("""COMPUTED_VALUE"""),"Steinhof")</f>
        <v>Steinhof</v>
      </c>
    </row>
    <row r="4212">
      <c r="A4212" t="str">
        <f>IFERROR(__xludf.DUMMYFUNCTION("""COMPUTED_VALUE"""),"M-354")</f>
        <v>M-354</v>
      </c>
      <c r="B4212" s="226" t="str">
        <f>IFERROR(__xludf.DUMMYFUNCTION("""COMPUTED_VALUE"""),"5907615813665")</f>
        <v>5907615813665</v>
      </c>
      <c r="C4212" t="str">
        <f>IFERROR(__xludf.DUMMYFUNCTION("""COMPUTED_VALUE"""),"Steinhof")</f>
        <v>Steinhof</v>
      </c>
    </row>
    <row r="4213">
      <c r="A4213" t="str">
        <f>IFERROR(__xludf.DUMMYFUNCTION("""COMPUTED_VALUE"""),"M-355")</f>
        <v>M-355</v>
      </c>
      <c r="B4213" s="226" t="str">
        <f>IFERROR(__xludf.DUMMYFUNCTION("""COMPUTED_VALUE"""),"5907615813672")</f>
        <v>5907615813672</v>
      </c>
      <c r="C4213" t="str">
        <f>IFERROR(__xludf.DUMMYFUNCTION("""COMPUTED_VALUE"""),"Steinhof")</f>
        <v>Steinhof</v>
      </c>
    </row>
    <row r="4214">
      <c r="A4214" t="str">
        <f>IFERROR(__xludf.DUMMYFUNCTION("""COMPUTED_VALUE"""),"M-355")</f>
        <v>M-355</v>
      </c>
      <c r="B4214" s="226" t="str">
        <f>IFERROR(__xludf.DUMMYFUNCTION("""COMPUTED_VALUE"""),"5907615813672")</f>
        <v>5907615813672</v>
      </c>
      <c r="C4214" t="str">
        <f>IFERROR(__xludf.DUMMYFUNCTION("""COMPUTED_VALUE"""),"Steinhof")</f>
        <v>Steinhof</v>
      </c>
    </row>
    <row r="4215">
      <c r="A4215" t="str">
        <f>IFERROR(__xludf.DUMMYFUNCTION("""COMPUTED_VALUE"""),"M-355")</f>
        <v>M-355</v>
      </c>
      <c r="B4215" s="226" t="str">
        <f>IFERROR(__xludf.DUMMYFUNCTION("""COMPUTED_VALUE"""),"5907615813672")</f>
        <v>5907615813672</v>
      </c>
      <c r="C4215" t="str">
        <f>IFERROR(__xludf.DUMMYFUNCTION("""COMPUTED_VALUE"""),"Steinhof")</f>
        <v>Steinhof</v>
      </c>
    </row>
    <row r="4216">
      <c r="A4216" t="str">
        <f>IFERROR(__xludf.DUMMYFUNCTION("""COMPUTED_VALUE"""),"M-355")</f>
        <v>M-355</v>
      </c>
      <c r="B4216" s="226" t="str">
        <f>IFERROR(__xludf.DUMMYFUNCTION("""COMPUTED_VALUE"""),"5907615813672")</f>
        <v>5907615813672</v>
      </c>
      <c r="C4216" t="str">
        <f>IFERROR(__xludf.DUMMYFUNCTION("""COMPUTED_VALUE"""),"Steinhof")</f>
        <v>Steinhof</v>
      </c>
    </row>
    <row r="4217">
      <c r="A4217" t="str">
        <f>IFERROR(__xludf.DUMMYFUNCTION("""COMPUTED_VALUE"""),"M-355")</f>
        <v>M-355</v>
      </c>
      <c r="B4217" s="226" t="str">
        <f>IFERROR(__xludf.DUMMYFUNCTION("""COMPUTED_VALUE"""),"5907615813672")</f>
        <v>5907615813672</v>
      </c>
      <c r="C4217" t="str">
        <f>IFERROR(__xludf.DUMMYFUNCTION("""COMPUTED_VALUE"""),"Steinhof")</f>
        <v>Steinhof</v>
      </c>
    </row>
    <row r="4218">
      <c r="A4218" t="str">
        <f>IFERROR(__xludf.DUMMYFUNCTION("""COMPUTED_VALUE"""),"M-355")</f>
        <v>M-355</v>
      </c>
      <c r="B4218" s="226" t="str">
        <f>IFERROR(__xludf.DUMMYFUNCTION("""COMPUTED_VALUE"""),"5907615813672")</f>
        <v>5907615813672</v>
      </c>
      <c r="C4218" t="str">
        <f>IFERROR(__xludf.DUMMYFUNCTION("""COMPUTED_VALUE"""),"Steinhof")</f>
        <v>Steinhof</v>
      </c>
    </row>
    <row r="4219">
      <c r="A4219" t="str">
        <f>IFERROR(__xludf.DUMMYFUNCTION("""COMPUTED_VALUE"""),"M-356")</f>
        <v>M-356</v>
      </c>
      <c r="B4219" s="226" t="str">
        <f>IFERROR(__xludf.DUMMYFUNCTION("""COMPUTED_VALUE"""),"5907615813689")</f>
        <v>5907615813689</v>
      </c>
      <c r="C4219" t="str">
        <f>IFERROR(__xludf.DUMMYFUNCTION("""COMPUTED_VALUE"""),"Steinhof")</f>
        <v>Steinhof</v>
      </c>
    </row>
    <row r="4220">
      <c r="A4220" t="str">
        <f>IFERROR(__xludf.DUMMYFUNCTION("""COMPUTED_VALUE"""),"M-356")</f>
        <v>M-356</v>
      </c>
      <c r="B4220" s="226" t="str">
        <f>IFERROR(__xludf.DUMMYFUNCTION("""COMPUTED_VALUE"""),"5907615813689")</f>
        <v>5907615813689</v>
      </c>
      <c r="C4220" t="str">
        <f>IFERROR(__xludf.DUMMYFUNCTION("""COMPUTED_VALUE"""),"Steinhof")</f>
        <v>Steinhof</v>
      </c>
    </row>
    <row r="4221">
      <c r="A4221" t="str">
        <f>IFERROR(__xludf.DUMMYFUNCTION("""COMPUTED_VALUE"""),"M-357")</f>
        <v>M-357</v>
      </c>
      <c r="B4221" s="226" t="str">
        <f>IFERROR(__xludf.DUMMYFUNCTION("""COMPUTED_VALUE"""),"5907615813696")</f>
        <v>5907615813696</v>
      </c>
      <c r="C4221" t="str">
        <f>IFERROR(__xludf.DUMMYFUNCTION("""COMPUTED_VALUE"""),"Steinhof")</f>
        <v>Steinhof</v>
      </c>
    </row>
    <row r="4222">
      <c r="A4222" t="str">
        <f>IFERROR(__xludf.DUMMYFUNCTION("""COMPUTED_VALUE"""),"M-357")</f>
        <v>M-357</v>
      </c>
      <c r="B4222" s="226" t="str">
        <f>IFERROR(__xludf.DUMMYFUNCTION("""COMPUTED_VALUE"""),"5907615813696")</f>
        <v>5907615813696</v>
      </c>
      <c r="C4222" t="str">
        <f>IFERROR(__xludf.DUMMYFUNCTION("""COMPUTED_VALUE"""),"Steinhof")</f>
        <v>Steinhof</v>
      </c>
    </row>
    <row r="4223">
      <c r="A4223" t="str">
        <f>IFERROR(__xludf.DUMMYFUNCTION("""COMPUTED_VALUE"""),"M-375")</f>
        <v>M-375</v>
      </c>
      <c r="B4223" s="226" t="str">
        <f>IFERROR(__xludf.DUMMYFUNCTION("""COMPUTED_VALUE"""),"5907615813863")</f>
        <v>5907615813863</v>
      </c>
      <c r="C4223" t="str">
        <f>IFERROR(__xludf.DUMMYFUNCTION("""COMPUTED_VALUE"""),"Steinhof")</f>
        <v>Steinhof</v>
      </c>
    </row>
    <row r="4224">
      <c r="A4224" t="str">
        <f>IFERROR(__xludf.DUMMYFUNCTION("""COMPUTED_VALUE"""),"M-375")</f>
        <v>M-375</v>
      </c>
      <c r="B4224" s="226" t="str">
        <f>IFERROR(__xludf.DUMMYFUNCTION("""COMPUTED_VALUE"""),"5907615813863")</f>
        <v>5907615813863</v>
      </c>
      <c r="C4224" t="str">
        <f>IFERROR(__xludf.DUMMYFUNCTION("""COMPUTED_VALUE"""),"Steinhof")</f>
        <v>Steinhof</v>
      </c>
    </row>
    <row r="4225">
      <c r="A4225" t="str">
        <f>IFERROR(__xludf.DUMMYFUNCTION("""COMPUTED_VALUE"""),"N-010")</f>
        <v>N-010</v>
      </c>
      <c r="B4225" s="226" t="str">
        <f>IFERROR(__xludf.DUMMYFUNCTION("""COMPUTED_VALUE"""),"5907615814105")</f>
        <v>5907615814105</v>
      </c>
      <c r="C4225" t="str">
        <f>IFERROR(__xludf.DUMMYFUNCTION("""COMPUTED_VALUE"""),"Steinhof")</f>
        <v>Steinhof</v>
      </c>
    </row>
    <row r="4226">
      <c r="A4226" t="str">
        <f>IFERROR(__xludf.DUMMYFUNCTION("""COMPUTED_VALUE"""),"N-012")</f>
        <v>N-012</v>
      </c>
      <c r="B4226" s="226" t="str">
        <f>IFERROR(__xludf.DUMMYFUNCTION("""COMPUTED_VALUE"""),"5907615814129")</f>
        <v>5907615814129</v>
      </c>
      <c r="C4226" t="str">
        <f>IFERROR(__xludf.DUMMYFUNCTION("""COMPUTED_VALUE"""),"Steinhof")</f>
        <v>Steinhof</v>
      </c>
    </row>
    <row r="4227">
      <c r="A4227" t="str">
        <f>IFERROR(__xludf.DUMMYFUNCTION("""COMPUTED_VALUE"""),"N-014")</f>
        <v>N-014</v>
      </c>
      <c r="B4227" s="226" t="str">
        <f>IFERROR(__xludf.DUMMYFUNCTION("""COMPUTED_VALUE"""),"5907615814143")</f>
        <v>5907615814143</v>
      </c>
      <c r="C4227" t="str">
        <f>IFERROR(__xludf.DUMMYFUNCTION("""COMPUTED_VALUE"""),"Steinhof")</f>
        <v>Steinhof</v>
      </c>
    </row>
    <row r="4228">
      <c r="A4228" t="str">
        <f>IFERROR(__xludf.DUMMYFUNCTION("""COMPUTED_VALUE"""),"N-015")</f>
        <v>N-015</v>
      </c>
      <c r="B4228" s="226" t="str">
        <f>IFERROR(__xludf.DUMMYFUNCTION("""COMPUTED_VALUE"""),"5907615814150")</f>
        <v>5907615814150</v>
      </c>
      <c r="C4228" t="str">
        <f>IFERROR(__xludf.DUMMYFUNCTION("""COMPUTED_VALUE"""),"Steinhof")</f>
        <v>Steinhof</v>
      </c>
    </row>
    <row r="4229">
      <c r="A4229" t="str">
        <f>IFERROR(__xludf.DUMMYFUNCTION("""COMPUTED_VALUE"""),"N-015")</f>
        <v>N-015</v>
      </c>
      <c r="B4229" s="226" t="str">
        <f>IFERROR(__xludf.DUMMYFUNCTION("""COMPUTED_VALUE"""),"5907615814150")</f>
        <v>5907615814150</v>
      </c>
      <c r="C4229" t="str">
        <f>IFERROR(__xludf.DUMMYFUNCTION("""COMPUTED_VALUE"""),"Steinhof")</f>
        <v>Steinhof</v>
      </c>
    </row>
    <row r="4230">
      <c r="A4230" t="str">
        <f>IFERROR(__xludf.DUMMYFUNCTION("""COMPUTED_VALUE"""),"N-016")</f>
        <v>N-016</v>
      </c>
      <c r="B4230" s="226" t="str">
        <f>IFERROR(__xludf.DUMMYFUNCTION("""COMPUTED_VALUE"""),"5907615814167")</f>
        <v>5907615814167</v>
      </c>
      <c r="C4230" t="str">
        <f>IFERROR(__xludf.DUMMYFUNCTION("""COMPUTED_VALUE"""),"Steinhof")</f>
        <v>Steinhof</v>
      </c>
    </row>
    <row r="4231">
      <c r="A4231" t="str">
        <f>IFERROR(__xludf.DUMMYFUNCTION("""COMPUTED_VALUE"""),"N-016")</f>
        <v>N-016</v>
      </c>
      <c r="B4231" s="226" t="str">
        <f>IFERROR(__xludf.DUMMYFUNCTION("""COMPUTED_VALUE"""),"5907615814167")</f>
        <v>5907615814167</v>
      </c>
      <c r="C4231" t="str">
        <f>IFERROR(__xludf.DUMMYFUNCTION("""COMPUTED_VALUE"""),"Steinhof")</f>
        <v>Steinhof</v>
      </c>
    </row>
    <row r="4232">
      <c r="A4232" t="str">
        <f>IFERROR(__xludf.DUMMYFUNCTION("""COMPUTED_VALUE"""),"N-017")</f>
        <v>N-017</v>
      </c>
      <c r="B4232" s="226" t="str">
        <f>IFERROR(__xludf.DUMMYFUNCTION("""COMPUTED_VALUE"""),"5907615814174")</f>
        <v>5907615814174</v>
      </c>
      <c r="C4232" t="str">
        <f>IFERROR(__xludf.DUMMYFUNCTION("""COMPUTED_VALUE"""),"Steinhof")</f>
        <v>Steinhof</v>
      </c>
    </row>
    <row r="4233">
      <c r="A4233" t="str">
        <f>IFERROR(__xludf.DUMMYFUNCTION("""COMPUTED_VALUE"""),"N-017")</f>
        <v>N-017</v>
      </c>
      <c r="B4233" s="226" t="str">
        <f>IFERROR(__xludf.DUMMYFUNCTION("""COMPUTED_VALUE"""),"5907615814174")</f>
        <v>5907615814174</v>
      </c>
      <c r="C4233" t="str">
        <f>IFERROR(__xludf.DUMMYFUNCTION("""COMPUTED_VALUE"""),"Steinhof")</f>
        <v>Steinhof</v>
      </c>
    </row>
    <row r="4234">
      <c r="A4234" t="str">
        <f>IFERROR(__xludf.DUMMYFUNCTION("""COMPUTED_VALUE"""),"N-020")</f>
        <v>N-020</v>
      </c>
      <c r="B4234" s="226" t="str">
        <f>IFERROR(__xludf.DUMMYFUNCTION("""COMPUTED_VALUE"""),"5907615814204")</f>
        <v>5907615814204</v>
      </c>
      <c r="C4234" t="str">
        <f>IFERROR(__xludf.DUMMYFUNCTION("""COMPUTED_VALUE"""),"Steinhof")</f>
        <v>Steinhof</v>
      </c>
    </row>
    <row r="4235">
      <c r="A4235" t="str">
        <f>IFERROR(__xludf.DUMMYFUNCTION("""COMPUTED_VALUE"""),"N-020")</f>
        <v>N-020</v>
      </c>
      <c r="B4235" s="226" t="str">
        <f>IFERROR(__xludf.DUMMYFUNCTION("""COMPUTED_VALUE"""),"5907615814204")</f>
        <v>5907615814204</v>
      </c>
      <c r="C4235" t="str">
        <f>IFERROR(__xludf.DUMMYFUNCTION("""COMPUTED_VALUE"""),"Steinhof")</f>
        <v>Steinhof</v>
      </c>
    </row>
    <row r="4236">
      <c r="A4236" t="str">
        <f>IFERROR(__xludf.DUMMYFUNCTION("""COMPUTED_VALUE"""),"N-020")</f>
        <v>N-020</v>
      </c>
      <c r="B4236" s="226" t="str">
        <f>IFERROR(__xludf.DUMMYFUNCTION("""COMPUTED_VALUE"""),"5907615814204")</f>
        <v>5907615814204</v>
      </c>
      <c r="C4236" t="str">
        <f>IFERROR(__xludf.DUMMYFUNCTION("""COMPUTED_VALUE"""),"Steinhof")</f>
        <v>Steinhof</v>
      </c>
    </row>
    <row r="4237">
      <c r="A4237" t="str">
        <f>IFERROR(__xludf.DUMMYFUNCTION("""COMPUTED_VALUE"""),"N-020")</f>
        <v>N-020</v>
      </c>
      <c r="B4237" s="226" t="str">
        <f>IFERROR(__xludf.DUMMYFUNCTION("""COMPUTED_VALUE"""),"5907615814204")</f>
        <v>5907615814204</v>
      </c>
      <c r="C4237" t="str">
        <f>IFERROR(__xludf.DUMMYFUNCTION("""COMPUTED_VALUE"""),"Steinhof")</f>
        <v>Steinhof</v>
      </c>
    </row>
    <row r="4238">
      <c r="A4238" t="str">
        <f>IFERROR(__xludf.DUMMYFUNCTION("""COMPUTED_VALUE"""),"N-021")</f>
        <v>N-021</v>
      </c>
      <c r="B4238" s="226" t="str">
        <f>IFERROR(__xludf.DUMMYFUNCTION("""COMPUTED_VALUE"""),"5907615814211")</f>
        <v>5907615814211</v>
      </c>
      <c r="C4238" t="str">
        <f>IFERROR(__xludf.DUMMYFUNCTION("""COMPUTED_VALUE"""),"Steinhof")</f>
        <v>Steinhof</v>
      </c>
    </row>
    <row r="4239">
      <c r="A4239" t="str">
        <f>IFERROR(__xludf.DUMMYFUNCTION("""COMPUTED_VALUE"""),"N-021")</f>
        <v>N-021</v>
      </c>
      <c r="B4239" s="226" t="str">
        <f>IFERROR(__xludf.DUMMYFUNCTION("""COMPUTED_VALUE"""),"5907615814211")</f>
        <v>5907615814211</v>
      </c>
      <c r="C4239" t="str">
        <f>IFERROR(__xludf.DUMMYFUNCTION("""COMPUTED_VALUE"""),"Steinhof")</f>
        <v>Steinhof</v>
      </c>
    </row>
    <row r="4240">
      <c r="A4240" t="str">
        <f>IFERROR(__xludf.DUMMYFUNCTION("""COMPUTED_VALUE"""),"N-021")</f>
        <v>N-021</v>
      </c>
      <c r="B4240" s="226" t="str">
        <f>IFERROR(__xludf.DUMMYFUNCTION("""COMPUTED_VALUE"""),"5907615814211")</f>
        <v>5907615814211</v>
      </c>
      <c r="C4240" t="str">
        <f>IFERROR(__xludf.DUMMYFUNCTION("""COMPUTED_VALUE"""),"Steinhof")</f>
        <v>Steinhof</v>
      </c>
    </row>
    <row r="4241">
      <c r="A4241" t="str">
        <f>IFERROR(__xludf.DUMMYFUNCTION("""COMPUTED_VALUE"""),"N-021")</f>
        <v>N-021</v>
      </c>
      <c r="B4241" s="226" t="str">
        <f>IFERROR(__xludf.DUMMYFUNCTION("""COMPUTED_VALUE"""),"5907615814211")</f>
        <v>5907615814211</v>
      </c>
      <c r="C4241" t="str">
        <f>IFERROR(__xludf.DUMMYFUNCTION("""COMPUTED_VALUE"""),"Steinhof")</f>
        <v>Steinhof</v>
      </c>
    </row>
    <row r="4242">
      <c r="A4242" t="str">
        <f>IFERROR(__xludf.DUMMYFUNCTION("""COMPUTED_VALUE"""),"N-057")</f>
        <v>N-057</v>
      </c>
      <c r="B4242" s="226" t="str">
        <f>IFERROR(__xludf.DUMMYFUNCTION("""COMPUTED_VALUE"""),"5907615814662")</f>
        <v>5907615814662</v>
      </c>
      <c r="C4242" t="str">
        <f>IFERROR(__xludf.DUMMYFUNCTION("""COMPUTED_VALUE"""),"Steinhof")</f>
        <v>Steinhof</v>
      </c>
    </row>
    <row r="4243">
      <c r="A4243" t="str">
        <f>IFERROR(__xludf.DUMMYFUNCTION("""COMPUTED_VALUE"""),"N-057")</f>
        <v>N-057</v>
      </c>
      <c r="B4243" s="226" t="str">
        <f>IFERROR(__xludf.DUMMYFUNCTION("""COMPUTED_VALUE"""),"5907615814662")</f>
        <v>5907615814662</v>
      </c>
      <c r="C4243" t="str">
        <f>IFERROR(__xludf.DUMMYFUNCTION("""COMPUTED_VALUE"""),"Steinhof")</f>
        <v>Steinhof</v>
      </c>
    </row>
    <row r="4244">
      <c r="A4244" t="str">
        <f>IFERROR(__xludf.DUMMYFUNCTION("""COMPUTED_VALUE"""),"N-058")</f>
        <v>N-058</v>
      </c>
      <c r="B4244" s="226" t="str">
        <f>IFERROR(__xludf.DUMMYFUNCTION("""COMPUTED_VALUE"""),"5907615814679")</f>
        <v>5907615814679</v>
      </c>
      <c r="C4244" t="str">
        <f>IFERROR(__xludf.DUMMYFUNCTION("""COMPUTED_VALUE"""),"Steinhof")</f>
        <v>Steinhof</v>
      </c>
    </row>
    <row r="4245">
      <c r="A4245" t="str">
        <f>IFERROR(__xludf.DUMMYFUNCTION("""COMPUTED_VALUE"""),"N-058")</f>
        <v>N-058</v>
      </c>
      <c r="B4245" s="226" t="str">
        <f>IFERROR(__xludf.DUMMYFUNCTION("""COMPUTED_VALUE"""),"5907615814679")</f>
        <v>5907615814679</v>
      </c>
      <c r="C4245" t="str">
        <f>IFERROR(__xludf.DUMMYFUNCTION("""COMPUTED_VALUE"""),"Steinhof")</f>
        <v>Steinhof</v>
      </c>
    </row>
    <row r="4246">
      <c r="A4246" t="str">
        <f>IFERROR(__xludf.DUMMYFUNCTION("""COMPUTED_VALUE"""),"N-059")</f>
        <v>N-059</v>
      </c>
      <c r="B4246" s="226" t="str">
        <f>IFERROR(__xludf.DUMMYFUNCTION("""COMPUTED_VALUE"""),"5907615814686")</f>
        <v>5907615814686</v>
      </c>
      <c r="C4246" t="str">
        <f>IFERROR(__xludf.DUMMYFUNCTION("""COMPUTED_VALUE"""),"Steinhof")</f>
        <v>Steinhof</v>
      </c>
    </row>
    <row r="4247">
      <c r="A4247" t="str">
        <f>IFERROR(__xludf.DUMMYFUNCTION("""COMPUTED_VALUE"""),"N-060")</f>
        <v>N-060</v>
      </c>
      <c r="B4247" s="226" t="str">
        <f>IFERROR(__xludf.DUMMYFUNCTION("""COMPUTED_VALUE"""),"5907615814693")</f>
        <v>5907615814693</v>
      </c>
      <c r="C4247" t="str">
        <f>IFERROR(__xludf.DUMMYFUNCTION("""COMPUTED_VALUE"""),"Steinhof")</f>
        <v>Steinhof</v>
      </c>
    </row>
    <row r="4248">
      <c r="A4248" t="str">
        <f>IFERROR(__xludf.DUMMYFUNCTION("""COMPUTED_VALUE"""),"N-063")</f>
        <v>N-063</v>
      </c>
      <c r="B4248" s="226" t="str">
        <f>IFERROR(__xludf.DUMMYFUNCTION("""COMPUTED_VALUE"""),"5907615814723")</f>
        <v>5907615814723</v>
      </c>
      <c r="C4248" t="str">
        <f>IFERROR(__xludf.DUMMYFUNCTION("""COMPUTED_VALUE"""),"Steinhof")</f>
        <v>Steinhof</v>
      </c>
    </row>
    <row r="4249">
      <c r="A4249" t="str">
        <f>IFERROR(__xludf.DUMMYFUNCTION("""COMPUTED_VALUE"""),"N-063")</f>
        <v>N-063</v>
      </c>
      <c r="B4249" s="226" t="str">
        <f>IFERROR(__xludf.DUMMYFUNCTION("""COMPUTED_VALUE"""),"5907615814723")</f>
        <v>5907615814723</v>
      </c>
      <c r="C4249" t="str">
        <f>IFERROR(__xludf.DUMMYFUNCTION("""COMPUTED_VALUE"""),"Steinhof")</f>
        <v>Steinhof</v>
      </c>
    </row>
    <row r="4250">
      <c r="A4250" t="str">
        <f>IFERROR(__xludf.DUMMYFUNCTION("""COMPUTED_VALUE"""),"N-063")</f>
        <v>N-063</v>
      </c>
      <c r="B4250" s="226" t="str">
        <f>IFERROR(__xludf.DUMMYFUNCTION("""COMPUTED_VALUE"""),"5907615814723")</f>
        <v>5907615814723</v>
      </c>
      <c r="C4250" t="str">
        <f>IFERROR(__xludf.DUMMYFUNCTION("""COMPUTED_VALUE"""),"Steinhof")</f>
        <v>Steinhof</v>
      </c>
    </row>
    <row r="4251">
      <c r="A4251" t="str">
        <f>IFERROR(__xludf.DUMMYFUNCTION("""COMPUTED_VALUE"""),"N-063")</f>
        <v>N-063</v>
      </c>
      <c r="B4251" s="226" t="str">
        <f>IFERROR(__xludf.DUMMYFUNCTION("""COMPUTED_VALUE"""),"5907615814723")</f>
        <v>5907615814723</v>
      </c>
      <c r="C4251" t="str">
        <f>IFERROR(__xludf.DUMMYFUNCTION("""COMPUTED_VALUE"""),"Steinhof")</f>
        <v>Steinhof</v>
      </c>
    </row>
    <row r="4252">
      <c r="A4252" t="str">
        <f>IFERROR(__xludf.DUMMYFUNCTION("""COMPUTED_VALUE"""),"N-064")</f>
        <v>N-064</v>
      </c>
      <c r="B4252" s="226" t="str">
        <f>IFERROR(__xludf.DUMMYFUNCTION("""COMPUTED_VALUE"""),"5907615814730")</f>
        <v>5907615814730</v>
      </c>
      <c r="C4252" t="str">
        <f>IFERROR(__xludf.DUMMYFUNCTION("""COMPUTED_VALUE"""),"Steinhof")</f>
        <v>Steinhof</v>
      </c>
    </row>
    <row r="4253">
      <c r="A4253" t="str">
        <f>IFERROR(__xludf.DUMMYFUNCTION("""COMPUTED_VALUE"""),"N-064")</f>
        <v>N-064</v>
      </c>
      <c r="B4253" s="226" t="str">
        <f>IFERROR(__xludf.DUMMYFUNCTION("""COMPUTED_VALUE"""),"5907615814730")</f>
        <v>5907615814730</v>
      </c>
      <c r="C4253" t="str">
        <f>IFERROR(__xludf.DUMMYFUNCTION("""COMPUTED_VALUE"""),"Steinhof")</f>
        <v>Steinhof</v>
      </c>
    </row>
    <row r="4254">
      <c r="A4254" t="str">
        <f>IFERROR(__xludf.DUMMYFUNCTION("""COMPUTED_VALUE"""),"N-064")</f>
        <v>N-064</v>
      </c>
      <c r="B4254" s="226" t="str">
        <f>IFERROR(__xludf.DUMMYFUNCTION("""COMPUTED_VALUE"""),"5907615814730")</f>
        <v>5907615814730</v>
      </c>
      <c r="C4254" t="str">
        <f>IFERROR(__xludf.DUMMYFUNCTION("""COMPUTED_VALUE"""),"Steinhof")</f>
        <v>Steinhof</v>
      </c>
    </row>
    <row r="4255">
      <c r="A4255" t="str">
        <f>IFERROR(__xludf.DUMMYFUNCTION("""COMPUTED_VALUE"""),"N-064")</f>
        <v>N-064</v>
      </c>
      <c r="B4255" s="226" t="str">
        <f>IFERROR(__xludf.DUMMYFUNCTION("""COMPUTED_VALUE"""),"5907615814730")</f>
        <v>5907615814730</v>
      </c>
      <c r="C4255" t="str">
        <f>IFERROR(__xludf.DUMMYFUNCTION("""COMPUTED_VALUE"""),"Steinhof")</f>
        <v>Steinhof</v>
      </c>
    </row>
    <row r="4256">
      <c r="A4256" t="str">
        <f>IFERROR(__xludf.DUMMYFUNCTION("""COMPUTED_VALUE"""),"N-065")</f>
        <v>N-065</v>
      </c>
      <c r="B4256" s="226" t="str">
        <f>IFERROR(__xludf.DUMMYFUNCTION("""COMPUTED_VALUE"""),"5907615814747")</f>
        <v>5907615814747</v>
      </c>
      <c r="C4256" t="str">
        <f>IFERROR(__xludf.DUMMYFUNCTION("""COMPUTED_VALUE"""),"Steinhof")</f>
        <v>Steinhof</v>
      </c>
    </row>
    <row r="4257">
      <c r="A4257" t="str">
        <f>IFERROR(__xludf.DUMMYFUNCTION("""COMPUTED_VALUE"""),"N-065")</f>
        <v>N-065</v>
      </c>
      <c r="B4257" s="226" t="str">
        <f>IFERROR(__xludf.DUMMYFUNCTION("""COMPUTED_VALUE"""),"5907615814747")</f>
        <v>5907615814747</v>
      </c>
      <c r="C4257" t="str">
        <f>IFERROR(__xludf.DUMMYFUNCTION("""COMPUTED_VALUE"""),"Steinhof")</f>
        <v>Steinhof</v>
      </c>
    </row>
    <row r="4258">
      <c r="A4258" t="str">
        <f>IFERROR(__xludf.DUMMYFUNCTION("""COMPUTED_VALUE"""),"N-066")</f>
        <v>N-066</v>
      </c>
      <c r="B4258" s="226" t="str">
        <f>IFERROR(__xludf.DUMMYFUNCTION("""COMPUTED_VALUE"""),"5907615814754")</f>
        <v>5907615814754</v>
      </c>
      <c r="C4258" t="str">
        <f>IFERROR(__xludf.DUMMYFUNCTION("""COMPUTED_VALUE"""),"Steinhof")</f>
        <v>Steinhof</v>
      </c>
    </row>
    <row r="4259">
      <c r="A4259" t="str">
        <f>IFERROR(__xludf.DUMMYFUNCTION("""COMPUTED_VALUE"""),"N-066")</f>
        <v>N-066</v>
      </c>
      <c r="B4259" s="226" t="str">
        <f>IFERROR(__xludf.DUMMYFUNCTION("""COMPUTED_VALUE"""),"5907615814754")</f>
        <v>5907615814754</v>
      </c>
      <c r="C4259" t="str">
        <f>IFERROR(__xludf.DUMMYFUNCTION("""COMPUTED_VALUE"""),"Steinhof")</f>
        <v>Steinhof</v>
      </c>
    </row>
    <row r="4260">
      <c r="A4260" t="str">
        <f>IFERROR(__xludf.DUMMYFUNCTION("""COMPUTED_VALUE"""),"N-067")</f>
        <v>N-067</v>
      </c>
      <c r="B4260" s="226" t="str">
        <f>IFERROR(__xludf.DUMMYFUNCTION("""COMPUTED_VALUE"""),"5907615814761")</f>
        <v>5907615814761</v>
      </c>
      <c r="C4260" t="str">
        <f>IFERROR(__xludf.DUMMYFUNCTION("""COMPUTED_VALUE"""),"Steinhof")</f>
        <v>Steinhof</v>
      </c>
    </row>
    <row r="4261">
      <c r="A4261" t="str">
        <f>IFERROR(__xludf.DUMMYFUNCTION("""COMPUTED_VALUE"""),"N-067")</f>
        <v>N-067</v>
      </c>
      <c r="B4261" s="226" t="str">
        <f>IFERROR(__xludf.DUMMYFUNCTION("""COMPUTED_VALUE"""),"5907615814761")</f>
        <v>5907615814761</v>
      </c>
      <c r="C4261" t="str">
        <f>IFERROR(__xludf.DUMMYFUNCTION("""COMPUTED_VALUE"""),"Steinhof")</f>
        <v>Steinhof</v>
      </c>
    </row>
    <row r="4262">
      <c r="A4262" t="str">
        <f>IFERROR(__xludf.DUMMYFUNCTION("""COMPUTED_VALUE"""),"N-068")</f>
        <v>N-068</v>
      </c>
      <c r="B4262" s="226" t="str">
        <f>IFERROR(__xludf.DUMMYFUNCTION("""COMPUTED_VALUE"""),"5907615814778")</f>
        <v>5907615814778</v>
      </c>
      <c r="C4262" t="str">
        <f>IFERROR(__xludf.DUMMYFUNCTION("""COMPUTED_VALUE"""),"Steinhof")</f>
        <v>Steinhof</v>
      </c>
    </row>
    <row r="4263">
      <c r="A4263" t="str">
        <f>IFERROR(__xludf.DUMMYFUNCTION("""COMPUTED_VALUE"""),"N-068")</f>
        <v>N-068</v>
      </c>
      <c r="B4263" s="226" t="str">
        <f>IFERROR(__xludf.DUMMYFUNCTION("""COMPUTED_VALUE"""),"5907615814778")</f>
        <v>5907615814778</v>
      </c>
      <c r="C4263" t="str">
        <f>IFERROR(__xludf.DUMMYFUNCTION("""COMPUTED_VALUE"""),"Steinhof")</f>
        <v>Steinhof</v>
      </c>
    </row>
    <row r="4264">
      <c r="A4264" t="str">
        <f>IFERROR(__xludf.DUMMYFUNCTION("""COMPUTED_VALUE"""),"N-071")</f>
        <v>N-071</v>
      </c>
      <c r="B4264" s="226" t="str">
        <f>IFERROR(__xludf.DUMMYFUNCTION("""COMPUTED_VALUE"""),"5907615814808")</f>
        <v>5907615814808</v>
      </c>
      <c r="C4264" t="str">
        <f>IFERROR(__xludf.DUMMYFUNCTION("""COMPUTED_VALUE"""),"Steinhof")</f>
        <v>Steinhof</v>
      </c>
    </row>
    <row r="4265">
      <c r="A4265" t="str">
        <f>IFERROR(__xludf.DUMMYFUNCTION("""COMPUTED_VALUE"""),"N-072")</f>
        <v>N-072</v>
      </c>
      <c r="B4265" s="226" t="str">
        <f>IFERROR(__xludf.DUMMYFUNCTION("""COMPUTED_VALUE"""),"5907615814815")</f>
        <v>5907615814815</v>
      </c>
      <c r="C4265" t="str">
        <f>IFERROR(__xludf.DUMMYFUNCTION("""COMPUTED_VALUE"""),"Steinhof")</f>
        <v>Steinhof</v>
      </c>
    </row>
    <row r="4266">
      <c r="A4266" t="str">
        <f>IFERROR(__xludf.DUMMYFUNCTION("""COMPUTED_VALUE"""),"N-072")</f>
        <v>N-072</v>
      </c>
      <c r="B4266" s="226" t="str">
        <f>IFERROR(__xludf.DUMMYFUNCTION("""COMPUTED_VALUE"""),"5907615814815")</f>
        <v>5907615814815</v>
      </c>
      <c r="C4266" t="str">
        <f>IFERROR(__xludf.DUMMYFUNCTION("""COMPUTED_VALUE"""),"Steinhof")</f>
        <v>Steinhof</v>
      </c>
    </row>
    <row r="4267">
      <c r="A4267" t="str">
        <f>IFERROR(__xludf.DUMMYFUNCTION("""COMPUTED_VALUE"""),"N-073")</f>
        <v>N-073</v>
      </c>
      <c r="B4267" s="226" t="str">
        <f>IFERROR(__xludf.DUMMYFUNCTION("""COMPUTED_VALUE"""),"5907615814822")</f>
        <v>5907615814822</v>
      </c>
      <c r="C4267" t="str">
        <f>IFERROR(__xludf.DUMMYFUNCTION("""COMPUTED_VALUE"""),"Steinhof")</f>
        <v>Steinhof</v>
      </c>
    </row>
    <row r="4268">
      <c r="A4268" t="str">
        <f>IFERROR(__xludf.DUMMYFUNCTION("""COMPUTED_VALUE"""),"N-073")</f>
        <v>N-073</v>
      </c>
      <c r="B4268" s="226" t="str">
        <f>IFERROR(__xludf.DUMMYFUNCTION("""COMPUTED_VALUE"""),"5907615814822")</f>
        <v>5907615814822</v>
      </c>
      <c r="C4268" t="str">
        <f>IFERROR(__xludf.DUMMYFUNCTION("""COMPUTED_VALUE"""),"Steinhof")</f>
        <v>Steinhof</v>
      </c>
    </row>
    <row r="4269">
      <c r="A4269" t="str">
        <f>IFERROR(__xludf.DUMMYFUNCTION("""COMPUTED_VALUE"""),"N-074")</f>
        <v>N-074</v>
      </c>
      <c r="B4269" s="226" t="str">
        <f>IFERROR(__xludf.DUMMYFUNCTION("""COMPUTED_VALUE"""),"5907615814839")</f>
        <v>5907615814839</v>
      </c>
      <c r="C4269" t="str">
        <f>IFERROR(__xludf.DUMMYFUNCTION("""COMPUTED_VALUE"""),"Steinhof")</f>
        <v>Steinhof</v>
      </c>
    </row>
    <row r="4270">
      <c r="A4270" t="str">
        <f>IFERROR(__xludf.DUMMYFUNCTION("""COMPUTED_VALUE"""),"N-074")</f>
        <v>N-074</v>
      </c>
      <c r="B4270" s="226" t="str">
        <f>IFERROR(__xludf.DUMMYFUNCTION("""COMPUTED_VALUE"""),"5907615814839")</f>
        <v>5907615814839</v>
      </c>
      <c r="C4270" t="str">
        <f>IFERROR(__xludf.DUMMYFUNCTION("""COMPUTED_VALUE"""),"Steinhof")</f>
        <v>Steinhof</v>
      </c>
    </row>
    <row r="4271">
      <c r="A4271" t="str">
        <f>IFERROR(__xludf.DUMMYFUNCTION("""COMPUTED_VALUE"""),"N-082")</f>
        <v>N-082</v>
      </c>
      <c r="B4271" s="226" t="str">
        <f>IFERROR(__xludf.DUMMYFUNCTION("""COMPUTED_VALUE"""),"5907615814846")</f>
        <v>5907615814846</v>
      </c>
      <c r="C4271" t="str">
        <f>IFERROR(__xludf.DUMMYFUNCTION("""COMPUTED_VALUE"""),"Steinhof")</f>
        <v>Steinhof</v>
      </c>
    </row>
    <row r="4272">
      <c r="A4272" t="str">
        <f>IFERROR(__xludf.DUMMYFUNCTION("""COMPUTED_VALUE"""),"N-082")</f>
        <v>N-082</v>
      </c>
      <c r="B4272" s="226" t="str">
        <f>IFERROR(__xludf.DUMMYFUNCTION("""COMPUTED_VALUE"""),"5907615814846")</f>
        <v>5907615814846</v>
      </c>
      <c r="C4272" t="str">
        <f>IFERROR(__xludf.DUMMYFUNCTION("""COMPUTED_VALUE"""),"Steinhof")</f>
        <v>Steinhof</v>
      </c>
    </row>
    <row r="4273">
      <c r="A4273" t="str">
        <f>IFERROR(__xludf.DUMMYFUNCTION("""COMPUTED_VALUE"""),"N-085")</f>
        <v>N-085</v>
      </c>
      <c r="B4273" s="226" t="str">
        <f>IFERROR(__xludf.DUMMYFUNCTION("""COMPUTED_VALUE"""),"5907615814853")</f>
        <v>5907615814853</v>
      </c>
      <c r="C4273" t="str">
        <f>IFERROR(__xludf.DUMMYFUNCTION("""COMPUTED_VALUE"""),"Steinhof")</f>
        <v>Steinhof</v>
      </c>
    </row>
    <row r="4274">
      <c r="A4274" t="str">
        <f>IFERROR(__xludf.DUMMYFUNCTION("""COMPUTED_VALUE"""),"N-085")</f>
        <v>N-085</v>
      </c>
      <c r="B4274" s="226" t="str">
        <f>IFERROR(__xludf.DUMMYFUNCTION("""COMPUTED_VALUE"""),"5907615814853")</f>
        <v>5907615814853</v>
      </c>
      <c r="C4274" t="str">
        <f>IFERROR(__xludf.DUMMYFUNCTION("""COMPUTED_VALUE"""),"Steinhof")</f>
        <v>Steinhof</v>
      </c>
    </row>
    <row r="4275">
      <c r="A4275" t="str">
        <f>IFERROR(__xludf.DUMMYFUNCTION("""COMPUTED_VALUE"""),"N-085")</f>
        <v>N-085</v>
      </c>
      <c r="B4275" s="226" t="str">
        <f>IFERROR(__xludf.DUMMYFUNCTION("""COMPUTED_VALUE"""),"5907615814853")</f>
        <v>5907615814853</v>
      </c>
      <c r="C4275" t="str">
        <f>IFERROR(__xludf.DUMMYFUNCTION("""COMPUTED_VALUE"""),"Steinhof")</f>
        <v>Steinhof</v>
      </c>
    </row>
    <row r="4276">
      <c r="A4276" t="str">
        <f>IFERROR(__xludf.DUMMYFUNCTION("""COMPUTED_VALUE"""),"N-085")</f>
        <v>N-085</v>
      </c>
      <c r="B4276" s="226" t="str">
        <f>IFERROR(__xludf.DUMMYFUNCTION("""COMPUTED_VALUE"""),"5907615814853")</f>
        <v>5907615814853</v>
      </c>
      <c r="C4276" t="str">
        <f>IFERROR(__xludf.DUMMYFUNCTION("""COMPUTED_VALUE"""),"Steinhof")</f>
        <v>Steinhof</v>
      </c>
    </row>
    <row r="4277">
      <c r="A4277" t="str">
        <f>IFERROR(__xludf.DUMMYFUNCTION("""COMPUTED_VALUE"""),"N-083")</f>
        <v>N-083</v>
      </c>
      <c r="B4277" s="226" t="str">
        <f>IFERROR(__xludf.DUMMYFUNCTION("""COMPUTED_VALUE"""),"5907615814860")</f>
        <v>5907615814860</v>
      </c>
      <c r="C4277" t="str">
        <f>IFERROR(__xludf.DUMMYFUNCTION("""COMPUTED_VALUE"""),"Steinhof")</f>
        <v>Steinhof</v>
      </c>
    </row>
    <row r="4278">
      <c r="A4278" t="str">
        <f>IFERROR(__xludf.DUMMYFUNCTION("""COMPUTED_VALUE"""),"N-083")</f>
        <v>N-083</v>
      </c>
      <c r="B4278" s="226" t="str">
        <f>IFERROR(__xludf.DUMMYFUNCTION("""COMPUTED_VALUE"""),"5907615814860")</f>
        <v>5907615814860</v>
      </c>
      <c r="C4278" t="str">
        <f>IFERROR(__xludf.DUMMYFUNCTION("""COMPUTED_VALUE"""),"Steinhof")</f>
        <v>Steinhof</v>
      </c>
    </row>
    <row r="4279">
      <c r="A4279" t="str">
        <f>IFERROR(__xludf.DUMMYFUNCTION("""COMPUTED_VALUE"""),"N-087")</f>
        <v>N-087</v>
      </c>
      <c r="B4279" s="226" t="str">
        <f>IFERROR(__xludf.DUMMYFUNCTION("""COMPUTED_VALUE"""),"5907615814877")</f>
        <v>5907615814877</v>
      </c>
      <c r="C4279" t="str">
        <f>IFERROR(__xludf.DUMMYFUNCTION("""COMPUTED_VALUE"""),"Steinhof")</f>
        <v>Steinhof</v>
      </c>
    </row>
    <row r="4280">
      <c r="A4280" t="str">
        <f>IFERROR(__xludf.DUMMYFUNCTION("""COMPUTED_VALUE"""),"N-087")</f>
        <v>N-087</v>
      </c>
      <c r="B4280" s="226" t="str">
        <f>IFERROR(__xludf.DUMMYFUNCTION("""COMPUTED_VALUE"""),"5907615814877")</f>
        <v>5907615814877</v>
      </c>
      <c r="C4280" t="str">
        <f>IFERROR(__xludf.DUMMYFUNCTION("""COMPUTED_VALUE"""),"Steinhof")</f>
        <v>Steinhof</v>
      </c>
    </row>
    <row r="4281">
      <c r="A4281" t="str">
        <f>IFERROR(__xludf.DUMMYFUNCTION("""COMPUTED_VALUE"""),"N-087")</f>
        <v>N-087</v>
      </c>
      <c r="B4281" s="226" t="str">
        <f>IFERROR(__xludf.DUMMYFUNCTION("""COMPUTED_VALUE"""),"5907615814877")</f>
        <v>5907615814877</v>
      </c>
      <c r="C4281" t="str">
        <f>IFERROR(__xludf.DUMMYFUNCTION("""COMPUTED_VALUE"""),"Steinhof")</f>
        <v>Steinhof</v>
      </c>
    </row>
    <row r="4282">
      <c r="A4282" t="str">
        <f>IFERROR(__xludf.DUMMYFUNCTION("""COMPUTED_VALUE"""),"N-087")</f>
        <v>N-087</v>
      </c>
      <c r="B4282" s="226" t="str">
        <f>IFERROR(__xludf.DUMMYFUNCTION("""COMPUTED_VALUE"""),"5907615814877")</f>
        <v>5907615814877</v>
      </c>
      <c r="C4282" t="str">
        <f>IFERROR(__xludf.DUMMYFUNCTION("""COMPUTED_VALUE"""),"Steinhof")</f>
        <v>Steinhof</v>
      </c>
    </row>
    <row r="4283">
      <c r="A4283" t="str">
        <f>IFERROR(__xludf.DUMMYFUNCTION("""COMPUTED_VALUE"""),"N-088")</f>
        <v>N-088</v>
      </c>
      <c r="B4283" s="226" t="str">
        <f>IFERROR(__xludf.DUMMYFUNCTION("""COMPUTED_VALUE"""),"5907615814884")</f>
        <v>5907615814884</v>
      </c>
      <c r="C4283" t="str">
        <f>IFERROR(__xludf.DUMMYFUNCTION("""COMPUTED_VALUE"""),"Steinhof")</f>
        <v>Steinhof</v>
      </c>
    </row>
    <row r="4284">
      <c r="A4284" t="str">
        <f>IFERROR(__xludf.DUMMYFUNCTION("""COMPUTED_VALUE"""),"N-088")</f>
        <v>N-088</v>
      </c>
      <c r="B4284" s="226" t="str">
        <f>IFERROR(__xludf.DUMMYFUNCTION("""COMPUTED_VALUE"""),"5907615814884")</f>
        <v>5907615814884</v>
      </c>
      <c r="C4284" t="str">
        <f>IFERROR(__xludf.DUMMYFUNCTION("""COMPUTED_VALUE"""),"Steinhof")</f>
        <v>Steinhof</v>
      </c>
    </row>
    <row r="4285">
      <c r="A4285" t="str">
        <f>IFERROR(__xludf.DUMMYFUNCTION("""COMPUTED_VALUE"""),"N-080")</f>
        <v>N-080</v>
      </c>
      <c r="B4285" s="226" t="str">
        <f>IFERROR(__xludf.DUMMYFUNCTION("""COMPUTED_VALUE"""),"5907615814891")</f>
        <v>5907615814891</v>
      </c>
      <c r="C4285" t="str">
        <f>IFERROR(__xludf.DUMMYFUNCTION("""COMPUTED_VALUE"""),"Steinhof")</f>
        <v>Steinhof</v>
      </c>
    </row>
    <row r="4286">
      <c r="A4286" t="str">
        <f>IFERROR(__xludf.DUMMYFUNCTION("""COMPUTED_VALUE"""),"N-080")</f>
        <v>N-080</v>
      </c>
      <c r="B4286" s="226" t="str">
        <f>IFERROR(__xludf.DUMMYFUNCTION("""COMPUTED_VALUE"""),"5907615814891")</f>
        <v>5907615814891</v>
      </c>
      <c r="C4286" t="str">
        <f>IFERROR(__xludf.DUMMYFUNCTION("""COMPUTED_VALUE"""),"Steinhof")</f>
        <v>Steinhof</v>
      </c>
    </row>
    <row r="4287">
      <c r="A4287" t="str">
        <f>IFERROR(__xludf.DUMMYFUNCTION("""COMPUTED_VALUE"""),"N-090")</f>
        <v>N-090</v>
      </c>
      <c r="B4287" s="226" t="str">
        <f>IFERROR(__xludf.DUMMYFUNCTION("""COMPUTED_VALUE"""),"5907615814907")</f>
        <v>5907615814907</v>
      </c>
      <c r="C4287" t="str">
        <f>IFERROR(__xludf.DUMMYFUNCTION("""COMPUTED_VALUE"""),"Steinhof")</f>
        <v>Steinhof</v>
      </c>
    </row>
    <row r="4288">
      <c r="A4288" t="str">
        <f>IFERROR(__xludf.DUMMYFUNCTION("""COMPUTED_VALUE"""),"N-090")</f>
        <v>N-090</v>
      </c>
      <c r="B4288" s="226" t="str">
        <f>IFERROR(__xludf.DUMMYFUNCTION("""COMPUTED_VALUE"""),"5907615814907")</f>
        <v>5907615814907</v>
      </c>
      <c r="C4288" t="str">
        <f>IFERROR(__xludf.DUMMYFUNCTION("""COMPUTED_VALUE"""),"Steinhof")</f>
        <v>Steinhof</v>
      </c>
    </row>
    <row r="4289">
      <c r="A4289" t="str">
        <f>IFERROR(__xludf.DUMMYFUNCTION("""COMPUTED_VALUE"""),"N-079")</f>
        <v>N-079</v>
      </c>
      <c r="B4289" s="226" t="str">
        <f>IFERROR(__xludf.DUMMYFUNCTION("""COMPUTED_VALUE"""),"5907615814914")</f>
        <v>5907615814914</v>
      </c>
      <c r="C4289" t="str">
        <f>IFERROR(__xludf.DUMMYFUNCTION("""COMPUTED_VALUE"""),"Steinhof")</f>
        <v>Steinhof</v>
      </c>
    </row>
    <row r="4290">
      <c r="A4290" t="str">
        <f>IFERROR(__xludf.DUMMYFUNCTION("""COMPUTED_VALUE"""),"N-079")</f>
        <v>N-079</v>
      </c>
      <c r="B4290" s="226" t="str">
        <f>IFERROR(__xludf.DUMMYFUNCTION("""COMPUTED_VALUE"""),"5907615814914")</f>
        <v>5907615814914</v>
      </c>
      <c r="C4290" t="str">
        <f>IFERROR(__xludf.DUMMYFUNCTION("""COMPUTED_VALUE"""),"Steinhof")</f>
        <v>Steinhof</v>
      </c>
    </row>
    <row r="4291">
      <c r="A4291" t="str">
        <f>IFERROR(__xludf.DUMMYFUNCTION("""COMPUTED_VALUE"""),"N-102")</f>
        <v>N-102</v>
      </c>
      <c r="B4291" s="226" t="str">
        <f>IFERROR(__xludf.DUMMYFUNCTION("""COMPUTED_VALUE"""),"5907615814921")</f>
        <v>5907615814921</v>
      </c>
      <c r="C4291" t="str">
        <f>IFERROR(__xludf.DUMMYFUNCTION("""COMPUTED_VALUE"""),"Steinhof")</f>
        <v>Steinhof</v>
      </c>
    </row>
    <row r="4292">
      <c r="A4292" t="str">
        <f>IFERROR(__xludf.DUMMYFUNCTION("""COMPUTED_VALUE"""),"N-092")</f>
        <v>N-092</v>
      </c>
      <c r="B4292" s="226" t="str">
        <f>IFERROR(__xludf.DUMMYFUNCTION("""COMPUTED_VALUE"""),"5907615814938")</f>
        <v>5907615814938</v>
      </c>
      <c r="C4292" t="str">
        <f>IFERROR(__xludf.DUMMYFUNCTION("""COMPUTED_VALUE"""),"Steinhof")</f>
        <v>Steinhof</v>
      </c>
    </row>
    <row r="4293">
      <c r="A4293" t="str">
        <f>IFERROR(__xludf.DUMMYFUNCTION("""COMPUTED_VALUE"""),"N-092")</f>
        <v>N-092</v>
      </c>
      <c r="B4293" s="226" t="str">
        <f>IFERROR(__xludf.DUMMYFUNCTION("""COMPUTED_VALUE"""),"5907615814938")</f>
        <v>5907615814938</v>
      </c>
      <c r="C4293" t="str">
        <f>IFERROR(__xludf.DUMMYFUNCTION("""COMPUTED_VALUE"""),"Steinhof")</f>
        <v>Steinhof</v>
      </c>
    </row>
    <row r="4294">
      <c r="A4294" t="str">
        <f>IFERROR(__xludf.DUMMYFUNCTION("""COMPUTED_VALUE"""),"N-092")</f>
        <v>N-092</v>
      </c>
      <c r="B4294" s="226" t="str">
        <f>IFERROR(__xludf.DUMMYFUNCTION("""COMPUTED_VALUE"""),"5907615814938")</f>
        <v>5907615814938</v>
      </c>
      <c r="C4294" t="str">
        <f>IFERROR(__xludf.DUMMYFUNCTION("""COMPUTED_VALUE"""),"Steinhof")</f>
        <v>Steinhof</v>
      </c>
    </row>
    <row r="4295">
      <c r="A4295" t="str">
        <f>IFERROR(__xludf.DUMMYFUNCTION("""COMPUTED_VALUE"""),"N-092")</f>
        <v>N-092</v>
      </c>
      <c r="B4295" s="226" t="str">
        <f>IFERROR(__xludf.DUMMYFUNCTION("""COMPUTED_VALUE"""),"5907615814938")</f>
        <v>5907615814938</v>
      </c>
      <c r="C4295" t="str">
        <f>IFERROR(__xludf.DUMMYFUNCTION("""COMPUTED_VALUE"""),"Steinhof")</f>
        <v>Steinhof</v>
      </c>
    </row>
    <row r="4296">
      <c r="A4296" t="str">
        <f>IFERROR(__xludf.DUMMYFUNCTION("""COMPUTED_VALUE"""),"N-094")</f>
        <v>N-094</v>
      </c>
      <c r="B4296" s="226" t="str">
        <f>IFERROR(__xludf.DUMMYFUNCTION("""COMPUTED_VALUE"""),"5907615814945")</f>
        <v>5907615814945</v>
      </c>
      <c r="C4296" t="str">
        <f>IFERROR(__xludf.DUMMYFUNCTION("""COMPUTED_VALUE"""),"Steinhof")</f>
        <v>Steinhof</v>
      </c>
    </row>
    <row r="4297">
      <c r="A4297" t="str">
        <f>IFERROR(__xludf.DUMMYFUNCTION("""COMPUTED_VALUE"""),"N-094")</f>
        <v>N-094</v>
      </c>
      <c r="B4297" s="226" t="str">
        <f>IFERROR(__xludf.DUMMYFUNCTION("""COMPUTED_VALUE"""),"5907615814945")</f>
        <v>5907615814945</v>
      </c>
      <c r="C4297" t="str">
        <f>IFERROR(__xludf.DUMMYFUNCTION("""COMPUTED_VALUE"""),"Steinhof")</f>
        <v>Steinhof</v>
      </c>
    </row>
    <row r="4298">
      <c r="A4298" t="str">
        <f>IFERROR(__xludf.DUMMYFUNCTION("""COMPUTED_VALUE"""),"N-094")</f>
        <v>N-094</v>
      </c>
      <c r="B4298" s="226" t="str">
        <f>IFERROR(__xludf.DUMMYFUNCTION("""COMPUTED_VALUE"""),"5907615814945")</f>
        <v>5907615814945</v>
      </c>
      <c r="C4298" t="str">
        <f>IFERROR(__xludf.DUMMYFUNCTION("""COMPUTED_VALUE"""),"Steinhof")</f>
        <v>Steinhof</v>
      </c>
    </row>
    <row r="4299">
      <c r="A4299" t="str">
        <f>IFERROR(__xludf.DUMMYFUNCTION("""COMPUTED_VALUE"""),"N-094")</f>
        <v>N-094</v>
      </c>
      <c r="B4299" s="226" t="str">
        <f>IFERROR(__xludf.DUMMYFUNCTION("""COMPUTED_VALUE"""),"5907615814945")</f>
        <v>5907615814945</v>
      </c>
      <c r="C4299" t="str">
        <f>IFERROR(__xludf.DUMMYFUNCTION("""COMPUTED_VALUE"""),"Steinhof")</f>
        <v>Steinhof</v>
      </c>
    </row>
    <row r="4300">
      <c r="A4300" t="str">
        <f>IFERROR(__xludf.DUMMYFUNCTION("""COMPUTED_VALUE"""),"N-095")</f>
        <v>N-095</v>
      </c>
      <c r="B4300" s="226" t="str">
        <f>IFERROR(__xludf.DUMMYFUNCTION("""COMPUTED_VALUE"""),"5907615814952")</f>
        <v>5907615814952</v>
      </c>
      <c r="C4300" t="str">
        <f>IFERROR(__xludf.DUMMYFUNCTION("""COMPUTED_VALUE"""),"Steinhof")</f>
        <v>Steinhof</v>
      </c>
    </row>
    <row r="4301">
      <c r="A4301" t="str">
        <f>IFERROR(__xludf.DUMMYFUNCTION("""COMPUTED_VALUE"""),"N-095")</f>
        <v>N-095</v>
      </c>
      <c r="B4301" s="226" t="str">
        <f>IFERROR(__xludf.DUMMYFUNCTION("""COMPUTED_VALUE"""),"5907615814952")</f>
        <v>5907615814952</v>
      </c>
      <c r="C4301" t="str">
        <f>IFERROR(__xludf.DUMMYFUNCTION("""COMPUTED_VALUE"""),"Steinhof")</f>
        <v>Steinhof</v>
      </c>
    </row>
    <row r="4302">
      <c r="A4302" t="str">
        <f>IFERROR(__xludf.DUMMYFUNCTION("""COMPUTED_VALUE"""),"N-095")</f>
        <v>N-095</v>
      </c>
      <c r="B4302" s="226" t="str">
        <f>IFERROR(__xludf.DUMMYFUNCTION("""COMPUTED_VALUE"""),"5907615814952")</f>
        <v>5907615814952</v>
      </c>
      <c r="C4302" t="str">
        <f>IFERROR(__xludf.DUMMYFUNCTION("""COMPUTED_VALUE"""),"Steinhof")</f>
        <v>Steinhof</v>
      </c>
    </row>
    <row r="4303">
      <c r="A4303" t="str">
        <f>IFERROR(__xludf.DUMMYFUNCTION("""COMPUTED_VALUE"""),"N-095")</f>
        <v>N-095</v>
      </c>
      <c r="B4303" s="226" t="str">
        <f>IFERROR(__xludf.DUMMYFUNCTION("""COMPUTED_VALUE"""),"5907615814952")</f>
        <v>5907615814952</v>
      </c>
      <c r="C4303" t="str">
        <f>IFERROR(__xludf.DUMMYFUNCTION("""COMPUTED_VALUE"""),"Steinhof")</f>
        <v>Steinhof</v>
      </c>
    </row>
    <row r="4304">
      <c r="A4304" t="str">
        <f>IFERROR(__xludf.DUMMYFUNCTION("""COMPUTED_VALUE"""),"N-093")</f>
        <v>N-093</v>
      </c>
      <c r="B4304" s="226" t="str">
        <f>IFERROR(__xludf.DUMMYFUNCTION("""COMPUTED_VALUE"""),"5907615814969")</f>
        <v>5907615814969</v>
      </c>
      <c r="C4304" t="str">
        <f>IFERROR(__xludf.DUMMYFUNCTION("""COMPUTED_VALUE"""),"Steinhof")</f>
        <v>Steinhof</v>
      </c>
    </row>
    <row r="4305">
      <c r="A4305" t="str">
        <f>IFERROR(__xludf.DUMMYFUNCTION("""COMPUTED_VALUE"""),"N-093")</f>
        <v>N-093</v>
      </c>
      <c r="B4305" s="226" t="str">
        <f>IFERROR(__xludf.DUMMYFUNCTION("""COMPUTED_VALUE"""),"5907615814969")</f>
        <v>5907615814969</v>
      </c>
      <c r="C4305" t="str">
        <f>IFERROR(__xludf.DUMMYFUNCTION("""COMPUTED_VALUE"""),"Steinhof")</f>
        <v>Steinhof</v>
      </c>
    </row>
    <row r="4306">
      <c r="A4306" t="str">
        <f>IFERROR(__xludf.DUMMYFUNCTION("""COMPUTED_VALUE"""),"N-093")</f>
        <v>N-093</v>
      </c>
      <c r="B4306" s="226" t="str">
        <f>IFERROR(__xludf.DUMMYFUNCTION("""COMPUTED_VALUE"""),"5907615814969")</f>
        <v>5907615814969</v>
      </c>
      <c r="C4306" t="str">
        <f>IFERROR(__xludf.DUMMYFUNCTION("""COMPUTED_VALUE"""),"Steinhof")</f>
        <v>Steinhof</v>
      </c>
    </row>
    <row r="4307">
      <c r="A4307" t="str">
        <f>IFERROR(__xludf.DUMMYFUNCTION("""COMPUTED_VALUE"""),"N-093")</f>
        <v>N-093</v>
      </c>
      <c r="B4307" s="226" t="str">
        <f>IFERROR(__xludf.DUMMYFUNCTION("""COMPUTED_VALUE"""),"5907615814969")</f>
        <v>5907615814969</v>
      </c>
      <c r="C4307" t="str">
        <f>IFERROR(__xludf.DUMMYFUNCTION("""COMPUTED_VALUE"""),"Steinhof")</f>
        <v>Steinhof</v>
      </c>
    </row>
    <row r="4308">
      <c r="A4308" t="str">
        <f>IFERROR(__xludf.DUMMYFUNCTION("""COMPUTED_VALUE"""),"N-086")</f>
        <v>N-086</v>
      </c>
      <c r="B4308" s="226" t="str">
        <f>IFERROR(__xludf.DUMMYFUNCTION("""COMPUTED_VALUE"""),"5907615814976")</f>
        <v>5907615814976</v>
      </c>
      <c r="C4308" t="str">
        <f>IFERROR(__xludf.DUMMYFUNCTION("""COMPUTED_VALUE"""),"Steinhof")</f>
        <v>Steinhof</v>
      </c>
    </row>
    <row r="4309">
      <c r="A4309" t="str">
        <f>IFERROR(__xludf.DUMMYFUNCTION("""COMPUTED_VALUE"""),"N-086")</f>
        <v>N-086</v>
      </c>
      <c r="B4309" s="226" t="str">
        <f>IFERROR(__xludf.DUMMYFUNCTION("""COMPUTED_VALUE"""),"5907615814976")</f>
        <v>5907615814976</v>
      </c>
      <c r="C4309" t="str">
        <f>IFERROR(__xludf.DUMMYFUNCTION("""COMPUTED_VALUE"""),"Steinhof")</f>
        <v>Steinhof</v>
      </c>
    </row>
    <row r="4310">
      <c r="A4310" t="str">
        <f>IFERROR(__xludf.DUMMYFUNCTION("""COMPUTED_VALUE"""),"N-100")</f>
        <v>N-100</v>
      </c>
      <c r="B4310" s="226" t="str">
        <f>IFERROR(__xludf.DUMMYFUNCTION("""COMPUTED_VALUE"""),"5907615814983")</f>
        <v>5907615814983</v>
      </c>
      <c r="C4310" t="str">
        <f>IFERROR(__xludf.DUMMYFUNCTION("""COMPUTED_VALUE"""),"Steinhof")</f>
        <v>Steinhof</v>
      </c>
    </row>
    <row r="4311">
      <c r="A4311" t="str">
        <f>IFERROR(__xludf.DUMMYFUNCTION("""COMPUTED_VALUE"""),"N-096")</f>
        <v>N-096</v>
      </c>
      <c r="B4311" s="226" t="str">
        <f>IFERROR(__xludf.DUMMYFUNCTION("""COMPUTED_VALUE"""),"5907615814990")</f>
        <v>5907615814990</v>
      </c>
      <c r="C4311" t="str">
        <f>IFERROR(__xludf.DUMMYFUNCTION("""COMPUTED_VALUE"""),"Steinhof")</f>
        <v>Steinhof</v>
      </c>
    </row>
    <row r="4312">
      <c r="A4312" t="str">
        <f>IFERROR(__xludf.DUMMYFUNCTION("""COMPUTED_VALUE"""),"N-096")</f>
        <v>N-096</v>
      </c>
      <c r="B4312" s="226" t="str">
        <f>IFERROR(__xludf.DUMMYFUNCTION("""COMPUTED_VALUE"""),"5907615814990")</f>
        <v>5907615814990</v>
      </c>
      <c r="C4312" t="str">
        <f>IFERROR(__xludf.DUMMYFUNCTION("""COMPUTED_VALUE"""),"Steinhof")</f>
        <v>Steinhof</v>
      </c>
    </row>
    <row r="4313">
      <c r="A4313" t="str">
        <f>IFERROR(__xludf.DUMMYFUNCTION("""COMPUTED_VALUE"""),"N-097")</f>
        <v>N-097</v>
      </c>
      <c r="B4313" s="226" t="str">
        <f>IFERROR(__xludf.DUMMYFUNCTION("""COMPUTED_VALUE"""),"5907615815003")</f>
        <v>5907615815003</v>
      </c>
      <c r="C4313" t="str">
        <f>IFERROR(__xludf.DUMMYFUNCTION("""COMPUTED_VALUE"""),"Steinhof")</f>
        <v>Steinhof</v>
      </c>
    </row>
    <row r="4314">
      <c r="A4314" t="str">
        <f>IFERROR(__xludf.DUMMYFUNCTION("""COMPUTED_VALUE"""),"N-097")</f>
        <v>N-097</v>
      </c>
      <c r="B4314" s="226" t="str">
        <f>IFERROR(__xludf.DUMMYFUNCTION("""COMPUTED_VALUE"""),"5907615815003")</f>
        <v>5907615815003</v>
      </c>
      <c r="C4314" t="str">
        <f>IFERROR(__xludf.DUMMYFUNCTION("""COMPUTED_VALUE"""),"Steinhof")</f>
        <v>Steinhof</v>
      </c>
    </row>
    <row r="4315">
      <c r="A4315" t="str">
        <f>IFERROR(__xludf.DUMMYFUNCTION("""COMPUTED_VALUE"""),"N-098")</f>
        <v>N-098</v>
      </c>
      <c r="B4315" s="226" t="str">
        <f>IFERROR(__xludf.DUMMYFUNCTION("""COMPUTED_VALUE"""),"5907615815010")</f>
        <v>5907615815010</v>
      </c>
      <c r="C4315" t="str">
        <f>IFERROR(__xludf.DUMMYFUNCTION("""COMPUTED_VALUE"""),"Steinhof")</f>
        <v>Steinhof</v>
      </c>
    </row>
    <row r="4316">
      <c r="A4316" t="str">
        <f>IFERROR(__xludf.DUMMYFUNCTION("""COMPUTED_VALUE"""),"N-098")</f>
        <v>N-098</v>
      </c>
      <c r="B4316" s="226" t="str">
        <f>IFERROR(__xludf.DUMMYFUNCTION("""COMPUTED_VALUE"""),"5907615815010")</f>
        <v>5907615815010</v>
      </c>
      <c r="C4316" t="str">
        <f>IFERROR(__xludf.DUMMYFUNCTION("""COMPUTED_VALUE"""),"Steinhof")</f>
        <v>Steinhof</v>
      </c>
    </row>
    <row r="4317">
      <c r="A4317" t="str">
        <f>IFERROR(__xludf.DUMMYFUNCTION("""COMPUTED_VALUE"""),"N-099")</f>
        <v>N-099</v>
      </c>
      <c r="B4317" s="226" t="str">
        <f>IFERROR(__xludf.DUMMYFUNCTION("""COMPUTED_VALUE"""),"5907615815027")</f>
        <v>5907615815027</v>
      </c>
      <c r="C4317" t="str">
        <f>IFERROR(__xludf.DUMMYFUNCTION("""COMPUTED_VALUE"""),"Steinhof")</f>
        <v>Steinhof</v>
      </c>
    </row>
    <row r="4318">
      <c r="A4318" t="str">
        <f>IFERROR(__xludf.DUMMYFUNCTION("""COMPUTED_VALUE"""),"N-099")</f>
        <v>N-099</v>
      </c>
      <c r="B4318" s="226" t="str">
        <f>IFERROR(__xludf.DUMMYFUNCTION("""COMPUTED_VALUE"""),"5907615815027")</f>
        <v>5907615815027</v>
      </c>
      <c r="C4318" t="str">
        <f>IFERROR(__xludf.DUMMYFUNCTION("""COMPUTED_VALUE"""),"Steinhof")</f>
        <v>Steinhof</v>
      </c>
    </row>
    <row r="4319">
      <c r="A4319" t="str">
        <f>IFERROR(__xludf.DUMMYFUNCTION("""COMPUTED_VALUE"""),"N-104")</f>
        <v>N-104</v>
      </c>
      <c r="B4319" s="226" t="str">
        <f>IFERROR(__xludf.DUMMYFUNCTION("""COMPUTED_VALUE"""),"5907615815034")</f>
        <v>5907615815034</v>
      </c>
      <c r="C4319" t="str">
        <f>IFERROR(__xludf.DUMMYFUNCTION("""COMPUTED_VALUE"""),"Steinhof")</f>
        <v>Steinhof</v>
      </c>
    </row>
    <row r="4320">
      <c r="A4320" t="str">
        <f>IFERROR(__xludf.DUMMYFUNCTION("""COMPUTED_VALUE"""),"N-104")</f>
        <v>N-104</v>
      </c>
      <c r="B4320" s="226" t="str">
        <f>IFERROR(__xludf.DUMMYFUNCTION("""COMPUTED_VALUE"""),"5907615815034")</f>
        <v>5907615815034</v>
      </c>
      <c r="C4320" t="str">
        <f>IFERROR(__xludf.DUMMYFUNCTION("""COMPUTED_VALUE"""),"Steinhof")</f>
        <v>Steinhof</v>
      </c>
    </row>
    <row r="4321">
      <c r="A4321" t="str">
        <f>IFERROR(__xludf.DUMMYFUNCTION("""COMPUTED_VALUE"""),"N-105")</f>
        <v>N-105</v>
      </c>
      <c r="B4321" s="226" t="str">
        <f>IFERROR(__xludf.DUMMYFUNCTION("""COMPUTED_VALUE"""),"5907615815041")</f>
        <v>5907615815041</v>
      </c>
      <c r="C4321" t="str">
        <f>IFERROR(__xludf.DUMMYFUNCTION("""COMPUTED_VALUE"""),"Steinhof")</f>
        <v>Steinhof</v>
      </c>
    </row>
    <row r="4322">
      <c r="A4322" t="str">
        <f>IFERROR(__xludf.DUMMYFUNCTION("""COMPUTED_VALUE"""),"N-105")</f>
        <v>N-105</v>
      </c>
      <c r="B4322" s="226" t="str">
        <f>IFERROR(__xludf.DUMMYFUNCTION("""COMPUTED_VALUE"""),"5907615815041")</f>
        <v>5907615815041</v>
      </c>
      <c r="C4322" t="str">
        <f>IFERROR(__xludf.DUMMYFUNCTION("""COMPUTED_VALUE"""),"Steinhof")</f>
        <v>Steinhof</v>
      </c>
    </row>
    <row r="4323">
      <c r="A4323" t="str">
        <f>IFERROR(__xludf.DUMMYFUNCTION("""COMPUTED_VALUE"""),"N-093/W7")</f>
        <v>N-093/W7</v>
      </c>
      <c r="B4323" s="226" t="str">
        <f>IFERROR(__xludf.DUMMYFUNCTION("""COMPUTED_VALUE"""),"5907615815058")</f>
        <v>5907615815058</v>
      </c>
      <c r="C4323" t="str">
        <f>IFERROR(__xludf.DUMMYFUNCTION("""COMPUTED_VALUE"""),"Steinhof")</f>
        <v>Steinhof</v>
      </c>
    </row>
    <row r="4324">
      <c r="A4324" t="str">
        <f>IFERROR(__xludf.DUMMYFUNCTION("""COMPUTED_VALUE"""),"N-106")</f>
        <v>N-106</v>
      </c>
      <c r="B4324" s="226" t="str">
        <f>IFERROR(__xludf.DUMMYFUNCTION("""COMPUTED_VALUE"""),"5907615815065")</f>
        <v>5907615815065</v>
      </c>
      <c r="C4324" t="str">
        <f>IFERROR(__xludf.DUMMYFUNCTION("""COMPUTED_VALUE"""),"Steinhof")</f>
        <v>Steinhof</v>
      </c>
    </row>
    <row r="4325">
      <c r="A4325" t="str">
        <f>IFERROR(__xludf.DUMMYFUNCTION("""COMPUTED_VALUE"""),"N-106")</f>
        <v>N-106</v>
      </c>
      <c r="B4325" s="226" t="str">
        <f>IFERROR(__xludf.DUMMYFUNCTION("""COMPUTED_VALUE"""),"5907615815065")</f>
        <v>5907615815065</v>
      </c>
      <c r="C4325" t="str">
        <f>IFERROR(__xludf.DUMMYFUNCTION("""COMPUTED_VALUE"""),"Steinhof")</f>
        <v>Steinhof</v>
      </c>
    </row>
    <row r="4326">
      <c r="A4326" t="str">
        <f>IFERROR(__xludf.DUMMYFUNCTION("""COMPUTED_VALUE"""),"N-107")</f>
        <v>N-107</v>
      </c>
      <c r="B4326" s="226" t="str">
        <f>IFERROR(__xludf.DUMMYFUNCTION("""COMPUTED_VALUE"""),"5907615815072")</f>
        <v>5907615815072</v>
      </c>
      <c r="C4326" t="str">
        <f>IFERROR(__xludf.DUMMYFUNCTION("""COMPUTED_VALUE"""),"Steinhof")</f>
        <v>Steinhof</v>
      </c>
    </row>
    <row r="4327">
      <c r="A4327" t="str">
        <f>IFERROR(__xludf.DUMMYFUNCTION("""COMPUTED_VALUE"""),"N-107")</f>
        <v>N-107</v>
      </c>
      <c r="B4327" s="226" t="str">
        <f>IFERROR(__xludf.DUMMYFUNCTION("""COMPUTED_VALUE"""),"5907615815072")</f>
        <v>5907615815072</v>
      </c>
      <c r="C4327" t="str">
        <f>IFERROR(__xludf.DUMMYFUNCTION("""COMPUTED_VALUE"""),"Steinhof")</f>
        <v>Steinhof</v>
      </c>
    </row>
    <row r="4328">
      <c r="A4328" t="str">
        <f>IFERROR(__xludf.DUMMYFUNCTION("""COMPUTED_VALUE"""),"N-107")</f>
        <v>N-107</v>
      </c>
      <c r="B4328" s="226" t="str">
        <f>IFERROR(__xludf.DUMMYFUNCTION("""COMPUTED_VALUE"""),"5907615815072")</f>
        <v>5907615815072</v>
      </c>
      <c r="C4328" t="str">
        <f>IFERROR(__xludf.DUMMYFUNCTION("""COMPUTED_VALUE"""),"Steinhof")</f>
        <v>Steinhof</v>
      </c>
    </row>
    <row r="4329">
      <c r="A4329" t="str">
        <f>IFERROR(__xludf.DUMMYFUNCTION("""COMPUTED_VALUE"""),"N-107")</f>
        <v>N-107</v>
      </c>
      <c r="B4329" s="226" t="str">
        <f>IFERROR(__xludf.DUMMYFUNCTION("""COMPUTED_VALUE"""),"5907615815072")</f>
        <v>5907615815072</v>
      </c>
      <c r="C4329" t="str">
        <f>IFERROR(__xludf.DUMMYFUNCTION("""COMPUTED_VALUE"""),"Steinhof")</f>
        <v>Steinhof</v>
      </c>
    </row>
    <row r="4330">
      <c r="A4330" t="str">
        <f>IFERROR(__xludf.DUMMYFUNCTION("""COMPUTED_VALUE"""),"N-108")</f>
        <v>N-108</v>
      </c>
      <c r="B4330" s="226" t="str">
        <f>IFERROR(__xludf.DUMMYFUNCTION("""COMPUTED_VALUE"""),"5907615815089")</f>
        <v>5907615815089</v>
      </c>
      <c r="C4330" t="str">
        <f>IFERROR(__xludf.DUMMYFUNCTION("""COMPUTED_VALUE"""),"Steinhof")</f>
        <v>Steinhof</v>
      </c>
    </row>
    <row r="4331">
      <c r="A4331" t="str">
        <f>IFERROR(__xludf.DUMMYFUNCTION("""COMPUTED_VALUE"""),"N-108")</f>
        <v>N-108</v>
      </c>
      <c r="B4331" s="226" t="str">
        <f>IFERROR(__xludf.DUMMYFUNCTION("""COMPUTED_VALUE"""),"5907615815089")</f>
        <v>5907615815089</v>
      </c>
      <c r="C4331" t="str">
        <f>IFERROR(__xludf.DUMMYFUNCTION("""COMPUTED_VALUE"""),"Steinhof")</f>
        <v>Steinhof</v>
      </c>
    </row>
    <row r="4332">
      <c r="A4332" t="str">
        <f>IFERROR(__xludf.DUMMYFUNCTION("""COMPUTED_VALUE"""),"N-108")</f>
        <v>N-108</v>
      </c>
      <c r="B4332" s="226" t="str">
        <f>IFERROR(__xludf.DUMMYFUNCTION("""COMPUTED_VALUE"""),"5907615815089")</f>
        <v>5907615815089</v>
      </c>
      <c r="C4332" t="str">
        <f>IFERROR(__xludf.DUMMYFUNCTION("""COMPUTED_VALUE"""),"Steinhof")</f>
        <v>Steinhof</v>
      </c>
    </row>
    <row r="4333">
      <c r="A4333" t="str">
        <f>IFERROR(__xludf.DUMMYFUNCTION("""COMPUTED_VALUE"""),"N-108")</f>
        <v>N-108</v>
      </c>
      <c r="B4333" s="226" t="str">
        <f>IFERROR(__xludf.DUMMYFUNCTION("""COMPUTED_VALUE"""),"5907615815089")</f>
        <v>5907615815089</v>
      </c>
      <c r="C4333" t="str">
        <f>IFERROR(__xludf.DUMMYFUNCTION("""COMPUTED_VALUE"""),"Steinhof")</f>
        <v>Steinhof</v>
      </c>
    </row>
    <row r="4334">
      <c r="A4334" t="str">
        <f>IFERROR(__xludf.DUMMYFUNCTION("""COMPUTED_VALUE"""),"N-089")</f>
        <v>N-089</v>
      </c>
      <c r="B4334" s="226" t="str">
        <f>IFERROR(__xludf.DUMMYFUNCTION("""COMPUTED_VALUE"""),"5907615815096")</f>
        <v>5907615815096</v>
      </c>
      <c r="C4334" t="str">
        <f>IFERROR(__xludf.DUMMYFUNCTION("""COMPUTED_VALUE"""),"Steinhof")</f>
        <v>Steinhof</v>
      </c>
    </row>
    <row r="4335">
      <c r="A4335" t="str">
        <f>IFERROR(__xludf.DUMMYFUNCTION("""COMPUTED_VALUE"""),"N-089")</f>
        <v>N-089</v>
      </c>
      <c r="B4335" s="226" t="str">
        <f>IFERROR(__xludf.DUMMYFUNCTION("""COMPUTED_VALUE"""),"5907615815096")</f>
        <v>5907615815096</v>
      </c>
      <c r="C4335" t="str">
        <f>IFERROR(__xludf.DUMMYFUNCTION("""COMPUTED_VALUE"""),"Steinhof")</f>
        <v>Steinhof</v>
      </c>
    </row>
    <row r="4336">
      <c r="A4336" t="str">
        <f>IFERROR(__xludf.DUMMYFUNCTION("""COMPUTED_VALUE"""),"N-076")</f>
        <v>N-076</v>
      </c>
      <c r="B4336" s="226" t="str">
        <f>IFERROR(__xludf.DUMMYFUNCTION("""COMPUTED_VALUE"""),"5907615815102")</f>
        <v>5907615815102</v>
      </c>
      <c r="C4336" t="str">
        <f>IFERROR(__xludf.DUMMYFUNCTION("""COMPUTED_VALUE"""),"Steinhof")</f>
        <v>Steinhof</v>
      </c>
    </row>
    <row r="4337">
      <c r="A4337" t="str">
        <f>IFERROR(__xludf.DUMMYFUNCTION("""COMPUTED_VALUE"""),"N-077")</f>
        <v>N-077</v>
      </c>
      <c r="B4337" s="226" t="str">
        <f>IFERROR(__xludf.DUMMYFUNCTION("""COMPUTED_VALUE"""),"5907615815126")</f>
        <v>5907615815126</v>
      </c>
      <c r="C4337" t="str">
        <f>IFERROR(__xludf.DUMMYFUNCTION("""COMPUTED_VALUE"""),"Steinhof")</f>
        <v>Steinhof</v>
      </c>
    </row>
    <row r="4338">
      <c r="A4338" t="str">
        <f>IFERROR(__xludf.DUMMYFUNCTION("""COMPUTED_VALUE"""),"O-093")</f>
        <v>O-093</v>
      </c>
      <c r="B4338" s="226" t="str">
        <f>IFERROR(__xludf.DUMMYFUNCTION("""COMPUTED_VALUE"""),"5907615815447")</f>
        <v>5907615815447</v>
      </c>
      <c r="C4338" t="str">
        <f>IFERROR(__xludf.DUMMYFUNCTION("""COMPUTED_VALUE"""),"Steinhof")</f>
        <v>Steinhof</v>
      </c>
    </row>
    <row r="4339">
      <c r="A4339" t="str">
        <f>IFERROR(__xludf.DUMMYFUNCTION("""COMPUTED_VALUE"""),"O-093")</f>
        <v>O-093</v>
      </c>
      <c r="B4339" s="226" t="str">
        <f>IFERROR(__xludf.DUMMYFUNCTION("""COMPUTED_VALUE"""),"5907615815447")</f>
        <v>5907615815447</v>
      </c>
      <c r="C4339" t="str">
        <f>IFERROR(__xludf.DUMMYFUNCTION("""COMPUTED_VALUE"""),"Steinhof")</f>
        <v>Steinhof</v>
      </c>
    </row>
    <row r="4340">
      <c r="A4340" t="str">
        <f>IFERROR(__xludf.DUMMYFUNCTION("""COMPUTED_VALUE"""),"O-093")</f>
        <v>O-093</v>
      </c>
      <c r="B4340" s="226" t="str">
        <f>IFERROR(__xludf.DUMMYFUNCTION("""COMPUTED_VALUE"""),"5907615815447")</f>
        <v>5907615815447</v>
      </c>
      <c r="C4340" t="str">
        <f>IFERROR(__xludf.DUMMYFUNCTION("""COMPUTED_VALUE"""),"Steinhof")</f>
        <v>Steinhof</v>
      </c>
    </row>
    <row r="4341">
      <c r="A4341" t="str">
        <f>IFERROR(__xludf.DUMMYFUNCTION("""COMPUTED_VALUE"""),"O-093")</f>
        <v>O-093</v>
      </c>
      <c r="B4341" s="226" t="str">
        <f>IFERROR(__xludf.DUMMYFUNCTION("""COMPUTED_VALUE"""),"5907615815447")</f>
        <v>5907615815447</v>
      </c>
      <c r="C4341" t="str">
        <f>IFERROR(__xludf.DUMMYFUNCTION("""COMPUTED_VALUE"""),"Steinhof")</f>
        <v>Steinhof</v>
      </c>
    </row>
    <row r="4342">
      <c r="A4342" t="str">
        <f>IFERROR(__xludf.DUMMYFUNCTION("""COMPUTED_VALUE"""),"O-093")</f>
        <v>O-093</v>
      </c>
      <c r="B4342" s="226" t="str">
        <f>IFERROR(__xludf.DUMMYFUNCTION("""COMPUTED_VALUE"""),"5907615815447")</f>
        <v>5907615815447</v>
      </c>
      <c r="C4342" t="str">
        <f>IFERROR(__xludf.DUMMYFUNCTION("""COMPUTED_VALUE"""),"Steinhof")</f>
        <v>Steinhof</v>
      </c>
    </row>
    <row r="4343">
      <c r="A4343" t="str">
        <f>IFERROR(__xludf.DUMMYFUNCTION("""COMPUTED_VALUE"""),"O-093")</f>
        <v>O-093</v>
      </c>
      <c r="B4343" s="226" t="str">
        <f>IFERROR(__xludf.DUMMYFUNCTION("""COMPUTED_VALUE"""),"5907615815447")</f>
        <v>5907615815447</v>
      </c>
      <c r="C4343" t="str">
        <f>IFERROR(__xludf.DUMMYFUNCTION("""COMPUTED_VALUE"""),"Steinhof")</f>
        <v>Steinhof</v>
      </c>
    </row>
    <row r="4344">
      <c r="A4344" t="str">
        <f>IFERROR(__xludf.DUMMYFUNCTION("""COMPUTED_VALUE"""),"O-094")</f>
        <v>O-094</v>
      </c>
      <c r="B4344" s="226" t="str">
        <f>IFERROR(__xludf.DUMMYFUNCTION("""COMPUTED_VALUE"""),"5907615815454")</f>
        <v>5907615815454</v>
      </c>
      <c r="C4344" t="str">
        <f>IFERROR(__xludf.DUMMYFUNCTION("""COMPUTED_VALUE"""),"Steinhof")</f>
        <v>Steinhof</v>
      </c>
    </row>
    <row r="4345">
      <c r="A4345" t="str">
        <f>IFERROR(__xludf.DUMMYFUNCTION("""COMPUTED_VALUE"""),"O-094")</f>
        <v>O-094</v>
      </c>
      <c r="B4345" s="226" t="str">
        <f>IFERROR(__xludf.DUMMYFUNCTION("""COMPUTED_VALUE"""),"5907615815454")</f>
        <v>5907615815454</v>
      </c>
      <c r="C4345" t="str">
        <f>IFERROR(__xludf.DUMMYFUNCTION("""COMPUTED_VALUE"""),"Steinhof")</f>
        <v>Steinhof</v>
      </c>
    </row>
    <row r="4346">
      <c r="A4346" t="str">
        <f>IFERROR(__xludf.DUMMYFUNCTION("""COMPUTED_VALUE"""),"O-094")</f>
        <v>O-094</v>
      </c>
      <c r="B4346" s="226" t="str">
        <f>IFERROR(__xludf.DUMMYFUNCTION("""COMPUTED_VALUE"""),"5907615815454")</f>
        <v>5907615815454</v>
      </c>
      <c r="C4346" t="str">
        <f>IFERROR(__xludf.DUMMYFUNCTION("""COMPUTED_VALUE"""),"Steinhof")</f>
        <v>Steinhof</v>
      </c>
    </row>
    <row r="4347">
      <c r="A4347" t="str">
        <f>IFERROR(__xludf.DUMMYFUNCTION("""COMPUTED_VALUE"""),"O-094")</f>
        <v>O-094</v>
      </c>
      <c r="B4347" s="226" t="str">
        <f>IFERROR(__xludf.DUMMYFUNCTION("""COMPUTED_VALUE"""),"5907615815454")</f>
        <v>5907615815454</v>
      </c>
      <c r="C4347" t="str">
        <f>IFERROR(__xludf.DUMMYFUNCTION("""COMPUTED_VALUE"""),"Steinhof")</f>
        <v>Steinhof</v>
      </c>
    </row>
    <row r="4348">
      <c r="A4348" t="str">
        <f>IFERROR(__xludf.DUMMYFUNCTION("""COMPUTED_VALUE"""),"O-094")</f>
        <v>O-094</v>
      </c>
      <c r="B4348" s="226" t="str">
        <f>IFERROR(__xludf.DUMMYFUNCTION("""COMPUTED_VALUE"""),"5907615815454")</f>
        <v>5907615815454</v>
      </c>
      <c r="C4348" t="str">
        <f>IFERROR(__xludf.DUMMYFUNCTION("""COMPUTED_VALUE"""),"Steinhof")</f>
        <v>Steinhof</v>
      </c>
    </row>
    <row r="4349">
      <c r="A4349" t="str">
        <f>IFERROR(__xludf.DUMMYFUNCTION("""COMPUTED_VALUE"""),"O-094")</f>
        <v>O-094</v>
      </c>
      <c r="B4349" s="226" t="str">
        <f>IFERROR(__xludf.DUMMYFUNCTION("""COMPUTED_VALUE"""),"5907615815454")</f>
        <v>5907615815454</v>
      </c>
      <c r="C4349" t="str">
        <f>IFERROR(__xludf.DUMMYFUNCTION("""COMPUTED_VALUE"""),"Steinhof")</f>
        <v>Steinhof</v>
      </c>
    </row>
    <row r="4350">
      <c r="A4350" t="str">
        <f>IFERROR(__xludf.DUMMYFUNCTION("""COMPUTED_VALUE"""),"O-094")</f>
        <v>O-094</v>
      </c>
      <c r="B4350" s="226" t="str">
        <f>IFERROR(__xludf.DUMMYFUNCTION("""COMPUTED_VALUE"""),"5907615815454")</f>
        <v>5907615815454</v>
      </c>
      <c r="C4350" t="str">
        <f>IFERROR(__xludf.DUMMYFUNCTION("""COMPUTED_VALUE"""),"Steinhof")</f>
        <v>Steinhof</v>
      </c>
    </row>
    <row r="4351">
      <c r="A4351" t="str">
        <f>IFERROR(__xludf.DUMMYFUNCTION("""COMPUTED_VALUE"""),"O-094")</f>
        <v>O-094</v>
      </c>
      <c r="B4351" s="226" t="str">
        <f>IFERROR(__xludf.DUMMYFUNCTION("""COMPUTED_VALUE"""),"5907615815454")</f>
        <v>5907615815454</v>
      </c>
      <c r="C4351" t="str">
        <f>IFERROR(__xludf.DUMMYFUNCTION("""COMPUTED_VALUE"""),"Steinhof")</f>
        <v>Steinhof</v>
      </c>
    </row>
    <row r="4352">
      <c r="A4352" t="str">
        <f>IFERROR(__xludf.DUMMYFUNCTION("""COMPUTED_VALUE"""),"O-103")</f>
        <v>O-103</v>
      </c>
      <c r="B4352" s="226" t="str">
        <f>IFERROR(__xludf.DUMMYFUNCTION("""COMPUTED_VALUE"""),"5907615815508")</f>
        <v>5907615815508</v>
      </c>
      <c r="C4352" t="str">
        <f>IFERROR(__xludf.DUMMYFUNCTION("""COMPUTED_VALUE"""),"Steinhof")</f>
        <v>Steinhof</v>
      </c>
    </row>
    <row r="4353">
      <c r="A4353" t="str">
        <f>IFERROR(__xludf.DUMMYFUNCTION("""COMPUTED_VALUE"""),"O-103")</f>
        <v>O-103</v>
      </c>
      <c r="B4353" s="226" t="str">
        <f>IFERROR(__xludf.DUMMYFUNCTION("""COMPUTED_VALUE"""),"5907615815508")</f>
        <v>5907615815508</v>
      </c>
      <c r="C4353" t="str">
        <f>IFERROR(__xludf.DUMMYFUNCTION("""COMPUTED_VALUE"""),"Steinhof")</f>
        <v>Steinhof</v>
      </c>
    </row>
    <row r="4354">
      <c r="A4354" t="str">
        <f>IFERROR(__xludf.DUMMYFUNCTION("""COMPUTED_VALUE"""),"O-101")</f>
        <v>O-101</v>
      </c>
      <c r="B4354" s="226" t="str">
        <f>IFERROR(__xludf.DUMMYFUNCTION("""COMPUTED_VALUE"""),"5907615815522")</f>
        <v>5907615815522</v>
      </c>
      <c r="C4354" t="str">
        <f>IFERROR(__xludf.DUMMYFUNCTION("""COMPUTED_VALUE"""),"Steinhof")</f>
        <v>Steinhof</v>
      </c>
    </row>
    <row r="4355">
      <c r="A4355" t="str">
        <f>IFERROR(__xludf.DUMMYFUNCTION("""COMPUTED_VALUE"""),"O-101")</f>
        <v>O-101</v>
      </c>
      <c r="B4355" s="226" t="str">
        <f>IFERROR(__xludf.DUMMYFUNCTION("""COMPUTED_VALUE"""),"5907615815522")</f>
        <v>5907615815522</v>
      </c>
      <c r="C4355" t="str">
        <f>IFERROR(__xludf.DUMMYFUNCTION("""COMPUTED_VALUE"""),"Steinhof")</f>
        <v>Steinhof</v>
      </c>
    </row>
    <row r="4356">
      <c r="A4356" t="str">
        <f>IFERROR(__xludf.DUMMYFUNCTION("""COMPUTED_VALUE"""),"O-102")</f>
        <v>O-102</v>
      </c>
      <c r="B4356" s="226" t="str">
        <f>IFERROR(__xludf.DUMMYFUNCTION("""COMPUTED_VALUE"""),"5907615815539")</f>
        <v>5907615815539</v>
      </c>
      <c r="C4356" t="str">
        <f>IFERROR(__xludf.DUMMYFUNCTION("""COMPUTED_VALUE"""),"Steinhof")</f>
        <v>Steinhof</v>
      </c>
    </row>
    <row r="4357">
      <c r="A4357" t="str">
        <f>IFERROR(__xludf.DUMMYFUNCTION("""COMPUTED_VALUE"""),"O-102")</f>
        <v>O-102</v>
      </c>
      <c r="B4357" s="226" t="str">
        <f>IFERROR(__xludf.DUMMYFUNCTION("""COMPUTED_VALUE"""),"5907615815539")</f>
        <v>5907615815539</v>
      </c>
      <c r="C4357" t="str">
        <f>IFERROR(__xludf.DUMMYFUNCTION("""COMPUTED_VALUE"""),"Steinhof")</f>
        <v>Steinhof</v>
      </c>
    </row>
    <row r="4358">
      <c r="A4358" t="str">
        <f>IFERROR(__xludf.DUMMYFUNCTION("""COMPUTED_VALUE"""),"O-102/W7")</f>
        <v>O-102/W7</v>
      </c>
      <c r="B4358" s="226" t="str">
        <f>IFERROR(__xludf.DUMMYFUNCTION("""COMPUTED_VALUE"""),"5907615815546")</f>
        <v>5907615815546</v>
      </c>
      <c r="C4358" t="str">
        <f>IFERROR(__xludf.DUMMYFUNCTION("""COMPUTED_VALUE"""),"Steinhof")</f>
        <v>Steinhof</v>
      </c>
    </row>
    <row r="4359">
      <c r="A4359" t="str">
        <f>IFERROR(__xludf.DUMMYFUNCTION("""COMPUTED_VALUE"""),"O-104")</f>
        <v>O-104</v>
      </c>
      <c r="B4359" s="226" t="str">
        <f>IFERROR(__xludf.DUMMYFUNCTION("""COMPUTED_VALUE"""),"5907615815553")</f>
        <v>5907615815553</v>
      </c>
      <c r="C4359" t="str">
        <f>IFERROR(__xludf.DUMMYFUNCTION("""COMPUTED_VALUE"""),"Steinhof")</f>
        <v>Steinhof</v>
      </c>
    </row>
    <row r="4360">
      <c r="A4360" t="str">
        <f>IFERROR(__xludf.DUMMYFUNCTION("""COMPUTED_VALUE"""),"O-104")</f>
        <v>O-104</v>
      </c>
      <c r="B4360" s="226" t="str">
        <f>IFERROR(__xludf.DUMMYFUNCTION("""COMPUTED_VALUE"""),"5907615815553")</f>
        <v>5907615815553</v>
      </c>
      <c r="C4360" t="str">
        <f>IFERROR(__xludf.DUMMYFUNCTION("""COMPUTED_VALUE"""),"Steinhof")</f>
        <v>Steinhof</v>
      </c>
    </row>
    <row r="4361">
      <c r="A4361" t="str">
        <f>IFERROR(__xludf.DUMMYFUNCTION("""COMPUTED_VALUE"""),"O-105")</f>
        <v>O-105</v>
      </c>
      <c r="B4361" s="226" t="str">
        <f>IFERROR(__xludf.DUMMYFUNCTION("""COMPUTED_VALUE"""),"5907615815560")</f>
        <v>5907615815560</v>
      </c>
      <c r="C4361" t="str">
        <f>IFERROR(__xludf.DUMMYFUNCTION("""COMPUTED_VALUE"""),"Steinhof")</f>
        <v>Steinhof</v>
      </c>
    </row>
    <row r="4362">
      <c r="A4362" t="str">
        <f>IFERROR(__xludf.DUMMYFUNCTION("""COMPUTED_VALUE"""),"O-105")</f>
        <v>O-105</v>
      </c>
      <c r="B4362" s="226" t="str">
        <f>IFERROR(__xludf.DUMMYFUNCTION("""COMPUTED_VALUE"""),"5907615815560")</f>
        <v>5907615815560</v>
      </c>
      <c r="C4362" t="str">
        <f>IFERROR(__xludf.DUMMYFUNCTION("""COMPUTED_VALUE"""),"Steinhof")</f>
        <v>Steinhof</v>
      </c>
    </row>
    <row r="4363">
      <c r="A4363" t="str">
        <f>IFERROR(__xludf.DUMMYFUNCTION("""COMPUTED_VALUE"""),"O-106")</f>
        <v>O-106</v>
      </c>
      <c r="B4363" s="226" t="str">
        <f>IFERROR(__xludf.DUMMYFUNCTION("""COMPUTED_VALUE"""),"5907615815577")</f>
        <v>5907615815577</v>
      </c>
      <c r="C4363" t="str">
        <f>IFERROR(__xludf.DUMMYFUNCTION("""COMPUTED_VALUE"""),"Steinhof")</f>
        <v>Steinhof</v>
      </c>
    </row>
    <row r="4364">
      <c r="A4364" t="str">
        <f>IFERROR(__xludf.DUMMYFUNCTION("""COMPUTED_VALUE"""),"O-110")</f>
        <v>O-110</v>
      </c>
      <c r="B4364" s="226" t="str">
        <f>IFERROR(__xludf.DUMMYFUNCTION("""COMPUTED_VALUE"""),"5907615815614")</f>
        <v>5907615815614</v>
      </c>
      <c r="C4364" t="str">
        <f>IFERROR(__xludf.DUMMYFUNCTION("""COMPUTED_VALUE"""),"Steinhof")</f>
        <v>Steinhof</v>
      </c>
    </row>
    <row r="4365">
      <c r="A4365" t="str">
        <f>IFERROR(__xludf.DUMMYFUNCTION("""COMPUTED_VALUE"""),"O-110")</f>
        <v>O-110</v>
      </c>
      <c r="B4365" s="226" t="str">
        <f>IFERROR(__xludf.DUMMYFUNCTION("""COMPUTED_VALUE"""),"5907615815614")</f>
        <v>5907615815614</v>
      </c>
      <c r="C4365" t="str">
        <f>IFERROR(__xludf.DUMMYFUNCTION("""COMPUTED_VALUE"""),"Steinhof")</f>
        <v>Steinhof</v>
      </c>
    </row>
    <row r="4366">
      <c r="A4366" t="str">
        <f>IFERROR(__xludf.DUMMYFUNCTION("""COMPUTED_VALUE"""),"O-111")</f>
        <v>O-111</v>
      </c>
      <c r="B4366" s="226" t="str">
        <f>IFERROR(__xludf.DUMMYFUNCTION("""COMPUTED_VALUE"""),"5907615815621")</f>
        <v>5907615815621</v>
      </c>
      <c r="C4366" t="str">
        <f>IFERROR(__xludf.DUMMYFUNCTION("""COMPUTED_VALUE"""),"Steinhof")</f>
        <v>Steinhof</v>
      </c>
    </row>
    <row r="4367">
      <c r="A4367" t="str">
        <f>IFERROR(__xludf.DUMMYFUNCTION("""COMPUTED_VALUE"""),"O-112")</f>
        <v>O-112</v>
      </c>
      <c r="B4367" s="226" t="str">
        <f>IFERROR(__xludf.DUMMYFUNCTION("""COMPUTED_VALUE"""),"5907615815638")</f>
        <v>5907615815638</v>
      </c>
      <c r="C4367" t="str">
        <f>IFERROR(__xludf.DUMMYFUNCTION("""COMPUTED_VALUE"""),"Steinhof")</f>
        <v>Steinhof</v>
      </c>
    </row>
    <row r="4368">
      <c r="A4368" t="str">
        <f>IFERROR(__xludf.DUMMYFUNCTION("""COMPUTED_VALUE"""),"O-112")</f>
        <v>O-112</v>
      </c>
      <c r="B4368" s="226" t="str">
        <f>IFERROR(__xludf.DUMMYFUNCTION("""COMPUTED_VALUE"""),"5907615815638")</f>
        <v>5907615815638</v>
      </c>
      <c r="C4368" t="str">
        <f>IFERROR(__xludf.DUMMYFUNCTION("""COMPUTED_VALUE"""),"Steinhof")</f>
        <v>Steinhof</v>
      </c>
    </row>
    <row r="4369">
      <c r="A4369" t="str">
        <f>IFERROR(__xludf.DUMMYFUNCTION("""COMPUTED_VALUE"""),"O-112")</f>
        <v>O-112</v>
      </c>
      <c r="B4369" s="226" t="str">
        <f>IFERROR(__xludf.DUMMYFUNCTION("""COMPUTED_VALUE"""),"5907615815638")</f>
        <v>5907615815638</v>
      </c>
      <c r="C4369" t="str">
        <f>IFERROR(__xludf.DUMMYFUNCTION("""COMPUTED_VALUE"""),"Steinhof")</f>
        <v>Steinhof</v>
      </c>
    </row>
    <row r="4370">
      <c r="A4370" t="str">
        <f>IFERROR(__xludf.DUMMYFUNCTION("""COMPUTED_VALUE"""),"O-112")</f>
        <v>O-112</v>
      </c>
      <c r="B4370" s="226" t="str">
        <f>IFERROR(__xludf.DUMMYFUNCTION("""COMPUTED_VALUE"""),"5907615815638")</f>
        <v>5907615815638</v>
      </c>
      <c r="C4370" t="str">
        <f>IFERROR(__xludf.DUMMYFUNCTION("""COMPUTED_VALUE"""),"Steinhof")</f>
        <v>Steinhof</v>
      </c>
    </row>
    <row r="4371">
      <c r="A4371" t="str">
        <f>IFERROR(__xludf.DUMMYFUNCTION("""COMPUTED_VALUE"""),"O-112")</f>
        <v>O-112</v>
      </c>
      <c r="B4371" s="226" t="str">
        <f>IFERROR(__xludf.DUMMYFUNCTION("""COMPUTED_VALUE"""),"5907615815638")</f>
        <v>5907615815638</v>
      </c>
      <c r="C4371" t="str">
        <f>IFERROR(__xludf.DUMMYFUNCTION("""COMPUTED_VALUE"""),"Steinhof")</f>
        <v>Steinhof</v>
      </c>
    </row>
    <row r="4372">
      <c r="A4372" t="str">
        <f>IFERROR(__xludf.DUMMYFUNCTION("""COMPUTED_VALUE"""),"O-112")</f>
        <v>O-112</v>
      </c>
      <c r="B4372" s="226" t="str">
        <f>IFERROR(__xludf.DUMMYFUNCTION("""COMPUTED_VALUE"""),"5907615815638")</f>
        <v>5907615815638</v>
      </c>
      <c r="C4372" t="str">
        <f>IFERROR(__xludf.DUMMYFUNCTION("""COMPUTED_VALUE"""),"Steinhof")</f>
        <v>Steinhof</v>
      </c>
    </row>
    <row r="4373">
      <c r="A4373" t="str">
        <f>IFERROR(__xludf.DUMMYFUNCTION("""COMPUTED_VALUE"""),"O-113")</f>
        <v>O-113</v>
      </c>
      <c r="B4373" s="226" t="str">
        <f>IFERROR(__xludf.DUMMYFUNCTION("""COMPUTED_VALUE"""),"5907615815645")</f>
        <v>5907615815645</v>
      </c>
      <c r="C4373" t="str">
        <f>IFERROR(__xludf.DUMMYFUNCTION("""COMPUTED_VALUE"""),"Steinhof")</f>
        <v>Steinhof</v>
      </c>
    </row>
    <row r="4374">
      <c r="A4374" t="str">
        <f>IFERROR(__xludf.DUMMYFUNCTION("""COMPUTED_VALUE"""),"O-113")</f>
        <v>O-113</v>
      </c>
      <c r="B4374" s="226" t="str">
        <f>IFERROR(__xludf.DUMMYFUNCTION("""COMPUTED_VALUE"""),"5907615815645")</f>
        <v>5907615815645</v>
      </c>
      <c r="C4374" t="str">
        <f>IFERROR(__xludf.DUMMYFUNCTION("""COMPUTED_VALUE"""),"Steinhof")</f>
        <v>Steinhof</v>
      </c>
    </row>
    <row r="4375">
      <c r="A4375" t="str">
        <f>IFERROR(__xludf.DUMMYFUNCTION("""COMPUTED_VALUE"""),"O-116")</f>
        <v>O-116</v>
      </c>
      <c r="B4375" s="226" t="str">
        <f>IFERROR(__xludf.DUMMYFUNCTION("""COMPUTED_VALUE"""),"5907615815676")</f>
        <v>5907615815676</v>
      </c>
      <c r="C4375" t="str">
        <f>IFERROR(__xludf.DUMMYFUNCTION("""COMPUTED_VALUE"""),"Steinhof")</f>
        <v>Steinhof</v>
      </c>
    </row>
    <row r="4376">
      <c r="A4376" t="str">
        <f>IFERROR(__xludf.DUMMYFUNCTION("""COMPUTED_VALUE"""),"O-116")</f>
        <v>O-116</v>
      </c>
      <c r="B4376" s="226" t="str">
        <f>IFERROR(__xludf.DUMMYFUNCTION("""COMPUTED_VALUE"""),"5907615815676")</f>
        <v>5907615815676</v>
      </c>
      <c r="C4376" t="str">
        <f>IFERROR(__xludf.DUMMYFUNCTION("""COMPUTED_VALUE"""),"Steinhof")</f>
        <v>Steinhof</v>
      </c>
    </row>
    <row r="4377">
      <c r="A4377" t="str">
        <f>IFERROR(__xludf.DUMMYFUNCTION("""COMPUTED_VALUE"""),"O-117")</f>
        <v>O-117</v>
      </c>
      <c r="B4377" s="226" t="str">
        <f>IFERROR(__xludf.DUMMYFUNCTION("""COMPUTED_VALUE"""),"5907615815683")</f>
        <v>5907615815683</v>
      </c>
      <c r="C4377" t="str">
        <f>IFERROR(__xludf.DUMMYFUNCTION("""COMPUTED_VALUE"""),"Steinhof")</f>
        <v>Steinhof</v>
      </c>
    </row>
    <row r="4378">
      <c r="A4378" t="str">
        <f>IFERROR(__xludf.DUMMYFUNCTION("""COMPUTED_VALUE"""),"O-117")</f>
        <v>O-117</v>
      </c>
      <c r="B4378" s="226" t="str">
        <f>IFERROR(__xludf.DUMMYFUNCTION("""COMPUTED_VALUE"""),"5907615815683")</f>
        <v>5907615815683</v>
      </c>
      <c r="C4378" t="str">
        <f>IFERROR(__xludf.DUMMYFUNCTION("""COMPUTED_VALUE"""),"Steinhof")</f>
        <v>Steinhof</v>
      </c>
    </row>
    <row r="4379">
      <c r="A4379" t="str">
        <f>IFERROR(__xludf.DUMMYFUNCTION("""COMPUTED_VALUE"""),"O-119")</f>
        <v>O-119</v>
      </c>
      <c r="B4379" s="226" t="str">
        <f>IFERROR(__xludf.DUMMYFUNCTION("""COMPUTED_VALUE"""),"5907615815706")</f>
        <v>5907615815706</v>
      </c>
      <c r="C4379" t="str">
        <f>IFERROR(__xludf.DUMMYFUNCTION("""COMPUTED_VALUE"""),"Steinhof")</f>
        <v>Steinhof</v>
      </c>
    </row>
    <row r="4380">
      <c r="A4380" t="str">
        <f>IFERROR(__xludf.DUMMYFUNCTION("""COMPUTED_VALUE"""),"O-119")</f>
        <v>O-119</v>
      </c>
      <c r="B4380" s="226" t="str">
        <f>IFERROR(__xludf.DUMMYFUNCTION("""COMPUTED_VALUE"""),"5907615815706")</f>
        <v>5907615815706</v>
      </c>
      <c r="C4380" t="str">
        <f>IFERROR(__xludf.DUMMYFUNCTION("""COMPUTED_VALUE"""),"Steinhof")</f>
        <v>Steinhof</v>
      </c>
    </row>
    <row r="4381">
      <c r="A4381" t="str">
        <f>IFERROR(__xludf.DUMMYFUNCTION("""COMPUTED_VALUE"""),"O-121")</f>
        <v>O-121</v>
      </c>
      <c r="B4381" s="226" t="str">
        <f>IFERROR(__xludf.DUMMYFUNCTION("""COMPUTED_VALUE"""),"5907615815720")</f>
        <v>5907615815720</v>
      </c>
      <c r="C4381" t="str">
        <f>IFERROR(__xludf.DUMMYFUNCTION("""COMPUTED_VALUE"""),"Steinhof")</f>
        <v>Steinhof</v>
      </c>
    </row>
    <row r="4382">
      <c r="A4382" t="str">
        <f>IFERROR(__xludf.DUMMYFUNCTION("""COMPUTED_VALUE"""),"O-123")</f>
        <v>O-123</v>
      </c>
      <c r="B4382" s="226" t="str">
        <f>IFERROR(__xludf.DUMMYFUNCTION("""COMPUTED_VALUE"""),"5907615815744")</f>
        <v>5907615815744</v>
      </c>
      <c r="C4382" t="str">
        <f>IFERROR(__xludf.DUMMYFUNCTION("""COMPUTED_VALUE"""),"Steinhof")</f>
        <v>Steinhof</v>
      </c>
    </row>
    <row r="4383">
      <c r="A4383" t="str">
        <f>IFERROR(__xludf.DUMMYFUNCTION("""COMPUTED_VALUE"""),"O-123")</f>
        <v>O-123</v>
      </c>
      <c r="B4383" s="226" t="str">
        <f>IFERROR(__xludf.DUMMYFUNCTION("""COMPUTED_VALUE"""),"5907615815744")</f>
        <v>5907615815744</v>
      </c>
      <c r="C4383" t="str">
        <f>IFERROR(__xludf.DUMMYFUNCTION("""COMPUTED_VALUE"""),"Steinhof")</f>
        <v>Steinhof</v>
      </c>
    </row>
    <row r="4384">
      <c r="A4384" t="str">
        <f>IFERROR(__xludf.DUMMYFUNCTION("""COMPUTED_VALUE"""),"O-126")</f>
        <v>O-126</v>
      </c>
      <c r="B4384" s="226" t="str">
        <f>IFERROR(__xludf.DUMMYFUNCTION("""COMPUTED_VALUE"""),"5907615815775")</f>
        <v>5907615815775</v>
      </c>
      <c r="C4384" t="str">
        <f>IFERROR(__xludf.DUMMYFUNCTION("""COMPUTED_VALUE"""),"Steinhof")</f>
        <v>Steinhof</v>
      </c>
    </row>
    <row r="4385">
      <c r="A4385" t="str">
        <f>IFERROR(__xludf.DUMMYFUNCTION("""COMPUTED_VALUE"""),"O-126")</f>
        <v>O-126</v>
      </c>
      <c r="B4385" s="226" t="str">
        <f>IFERROR(__xludf.DUMMYFUNCTION("""COMPUTED_VALUE"""),"5907615815775")</f>
        <v>5907615815775</v>
      </c>
      <c r="C4385" t="str">
        <f>IFERROR(__xludf.DUMMYFUNCTION("""COMPUTED_VALUE"""),"Steinhof")</f>
        <v>Steinhof</v>
      </c>
    </row>
    <row r="4386">
      <c r="A4386" t="str">
        <f>IFERROR(__xludf.DUMMYFUNCTION("""COMPUTED_VALUE"""),"O-128")</f>
        <v>O-128</v>
      </c>
      <c r="B4386" s="226" t="str">
        <f>IFERROR(__xludf.DUMMYFUNCTION("""COMPUTED_VALUE"""),"5907615815799")</f>
        <v>5907615815799</v>
      </c>
      <c r="C4386" t="str">
        <f>IFERROR(__xludf.DUMMYFUNCTION("""COMPUTED_VALUE"""),"Steinhof")</f>
        <v>Steinhof</v>
      </c>
    </row>
    <row r="4387">
      <c r="A4387" t="str">
        <f>IFERROR(__xludf.DUMMYFUNCTION("""COMPUTED_VALUE"""),"O-128")</f>
        <v>O-128</v>
      </c>
      <c r="B4387" s="226" t="str">
        <f>IFERROR(__xludf.DUMMYFUNCTION("""COMPUTED_VALUE"""),"5907615815799")</f>
        <v>5907615815799</v>
      </c>
      <c r="C4387" t="str">
        <f>IFERROR(__xludf.DUMMYFUNCTION("""COMPUTED_VALUE"""),"Steinhof")</f>
        <v>Steinhof</v>
      </c>
    </row>
    <row r="4388">
      <c r="A4388" t="str">
        <f>IFERROR(__xludf.DUMMYFUNCTION("""COMPUTED_VALUE"""),"O-128")</f>
        <v>O-128</v>
      </c>
      <c r="B4388" s="226" t="str">
        <f>IFERROR(__xludf.DUMMYFUNCTION("""COMPUTED_VALUE"""),"5907615815799")</f>
        <v>5907615815799</v>
      </c>
      <c r="C4388" t="str">
        <f>IFERROR(__xludf.DUMMYFUNCTION("""COMPUTED_VALUE"""),"Steinhof")</f>
        <v>Steinhof</v>
      </c>
    </row>
    <row r="4389">
      <c r="A4389" t="str">
        <f>IFERROR(__xludf.DUMMYFUNCTION("""COMPUTED_VALUE"""),"O-128")</f>
        <v>O-128</v>
      </c>
      <c r="B4389" s="226" t="str">
        <f>IFERROR(__xludf.DUMMYFUNCTION("""COMPUTED_VALUE"""),"5907615815799")</f>
        <v>5907615815799</v>
      </c>
      <c r="C4389" t="str">
        <f>IFERROR(__xludf.DUMMYFUNCTION("""COMPUTED_VALUE"""),"Steinhof")</f>
        <v>Steinhof</v>
      </c>
    </row>
    <row r="4390">
      <c r="A4390" t="str">
        <f>IFERROR(__xludf.DUMMYFUNCTION("""COMPUTED_VALUE"""),"O-129")</f>
        <v>O-129</v>
      </c>
      <c r="B4390" s="226" t="str">
        <f>IFERROR(__xludf.DUMMYFUNCTION("""COMPUTED_VALUE"""),"5907615815805")</f>
        <v>5907615815805</v>
      </c>
      <c r="C4390" t="str">
        <f>IFERROR(__xludf.DUMMYFUNCTION("""COMPUTED_VALUE"""),"Steinhof")</f>
        <v>Steinhof</v>
      </c>
    </row>
    <row r="4391">
      <c r="A4391" t="str">
        <f>IFERROR(__xludf.DUMMYFUNCTION("""COMPUTED_VALUE"""),"O-129")</f>
        <v>O-129</v>
      </c>
      <c r="B4391" s="226" t="str">
        <f>IFERROR(__xludf.DUMMYFUNCTION("""COMPUTED_VALUE"""),"5907615815805")</f>
        <v>5907615815805</v>
      </c>
      <c r="C4391" t="str">
        <f>IFERROR(__xludf.DUMMYFUNCTION("""COMPUTED_VALUE"""),"Steinhof")</f>
        <v>Steinhof</v>
      </c>
    </row>
    <row r="4392">
      <c r="A4392" t="str">
        <f>IFERROR(__xludf.DUMMYFUNCTION("""COMPUTED_VALUE"""),"O-129")</f>
        <v>O-129</v>
      </c>
      <c r="B4392" s="226" t="str">
        <f>IFERROR(__xludf.DUMMYFUNCTION("""COMPUTED_VALUE"""),"5907615815805")</f>
        <v>5907615815805</v>
      </c>
      <c r="C4392" t="str">
        <f>IFERROR(__xludf.DUMMYFUNCTION("""COMPUTED_VALUE"""),"Steinhof")</f>
        <v>Steinhof</v>
      </c>
    </row>
    <row r="4393">
      <c r="A4393" t="str">
        <f>IFERROR(__xludf.DUMMYFUNCTION("""COMPUTED_VALUE"""),"O-129")</f>
        <v>O-129</v>
      </c>
      <c r="B4393" s="226" t="str">
        <f>IFERROR(__xludf.DUMMYFUNCTION("""COMPUTED_VALUE"""),"5907615815805")</f>
        <v>5907615815805</v>
      </c>
      <c r="C4393" t="str">
        <f>IFERROR(__xludf.DUMMYFUNCTION("""COMPUTED_VALUE"""),"Steinhof")</f>
        <v>Steinhof</v>
      </c>
    </row>
    <row r="4394">
      <c r="A4394" t="str">
        <f>IFERROR(__xludf.DUMMYFUNCTION("""COMPUTED_VALUE"""),"O-130")</f>
        <v>O-130</v>
      </c>
      <c r="B4394" s="226" t="str">
        <f>IFERROR(__xludf.DUMMYFUNCTION("""COMPUTED_VALUE"""),"5907615815812")</f>
        <v>5907615815812</v>
      </c>
      <c r="C4394" t="str">
        <f>IFERROR(__xludf.DUMMYFUNCTION("""COMPUTED_VALUE"""),"Steinhof")</f>
        <v>Steinhof</v>
      </c>
    </row>
    <row r="4395">
      <c r="A4395" t="str">
        <f>IFERROR(__xludf.DUMMYFUNCTION("""COMPUTED_VALUE"""),"O-131")</f>
        <v>O-131</v>
      </c>
      <c r="B4395" s="226" t="str">
        <f>IFERROR(__xludf.DUMMYFUNCTION("""COMPUTED_VALUE"""),"5907615815829")</f>
        <v>5907615815829</v>
      </c>
      <c r="C4395" t="str">
        <f>IFERROR(__xludf.DUMMYFUNCTION("""COMPUTED_VALUE"""),"Steinhof")</f>
        <v>Steinhof</v>
      </c>
    </row>
    <row r="4396">
      <c r="A4396" t="str">
        <f>IFERROR(__xludf.DUMMYFUNCTION("""COMPUTED_VALUE"""),"O-131")</f>
        <v>O-131</v>
      </c>
      <c r="B4396" s="226" t="str">
        <f>IFERROR(__xludf.DUMMYFUNCTION("""COMPUTED_VALUE"""),"5907615815829")</f>
        <v>5907615815829</v>
      </c>
      <c r="C4396" t="str">
        <f>IFERROR(__xludf.DUMMYFUNCTION("""COMPUTED_VALUE"""),"Steinhof")</f>
        <v>Steinhof</v>
      </c>
    </row>
    <row r="4397">
      <c r="A4397" t="str">
        <f>IFERROR(__xludf.DUMMYFUNCTION("""COMPUTED_VALUE"""),"O-132")</f>
        <v>O-132</v>
      </c>
      <c r="B4397" s="226" t="str">
        <f>IFERROR(__xludf.DUMMYFUNCTION("""COMPUTED_VALUE"""),"5907615815836")</f>
        <v>5907615815836</v>
      </c>
      <c r="C4397" t="str">
        <f>IFERROR(__xludf.DUMMYFUNCTION("""COMPUTED_VALUE"""),"Steinhof")</f>
        <v>Steinhof</v>
      </c>
    </row>
    <row r="4398">
      <c r="A4398" t="str">
        <f>IFERROR(__xludf.DUMMYFUNCTION("""COMPUTED_VALUE"""),"O-132")</f>
        <v>O-132</v>
      </c>
      <c r="B4398" s="226" t="str">
        <f>IFERROR(__xludf.DUMMYFUNCTION("""COMPUTED_VALUE"""),"5907615815836")</f>
        <v>5907615815836</v>
      </c>
      <c r="C4398" t="str">
        <f>IFERROR(__xludf.DUMMYFUNCTION("""COMPUTED_VALUE"""),"Steinhof")</f>
        <v>Steinhof</v>
      </c>
    </row>
    <row r="4399">
      <c r="A4399" t="str">
        <f>IFERROR(__xludf.DUMMYFUNCTION("""COMPUTED_VALUE"""),"O-132/W7")</f>
        <v>O-132/W7</v>
      </c>
      <c r="B4399" s="226" t="str">
        <f>IFERROR(__xludf.DUMMYFUNCTION("""COMPUTED_VALUE"""),"5907615815843")</f>
        <v>5907615815843</v>
      </c>
      <c r="C4399" t="str">
        <f>IFERROR(__xludf.DUMMYFUNCTION("""COMPUTED_VALUE"""),"Steinhof")</f>
        <v>Steinhof</v>
      </c>
    </row>
    <row r="4400">
      <c r="A4400" t="str">
        <f>IFERROR(__xludf.DUMMYFUNCTION("""COMPUTED_VALUE"""),"O-132/W7")</f>
        <v>O-132/W7</v>
      </c>
      <c r="B4400" s="226" t="str">
        <f>IFERROR(__xludf.DUMMYFUNCTION("""COMPUTED_VALUE"""),"5907615815843")</f>
        <v>5907615815843</v>
      </c>
      <c r="C4400" t="str">
        <f>IFERROR(__xludf.DUMMYFUNCTION("""COMPUTED_VALUE"""),"Steinhof")</f>
        <v>Steinhof</v>
      </c>
    </row>
    <row r="4401">
      <c r="A4401" t="str">
        <f>IFERROR(__xludf.DUMMYFUNCTION("""COMPUTED_VALUE"""),"O-135")</f>
        <v>O-135</v>
      </c>
      <c r="B4401" s="226" t="str">
        <f>IFERROR(__xludf.DUMMYFUNCTION("""COMPUTED_VALUE"""),"5907615815867")</f>
        <v>5907615815867</v>
      </c>
      <c r="C4401" t="str">
        <f>IFERROR(__xludf.DUMMYFUNCTION("""COMPUTED_VALUE"""),"Steinhof")</f>
        <v>Steinhof</v>
      </c>
    </row>
    <row r="4402">
      <c r="A4402" t="str">
        <f>IFERROR(__xludf.DUMMYFUNCTION("""COMPUTED_VALUE"""),"O-136")</f>
        <v>O-136</v>
      </c>
      <c r="B4402" s="226" t="str">
        <f>IFERROR(__xludf.DUMMYFUNCTION("""COMPUTED_VALUE"""),"5907615815874")</f>
        <v>5907615815874</v>
      </c>
      <c r="C4402" t="str">
        <f>IFERROR(__xludf.DUMMYFUNCTION("""COMPUTED_VALUE"""),"Steinhof")</f>
        <v>Steinhof</v>
      </c>
    </row>
    <row r="4403">
      <c r="A4403" t="str">
        <f>IFERROR(__xludf.DUMMYFUNCTION("""COMPUTED_VALUE"""),"O-136")</f>
        <v>O-136</v>
      </c>
      <c r="B4403" s="226" t="str">
        <f>IFERROR(__xludf.DUMMYFUNCTION("""COMPUTED_VALUE"""),"5907615815874")</f>
        <v>5907615815874</v>
      </c>
      <c r="C4403" t="str">
        <f>IFERROR(__xludf.DUMMYFUNCTION("""COMPUTED_VALUE"""),"Steinhof")</f>
        <v>Steinhof</v>
      </c>
    </row>
    <row r="4404">
      <c r="A4404" t="str">
        <f>IFERROR(__xludf.DUMMYFUNCTION("""COMPUTED_VALUE"""),"O-137")</f>
        <v>O-137</v>
      </c>
      <c r="B4404" s="226" t="str">
        <f>IFERROR(__xludf.DUMMYFUNCTION("""COMPUTED_VALUE"""),"5907615815881")</f>
        <v>5907615815881</v>
      </c>
      <c r="C4404" t="str">
        <f>IFERROR(__xludf.DUMMYFUNCTION("""COMPUTED_VALUE"""),"Steinhof")</f>
        <v>Steinhof</v>
      </c>
    </row>
    <row r="4405">
      <c r="A4405" t="str">
        <f>IFERROR(__xludf.DUMMYFUNCTION("""COMPUTED_VALUE"""),"O-137")</f>
        <v>O-137</v>
      </c>
      <c r="B4405" s="226" t="str">
        <f>IFERROR(__xludf.DUMMYFUNCTION("""COMPUTED_VALUE"""),"5907615815881")</f>
        <v>5907615815881</v>
      </c>
      <c r="C4405" t="str">
        <f>IFERROR(__xludf.DUMMYFUNCTION("""COMPUTED_VALUE"""),"Steinhof")</f>
        <v>Steinhof</v>
      </c>
    </row>
    <row r="4406">
      <c r="A4406" t="str">
        <f>IFERROR(__xludf.DUMMYFUNCTION("""COMPUTED_VALUE"""),"O-138")</f>
        <v>O-138</v>
      </c>
      <c r="B4406" s="226" t="str">
        <f>IFERROR(__xludf.DUMMYFUNCTION("""COMPUTED_VALUE"""),"5907615815898")</f>
        <v>5907615815898</v>
      </c>
      <c r="C4406" t="str">
        <f>IFERROR(__xludf.DUMMYFUNCTION("""COMPUTED_VALUE"""),"Steinhof")</f>
        <v>Steinhof</v>
      </c>
    </row>
    <row r="4407">
      <c r="A4407" t="str">
        <f>IFERROR(__xludf.DUMMYFUNCTION("""COMPUTED_VALUE"""),"O-138")</f>
        <v>O-138</v>
      </c>
      <c r="B4407" s="226" t="str">
        <f>IFERROR(__xludf.DUMMYFUNCTION("""COMPUTED_VALUE"""),"5907615815898")</f>
        <v>5907615815898</v>
      </c>
      <c r="C4407" t="str">
        <f>IFERROR(__xludf.DUMMYFUNCTION("""COMPUTED_VALUE"""),"Steinhof")</f>
        <v>Steinhof</v>
      </c>
    </row>
    <row r="4408">
      <c r="A4408" t="str">
        <f>IFERROR(__xludf.DUMMYFUNCTION("""COMPUTED_VALUE"""),"O-139")</f>
        <v>O-139</v>
      </c>
      <c r="B4408" s="226" t="str">
        <f>IFERROR(__xludf.DUMMYFUNCTION("""COMPUTED_VALUE"""),"5907615815904")</f>
        <v>5907615815904</v>
      </c>
      <c r="C4408" t="str">
        <f>IFERROR(__xludf.DUMMYFUNCTION("""COMPUTED_VALUE"""),"Steinhof")</f>
        <v>Steinhof</v>
      </c>
    </row>
    <row r="4409">
      <c r="A4409" t="str">
        <f>IFERROR(__xludf.DUMMYFUNCTION("""COMPUTED_VALUE"""),"O-139")</f>
        <v>O-139</v>
      </c>
      <c r="B4409" s="226" t="str">
        <f>IFERROR(__xludf.DUMMYFUNCTION("""COMPUTED_VALUE"""),"5907615815904")</f>
        <v>5907615815904</v>
      </c>
      <c r="C4409" t="str">
        <f>IFERROR(__xludf.DUMMYFUNCTION("""COMPUTED_VALUE"""),"Steinhof")</f>
        <v>Steinhof</v>
      </c>
    </row>
    <row r="4410">
      <c r="A4410" t="str">
        <f>IFERROR(__xludf.DUMMYFUNCTION("""COMPUTED_VALUE"""),"O-140")</f>
        <v>O-140</v>
      </c>
      <c r="B4410" s="226" t="str">
        <f>IFERROR(__xludf.DUMMYFUNCTION("""COMPUTED_VALUE"""),"5907615815911")</f>
        <v>5907615815911</v>
      </c>
      <c r="C4410" t="str">
        <f>IFERROR(__xludf.DUMMYFUNCTION("""COMPUTED_VALUE"""),"Steinhof")</f>
        <v>Steinhof</v>
      </c>
    </row>
    <row r="4411">
      <c r="A4411" t="str">
        <f>IFERROR(__xludf.DUMMYFUNCTION("""COMPUTED_VALUE"""),"O-140")</f>
        <v>O-140</v>
      </c>
      <c r="B4411" s="226" t="str">
        <f>IFERROR(__xludf.DUMMYFUNCTION("""COMPUTED_VALUE"""),"5907615815911")</f>
        <v>5907615815911</v>
      </c>
      <c r="C4411" t="str">
        <f>IFERROR(__xludf.DUMMYFUNCTION("""COMPUTED_VALUE"""),"Steinhof")</f>
        <v>Steinhof</v>
      </c>
    </row>
    <row r="4412">
      <c r="A4412" t="str">
        <f>IFERROR(__xludf.DUMMYFUNCTION("""COMPUTED_VALUE"""),"O-141")</f>
        <v>O-141</v>
      </c>
      <c r="B4412" s="226" t="str">
        <f>IFERROR(__xludf.DUMMYFUNCTION("""COMPUTED_VALUE"""),"5907615815928")</f>
        <v>5907615815928</v>
      </c>
      <c r="C4412" t="str">
        <f>IFERROR(__xludf.DUMMYFUNCTION("""COMPUTED_VALUE"""),"Steinhof")</f>
        <v>Steinhof</v>
      </c>
    </row>
    <row r="4413">
      <c r="A4413" t="str">
        <f>IFERROR(__xludf.DUMMYFUNCTION("""COMPUTED_VALUE"""),"O-141")</f>
        <v>O-141</v>
      </c>
      <c r="B4413" s="226" t="str">
        <f>IFERROR(__xludf.DUMMYFUNCTION("""COMPUTED_VALUE"""),"5907615815928")</f>
        <v>5907615815928</v>
      </c>
      <c r="C4413" t="str">
        <f>IFERROR(__xludf.DUMMYFUNCTION("""COMPUTED_VALUE"""),"Steinhof")</f>
        <v>Steinhof</v>
      </c>
    </row>
    <row r="4414">
      <c r="A4414" t="str">
        <f>IFERROR(__xludf.DUMMYFUNCTION("""COMPUTED_VALUE"""),"O-142")</f>
        <v>O-142</v>
      </c>
      <c r="B4414" s="226" t="str">
        <f>IFERROR(__xludf.DUMMYFUNCTION("""COMPUTED_VALUE"""),"5907615815935")</f>
        <v>5907615815935</v>
      </c>
      <c r="C4414" t="str">
        <f>IFERROR(__xludf.DUMMYFUNCTION("""COMPUTED_VALUE"""),"Steinhof")</f>
        <v>Steinhof</v>
      </c>
    </row>
    <row r="4415">
      <c r="A4415" t="str">
        <f>IFERROR(__xludf.DUMMYFUNCTION("""COMPUTED_VALUE"""),"O-142")</f>
        <v>O-142</v>
      </c>
      <c r="B4415" s="226" t="str">
        <f>IFERROR(__xludf.DUMMYFUNCTION("""COMPUTED_VALUE"""),"5907615815935")</f>
        <v>5907615815935</v>
      </c>
      <c r="C4415" t="str">
        <f>IFERROR(__xludf.DUMMYFUNCTION("""COMPUTED_VALUE"""),"Steinhof")</f>
        <v>Steinhof</v>
      </c>
    </row>
    <row r="4416">
      <c r="A4416" t="str">
        <f>IFERROR(__xludf.DUMMYFUNCTION("""COMPUTED_VALUE"""),"O-142")</f>
        <v>O-142</v>
      </c>
      <c r="B4416" s="226" t="str">
        <f>IFERROR(__xludf.DUMMYFUNCTION("""COMPUTED_VALUE"""),"5907615815935")</f>
        <v>5907615815935</v>
      </c>
      <c r="C4416" t="str">
        <f>IFERROR(__xludf.DUMMYFUNCTION("""COMPUTED_VALUE"""),"Steinhof")</f>
        <v>Steinhof</v>
      </c>
    </row>
    <row r="4417">
      <c r="A4417" t="str">
        <f>IFERROR(__xludf.DUMMYFUNCTION("""COMPUTED_VALUE"""),"O-142")</f>
        <v>O-142</v>
      </c>
      <c r="B4417" s="226" t="str">
        <f>IFERROR(__xludf.DUMMYFUNCTION("""COMPUTED_VALUE"""),"5907615815935")</f>
        <v>5907615815935</v>
      </c>
      <c r="C4417" t="str">
        <f>IFERROR(__xludf.DUMMYFUNCTION("""COMPUTED_VALUE"""),"Steinhof")</f>
        <v>Steinhof</v>
      </c>
    </row>
    <row r="4418">
      <c r="A4418" t="str">
        <f>IFERROR(__xludf.DUMMYFUNCTION("""COMPUTED_VALUE"""),"O-143")</f>
        <v>O-143</v>
      </c>
      <c r="B4418" s="226" t="str">
        <f>IFERROR(__xludf.DUMMYFUNCTION("""COMPUTED_VALUE"""),"5907615815942")</f>
        <v>5907615815942</v>
      </c>
      <c r="C4418" t="str">
        <f>IFERROR(__xludf.DUMMYFUNCTION("""COMPUTED_VALUE"""),"Steinhof")</f>
        <v>Steinhof</v>
      </c>
    </row>
    <row r="4419">
      <c r="A4419" t="str">
        <f>IFERROR(__xludf.DUMMYFUNCTION("""COMPUTED_VALUE"""),"O-143")</f>
        <v>O-143</v>
      </c>
      <c r="B4419" s="226" t="str">
        <f>IFERROR(__xludf.DUMMYFUNCTION("""COMPUTED_VALUE"""),"5907615815942")</f>
        <v>5907615815942</v>
      </c>
      <c r="C4419" t="str">
        <f>IFERROR(__xludf.DUMMYFUNCTION("""COMPUTED_VALUE"""),"Steinhof")</f>
        <v>Steinhof</v>
      </c>
    </row>
    <row r="4420">
      <c r="A4420" t="str">
        <f>IFERROR(__xludf.DUMMYFUNCTION("""COMPUTED_VALUE"""),"O-143")</f>
        <v>O-143</v>
      </c>
      <c r="B4420" s="226" t="str">
        <f>IFERROR(__xludf.DUMMYFUNCTION("""COMPUTED_VALUE"""),"5907615815942")</f>
        <v>5907615815942</v>
      </c>
      <c r="C4420" t="str">
        <f>IFERROR(__xludf.DUMMYFUNCTION("""COMPUTED_VALUE"""),"Steinhof")</f>
        <v>Steinhof</v>
      </c>
    </row>
    <row r="4421">
      <c r="A4421" t="str">
        <f>IFERROR(__xludf.DUMMYFUNCTION("""COMPUTED_VALUE"""),"O-143")</f>
        <v>O-143</v>
      </c>
      <c r="B4421" s="226" t="str">
        <f>IFERROR(__xludf.DUMMYFUNCTION("""COMPUTED_VALUE"""),"5907615815942")</f>
        <v>5907615815942</v>
      </c>
      <c r="C4421" t="str">
        <f>IFERROR(__xludf.DUMMYFUNCTION("""COMPUTED_VALUE"""),"Steinhof")</f>
        <v>Steinhof</v>
      </c>
    </row>
    <row r="4422">
      <c r="A4422" t="str">
        <f>IFERROR(__xludf.DUMMYFUNCTION("""COMPUTED_VALUE"""),"O-144")</f>
        <v>O-144</v>
      </c>
      <c r="B4422" s="226" t="str">
        <f>IFERROR(__xludf.DUMMYFUNCTION("""COMPUTED_VALUE"""),"5907615815959")</f>
        <v>5907615815959</v>
      </c>
      <c r="C4422" t="str">
        <f>IFERROR(__xludf.DUMMYFUNCTION("""COMPUTED_VALUE"""),"Steinhof")</f>
        <v>Steinhof</v>
      </c>
    </row>
    <row r="4423">
      <c r="A4423" t="str">
        <f>IFERROR(__xludf.DUMMYFUNCTION("""COMPUTED_VALUE"""),"O-144")</f>
        <v>O-144</v>
      </c>
      <c r="B4423" s="226" t="str">
        <f>IFERROR(__xludf.DUMMYFUNCTION("""COMPUTED_VALUE"""),"5907615815959")</f>
        <v>5907615815959</v>
      </c>
      <c r="C4423" t="str">
        <f>IFERROR(__xludf.DUMMYFUNCTION("""COMPUTED_VALUE"""),"Steinhof")</f>
        <v>Steinhof</v>
      </c>
    </row>
    <row r="4424">
      <c r="A4424" t="str">
        <f>IFERROR(__xludf.DUMMYFUNCTION("""COMPUTED_VALUE"""),"O-144")</f>
        <v>O-144</v>
      </c>
      <c r="B4424" s="226" t="str">
        <f>IFERROR(__xludf.DUMMYFUNCTION("""COMPUTED_VALUE"""),"5907615815959")</f>
        <v>5907615815959</v>
      </c>
      <c r="C4424" t="str">
        <f>IFERROR(__xludf.DUMMYFUNCTION("""COMPUTED_VALUE"""),"Steinhof")</f>
        <v>Steinhof</v>
      </c>
    </row>
    <row r="4425">
      <c r="A4425" t="str">
        <f>IFERROR(__xludf.DUMMYFUNCTION("""COMPUTED_VALUE"""),"O-144")</f>
        <v>O-144</v>
      </c>
      <c r="B4425" s="226" t="str">
        <f>IFERROR(__xludf.DUMMYFUNCTION("""COMPUTED_VALUE"""),"5907615815959")</f>
        <v>5907615815959</v>
      </c>
      <c r="C4425" t="str">
        <f>IFERROR(__xludf.DUMMYFUNCTION("""COMPUTED_VALUE"""),"Steinhof")</f>
        <v>Steinhof</v>
      </c>
    </row>
    <row r="4426">
      <c r="A4426" t="str">
        <f>IFERROR(__xludf.DUMMYFUNCTION("""COMPUTED_VALUE"""),"O-145")</f>
        <v>O-145</v>
      </c>
      <c r="B4426" s="226" t="str">
        <f>IFERROR(__xludf.DUMMYFUNCTION("""COMPUTED_VALUE"""),"5907615815966")</f>
        <v>5907615815966</v>
      </c>
      <c r="C4426" t="str">
        <f>IFERROR(__xludf.DUMMYFUNCTION("""COMPUTED_VALUE"""),"Steinhof")</f>
        <v>Steinhof</v>
      </c>
    </row>
    <row r="4427">
      <c r="A4427" t="str">
        <f>IFERROR(__xludf.DUMMYFUNCTION("""COMPUTED_VALUE"""),"O-145")</f>
        <v>O-145</v>
      </c>
      <c r="B4427" s="226" t="str">
        <f>IFERROR(__xludf.DUMMYFUNCTION("""COMPUTED_VALUE"""),"5907615815966")</f>
        <v>5907615815966</v>
      </c>
      <c r="C4427" t="str">
        <f>IFERROR(__xludf.DUMMYFUNCTION("""COMPUTED_VALUE"""),"Steinhof")</f>
        <v>Steinhof</v>
      </c>
    </row>
    <row r="4428">
      <c r="A4428" t="str">
        <f>IFERROR(__xludf.DUMMYFUNCTION("""COMPUTED_VALUE"""),"O-145")</f>
        <v>O-145</v>
      </c>
      <c r="B4428" s="226" t="str">
        <f>IFERROR(__xludf.DUMMYFUNCTION("""COMPUTED_VALUE"""),"5907615815966")</f>
        <v>5907615815966</v>
      </c>
      <c r="C4428" t="str">
        <f>IFERROR(__xludf.DUMMYFUNCTION("""COMPUTED_VALUE"""),"Steinhof")</f>
        <v>Steinhof</v>
      </c>
    </row>
    <row r="4429">
      <c r="A4429" t="str">
        <f>IFERROR(__xludf.DUMMYFUNCTION("""COMPUTED_VALUE"""),"O-145")</f>
        <v>O-145</v>
      </c>
      <c r="B4429" s="226" t="str">
        <f>IFERROR(__xludf.DUMMYFUNCTION("""COMPUTED_VALUE"""),"5907615815966")</f>
        <v>5907615815966</v>
      </c>
      <c r="C4429" t="str">
        <f>IFERROR(__xludf.DUMMYFUNCTION("""COMPUTED_VALUE"""),"Steinhof")</f>
        <v>Steinhof</v>
      </c>
    </row>
    <row r="4430">
      <c r="A4430" t="str">
        <f>IFERROR(__xludf.DUMMYFUNCTION("""COMPUTED_VALUE"""),"O-146")</f>
        <v>O-146</v>
      </c>
      <c r="B4430" s="226" t="str">
        <f>IFERROR(__xludf.DUMMYFUNCTION("""COMPUTED_VALUE"""),"5907615815973")</f>
        <v>5907615815973</v>
      </c>
      <c r="C4430" t="str">
        <f>IFERROR(__xludf.DUMMYFUNCTION("""COMPUTED_VALUE"""),"Steinhof")</f>
        <v>Steinhof</v>
      </c>
    </row>
    <row r="4431">
      <c r="A4431" t="str">
        <f>IFERROR(__xludf.DUMMYFUNCTION("""COMPUTED_VALUE"""),"O-146")</f>
        <v>O-146</v>
      </c>
      <c r="B4431" s="226" t="str">
        <f>IFERROR(__xludf.DUMMYFUNCTION("""COMPUTED_VALUE"""),"5907615815973")</f>
        <v>5907615815973</v>
      </c>
      <c r="C4431" t="str">
        <f>IFERROR(__xludf.DUMMYFUNCTION("""COMPUTED_VALUE"""),"Steinhof")</f>
        <v>Steinhof</v>
      </c>
    </row>
    <row r="4432">
      <c r="A4432" t="str">
        <f>IFERROR(__xludf.DUMMYFUNCTION("""COMPUTED_VALUE"""),"O-147")</f>
        <v>O-147</v>
      </c>
      <c r="B4432" s="226" t="str">
        <f>IFERROR(__xludf.DUMMYFUNCTION("""COMPUTED_VALUE"""),"5907615815980")</f>
        <v>5907615815980</v>
      </c>
      <c r="C4432" t="str">
        <f>IFERROR(__xludf.DUMMYFUNCTION("""COMPUTED_VALUE"""),"Steinhof")</f>
        <v>Steinhof</v>
      </c>
    </row>
    <row r="4433">
      <c r="A4433" t="str">
        <f>IFERROR(__xludf.DUMMYFUNCTION("""COMPUTED_VALUE"""),"O-147")</f>
        <v>O-147</v>
      </c>
      <c r="B4433" s="226" t="str">
        <f>IFERROR(__xludf.DUMMYFUNCTION("""COMPUTED_VALUE"""),"5907615815980")</f>
        <v>5907615815980</v>
      </c>
      <c r="C4433" t="str">
        <f>IFERROR(__xludf.DUMMYFUNCTION("""COMPUTED_VALUE"""),"Steinhof")</f>
        <v>Steinhof</v>
      </c>
    </row>
    <row r="4434">
      <c r="A4434" t="str">
        <f>IFERROR(__xludf.DUMMYFUNCTION("""COMPUTED_VALUE"""),"O-148")</f>
        <v>O-148</v>
      </c>
      <c r="B4434" s="226" t="str">
        <f>IFERROR(__xludf.DUMMYFUNCTION("""COMPUTED_VALUE"""),"5907615815997")</f>
        <v>5907615815997</v>
      </c>
      <c r="C4434" t="str">
        <f>IFERROR(__xludf.DUMMYFUNCTION("""COMPUTED_VALUE"""),"Steinhof")</f>
        <v>Steinhof</v>
      </c>
    </row>
    <row r="4435">
      <c r="A4435" t="str">
        <f>IFERROR(__xludf.DUMMYFUNCTION("""COMPUTED_VALUE"""),"O-148")</f>
        <v>O-148</v>
      </c>
      <c r="B4435" s="226" t="str">
        <f>IFERROR(__xludf.DUMMYFUNCTION("""COMPUTED_VALUE"""),"5907615815997")</f>
        <v>5907615815997</v>
      </c>
      <c r="C4435" t="str">
        <f>IFERROR(__xludf.DUMMYFUNCTION("""COMPUTED_VALUE"""),"Steinhof")</f>
        <v>Steinhof</v>
      </c>
    </row>
    <row r="4436">
      <c r="A4436" t="str">
        <f>IFERROR(__xludf.DUMMYFUNCTION("""COMPUTED_VALUE"""),"O-149")</f>
        <v>O-149</v>
      </c>
      <c r="B4436" s="226" t="str">
        <f>IFERROR(__xludf.DUMMYFUNCTION("""COMPUTED_VALUE"""),"5907615816000")</f>
        <v>5907615816000</v>
      </c>
      <c r="C4436" t="str">
        <f>IFERROR(__xludf.DUMMYFUNCTION("""COMPUTED_VALUE"""),"Steinhof")</f>
        <v>Steinhof</v>
      </c>
    </row>
    <row r="4437">
      <c r="A4437" t="str">
        <f>IFERROR(__xludf.DUMMYFUNCTION("""COMPUTED_VALUE"""),"O-149")</f>
        <v>O-149</v>
      </c>
      <c r="B4437" s="226" t="str">
        <f>IFERROR(__xludf.DUMMYFUNCTION("""COMPUTED_VALUE"""),"5907615816000")</f>
        <v>5907615816000</v>
      </c>
      <c r="C4437" t="str">
        <f>IFERROR(__xludf.DUMMYFUNCTION("""COMPUTED_VALUE"""),"Steinhof")</f>
        <v>Steinhof</v>
      </c>
    </row>
    <row r="4438">
      <c r="A4438" t="str">
        <f>IFERROR(__xludf.DUMMYFUNCTION("""COMPUTED_VALUE"""),"O-150")</f>
        <v>O-150</v>
      </c>
      <c r="B4438" s="226" t="str">
        <f>IFERROR(__xludf.DUMMYFUNCTION("""COMPUTED_VALUE"""),"5907615816017")</f>
        <v>5907615816017</v>
      </c>
      <c r="C4438" t="str">
        <f>IFERROR(__xludf.DUMMYFUNCTION("""COMPUTED_VALUE"""),"Steinhof")</f>
        <v>Steinhof</v>
      </c>
    </row>
    <row r="4439">
      <c r="A4439" t="str">
        <f>IFERROR(__xludf.DUMMYFUNCTION("""COMPUTED_VALUE"""),"O-151")</f>
        <v>O-151</v>
      </c>
      <c r="B4439" s="226" t="str">
        <f>IFERROR(__xludf.DUMMYFUNCTION("""COMPUTED_VALUE"""),"5907615816024")</f>
        <v>5907615816024</v>
      </c>
      <c r="C4439" t="str">
        <f>IFERROR(__xludf.DUMMYFUNCTION("""COMPUTED_VALUE"""),"Steinhof")</f>
        <v>Steinhof</v>
      </c>
    </row>
    <row r="4440">
      <c r="A4440" t="str">
        <f>IFERROR(__xludf.DUMMYFUNCTION("""COMPUTED_VALUE"""),"O-152")</f>
        <v>O-152</v>
      </c>
      <c r="B4440" s="226" t="str">
        <f>IFERROR(__xludf.DUMMYFUNCTION("""COMPUTED_VALUE"""),"5907615816031")</f>
        <v>5907615816031</v>
      </c>
      <c r="C4440" t="str">
        <f>IFERROR(__xludf.DUMMYFUNCTION("""COMPUTED_VALUE"""),"Steinhof")</f>
        <v>Steinhof</v>
      </c>
    </row>
    <row r="4441">
      <c r="A4441" t="str">
        <f>IFERROR(__xludf.DUMMYFUNCTION("""COMPUTED_VALUE"""),"O-153")</f>
        <v>O-153</v>
      </c>
      <c r="B4441" s="226" t="str">
        <f>IFERROR(__xludf.DUMMYFUNCTION("""COMPUTED_VALUE"""),"5907615816048")</f>
        <v>5907615816048</v>
      </c>
      <c r="C4441" t="str">
        <f>IFERROR(__xludf.DUMMYFUNCTION("""COMPUTED_VALUE"""),"Steinhof")</f>
        <v>Steinhof</v>
      </c>
    </row>
    <row r="4442">
      <c r="A4442" t="str">
        <f>IFERROR(__xludf.DUMMYFUNCTION("""COMPUTED_VALUE"""),"O-154")</f>
        <v>O-154</v>
      </c>
      <c r="B4442" s="226" t="str">
        <f>IFERROR(__xludf.DUMMYFUNCTION("""COMPUTED_VALUE"""),"5907615816055")</f>
        <v>5907615816055</v>
      </c>
      <c r="C4442" t="str">
        <f>IFERROR(__xludf.DUMMYFUNCTION("""COMPUTED_VALUE"""),"Steinhof")</f>
        <v>Steinhof</v>
      </c>
    </row>
    <row r="4443">
      <c r="A4443" t="str">
        <f>IFERROR(__xludf.DUMMYFUNCTION("""COMPUTED_VALUE"""),"O-155")</f>
        <v>O-155</v>
      </c>
      <c r="B4443" s="226" t="str">
        <f>IFERROR(__xludf.DUMMYFUNCTION("""COMPUTED_VALUE"""),"5907615816062")</f>
        <v>5907615816062</v>
      </c>
      <c r="C4443" t="str">
        <f>IFERROR(__xludf.DUMMYFUNCTION("""COMPUTED_VALUE"""),"Steinhof")</f>
        <v>Steinhof</v>
      </c>
    </row>
    <row r="4444">
      <c r="A4444" t="str">
        <f>IFERROR(__xludf.DUMMYFUNCTION("""COMPUTED_VALUE"""),"O-156")</f>
        <v>O-156</v>
      </c>
      <c r="B4444" s="226" t="str">
        <f>IFERROR(__xludf.DUMMYFUNCTION("""COMPUTED_VALUE"""),"5907615816079")</f>
        <v>5907615816079</v>
      </c>
      <c r="C4444" t="str">
        <f>IFERROR(__xludf.DUMMYFUNCTION("""COMPUTED_VALUE"""),"Steinhof")</f>
        <v>Steinhof</v>
      </c>
    </row>
    <row r="4445">
      <c r="A4445" t="str">
        <f>IFERROR(__xludf.DUMMYFUNCTION("""COMPUTED_VALUE"""),"O-156")</f>
        <v>O-156</v>
      </c>
      <c r="B4445" s="226" t="str">
        <f>IFERROR(__xludf.DUMMYFUNCTION("""COMPUTED_VALUE"""),"5907615816079")</f>
        <v>5907615816079</v>
      </c>
      <c r="C4445" t="str">
        <f>IFERROR(__xludf.DUMMYFUNCTION("""COMPUTED_VALUE"""),"Steinhof")</f>
        <v>Steinhof</v>
      </c>
    </row>
    <row r="4446">
      <c r="A4446" t="str">
        <f>IFERROR(__xludf.DUMMYFUNCTION("""COMPUTED_VALUE"""),"O-157")</f>
        <v>O-157</v>
      </c>
      <c r="B4446" s="226" t="str">
        <f>IFERROR(__xludf.DUMMYFUNCTION("""COMPUTED_VALUE"""),"5907615816086")</f>
        <v>5907615816086</v>
      </c>
      <c r="C4446" t="str">
        <f>IFERROR(__xludf.DUMMYFUNCTION("""COMPUTED_VALUE"""),"Steinhof")</f>
        <v>Steinhof</v>
      </c>
    </row>
    <row r="4447">
      <c r="A4447" t="str">
        <f>IFERROR(__xludf.DUMMYFUNCTION("""COMPUTED_VALUE"""),"O-157")</f>
        <v>O-157</v>
      </c>
      <c r="B4447" s="226" t="str">
        <f>IFERROR(__xludf.DUMMYFUNCTION("""COMPUTED_VALUE"""),"5907615816086")</f>
        <v>5907615816086</v>
      </c>
      <c r="C4447" t="str">
        <f>IFERROR(__xludf.DUMMYFUNCTION("""COMPUTED_VALUE"""),"Steinhof")</f>
        <v>Steinhof</v>
      </c>
    </row>
    <row r="4448">
      <c r="A4448" t="str">
        <f>IFERROR(__xludf.DUMMYFUNCTION("""COMPUTED_VALUE"""),"O-161")</f>
        <v>O-161</v>
      </c>
      <c r="B4448" s="226" t="str">
        <f>IFERROR(__xludf.DUMMYFUNCTION("""COMPUTED_VALUE"""),"5907615816123")</f>
        <v>5907615816123</v>
      </c>
      <c r="C4448" t="str">
        <f>IFERROR(__xludf.DUMMYFUNCTION("""COMPUTED_VALUE"""),"Steinhof")</f>
        <v>Steinhof</v>
      </c>
    </row>
    <row r="4449">
      <c r="A4449" t="str">
        <f>IFERROR(__xludf.DUMMYFUNCTION("""COMPUTED_VALUE"""),"O-161")</f>
        <v>O-161</v>
      </c>
      <c r="B4449" s="226" t="str">
        <f>IFERROR(__xludf.DUMMYFUNCTION("""COMPUTED_VALUE"""),"5907615816123")</f>
        <v>5907615816123</v>
      </c>
      <c r="C4449" t="str">
        <f>IFERROR(__xludf.DUMMYFUNCTION("""COMPUTED_VALUE"""),"Steinhof")</f>
        <v>Steinhof</v>
      </c>
    </row>
    <row r="4450">
      <c r="A4450" t="str">
        <f>IFERROR(__xludf.DUMMYFUNCTION("""COMPUTED_VALUE"""),"O-162")</f>
        <v>O-162</v>
      </c>
      <c r="B4450" s="226" t="str">
        <f>IFERROR(__xludf.DUMMYFUNCTION("""COMPUTED_VALUE"""),"5907615816130")</f>
        <v>5907615816130</v>
      </c>
      <c r="C4450" t="str">
        <f>IFERROR(__xludf.DUMMYFUNCTION("""COMPUTED_VALUE"""),"Steinhof")</f>
        <v>Steinhof</v>
      </c>
    </row>
    <row r="4451">
      <c r="A4451" t="str">
        <f>IFERROR(__xludf.DUMMYFUNCTION("""COMPUTED_VALUE"""),"O-162")</f>
        <v>O-162</v>
      </c>
      <c r="B4451" s="226" t="str">
        <f>IFERROR(__xludf.DUMMYFUNCTION("""COMPUTED_VALUE"""),"5907615816130")</f>
        <v>5907615816130</v>
      </c>
      <c r="C4451" t="str">
        <f>IFERROR(__xludf.DUMMYFUNCTION("""COMPUTED_VALUE"""),"Steinhof")</f>
        <v>Steinhof</v>
      </c>
    </row>
    <row r="4452">
      <c r="A4452" t="str">
        <f>IFERROR(__xludf.DUMMYFUNCTION("""COMPUTED_VALUE"""),"O-165")</f>
        <v>O-165</v>
      </c>
      <c r="B4452" s="226" t="str">
        <f>IFERROR(__xludf.DUMMYFUNCTION("""COMPUTED_VALUE"""),"5907615816161")</f>
        <v>5907615816161</v>
      </c>
      <c r="C4452" t="str">
        <f>IFERROR(__xludf.DUMMYFUNCTION("""COMPUTED_VALUE"""),"Steinhof")</f>
        <v>Steinhof</v>
      </c>
    </row>
    <row r="4453">
      <c r="A4453" t="str">
        <f>IFERROR(__xludf.DUMMYFUNCTION("""COMPUTED_VALUE"""),"O-165")</f>
        <v>O-165</v>
      </c>
      <c r="B4453" s="226" t="str">
        <f>IFERROR(__xludf.DUMMYFUNCTION("""COMPUTED_VALUE"""),"5907615816161")</f>
        <v>5907615816161</v>
      </c>
      <c r="C4453" t="str">
        <f>IFERROR(__xludf.DUMMYFUNCTION("""COMPUTED_VALUE"""),"Steinhof")</f>
        <v>Steinhof</v>
      </c>
    </row>
    <row r="4454">
      <c r="A4454" t="str">
        <f>IFERROR(__xludf.DUMMYFUNCTION("""COMPUTED_VALUE"""),"O-165")</f>
        <v>O-165</v>
      </c>
      <c r="B4454" s="226" t="str">
        <f>IFERROR(__xludf.DUMMYFUNCTION("""COMPUTED_VALUE"""),"5907615816161")</f>
        <v>5907615816161</v>
      </c>
      <c r="C4454" t="str">
        <f>IFERROR(__xludf.DUMMYFUNCTION("""COMPUTED_VALUE"""),"Steinhof")</f>
        <v>Steinhof</v>
      </c>
    </row>
    <row r="4455">
      <c r="A4455" t="str">
        <f>IFERROR(__xludf.DUMMYFUNCTION("""COMPUTED_VALUE"""),"O-165")</f>
        <v>O-165</v>
      </c>
      <c r="B4455" s="226" t="str">
        <f>IFERROR(__xludf.DUMMYFUNCTION("""COMPUTED_VALUE"""),"5907615816161")</f>
        <v>5907615816161</v>
      </c>
      <c r="C4455" t="str">
        <f>IFERROR(__xludf.DUMMYFUNCTION("""COMPUTED_VALUE"""),"Steinhof")</f>
        <v>Steinhof</v>
      </c>
    </row>
    <row r="4456">
      <c r="A4456" t="str">
        <f>IFERROR(__xludf.DUMMYFUNCTION("""COMPUTED_VALUE"""),"O-166")</f>
        <v>O-166</v>
      </c>
      <c r="B4456" s="226" t="str">
        <f>IFERROR(__xludf.DUMMYFUNCTION("""COMPUTED_VALUE"""),"5907615816178")</f>
        <v>5907615816178</v>
      </c>
      <c r="C4456" t="str">
        <f>IFERROR(__xludf.DUMMYFUNCTION("""COMPUTED_VALUE"""),"Steinhof")</f>
        <v>Steinhof</v>
      </c>
    </row>
    <row r="4457">
      <c r="A4457" t="str">
        <f>IFERROR(__xludf.DUMMYFUNCTION("""COMPUTED_VALUE"""),"O-166")</f>
        <v>O-166</v>
      </c>
      <c r="B4457" s="226" t="str">
        <f>IFERROR(__xludf.DUMMYFUNCTION("""COMPUTED_VALUE"""),"5907615816178")</f>
        <v>5907615816178</v>
      </c>
      <c r="C4457" t="str">
        <f>IFERROR(__xludf.DUMMYFUNCTION("""COMPUTED_VALUE"""),"Steinhof")</f>
        <v>Steinhof</v>
      </c>
    </row>
    <row r="4458">
      <c r="A4458" t="str">
        <f>IFERROR(__xludf.DUMMYFUNCTION("""COMPUTED_VALUE"""),"O-166")</f>
        <v>O-166</v>
      </c>
      <c r="B4458" s="226" t="str">
        <f>IFERROR(__xludf.DUMMYFUNCTION("""COMPUTED_VALUE"""),"5907615816178")</f>
        <v>5907615816178</v>
      </c>
      <c r="C4458" t="str">
        <f>IFERROR(__xludf.DUMMYFUNCTION("""COMPUTED_VALUE"""),"Steinhof")</f>
        <v>Steinhof</v>
      </c>
    </row>
    <row r="4459">
      <c r="A4459" t="str">
        <f>IFERROR(__xludf.DUMMYFUNCTION("""COMPUTED_VALUE"""),"O-166")</f>
        <v>O-166</v>
      </c>
      <c r="B4459" s="226" t="str">
        <f>IFERROR(__xludf.DUMMYFUNCTION("""COMPUTED_VALUE"""),"5907615816178")</f>
        <v>5907615816178</v>
      </c>
      <c r="C4459" t="str">
        <f>IFERROR(__xludf.DUMMYFUNCTION("""COMPUTED_VALUE"""),"Steinhof")</f>
        <v>Steinhof</v>
      </c>
    </row>
    <row r="4460">
      <c r="A4460" t="str">
        <f>IFERROR(__xludf.DUMMYFUNCTION("""COMPUTED_VALUE"""),"O-174")</f>
        <v>O-174</v>
      </c>
      <c r="B4460" s="226" t="str">
        <f>IFERROR(__xludf.DUMMYFUNCTION("""COMPUTED_VALUE"""),"5907615816253")</f>
        <v>5907615816253</v>
      </c>
      <c r="C4460" t="str">
        <f>IFERROR(__xludf.DUMMYFUNCTION("""COMPUTED_VALUE"""),"Steinhof")</f>
        <v>Steinhof</v>
      </c>
    </row>
    <row r="4461">
      <c r="A4461" t="str">
        <f>IFERROR(__xludf.DUMMYFUNCTION("""COMPUTED_VALUE"""),"O-174")</f>
        <v>O-174</v>
      </c>
      <c r="B4461" s="226" t="str">
        <f>IFERROR(__xludf.DUMMYFUNCTION("""COMPUTED_VALUE"""),"5907615816253")</f>
        <v>5907615816253</v>
      </c>
      <c r="C4461" t="str">
        <f>IFERROR(__xludf.DUMMYFUNCTION("""COMPUTED_VALUE"""),"Steinhof")</f>
        <v>Steinhof</v>
      </c>
    </row>
    <row r="4462">
      <c r="A4462" t="str">
        <f>IFERROR(__xludf.DUMMYFUNCTION("""COMPUTED_VALUE"""),"O-175")</f>
        <v>O-175</v>
      </c>
      <c r="B4462" s="226" t="str">
        <f>IFERROR(__xludf.DUMMYFUNCTION("""COMPUTED_VALUE"""),"5907615816260")</f>
        <v>5907615816260</v>
      </c>
      <c r="C4462" t="str">
        <f>IFERROR(__xludf.DUMMYFUNCTION("""COMPUTED_VALUE"""),"Steinhof")</f>
        <v>Steinhof</v>
      </c>
    </row>
    <row r="4463">
      <c r="A4463" t="str">
        <f>IFERROR(__xludf.DUMMYFUNCTION("""COMPUTED_VALUE"""),"O-175")</f>
        <v>O-175</v>
      </c>
      <c r="B4463" s="226" t="str">
        <f>IFERROR(__xludf.DUMMYFUNCTION("""COMPUTED_VALUE"""),"5907615816260")</f>
        <v>5907615816260</v>
      </c>
      <c r="C4463" t="str">
        <f>IFERROR(__xludf.DUMMYFUNCTION("""COMPUTED_VALUE"""),"Steinhof")</f>
        <v>Steinhof</v>
      </c>
    </row>
    <row r="4464">
      <c r="A4464" t="str">
        <f>IFERROR(__xludf.DUMMYFUNCTION("""COMPUTED_VALUE"""),"O-176")</f>
        <v>O-176</v>
      </c>
      <c r="B4464" s="226" t="str">
        <f>IFERROR(__xludf.DUMMYFUNCTION("""COMPUTED_VALUE"""),"5907615816277")</f>
        <v>5907615816277</v>
      </c>
      <c r="C4464" t="str">
        <f>IFERROR(__xludf.DUMMYFUNCTION("""COMPUTED_VALUE"""),"Steinhof")</f>
        <v>Steinhof</v>
      </c>
    </row>
    <row r="4465">
      <c r="A4465" t="str">
        <f>IFERROR(__xludf.DUMMYFUNCTION("""COMPUTED_VALUE"""),"O-176")</f>
        <v>O-176</v>
      </c>
      <c r="B4465" s="226" t="str">
        <f>IFERROR(__xludf.DUMMYFUNCTION("""COMPUTED_VALUE"""),"5907615816277")</f>
        <v>5907615816277</v>
      </c>
      <c r="C4465" t="str">
        <f>IFERROR(__xludf.DUMMYFUNCTION("""COMPUTED_VALUE"""),"Steinhof")</f>
        <v>Steinhof</v>
      </c>
    </row>
    <row r="4466">
      <c r="A4466" t="str">
        <f>IFERROR(__xludf.DUMMYFUNCTION("""COMPUTED_VALUE"""),"O-177")</f>
        <v>O-177</v>
      </c>
      <c r="B4466" s="226" t="str">
        <f>IFERROR(__xludf.DUMMYFUNCTION("""COMPUTED_VALUE"""),"5907615816284")</f>
        <v>5907615816284</v>
      </c>
      <c r="C4466" t="str">
        <f>IFERROR(__xludf.DUMMYFUNCTION("""COMPUTED_VALUE"""),"Steinhof")</f>
        <v>Steinhof</v>
      </c>
    </row>
    <row r="4467">
      <c r="A4467" t="str">
        <f>IFERROR(__xludf.DUMMYFUNCTION("""COMPUTED_VALUE"""),"O-177")</f>
        <v>O-177</v>
      </c>
      <c r="B4467" s="226" t="str">
        <f>IFERROR(__xludf.DUMMYFUNCTION("""COMPUTED_VALUE"""),"5907615816284")</f>
        <v>5907615816284</v>
      </c>
      <c r="C4467" t="str">
        <f>IFERROR(__xludf.DUMMYFUNCTION("""COMPUTED_VALUE"""),"Steinhof")</f>
        <v>Steinhof</v>
      </c>
    </row>
    <row r="4468">
      <c r="A4468" t="str">
        <f>IFERROR(__xludf.DUMMYFUNCTION("""COMPUTED_VALUE"""),"O-180")</f>
        <v>O-180</v>
      </c>
      <c r="B4468" s="226" t="str">
        <f>IFERROR(__xludf.DUMMYFUNCTION("""COMPUTED_VALUE"""),"5907615816314")</f>
        <v>5907615816314</v>
      </c>
      <c r="C4468" t="str">
        <f>IFERROR(__xludf.DUMMYFUNCTION("""COMPUTED_VALUE"""),"Steinhof")</f>
        <v>Steinhof</v>
      </c>
    </row>
    <row r="4469">
      <c r="A4469" t="str">
        <f>IFERROR(__xludf.DUMMYFUNCTION("""COMPUTED_VALUE"""),"O-180")</f>
        <v>O-180</v>
      </c>
      <c r="B4469" s="226" t="str">
        <f>IFERROR(__xludf.DUMMYFUNCTION("""COMPUTED_VALUE"""),"5907615816314")</f>
        <v>5907615816314</v>
      </c>
      <c r="C4469" t="str">
        <f>IFERROR(__xludf.DUMMYFUNCTION("""COMPUTED_VALUE"""),"Steinhof")</f>
        <v>Steinhof</v>
      </c>
    </row>
    <row r="4470">
      <c r="A4470" t="str">
        <f>IFERROR(__xludf.DUMMYFUNCTION("""COMPUTED_VALUE"""),"O-180")</f>
        <v>O-180</v>
      </c>
      <c r="B4470" s="226" t="str">
        <f>IFERROR(__xludf.DUMMYFUNCTION("""COMPUTED_VALUE"""),"5907615816314")</f>
        <v>5907615816314</v>
      </c>
      <c r="C4470" t="str">
        <f>IFERROR(__xludf.DUMMYFUNCTION("""COMPUTED_VALUE"""),"Steinhof")</f>
        <v>Steinhof</v>
      </c>
    </row>
    <row r="4471">
      <c r="A4471" t="str">
        <f>IFERROR(__xludf.DUMMYFUNCTION("""COMPUTED_VALUE"""),"O-180")</f>
        <v>O-180</v>
      </c>
      <c r="B4471" s="226" t="str">
        <f>IFERROR(__xludf.DUMMYFUNCTION("""COMPUTED_VALUE"""),"5907615816314")</f>
        <v>5907615816314</v>
      </c>
      <c r="C4471" t="str">
        <f>IFERROR(__xludf.DUMMYFUNCTION("""COMPUTED_VALUE"""),"Steinhof")</f>
        <v>Steinhof</v>
      </c>
    </row>
    <row r="4472">
      <c r="A4472" t="str">
        <f>IFERROR(__xludf.DUMMYFUNCTION("""COMPUTED_VALUE"""),"O-182")</f>
        <v>O-182</v>
      </c>
      <c r="B4472" s="226" t="str">
        <f>IFERROR(__xludf.DUMMYFUNCTION("""COMPUTED_VALUE"""),"5907615816338")</f>
        <v>5907615816338</v>
      </c>
      <c r="C4472" t="str">
        <f>IFERROR(__xludf.DUMMYFUNCTION("""COMPUTED_VALUE"""),"Steinhof")</f>
        <v>Steinhof</v>
      </c>
    </row>
    <row r="4473">
      <c r="A4473" t="str">
        <f>IFERROR(__xludf.DUMMYFUNCTION("""COMPUTED_VALUE"""),"O-182")</f>
        <v>O-182</v>
      </c>
      <c r="B4473" s="226" t="str">
        <f>IFERROR(__xludf.DUMMYFUNCTION("""COMPUTED_VALUE"""),"5907615816338")</f>
        <v>5907615816338</v>
      </c>
      <c r="C4473" t="str">
        <f>IFERROR(__xludf.DUMMYFUNCTION("""COMPUTED_VALUE"""),"Steinhof")</f>
        <v>Steinhof</v>
      </c>
    </row>
    <row r="4474">
      <c r="A4474" t="str">
        <f>IFERROR(__xludf.DUMMYFUNCTION("""COMPUTED_VALUE"""),"O-210")</f>
        <v>O-210</v>
      </c>
      <c r="B4474" s="226" t="str">
        <f>IFERROR(__xludf.DUMMYFUNCTION("""COMPUTED_VALUE"""),"5907615816611")</f>
        <v>5907615816611</v>
      </c>
      <c r="C4474" t="str">
        <f>IFERROR(__xludf.DUMMYFUNCTION("""COMPUTED_VALUE"""),"Steinhof")</f>
        <v>Steinhof</v>
      </c>
    </row>
    <row r="4475">
      <c r="A4475" t="str">
        <f>IFERROR(__xludf.DUMMYFUNCTION("""COMPUTED_VALUE"""),"O-212")</f>
        <v>O-212</v>
      </c>
      <c r="B4475" s="226" t="str">
        <f>IFERROR(__xludf.DUMMYFUNCTION("""COMPUTED_VALUE"""),"5907615816635")</f>
        <v>5907615816635</v>
      </c>
      <c r="C4475" t="str">
        <f>IFERROR(__xludf.DUMMYFUNCTION("""COMPUTED_VALUE"""),"Steinhof")</f>
        <v>Steinhof</v>
      </c>
    </row>
    <row r="4476">
      <c r="A4476" t="str">
        <f>IFERROR(__xludf.DUMMYFUNCTION("""COMPUTED_VALUE"""),"O-214")</f>
        <v>O-214</v>
      </c>
      <c r="B4476" s="226" t="str">
        <f>IFERROR(__xludf.DUMMYFUNCTION("""COMPUTED_VALUE"""),"5907615816659")</f>
        <v>5907615816659</v>
      </c>
      <c r="C4476" t="str">
        <f>IFERROR(__xludf.DUMMYFUNCTION("""COMPUTED_VALUE"""),"Steinhof")</f>
        <v>Steinhof</v>
      </c>
    </row>
    <row r="4477">
      <c r="A4477" t="str">
        <f>IFERROR(__xludf.DUMMYFUNCTION("""COMPUTED_VALUE"""),"O-214")</f>
        <v>O-214</v>
      </c>
      <c r="B4477" s="226" t="str">
        <f>IFERROR(__xludf.DUMMYFUNCTION("""COMPUTED_VALUE"""),"5907615816659")</f>
        <v>5907615816659</v>
      </c>
      <c r="C4477" t="str">
        <f>IFERROR(__xludf.DUMMYFUNCTION("""COMPUTED_VALUE"""),"Steinhof")</f>
        <v>Steinhof</v>
      </c>
    </row>
    <row r="4478">
      <c r="A4478" t="str">
        <f>IFERROR(__xludf.DUMMYFUNCTION("""COMPUTED_VALUE"""),"O-216")</f>
        <v>O-216</v>
      </c>
      <c r="B4478" s="226" t="str">
        <f>IFERROR(__xludf.DUMMYFUNCTION("""COMPUTED_VALUE"""),"5907615816673")</f>
        <v>5907615816673</v>
      </c>
      <c r="C4478" t="str">
        <f>IFERROR(__xludf.DUMMYFUNCTION("""COMPUTED_VALUE"""),"Steinhof")</f>
        <v>Steinhof</v>
      </c>
    </row>
    <row r="4479">
      <c r="A4479" t="str">
        <f>IFERROR(__xludf.DUMMYFUNCTION("""COMPUTED_VALUE"""),"O-216")</f>
        <v>O-216</v>
      </c>
      <c r="B4479" s="226" t="str">
        <f>IFERROR(__xludf.DUMMYFUNCTION("""COMPUTED_VALUE"""),"5907615816673")</f>
        <v>5907615816673</v>
      </c>
      <c r="C4479" t="str">
        <f>IFERROR(__xludf.DUMMYFUNCTION("""COMPUTED_VALUE"""),"Steinhof")</f>
        <v>Steinhof</v>
      </c>
    </row>
    <row r="4480">
      <c r="A4480" t="str">
        <f>IFERROR(__xludf.DUMMYFUNCTION("""COMPUTED_VALUE"""),"O-220")</f>
        <v>O-220</v>
      </c>
      <c r="B4480" s="226" t="str">
        <f>IFERROR(__xludf.DUMMYFUNCTION("""COMPUTED_VALUE"""),"5907615816710")</f>
        <v>5907615816710</v>
      </c>
      <c r="C4480" t="str">
        <f>IFERROR(__xludf.DUMMYFUNCTION("""COMPUTED_VALUE"""),"Steinhof")</f>
        <v>Steinhof</v>
      </c>
    </row>
    <row r="4481">
      <c r="A4481" t="str">
        <f>IFERROR(__xludf.DUMMYFUNCTION("""COMPUTED_VALUE"""),"O-220")</f>
        <v>O-220</v>
      </c>
      <c r="B4481" s="226" t="str">
        <f>IFERROR(__xludf.DUMMYFUNCTION("""COMPUTED_VALUE"""),"5907615816710")</f>
        <v>5907615816710</v>
      </c>
      <c r="C4481" t="str">
        <f>IFERROR(__xludf.DUMMYFUNCTION("""COMPUTED_VALUE"""),"Steinhof")</f>
        <v>Steinhof</v>
      </c>
    </row>
    <row r="4482">
      <c r="A4482" t="str">
        <f>IFERROR(__xludf.DUMMYFUNCTION("""COMPUTED_VALUE"""),"O-220")</f>
        <v>O-220</v>
      </c>
      <c r="B4482" s="226" t="str">
        <f>IFERROR(__xludf.DUMMYFUNCTION("""COMPUTED_VALUE"""),"5907615816710")</f>
        <v>5907615816710</v>
      </c>
      <c r="C4482" t="str">
        <f>IFERROR(__xludf.DUMMYFUNCTION("""COMPUTED_VALUE"""),"Steinhof")</f>
        <v>Steinhof</v>
      </c>
    </row>
    <row r="4483">
      <c r="A4483" t="str">
        <f>IFERROR(__xludf.DUMMYFUNCTION("""COMPUTED_VALUE"""),"O-220")</f>
        <v>O-220</v>
      </c>
      <c r="B4483" s="226" t="str">
        <f>IFERROR(__xludf.DUMMYFUNCTION("""COMPUTED_VALUE"""),"5907615816710")</f>
        <v>5907615816710</v>
      </c>
      <c r="C4483" t="str">
        <f>IFERROR(__xludf.DUMMYFUNCTION("""COMPUTED_VALUE"""),"Steinhof")</f>
        <v>Steinhof</v>
      </c>
    </row>
    <row r="4484">
      <c r="A4484" t="str">
        <f>IFERROR(__xludf.DUMMYFUNCTION("""COMPUTED_VALUE"""),"O-222")</f>
        <v>O-222</v>
      </c>
      <c r="B4484" s="226" t="str">
        <f>IFERROR(__xludf.DUMMYFUNCTION("""COMPUTED_VALUE"""),"5907615816734")</f>
        <v>5907615816734</v>
      </c>
      <c r="C4484" t="str">
        <f>IFERROR(__xludf.DUMMYFUNCTION("""COMPUTED_VALUE"""),"Steinhof")</f>
        <v>Steinhof</v>
      </c>
    </row>
    <row r="4485">
      <c r="A4485" t="str">
        <f>IFERROR(__xludf.DUMMYFUNCTION("""COMPUTED_VALUE"""),"O-225")</f>
        <v>O-225</v>
      </c>
      <c r="B4485" s="226" t="str">
        <f>IFERROR(__xludf.DUMMYFUNCTION("""COMPUTED_VALUE"""),"5907615816765")</f>
        <v>5907615816765</v>
      </c>
      <c r="C4485" t="str">
        <f>IFERROR(__xludf.DUMMYFUNCTION("""COMPUTED_VALUE"""),"Steinhof")</f>
        <v>Steinhof</v>
      </c>
    </row>
    <row r="4486">
      <c r="A4486" t="str">
        <f>IFERROR(__xludf.DUMMYFUNCTION("""COMPUTED_VALUE"""),"O-225")</f>
        <v>O-225</v>
      </c>
      <c r="B4486" s="226" t="str">
        <f>IFERROR(__xludf.DUMMYFUNCTION("""COMPUTED_VALUE"""),"5907615816765")</f>
        <v>5907615816765</v>
      </c>
      <c r="C4486" t="str">
        <f>IFERROR(__xludf.DUMMYFUNCTION("""COMPUTED_VALUE"""),"Steinhof")</f>
        <v>Steinhof</v>
      </c>
    </row>
    <row r="4487">
      <c r="A4487" t="str">
        <f>IFERROR(__xludf.DUMMYFUNCTION("""COMPUTED_VALUE"""),"O-226")</f>
        <v>O-226</v>
      </c>
      <c r="B4487" s="226" t="str">
        <f>IFERROR(__xludf.DUMMYFUNCTION("""COMPUTED_VALUE"""),"5907615816772")</f>
        <v>5907615816772</v>
      </c>
      <c r="C4487" t="str">
        <f>IFERROR(__xludf.DUMMYFUNCTION("""COMPUTED_VALUE"""),"Steinhof")</f>
        <v>Steinhof</v>
      </c>
    </row>
    <row r="4488">
      <c r="A4488" t="str">
        <f>IFERROR(__xludf.DUMMYFUNCTION("""COMPUTED_VALUE"""),"O-226")</f>
        <v>O-226</v>
      </c>
      <c r="B4488" s="226" t="str">
        <f>IFERROR(__xludf.DUMMYFUNCTION("""COMPUTED_VALUE"""),"5907615816772")</f>
        <v>5907615816772</v>
      </c>
      <c r="C4488" t="str">
        <f>IFERROR(__xludf.DUMMYFUNCTION("""COMPUTED_VALUE"""),"Steinhof")</f>
        <v>Steinhof</v>
      </c>
    </row>
    <row r="4489">
      <c r="A4489" t="str">
        <f>IFERROR(__xludf.DUMMYFUNCTION("""COMPUTED_VALUE"""),"O-227")</f>
        <v>O-227</v>
      </c>
      <c r="B4489" s="226" t="str">
        <f>IFERROR(__xludf.DUMMYFUNCTION("""COMPUTED_VALUE"""),"5907615816789")</f>
        <v>5907615816789</v>
      </c>
      <c r="C4489" t="str">
        <f>IFERROR(__xludf.DUMMYFUNCTION("""COMPUTED_VALUE"""),"Steinhof")</f>
        <v>Steinhof</v>
      </c>
    </row>
    <row r="4490">
      <c r="A4490" t="str">
        <f>IFERROR(__xludf.DUMMYFUNCTION("""COMPUTED_VALUE"""),"O-227")</f>
        <v>O-227</v>
      </c>
      <c r="B4490" s="226" t="str">
        <f>IFERROR(__xludf.DUMMYFUNCTION("""COMPUTED_VALUE"""),"5907615816789")</f>
        <v>5907615816789</v>
      </c>
      <c r="C4490" t="str">
        <f>IFERROR(__xludf.DUMMYFUNCTION("""COMPUTED_VALUE"""),"Steinhof")</f>
        <v>Steinhof</v>
      </c>
    </row>
    <row r="4491">
      <c r="A4491" t="str">
        <f>IFERROR(__xludf.DUMMYFUNCTION("""COMPUTED_VALUE"""),"O-230")</f>
        <v>O-230</v>
      </c>
      <c r="B4491" s="226" t="str">
        <f>IFERROR(__xludf.DUMMYFUNCTION("""COMPUTED_VALUE"""),"5907615816819")</f>
        <v>5907615816819</v>
      </c>
      <c r="C4491" t="str">
        <f>IFERROR(__xludf.DUMMYFUNCTION("""COMPUTED_VALUE"""),"Steinhof")</f>
        <v>Steinhof</v>
      </c>
    </row>
    <row r="4492">
      <c r="A4492" t="str">
        <f>IFERROR(__xludf.DUMMYFUNCTION("""COMPUTED_VALUE"""),"O-230")</f>
        <v>O-230</v>
      </c>
      <c r="B4492" s="226" t="str">
        <f>IFERROR(__xludf.DUMMYFUNCTION("""COMPUTED_VALUE"""),"5907615816819")</f>
        <v>5907615816819</v>
      </c>
      <c r="C4492" t="str">
        <f>IFERROR(__xludf.DUMMYFUNCTION("""COMPUTED_VALUE"""),"Steinhof")</f>
        <v>Steinhof</v>
      </c>
    </row>
    <row r="4493">
      <c r="A4493" t="str">
        <f>IFERROR(__xludf.DUMMYFUNCTION("""COMPUTED_VALUE"""),"O-232")</f>
        <v>O-232</v>
      </c>
      <c r="B4493" s="226" t="str">
        <f>IFERROR(__xludf.DUMMYFUNCTION("""COMPUTED_VALUE"""),"5907615816833")</f>
        <v>5907615816833</v>
      </c>
      <c r="C4493" t="str">
        <f>IFERROR(__xludf.DUMMYFUNCTION("""COMPUTED_VALUE"""),"Steinhof")</f>
        <v>Steinhof</v>
      </c>
    </row>
    <row r="4494">
      <c r="A4494" t="str">
        <f>IFERROR(__xludf.DUMMYFUNCTION("""COMPUTED_VALUE"""),"O-232")</f>
        <v>O-232</v>
      </c>
      <c r="B4494" s="226" t="str">
        <f>IFERROR(__xludf.DUMMYFUNCTION("""COMPUTED_VALUE"""),"5907615816833")</f>
        <v>5907615816833</v>
      </c>
      <c r="C4494" t="str">
        <f>IFERROR(__xludf.DUMMYFUNCTION("""COMPUTED_VALUE"""),"Steinhof")</f>
        <v>Steinhof</v>
      </c>
    </row>
    <row r="4495">
      <c r="A4495" t="str">
        <f>IFERROR(__xludf.DUMMYFUNCTION("""COMPUTED_VALUE"""),"O-233")</f>
        <v>O-233</v>
      </c>
      <c r="B4495" s="226" t="str">
        <f>IFERROR(__xludf.DUMMYFUNCTION("""COMPUTED_VALUE"""),"5907615816840")</f>
        <v>5907615816840</v>
      </c>
      <c r="C4495" t="str">
        <f>IFERROR(__xludf.DUMMYFUNCTION("""COMPUTED_VALUE"""),"Steinhof")</f>
        <v>Steinhof</v>
      </c>
    </row>
    <row r="4496">
      <c r="A4496" t="str">
        <f>IFERROR(__xludf.DUMMYFUNCTION("""COMPUTED_VALUE"""),"O-233")</f>
        <v>O-233</v>
      </c>
      <c r="B4496" s="226" t="str">
        <f>IFERROR(__xludf.DUMMYFUNCTION("""COMPUTED_VALUE"""),"5907615816840")</f>
        <v>5907615816840</v>
      </c>
      <c r="C4496" t="str">
        <f>IFERROR(__xludf.DUMMYFUNCTION("""COMPUTED_VALUE"""),"Steinhof")</f>
        <v>Steinhof</v>
      </c>
    </row>
    <row r="4497">
      <c r="A4497" t="str">
        <f>IFERROR(__xludf.DUMMYFUNCTION("""COMPUTED_VALUE"""),"O-234")</f>
        <v>O-234</v>
      </c>
      <c r="B4497" s="226" t="str">
        <f>IFERROR(__xludf.DUMMYFUNCTION("""COMPUTED_VALUE"""),"5907615816857")</f>
        <v>5907615816857</v>
      </c>
      <c r="C4497" t="str">
        <f>IFERROR(__xludf.DUMMYFUNCTION("""COMPUTED_VALUE"""),"Steinhof")</f>
        <v>Steinhof</v>
      </c>
    </row>
    <row r="4498">
      <c r="A4498" t="str">
        <f>IFERROR(__xludf.DUMMYFUNCTION("""COMPUTED_VALUE"""),"O-234")</f>
        <v>O-234</v>
      </c>
      <c r="B4498" s="226" t="str">
        <f>IFERROR(__xludf.DUMMYFUNCTION("""COMPUTED_VALUE"""),"5907615816857")</f>
        <v>5907615816857</v>
      </c>
      <c r="C4498" t="str">
        <f>IFERROR(__xludf.DUMMYFUNCTION("""COMPUTED_VALUE"""),"Steinhof")</f>
        <v>Steinhof</v>
      </c>
    </row>
    <row r="4499">
      <c r="A4499" t="str">
        <f>IFERROR(__xludf.DUMMYFUNCTION("""COMPUTED_VALUE"""),"O-234")</f>
        <v>O-234</v>
      </c>
      <c r="B4499" s="226" t="str">
        <f>IFERROR(__xludf.DUMMYFUNCTION("""COMPUTED_VALUE"""),"5907615816857")</f>
        <v>5907615816857</v>
      </c>
      <c r="C4499" t="str">
        <f>IFERROR(__xludf.DUMMYFUNCTION("""COMPUTED_VALUE"""),"Steinhof")</f>
        <v>Steinhof</v>
      </c>
    </row>
    <row r="4500">
      <c r="A4500" t="str">
        <f>IFERROR(__xludf.DUMMYFUNCTION("""COMPUTED_VALUE"""),"O-234")</f>
        <v>O-234</v>
      </c>
      <c r="B4500" s="226" t="str">
        <f>IFERROR(__xludf.DUMMYFUNCTION("""COMPUTED_VALUE"""),"5907615816857")</f>
        <v>5907615816857</v>
      </c>
      <c r="C4500" t="str">
        <f>IFERROR(__xludf.DUMMYFUNCTION("""COMPUTED_VALUE"""),"Steinhof")</f>
        <v>Steinhof</v>
      </c>
    </row>
    <row r="4501">
      <c r="A4501" t="str">
        <f>IFERROR(__xludf.DUMMYFUNCTION("""COMPUTED_VALUE"""),"O-235")</f>
        <v>O-235</v>
      </c>
      <c r="B4501" s="226" t="str">
        <f>IFERROR(__xludf.DUMMYFUNCTION("""COMPUTED_VALUE"""),"5907615816864")</f>
        <v>5907615816864</v>
      </c>
      <c r="C4501" t="str">
        <f>IFERROR(__xludf.DUMMYFUNCTION("""COMPUTED_VALUE"""),"Steinhof")</f>
        <v>Steinhof</v>
      </c>
    </row>
    <row r="4502">
      <c r="A4502" t="str">
        <f>IFERROR(__xludf.DUMMYFUNCTION("""COMPUTED_VALUE"""),"O-235")</f>
        <v>O-235</v>
      </c>
      <c r="B4502" s="226" t="str">
        <f>IFERROR(__xludf.DUMMYFUNCTION("""COMPUTED_VALUE"""),"5907615816864")</f>
        <v>5907615816864</v>
      </c>
      <c r="C4502" t="str">
        <f>IFERROR(__xludf.DUMMYFUNCTION("""COMPUTED_VALUE"""),"Steinhof")</f>
        <v>Steinhof</v>
      </c>
    </row>
    <row r="4503">
      <c r="A4503" t="str">
        <f>IFERROR(__xludf.DUMMYFUNCTION("""COMPUTED_VALUE"""),"O-235")</f>
        <v>O-235</v>
      </c>
      <c r="B4503" s="226" t="str">
        <f>IFERROR(__xludf.DUMMYFUNCTION("""COMPUTED_VALUE"""),"5907615816864")</f>
        <v>5907615816864</v>
      </c>
      <c r="C4503" t="str">
        <f>IFERROR(__xludf.DUMMYFUNCTION("""COMPUTED_VALUE"""),"Steinhof")</f>
        <v>Steinhof</v>
      </c>
    </row>
    <row r="4504">
      <c r="A4504" t="str">
        <f>IFERROR(__xludf.DUMMYFUNCTION("""COMPUTED_VALUE"""),"O-235")</f>
        <v>O-235</v>
      </c>
      <c r="B4504" s="226" t="str">
        <f>IFERROR(__xludf.DUMMYFUNCTION("""COMPUTED_VALUE"""),"5907615816864")</f>
        <v>5907615816864</v>
      </c>
      <c r="C4504" t="str">
        <f>IFERROR(__xludf.DUMMYFUNCTION("""COMPUTED_VALUE"""),"Steinhof")</f>
        <v>Steinhof</v>
      </c>
    </row>
    <row r="4505">
      <c r="A4505" t="str">
        <f>IFERROR(__xludf.DUMMYFUNCTION("""COMPUTED_VALUE"""),"P-010")</f>
        <v>P-010</v>
      </c>
      <c r="B4505" s="226" t="str">
        <f>IFERROR(__xludf.DUMMYFUNCTION("""COMPUTED_VALUE"""),"5907615816918")</f>
        <v>5907615816918</v>
      </c>
      <c r="C4505" t="str">
        <f>IFERROR(__xludf.DUMMYFUNCTION("""COMPUTED_VALUE"""),"Steinhof")</f>
        <v>Steinhof</v>
      </c>
    </row>
    <row r="4506">
      <c r="A4506" t="str">
        <f>IFERROR(__xludf.DUMMYFUNCTION("""COMPUTED_VALUE"""),"P-010")</f>
        <v>P-010</v>
      </c>
      <c r="B4506" s="226" t="str">
        <f>IFERROR(__xludf.DUMMYFUNCTION("""COMPUTED_VALUE"""),"5907615816918")</f>
        <v>5907615816918</v>
      </c>
      <c r="C4506" t="str">
        <f>IFERROR(__xludf.DUMMYFUNCTION("""COMPUTED_VALUE"""),"Steinhof")</f>
        <v>Steinhof</v>
      </c>
    </row>
    <row r="4507">
      <c r="A4507" t="str">
        <f>IFERROR(__xludf.DUMMYFUNCTION("""COMPUTED_VALUE"""),"P-013")</f>
        <v>P-013</v>
      </c>
      <c r="B4507" s="226" t="str">
        <f>IFERROR(__xludf.DUMMYFUNCTION("""COMPUTED_VALUE"""),"5907615816949")</f>
        <v>5907615816949</v>
      </c>
      <c r="C4507" t="str">
        <f>IFERROR(__xludf.DUMMYFUNCTION("""COMPUTED_VALUE"""),"Steinhof")</f>
        <v>Steinhof</v>
      </c>
    </row>
    <row r="4508">
      <c r="A4508" t="str">
        <f>IFERROR(__xludf.DUMMYFUNCTION("""COMPUTED_VALUE"""),"P-014")</f>
        <v>P-014</v>
      </c>
      <c r="B4508" s="226" t="str">
        <f>IFERROR(__xludf.DUMMYFUNCTION("""COMPUTED_VALUE"""),"5907615816956")</f>
        <v>5907615816956</v>
      </c>
      <c r="C4508" t="str">
        <f>IFERROR(__xludf.DUMMYFUNCTION("""COMPUTED_VALUE"""),"Steinhof")</f>
        <v>Steinhof</v>
      </c>
    </row>
    <row r="4509">
      <c r="A4509" t="str">
        <f>IFERROR(__xludf.DUMMYFUNCTION("""COMPUTED_VALUE"""),"P-017")</f>
        <v>P-017</v>
      </c>
      <c r="B4509" s="226" t="str">
        <f>IFERROR(__xludf.DUMMYFUNCTION("""COMPUTED_VALUE"""),"5907615816987")</f>
        <v>5907615816987</v>
      </c>
      <c r="C4509" t="str">
        <f>IFERROR(__xludf.DUMMYFUNCTION("""COMPUTED_VALUE"""),"Steinhof")</f>
        <v>Steinhof</v>
      </c>
    </row>
    <row r="4510">
      <c r="A4510" t="str">
        <f>IFERROR(__xludf.DUMMYFUNCTION("""COMPUTED_VALUE"""),"P-017")</f>
        <v>P-017</v>
      </c>
      <c r="B4510" s="226" t="str">
        <f>IFERROR(__xludf.DUMMYFUNCTION("""COMPUTED_VALUE"""),"5907615816987")</f>
        <v>5907615816987</v>
      </c>
      <c r="C4510" t="str">
        <f>IFERROR(__xludf.DUMMYFUNCTION("""COMPUTED_VALUE"""),"Steinhof")</f>
        <v>Steinhof</v>
      </c>
    </row>
    <row r="4511">
      <c r="A4511" t="str">
        <f>IFERROR(__xludf.DUMMYFUNCTION("""COMPUTED_VALUE"""),"P-017")</f>
        <v>P-017</v>
      </c>
      <c r="B4511" s="226" t="str">
        <f>IFERROR(__xludf.DUMMYFUNCTION("""COMPUTED_VALUE"""),"5907615816987")</f>
        <v>5907615816987</v>
      </c>
      <c r="C4511" t="str">
        <f>IFERROR(__xludf.DUMMYFUNCTION("""COMPUTED_VALUE"""),"Steinhof")</f>
        <v>Steinhof</v>
      </c>
    </row>
    <row r="4512">
      <c r="A4512" t="str">
        <f>IFERROR(__xludf.DUMMYFUNCTION("""COMPUTED_VALUE"""),"P-017")</f>
        <v>P-017</v>
      </c>
      <c r="B4512" s="226" t="str">
        <f>IFERROR(__xludf.DUMMYFUNCTION("""COMPUTED_VALUE"""),"5907615816987")</f>
        <v>5907615816987</v>
      </c>
      <c r="C4512" t="str">
        <f>IFERROR(__xludf.DUMMYFUNCTION("""COMPUTED_VALUE"""),"Steinhof")</f>
        <v>Steinhof</v>
      </c>
    </row>
    <row r="4513">
      <c r="A4513" t="str">
        <f>IFERROR(__xludf.DUMMYFUNCTION("""COMPUTED_VALUE"""),"P-018")</f>
        <v>P-018</v>
      </c>
      <c r="B4513" s="226" t="str">
        <f>IFERROR(__xludf.DUMMYFUNCTION("""COMPUTED_VALUE"""),"5907615816994")</f>
        <v>5907615816994</v>
      </c>
      <c r="C4513" t="str">
        <f>IFERROR(__xludf.DUMMYFUNCTION("""COMPUTED_VALUE"""),"Steinhof")</f>
        <v>Steinhof</v>
      </c>
    </row>
    <row r="4514">
      <c r="A4514" t="str">
        <f>IFERROR(__xludf.DUMMYFUNCTION("""COMPUTED_VALUE"""),"P-018")</f>
        <v>P-018</v>
      </c>
      <c r="B4514" s="226" t="str">
        <f>IFERROR(__xludf.DUMMYFUNCTION("""COMPUTED_VALUE"""),"5907615816994")</f>
        <v>5907615816994</v>
      </c>
      <c r="C4514" t="str">
        <f>IFERROR(__xludf.DUMMYFUNCTION("""COMPUTED_VALUE"""),"Steinhof")</f>
        <v>Steinhof</v>
      </c>
    </row>
    <row r="4515">
      <c r="A4515" t="str">
        <f>IFERROR(__xludf.DUMMYFUNCTION("""COMPUTED_VALUE"""),"P-018")</f>
        <v>P-018</v>
      </c>
      <c r="B4515" s="226" t="str">
        <f>IFERROR(__xludf.DUMMYFUNCTION("""COMPUTED_VALUE"""),"5907615816994")</f>
        <v>5907615816994</v>
      </c>
      <c r="C4515" t="str">
        <f>IFERROR(__xludf.DUMMYFUNCTION("""COMPUTED_VALUE"""),"Steinhof")</f>
        <v>Steinhof</v>
      </c>
    </row>
    <row r="4516">
      <c r="A4516" t="str">
        <f>IFERROR(__xludf.DUMMYFUNCTION("""COMPUTED_VALUE"""),"P-018")</f>
        <v>P-018</v>
      </c>
      <c r="B4516" s="226" t="str">
        <f>IFERROR(__xludf.DUMMYFUNCTION("""COMPUTED_VALUE"""),"5907615816994")</f>
        <v>5907615816994</v>
      </c>
      <c r="C4516" t="str">
        <f>IFERROR(__xludf.DUMMYFUNCTION("""COMPUTED_VALUE"""),"Steinhof")</f>
        <v>Steinhof</v>
      </c>
    </row>
    <row r="4517">
      <c r="A4517" t="str">
        <f>IFERROR(__xludf.DUMMYFUNCTION("""COMPUTED_VALUE"""),"P-019")</f>
        <v>P-019</v>
      </c>
      <c r="B4517" s="226" t="str">
        <f>IFERROR(__xludf.DUMMYFUNCTION("""COMPUTED_VALUE"""),"5907615817007")</f>
        <v>5907615817007</v>
      </c>
      <c r="C4517" t="str">
        <f>IFERROR(__xludf.DUMMYFUNCTION("""COMPUTED_VALUE"""),"Steinhof")</f>
        <v>Steinhof</v>
      </c>
    </row>
    <row r="4518">
      <c r="A4518" t="str">
        <f>IFERROR(__xludf.DUMMYFUNCTION("""COMPUTED_VALUE"""),"P-019")</f>
        <v>P-019</v>
      </c>
      <c r="B4518" s="226" t="str">
        <f>IFERROR(__xludf.DUMMYFUNCTION("""COMPUTED_VALUE"""),"5907615817007")</f>
        <v>5907615817007</v>
      </c>
      <c r="C4518" t="str">
        <f>IFERROR(__xludf.DUMMYFUNCTION("""COMPUTED_VALUE"""),"Steinhof")</f>
        <v>Steinhof</v>
      </c>
    </row>
    <row r="4519">
      <c r="A4519" t="str">
        <f>IFERROR(__xludf.DUMMYFUNCTION("""COMPUTED_VALUE"""),"P-020")</f>
        <v>P-020</v>
      </c>
      <c r="B4519" s="226" t="str">
        <f>IFERROR(__xludf.DUMMYFUNCTION("""COMPUTED_VALUE"""),"5907615817014")</f>
        <v>5907615817014</v>
      </c>
      <c r="C4519" t="str">
        <f>IFERROR(__xludf.DUMMYFUNCTION("""COMPUTED_VALUE"""),"Steinhof")</f>
        <v>Steinhof</v>
      </c>
    </row>
    <row r="4520">
      <c r="A4520" t="str">
        <f>IFERROR(__xludf.DUMMYFUNCTION("""COMPUTED_VALUE"""),"P-020")</f>
        <v>P-020</v>
      </c>
      <c r="B4520" s="226" t="str">
        <f>IFERROR(__xludf.DUMMYFUNCTION("""COMPUTED_VALUE"""),"5907615817014")</f>
        <v>5907615817014</v>
      </c>
      <c r="C4520" t="str">
        <f>IFERROR(__xludf.DUMMYFUNCTION("""COMPUTED_VALUE"""),"Steinhof")</f>
        <v>Steinhof</v>
      </c>
    </row>
    <row r="4521">
      <c r="A4521" t="str">
        <f>IFERROR(__xludf.DUMMYFUNCTION("""COMPUTED_VALUE"""),"P-022")</f>
        <v>P-022</v>
      </c>
      <c r="B4521" s="226" t="str">
        <f>IFERROR(__xludf.DUMMYFUNCTION("""COMPUTED_VALUE"""),"5907615817038")</f>
        <v>5907615817038</v>
      </c>
      <c r="C4521" t="str">
        <f>IFERROR(__xludf.DUMMYFUNCTION("""COMPUTED_VALUE"""),"Steinhof")</f>
        <v>Steinhof</v>
      </c>
    </row>
    <row r="4522">
      <c r="A4522" t="str">
        <f>IFERROR(__xludf.DUMMYFUNCTION("""COMPUTED_VALUE"""),"P-023")</f>
        <v>P-023</v>
      </c>
      <c r="B4522" s="226" t="str">
        <f>IFERROR(__xludf.DUMMYFUNCTION("""COMPUTED_VALUE"""),"5907615817045")</f>
        <v>5907615817045</v>
      </c>
      <c r="C4522" t="str">
        <f>IFERROR(__xludf.DUMMYFUNCTION("""COMPUTED_VALUE"""),"Steinhof")</f>
        <v>Steinhof</v>
      </c>
    </row>
    <row r="4523">
      <c r="A4523" t="str">
        <f>IFERROR(__xludf.DUMMYFUNCTION("""COMPUTED_VALUE"""),"P-023")</f>
        <v>P-023</v>
      </c>
      <c r="B4523" s="226" t="str">
        <f>IFERROR(__xludf.DUMMYFUNCTION("""COMPUTED_VALUE"""),"5907615817045")</f>
        <v>5907615817045</v>
      </c>
      <c r="C4523" t="str">
        <f>IFERROR(__xludf.DUMMYFUNCTION("""COMPUTED_VALUE"""),"Steinhof")</f>
        <v>Steinhof</v>
      </c>
    </row>
    <row r="4524">
      <c r="A4524" t="str">
        <f>IFERROR(__xludf.DUMMYFUNCTION("""COMPUTED_VALUE"""),"P-024")</f>
        <v>P-024</v>
      </c>
      <c r="B4524" s="226" t="str">
        <f>IFERROR(__xludf.DUMMYFUNCTION("""COMPUTED_VALUE"""),"5907615817052")</f>
        <v>5907615817052</v>
      </c>
      <c r="C4524" t="str">
        <f>IFERROR(__xludf.DUMMYFUNCTION("""COMPUTED_VALUE"""),"Steinhof")</f>
        <v>Steinhof</v>
      </c>
    </row>
    <row r="4525">
      <c r="A4525" t="str">
        <f>IFERROR(__xludf.DUMMYFUNCTION("""COMPUTED_VALUE"""),"P-024")</f>
        <v>P-024</v>
      </c>
      <c r="B4525" s="226" t="str">
        <f>IFERROR(__xludf.DUMMYFUNCTION("""COMPUTED_VALUE"""),"5907615817052")</f>
        <v>5907615817052</v>
      </c>
      <c r="C4525" t="str">
        <f>IFERROR(__xludf.DUMMYFUNCTION("""COMPUTED_VALUE"""),"Steinhof")</f>
        <v>Steinhof</v>
      </c>
    </row>
    <row r="4526">
      <c r="A4526" t="str">
        <f>IFERROR(__xludf.DUMMYFUNCTION("""COMPUTED_VALUE"""),"P-025")</f>
        <v>P-025</v>
      </c>
      <c r="B4526" s="226" t="str">
        <f>IFERROR(__xludf.DUMMYFUNCTION("""COMPUTED_VALUE"""),"5907615817069")</f>
        <v>5907615817069</v>
      </c>
      <c r="C4526" t="str">
        <f>IFERROR(__xludf.DUMMYFUNCTION("""COMPUTED_VALUE"""),"Steinhof")</f>
        <v>Steinhof</v>
      </c>
    </row>
    <row r="4527">
      <c r="A4527" t="str">
        <f>IFERROR(__xludf.DUMMYFUNCTION("""COMPUTED_VALUE"""),"P-025")</f>
        <v>P-025</v>
      </c>
      <c r="B4527" s="226" t="str">
        <f>IFERROR(__xludf.DUMMYFUNCTION("""COMPUTED_VALUE"""),"5907615817069")</f>
        <v>5907615817069</v>
      </c>
      <c r="C4527" t="str">
        <f>IFERROR(__xludf.DUMMYFUNCTION("""COMPUTED_VALUE"""),"Steinhof")</f>
        <v>Steinhof</v>
      </c>
    </row>
    <row r="4528">
      <c r="A4528" t="str">
        <f>IFERROR(__xludf.DUMMYFUNCTION("""COMPUTED_VALUE"""),"P-027")</f>
        <v>P-027</v>
      </c>
      <c r="B4528" s="226" t="str">
        <f>IFERROR(__xludf.DUMMYFUNCTION("""COMPUTED_VALUE"""),"5907615817083")</f>
        <v>5907615817083</v>
      </c>
      <c r="C4528" t="str">
        <f>IFERROR(__xludf.DUMMYFUNCTION("""COMPUTED_VALUE"""),"Steinhof")</f>
        <v>Steinhof</v>
      </c>
    </row>
    <row r="4529">
      <c r="A4529" t="str">
        <f>IFERROR(__xludf.DUMMYFUNCTION("""COMPUTED_VALUE"""),"P-028")</f>
        <v>P-028</v>
      </c>
      <c r="B4529" s="226" t="str">
        <f>IFERROR(__xludf.DUMMYFUNCTION("""COMPUTED_VALUE"""),"5907615817090")</f>
        <v>5907615817090</v>
      </c>
      <c r="C4529" t="str">
        <f>IFERROR(__xludf.DUMMYFUNCTION("""COMPUTED_VALUE"""),"Steinhof")</f>
        <v>Steinhof</v>
      </c>
    </row>
    <row r="4530">
      <c r="A4530" t="str">
        <f>IFERROR(__xludf.DUMMYFUNCTION("""COMPUTED_VALUE"""),"P-030")</f>
        <v>P-030</v>
      </c>
      <c r="B4530" s="226" t="str">
        <f>IFERROR(__xludf.DUMMYFUNCTION("""COMPUTED_VALUE"""),"5907615817113")</f>
        <v>5907615817113</v>
      </c>
      <c r="C4530" t="str">
        <f>IFERROR(__xludf.DUMMYFUNCTION("""COMPUTED_VALUE"""),"Steinhof")</f>
        <v>Steinhof</v>
      </c>
    </row>
    <row r="4531">
      <c r="A4531" t="str">
        <f>IFERROR(__xludf.DUMMYFUNCTION("""COMPUTED_VALUE"""),"P-030")</f>
        <v>P-030</v>
      </c>
      <c r="B4531" s="226" t="str">
        <f>IFERROR(__xludf.DUMMYFUNCTION("""COMPUTED_VALUE"""),"5907615817113")</f>
        <v>5907615817113</v>
      </c>
      <c r="C4531" t="str">
        <f>IFERROR(__xludf.DUMMYFUNCTION("""COMPUTED_VALUE"""),"Steinhof")</f>
        <v>Steinhof</v>
      </c>
    </row>
    <row r="4532">
      <c r="A4532" t="str">
        <f>IFERROR(__xludf.DUMMYFUNCTION("""COMPUTED_VALUE"""),"P-031")</f>
        <v>P-031</v>
      </c>
      <c r="B4532" s="226" t="str">
        <f>IFERROR(__xludf.DUMMYFUNCTION("""COMPUTED_VALUE"""),"5907615817120")</f>
        <v>5907615817120</v>
      </c>
      <c r="C4532" t="str">
        <f>IFERROR(__xludf.DUMMYFUNCTION("""COMPUTED_VALUE"""),"Steinhof")</f>
        <v>Steinhof</v>
      </c>
    </row>
    <row r="4533">
      <c r="A4533" t="str">
        <f>IFERROR(__xludf.DUMMYFUNCTION("""COMPUTED_VALUE"""),"P-031")</f>
        <v>P-031</v>
      </c>
      <c r="B4533" s="226" t="str">
        <f>IFERROR(__xludf.DUMMYFUNCTION("""COMPUTED_VALUE"""),"5907615817120")</f>
        <v>5907615817120</v>
      </c>
      <c r="C4533" t="str">
        <f>IFERROR(__xludf.DUMMYFUNCTION("""COMPUTED_VALUE"""),"Steinhof")</f>
        <v>Steinhof</v>
      </c>
    </row>
    <row r="4534">
      <c r="A4534" t="str">
        <f>IFERROR(__xludf.DUMMYFUNCTION("""COMPUTED_VALUE"""),"P-034")</f>
        <v>P-034</v>
      </c>
      <c r="B4534" s="226" t="str">
        <f>IFERROR(__xludf.DUMMYFUNCTION("""COMPUTED_VALUE"""),"5907615817151")</f>
        <v>5907615817151</v>
      </c>
      <c r="C4534" t="str">
        <f>IFERROR(__xludf.DUMMYFUNCTION("""COMPUTED_VALUE"""),"Steinhof")</f>
        <v>Steinhof</v>
      </c>
    </row>
    <row r="4535">
      <c r="A4535" t="str">
        <f>IFERROR(__xludf.DUMMYFUNCTION("""COMPUTED_VALUE"""),"P-034")</f>
        <v>P-034</v>
      </c>
      <c r="B4535" s="226" t="str">
        <f>IFERROR(__xludf.DUMMYFUNCTION("""COMPUTED_VALUE"""),"5907615817151")</f>
        <v>5907615817151</v>
      </c>
      <c r="C4535" t="str">
        <f>IFERROR(__xludf.DUMMYFUNCTION("""COMPUTED_VALUE"""),"Steinhof")</f>
        <v>Steinhof</v>
      </c>
    </row>
    <row r="4536">
      <c r="A4536" t="str">
        <f>IFERROR(__xludf.DUMMYFUNCTION("""COMPUTED_VALUE"""),"P-034")</f>
        <v>P-034</v>
      </c>
      <c r="B4536" s="226" t="str">
        <f>IFERROR(__xludf.DUMMYFUNCTION("""COMPUTED_VALUE"""),"5907615817151")</f>
        <v>5907615817151</v>
      </c>
      <c r="C4536" t="str">
        <f>IFERROR(__xludf.DUMMYFUNCTION("""COMPUTED_VALUE"""),"Steinhof")</f>
        <v>Steinhof</v>
      </c>
    </row>
    <row r="4537">
      <c r="A4537" t="str">
        <f>IFERROR(__xludf.DUMMYFUNCTION("""COMPUTED_VALUE"""),"P-034")</f>
        <v>P-034</v>
      </c>
      <c r="B4537" s="226" t="str">
        <f>IFERROR(__xludf.DUMMYFUNCTION("""COMPUTED_VALUE"""),"5907615817151")</f>
        <v>5907615817151</v>
      </c>
      <c r="C4537" t="str">
        <f>IFERROR(__xludf.DUMMYFUNCTION("""COMPUTED_VALUE"""),"Steinhof")</f>
        <v>Steinhof</v>
      </c>
    </row>
    <row r="4538">
      <c r="A4538" t="str">
        <f>IFERROR(__xludf.DUMMYFUNCTION("""COMPUTED_VALUE"""),"P-035")</f>
        <v>P-035</v>
      </c>
      <c r="B4538" s="226" t="str">
        <f>IFERROR(__xludf.DUMMYFUNCTION("""COMPUTED_VALUE"""),"5907615817168")</f>
        <v>5907615817168</v>
      </c>
      <c r="C4538" t="str">
        <f>IFERROR(__xludf.DUMMYFUNCTION("""COMPUTED_VALUE"""),"Steinhof")</f>
        <v>Steinhof</v>
      </c>
    </row>
    <row r="4539">
      <c r="A4539" t="str">
        <f>IFERROR(__xludf.DUMMYFUNCTION("""COMPUTED_VALUE"""),"P-035")</f>
        <v>P-035</v>
      </c>
      <c r="B4539" s="226" t="str">
        <f>IFERROR(__xludf.DUMMYFUNCTION("""COMPUTED_VALUE"""),"5907615817168")</f>
        <v>5907615817168</v>
      </c>
      <c r="C4539" t="str">
        <f>IFERROR(__xludf.DUMMYFUNCTION("""COMPUTED_VALUE"""),"Steinhof")</f>
        <v>Steinhof</v>
      </c>
    </row>
    <row r="4540">
      <c r="A4540" t="str">
        <f>IFERROR(__xludf.DUMMYFUNCTION("""COMPUTED_VALUE"""),"P-035")</f>
        <v>P-035</v>
      </c>
      <c r="B4540" s="226" t="str">
        <f>IFERROR(__xludf.DUMMYFUNCTION("""COMPUTED_VALUE"""),"5907615817168")</f>
        <v>5907615817168</v>
      </c>
      <c r="C4540" t="str">
        <f>IFERROR(__xludf.DUMMYFUNCTION("""COMPUTED_VALUE"""),"Steinhof")</f>
        <v>Steinhof</v>
      </c>
    </row>
    <row r="4541">
      <c r="A4541" t="str">
        <f>IFERROR(__xludf.DUMMYFUNCTION("""COMPUTED_VALUE"""),"P-035")</f>
        <v>P-035</v>
      </c>
      <c r="B4541" s="226" t="str">
        <f>IFERROR(__xludf.DUMMYFUNCTION("""COMPUTED_VALUE"""),"5907615817168")</f>
        <v>5907615817168</v>
      </c>
      <c r="C4541" t="str">
        <f>IFERROR(__xludf.DUMMYFUNCTION("""COMPUTED_VALUE"""),"Steinhof")</f>
        <v>Steinhof</v>
      </c>
    </row>
    <row r="4542">
      <c r="A4542" t="str">
        <f>IFERROR(__xludf.DUMMYFUNCTION("""COMPUTED_VALUE"""),"P-036")</f>
        <v>P-036</v>
      </c>
      <c r="B4542" s="226" t="str">
        <f>IFERROR(__xludf.DUMMYFUNCTION("""COMPUTED_VALUE"""),"5907615817175")</f>
        <v>5907615817175</v>
      </c>
      <c r="C4542" t="str">
        <f>IFERROR(__xludf.DUMMYFUNCTION("""COMPUTED_VALUE"""),"Steinhof")</f>
        <v>Steinhof</v>
      </c>
    </row>
    <row r="4543">
      <c r="A4543" t="str">
        <f>IFERROR(__xludf.DUMMYFUNCTION("""COMPUTED_VALUE"""),"P-036")</f>
        <v>P-036</v>
      </c>
      <c r="B4543" s="226" t="str">
        <f>IFERROR(__xludf.DUMMYFUNCTION("""COMPUTED_VALUE"""),"5907615817175")</f>
        <v>5907615817175</v>
      </c>
      <c r="C4543" t="str">
        <f>IFERROR(__xludf.DUMMYFUNCTION("""COMPUTED_VALUE"""),"Steinhof")</f>
        <v>Steinhof</v>
      </c>
    </row>
    <row r="4544">
      <c r="A4544" t="str">
        <f>IFERROR(__xludf.DUMMYFUNCTION("""COMPUTED_VALUE"""),"P-036")</f>
        <v>P-036</v>
      </c>
      <c r="B4544" s="226" t="str">
        <f>IFERROR(__xludf.DUMMYFUNCTION("""COMPUTED_VALUE"""),"5907615817175")</f>
        <v>5907615817175</v>
      </c>
      <c r="C4544" t="str">
        <f>IFERROR(__xludf.DUMMYFUNCTION("""COMPUTED_VALUE"""),"Steinhof")</f>
        <v>Steinhof</v>
      </c>
    </row>
    <row r="4545">
      <c r="A4545" t="str">
        <f>IFERROR(__xludf.DUMMYFUNCTION("""COMPUTED_VALUE"""),"P-036")</f>
        <v>P-036</v>
      </c>
      <c r="B4545" s="226" t="str">
        <f>IFERROR(__xludf.DUMMYFUNCTION("""COMPUTED_VALUE"""),"5907615817175")</f>
        <v>5907615817175</v>
      </c>
      <c r="C4545" t="str">
        <f>IFERROR(__xludf.DUMMYFUNCTION("""COMPUTED_VALUE"""),"Steinhof")</f>
        <v>Steinhof</v>
      </c>
    </row>
    <row r="4546">
      <c r="A4546" t="str">
        <f>IFERROR(__xludf.DUMMYFUNCTION("""COMPUTED_VALUE"""),"P-037")</f>
        <v>P-037</v>
      </c>
      <c r="B4546" s="226" t="str">
        <f>IFERROR(__xludf.DUMMYFUNCTION("""COMPUTED_VALUE"""),"5907615817182")</f>
        <v>5907615817182</v>
      </c>
      <c r="C4546" t="str">
        <f>IFERROR(__xludf.DUMMYFUNCTION("""COMPUTED_VALUE"""),"Steinhof")</f>
        <v>Steinhof</v>
      </c>
    </row>
    <row r="4547">
      <c r="A4547" t="str">
        <f>IFERROR(__xludf.DUMMYFUNCTION("""COMPUTED_VALUE"""),"P-037")</f>
        <v>P-037</v>
      </c>
      <c r="B4547" s="226" t="str">
        <f>IFERROR(__xludf.DUMMYFUNCTION("""COMPUTED_VALUE"""),"5907615817182")</f>
        <v>5907615817182</v>
      </c>
      <c r="C4547" t="str">
        <f>IFERROR(__xludf.DUMMYFUNCTION("""COMPUTED_VALUE"""),"Steinhof")</f>
        <v>Steinhof</v>
      </c>
    </row>
    <row r="4548">
      <c r="A4548" t="str">
        <f>IFERROR(__xludf.DUMMYFUNCTION("""COMPUTED_VALUE"""),"P-038")</f>
        <v>P-038</v>
      </c>
      <c r="B4548" s="226" t="str">
        <f>IFERROR(__xludf.DUMMYFUNCTION("""COMPUTED_VALUE"""),"5907615817199")</f>
        <v>5907615817199</v>
      </c>
      <c r="C4548" t="str">
        <f>IFERROR(__xludf.DUMMYFUNCTION("""COMPUTED_VALUE"""),"Steinhof")</f>
        <v>Steinhof</v>
      </c>
    </row>
    <row r="4549">
      <c r="A4549" t="str">
        <f>IFERROR(__xludf.DUMMYFUNCTION("""COMPUTED_VALUE"""),"P-038")</f>
        <v>P-038</v>
      </c>
      <c r="B4549" s="226" t="str">
        <f>IFERROR(__xludf.DUMMYFUNCTION("""COMPUTED_VALUE"""),"5907615817199")</f>
        <v>5907615817199</v>
      </c>
      <c r="C4549" t="str">
        <f>IFERROR(__xludf.DUMMYFUNCTION("""COMPUTED_VALUE"""),"Steinhof")</f>
        <v>Steinhof</v>
      </c>
    </row>
    <row r="4550">
      <c r="A4550" t="str">
        <f>IFERROR(__xludf.DUMMYFUNCTION("""COMPUTED_VALUE"""),"P-040")</f>
        <v>P-040</v>
      </c>
      <c r="B4550" s="226" t="str">
        <f>IFERROR(__xludf.DUMMYFUNCTION("""COMPUTED_VALUE"""),"5907615817212")</f>
        <v>5907615817212</v>
      </c>
      <c r="C4550" t="str">
        <f>IFERROR(__xludf.DUMMYFUNCTION("""COMPUTED_VALUE"""),"Steinhof")</f>
        <v>Steinhof</v>
      </c>
    </row>
    <row r="4551">
      <c r="A4551" t="str">
        <f>IFERROR(__xludf.DUMMYFUNCTION("""COMPUTED_VALUE"""),"P-040")</f>
        <v>P-040</v>
      </c>
      <c r="B4551" s="226" t="str">
        <f>IFERROR(__xludf.DUMMYFUNCTION("""COMPUTED_VALUE"""),"5907615817212")</f>
        <v>5907615817212</v>
      </c>
      <c r="C4551" t="str">
        <f>IFERROR(__xludf.DUMMYFUNCTION("""COMPUTED_VALUE"""),"Steinhof")</f>
        <v>Steinhof</v>
      </c>
    </row>
    <row r="4552">
      <c r="A4552" t="str">
        <f>IFERROR(__xludf.DUMMYFUNCTION("""COMPUTED_VALUE"""),"P-041")</f>
        <v>P-041</v>
      </c>
      <c r="B4552" s="226" t="str">
        <f>IFERROR(__xludf.DUMMYFUNCTION("""COMPUTED_VALUE"""),"5907615817229")</f>
        <v>5907615817229</v>
      </c>
      <c r="C4552" t="str">
        <f>IFERROR(__xludf.DUMMYFUNCTION("""COMPUTED_VALUE"""),"Steinhof")</f>
        <v>Steinhof</v>
      </c>
    </row>
    <row r="4553">
      <c r="A4553" t="str">
        <f>IFERROR(__xludf.DUMMYFUNCTION("""COMPUTED_VALUE"""),"P-041")</f>
        <v>P-041</v>
      </c>
      <c r="B4553" s="226" t="str">
        <f>IFERROR(__xludf.DUMMYFUNCTION("""COMPUTED_VALUE"""),"5907615817229")</f>
        <v>5907615817229</v>
      </c>
      <c r="C4553" t="str">
        <f>IFERROR(__xludf.DUMMYFUNCTION("""COMPUTED_VALUE"""),"Steinhof")</f>
        <v>Steinhof</v>
      </c>
    </row>
    <row r="4554">
      <c r="A4554" t="str">
        <f>IFERROR(__xludf.DUMMYFUNCTION("""COMPUTED_VALUE"""),"P-042")</f>
        <v>P-042</v>
      </c>
      <c r="B4554" s="226" t="str">
        <f>IFERROR(__xludf.DUMMYFUNCTION("""COMPUTED_VALUE"""),"5907615817236")</f>
        <v>5907615817236</v>
      </c>
      <c r="C4554" t="str">
        <f>IFERROR(__xludf.DUMMYFUNCTION("""COMPUTED_VALUE"""),"Steinhof")</f>
        <v>Steinhof</v>
      </c>
    </row>
    <row r="4555">
      <c r="A4555" t="str">
        <f>IFERROR(__xludf.DUMMYFUNCTION("""COMPUTED_VALUE"""),"P-042")</f>
        <v>P-042</v>
      </c>
      <c r="B4555" s="226" t="str">
        <f>IFERROR(__xludf.DUMMYFUNCTION("""COMPUTED_VALUE"""),"5907615817236")</f>
        <v>5907615817236</v>
      </c>
      <c r="C4555" t="str">
        <f>IFERROR(__xludf.DUMMYFUNCTION("""COMPUTED_VALUE"""),"Steinhof")</f>
        <v>Steinhof</v>
      </c>
    </row>
    <row r="4556">
      <c r="A4556" t="str">
        <f>IFERROR(__xludf.DUMMYFUNCTION("""COMPUTED_VALUE"""),"P-042")</f>
        <v>P-042</v>
      </c>
      <c r="B4556" s="226" t="str">
        <f>IFERROR(__xludf.DUMMYFUNCTION("""COMPUTED_VALUE"""),"5907615817236")</f>
        <v>5907615817236</v>
      </c>
      <c r="C4556" t="str">
        <f>IFERROR(__xludf.DUMMYFUNCTION("""COMPUTED_VALUE"""),"Steinhof")</f>
        <v>Steinhof</v>
      </c>
    </row>
    <row r="4557">
      <c r="A4557" t="str">
        <f>IFERROR(__xludf.DUMMYFUNCTION("""COMPUTED_VALUE"""),"P-042")</f>
        <v>P-042</v>
      </c>
      <c r="B4557" s="226" t="str">
        <f>IFERROR(__xludf.DUMMYFUNCTION("""COMPUTED_VALUE"""),"5907615817236")</f>
        <v>5907615817236</v>
      </c>
      <c r="C4557" t="str">
        <f>IFERROR(__xludf.DUMMYFUNCTION("""COMPUTED_VALUE"""),"Steinhof")</f>
        <v>Steinhof</v>
      </c>
    </row>
    <row r="4558">
      <c r="A4558" t="str">
        <f>IFERROR(__xludf.DUMMYFUNCTION("""COMPUTED_VALUE"""),"P-043")</f>
        <v>P-043</v>
      </c>
      <c r="B4558" s="226" t="str">
        <f>IFERROR(__xludf.DUMMYFUNCTION("""COMPUTED_VALUE"""),"5907615817243")</f>
        <v>5907615817243</v>
      </c>
      <c r="C4558" t="str">
        <f>IFERROR(__xludf.DUMMYFUNCTION("""COMPUTED_VALUE"""),"Steinhof")</f>
        <v>Steinhof</v>
      </c>
    </row>
    <row r="4559">
      <c r="A4559" t="str">
        <f>IFERROR(__xludf.DUMMYFUNCTION("""COMPUTED_VALUE"""),"P-043")</f>
        <v>P-043</v>
      </c>
      <c r="B4559" s="226" t="str">
        <f>IFERROR(__xludf.DUMMYFUNCTION("""COMPUTED_VALUE"""),"5907615817243")</f>
        <v>5907615817243</v>
      </c>
      <c r="C4559" t="str">
        <f>IFERROR(__xludf.DUMMYFUNCTION("""COMPUTED_VALUE"""),"Steinhof")</f>
        <v>Steinhof</v>
      </c>
    </row>
    <row r="4560">
      <c r="A4560" t="str">
        <f>IFERROR(__xludf.DUMMYFUNCTION("""COMPUTED_VALUE"""),"P-043")</f>
        <v>P-043</v>
      </c>
      <c r="B4560" s="226" t="str">
        <f>IFERROR(__xludf.DUMMYFUNCTION("""COMPUTED_VALUE"""),"5907615817243")</f>
        <v>5907615817243</v>
      </c>
      <c r="C4560" t="str">
        <f>IFERROR(__xludf.DUMMYFUNCTION("""COMPUTED_VALUE"""),"Steinhof")</f>
        <v>Steinhof</v>
      </c>
    </row>
    <row r="4561">
      <c r="A4561" t="str">
        <f>IFERROR(__xludf.DUMMYFUNCTION("""COMPUTED_VALUE"""),"P-043")</f>
        <v>P-043</v>
      </c>
      <c r="B4561" s="226" t="str">
        <f>IFERROR(__xludf.DUMMYFUNCTION("""COMPUTED_VALUE"""),"5907615817243")</f>
        <v>5907615817243</v>
      </c>
      <c r="C4561" t="str">
        <f>IFERROR(__xludf.DUMMYFUNCTION("""COMPUTED_VALUE"""),"Steinhof")</f>
        <v>Steinhof</v>
      </c>
    </row>
    <row r="4562">
      <c r="A4562" t="str">
        <f>IFERROR(__xludf.DUMMYFUNCTION("""COMPUTED_VALUE"""),"P-044")</f>
        <v>P-044</v>
      </c>
      <c r="B4562" s="226" t="str">
        <f>IFERROR(__xludf.DUMMYFUNCTION("""COMPUTED_VALUE"""),"5907615817250")</f>
        <v>5907615817250</v>
      </c>
      <c r="C4562" t="str">
        <f>IFERROR(__xludf.DUMMYFUNCTION("""COMPUTED_VALUE"""),"Steinhof")</f>
        <v>Steinhof</v>
      </c>
    </row>
    <row r="4563">
      <c r="A4563" t="str">
        <f>IFERROR(__xludf.DUMMYFUNCTION("""COMPUTED_VALUE"""),"P-044")</f>
        <v>P-044</v>
      </c>
      <c r="B4563" s="226" t="str">
        <f>IFERROR(__xludf.DUMMYFUNCTION("""COMPUTED_VALUE"""),"5907615817250")</f>
        <v>5907615817250</v>
      </c>
      <c r="C4563" t="str">
        <f>IFERROR(__xludf.DUMMYFUNCTION("""COMPUTED_VALUE"""),"Steinhof")</f>
        <v>Steinhof</v>
      </c>
    </row>
    <row r="4564">
      <c r="A4564" t="str">
        <f>IFERROR(__xludf.DUMMYFUNCTION("""COMPUTED_VALUE"""),"P-044")</f>
        <v>P-044</v>
      </c>
      <c r="B4564" s="226" t="str">
        <f>IFERROR(__xludf.DUMMYFUNCTION("""COMPUTED_VALUE"""),"5907615817250")</f>
        <v>5907615817250</v>
      </c>
      <c r="C4564" t="str">
        <f>IFERROR(__xludf.DUMMYFUNCTION("""COMPUTED_VALUE"""),"Steinhof")</f>
        <v>Steinhof</v>
      </c>
    </row>
    <row r="4565">
      <c r="A4565" t="str">
        <f>IFERROR(__xludf.DUMMYFUNCTION("""COMPUTED_VALUE"""),"P-044")</f>
        <v>P-044</v>
      </c>
      <c r="B4565" s="226" t="str">
        <f>IFERROR(__xludf.DUMMYFUNCTION("""COMPUTED_VALUE"""),"5907615817250")</f>
        <v>5907615817250</v>
      </c>
      <c r="C4565" t="str">
        <f>IFERROR(__xludf.DUMMYFUNCTION("""COMPUTED_VALUE"""),"Steinhof")</f>
        <v>Steinhof</v>
      </c>
    </row>
    <row r="4566">
      <c r="A4566" t="str">
        <f>IFERROR(__xludf.DUMMYFUNCTION("""COMPUTED_VALUE"""),"P-045")</f>
        <v>P-045</v>
      </c>
      <c r="B4566" s="226" t="str">
        <f>IFERROR(__xludf.DUMMYFUNCTION("""COMPUTED_VALUE"""),"5907615817267")</f>
        <v>5907615817267</v>
      </c>
      <c r="C4566" t="str">
        <f>IFERROR(__xludf.DUMMYFUNCTION("""COMPUTED_VALUE"""),"Steinhof")</f>
        <v>Steinhof</v>
      </c>
    </row>
    <row r="4567">
      <c r="A4567" t="str">
        <f>IFERROR(__xludf.DUMMYFUNCTION("""COMPUTED_VALUE"""),"P-045")</f>
        <v>P-045</v>
      </c>
      <c r="B4567" s="226" t="str">
        <f>IFERROR(__xludf.DUMMYFUNCTION("""COMPUTED_VALUE"""),"5907615817267")</f>
        <v>5907615817267</v>
      </c>
      <c r="C4567" t="str">
        <f>IFERROR(__xludf.DUMMYFUNCTION("""COMPUTED_VALUE"""),"Steinhof")</f>
        <v>Steinhof</v>
      </c>
    </row>
    <row r="4568">
      <c r="A4568" t="str">
        <f>IFERROR(__xludf.DUMMYFUNCTION("""COMPUTED_VALUE"""),"P-045")</f>
        <v>P-045</v>
      </c>
      <c r="B4568" s="226" t="str">
        <f>IFERROR(__xludf.DUMMYFUNCTION("""COMPUTED_VALUE"""),"5907615817267")</f>
        <v>5907615817267</v>
      </c>
      <c r="C4568" t="str">
        <f>IFERROR(__xludf.DUMMYFUNCTION("""COMPUTED_VALUE"""),"Steinhof")</f>
        <v>Steinhof</v>
      </c>
    </row>
    <row r="4569">
      <c r="A4569" t="str">
        <f>IFERROR(__xludf.DUMMYFUNCTION("""COMPUTED_VALUE"""),"P-045")</f>
        <v>P-045</v>
      </c>
      <c r="B4569" s="226" t="str">
        <f>IFERROR(__xludf.DUMMYFUNCTION("""COMPUTED_VALUE"""),"5907615817267")</f>
        <v>5907615817267</v>
      </c>
      <c r="C4569" t="str">
        <f>IFERROR(__xludf.DUMMYFUNCTION("""COMPUTED_VALUE"""),"Steinhof")</f>
        <v>Steinhof</v>
      </c>
    </row>
    <row r="4570">
      <c r="A4570" t="str">
        <f>IFERROR(__xludf.DUMMYFUNCTION("""COMPUTED_VALUE"""),"P-046")</f>
        <v>P-046</v>
      </c>
      <c r="B4570" s="226" t="str">
        <f>IFERROR(__xludf.DUMMYFUNCTION("""COMPUTED_VALUE"""),"5907615817274")</f>
        <v>5907615817274</v>
      </c>
      <c r="C4570" t="str">
        <f>IFERROR(__xludf.DUMMYFUNCTION("""COMPUTED_VALUE"""),"Steinhof")</f>
        <v>Steinhof</v>
      </c>
    </row>
    <row r="4571">
      <c r="A4571" t="str">
        <f>IFERROR(__xludf.DUMMYFUNCTION("""COMPUTED_VALUE"""),"P-046")</f>
        <v>P-046</v>
      </c>
      <c r="B4571" s="226" t="str">
        <f>IFERROR(__xludf.DUMMYFUNCTION("""COMPUTED_VALUE"""),"5907615817274")</f>
        <v>5907615817274</v>
      </c>
      <c r="C4571" t="str">
        <f>IFERROR(__xludf.DUMMYFUNCTION("""COMPUTED_VALUE"""),"Steinhof")</f>
        <v>Steinhof</v>
      </c>
    </row>
    <row r="4572">
      <c r="A4572" t="str">
        <f>IFERROR(__xludf.DUMMYFUNCTION("""COMPUTED_VALUE"""),"P-047")</f>
        <v>P-047</v>
      </c>
      <c r="B4572" s="226" t="str">
        <f>IFERROR(__xludf.DUMMYFUNCTION("""COMPUTED_VALUE"""),"5907615817281")</f>
        <v>5907615817281</v>
      </c>
      <c r="C4572" t="str">
        <f>IFERROR(__xludf.DUMMYFUNCTION("""COMPUTED_VALUE"""),"Steinhof")</f>
        <v>Steinhof</v>
      </c>
    </row>
    <row r="4573">
      <c r="A4573" t="str">
        <f>IFERROR(__xludf.DUMMYFUNCTION("""COMPUTED_VALUE"""),"P-047")</f>
        <v>P-047</v>
      </c>
      <c r="B4573" s="226" t="str">
        <f>IFERROR(__xludf.DUMMYFUNCTION("""COMPUTED_VALUE"""),"5907615817281")</f>
        <v>5907615817281</v>
      </c>
      <c r="C4573" t="str">
        <f>IFERROR(__xludf.DUMMYFUNCTION("""COMPUTED_VALUE"""),"Steinhof")</f>
        <v>Steinhof</v>
      </c>
    </row>
    <row r="4574">
      <c r="A4574" t="str">
        <f>IFERROR(__xludf.DUMMYFUNCTION("""COMPUTED_VALUE"""),"P-056")</f>
        <v>P-056</v>
      </c>
      <c r="B4574" s="226" t="str">
        <f>IFERROR(__xludf.DUMMYFUNCTION("""COMPUTED_VALUE"""),"5907615817298")</f>
        <v>5907615817298</v>
      </c>
      <c r="C4574" t="str">
        <f>IFERROR(__xludf.DUMMYFUNCTION("""COMPUTED_VALUE"""),"Steinhof")</f>
        <v>Steinhof</v>
      </c>
    </row>
    <row r="4575">
      <c r="A4575" t="str">
        <f>IFERROR(__xludf.DUMMYFUNCTION("""COMPUTED_VALUE"""),"P-056")</f>
        <v>P-056</v>
      </c>
      <c r="B4575" s="226" t="str">
        <f>IFERROR(__xludf.DUMMYFUNCTION("""COMPUTED_VALUE"""),"5907615817298")</f>
        <v>5907615817298</v>
      </c>
      <c r="C4575" t="str">
        <f>IFERROR(__xludf.DUMMYFUNCTION("""COMPUTED_VALUE"""),"Steinhof")</f>
        <v>Steinhof</v>
      </c>
    </row>
    <row r="4576">
      <c r="A4576" t="str">
        <f>IFERROR(__xludf.DUMMYFUNCTION("""COMPUTED_VALUE"""),"P-057")</f>
        <v>P-057</v>
      </c>
      <c r="B4576" s="226" t="str">
        <f>IFERROR(__xludf.DUMMYFUNCTION("""COMPUTED_VALUE"""),"5907615817304")</f>
        <v>5907615817304</v>
      </c>
      <c r="C4576" t="str">
        <f>IFERROR(__xludf.DUMMYFUNCTION("""COMPUTED_VALUE"""),"Steinhof")</f>
        <v>Steinhof</v>
      </c>
    </row>
    <row r="4577">
      <c r="A4577" t="str">
        <f>IFERROR(__xludf.DUMMYFUNCTION("""COMPUTED_VALUE"""),"P-057")</f>
        <v>P-057</v>
      </c>
      <c r="B4577" s="226" t="str">
        <f>IFERROR(__xludf.DUMMYFUNCTION("""COMPUTED_VALUE"""),"5907615817304")</f>
        <v>5907615817304</v>
      </c>
      <c r="C4577" t="str">
        <f>IFERROR(__xludf.DUMMYFUNCTION("""COMPUTED_VALUE"""),"Steinhof")</f>
        <v>Steinhof</v>
      </c>
    </row>
    <row r="4578">
      <c r="A4578" t="str">
        <f>IFERROR(__xludf.DUMMYFUNCTION("""COMPUTED_VALUE"""),"P-050")</f>
        <v>P-050</v>
      </c>
      <c r="B4578" s="226" t="str">
        <f>IFERROR(__xludf.DUMMYFUNCTION("""COMPUTED_VALUE"""),"5907615817311")</f>
        <v>5907615817311</v>
      </c>
      <c r="C4578" t="str">
        <f>IFERROR(__xludf.DUMMYFUNCTION("""COMPUTED_VALUE"""),"Steinhof")</f>
        <v>Steinhof</v>
      </c>
    </row>
    <row r="4579">
      <c r="A4579" t="str">
        <f>IFERROR(__xludf.DUMMYFUNCTION("""COMPUTED_VALUE"""),"P-050")</f>
        <v>P-050</v>
      </c>
      <c r="B4579" s="226" t="str">
        <f>IFERROR(__xludf.DUMMYFUNCTION("""COMPUTED_VALUE"""),"5907615817311")</f>
        <v>5907615817311</v>
      </c>
      <c r="C4579" t="str">
        <f>IFERROR(__xludf.DUMMYFUNCTION("""COMPUTED_VALUE"""),"Steinhof")</f>
        <v>Steinhof</v>
      </c>
    </row>
    <row r="4580">
      <c r="A4580" t="str">
        <f>IFERROR(__xludf.DUMMYFUNCTION("""COMPUTED_VALUE"""),"P-051")</f>
        <v>P-051</v>
      </c>
      <c r="B4580" s="226" t="str">
        <f>IFERROR(__xludf.DUMMYFUNCTION("""COMPUTED_VALUE"""),"5907615817328")</f>
        <v>5907615817328</v>
      </c>
      <c r="C4580" t="str">
        <f>IFERROR(__xludf.DUMMYFUNCTION("""COMPUTED_VALUE"""),"Steinhof")</f>
        <v>Steinhof</v>
      </c>
    </row>
    <row r="4581">
      <c r="A4581" t="str">
        <f>IFERROR(__xludf.DUMMYFUNCTION("""COMPUTED_VALUE"""),"P-051")</f>
        <v>P-051</v>
      </c>
      <c r="B4581" s="226" t="str">
        <f>IFERROR(__xludf.DUMMYFUNCTION("""COMPUTED_VALUE"""),"5907615817328")</f>
        <v>5907615817328</v>
      </c>
      <c r="C4581" t="str">
        <f>IFERROR(__xludf.DUMMYFUNCTION("""COMPUTED_VALUE"""),"Steinhof")</f>
        <v>Steinhof</v>
      </c>
    </row>
    <row r="4582">
      <c r="A4582" t="str">
        <f>IFERROR(__xludf.DUMMYFUNCTION("""COMPUTED_VALUE"""),"P-052")</f>
        <v>P-052</v>
      </c>
      <c r="B4582" s="226" t="str">
        <f>IFERROR(__xludf.DUMMYFUNCTION("""COMPUTED_VALUE"""),"5907615817335")</f>
        <v>5907615817335</v>
      </c>
      <c r="C4582" t="str">
        <f>IFERROR(__xludf.DUMMYFUNCTION("""COMPUTED_VALUE"""),"Steinhof")</f>
        <v>Steinhof</v>
      </c>
    </row>
    <row r="4583">
      <c r="A4583" t="str">
        <f>IFERROR(__xludf.DUMMYFUNCTION("""COMPUTED_VALUE"""),"P-052")</f>
        <v>P-052</v>
      </c>
      <c r="B4583" s="226" t="str">
        <f>IFERROR(__xludf.DUMMYFUNCTION("""COMPUTED_VALUE"""),"5907615817335")</f>
        <v>5907615817335</v>
      </c>
      <c r="C4583" t="str">
        <f>IFERROR(__xludf.DUMMYFUNCTION("""COMPUTED_VALUE"""),"Steinhof")</f>
        <v>Steinhof</v>
      </c>
    </row>
    <row r="4584">
      <c r="A4584" t="str">
        <f>IFERROR(__xludf.DUMMYFUNCTION("""COMPUTED_VALUE"""),"P-052")</f>
        <v>P-052</v>
      </c>
      <c r="B4584" s="226" t="str">
        <f>IFERROR(__xludf.DUMMYFUNCTION("""COMPUTED_VALUE"""),"5907615817335")</f>
        <v>5907615817335</v>
      </c>
      <c r="C4584" t="str">
        <f>IFERROR(__xludf.DUMMYFUNCTION("""COMPUTED_VALUE"""),"Steinhof")</f>
        <v>Steinhof</v>
      </c>
    </row>
    <row r="4585">
      <c r="A4585" t="str">
        <f>IFERROR(__xludf.DUMMYFUNCTION("""COMPUTED_VALUE"""),"P-052")</f>
        <v>P-052</v>
      </c>
      <c r="B4585" s="226" t="str">
        <f>IFERROR(__xludf.DUMMYFUNCTION("""COMPUTED_VALUE"""),"5907615817335")</f>
        <v>5907615817335</v>
      </c>
      <c r="C4585" t="str">
        <f>IFERROR(__xludf.DUMMYFUNCTION("""COMPUTED_VALUE"""),"Steinhof")</f>
        <v>Steinhof</v>
      </c>
    </row>
    <row r="4586">
      <c r="A4586" t="str">
        <f>IFERROR(__xludf.DUMMYFUNCTION("""COMPUTED_VALUE"""),"P-053")</f>
        <v>P-053</v>
      </c>
      <c r="B4586" s="226" t="str">
        <f>IFERROR(__xludf.DUMMYFUNCTION("""COMPUTED_VALUE"""),"5907615817342")</f>
        <v>5907615817342</v>
      </c>
      <c r="C4586" t="str">
        <f>IFERROR(__xludf.DUMMYFUNCTION("""COMPUTED_VALUE"""),"Steinhof")</f>
        <v>Steinhof</v>
      </c>
    </row>
    <row r="4587">
      <c r="A4587" t="str">
        <f>IFERROR(__xludf.DUMMYFUNCTION("""COMPUTED_VALUE"""),"P-053")</f>
        <v>P-053</v>
      </c>
      <c r="B4587" s="226" t="str">
        <f>IFERROR(__xludf.DUMMYFUNCTION("""COMPUTED_VALUE"""),"5907615817342")</f>
        <v>5907615817342</v>
      </c>
      <c r="C4587" t="str">
        <f>IFERROR(__xludf.DUMMYFUNCTION("""COMPUTED_VALUE"""),"Steinhof")</f>
        <v>Steinhof</v>
      </c>
    </row>
    <row r="4588">
      <c r="A4588" t="str">
        <f>IFERROR(__xludf.DUMMYFUNCTION("""COMPUTED_VALUE"""),"P-053")</f>
        <v>P-053</v>
      </c>
      <c r="B4588" s="226" t="str">
        <f>IFERROR(__xludf.DUMMYFUNCTION("""COMPUTED_VALUE"""),"5907615817342")</f>
        <v>5907615817342</v>
      </c>
      <c r="C4588" t="str">
        <f>IFERROR(__xludf.DUMMYFUNCTION("""COMPUTED_VALUE"""),"Steinhof")</f>
        <v>Steinhof</v>
      </c>
    </row>
    <row r="4589">
      <c r="A4589" t="str">
        <f>IFERROR(__xludf.DUMMYFUNCTION("""COMPUTED_VALUE"""),"P-053")</f>
        <v>P-053</v>
      </c>
      <c r="B4589" s="226" t="str">
        <f>IFERROR(__xludf.DUMMYFUNCTION("""COMPUTED_VALUE"""),"5907615817342")</f>
        <v>5907615817342</v>
      </c>
      <c r="C4589" t="str">
        <f>IFERROR(__xludf.DUMMYFUNCTION("""COMPUTED_VALUE"""),"Steinhof")</f>
        <v>Steinhof</v>
      </c>
    </row>
    <row r="4590">
      <c r="A4590" t="str">
        <f>IFERROR(__xludf.DUMMYFUNCTION("""COMPUTED_VALUE"""),"P-054")</f>
        <v>P-054</v>
      </c>
      <c r="B4590" s="226" t="str">
        <f>IFERROR(__xludf.DUMMYFUNCTION("""COMPUTED_VALUE"""),"5907615817359")</f>
        <v>5907615817359</v>
      </c>
      <c r="C4590" t="str">
        <f>IFERROR(__xludf.DUMMYFUNCTION("""COMPUTED_VALUE"""),"Steinhof")</f>
        <v>Steinhof</v>
      </c>
    </row>
    <row r="4591">
      <c r="A4591" t="str">
        <f>IFERROR(__xludf.DUMMYFUNCTION("""COMPUTED_VALUE"""),"P-054")</f>
        <v>P-054</v>
      </c>
      <c r="B4591" s="226" t="str">
        <f>IFERROR(__xludf.DUMMYFUNCTION("""COMPUTED_VALUE"""),"5907615817359")</f>
        <v>5907615817359</v>
      </c>
      <c r="C4591" t="str">
        <f>IFERROR(__xludf.DUMMYFUNCTION("""COMPUTED_VALUE"""),"Steinhof")</f>
        <v>Steinhof</v>
      </c>
    </row>
    <row r="4592">
      <c r="A4592" t="str">
        <f>IFERROR(__xludf.DUMMYFUNCTION("""COMPUTED_VALUE"""),"P-054")</f>
        <v>P-054</v>
      </c>
      <c r="B4592" s="226" t="str">
        <f>IFERROR(__xludf.DUMMYFUNCTION("""COMPUTED_VALUE"""),"5907615817359")</f>
        <v>5907615817359</v>
      </c>
      <c r="C4592" t="str">
        <f>IFERROR(__xludf.DUMMYFUNCTION("""COMPUTED_VALUE"""),"Steinhof")</f>
        <v>Steinhof</v>
      </c>
    </row>
    <row r="4593">
      <c r="A4593" t="str">
        <f>IFERROR(__xludf.DUMMYFUNCTION("""COMPUTED_VALUE"""),"P-054")</f>
        <v>P-054</v>
      </c>
      <c r="B4593" s="226" t="str">
        <f>IFERROR(__xludf.DUMMYFUNCTION("""COMPUTED_VALUE"""),"5907615817359")</f>
        <v>5907615817359</v>
      </c>
      <c r="C4593" t="str">
        <f>IFERROR(__xludf.DUMMYFUNCTION("""COMPUTED_VALUE"""),"Steinhof")</f>
        <v>Steinhof</v>
      </c>
    </row>
    <row r="4594">
      <c r="A4594" t="str">
        <f>IFERROR(__xludf.DUMMYFUNCTION("""COMPUTED_VALUE"""),"P-055")</f>
        <v>P-055</v>
      </c>
      <c r="B4594" s="226" t="str">
        <f>IFERROR(__xludf.DUMMYFUNCTION("""COMPUTED_VALUE"""),"5907615817366")</f>
        <v>5907615817366</v>
      </c>
      <c r="C4594" t="str">
        <f>IFERROR(__xludf.DUMMYFUNCTION("""COMPUTED_VALUE"""),"Steinhof")</f>
        <v>Steinhof</v>
      </c>
    </row>
    <row r="4595">
      <c r="A4595" t="str">
        <f>IFERROR(__xludf.DUMMYFUNCTION("""COMPUTED_VALUE"""),"P-055")</f>
        <v>P-055</v>
      </c>
      <c r="B4595" s="226" t="str">
        <f>IFERROR(__xludf.DUMMYFUNCTION("""COMPUTED_VALUE"""),"5907615817366")</f>
        <v>5907615817366</v>
      </c>
      <c r="C4595" t="str">
        <f>IFERROR(__xludf.DUMMYFUNCTION("""COMPUTED_VALUE"""),"Steinhof")</f>
        <v>Steinhof</v>
      </c>
    </row>
    <row r="4596">
      <c r="A4596" t="str">
        <f>IFERROR(__xludf.DUMMYFUNCTION("""COMPUTED_VALUE"""),"P-055")</f>
        <v>P-055</v>
      </c>
      <c r="B4596" s="226" t="str">
        <f>IFERROR(__xludf.DUMMYFUNCTION("""COMPUTED_VALUE"""),"5907615817366")</f>
        <v>5907615817366</v>
      </c>
      <c r="C4596" t="str">
        <f>IFERROR(__xludf.DUMMYFUNCTION("""COMPUTED_VALUE"""),"Steinhof")</f>
        <v>Steinhof</v>
      </c>
    </row>
    <row r="4597">
      <c r="A4597" t="str">
        <f>IFERROR(__xludf.DUMMYFUNCTION("""COMPUTED_VALUE"""),"P-055")</f>
        <v>P-055</v>
      </c>
      <c r="B4597" s="226" t="str">
        <f>IFERROR(__xludf.DUMMYFUNCTION("""COMPUTED_VALUE"""),"5907615817366")</f>
        <v>5907615817366</v>
      </c>
      <c r="C4597" t="str">
        <f>IFERROR(__xludf.DUMMYFUNCTION("""COMPUTED_VALUE"""),"Steinhof")</f>
        <v>Steinhof</v>
      </c>
    </row>
    <row r="4598">
      <c r="A4598" t="str">
        <f>IFERROR(__xludf.DUMMYFUNCTION("""COMPUTED_VALUE"""),"P-058")</f>
        <v>P-058</v>
      </c>
      <c r="B4598" s="226" t="str">
        <f>IFERROR(__xludf.DUMMYFUNCTION("""COMPUTED_VALUE"""),"5907615817373")</f>
        <v>5907615817373</v>
      </c>
      <c r="C4598" t="str">
        <f>IFERROR(__xludf.DUMMYFUNCTION("""COMPUTED_VALUE"""),"Steinhof")</f>
        <v>Steinhof</v>
      </c>
    </row>
    <row r="4599">
      <c r="A4599" t="str">
        <f>IFERROR(__xludf.DUMMYFUNCTION("""COMPUTED_VALUE"""),"P-058")</f>
        <v>P-058</v>
      </c>
      <c r="B4599" s="226" t="str">
        <f>IFERROR(__xludf.DUMMYFUNCTION("""COMPUTED_VALUE"""),"5907615817373")</f>
        <v>5907615817373</v>
      </c>
      <c r="C4599" t="str">
        <f>IFERROR(__xludf.DUMMYFUNCTION("""COMPUTED_VALUE"""),"Steinhof")</f>
        <v>Steinhof</v>
      </c>
    </row>
    <row r="4600">
      <c r="A4600" t="str">
        <f>IFERROR(__xludf.DUMMYFUNCTION("""COMPUTED_VALUE"""),"P-059")</f>
        <v>P-059</v>
      </c>
      <c r="B4600" s="226" t="str">
        <f>IFERROR(__xludf.DUMMYFUNCTION("""COMPUTED_VALUE"""),"5907615817380")</f>
        <v>5907615817380</v>
      </c>
      <c r="C4600" t="str">
        <f>IFERROR(__xludf.DUMMYFUNCTION("""COMPUTED_VALUE"""),"Steinhof")</f>
        <v>Steinhof</v>
      </c>
    </row>
    <row r="4601">
      <c r="A4601" t="str">
        <f>IFERROR(__xludf.DUMMYFUNCTION("""COMPUTED_VALUE"""),"P-059")</f>
        <v>P-059</v>
      </c>
      <c r="B4601" s="226" t="str">
        <f>IFERROR(__xludf.DUMMYFUNCTION("""COMPUTED_VALUE"""),"5907615817380")</f>
        <v>5907615817380</v>
      </c>
      <c r="C4601" t="str">
        <f>IFERROR(__xludf.DUMMYFUNCTION("""COMPUTED_VALUE"""),"Steinhof")</f>
        <v>Steinhof</v>
      </c>
    </row>
    <row r="4602">
      <c r="A4602" t="str">
        <f>IFERROR(__xludf.DUMMYFUNCTION("""COMPUTED_VALUE"""),"P-060")</f>
        <v>P-060</v>
      </c>
      <c r="B4602" s="226" t="str">
        <f>IFERROR(__xludf.DUMMYFUNCTION("""COMPUTED_VALUE"""),"5907615817397")</f>
        <v>5907615817397</v>
      </c>
      <c r="C4602" t="str">
        <f>IFERROR(__xludf.DUMMYFUNCTION("""COMPUTED_VALUE"""),"Steinhof")</f>
        <v>Steinhof</v>
      </c>
    </row>
    <row r="4603">
      <c r="A4603" t="str">
        <f>IFERROR(__xludf.DUMMYFUNCTION("""COMPUTED_VALUE"""),"P-060")</f>
        <v>P-060</v>
      </c>
      <c r="B4603" s="226" t="str">
        <f>IFERROR(__xludf.DUMMYFUNCTION("""COMPUTED_VALUE"""),"5907615817397")</f>
        <v>5907615817397</v>
      </c>
      <c r="C4603" t="str">
        <f>IFERROR(__xludf.DUMMYFUNCTION("""COMPUTED_VALUE"""),"Steinhof")</f>
        <v>Steinhof</v>
      </c>
    </row>
    <row r="4604">
      <c r="A4604" t="str">
        <f>IFERROR(__xludf.DUMMYFUNCTION("""COMPUTED_VALUE"""),"P-061")</f>
        <v>P-061</v>
      </c>
      <c r="B4604" s="226" t="str">
        <f>IFERROR(__xludf.DUMMYFUNCTION("""COMPUTED_VALUE"""),"5907615817403")</f>
        <v>5907615817403</v>
      </c>
      <c r="C4604" t="str">
        <f>IFERROR(__xludf.DUMMYFUNCTION("""COMPUTED_VALUE"""),"Steinhof")</f>
        <v>Steinhof</v>
      </c>
    </row>
    <row r="4605">
      <c r="A4605" t="str">
        <f>IFERROR(__xludf.DUMMYFUNCTION("""COMPUTED_VALUE"""),"P-061")</f>
        <v>P-061</v>
      </c>
      <c r="B4605" s="226" t="str">
        <f>IFERROR(__xludf.DUMMYFUNCTION("""COMPUTED_VALUE"""),"5907615817403")</f>
        <v>5907615817403</v>
      </c>
      <c r="C4605" t="str">
        <f>IFERROR(__xludf.DUMMYFUNCTION("""COMPUTED_VALUE"""),"Steinhof")</f>
        <v>Steinhof</v>
      </c>
    </row>
    <row r="4606">
      <c r="A4606" t="str">
        <f>IFERROR(__xludf.DUMMYFUNCTION("""COMPUTED_VALUE"""),"P-048")</f>
        <v>P-048</v>
      </c>
      <c r="B4606" s="226" t="str">
        <f>IFERROR(__xludf.DUMMYFUNCTION("""COMPUTED_VALUE"""),"5907615817410")</f>
        <v>5907615817410</v>
      </c>
      <c r="C4606" t="str">
        <f>IFERROR(__xludf.DUMMYFUNCTION("""COMPUTED_VALUE"""),"Steinhof")</f>
        <v>Steinhof</v>
      </c>
    </row>
    <row r="4607">
      <c r="A4607" t="str">
        <f>IFERROR(__xludf.DUMMYFUNCTION("""COMPUTED_VALUE"""),"P-048")</f>
        <v>P-048</v>
      </c>
      <c r="B4607" s="226" t="str">
        <f>IFERROR(__xludf.DUMMYFUNCTION("""COMPUTED_VALUE"""),"5907615817410")</f>
        <v>5907615817410</v>
      </c>
      <c r="C4607" t="str">
        <f>IFERROR(__xludf.DUMMYFUNCTION("""COMPUTED_VALUE"""),"Steinhof")</f>
        <v>Steinhof</v>
      </c>
    </row>
    <row r="4608">
      <c r="A4608" t="str">
        <f>IFERROR(__xludf.DUMMYFUNCTION("""COMPUTED_VALUE"""),"P-049")</f>
        <v>P-049</v>
      </c>
      <c r="B4608" s="226" t="str">
        <f>IFERROR(__xludf.DUMMYFUNCTION("""COMPUTED_VALUE"""),"5907615817427")</f>
        <v>5907615817427</v>
      </c>
      <c r="C4608" t="str">
        <f>IFERROR(__xludf.DUMMYFUNCTION("""COMPUTED_VALUE"""),"Steinhof")</f>
        <v>Steinhof</v>
      </c>
    </row>
    <row r="4609">
      <c r="A4609" t="str">
        <f>IFERROR(__xludf.DUMMYFUNCTION("""COMPUTED_VALUE"""),"P-049")</f>
        <v>P-049</v>
      </c>
      <c r="B4609" s="226" t="str">
        <f>IFERROR(__xludf.DUMMYFUNCTION("""COMPUTED_VALUE"""),"5907615817427")</f>
        <v>5907615817427</v>
      </c>
      <c r="C4609" t="str">
        <f>IFERROR(__xludf.DUMMYFUNCTION("""COMPUTED_VALUE"""),"Steinhof")</f>
        <v>Steinhof</v>
      </c>
    </row>
    <row r="4610">
      <c r="A4610" t="str">
        <f>IFERROR(__xludf.DUMMYFUNCTION("""COMPUTED_VALUE"""),"P-062")</f>
        <v>P-062</v>
      </c>
      <c r="B4610" s="226" t="str">
        <f>IFERROR(__xludf.DUMMYFUNCTION("""COMPUTED_VALUE"""),"5907615817434")</f>
        <v>5907615817434</v>
      </c>
      <c r="C4610" t="str">
        <f>IFERROR(__xludf.DUMMYFUNCTION("""COMPUTED_VALUE"""),"Steinhof")</f>
        <v>Steinhof</v>
      </c>
    </row>
    <row r="4611">
      <c r="A4611" t="str">
        <f>IFERROR(__xludf.DUMMYFUNCTION("""COMPUTED_VALUE"""),"P-063")</f>
        <v>P-063</v>
      </c>
      <c r="B4611" s="226" t="str">
        <f>IFERROR(__xludf.DUMMYFUNCTION("""COMPUTED_VALUE"""),"5907615817441")</f>
        <v>5907615817441</v>
      </c>
      <c r="C4611" t="str">
        <f>IFERROR(__xludf.DUMMYFUNCTION("""COMPUTED_VALUE"""),"Steinhof")</f>
        <v>Steinhof</v>
      </c>
    </row>
    <row r="4612">
      <c r="A4612" t="str">
        <f>IFERROR(__xludf.DUMMYFUNCTION("""COMPUTED_VALUE"""),"R-016")</f>
        <v>R-016</v>
      </c>
      <c r="B4612" s="226" t="str">
        <f>IFERROR(__xludf.DUMMYFUNCTION("""COMPUTED_VALUE"""),"5907615818851")</f>
        <v>5907615818851</v>
      </c>
      <c r="C4612" t="str">
        <f>IFERROR(__xludf.DUMMYFUNCTION("""COMPUTED_VALUE"""),"Steinhof")</f>
        <v>Steinhof</v>
      </c>
    </row>
    <row r="4613">
      <c r="A4613" t="str">
        <f>IFERROR(__xludf.DUMMYFUNCTION("""COMPUTED_VALUE"""),"R-016")</f>
        <v>R-016</v>
      </c>
      <c r="B4613" s="226" t="str">
        <f>IFERROR(__xludf.DUMMYFUNCTION("""COMPUTED_VALUE"""),"5907615818851")</f>
        <v>5907615818851</v>
      </c>
      <c r="C4613" t="str">
        <f>IFERROR(__xludf.DUMMYFUNCTION("""COMPUTED_VALUE"""),"Steinhof")</f>
        <v>Steinhof</v>
      </c>
    </row>
    <row r="4614">
      <c r="A4614" t="str">
        <f>IFERROR(__xludf.DUMMYFUNCTION("""COMPUTED_VALUE"""),"R-017")</f>
        <v>R-017</v>
      </c>
      <c r="B4614" s="226" t="str">
        <f>IFERROR(__xludf.DUMMYFUNCTION("""COMPUTED_VALUE"""),"5907615818868")</f>
        <v>5907615818868</v>
      </c>
      <c r="C4614" t="str">
        <f>IFERROR(__xludf.DUMMYFUNCTION("""COMPUTED_VALUE"""),"Steinhof")</f>
        <v>Steinhof</v>
      </c>
    </row>
    <row r="4615">
      <c r="A4615" t="str">
        <f>IFERROR(__xludf.DUMMYFUNCTION("""COMPUTED_VALUE"""),"R-017")</f>
        <v>R-017</v>
      </c>
      <c r="B4615" s="226" t="str">
        <f>IFERROR(__xludf.DUMMYFUNCTION("""COMPUTED_VALUE"""),"5907615818868")</f>
        <v>5907615818868</v>
      </c>
      <c r="C4615" t="str">
        <f>IFERROR(__xludf.DUMMYFUNCTION("""COMPUTED_VALUE"""),"Steinhof")</f>
        <v>Steinhof</v>
      </c>
    </row>
    <row r="4616">
      <c r="A4616" t="str">
        <f>IFERROR(__xludf.DUMMYFUNCTION("""COMPUTED_VALUE"""),"R-020")</f>
        <v>R-020</v>
      </c>
      <c r="B4616" s="226" t="str">
        <f>IFERROR(__xludf.DUMMYFUNCTION("""COMPUTED_VALUE"""),"5907615818899")</f>
        <v>5907615818899</v>
      </c>
      <c r="C4616" t="str">
        <f>IFERROR(__xludf.DUMMYFUNCTION("""COMPUTED_VALUE"""),"Steinhof")</f>
        <v>Steinhof</v>
      </c>
    </row>
    <row r="4617">
      <c r="A4617" t="str">
        <f>IFERROR(__xludf.DUMMYFUNCTION("""COMPUTED_VALUE"""),"R-020")</f>
        <v>R-020</v>
      </c>
      <c r="B4617" s="226" t="str">
        <f>IFERROR(__xludf.DUMMYFUNCTION("""COMPUTED_VALUE"""),"5907615818899")</f>
        <v>5907615818899</v>
      </c>
      <c r="C4617" t="str">
        <f>IFERROR(__xludf.DUMMYFUNCTION("""COMPUTED_VALUE"""),"Steinhof")</f>
        <v>Steinhof</v>
      </c>
    </row>
    <row r="4618">
      <c r="A4618" t="str">
        <f>IFERROR(__xludf.DUMMYFUNCTION("""COMPUTED_VALUE"""),"R-020")</f>
        <v>R-020</v>
      </c>
      <c r="B4618" s="226" t="str">
        <f>IFERROR(__xludf.DUMMYFUNCTION("""COMPUTED_VALUE"""),"5907615818899")</f>
        <v>5907615818899</v>
      </c>
      <c r="C4618" t="str">
        <f>IFERROR(__xludf.DUMMYFUNCTION("""COMPUTED_VALUE"""),"Steinhof")</f>
        <v>Steinhof</v>
      </c>
    </row>
    <row r="4619">
      <c r="A4619" t="str">
        <f>IFERROR(__xludf.DUMMYFUNCTION("""COMPUTED_VALUE"""),"R-020")</f>
        <v>R-020</v>
      </c>
      <c r="B4619" s="226" t="str">
        <f>IFERROR(__xludf.DUMMYFUNCTION("""COMPUTED_VALUE"""),"5907615818899")</f>
        <v>5907615818899</v>
      </c>
      <c r="C4619" t="str">
        <f>IFERROR(__xludf.DUMMYFUNCTION("""COMPUTED_VALUE"""),"Steinhof")</f>
        <v>Steinhof</v>
      </c>
    </row>
    <row r="4620">
      <c r="A4620" t="str">
        <f>IFERROR(__xludf.DUMMYFUNCTION("""COMPUTED_VALUE"""),"R-022")</f>
        <v>R-022</v>
      </c>
      <c r="B4620" s="226" t="str">
        <f>IFERROR(__xludf.DUMMYFUNCTION("""COMPUTED_VALUE"""),"5907615818912")</f>
        <v>5907615818912</v>
      </c>
      <c r="C4620" t="str">
        <f>IFERROR(__xludf.DUMMYFUNCTION("""COMPUTED_VALUE"""),"Steinhof")</f>
        <v>Steinhof</v>
      </c>
    </row>
    <row r="4621">
      <c r="A4621" t="str">
        <f>IFERROR(__xludf.DUMMYFUNCTION("""COMPUTED_VALUE"""),"R-022")</f>
        <v>R-022</v>
      </c>
      <c r="B4621" s="226" t="str">
        <f>IFERROR(__xludf.DUMMYFUNCTION("""COMPUTED_VALUE"""),"5907615818912")</f>
        <v>5907615818912</v>
      </c>
      <c r="C4621" t="str">
        <f>IFERROR(__xludf.DUMMYFUNCTION("""COMPUTED_VALUE"""),"Steinhof")</f>
        <v>Steinhof</v>
      </c>
    </row>
    <row r="4622">
      <c r="A4622" t="str">
        <f>IFERROR(__xludf.DUMMYFUNCTION("""COMPUTED_VALUE"""),"R-024")</f>
        <v>R-024</v>
      </c>
      <c r="B4622" s="226" t="str">
        <f>IFERROR(__xludf.DUMMYFUNCTION("""COMPUTED_VALUE"""),"5907615818936")</f>
        <v>5907615818936</v>
      </c>
      <c r="C4622" t="str">
        <f>IFERROR(__xludf.DUMMYFUNCTION("""COMPUTED_VALUE"""),"Steinhof")</f>
        <v>Steinhof</v>
      </c>
    </row>
    <row r="4623">
      <c r="A4623" t="str">
        <f>IFERROR(__xludf.DUMMYFUNCTION("""COMPUTED_VALUE"""),"R-025")</f>
        <v>R-025</v>
      </c>
      <c r="B4623" s="226" t="str">
        <f>IFERROR(__xludf.DUMMYFUNCTION("""COMPUTED_VALUE"""),"5907615818943")</f>
        <v>5907615818943</v>
      </c>
      <c r="C4623" t="str">
        <f>IFERROR(__xludf.DUMMYFUNCTION("""COMPUTED_VALUE"""),"Steinhof")</f>
        <v>Steinhof</v>
      </c>
    </row>
    <row r="4624">
      <c r="A4624" t="str">
        <f>IFERROR(__xludf.DUMMYFUNCTION("""COMPUTED_VALUE"""),"R-027")</f>
        <v>R-027</v>
      </c>
      <c r="B4624" s="226" t="str">
        <f>IFERROR(__xludf.DUMMYFUNCTION("""COMPUTED_VALUE"""),"5907615818967")</f>
        <v>5907615818967</v>
      </c>
      <c r="C4624" t="str">
        <f>IFERROR(__xludf.DUMMYFUNCTION("""COMPUTED_VALUE"""),"Steinhof")</f>
        <v>Steinhof</v>
      </c>
    </row>
    <row r="4625">
      <c r="A4625" t="str">
        <f>IFERROR(__xludf.DUMMYFUNCTION("""COMPUTED_VALUE"""),"R-027")</f>
        <v>R-027</v>
      </c>
      <c r="B4625" s="226" t="str">
        <f>IFERROR(__xludf.DUMMYFUNCTION("""COMPUTED_VALUE"""),"5907615818967")</f>
        <v>5907615818967</v>
      </c>
      <c r="C4625" t="str">
        <f>IFERROR(__xludf.DUMMYFUNCTION("""COMPUTED_VALUE"""),"Steinhof")</f>
        <v>Steinhof</v>
      </c>
    </row>
    <row r="4626">
      <c r="A4626" t="str">
        <f>IFERROR(__xludf.DUMMYFUNCTION("""COMPUTED_VALUE"""),"R-027")</f>
        <v>R-027</v>
      </c>
      <c r="B4626" s="226" t="str">
        <f>IFERROR(__xludf.DUMMYFUNCTION("""COMPUTED_VALUE"""),"5907615818967")</f>
        <v>5907615818967</v>
      </c>
      <c r="C4626" t="str">
        <f>IFERROR(__xludf.DUMMYFUNCTION("""COMPUTED_VALUE"""),"Steinhof")</f>
        <v>Steinhof</v>
      </c>
    </row>
    <row r="4627">
      <c r="A4627" t="str">
        <f>IFERROR(__xludf.DUMMYFUNCTION("""COMPUTED_VALUE"""),"R-027")</f>
        <v>R-027</v>
      </c>
      <c r="B4627" s="226" t="str">
        <f>IFERROR(__xludf.DUMMYFUNCTION("""COMPUTED_VALUE"""),"5907615818967")</f>
        <v>5907615818967</v>
      </c>
      <c r="C4627" t="str">
        <f>IFERROR(__xludf.DUMMYFUNCTION("""COMPUTED_VALUE"""),"Steinhof")</f>
        <v>Steinhof</v>
      </c>
    </row>
    <row r="4628">
      <c r="A4628" t="str">
        <f>IFERROR(__xludf.DUMMYFUNCTION("""COMPUTED_VALUE"""),"R-028")</f>
        <v>R-028</v>
      </c>
      <c r="B4628" s="226" t="str">
        <f>IFERROR(__xludf.DUMMYFUNCTION("""COMPUTED_VALUE"""),"5907615818974")</f>
        <v>5907615818974</v>
      </c>
      <c r="C4628" t="str">
        <f>IFERROR(__xludf.DUMMYFUNCTION("""COMPUTED_VALUE"""),"Steinhof")</f>
        <v>Steinhof</v>
      </c>
    </row>
    <row r="4629">
      <c r="A4629" t="str">
        <f>IFERROR(__xludf.DUMMYFUNCTION("""COMPUTED_VALUE"""),"R-028")</f>
        <v>R-028</v>
      </c>
      <c r="B4629" s="226" t="str">
        <f>IFERROR(__xludf.DUMMYFUNCTION("""COMPUTED_VALUE"""),"5907615818974")</f>
        <v>5907615818974</v>
      </c>
      <c r="C4629" t="str">
        <f>IFERROR(__xludf.DUMMYFUNCTION("""COMPUTED_VALUE"""),"Steinhof")</f>
        <v>Steinhof</v>
      </c>
    </row>
    <row r="4630">
      <c r="A4630" t="str">
        <f>IFERROR(__xludf.DUMMYFUNCTION("""COMPUTED_VALUE"""),"R-028")</f>
        <v>R-028</v>
      </c>
      <c r="B4630" s="226" t="str">
        <f>IFERROR(__xludf.DUMMYFUNCTION("""COMPUTED_VALUE"""),"5907615818974")</f>
        <v>5907615818974</v>
      </c>
      <c r="C4630" t="str">
        <f>IFERROR(__xludf.DUMMYFUNCTION("""COMPUTED_VALUE"""),"Steinhof")</f>
        <v>Steinhof</v>
      </c>
    </row>
    <row r="4631">
      <c r="A4631" t="str">
        <f>IFERROR(__xludf.DUMMYFUNCTION("""COMPUTED_VALUE"""),"R-028")</f>
        <v>R-028</v>
      </c>
      <c r="B4631" s="226" t="str">
        <f>IFERROR(__xludf.DUMMYFUNCTION("""COMPUTED_VALUE"""),"5907615818974")</f>
        <v>5907615818974</v>
      </c>
      <c r="C4631" t="str">
        <f>IFERROR(__xludf.DUMMYFUNCTION("""COMPUTED_VALUE"""),"Steinhof")</f>
        <v>Steinhof</v>
      </c>
    </row>
    <row r="4632">
      <c r="A4632" t="str">
        <f>IFERROR(__xludf.DUMMYFUNCTION("""COMPUTED_VALUE"""),"R-029")</f>
        <v>R-029</v>
      </c>
      <c r="B4632" s="226" t="str">
        <f>IFERROR(__xludf.DUMMYFUNCTION("""COMPUTED_VALUE"""),"5907615818981")</f>
        <v>5907615818981</v>
      </c>
      <c r="C4632" t="str">
        <f>IFERROR(__xludf.DUMMYFUNCTION("""COMPUTED_VALUE"""),"Steinhof")</f>
        <v>Steinhof</v>
      </c>
    </row>
    <row r="4633">
      <c r="A4633" t="str">
        <f>IFERROR(__xludf.DUMMYFUNCTION("""COMPUTED_VALUE"""),"R-029")</f>
        <v>R-029</v>
      </c>
      <c r="B4633" s="226" t="str">
        <f>IFERROR(__xludf.DUMMYFUNCTION("""COMPUTED_VALUE"""),"5907615818981")</f>
        <v>5907615818981</v>
      </c>
      <c r="C4633" t="str">
        <f>IFERROR(__xludf.DUMMYFUNCTION("""COMPUTED_VALUE"""),"Steinhof")</f>
        <v>Steinhof</v>
      </c>
    </row>
    <row r="4634">
      <c r="A4634" t="str">
        <f>IFERROR(__xludf.DUMMYFUNCTION("""COMPUTED_VALUE"""),"R-029")</f>
        <v>R-029</v>
      </c>
      <c r="B4634" s="226" t="str">
        <f>IFERROR(__xludf.DUMMYFUNCTION("""COMPUTED_VALUE"""),"5907615818981")</f>
        <v>5907615818981</v>
      </c>
      <c r="C4634" t="str">
        <f>IFERROR(__xludf.DUMMYFUNCTION("""COMPUTED_VALUE"""),"Steinhof")</f>
        <v>Steinhof</v>
      </c>
    </row>
    <row r="4635">
      <c r="A4635" t="str">
        <f>IFERROR(__xludf.DUMMYFUNCTION("""COMPUTED_VALUE"""),"R-029")</f>
        <v>R-029</v>
      </c>
      <c r="B4635" s="226" t="str">
        <f>IFERROR(__xludf.DUMMYFUNCTION("""COMPUTED_VALUE"""),"5907615818981")</f>
        <v>5907615818981</v>
      </c>
      <c r="C4635" t="str">
        <f>IFERROR(__xludf.DUMMYFUNCTION("""COMPUTED_VALUE"""),"Steinhof")</f>
        <v>Steinhof</v>
      </c>
    </row>
    <row r="4636">
      <c r="A4636" t="str">
        <f>IFERROR(__xludf.DUMMYFUNCTION("""COMPUTED_VALUE"""),"R-030")</f>
        <v>R-030</v>
      </c>
      <c r="B4636" s="226" t="str">
        <f>IFERROR(__xludf.DUMMYFUNCTION("""COMPUTED_VALUE"""),"5907615818998")</f>
        <v>5907615818998</v>
      </c>
      <c r="C4636" t="str">
        <f>IFERROR(__xludf.DUMMYFUNCTION("""COMPUTED_VALUE"""),"Steinhof")</f>
        <v>Steinhof</v>
      </c>
    </row>
    <row r="4637">
      <c r="A4637" t="str">
        <f>IFERROR(__xludf.DUMMYFUNCTION("""COMPUTED_VALUE"""),"R-030")</f>
        <v>R-030</v>
      </c>
      <c r="B4637" s="226" t="str">
        <f>IFERROR(__xludf.DUMMYFUNCTION("""COMPUTED_VALUE"""),"5907615818998")</f>
        <v>5907615818998</v>
      </c>
      <c r="C4637" t="str">
        <f>IFERROR(__xludf.DUMMYFUNCTION("""COMPUTED_VALUE"""),"Steinhof")</f>
        <v>Steinhof</v>
      </c>
    </row>
    <row r="4638">
      <c r="A4638" t="str">
        <f>IFERROR(__xludf.DUMMYFUNCTION("""COMPUTED_VALUE"""),"R-030")</f>
        <v>R-030</v>
      </c>
      <c r="B4638" s="226" t="str">
        <f>IFERROR(__xludf.DUMMYFUNCTION("""COMPUTED_VALUE"""),"5907615818998")</f>
        <v>5907615818998</v>
      </c>
      <c r="C4638" t="str">
        <f>IFERROR(__xludf.DUMMYFUNCTION("""COMPUTED_VALUE"""),"Steinhof")</f>
        <v>Steinhof</v>
      </c>
    </row>
    <row r="4639">
      <c r="A4639" t="str">
        <f>IFERROR(__xludf.DUMMYFUNCTION("""COMPUTED_VALUE"""),"R-030")</f>
        <v>R-030</v>
      </c>
      <c r="B4639" s="226" t="str">
        <f>IFERROR(__xludf.DUMMYFUNCTION("""COMPUTED_VALUE"""),"5907615818998")</f>
        <v>5907615818998</v>
      </c>
      <c r="C4639" t="str">
        <f>IFERROR(__xludf.DUMMYFUNCTION("""COMPUTED_VALUE"""),"Steinhof")</f>
        <v>Steinhof</v>
      </c>
    </row>
    <row r="4640">
      <c r="A4640" t="str">
        <f>IFERROR(__xludf.DUMMYFUNCTION("""COMPUTED_VALUE"""),"R-035")</f>
        <v>R-035</v>
      </c>
      <c r="B4640" s="226" t="str">
        <f>IFERROR(__xludf.DUMMYFUNCTION("""COMPUTED_VALUE"""),"5907615819049")</f>
        <v>5907615819049</v>
      </c>
      <c r="C4640" t="str">
        <f>IFERROR(__xludf.DUMMYFUNCTION("""COMPUTED_VALUE"""),"Steinhof")</f>
        <v>Steinhof</v>
      </c>
    </row>
    <row r="4641">
      <c r="A4641" t="str">
        <f>IFERROR(__xludf.DUMMYFUNCTION("""COMPUTED_VALUE"""),"R-035")</f>
        <v>R-035</v>
      </c>
      <c r="B4641" s="226" t="str">
        <f>IFERROR(__xludf.DUMMYFUNCTION("""COMPUTED_VALUE"""),"5907615819049")</f>
        <v>5907615819049</v>
      </c>
      <c r="C4641" t="str">
        <f>IFERROR(__xludf.DUMMYFUNCTION("""COMPUTED_VALUE"""),"Steinhof")</f>
        <v>Steinhof</v>
      </c>
    </row>
    <row r="4642">
      <c r="A4642" t="str">
        <f>IFERROR(__xludf.DUMMYFUNCTION("""COMPUTED_VALUE"""),"R-035")</f>
        <v>R-035</v>
      </c>
      <c r="B4642" s="226" t="str">
        <f>IFERROR(__xludf.DUMMYFUNCTION("""COMPUTED_VALUE"""),"5907615819049")</f>
        <v>5907615819049</v>
      </c>
      <c r="C4642" t="str">
        <f>IFERROR(__xludf.DUMMYFUNCTION("""COMPUTED_VALUE"""),"Steinhof")</f>
        <v>Steinhof</v>
      </c>
    </row>
    <row r="4643">
      <c r="A4643" t="str">
        <f>IFERROR(__xludf.DUMMYFUNCTION("""COMPUTED_VALUE"""),"R-035")</f>
        <v>R-035</v>
      </c>
      <c r="B4643" s="226" t="str">
        <f>IFERROR(__xludf.DUMMYFUNCTION("""COMPUTED_VALUE"""),"5907615819049")</f>
        <v>5907615819049</v>
      </c>
      <c r="C4643" t="str">
        <f>IFERROR(__xludf.DUMMYFUNCTION("""COMPUTED_VALUE"""),"Steinhof")</f>
        <v>Steinhof</v>
      </c>
    </row>
    <row r="4644">
      <c r="A4644" t="str">
        <f>IFERROR(__xludf.DUMMYFUNCTION("""COMPUTED_VALUE"""),"R-036")</f>
        <v>R-036</v>
      </c>
      <c r="B4644" s="226" t="str">
        <f>IFERROR(__xludf.DUMMYFUNCTION("""COMPUTED_VALUE"""),"5907615819056")</f>
        <v>5907615819056</v>
      </c>
      <c r="C4644" t="str">
        <f>IFERROR(__xludf.DUMMYFUNCTION("""COMPUTED_VALUE"""),"Steinhof")</f>
        <v>Steinhof</v>
      </c>
    </row>
    <row r="4645">
      <c r="A4645" t="str">
        <f>IFERROR(__xludf.DUMMYFUNCTION("""COMPUTED_VALUE"""),"R-036")</f>
        <v>R-036</v>
      </c>
      <c r="B4645" s="226" t="str">
        <f>IFERROR(__xludf.DUMMYFUNCTION("""COMPUTED_VALUE"""),"5907615819056")</f>
        <v>5907615819056</v>
      </c>
      <c r="C4645" t="str">
        <f>IFERROR(__xludf.DUMMYFUNCTION("""COMPUTED_VALUE"""),"Steinhof")</f>
        <v>Steinhof</v>
      </c>
    </row>
    <row r="4646">
      <c r="A4646" t="str">
        <f>IFERROR(__xludf.DUMMYFUNCTION("""COMPUTED_VALUE"""),"R-036")</f>
        <v>R-036</v>
      </c>
      <c r="B4646" s="226" t="str">
        <f>IFERROR(__xludf.DUMMYFUNCTION("""COMPUTED_VALUE"""),"5907615819056")</f>
        <v>5907615819056</v>
      </c>
      <c r="C4646" t="str">
        <f>IFERROR(__xludf.DUMMYFUNCTION("""COMPUTED_VALUE"""),"Steinhof")</f>
        <v>Steinhof</v>
      </c>
    </row>
    <row r="4647">
      <c r="A4647" t="str">
        <f>IFERROR(__xludf.DUMMYFUNCTION("""COMPUTED_VALUE"""),"R-036")</f>
        <v>R-036</v>
      </c>
      <c r="B4647" s="226" t="str">
        <f>IFERROR(__xludf.DUMMYFUNCTION("""COMPUTED_VALUE"""),"5907615819056")</f>
        <v>5907615819056</v>
      </c>
      <c r="C4647" t="str">
        <f>IFERROR(__xludf.DUMMYFUNCTION("""COMPUTED_VALUE"""),"Steinhof")</f>
        <v>Steinhof</v>
      </c>
    </row>
    <row r="4648">
      <c r="A4648" t="str">
        <f>IFERROR(__xludf.DUMMYFUNCTION("""COMPUTED_VALUE"""),"R-037")</f>
        <v>R-037</v>
      </c>
      <c r="B4648" s="226" t="str">
        <f>IFERROR(__xludf.DUMMYFUNCTION("""COMPUTED_VALUE"""),"5907615819063")</f>
        <v>5907615819063</v>
      </c>
      <c r="C4648" t="str">
        <f>IFERROR(__xludf.DUMMYFUNCTION("""COMPUTED_VALUE"""),"Steinhof")</f>
        <v>Steinhof</v>
      </c>
    </row>
    <row r="4649">
      <c r="A4649" t="str">
        <f>IFERROR(__xludf.DUMMYFUNCTION("""COMPUTED_VALUE"""),"R-037")</f>
        <v>R-037</v>
      </c>
      <c r="B4649" s="226" t="str">
        <f>IFERROR(__xludf.DUMMYFUNCTION("""COMPUTED_VALUE"""),"5907615819063")</f>
        <v>5907615819063</v>
      </c>
      <c r="C4649" t="str">
        <f>IFERROR(__xludf.DUMMYFUNCTION("""COMPUTED_VALUE"""),"Steinhof")</f>
        <v>Steinhof</v>
      </c>
    </row>
    <row r="4650">
      <c r="A4650" t="str">
        <f>IFERROR(__xludf.DUMMYFUNCTION("""COMPUTED_VALUE"""),"R-038")</f>
        <v>R-038</v>
      </c>
      <c r="B4650" s="226" t="str">
        <f>IFERROR(__xludf.DUMMYFUNCTION("""COMPUTED_VALUE"""),"5907615819070")</f>
        <v>5907615819070</v>
      </c>
      <c r="C4650" t="str">
        <f>IFERROR(__xludf.DUMMYFUNCTION("""COMPUTED_VALUE"""),"Steinhof")</f>
        <v>Steinhof</v>
      </c>
    </row>
    <row r="4651">
      <c r="A4651" t="str">
        <f>IFERROR(__xludf.DUMMYFUNCTION("""COMPUTED_VALUE"""),"R-038")</f>
        <v>R-038</v>
      </c>
      <c r="B4651" s="226" t="str">
        <f>IFERROR(__xludf.DUMMYFUNCTION("""COMPUTED_VALUE"""),"5907615819070")</f>
        <v>5907615819070</v>
      </c>
      <c r="C4651" t="str">
        <f>IFERROR(__xludf.DUMMYFUNCTION("""COMPUTED_VALUE"""),"Steinhof")</f>
        <v>Steinhof</v>
      </c>
    </row>
    <row r="4652">
      <c r="A4652" t="str">
        <f>IFERROR(__xludf.DUMMYFUNCTION("""COMPUTED_VALUE"""),"R-039")</f>
        <v>R-039</v>
      </c>
      <c r="B4652" s="226" t="str">
        <f>IFERROR(__xludf.DUMMYFUNCTION("""COMPUTED_VALUE"""),"5907615819087")</f>
        <v>5907615819087</v>
      </c>
      <c r="C4652" t="str">
        <f>IFERROR(__xludf.DUMMYFUNCTION("""COMPUTED_VALUE"""),"Steinhof")</f>
        <v>Steinhof</v>
      </c>
    </row>
    <row r="4653">
      <c r="A4653" t="str">
        <f>IFERROR(__xludf.DUMMYFUNCTION("""COMPUTED_VALUE"""),"R-039")</f>
        <v>R-039</v>
      </c>
      <c r="B4653" s="226" t="str">
        <f>IFERROR(__xludf.DUMMYFUNCTION("""COMPUTED_VALUE"""),"5907615819087")</f>
        <v>5907615819087</v>
      </c>
      <c r="C4653" t="str">
        <f>IFERROR(__xludf.DUMMYFUNCTION("""COMPUTED_VALUE"""),"Steinhof")</f>
        <v>Steinhof</v>
      </c>
    </row>
    <row r="4654">
      <c r="A4654" t="str">
        <f>IFERROR(__xludf.DUMMYFUNCTION("""COMPUTED_VALUE"""),"R-040")</f>
        <v>R-040</v>
      </c>
      <c r="B4654" s="226" t="str">
        <f>IFERROR(__xludf.DUMMYFUNCTION("""COMPUTED_VALUE"""),"5907615819094")</f>
        <v>5907615819094</v>
      </c>
      <c r="C4654" t="str">
        <f>IFERROR(__xludf.DUMMYFUNCTION("""COMPUTED_VALUE"""),"Steinhof")</f>
        <v>Steinhof</v>
      </c>
    </row>
    <row r="4655">
      <c r="A4655" t="str">
        <f>IFERROR(__xludf.DUMMYFUNCTION("""COMPUTED_VALUE"""),"R-040")</f>
        <v>R-040</v>
      </c>
      <c r="B4655" s="226" t="str">
        <f>IFERROR(__xludf.DUMMYFUNCTION("""COMPUTED_VALUE"""),"5907615819094")</f>
        <v>5907615819094</v>
      </c>
      <c r="C4655" t="str">
        <f>IFERROR(__xludf.DUMMYFUNCTION("""COMPUTED_VALUE"""),"Steinhof")</f>
        <v>Steinhof</v>
      </c>
    </row>
    <row r="4656">
      <c r="A4656" t="str">
        <f>IFERROR(__xludf.DUMMYFUNCTION("""COMPUTED_VALUE"""),"R-041")</f>
        <v>R-041</v>
      </c>
      <c r="B4656" s="226" t="str">
        <f>IFERROR(__xludf.DUMMYFUNCTION("""COMPUTED_VALUE"""),"5907615819100")</f>
        <v>5907615819100</v>
      </c>
      <c r="C4656" t="str">
        <f>IFERROR(__xludf.DUMMYFUNCTION("""COMPUTED_VALUE"""),"Steinhof")</f>
        <v>Steinhof</v>
      </c>
    </row>
    <row r="4657">
      <c r="A4657" t="str">
        <f>IFERROR(__xludf.DUMMYFUNCTION("""COMPUTED_VALUE"""),"R-041")</f>
        <v>R-041</v>
      </c>
      <c r="B4657" s="226" t="str">
        <f>IFERROR(__xludf.DUMMYFUNCTION("""COMPUTED_VALUE"""),"5907615819100")</f>
        <v>5907615819100</v>
      </c>
      <c r="C4657" t="str">
        <f>IFERROR(__xludf.DUMMYFUNCTION("""COMPUTED_VALUE"""),"Steinhof")</f>
        <v>Steinhof</v>
      </c>
    </row>
    <row r="4658">
      <c r="A4658" t="str">
        <f>IFERROR(__xludf.DUMMYFUNCTION("""COMPUTED_VALUE"""),"R-042")</f>
        <v>R-042</v>
      </c>
      <c r="B4658" s="226" t="str">
        <f>IFERROR(__xludf.DUMMYFUNCTION("""COMPUTED_VALUE"""),"5907615819117")</f>
        <v>5907615819117</v>
      </c>
      <c r="C4658" t="str">
        <f>IFERROR(__xludf.DUMMYFUNCTION("""COMPUTED_VALUE"""),"Steinhof")</f>
        <v>Steinhof</v>
      </c>
    </row>
    <row r="4659">
      <c r="A4659" t="str">
        <f>IFERROR(__xludf.DUMMYFUNCTION("""COMPUTED_VALUE"""),"R-042")</f>
        <v>R-042</v>
      </c>
      <c r="B4659" s="226" t="str">
        <f>IFERROR(__xludf.DUMMYFUNCTION("""COMPUTED_VALUE"""),"5907615819117")</f>
        <v>5907615819117</v>
      </c>
      <c r="C4659" t="str">
        <f>IFERROR(__xludf.DUMMYFUNCTION("""COMPUTED_VALUE"""),"Steinhof")</f>
        <v>Steinhof</v>
      </c>
    </row>
    <row r="4660">
      <c r="A4660" t="str">
        <f>IFERROR(__xludf.DUMMYFUNCTION("""COMPUTED_VALUE"""),"R-043")</f>
        <v>R-043</v>
      </c>
      <c r="B4660" s="226" t="str">
        <f>IFERROR(__xludf.DUMMYFUNCTION("""COMPUTED_VALUE"""),"5907615819124")</f>
        <v>5907615819124</v>
      </c>
      <c r="C4660" t="str">
        <f>IFERROR(__xludf.DUMMYFUNCTION("""COMPUTED_VALUE"""),"Steinhof")</f>
        <v>Steinhof</v>
      </c>
    </row>
    <row r="4661">
      <c r="A4661" t="str">
        <f>IFERROR(__xludf.DUMMYFUNCTION("""COMPUTED_VALUE"""),"R-043")</f>
        <v>R-043</v>
      </c>
      <c r="B4661" s="226" t="str">
        <f>IFERROR(__xludf.DUMMYFUNCTION("""COMPUTED_VALUE"""),"5907615819124")</f>
        <v>5907615819124</v>
      </c>
      <c r="C4661" t="str">
        <f>IFERROR(__xludf.DUMMYFUNCTION("""COMPUTED_VALUE"""),"Steinhof")</f>
        <v>Steinhof</v>
      </c>
    </row>
    <row r="4662">
      <c r="A4662" t="str">
        <f>IFERROR(__xludf.DUMMYFUNCTION("""COMPUTED_VALUE"""),"R-044")</f>
        <v>R-044</v>
      </c>
      <c r="B4662" s="226" t="str">
        <f>IFERROR(__xludf.DUMMYFUNCTION("""COMPUTED_VALUE"""),"5907615819131")</f>
        <v>5907615819131</v>
      </c>
      <c r="C4662" t="str">
        <f>IFERROR(__xludf.DUMMYFUNCTION("""COMPUTED_VALUE"""),"Steinhof")</f>
        <v>Steinhof</v>
      </c>
    </row>
    <row r="4663">
      <c r="A4663" t="str">
        <f>IFERROR(__xludf.DUMMYFUNCTION("""COMPUTED_VALUE"""),"R-044")</f>
        <v>R-044</v>
      </c>
      <c r="B4663" s="226" t="str">
        <f>IFERROR(__xludf.DUMMYFUNCTION("""COMPUTED_VALUE"""),"5907615819131")</f>
        <v>5907615819131</v>
      </c>
      <c r="C4663" t="str">
        <f>IFERROR(__xludf.DUMMYFUNCTION("""COMPUTED_VALUE"""),"Steinhof")</f>
        <v>Steinhof</v>
      </c>
    </row>
    <row r="4664">
      <c r="A4664" t="str">
        <f>IFERROR(__xludf.DUMMYFUNCTION("""COMPUTED_VALUE"""),"R-045")</f>
        <v>R-045</v>
      </c>
      <c r="B4664" s="226" t="str">
        <f>IFERROR(__xludf.DUMMYFUNCTION("""COMPUTED_VALUE"""),"5907615819148")</f>
        <v>5907615819148</v>
      </c>
      <c r="C4664" t="str">
        <f>IFERROR(__xludf.DUMMYFUNCTION("""COMPUTED_VALUE"""),"Steinhof")</f>
        <v>Steinhof</v>
      </c>
    </row>
    <row r="4665">
      <c r="A4665" t="str">
        <f>IFERROR(__xludf.DUMMYFUNCTION("""COMPUTED_VALUE"""),"R-045")</f>
        <v>R-045</v>
      </c>
      <c r="B4665" s="226" t="str">
        <f>IFERROR(__xludf.DUMMYFUNCTION("""COMPUTED_VALUE"""),"5907615819148")</f>
        <v>5907615819148</v>
      </c>
      <c r="C4665" t="str">
        <f>IFERROR(__xludf.DUMMYFUNCTION("""COMPUTED_VALUE"""),"Steinhof")</f>
        <v>Steinhof</v>
      </c>
    </row>
    <row r="4666">
      <c r="A4666" t="str">
        <f>IFERROR(__xludf.DUMMYFUNCTION("""COMPUTED_VALUE"""),"R-045")</f>
        <v>R-045</v>
      </c>
      <c r="B4666" s="226" t="str">
        <f>IFERROR(__xludf.DUMMYFUNCTION("""COMPUTED_VALUE"""),"5907615819148")</f>
        <v>5907615819148</v>
      </c>
      <c r="C4666" t="str">
        <f>IFERROR(__xludf.DUMMYFUNCTION("""COMPUTED_VALUE"""),"Steinhof")</f>
        <v>Steinhof</v>
      </c>
    </row>
    <row r="4667">
      <c r="A4667" t="str">
        <f>IFERROR(__xludf.DUMMYFUNCTION("""COMPUTED_VALUE"""),"R-045")</f>
        <v>R-045</v>
      </c>
      <c r="B4667" s="226" t="str">
        <f>IFERROR(__xludf.DUMMYFUNCTION("""COMPUTED_VALUE"""),"5907615819148")</f>
        <v>5907615819148</v>
      </c>
      <c r="C4667" t="str">
        <f>IFERROR(__xludf.DUMMYFUNCTION("""COMPUTED_VALUE"""),"Steinhof")</f>
        <v>Steinhof</v>
      </c>
    </row>
    <row r="4668">
      <c r="A4668" t="str">
        <f>IFERROR(__xludf.DUMMYFUNCTION("""COMPUTED_VALUE"""),"R-046")</f>
        <v>R-046</v>
      </c>
      <c r="B4668" s="226" t="str">
        <f>IFERROR(__xludf.DUMMYFUNCTION("""COMPUTED_VALUE"""),"5907615819155")</f>
        <v>5907615819155</v>
      </c>
      <c r="C4668" t="str">
        <f>IFERROR(__xludf.DUMMYFUNCTION("""COMPUTED_VALUE"""),"Steinhof")</f>
        <v>Steinhof</v>
      </c>
    </row>
    <row r="4669">
      <c r="A4669" t="str">
        <f>IFERROR(__xludf.DUMMYFUNCTION("""COMPUTED_VALUE"""),"R-046")</f>
        <v>R-046</v>
      </c>
      <c r="B4669" s="226" t="str">
        <f>IFERROR(__xludf.DUMMYFUNCTION("""COMPUTED_VALUE"""),"5907615819155")</f>
        <v>5907615819155</v>
      </c>
      <c r="C4669" t="str">
        <f>IFERROR(__xludf.DUMMYFUNCTION("""COMPUTED_VALUE"""),"Steinhof")</f>
        <v>Steinhof</v>
      </c>
    </row>
    <row r="4670">
      <c r="A4670" t="str">
        <f>IFERROR(__xludf.DUMMYFUNCTION("""COMPUTED_VALUE"""),"R-046")</f>
        <v>R-046</v>
      </c>
      <c r="B4670" s="226" t="str">
        <f>IFERROR(__xludf.DUMMYFUNCTION("""COMPUTED_VALUE"""),"5907615819155")</f>
        <v>5907615819155</v>
      </c>
      <c r="C4670" t="str">
        <f>IFERROR(__xludf.DUMMYFUNCTION("""COMPUTED_VALUE"""),"Steinhof")</f>
        <v>Steinhof</v>
      </c>
    </row>
    <row r="4671">
      <c r="A4671" t="str">
        <f>IFERROR(__xludf.DUMMYFUNCTION("""COMPUTED_VALUE"""),"R-046")</f>
        <v>R-046</v>
      </c>
      <c r="B4671" s="226" t="str">
        <f>IFERROR(__xludf.DUMMYFUNCTION("""COMPUTED_VALUE"""),"5907615819155")</f>
        <v>5907615819155</v>
      </c>
      <c r="C4671" t="str">
        <f>IFERROR(__xludf.DUMMYFUNCTION("""COMPUTED_VALUE"""),"Steinhof")</f>
        <v>Steinhof</v>
      </c>
    </row>
    <row r="4672">
      <c r="A4672" t="str">
        <f>IFERROR(__xludf.DUMMYFUNCTION("""COMPUTED_VALUE"""),"R-047")</f>
        <v>R-047</v>
      </c>
      <c r="B4672" s="226" t="str">
        <f>IFERROR(__xludf.DUMMYFUNCTION("""COMPUTED_VALUE"""),"5907615819162")</f>
        <v>5907615819162</v>
      </c>
      <c r="C4672" t="str">
        <f>IFERROR(__xludf.DUMMYFUNCTION("""COMPUTED_VALUE"""),"Steinhof")</f>
        <v>Steinhof</v>
      </c>
    </row>
    <row r="4673">
      <c r="A4673" t="str">
        <f>IFERROR(__xludf.DUMMYFUNCTION("""COMPUTED_VALUE"""),"R-048")</f>
        <v>R-048</v>
      </c>
      <c r="B4673" s="226" t="str">
        <f>IFERROR(__xludf.DUMMYFUNCTION("""COMPUTED_VALUE"""),"5907615819179")</f>
        <v>5907615819179</v>
      </c>
      <c r="C4673" t="str">
        <f>IFERROR(__xludf.DUMMYFUNCTION("""COMPUTED_VALUE"""),"Steinhof")</f>
        <v>Steinhof</v>
      </c>
    </row>
    <row r="4674">
      <c r="A4674" t="str">
        <f>IFERROR(__xludf.DUMMYFUNCTION("""COMPUTED_VALUE"""),"R-060")</f>
        <v>R-060</v>
      </c>
      <c r="B4674" s="226" t="str">
        <f>IFERROR(__xludf.DUMMYFUNCTION("""COMPUTED_VALUE"""),"5907615819292")</f>
        <v>5907615819292</v>
      </c>
      <c r="C4674" t="str">
        <f>IFERROR(__xludf.DUMMYFUNCTION("""COMPUTED_VALUE"""),"Steinhof")</f>
        <v>Steinhof</v>
      </c>
    </row>
    <row r="4675">
      <c r="A4675" t="str">
        <f>IFERROR(__xludf.DUMMYFUNCTION("""COMPUTED_VALUE"""),"R-060")</f>
        <v>R-060</v>
      </c>
      <c r="B4675" s="226" t="str">
        <f>IFERROR(__xludf.DUMMYFUNCTION("""COMPUTED_VALUE"""),"5907615819292")</f>
        <v>5907615819292</v>
      </c>
      <c r="C4675" t="str">
        <f>IFERROR(__xludf.DUMMYFUNCTION("""COMPUTED_VALUE"""),"Steinhof")</f>
        <v>Steinhof</v>
      </c>
    </row>
    <row r="4676">
      <c r="A4676" t="str">
        <f>IFERROR(__xludf.DUMMYFUNCTION("""COMPUTED_VALUE"""),"R-060")</f>
        <v>R-060</v>
      </c>
      <c r="B4676" s="226" t="str">
        <f>IFERROR(__xludf.DUMMYFUNCTION("""COMPUTED_VALUE"""),"5907615819292")</f>
        <v>5907615819292</v>
      </c>
      <c r="C4676" t="str">
        <f>IFERROR(__xludf.DUMMYFUNCTION("""COMPUTED_VALUE"""),"Steinhof")</f>
        <v>Steinhof</v>
      </c>
    </row>
    <row r="4677">
      <c r="A4677" t="str">
        <f>IFERROR(__xludf.DUMMYFUNCTION("""COMPUTED_VALUE"""),"R-060")</f>
        <v>R-060</v>
      </c>
      <c r="B4677" s="226" t="str">
        <f>IFERROR(__xludf.DUMMYFUNCTION("""COMPUTED_VALUE"""),"5907615819292")</f>
        <v>5907615819292</v>
      </c>
      <c r="C4677" t="str">
        <f>IFERROR(__xludf.DUMMYFUNCTION("""COMPUTED_VALUE"""),"Steinhof")</f>
        <v>Steinhof</v>
      </c>
    </row>
    <row r="4678">
      <c r="A4678" t="str">
        <f>IFERROR(__xludf.DUMMYFUNCTION("""COMPUTED_VALUE"""),"R-060")</f>
        <v>R-060</v>
      </c>
      <c r="B4678" s="226" t="str">
        <f>IFERROR(__xludf.DUMMYFUNCTION("""COMPUTED_VALUE"""),"5907615819292")</f>
        <v>5907615819292</v>
      </c>
      <c r="C4678" t="str">
        <f>IFERROR(__xludf.DUMMYFUNCTION("""COMPUTED_VALUE"""),"Steinhof")</f>
        <v>Steinhof</v>
      </c>
    </row>
    <row r="4679">
      <c r="A4679" t="str">
        <f>IFERROR(__xludf.DUMMYFUNCTION("""COMPUTED_VALUE"""),"R-060")</f>
        <v>R-060</v>
      </c>
      <c r="B4679" s="226" t="str">
        <f>IFERROR(__xludf.DUMMYFUNCTION("""COMPUTED_VALUE"""),"5907615819292")</f>
        <v>5907615819292</v>
      </c>
      <c r="C4679" t="str">
        <f>IFERROR(__xludf.DUMMYFUNCTION("""COMPUTED_VALUE"""),"Steinhof")</f>
        <v>Steinhof</v>
      </c>
    </row>
    <row r="4680">
      <c r="A4680" t="str">
        <f>IFERROR(__xludf.DUMMYFUNCTION("""COMPUTED_VALUE"""),"R-060")</f>
        <v>R-060</v>
      </c>
      <c r="B4680" s="226" t="str">
        <f>IFERROR(__xludf.DUMMYFUNCTION("""COMPUTED_VALUE"""),"5907615819292")</f>
        <v>5907615819292</v>
      </c>
      <c r="C4680" t="str">
        <f>IFERROR(__xludf.DUMMYFUNCTION("""COMPUTED_VALUE"""),"Steinhof")</f>
        <v>Steinhof</v>
      </c>
    </row>
    <row r="4681">
      <c r="A4681" t="str">
        <f>IFERROR(__xludf.DUMMYFUNCTION("""COMPUTED_VALUE"""),"R-060")</f>
        <v>R-060</v>
      </c>
      <c r="B4681" s="226" t="str">
        <f>IFERROR(__xludf.DUMMYFUNCTION("""COMPUTED_VALUE"""),"5907615819292")</f>
        <v>5907615819292</v>
      </c>
      <c r="C4681" t="str">
        <f>IFERROR(__xludf.DUMMYFUNCTION("""COMPUTED_VALUE"""),"Steinhof")</f>
        <v>Steinhof</v>
      </c>
    </row>
    <row r="4682">
      <c r="A4682" t="str">
        <f>IFERROR(__xludf.DUMMYFUNCTION("""COMPUTED_VALUE"""),"R-060")</f>
        <v>R-060</v>
      </c>
      <c r="B4682" s="226" t="str">
        <f>IFERROR(__xludf.DUMMYFUNCTION("""COMPUTED_VALUE"""),"5907615819292")</f>
        <v>5907615819292</v>
      </c>
      <c r="C4682" t="str">
        <f>IFERROR(__xludf.DUMMYFUNCTION("""COMPUTED_VALUE"""),"Steinhof")</f>
        <v>Steinhof</v>
      </c>
    </row>
    <row r="4683">
      <c r="A4683" t="str">
        <f>IFERROR(__xludf.DUMMYFUNCTION("""COMPUTED_VALUE"""),"R-060")</f>
        <v>R-060</v>
      </c>
      <c r="B4683" s="226" t="str">
        <f>IFERROR(__xludf.DUMMYFUNCTION("""COMPUTED_VALUE"""),"5907615819292")</f>
        <v>5907615819292</v>
      </c>
      <c r="C4683" t="str">
        <f>IFERROR(__xludf.DUMMYFUNCTION("""COMPUTED_VALUE"""),"Steinhof")</f>
        <v>Steinhof</v>
      </c>
    </row>
    <row r="4684">
      <c r="A4684" t="str">
        <f>IFERROR(__xludf.DUMMYFUNCTION("""COMPUTED_VALUE"""),"R-061")</f>
        <v>R-061</v>
      </c>
      <c r="B4684" s="226" t="str">
        <f>IFERROR(__xludf.DUMMYFUNCTION("""COMPUTED_VALUE"""),"5907615819308")</f>
        <v>5907615819308</v>
      </c>
      <c r="C4684" t="str">
        <f>IFERROR(__xludf.DUMMYFUNCTION("""COMPUTED_VALUE"""),"Steinhof")</f>
        <v>Steinhof</v>
      </c>
    </row>
    <row r="4685">
      <c r="A4685" t="str">
        <f>IFERROR(__xludf.DUMMYFUNCTION("""COMPUTED_VALUE"""),"R-061")</f>
        <v>R-061</v>
      </c>
      <c r="B4685" s="226" t="str">
        <f>IFERROR(__xludf.DUMMYFUNCTION("""COMPUTED_VALUE"""),"5907615819308")</f>
        <v>5907615819308</v>
      </c>
      <c r="C4685" t="str">
        <f>IFERROR(__xludf.DUMMYFUNCTION("""COMPUTED_VALUE"""),"Steinhof")</f>
        <v>Steinhof</v>
      </c>
    </row>
    <row r="4686">
      <c r="A4686" t="str">
        <f>IFERROR(__xludf.DUMMYFUNCTION("""COMPUTED_VALUE"""),"R-061")</f>
        <v>R-061</v>
      </c>
      <c r="B4686" s="226" t="str">
        <f>IFERROR(__xludf.DUMMYFUNCTION("""COMPUTED_VALUE"""),"5907615819308")</f>
        <v>5907615819308</v>
      </c>
      <c r="C4686" t="str">
        <f>IFERROR(__xludf.DUMMYFUNCTION("""COMPUTED_VALUE"""),"Steinhof")</f>
        <v>Steinhof</v>
      </c>
    </row>
    <row r="4687">
      <c r="A4687" t="str">
        <f>IFERROR(__xludf.DUMMYFUNCTION("""COMPUTED_VALUE"""),"R-061")</f>
        <v>R-061</v>
      </c>
      <c r="B4687" s="226" t="str">
        <f>IFERROR(__xludf.DUMMYFUNCTION("""COMPUTED_VALUE"""),"5907615819308")</f>
        <v>5907615819308</v>
      </c>
      <c r="C4687" t="str">
        <f>IFERROR(__xludf.DUMMYFUNCTION("""COMPUTED_VALUE"""),"Steinhof")</f>
        <v>Steinhof</v>
      </c>
    </row>
    <row r="4688">
      <c r="A4688" t="str">
        <f>IFERROR(__xludf.DUMMYFUNCTION("""COMPUTED_VALUE"""),"R-061")</f>
        <v>R-061</v>
      </c>
      <c r="B4688" s="226" t="str">
        <f>IFERROR(__xludf.DUMMYFUNCTION("""COMPUTED_VALUE"""),"5907615819308")</f>
        <v>5907615819308</v>
      </c>
      <c r="C4688" t="str">
        <f>IFERROR(__xludf.DUMMYFUNCTION("""COMPUTED_VALUE"""),"Steinhof")</f>
        <v>Steinhof</v>
      </c>
    </row>
    <row r="4689">
      <c r="A4689" t="str">
        <f>IFERROR(__xludf.DUMMYFUNCTION("""COMPUTED_VALUE"""),"R-061")</f>
        <v>R-061</v>
      </c>
      <c r="B4689" s="226" t="str">
        <f>IFERROR(__xludf.DUMMYFUNCTION("""COMPUTED_VALUE"""),"5907615819308")</f>
        <v>5907615819308</v>
      </c>
      <c r="C4689" t="str">
        <f>IFERROR(__xludf.DUMMYFUNCTION("""COMPUTED_VALUE"""),"Steinhof")</f>
        <v>Steinhof</v>
      </c>
    </row>
    <row r="4690">
      <c r="A4690" t="str">
        <f>IFERROR(__xludf.DUMMYFUNCTION("""COMPUTED_VALUE"""),"R-061")</f>
        <v>R-061</v>
      </c>
      <c r="B4690" s="226" t="str">
        <f>IFERROR(__xludf.DUMMYFUNCTION("""COMPUTED_VALUE"""),"5907615819308")</f>
        <v>5907615819308</v>
      </c>
      <c r="C4690" t="str">
        <f>IFERROR(__xludf.DUMMYFUNCTION("""COMPUTED_VALUE"""),"Steinhof")</f>
        <v>Steinhof</v>
      </c>
    </row>
    <row r="4691">
      <c r="A4691" t="str">
        <f>IFERROR(__xludf.DUMMYFUNCTION("""COMPUTED_VALUE"""),"R-061")</f>
        <v>R-061</v>
      </c>
      <c r="B4691" s="226" t="str">
        <f>IFERROR(__xludf.DUMMYFUNCTION("""COMPUTED_VALUE"""),"5907615819308")</f>
        <v>5907615819308</v>
      </c>
      <c r="C4691" t="str">
        <f>IFERROR(__xludf.DUMMYFUNCTION("""COMPUTED_VALUE"""),"Steinhof")</f>
        <v>Steinhof</v>
      </c>
    </row>
    <row r="4692">
      <c r="A4692" t="str">
        <f>IFERROR(__xludf.DUMMYFUNCTION("""COMPUTED_VALUE"""),"R-061")</f>
        <v>R-061</v>
      </c>
      <c r="B4692" s="226" t="str">
        <f>IFERROR(__xludf.DUMMYFUNCTION("""COMPUTED_VALUE"""),"5907615819308")</f>
        <v>5907615819308</v>
      </c>
      <c r="C4692" t="str">
        <f>IFERROR(__xludf.DUMMYFUNCTION("""COMPUTED_VALUE"""),"Steinhof")</f>
        <v>Steinhof</v>
      </c>
    </row>
    <row r="4693">
      <c r="A4693" t="str">
        <f>IFERROR(__xludf.DUMMYFUNCTION("""COMPUTED_VALUE"""),"R-061")</f>
        <v>R-061</v>
      </c>
      <c r="B4693" s="226" t="str">
        <f>IFERROR(__xludf.DUMMYFUNCTION("""COMPUTED_VALUE"""),"5907615819308")</f>
        <v>5907615819308</v>
      </c>
      <c r="C4693" t="str">
        <f>IFERROR(__xludf.DUMMYFUNCTION("""COMPUTED_VALUE"""),"Steinhof")</f>
        <v>Steinhof</v>
      </c>
    </row>
    <row r="4694">
      <c r="A4694" t="str">
        <f>IFERROR(__xludf.DUMMYFUNCTION("""COMPUTED_VALUE"""),"R-062")</f>
        <v>R-062</v>
      </c>
      <c r="B4694" s="226" t="str">
        <f>IFERROR(__xludf.DUMMYFUNCTION("""COMPUTED_VALUE"""),"5907615819315")</f>
        <v>5907615819315</v>
      </c>
      <c r="C4694" t="str">
        <f>IFERROR(__xludf.DUMMYFUNCTION("""COMPUTED_VALUE"""),"Steinhof")</f>
        <v>Steinhof</v>
      </c>
    </row>
    <row r="4695">
      <c r="A4695" t="str">
        <f>IFERROR(__xludf.DUMMYFUNCTION("""COMPUTED_VALUE"""),"R-062")</f>
        <v>R-062</v>
      </c>
      <c r="B4695" s="226" t="str">
        <f>IFERROR(__xludf.DUMMYFUNCTION("""COMPUTED_VALUE"""),"5907615819315")</f>
        <v>5907615819315</v>
      </c>
      <c r="C4695" t="str">
        <f>IFERROR(__xludf.DUMMYFUNCTION("""COMPUTED_VALUE"""),"Steinhof")</f>
        <v>Steinhof</v>
      </c>
    </row>
    <row r="4696">
      <c r="A4696" t="str">
        <f>IFERROR(__xludf.DUMMYFUNCTION("""COMPUTED_VALUE"""),"R-062")</f>
        <v>R-062</v>
      </c>
      <c r="B4696" s="226" t="str">
        <f>IFERROR(__xludf.DUMMYFUNCTION("""COMPUTED_VALUE"""),"5907615819315")</f>
        <v>5907615819315</v>
      </c>
      <c r="C4696" t="str">
        <f>IFERROR(__xludf.DUMMYFUNCTION("""COMPUTED_VALUE"""),"Steinhof")</f>
        <v>Steinhof</v>
      </c>
    </row>
    <row r="4697">
      <c r="A4697" t="str">
        <f>IFERROR(__xludf.DUMMYFUNCTION("""COMPUTED_VALUE"""),"R-062")</f>
        <v>R-062</v>
      </c>
      <c r="B4697" s="226" t="str">
        <f>IFERROR(__xludf.DUMMYFUNCTION("""COMPUTED_VALUE"""),"5907615819315")</f>
        <v>5907615819315</v>
      </c>
      <c r="C4697" t="str">
        <f>IFERROR(__xludf.DUMMYFUNCTION("""COMPUTED_VALUE"""),"Steinhof")</f>
        <v>Steinhof</v>
      </c>
    </row>
    <row r="4698">
      <c r="A4698" t="str">
        <f>IFERROR(__xludf.DUMMYFUNCTION("""COMPUTED_VALUE"""),"R-064")</f>
        <v>R-064</v>
      </c>
      <c r="B4698" s="226" t="str">
        <f>IFERROR(__xludf.DUMMYFUNCTION("""COMPUTED_VALUE"""),"5907615819339")</f>
        <v>5907615819339</v>
      </c>
      <c r="C4698" t="str">
        <f>IFERROR(__xludf.DUMMYFUNCTION("""COMPUTED_VALUE"""),"Steinhof")</f>
        <v>Steinhof</v>
      </c>
    </row>
    <row r="4699">
      <c r="A4699" t="str">
        <f>IFERROR(__xludf.DUMMYFUNCTION("""COMPUTED_VALUE"""),"R-064")</f>
        <v>R-064</v>
      </c>
      <c r="B4699" s="226" t="str">
        <f>IFERROR(__xludf.DUMMYFUNCTION("""COMPUTED_VALUE"""),"5907615819339")</f>
        <v>5907615819339</v>
      </c>
      <c r="C4699" t="str">
        <f>IFERROR(__xludf.DUMMYFUNCTION("""COMPUTED_VALUE"""),"Steinhof")</f>
        <v>Steinhof</v>
      </c>
    </row>
    <row r="4700">
      <c r="A4700" t="str">
        <f>IFERROR(__xludf.DUMMYFUNCTION("""COMPUTED_VALUE"""),"R-064")</f>
        <v>R-064</v>
      </c>
      <c r="B4700" s="226" t="str">
        <f>IFERROR(__xludf.DUMMYFUNCTION("""COMPUTED_VALUE"""),"5907615819339")</f>
        <v>5907615819339</v>
      </c>
      <c r="C4700" t="str">
        <f>IFERROR(__xludf.DUMMYFUNCTION("""COMPUTED_VALUE"""),"Steinhof")</f>
        <v>Steinhof</v>
      </c>
    </row>
    <row r="4701">
      <c r="A4701" t="str">
        <f>IFERROR(__xludf.DUMMYFUNCTION("""COMPUTED_VALUE"""),"R-064")</f>
        <v>R-064</v>
      </c>
      <c r="B4701" s="226" t="str">
        <f>IFERROR(__xludf.DUMMYFUNCTION("""COMPUTED_VALUE"""),"5907615819339")</f>
        <v>5907615819339</v>
      </c>
      <c r="C4701" t="str">
        <f>IFERROR(__xludf.DUMMYFUNCTION("""COMPUTED_VALUE"""),"Steinhof")</f>
        <v>Steinhof</v>
      </c>
    </row>
    <row r="4702">
      <c r="A4702" t="str">
        <f>IFERROR(__xludf.DUMMYFUNCTION("""COMPUTED_VALUE"""),"R-065")</f>
        <v>R-065</v>
      </c>
      <c r="B4702" s="226" t="str">
        <f>IFERROR(__xludf.DUMMYFUNCTION("""COMPUTED_VALUE"""),"5907615819346")</f>
        <v>5907615819346</v>
      </c>
      <c r="C4702" t="str">
        <f>IFERROR(__xludf.DUMMYFUNCTION("""COMPUTED_VALUE"""),"Steinhof")</f>
        <v>Steinhof</v>
      </c>
    </row>
    <row r="4703">
      <c r="A4703" t="str">
        <f>IFERROR(__xludf.DUMMYFUNCTION("""COMPUTED_VALUE"""),"R-065")</f>
        <v>R-065</v>
      </c>
      <c r="B4703" s="226" t="str">
        <f>IFERROR(__xludf.DUMMYFUNCTION("""COMPUTED_VALUE"""),"5907615819346")</f>
        <v>5907615819346</v>
      </c>
      <c r="C4703" t="str">
        <f>IFERROR(__xludf.DUMMYFUNCTION("""COMPUTED_VALUE"""),"Steinhof")</f>
        <v>Steinhof</v>
      </c>
    </row>
    <row r="4704">
      <c r="A4704" t="str">
        <f>IFERROR(__xludf.DUMMYFUNCTION("""COMPUTED_VALUE"""),"R-065")</f>
        <v>R-065</v>
      </c>
      <c r="B4704" s="226" t="str">
        <f>IFERROR(__xludf.DUMMYFUNCTION("""COMPUTED_VALUE"""),"5907615819346")</f>
        <v>5907615819346</v>
      </c>
      <c r="C4704" t="str">
        <f>IFERROR(__xludf.DUMMYFUNCTION("""COMPUTED_VALUE"""),"Steinhof")</f>
        <v>Steinhof</v>
      </c>
    </row>
    <row r="4705">
      <c r="A4705" t="str">
        <f>IFERROR(__xludf.DUMMYFUNCTION("""COMPUTED_VALUE"""),"R-065")</f>
        <v>R-065</v>
      </c>
      <c r="B4705" s="226" t="str">
        <f>IFERROR(__xludf.DUMMYFUNCTION("""COMPUTED_VALUE"""),"5907615819346")</f>
        <v>5907615819346</v>
      </c>
      <c r="C4705" t="str">
        <f>IFERROR(__xludf.DUMMYFUNCTION("""COMPUTED_VALUE"""),"Steinhof")</f>
        <v>Steinhof</v>
      </c>
    </row>
    <row r="4706">
      <c r="A4706" t="str">
        <f>IFERROR(__xludf.DUMMYFUNCTION("""COMPUTED_VALUE"""),"R-065")</f>
        <v>R-065</v>
      </c>
      <c r="B4706" s="226" t="str">
        <f>IFERROR(__xludf.DUMMYFUNCTION("""COMPUTED_VALUE"""),"5907615819346")</f>
        <v>5907615819346</v>
      </c>
      <c r="C4706" t="str">
        <f>IFERROR(__xludf.DUMMYFUNCTION("""COMPUTED_VALUE"""),"Steinhof")</f>
        <v>Steinhof</v>
      </c>
    </row>
    <row r="4707">
      <c r="A4707" t="str">
        <f>IFERROR(__xludf.DUMMYFUNCTION("""COMPUTED_VALUE"""),"R-065")</f>
        <v>R-065</v>
      </c>
      <c r="B4707" s="226" t="str">
        <f>IFERROR(__xludf.DUMMYFUNCTION("""COMPUTED_VALUE"""),"5907615819346")</f>
        <v>5907615819346</v>
      </c>
      <c r="C4707" t="str">
        <f>IFERROR(__xludf.DUMMYFUNCTION("""COMPUTED_VALUE"""),"Steinhof")</f>
        <v>Steinhof</v>
      </c>
    </row>
    <row r="4708">
      <c r="A4708" t="str">
        <f>IFERROR(__xludf.DUMMYFUNCTION("""COMPUTED_VALUE"""),"R-066")</f>
        <v>R-066</v>
      </c>
      <c r="B4708" s="226" t="str">
        <f>IFERROR(__xludf.DUMMYFUNCTION("""COMPUTED_VALUE"""),"5907615819353")</f>
        <v>5907615819353</v>
      </c>
      <c r="C4708" t="str">
        <f>IFERROR(__xludf.DUMMYFUNCTION("""COMPUTED_VALUE"""),"Steinhof")</f>
        <v>Steinhof</v>
      </c>
    </row>
    <row r="4709">
      <c r="A4709" t="str">
        <f>IFERROR(__xludf.DUMMYFUNCTION("""COMPUTED_VALUE"""),"R-066")</f>
        <v>R-066</v>
      </c>
      <c r="B4709" s="226" t="str">
        <f>IFERROR(__xludf.DUMMYFUNCTION("""COMPUTED_VALUE"""),"5907615819353")</f>
        <v>5907615819353</v>
      </c>
      <c r="C4709" t="str">
        <f>IFERROR(__xludf.DUMMYFUNCTION("""COMPUTED_VALUE"""),"Steinhof")</f>
        <v>Steinhof</v>
      </c>
    </row>
    <row r="4710">
      <c r="A4710" t="str">
        <f>IFERROR(__xludf.DUMMYFUNCTION("""COMPUTED_VALUE"""),"R-066")</f>
        <v>R-066</v>
      </c>
      <c r="B4710" s="226" t="str">
        <f>IFERROR(__xludf.DUMMYFUNCTION("""COMPUTED_VALUE"""),"5907615819353")</f>
        <v>5907615819353</v>
      </c>
      <c r="C4710" t="str">
        <f>IFERROR(__xludf.DUMMYFUNCTION("""COMPUTED_VALUE"""),"Steinhof")</f>
        <v>Steinhof</v>
      </c>
    </row>
    <row r="4711">
      <c r="A4711" t="str">
        <f>IFERROR(__xludf.DUMMYFUNCTION("""COMPUTED_VALUE"""),"R-066")</f>
        <v>R-066</v>
      </c>
      <c r="B4711" s="226" t="str">
        <f>IFERROR(__xludf.DUMMYFUNCTION("""COMPUTED_VALUE"""),"5907615819353")</f>
        <v>5907615819353</v>
      </c>
      <c r="C4711" t="str">
        <f>IFERROR(__xludf.DUMMYFUNCTION("""COMPUTED_VALUE"""),"Steinhof")</f>
        <v>Steinhof</v>
      </c>
    </row>
    <row r="4712">
      <c r="A4712" t="str">
        <f>IFERROR(__xludf.DUMMYFUNCTION("""COMPUTED_VALUE"""),"R-067")</f>
        <v>R-067</v>
      </c>
      <c r="B4712" s="226" t="str">
        <f>IFERROR(__xludf.DUMMYFUNCTION("""COMPUTED_VALUE"""),"5907615819360")</f>
        <v>5907615819360</v>
      </c>
      <c r="C4712" t="str">
        <f>IFERROR(__xludf.DUMMYFUNCTION("""COMPUTED_VALUE"""),"Steinhof")</f>
        <v>Steinhof</v>
      </c>
    </row>
    <row r="4713">
      <c r="A4713" t="str">
        <f>IFERROR(__xludf.DUMMYFUNCTION("""COMPUTED_VALUE"""),"R-067")</f>
        <v>R-067</v>
      </c>
      <c r="B4713" s="226" t="str">
        <f>IFERROR(__xludf.DUMMYFUNCTION("""COMPUTED_VALUE"""),"5907615819360")</f>
        <v>5907615819360</v>
      </c>
      <c r="C4713" t="str">
        <f>IFERROR(__xludf.DUMMYFUNCTION("""COMPUTED_VALUE"""),"Steinhof")</f>
        <v>Steinhof</v>
      </c>
    </row>
    <row r="4714">
      <c r="A4714" t="str">
        <f>IFERROR(__xludf.DUMMYFUNCTION("""COMPUTED_VALUE"""),"R-067")</f>
        <v>R-067</v>
      </c>
      <c r="B4714" s="226" t="str">
        <f>IFERROR(__xludf.DUMMYFUNCTION("""COMPUTED_VALUE"""),"5907615819360")</f>
        <v>5907615819360</v>
      </c>
      <c r="C4714" t="str">
        <f>IFERROR(__xludf.DUMMYFUNCTION("""COMPUTED_VALUE"""),"Steinhof")</f>
        <v>Steinhof</v>
      </c>
    </row>
    <row r="4715">
      <c r="A4715" t="str">
        <f>IFERROR(__xludf.DUMMYFUNCTION("""COMPUTED_VALUE"""),"R-067")</f>
        <v>R-067</v>
      </c>
      <c r="B4715" s="226" t="str">
        <f>IFERROR(__xludf.DUMMYFUNCTION("""COMPUTED_VALUE"""),"5907615819360")</f>
        <v>5907615819360</v>
      </c>
      <c r="C4715" t="str">
        <f>IFERROR(__xludf.DUMMYFUNCTION("""COMPUTED_VALUE"""),"Steinhof")</f>
        <v>Steinhof</v>
      </c>
    </row>
    <row r="4716">
      <c r="A4716" t="str">
        <f>IFERROR(__xludf.DUMMYFUNCTION("""COMPUTED_VALUE"""),"R-068")</f>
        <v>R-068</v>
      </c>
      <c r="B4716" s="226" t="str">
        <f>IFERROR(__xludf.DUMMYFUNCTION("""COMPUTED_VALUE"""),"5907615819377")</f>
        <v>5907615819377</v>
      </c>
      <c r="C4716" t="str">
        <f>IFERROR(__xludf.DUMMYFUNCTION("""COMPUTED_VALUE"""),"Steinhof")</f>
        <v>Steinhof</v>
      </c>
    </row>
    <row r="4717">
      <c r="A4717" t="str">
        <f>IFERROR(__xludf.DUMMYFUNCTION("""COMPUTED_VALUE"""),"R-068")</f>
        <v>R-068</v>
      </c>
      <c r="B4717" s="226" t="str">
        <f>IFERROR(__xludf.DUMMYFUNCTION("""COMPUTED_VALUE"""),"5907615819377")</f>
        <v>5907615819377</v>
      </c>
      <c r="C4717" t="str">
        <f>IFERROR(__xludf.DUMMYFUNCTION("""COMPUTED_VALUE"""),"Steinhof")</f>
        <v>Steinhof</v>
      </c>
    </row>
    <row r="4718">
      <c r="A4718" t="str">
        <f>IFERROR(__xludf.DUMMYFUNCTION("""COMPUTED_VALUE"""),"R-068")</f>
        <v>R-068</v>
      </c>
      <c r="B4718" s="226" t="str">
        <f>IFERROR(__xludf.DUMMYFUNCTION("""COMPUTED_VALUE"""),"5907615819377")</f>
        <v>5907615819377</v>
      </c>
      <c r="C4718" t="str">
        <f>IFERROR(__xludf.DUMMYFUNCTION("""COMPUTED_VALUE"""),"Steinhof")</f>
        <v>Steinhof</v>
      </c>
    </row>
    <row r="4719">
      <c r="A4719" t="str">
        <f>IFERROR(__xludf.DUMMYFUNCTION("""COMPUTED_VALUE"""),"R-069")</f>
        <v>R-069</v>
      </c>
      <c r="B4719" s="226" t="str">
        <f>IFERROR(__xludf.DUMMYFUNCTION("""COMPUTED_VALUE"""),"5907615819384")</f>
        <v>5907615819384</v>
      </c>
      <c r="C4719" t="str">
        <f>IFERROR(__xludf.DUMMYFUNCTION("""COMPUTED_VALUE"""),"Steinhof")</f>
        <v>Steinhof</v>
      </c>
    </row>
    <row r="4720">
      <c r="A4720" t="str">
        <f>IFERROR(__xludf.DUMMYFUNCTION("""COMPUTED_VALUE"""),"R-069")</f>
        <v>R-069</v>
      </c>
      <c r="B4720" s="226" t="str">
        <f>IFERROR(__xludf.DUMMYFUNCTION("""COMPUTED_VALUE"""),"5907615819384")</f>
        <v>5907615819384</v>
      </c>
      <c r="C4720" t="str">
        <f>IFERROR(__xludf.DUMMYFUNCTION("""COMPUTED_VALUE"""),"Steinhof")</f>
        <v>Steinhof</v>
      </c>
    </row>
    <row r="4721">
      <c r="A4721" t="str">
        <f>IFERROR(__xludf.DUMMYFUNCTION("""COMPUTED_VALUE"""),"R-069")</f>
        <v>R-069</v>
      </c>
      <c r="B4721" s="226" t="str">
        <f>IFERROR(__xludf.DUMMYFUNCTION("""COMPUTED_VALUE"""),"5907615819384")</f>
        <v>5907615819384</v>
      </c>
      <c r="C4721" t="str">
        <f>IFERROR(__xludf.DUMMYFUNCTION("""COMPUTED_VALUE"""),"Steinhof")</f>
        <v>Steinhof</v>
      </c>
    </row>
    <row r="4722">
      <c r="A4722" t="str">
        <f>IFERROR(__xludf.DUMMYFUNCTION("""COMPUTED_VALUE"""),"R-070")</f>
        <v>R-070</v>
      </c>
      <c r="B4722" s="226" t="str">
        <f>IFERROR(__xludf.DUMMYFUNCTION("""COMPUTED_VALUE"""),"5907615819391")</f>
        <v>5907615819391</v>
      </c>
      <c r="C4722" t="str">
        <f>IFERROR(__xludf.DUMMYFUNCTION("""COMPUTED_VALUE"""),"Steinhof")</f>
        <v>Steinhof</v>
      </c>
    </row>
    <row r="4723">
      <c r="A4723" t="str">
        <f>IFERROR(__xludf.DUMMYFUNCTION("""COMPUTED_VALUE"""),"R-070")</f>
        <v>R-070</v>
      </c>
      <c r="B4723" s="226" t="str">
        <f>IFERROR(__xludf.DUMMYFUNCTION("""COMPUTED_VALUE"""),"5907615819391")</f>
        <v>5907615819391</v>
      </c>
      <c r="C4723" t="str">
        <f>IFERROR(__xludf.DUMMYFUNCTION("""COMPUTED_VALUE"""),"Steinhof")</f>
        <v>Steinhof</v>
      </c>
    </row>
    <row r="4724">
      <c r="A4724" t="str">
        <f>IFERROR(__xludf.DUMMYFUNCTION("""COMPUTED_VALUE"""),"R-072")</f>
        <v>R-072</v>
      </c>
      <c r="B4724" s="226" t="str">
        <f>IFERROR(__xludf.DUMMYFUNCTION("""COMPUTED_VALUE"""),"5907615819414")</f>
        <v>5907615819414</v>
      </c>
      <c r="C4724" t="str">
        <f>IFERROR(__xludf.DUMMYFUNCTION("""COMPUTED_VALUE"""),"Steinhof")</f>
        <v>Steinhof</v>
      </c>
    </row>
    <row r="4725">
      <c r="A4725" t="str">
        <f>IFERROR(__xludf.DUMMYFUNCTION("""COMPUTED_VALUE"""),"R-072")</f>
        <v>R-072</v>
      </c>
      <c r="B4725" s="226" t="str">
        <f>IFERROR(__xludf.DUMMYFUNCTION("""COMPUTED_VALUE"""),"5907615819414")</f>
        <v>5907615819414</v>
      </c>
      <c r="C4725" t="str">
        <f>IFERROR(__xludf.DUMMYFUNCTION("""COMPUTED_VALUE"""),"Steinhof")</f>
        <v>Steinhof</v>
      </c>
    </row>
    <row r="4726">
      <c r="A4726" t="str">
        <f>IFERROR(__xludf.DUMMYFUNCTION("""COMPUTED_VALUE"""),"R-073")</f>
        <v>R-073</v>
      </c>
      <c r="B4726" s="226" t="str">
        <f>IFERROR(__xludf.DUMMYFUNCTION("""COMPUTED_VALUE"""),"5907615819421")</f>
        <v>5907615819421</v>
      </c>
      <c r="C4726" t="str">
        <f>IFERROR(__xludf.DUMMYFUNCTION("""COMPUTED_VALUE"""),"Steinhof")</f>
        <v>Steinhof</v>
      </c>
    </row>
    <row r="4727">
      <c r="A4727" t="str">
        <f>IFERROR(__xludf.DUMMYFUNCTION("""COMPUTED_VALUE"""),"R-073")</f>
        <v>R-073</v>
      </c>
      <c r="B4727" s="226" t="str">
        <f>IFERROR(__xludf.DUMMYFUNCTION("""COMPUTED_VALUE"""),"5907615819421")</f>
        <v>5907615819421</v>
      </c>
      <c r="C4727" t="str">
        <f>IFERROR(__xludf.DUMMYFUNCTION("""COMPUTED_VALUE"""),"Steinhof")</f>
        <v>Steinhof</v>
      </c>
    </row>
    <row r="4728">
      <c r="A4728" t="str">
        <f>IFERROR(__xludf.DUMMYFUNCTION("""COMPUTED_VALUE"""),"R-073")</f>
        <v>R-073</v>
      </c>
      <c r="B4728" s="226" t="str">
        <f>IFERROR(__xludf.DUMMYFUNCTION("""COMPUTED_VALUE"""),"5907615819421")</f>
        <v>5907615819421</v>
      </c>
      <c r="C4728" t="str">
        <f>IFERROR(__xludf.DUMMYFUNCTION("""COMPUTED_VALUE"""),"Steinhof")</f>
        <v>Steinhof</v>
      </c>
    </row>
    <row r="4729">
      <c r="A4729" t="str">
        <f>IFERROR(__xludf.DUMMYFUNCTION("""COMPUTED_VALUE"""),"R-073")</f>
        <v>R-073</v>
      </c>
      <c r="B4729" s="226" t="str">
        <f>IFERROR(__xludf.DUMMYFUNCTION("""COMPUTED_VALUE"""),"5907615819421")</f>
        <v>5907615819421</v>
      </c>
      <c r="C4729" t="str">
        <f>IFERROR(__xludf.DUMMYFUNCTION("""COMPUTED_VALUE"""),"Steinhof")</f>
        <v>Steinhof</v>
      </c>
    </row>
    <row r="4730">
      <c r="A4730" t="str">
        <f>IFERROR(__xludf.DUMMYFUNCTION("""COMPUTED_VALUE"""),"R-073")</f>
        <v>R-073</v>
      </c>
      <c r="B4730" s="226" t="str">
        <f>IFERROR(__xludf.DUMMYFUNCTION("""COMPUTED_VALUE"""),"5907615819421")</f>
        <v>5907615819421</v>
      </c>
      <c r="C4730" t="str">
        <f>IFERROR(__xludf.DUMMYFUNCTION("""COMPUTED_VALUE"""),"Steinhof")</f>
        <v>Steinhof</v>
      </c>
    </row>
    <row r="4731">
      <c r="A4731" t="str">
        <f>IFERROR(__xludf.DUMMYFUNCTION("""COMPUTED_VALUE"""),"R-073")</f>
        <v>R-073</v>
      </c>
      <c r="B4731" s="226" t="str">
        <f>IFERROR(__xludf.DUMMYFUNCTION("""COMPUTED_VALUE"""),"5907615819421")</f>
        <v>5907615819421</v>
      </c>
      <c r="C4731" t="str">
        <f>IFERROR(__xludf.DUMMYFUNCTION("""COMPUTED_VALUE"""),"Steinhof")</f>
        <v>Steinhof</v>
      </c>
    </row>
    <row r="4732">
      <c r="A4732" t="str">
        <f>IFERROR(__xludf.DUMMYFUNCTION("""COMPUTED_VALUE"""),"R-074")</f>
        <v>R-074</v>
      </c>
      <c r="B4732" s="226" t="str">
        <f>IFERROR(__xludf.DUMMYFUNCTION("""COMPUTED_VALUE"""),"5907615819438")</f>
        <v>5907615819438</v>
      </c>
      <c r="C4732" t="str">
        <f>IFERROR(__xludf.DUMMYFUNCTION("""COMPUTED_VALUE"""),"Steinhof")</f>
        <v>Steinhof</v>
      </c>
    </row>
    <row r="4733">
      <c r="A4733" t="str">
        <f>IFERROR(__xludf.DUMMYFUNCTION("""COMPUTED_VALUE"""),"R-074")</f>
        <v>R-074</v>
      </c>
      <c r="B4733" s="226" t="str">
        <f>IFERROR(__xludf.DUMMYFUNCTION("""COMPUTED_VALUE"""),"5907615819438")</f>
        <v>5907615819438</v>
      </c>
      <c r="C4733" t="str">
        <f>IFERROR(__xludf.DUMMYFUNCTION("""COMPUTED_VALUE"""),"Steinhof")</f>
        <v>Steinhof</v>
      </c>
    </row>
    <row r="4734">
      <c r="A4734" t="str">
        <f>IFERROR(__xludf.DUMMYFUNCTION("""COMPUTED_VALUE"""),"R-074")</f>
        <v>R-074</v>
      </c>
      <c r="B4734" s="226" t="str">
        <f>IFERROR(__xludf.DUMMYFUNCTION("""COMPUTED_VALUE"""),"5907615819438")</f>
        <v>5907615819438</v>
      </c>
      <c r="C4734" t="str">
        <f>IFERROR(__xludf.DUMMYFUNCTION("""COMPUTED_VALUE"""),"Steinhof")</f>
        <v>Steinhof</v>
      </c>
    </row>
    <row r="4735">
      <c r="A4735" t="str">
        <f>IFERROR(__xludf.DUMMYFUNCTION("""COMPUTED_VALUE"""),"R-074")</f>
        <v>R-074</v>
      </c>
      <c r="B4735" s="226" t="str">
        <f>IFERROR(__xludf.DUMMYFUNCTION("""COMPUTED_VALUE"""),"5907615819438")</f>
        <v>5907615819438</v>
      </c>
      <c r="C4735" t="str">
        <f>IFERROR(__xludf.DUMMYFUNCTION("""COMPUTED_VALUE"""),"Steinhof")</f>
        <v>Steinhof</v>
      </c>
    </row>
    <row r="4736">
      <c r="A4736" t="str">
        <f>IFERROR(__xludf.DUMMYFUNCTION("""COMPUTED_VALUE"""),"R-074")</f>
        <v>R-074</v>
      </c>
      <c r="B4736" s="226" t="str">
        <f>IFERROR(__xludf.DUMMYFUNCTION("""COMPUTED_VALUE"""),"5907615819438")</f>
        <v>5907615819438</v>
      </c>
      <c r="C4736" t="str">
        <f>IFERROR(__xludf.DUMMYFUNCTION("""COMPUTED_VALUE"""),"Steinhof")</f>
        <v>Steinhof</v>
      </c>
    </row>
    <row r="4737">
      <c r="A4737" t="str">
        <f>IFERROR(__xludf.DUMMYFUNCTION("""COMPUTED_VALUE"""),"R-074")</f>
        <v>R-074</v>
      </c>
      <c r="B4737" s="226" t="str">
        <f>IFERROR(__xludf.DUMMYFUNCTION("""COMPUTED_VALUE"""),"5907615819438")</f>
        <v>5907615819438</v>
      </c>
      <c r="C4737" t="str">
        <f>IFERROR(__xludf.DUMMYFUNCTION("""COMPUTED_VALUE"""),"Steinhof")</f>
        <v>Steinhof</v>
      </c>
    </row>
    <row r="4738">
      <c r="A4738" t="str">
        <f>IFERROR(__xludf.DUMMYFUNCTION("""COMPUTED_VALUE"""),"R-075")</f>
        <v>R-075</v>
      </c>
      <c r="B4738" s="226" t="str">
        <f>IFERROR(__xludf.DUMMYFUNCTION("""COMPUTED_VALUE"""),"5907615819445")</f>
        <v>5907615819445</v>
      </c>
      <c r="C4738" t="str">
        <f>IFERROR(__xludf.DUMMYFUNCTION("""COMPUTED_VALUE"""),"Steinhof")</f>
        <v>Steinhof</v>
      </c>
    </row>
    <row r="4739">
      <c r="A4739" t="str">
        <f>IFERROR(__xludf.DUMMYFUNCTION("""COMPUTED_VALUE"""),"R-075")</f>
        <v>R-075</v>
      </c>
      <c r="B4739" s="226" t="str">
        <f>IFERROR(__xludf.DUMMYFUNCTION("""COMPUTED_VALUE"""),"5907615819445")</f>
        <v>5907615819445</v>
      </c>
      <c r="C4739" t="str">
        <f>IFERROR(__xludf.DUMMYFUNCTION("""COMPUTED_VALUE"""),"Steinhof")</f>
        <v>Steinhof</v>
      </c>
    </row>
    <row r="4740">
      <c r="A4740" t="str">
        <f>IFERROR(__xludf.DUMMYFUNCTION("""COMPUTED_VALUE"""),"R-077")</f>
        <v>R-077</v>
      </c>
      <c r="B4740" s="226" t="str">
        <f>IFERROR(__xludf.DUMMYFUNCTION("""COMPUTED_VALUE"""),"5907615819469")</f>
        <v>5907615819469</v>
      </c>
      <c r="C4740" t="str">
        <f>IFERROR(__xludf.DUMMYFUNCTION("""COMPUTED_VALUE"""),"Steinhof")</f>
        <v>Steinhof</v>
      </c>
    </row>
    <row r="4741">
      <c r="A4741" t="str">
        <f>IFERROR(__xludf.DUMMYFUNCTION("""COMPUTED_VALUE"""),"R-077")</f>
        <v>R-077</v>
      </c>
      <c r="B4741" s="226" t="str">
        <f>IFERROR(__xludf.DUMMYFUNCTION("""COMPUTED_VALUE"""),"5907615819469")</f>
        <v>5907615819469</v>
      </c>
      <c r="C4741" t="str">
        <f>IFERROR(__xludf.DUMMYFUNCTION("""COMPUTED_VALUE"""),"Steinhof")</f>
        <v>Steinhof</v>
      </c>
    </row>
    <row r="4742">
      <c r="A4742" t="str">
        <f>IFERROR(__xludf.DUMMYFUNCTION("""COMPUTED_VALUE"""),"R-078")</f>
        <v>R-078</v>
      </c>
      <c r="B4742" s="226" t="str">
        <f>IFERROR(__xludf.DUMMYFUNCTION("""COMPUTED_VALUE"""),"5907615819476")</f>
        <v>5907615819476</v>
      </c>
      <c r="C4742" t="str">
        <f>IFERROR(__xludf.DUMMYFUNCTION("""COMPUTED_VALUE"""),"Steinhof")</f>
        <v>Steinhof</v>
      </c>
    </row>
    <row r="4743">
      <c r="A4743" t="str">
        <f>IFERROR(__xludf.DUMMYFUNCTION("""COMPUTED_VALUE"""),"R-078")</f>
        <v>R-078</v>
      </c>
      <c r="B4743" s="226" t="str">
        <f>IFERROR(__xludf.DUMMYFUNCTION("""COMPUTED_VALUE"""),"5907615819476")</f>
        <v>5907615819476</v>
      </c>
      <c r="C4743" t="str">
        <f>IFERROR(__xludf.DUMMYFUNCTION("""COMPUTED_VALUE"""),"Steinhof")</f>
        <v>Steinhof</v>
      </c>
    </row>
    <row r="4744">
      <c r="A4744" t="str">
        <f>IFERROR(__xludf.DUMMYFUNCTION("""COMPUTED_VALUE"""),"R-083")</f>
        <v>R-083</v>
      </c>
      <c r="B4744" s="226" t="str">
        <f>IFERROR(__xludf.DUMMYFUNCTION("""COMPUTED_VALUE"""),"5907615819483")</f>
        <v>5907615819483</v>
      </c>
      <c r="C4744" t="str">
        <f>IFERROR(__xludf.DUMMYFUNCTION("""COMPUTED_VALUE"""),"Steinhof")</f>
        <v>Steinhof</v>
      </c>
    </row>
    <row r="4745">
      <c r="A4745" t="str">
        <f>IFERROR(__xludf.DUMMYFUNCTION("""COMPUTED_VALUE"""),"R-083")</f>
        <v>R-083</v>
      </c>
      <c r="B4745" s="226" t="str">
        <f>IFERROR(__xludf.DUMMYFUNCTION("""COMPUTED_VALUE"""),"5907615819483")</f>
        <v>5907615819483</v>
      </c>
      <c r="C4745" t="str">
        <f>IFERROR(__xludf.DUMMYFUNCTION("""COMPUTED_VALUE"""),"Steinhof")</f>
        <v>Steinhof</v>
      </c>
    </row>
    <row r="4746">
      <c r="A4746" t="str">
        <f>IFERROR(__xludf.DUMMYFUNCTION("""COMPUTED_VALUE"""),"R-080")</f>
        <v>R-080</v>
      </c>
      <c r="B4746" s="226" t="str">
        <f>IFERROR(__xludf.DUMMYFUNCTION("""COMPUTED_VALUE"""),"5907615819490")</f>
        <v>5907615819490</v>
      </c>
      <c r="C4746" t="str">
        <f>IFERROR(__xludf.DUMMYFUNCTION("""COMPUTED_VALUE"""),"Steinhof")</f>
        <v>Steinhof</v>
      </c>
    </row>
    <row r="4747">
      <c r="A4747" t="str">
        <f>IFERROR(__xludf.DUMMYFUNCTION("""COMPUTED_VALUE"""),"R-082/1")</f>
        <v>R-082/1</v>
      </c>
      <c r="B4747" s="226" t="str">
        <f>IFERROR(__xludf.DUMMYFUNCTION("""COMPUTED_VALUE"""),"5907615819520")</f>
        <v>5907615819520</v>
      </c>
      <c r="C4747" t="str">
        <f>IFERROR(__xludf.DUMMYFUNCTION("""COMPUTED_VALUE"""),"Steinhof")</f>
        <v>Steinhof</v>
      </c>
    </row>
    <row r="4748">
      <c r="A4748" t="str">
        <f>IFERROR(__xludf.DUMMYFUNCTION("""COMPUTED_VALUE"""),"R-082/1")</f>
        <v>R-082/1</v>
      </c>
      <c r="B4748" s="226" t="str">
        <f>IFERROR(__xludf.DUMMYFUNCTION("""COMPUTED_VALUE"""),"5907615819520")</f>
        <v>5907615819520</v>
      </c>
      <c r="C4748" t="str">
        <f>IFERROR(__xludf.DUMMYFUNCTION("""COMPUTED_VALUE"""),"Steinhof")</f>
        <v>Steinhof</v>
      </c>
    </row>
    <row r="4749">
      <c r="A4749" t="str">
        <f>IFERROR(__xludf.DUMMYFUNCTION("""COMPUTED_VALUE"""),"R-082/1")</f>
        <v>R-082/1</v>
      </c>
      <c r="B4749" s="226" t="str">
        <f>IFERROR(__xludf.DUMMYFUNCTION("""COMPUTED_VALUE"""),"5907615819520")</f>
        <v>5907615819520</v>
      </c>
      <c r="C4749" t="str">
        <f>IFERROR(__xludf.DUMMYFUNCTION("""COMPUTED_VALUE"""),"Steinhof")</f>
        <v>Steinhof</v>
      </c>
    </row>
    <row r="4750">
      <c r="A4750" t="str">
        <f>IFERROR(__xludf.DUMMYFUNCTION("""COMPUTED_VALUE"""),"R-082/1")</f>
        <v>R-082/1</v>
      </c>
      <c r="B4750" s="226" t="str">
        <f>IFERROR(__xludf.DUMMYFUNCTION("""COMPUTED_VALUE"""),"5907615819520")</f>
        <v>5907615819520</v>
      </c>
      <c r="C4750" t="str">
        <f>IFERROR(__xludf.DUMMYFUNCTION("""COMPUTED_VALUE"""),"Steinhof")</f>
        <v>Steinhof</v>
      </c>
    </row>
    <row r="4751">
      <c r="A4751" t="str">
        <f>IFERROR(__xludf.DUMMYFUNCTION("""COMPUTED_VALUE"""),"R-082/1")</f>
        <v>R-082/1</v>
      </c>
      <c r="B4751" s="226" t="str">
        <f>IFERROR(__xludf.DUMMYFUNCTION("""COMPUTED_VALUE"""),"5907615819520")</f>
        <v>5907615819520</v>
      </c>
      <c r="C4751" t="str">
        <f>IFERROR(__xludf.DUMMYFUNCTION("""COMPUTED_VALUE"""),"Steinhof")</f>
        <v>Steinhof</v>
      </c>
    </row>
    <row r="4752">
      <c r="A4752" t="str">
        <f>IFERROR(__xludf.DUMMYFUNCTION("""COMPUTED_VALUE"""),"R-082/1")</f>
        <v>R-082/1</v>
      </c>
      <c r="B4752" s="226" t="str">
        <f>IFERROR(__xludf.DUMMYFUNCTION("""COMPUTED_VALUE"""),"5907615819520")</f>
        <v>5907615819520</v>
      </c>
      <c r="C4752" t="str">
        <f>IFERROR(__xludf.DUMMYFUNCTION("""COMPUTED_VALUE"""),"Steinhof")</f>
        <v>Steinhof</v>
      </c>
    </row>
    <row r="4753">
      <c r="A4753" t="str">
        <f>IFERROR(__xludf.DUMMYFUNCTION("""COMPUTED_VALUE"""),"R-082/1")</f>
        <v>R-082/1</v>
      </c>
      <c r="B4753" s="226" t="str">
        <f>IFERROR(__xludf.DUMMYFUNCTION("""COMPUTED_VALUE"""),"5907615819520")</f>
        <v>5907615819520</v>
      </c>
      <c r="C4753" t="str">
        <f>IFERROR(__xludf.DUMMYFUNCTION("""COMPUTED_VALUE"""),"Steinhof")</f>
        <v>Steinhof</v>
      </c>
    </row>
    <row r="4754">
      <c r="A4754" t="str">
        <f>IFERROR(__xludf.DUMMYFUNCTION("""COMPUTED_VALUE"""),"R-082/1")</f>
        <v>R-082/1</v>
      </c>
      <c r="B4754" s="226" t="str">
        <f>IFERROR(__xludf.DUMMYFUNCTION("""COMPUTED_VALUE"""),"5907615819520")</f>
        <v>5907615819520</v>
      </c>
      <c r="C4754" t="str">
        <f>IFERROR(__xludf.DUMMYFUNCTION("""COMPUTED_VALUE"""),"Steinhof")</f>
        <v>Steinhof</v>
      </c>
    </row>
    <row r="4755">
      <c r="A4755" t="str">
        <f>IFERROR(__xludf.DUMMYFUNCTION("""COMPUTED_VALUE"""),"R-082/1")</f>
        <v>R-082/1</v>
      </c>
      <c r="B4755" s="226" t="str">
        <f>IFERROR(__xludf.DUMMYFUNCTION("""COMPUTED_VALUE"""),"5907615819520")</f>
        <v>5907615819520</v>
      </c>
      <c r="C4755" t="str">
        <f>IFERROR(__xludf.DUMMYFUNCTION("""COMPUTED_VALUE"""),"Steinhof")</f>
        <v>Steinhof</v>
      </c>
    </row>
    <row r="4756">
      <c r="A4756" t="str">
        <f>IFERROR(__xludf.DUMMYFUNCTION("""COMPUTED_VALUE"""),"R-082/1")</f>
        <v>R-082/1</v>
      </c>
      <c r="B4756" s="226" t="str">
        <f>IFERROR(__xludf.DUMMYFUNCTION("""COMPUTED_VALUE"""),"5907615819520")</f>
        <v>5907615819520</v>
      </c>
      <c r="C4756" t="str">
        <f>IFERROR(__xludf.DUMMYFUNCTION("""COMPUTED_VALUE"""),"Steinhof")</f>
        <v>Steinhof</v>
      </c>
    </row>
    <row r="4757">
      <c r="A4757" t="str">
        <f>IFERROR(__xludf.DUMMYFUNCTION("""COMPUTED_VALUE"""),"R-082/1")</f>
        <v>R-082/1</v>
      </c>
      <c r="B4757" s="226" t="str">
        <f>IFERROR(__xludf.DUMMYFUNCTION("""COMPUTED_VALUE"""),"5907615819520")</f>
        <v>5907615819520</v>
      </c>
      <c r="C4757" t="str">
        <f>IFERROR(__xludf.DUMMYFUNCTION("""COMPUTED_VALUE"""),"Steinhof")</f>
        <v>Steinhof</v>
      </c>
    </row>
    <row r="4758">
      <c r="A4758" t="str">
        <f>IFERROR(__xludf.DUMMYFUNCTION("""COMPUTED_VALUE"""),"R-082/1")</f>
        <v>R-082/1</v>
      </c>
      <c r="B4758" s="226" t="str">
        <f>IFERROR(__xludf.DUMMYFUNCTION("""COMPUTED_VALUE"""),"5907615819520")</f>
        <v>5907615819520</v>
      </c>
      <c r="C4758" t="str">
        <f>IFERROR(__xludf.DUMMYFUNCTION("""COMPUTED_VALUE"""),"Steinhof")</f>
        <v>Steinhof</v>
      </c>
    </row>
    <row r="4759">
      <c r="A4759" t="str">
        <f>IFERROR(__xludf.DUMMYFUNCTION("""COMPUTED_VALUE"""),"R-082/1")</f>
        <v>R-082/1</v>
      </c>
      <c r="B4759" s="226" t="str">
        <f>IFERROR(__xludf.DUMMYFUNCTION("""COMPUTED_VALUE"""),"5907615819520")</f>
        <v>5907615819520</v>
      </c>
      <c r="C4759" t="str">
        <f>IFERROR(__xludf.DUMMYFUNCTION("""COMPUTED_VALUE"""),"Steinhof")</f>
        <v>Steinhof</v>
      </c>
    </row>
    <row r="4760">
      <c r="A4760" t="str">
        <f>IFERROR(__xludf.DUMMYFUNCTION("""COMPUTED_VALUE"""),"R-082/1")</f>
        <v>R-082/1</v>
      </c>
      <c r="B4760" s="226" t="str">
        <f>IFERROR(__xludf.DUMMYFUNCTION("""COMPUTED_VALUE"""),"5907615819520")</f>
        <v>5907615819520</v>
      </c>
      <c r="C4760" t="str">
        <f>IFERROR(__xludf.DUMMYFUNCTION("""COMPUTED_VALUE"""),"Steinhof")</f>
        <v>Steinhof</v>
      </c>
    </row>
    <row r="4761">
      <c r="A4761" t="str">
        <f>IFERROR(__xludf.DUMMYFUNCTION("""COMPUTED_VALUE"""),"R-082/1")</f>
        <v>R-082/1</v>
      </c>
      <c r="B4761" s="226" t="str">
        <f>IFERROR(__xludf.DUMMYFUNCTION("""COMPUTED_VALUE"""),"5907615819520")</f>
        <v>5907615819520</v>
      </c>
      <c r="C4761" t="str">
        <f>IFERROR(__xludf.DUMMYFUNCTION("""COMPUTED_VALUE"""),"Steinhof")</f>
        <v>Steinhof</v>
      </c>
    </row>
    <row r="4762">
      <c r="A4762" t="str">
        <f>IFERROR(__xludf.DUMMYFUNCTION("""COMPUTED_VALUE"""),"R-082/1")</f>
        <v>R-082/1</v>
      </c>
      <c r="B4762" s="226" t="str">
        <f>IFERROR(__xludf.DUMMYFUNCTION("""COMPUTED_VALUE"""),"5907615819520")</f>
        <v>5907615819520</v>
      </c>
      <c r="C4762" t="str">
        <f>IFERROR(__xludf.DUMMYFUNCTION("""COMPUTED_VALUE"""),"Steinhof")</f>
        <v>Steinhof</v>
      </c>
    </row>
    <row r="4763">
      <c r="A4763" t="str">
        <f>IFERROR(__xludf.DUMMYFUNCTION("""COMPUTED_VALUE"""),"R-084")</f>
        <v>R-084</v>
      </c>
      <c r="B4763" s="226" t="str">
        <f>IFERROR(__xludf.DUMMYFUNCTION("""COMPUTED_VALUE"""),"5907615819537")</f>
        <v>5907615819537</v>
      </c>
      <c r="C4763" t="str">
        <f>IFERROR(__xludf.DUMMYFUNCTION("""COMPUTED_VALUE"""),"Steinhof")</f>
        <v>Steinhof</v>
      </c>
    </row>
    <row r="4764">
      <c r="A4764" t="str">
        <f>IFERROR(__xludf.DUMMYFUNCTION("""COMPUTED_VALUE"""),"R-084")</f>
        <v>R-084</v>
      </c>
      <c r="B4764" s="226" t="str">
        <f>IFERROR(__xludf.DUMMYFUNCTION("""COMPUTED_VALUE"""),"5907615819537")</f>
        <v>5907615819537</v>
      </c>
      <c r="C4764" t="str">
        <f>IFERROR(__xludf.DUMMYFUNCTION("""COMPUTED_VALUE"""),"Steinhof")</f>
        <v>Steinhof</v>
      </c>
    </row>
    <row r="4765">
      <c r="A4765" t="str">
        <f>IFERROR(__xludf.DUMMYFUNCTION("""COMPUTED_VALUE"""),"R-087")</f>
        <v>R-087</v>
      </c>
      <c r="B4765" s="226" t="str">
        <f>IFERROR(__xludf.DUMMYFUNCTION("""COMPUTED_VALUE"""),"5907615819568")</f>
        <v>5907615819568</v>
      </c>
      <c r="C4765" t="str">
        <f>IFERROR(__xludf.DUMMYFUNCTION("""COMPUTED_VALUE"""),"Steinhof")</f>
        <v>Steinhof</v>
      </c>
    </row>
    <row r="4766">
      <c r="A4766" t="str">
        <f>IFERROR(__xludf.DUMMYFUNCTION("""COMPUTED_VALUE"""),"R-087")</f>
        <v>R-087</v>
      </c>
      <c r="B4766" s="226" t="str">
        <f>IFERROR(__xludf.DUMMYFUNCTION("""COMPUTED_VALUE"""),"5907615819568")</f>
        <v>5907615819568</v>
      </c>
      <c r="C4766" t="str">
        <f>IFERROR(__xludf.DUMMYFUNCTION("""COMPUTED_VALUE"""),"Steinhof")</f>
        <v>Steinhof</v>
      </c>
    </row>
    <row r="4767">
      <c r="A4767" t="str">
        <f>IFERROR(__xludf.DUMMYFUNCTION("""COMPUTED_VALUE"""),"R-089")</f>
        <v>R-089</v>
      </c>
      <c r="B4767" s="226" t="str">
        <f>IFERROR(__xludf.DUMMYFUNCTION("""COMPUTED_VALUE"""),"5907615819582")</f>
        <v>5907615819582</v>
      </c>
      <c r="C4767" t="str">
        <f>IFERROR(__xludf.DUMMYFUNCTION("""COMPUTED_VALUE"""),"Steinhof")</f>
        <v>Steinhof</v>
      </c>
    </row>
    <row r="4768">
      <c r="A4768" t="str">
        <f>IFERROR(__xludf.DUMMYFUNCTION("""COMPUTED_VALUE"""),"R-089")</f>
        <v>R-089</v>
      </c>
      <c r="B4768" s="226" t="str">
        <f>IFERROR(__xludf.DUMMYFUNCTION("""COMPUTED_VALUE"""),"5907615819582")</f>
        <v>5907615819582</v>
      </c>
      <c r="C4768" t="str">
        <f>IFERROR(__xludf.DUMMYFUNCTION("""COMPUTED_VALUE"""),"Steinhof")</f>
        <v>Steinhof</v>
      </c>
    </row>
    <row r="4769">
      <c r="A4769" t="str">
        <f>IFERROR(__xludf.DUMMYFUNCTION("""COMPUTED_VALUE"""),"R-090")</f>
        <v>R-090</v>
      </c>
      <c r="B4769" s="226" t="str">
        <f>IFERROR(__xludf.DUMMYFUNCTION("""COMPUTED_VALUE"""),"5907615819599")</f>
        <v>5907615819599</v>
      </c>
      <c r="C4769" t="str">
        <f>IFERROR(__xludf.DUMMYFUNCTION("""COMPUTED_VALUE"""),"Steinhof")</f>
        <v>Steinhof</v>
      </c>
    </row>
    <row r="4770">
      <c r="A4770" t="str">
        <f>IFERROR(__xludf.DUMMYFUNCTION("""COMPUTED_VALUE"""),"R-090")</f>
        <v>R-090</v>
      </c>
      <c r="B4770" s="226" t="str">
        <f>IFERROR(__xludf.DUMMYFUNCTION("""COMPUTED_VALUE"""),"5907615819599")</f>
        <v>5907615819599</v>
      </c>
      <c r="C4770" t="str">
        <f>IFERROR(__xludf.DUMMYFUNCTION("""COMPUTED_VALUE"""),"Steinhof")</f>
        <v>Steinhof</v>
      </c>
    </row>
    <row r="4771">
      <c r="A4771" t="str">
        <f>IFERROR(__xludf.DUMMYFUNCTION("""COMPUTED_VALUE"""),"R-090")</f>
        <v>R-090</v>
      </c>
      <c r="B4771" s="226" t="str">
        <f>IFERROR(__xludf.DUMMYFUNCTION("""COMPUTED_VALUE"""),"5907615819599")</f>
        <v>5907615819599</v>
      </c>
      <c r="C4771" t="str">
        <f>IFERROR(__xludf.DUMMYFUNCTION("""COMPUTED_VALUE"""),"Steinhof")</f>
        <v>Steinhof</v>
      </c>
    </row>
    <row r="4772">
      <c r="A4772" t="str">
        <f>IFERROR(__xludf.DUMMYFUNCTION("""COMPUTED_VALUE"""),"R-090")</f>
        <v>R-090</v>
      </c>
      <c r="B4772" s="226" t="str">
        <f>IFERROR(__xludf.DUMMYFUNCTION("""COMPUTED_VALUE"""),"5907615819599")</f>
        <v>5907615819599</v>
      </c>
      <c r="C4772" t="str">
        <f>IFERROR(__xludf.DUMMYFUNCTION("""COMPUTED_VALUE"""),"Steinhof")</f>
        <v>Steinhof</v>
      </c>
    </row>
    <row r="4773">
      <c r="A4773" t="str">
        <f>IFERROR(__xludf.DUMMYFUNCTION("""COMPUTED_VALUE"""),"R-091")</f>
        <v>R-091</v>
      </c>
      <c r="B4773" s="226" t="str">
        <f>IFERROR(__xludf.DUMMYFUNCTION("""COMPUTED_VALUE"""),"5907615819605")</f>
        <v>5907615819605</v>
      </c>
      <c r="C4773" t="str">
        <f>IFERROR(__xludf.DUMMYFUNCTION("""COMPUTED_VALUE"""),"Steinhof")</f>
        <v>Steinhof</v>
      </c>
    </row>
    <row r="4774">
      <c r="A4774" t="str">
        <f>IFERROR(__xludf.DUMMYFUNCTION("""COMPUTED_VALUE"""),"R-091")</f>
        <v>R-091</v>
      </c>
      <c r="B4774" s="226" t="str">
        <f>IFERROR(__xludf.DUMMYFUNCTION("""COMPUTED_VALUE"""),"5907615819605")</f>
        <v>5907615819605</v>
      </c>
      <c r="C4774" t="str">
        <f>IFERROR(__xludf.DUMMYFUNCTION("""COMPUTED_VALUE"""),"Steinhof")</f>
        <v>Steinhof</v>
      </c>
    </row>
    <row r="4775">
      <c r="A4775" t="str">
        <f>IFERROR(__xludf.DUMMYFUNCTION("""COMPUTED_VALUE"""),"R-092")</f>
        <v>R-092</v>
      </c>
      <c r="B4775" s="226" t="str">
        <f>IFERROR(__xludf.DUMMYFUNCTION("""COMPUTED_VALUE"""),"5907615819612")</f>
        <v>5907615819612</v>
      </c>
      <c r="C4775" t="str">
        <f>IFERROR(__xludf.DUMMYFUNCTION("""COMPUTED_VALUE"""),"Steinhof")</f>
        <v>Steinhof</v>
      </c>
    </row>
    <row r="4776">
      <c r="A4776" t="str">
        <f>IFERROR(__xludf.DUMMYFUNCTION("""COMPUTED_VALUE"""),"R-092")</f>
        <v>R-092</v>
      </c>
      <c r="B4776" s="226" t="str">
        <f>IFERROR(__xludf.DUMMYFUNCTION("""COMPUTED_VALUE"""),"5907615819612")</f>
        <v>5907615819612</v>
      </c>
      <c r="C4776" t="str">
        <f>IFERROR(__xludf.DUMMYFUNCTION("""COMPUTED_VALUE"""),"Steinhof")</f>
        <v>Steinhof</v>
      </c>
    </row>
    <row r="4777">
      <c r="A4777" t="str">
        <f>IFERROR(__xludf.DUMMYFUNCTION("""COMPUTED_VALUE"""),"R-093")</f>
        <v>R-093</v>
      </c>
      <c r="B4777" s="226" t="str">
        <f>IFERROR(__xludf.DUMMYFUNCTION("""COMPUTED_VALUE"""),"5907615819629")</f>
        <v>5907615819629</v>
      </c>
      <c r="C4777" t="str">
        <f>IFERROR(__xludf.DUMMYFUNCTION("""COMPUTED_VALUE"""),"Steinhof")</f>
        <v>Steinhof</v>
      </c>
    </row>
    <row r="4778">
      <c r="A4778" t="str">
        <f>IFERROR(__xludf.DUMMYFUNCTION("""COMPUTED_VALUE"""),"R-093")</f>
        <v>R-093</v>
      </c>
      <c r="B4778" s="226" t="str">
        <f>IFERROR(__xludf.DUMMYFUNCTION("""COMPUTED_VALUE"""),"5907615819629")</f>
        <v>5907615819629</v>
      </c>
      <c r="C4778" t="str">
        <f>IFERROR(__xludf.DUMMYFUNCTION("""COMPUTED_VALUE"""),"Steinhof")</f>
        <v>Steinhof</v>
      </c>
    </row>
    <row r="4779">
      <c r="A4779" t="str">
        <f>IFERROR(__xludf.DUMMYFUNCTION("""COMPUTED_VALUE"""),"R-093")</f>
        <v>R-093</v>
      </c>
      <c r="B4779" s="226" t="str">
        <f>IFERROR(__xludf.DUMMYFUNCTION("""COMPUTED_VALUE"""),"5907615819629")</f>
        <v>5907615819629</v>
      </c>
      <c r="C4779" t="str">
        <f>IFERROR(__xludf.DUMMYFUNCTION("""COMPUTED_VALUE"""),"Steinhof")</f>
        <v>Steinhof</v>
      </c>
    </row>
    <row r="4780">
      <c r="A4780" t="str">
        <f>IFERROR(__xludf.DUMMYFUNCTION("""COMPUTED_VALUE"""),"R-093")</f>
        <v>R-093</v>
      </c>
      <c r="B4780" s="226" t="str">
        <f>IFERROR(__xludf.DUMMYFUNCTION("""COMPUTED_VALUE"""),"5907615819629")</f>
        <v>5907615819629</v>
      </c>
      <c r="C4780" t="str">
        <f>IFERROR(__xludf.DUMMYFUNCTION("""COMPUTED_VALUE"""),"Steinhof")</f>
        <v>Steinhof</v>
      </c>
    </row>
    <row r="4781">
      <c r="A4781" t="str">
        <f>IFERROR(__xludf.DUMMYFUNCTION("""COMPUTED_VALUE"""),"R-094")</f>
        <v>R-094</v>
      </c>
      <c r="B4781" s="226" t="str">
        <f>IFERROR(__xludf.DUMMYFUNCTION("""COMPUTED_VALUE"""),"5907615819636")</f>
        <v>5907615819636</v>
      </c>
      <c r="C4781" t="str">
        <f>IFERROR(__xludf.DUMMYFUNCTION("""COMPUTED_VALUE"""),"Steinhof")</f>
        <v>Steinhof</v>
      </c>
    </row>
    <row r="4782">
      <c r="A4782" t="str">
        <f>IFERROR(__xludf.DUMMYFUNCTION("""COMPUTED_VALUE"""),"R-094")</f>
        <v>R-094</v>
      </c>
      <c r="B4782" s="226" t="str">
        <f>IFERROR(__xludf.DUMMYFUNCTION("""COMPUTED_VALUE"""),"5907615819636")</f>
        <v>5907615819636</v>
      </c>
      <c r="C4782" t="str">
        <f>IFERROR(__xludf.DUMMYFUNCTION("""COMPUTED_VALUE"""),"Steinhof")</f>
        <v>Steinhof</v>
      </c>
    </row>
    <row r="4783">
      <c r="A4783" t="str">
        <f>IFERROR(__xludf.DUMMYFUNCTION("""COMPUTED_VALUE"""),"R-094")</f>
        <v>R-094</v>
      </c>
      <c r="B4783" s="226" t="str">
        <f>IFERROR(__xludf.DUMMYFUNCTION("""COMPUTED_VALUE"""),"5907615819636")</f>
        <v>5907615819636</v>
      </c>
      <c r="C4783" t="str">
        <f>IFERROR(__xludf.DUMMYFUNCTION("""COMPUTED_VALUE"""),"Steinhof")</f>
        <v>Steinhof</v>
      </c>
    </row>
    <row r="4784">
      <c r="A4784" t="str">
        <f>IFERROR(__xludf.DUMMYFUNCTION("""COMPUTED_VALUE"""),"R-094")</f>
        <v>R-094</v>
      </c>
      <c r="B4784" s="226" t="str">
        <f>IFERROR(__xludf.DUMMYFUNCTION("""COMPUTED_VALUE"""),"5907615819636")</f>
        <v>5907615819636</v>
      </c>
      <c r="C4784" t="str">
        <f>IFERROR(__xludf.DUMMYFUNCTION("""COMPUTED_VALUE"""),"Steinhof")</f>
        <v>Steinhof</v>
      </c>
    </row>
    <row r="4785">
      <c r="A4785" t="str">
        <f>IFERROR(__xludf.DUMMYFUNCTION("""COMPUTED_VALUE"""),"R-100")</f>
        <v>R-100</v>
      </c>
      <c r="B4785" s="226" t="str">
        <f>IFERROR(__xludf.DUMMYFUNCTION("""COMPUTED_VALUE"""),"5907615819698")</f>
        <v>5907615819698</v>
      </c>
      <c r="C4785" t="str">
        <f>IFERROR(__xludf.DUMMYFUNCTION("""COMPUTED_VALUE"""),"Steinhof")</f>
        <v>Steinhof</v>
      </c>
    </row>
    <row r="4786">
      <c r="A4786" t="str">
        <f>IFERROR(__xludf.DUMMYFUNCTION("""COMPUTED_VALUE"""),"R-100")</f>
        <v>R-100</v>
      </c>
      <c r="B4786" s="226" t="str">
        <f>IFERROR(__xludf.DUMMYFUNCTION("""COMPUTED_VALUE"""),"5907615819698")</f>
        <v>5907615819698</v>
      </c>
      <c r="C4786" t="str">
        <f>IFERROR(__xludf.DUMMYFUNCTION("""COMPUTED_VALUE"""),"Steinhof")</f>
        <v>Steinhof</v>
      </c>
    </row>
    <row r="4787">
      <c r="A4787" t="str">
        <f>IFERROR(__xludf.DUMMYFUNCTION("""COMPUTED_VALUE"""),"R-101")</f>
        <v>R-101</v>
      </c>
      <c r="B4787" s="226" t="str">
        <f>IFERROR(__xludf.DUMMYFUNCTION("""COMPUTED_VALUE"""),"5907615819704")</f>
        <v>5907615819704</v>
      </c>
      <c r="C4787" t="str">
        <f>IFERROR(__xludf.DUMMYFUNCTION("""COMPUTED_VALUE"""),"Steinhof")</f>
        <v>Steinhof</v>
      </c>
    </row>
    <row r="4788">
      <c r="A4788" t="str">
        <f>IFERROR(__xludf.DUMMYFUNCTION("""COMPUTED_VALUE"""),"R-101")</f>
        <v>R-101</v>
      </c>
      <c r="B4788" s="226" t="str">
        <f>IFERROR(__xludf.DUMMYFUNCTION("""COMPUTED_VALUE"""),"5907615819704")</f>
        <v>5907615819704</v>
      </c>
      <c r="C4788" t="str">
        <f>IFERROR(__xludf.DUMMYFUNCTION("""COMPUTED_VALUE"""),"Steinhof")</f>
        <v>Steinhof</v>
      </c>
    </row>
    <row r="4789">
      <c r="A4789" t="str">
        <f>IFERROR(__xludf.DUMMYFUNCTION("""COMPUTED_VALUE"""),"R-103")</f>
        <v>R-103</v>
      </c>
      <c r="B4789" s="226" t="str">
        <f>IFERROR(__xludf.DUMMYFUNCTION("""COMPUTED_VALUE"""),"5907615819728")</f>
        <v>5907615819728</v>
      </c>
      <c r="C4789" t="str">
        <f>IFERROR(__xludf.DUMMYFUNCTION("""COMPUTED_VALUE"""),"Steinhof")</f>
        <v>Steinhof</v>
      </c>
    </row>
    <row r="4790">
      <c r="A4790" t="str">
        <f>IFERROR(__xludf.DUMMYFUNCTION("""COMPUTED_VALUE"""),"R-103")</f>
        <v>R-103</v>
      </c>
      <c r="B4790" s="226" t="str">
        <f>IFERROR(__xludf.DUMMYFUNCTION("""COMPUTED_VALUE"""),"5907615819728")</f>
        <v>5907615819728</v>
      </c>
      <c r="C4790" t="str">
        <f>IFERROR(__xludf.DUMMYFUNCTION("""COMPUTED_VALUE"""),"Steinhof")</f>
        <v>Steinhof</v>
      </c>
    </row>
    <row r="4791">
      <c r="A4791" t="str">
        <f>IFERROR(__xludf.DUMMYFUNCTION("""COMPUTED_VALUE"""),"R-103")</f>
        <v>R-103</v>
      </c>
      <c r="B4791" s="226" t="str">
        <f>IFERROR(__xludf.DUMMYFUNCTION("""COMPUTED_VALUE"""),"5907615819728")</f>
        <v>5907615819728</v>
      </c>
      <c r="C4791" t="str">
        <f>IFERROR(__xludf.DUMMYFUNCTION("""COMPUTED_VALUE"""),"Steinhof")</f>
        <v>Steinhof</v>
      </c>
    </row>
    <row r="4792">
      <c r="A4792" t="str">
        <f>IFERROR(__xludf.DUMMYFUNCTION("""COMPUTED_VALUE"""),"R-103")</f>
        <v>R-103</v>
      </c>
      <c r="B4792" s="226" t="str">
        <f>IFERROR(__xludf.DUMMYFUNCTION("""COMPUTED_VALUE"""),"5907615819728")</f>
        <v>5907615819728</v>
      </c>
      <c r="C4792" t="str">
        <f>IFERROR(__xludf.DUMMYFUNCTION("""COMPUTED_VALUE"""),"Steinhof")</f>
        <v>Steinhof</v>
      </c>
    </row>
    <row r="4793">
      <c r="A4793" t="str">
        <f>IFERROR(__xludf.DUMMYFUNCTION("""COMPUTED_VALUE"""),"R-104")</f>
        <v>R-104</v>
      </c>
      <c r="B4793" s="226" t="str">
        <f>IFERROR(__xludf.DUMMYFUNCTION("""COMPUTED_VALUE"""),"5907615819735")</f>
        <v>5907615819735</v>
      </c>
      <c r="C4793" t="str">
        <f>IFERROR(__xludf.DUMMYFUNCTION("""COMPUTED_VALUE"""),"Steinhof")</f>
        <v>Steinhof</v>
      </c>
    </row>
    <row r="4794">
      <c r="A4794" t="str">
        <f>IFERROR(__xludf.DUMMYFUNCTION("""COMPUTED_VALUE"""),"R-104")</f>
        <v>R-104</v>
      </c>
      <c r="B4794" s="226" t="str">
        <f>IFERROR(__xludf.DUMMYFUNCTION("""COMPUTED_VALUE"""),"5907615819735")</f>
        <v>5907615819735</v>
      </c>
      <c r="C4794" t="str">
        <f>IFERROR(__xludf.DUMMYFUNCTION("""COMPUTED_VALUE"""),"Steinhof")</f>
        <v>Steinhof</v>
      </c>
    </row>
    <row r="4795">
      <c r="A4795" t="str">
        <f>IFERROR(__xludf.DUMMYFUNCTION("""COMPUTED_VALUE"""),"R-104")</f>
        <v>R-104</v>
      </c>
      <c r="B4795" s="226" t="str">
        <f>IFERROR(__xludf.DUMMYFUNCTION("""COMPUTED_VALUE"""),"5907615819735")</f>
        <v>5907615819735</v>
      </c>
      <c r="C4795" t="str">
        <f>IFERROR(__xludf.DUMMYFUNCTION("""COMPUTED_VALUE"""),"Steinhof")</f>
        <v>Steinhof</v>
      </c>
    </row>
    <row r="4796">
      <c r="A4796" t="str">
        <f>IFERROR(__xludf.DUMMYFUNCTION("""COMPUTED_VALUE"""),"R-104")</f>
        <v>R-104</v>
      </c>
      <c r="B4796" s="226" t="str">
        <f>IFERROR(__xludf.DUMMYFUNCTION("""COMPUTED_VALUE"""),"5907615819735")</f>
        <v>5907615819735</v>
      </c>
      <c r="C4796" t="str">
        <f>IFERROR(__xludf.DUMMYFUNCTION("""COMPUTED_VALUE"""),"Steinhof")</f>
        <v>Steinhof</v>
      </c>
    </row>
    <row r="4797">
      <c r="A4797" t="str">
        <f>IFERROR(__xludf.DUMMYFUNCTION("""COMPUTED_VALUE"""),"R-105")</f>
        <v>R-105</v>
      </c>
      <c r="B4797" s="226" t="str">
        <f>IFERROR(__xludf.DUMMYFUNCTION("""COMPUTED_VALUE"""),"5907615819742")</f>
        <v>5907615819742</v>
      </c>
      <c r="C4797" t="str">
        <f>IFERROR(__xludf.DUMMYFUNCTION("""COMPUTED_VALUE"""),"Steinhof")</f>
        <v>Steinhof</v>
      </c>
    </row>
    <row r="4798">
      <c r="A4798" t="str">
        <f>IFERROR(__xludf.DUMMYFUNCTION("""COMPUTED_VALUE"""),"R-105")</f>
        <v>R-105</v>
      </c>
      <c r="B4798" s="226" t="str">
        <f>IFERROR(__xludf.DUMMYFUNCTION("""COMPUTED_VALUE"""),"5907615819742")</f>
        <v>5907615819742</v>
      </c>
      <c r="C4798" t="str">
        <f>IFERROR(__xludf.DUMMYFUNCTION("""COMPUTED_VALUE"""),"Steinhof")</f>
        <v>Steinhof</v>
      </c>
    </row>
    <row r="4799">
      <c r="A4799" t="str">
        <f>IFERROR(__xludf.DUMMYFUNCTION("""COMPUTED_VALUE"""),"R-106")</f>
        <v>R-106</v>
      </c>
      <c r="B4799" s="226" t="str">
        <f>IFERROR(__xludf.DUMMYFUNCTION("""COMPUTED_VALUE"""),"5907615819759")</f>
        <v>5907615819759</v>
      </c>
      <c r="C4799" t="str">
        <f>IFERROR(__xludf.DUMMYFUNCTION("""COMPUTED_VALUE"""),"Steinhof")</f>
        <v>Steinhof</v>
      </c>
    </row>
    <row r="4800">
      <c r="A4800" t="str">
        <f>IFERROR(__xludf.DUMMYFUNCTION("""COMPUTED_VALUE"""),"R-106")</f>
        <v>R-106</v>
      </c>
      <c r="B4800" s="226" t="str">
        <f>IFERROR(__xludf.DUMMYFUNCTION("""COMPUTED_VALUE"""),"5907615819759")</f>
        <v>5907615819759</v>
      </c>
      <c r="C4800" t="str">
        <f>IFERROR(__xludf.DUMMYFUNCTION("""COMPUTED_VALUE"""),"Steinhof")</f>
        <v>Steinhof</v>
      </c>
    </row>
    <row r="4801">
      <c r="A4801" t="str">
        <f>IFERROR(__xludf.DUMMYFUNCTION("""COMPUTED_VALUE"""),"R-108")</f>
        <v>R-108</v>
      </c>
      <c r="B4801" s="226" t="str">
        <f>IFERROR(__xludf.DUMMYFUNCTION("""COMPUTED_VALUE"""),"5907615819773")</f>
        <v>5907615819773</v>
      </c>
      <c r="C4801" t="str">
        <f>IFERROR(__xludf.DUMMYFUNCTION("""COMPUTED_VALUE"""),"Steinhof")</f>
        <v>Steinhof</v>
      </c>
    </row>
    <row r="4802">
      <c r="A4802" t="str">
        <f>IFERROR(__xludf.DUMMYFUNCTION("""COMPUTED_VALUE"""),"R-108")</f>
        <v>R-108</v>
      </c>
      <c r="B4802" s="226" t="str">
        <f>IFERROR(__xludf.DUMMYFUNCTION("""COMPUTED_VALUE"""),"5907615819773")</f>
        <v>5907615819773</v>
      </c>
      <c r="C4802" t="str">
        <f>IFERROR(__xludf.DUMMYFUNCTION("""COMPUTED_VALUE"""),"Steinhof")</f>
        <v>Steinhof</v>
      </c>
    </row>
    <row r="4803">
      <c r="A4803" t="str">
        <f>IFERROR(__xludf.DUMMYFUNCTION("""COMPUTED_VALUE"""),"R-108")</f>
        <v>R-108</v>
      </c>
      <c r="B4803" s="226" t="str">
        <f>IFERROR(__xludf.DUMMYFUNCTION("""COMPUTED_VALUE"""),"5907615819773")</f>
        <v>5907615819773</v>
      </c>
      <c r="C4803" t="str">
        <f>IFERROR(__xludf.DUMMYFUNCTION("""COMPUTED_VALUE"""),"Steinhof")</f>
        <v>Steinhof</v>
      </c>
    </row>
    <row r="4804">
      <c r="A4804" t="str">
        <f>IFERROR(__xludf.DUMMYFUNCTION("""COMPUTED_VALUE"""),"R-108")</f>
        <v>R-108</v>
      </c>
      <c r="B4804" s="226" t="str">
        <f>IFERROR(__xludf.DUMMYFUNCTION("""COMPUTED_VALUE"""),"5907615819773")</f>
        <v>5907615819773</v>
      </c>
      <c r="C4804" t="str">
        <f>IFERROR(__xludf.DUMMYFUNCTION("""COMPUTED_VALUE"""),"Steinhof")</f>
        <v>Steinhof</v>
      </c>
    </row>
    <row r="4805">
      <c r="A4805" t="str">
        <f>IFERROR(__xludf.DUMMYFUNCTION("""COMPUTED_VALUE"""),"R-108")</f>
        <v>R-108</v>
      </c>
      <c r="B4805" s="226" t="str">
        <f>IFERROR(__xludf.DUMMYFUNCTION("""COMPUTED_VALUE"""),"5907615819773")</f>
        <v>5907615819773</v>
      </c>
      <c r="C4805" t="str">
        <f>IFERROR(__xludf.DUMMYFUNCTION("""COMPUTED_VALUE"""),"Steinhof")</f>
        <v>Steinhof</v>
      </c>
    </row>
    <row r="4806">
      <c r="A4806" t="str">
        <f>IFERROR(__xludf.DUMMYFUNCTION("""COMPUTED_VALUE"""),"R-108")</f>
        <v>R-108</v>
      </c>
      <c r="B4806" s="226" t="str">
        <f>IFERROR(__xludf.DUMMYFUNCTION("""COMPUTED_VALUE"""),"5907615819773")</f>
        <v>5907615819773</v>
      </c>
      <c r="C4806" t="str">
        <f>IFERROR(__xludf.DUMMYFUNCTION("""COMPUTED_VALUE"""),"Steinhof")</f>
        <v>Steinhof</v>
      </c>
    </row>
    <row r="4807">
      <c r="A4807" t="str">
        <f>IFERROR(__xludf.DUMMYFUNCTION("""COMPUTED_VALUE"""),"R-110")</f>
        <v>R-110</v>
      </c>
      <c r="B4807" s="226" t="str">
        <f>IFERROR(__xludf.DUMMYFUNCTION("""COMPUTED_VALUE"""),"5907615819797")</f>
        <v>5907615819797</v>
      </c>
      <c r="C4807" t="str">
        <f>IFERROR(__xludf.DUMMYFUNCTION("""COMPUTED_VALUE"""),"Steinhof")</f>
        <v>Steinhof</v>
      </c>
    </row>
    <row r="4808">
      <c r="A4808" t="str">
        <f>IFERROR(__xludf.DUMMYFUNCTION("""COMPUTED_VALUE"""),"R-110")</f>
        <v>R-110</v>
      </c>
      <c r="B4808" s="226" t="str">
        <f>IFERROR(__xludf.DUMMYFUNCTION("""COMPUTED_VALUE"""),"5907615819797")</f>
        <v>5907615819797</v>
      </c>
      <c r="C4808" t="str">
        <f>IFERROR(__xludf.DUMMYFUNCTION("""COMPUTED_VALUE"""),"Steinhof")</f>
        <v>Steinhof</v>
      </c>
    </row>
    <row r="4809">
      <c r="A4809" t="str">
        <f>IFERROR(__xludf.DUMMYFUNCTION("""COMPUTED_VALUE"""),"R-111")</f>
        <v>R-111</v>
      </c>
      <c r="B4809" s="226" t="str">
        <f>IFERROR(__xludf.DUMMYFUNCTION("""COMPUTED_VALUE"""),"5907615819803")</f>
        <v>5907615819803</v>
      </c>
      <c r="C4809" t="str">
        <f>IFERROR(__xludf.DUMMYFUNCTION("""COMPUTED_VALUE"""),"Steinhof")</f>
        <v>Steinhof</v>
      </c>
    </row>
    <row r="4810">
      <c r="A4810" t="str">
        <f>IFERROR(__xludf.DUMMYFUNCTION("""COMPUTED_VALUE"""),"R-111")</f>
        <v>R-111</v>
      </c>
      <c r="B4810" s="226" t="str">
        <f>IFERROR(__xludf.DUMMYFUNCTION("""COMPUTED_VALUE"""),"5907615819803")</f>
        <v>5907615819803</v>
      </c>
      <c r="C4810" t="str">
        <f>IFERROR(__xludf.DUMMYFUNCTION("""COMPUTED_VALUE"""),"Steinhof")</f>
        <v>Steinhof</v>
      </c>
    </row>
    <row r="4811">
      <c r="A4811" t="str">
        <f>IFERROR(__xludf.DUMMYFUNCTION("""COMPUTED_VALUE"""),"R-112")</f>
        <v>R-112</v>
      </c>
      <c r="B4811" s="226" t="str">
        <f>IFERROR(__xludf.DUMMYFUNCTION("""COMPUTED_VALUE"""),"5907615819810")</f>
        <v>5907615819810</v>
      </c>
      <c r="C4811" t="str">
        <f>IFERROR(__xludf.DUMMYFUNCTION("""COMPUTED_VALUE"""),"Steinhof")</f>
        <v>Steinhof</v>
      </c>
    </row>
    <row r="4812">
      <c r="A4812" t="str">
        <f>IFERROR(__xludf.DUMMYFUNCTION("""COMPUTED_VALUE"""),"R-112")</f>
        <v>R-112</v>
      </c>
      <c r="B4812" s="226" t="str">
        <f>IFERROR(__xludf.DUMMYFUNCTION("""COMPUTED_VALUE"""),"5907615819810")</f>
        <v>5907615819810</v>
      </c>
      <c r="C4812" t="str">
        <f>IFERROR(__xludf.DUMMYFUNCTION("""COMPUTED_VALUE"""),"Steinhof")</f>
        <v>Steinhof</v>
      </c>
    </row>
    <row r="4813">
      <c r="A4813" t="str">
        <f>IFERROR(__xludf.DUMMYFUNCTION("""COMPUTED_VALUE"""),"R-112")</f>
        <v>R-112</v>
      </c>
      <c r="B4813" s="226" t="str">
        <f>IFERROR(__xludf.DUMMYFUNCTION("""COMPUTED_VALUE"""),"5907615819810")</f>
        <v>5907615819810</v>
      </c>
      <c r="C4813" t="str">
        <f>IFERROR(__xludf.DUMMYFUNCTION("""COMPUTED_VALUE"""),"Steinhof")</f>
        <v>Steinhof</v>
      </c>
    </row>
    <row r="4814">
      <c r="A4814" t="str">
        <f>IFERROR(__xludf.DUMMYFUNCTION("""COMPUTED_VALUE"""),"R-112")</f>
        <v>R-112</v>
      </c>
      <c r="B4814" s="226" t="str">
        <f>IFERROR(__xludf.DUMMYFUNCTION("""COMPUTED_VALUE"""),"5907615819810")</f>
        <v>5907615819810</v>
      </c>
      <c r="C4814" t="str">
        <f>IFERROR(__xludf.DUMMYFUNCTION("""COMPUTED_VALUE"""),"Steinhof")</f>
        <v>Steinhof</v>
      </c>
    </row>
    <row r="4815">
      <c r="A4815" t="str">
        <f>IFERROR(__xludf.DUMMYFUNCTION("""COMPUTED_VALUE"""),"R-113")</f>
        <v>R-113</v>
      </c>
      <c r="B4815" s="226" t="str">
        <f>IFERROR(__xludf.DUMMYFUNCTION("""COMPUTED_VALUE"""),"5907615819827")</f>
        <v>5907615819827</v>
      </c>
      <c r="C4815" t="str">
        <f>IFERROR(__xludf.DUMMYFUNCTION("""COMPUTED_VALUE"""),"Steinhof")</f>
        <v>Steinhof</v>
      </c>
    </row>
    <row r="4816">
      <c r="A4816" t="str">
        <f>IFERROR(__xludf.DUMMYFUNCTION("""COMPUTED_VALUE"""),"R-113")</f>
        <v>R-113</v>
      </c>
      <c r="B4816" s="226" t="str">
        <f>IFERROR(__xludf.DUMMYFUNCTION("""COMPUTED_VALUE"""),"5907615819827")</f>
        <v>5907615819827</v>
      </c>
      <c r="C4816" t="str">
        <f>IFERROR(__xludf.DUMMYFUNCTION("""COMPUTED_VALUE"""),"Steinhof")</f>
        <v>Steinhof</v>
      </c>
    </row>
    <row r="4817">
      <c r="A4817" t="str">
        <f>IFERROR(__xludf.DUMMYFUNCTION("""COMPUTED_VALUE"""),"R-113")</f>
        <v>R-113</v>
      </c>
      <c r="B4817" s="226" t="str">
        <f>IFERROR(__xludf.DUMMYFUNCTION("""COMPUTED_VALUE"""),"5907615819827")</f>
        <v>5907615819827</v>
      </c>
      <c r="C4817" t="str">
        <f>IFERROR(__xludf.DUMMYFUNCTION("""COMPUTED_VALUE"""),"Steinhof")</f>
        <v>Steinhof</v>
      </c>
    </row>
    <row r="4818">
      <c r="A4818" t="str">
        <f>IFERROR(__xludf.DUMMYFUNCTION("""COMPUTED_VALUE"""),"R-113")</f>
        <v>R-113</v>
      </c>
      <c r="B4818" s="226" t="str">
        <f>IFERROR(__xludf.DUMMYFUNCTION("""COMPUTED_VALUE"""),"5907615819827")</f>
        <v>5907615819827</v>
      </c>
      <c r="C4818" t="str">
        <f>IFERROR(__xludf.DUMMYFUNCTION("""COMPUTED_VALUE"""),"Steinhof")</f>
        <v>Steinhof</v>
      </c>
    </row>
    <row r="4819">
      <c r="A4819" t="str">
        <f>IFERROR(__xludf.DUMMYFUNCTION("""COMPUTED_VALUE"""),"R-114")</f>
        <v>R-114</v>
      </c>
      <c r="B4819" s="226" t="str">
        <f>IFERROR(__xludf.DUMMYFUNCTION("""COMPUTED_VALUE"""),"5907615819834")</f>
        <v>5907615819834</v>
      </c>
      <c r="C4819" t="str">
        <f>IFERROR(__xludf.DUMMYFUNCTION("""COMPUTED_VALUE"""),"Steinhof")</f>
        <v>Steinhof</v>
      </c>
    </row>
    <row r="4820">
      <c r="A4820" t="str">
        <f>IFERROR(__xludf.DUMMYFUNCTION("""COMPUTED_VALUE"""),"R-114")</f>
        <v>R-114</v>
      </c>
      <c r="B4820" s="226" t="str">
        <f>IFERROR(__xludf.DUMMYFUNCTION("""COMPUTED_VALUE"""),"5907615819834")</f>
        <v>5907615819834</v>
      </c>
      <c r="C4820" t="str">
        <f>IFERROR(__xludf.DUMMYFUNCTION("""COMPUTED_VALUE"""),"Steinhof")</f>
        <v>Steinhof</v>
      </c>
    </row>
    <row r="4821">
      <c r="A4821" t="str">
        <f>IFERROR(__xludf.DUMMYFUNCTION("""COMPUTED_VALUE"""),"R-115")</f>
        <v>R-115</v>
      </c>
      <c r="B4821" s="226" t="str">
        <f>IFERROR(__xludf.DUMMYFUNCTION("""COMPUTED_VALUE"""),"5907615819841")</f>
        <v>5907615819841</v>
      </c>
      <c r="C4821" t="str">
        <f>IFERROR(__xludf.DUMMYFUNCTION("""COMPUTED_VALUE"""),"Steinhof")</f>
        <v>Steinhof</v>
      </c>
    </row>
    <row r="4822">
      <c r="A4822" t="str">
        <f>IFERROR(__xludf.DUMMYFUNCTION("""COMPUTED_VALUE"""),"R-115")</f>
        <v>R-115</v>
      </c>
      <c r="B4822" s="226" t="str">
        <f>IFERROR(__xludf.DUMMYFUNCTION("""COMPUTED_VALUE"""),"5907615819841")</f>
        <v>5907615819841</v>
      </c>
      <c r="C4822" t="str">
        <f>IFERROR(__xludf.DUMMYFUNCTION("""COMPUTED_VALUE"""),"Steinhof")</f>
        <v>Steinhof</v>
      </c>
    </row>
    <row r="4823">
      <c r="A4823" t="str">
        <f>IFERROR(__xludf.DUMMYFUNCTION("""COMPUTED_VALUE"""),"R-116")</f>
        <v>R-116</v>
      </c>
      <c r="B4823" s="226" t="str">
        <f>IFERROR(__xludf.DUMMYFUNCTION("""COMPUTED_VALUE"""),"5907615819858")</f>
        <v>5907615819858</v>
      </c>
      <c r="C4823" t="str">
        <f>IFERROR(__xludf.DUMMYFUNCTION("""COMPUTED_VALUE"""),"Steinhof")</f>
        <v>Steinhof</v>
      </c>
    </row>
    <row r="4824">
      <c r="A4824" t="str">
        <f>IFERROR(__xludf.DUMMYFUNCTION("""COMPUTED_VALUE"""),"R-116")</f>
        <v>R-116</v>
      </c>
      <c r="B4824" s="226" t="str">
        <f>IFERROR(__xludf.DUMMYFUNCTION("""COMPUTED_VALUE"""),"5907615819858")</f>
        <v>5907615819858</v>
      </c>
      <c r="C4824" t="str">
        <f>IFERROR(__xludf.DUMMYFUNCTION("""COMPUTED_VALUE"""),"Steinhof")</f>
        <v>Steinhof</v>
      </c>
    </row>
    <row r="4825">
      <c r="A4825" t="str">
        <f>IFERROR(__xludf.DUMMYFUNCTION("""COMPUTED_VALUE"""),"R-117")</f>
        <v>R-117</v>
      </c>
      <c r="B4825" s="226" t="str">
        <f>IFERROR(__xludf.DUMMYFUNCTION("""COMPUTED_VALUE"""),"5907615819865")</f>
        <v>5907615819865</v>
      </c>
      <c r="C4825" t="str">
        <f>IFERROR(__xludf.DUMMYFUNCTION("""COMPUTED_VALUE"""),"Steinhof")</f>
        <v>Steinhof</v>
      </c>
    </row>
    <row r="4826">
      <c r="A4826" t="str">
        <f>IFERROR(__xludf.DUMMYFUNCTION("""COMPUTED_VALUE"""),"R-117")</f>
        <v>R-117</v>
      </c>
      <c r="B4826" s="226" t="str">
        <f>IFERROR(__xludf.DUMMYFUNCTION("""COMPUTED_VALUE"""),"5907615819865")</f>
        <v>5907615819865</v>
      </c>
      <c r="C4826" t="str">
        <f>IFERROR(__xludf.DUMMYFUNCTION("""COMPUTED_VALUE"""),"Steinhof")</f>
        <v>Steinhof</v>
      </c>
    </row>
    <row r="4827">
      <c r="A4827" t="str">
        <f>IFERROR(__xludf.DUMMYFUNCTION("""COMPUTED_VALUE"""),"R-118")</f>
        <v>R-118</v>
      </c>
      <c r="B4827" s="226" t="str">
        <f>IFERROR(__xludf.DUMMYFUNCTION("""COMPUTED_VALUE"""),"5907615819872")</f>
        <v>5907615819872</v>
      </c>
      <c r="C4827" t="str">
        <f>IFERROR(__xludf.DUMMYFUNCTION("""COMPUTED_VALUE"""),"Steinhof")</f>
        <v>Steinhof</v>
      </c>
    </row>
    <row r="4828">
      <c r="A4828" t="str">
        <f>IFERROR(__xludf.DUMMYFUNCTION("""COMPUTED_VALUE"""),"R-118")</f>
        <v>R-118</v>
      </c>
      <c r="B4828" s="226" t="str">
        <f>IFERROR(__xludf.DUMMYFUNCTION("""COMPUTED_VALUE"""),"5907615819872")</f>
        <v>5907615819872</v>
      </c>
      <c r="C4828" t="str">
        <f>IFERROR(__xludf.DUMMYFUNCTION("""COMPUTED_VALUE"""),"Steinhof")</f>
        <v>Steinhof</v>
      </c>
    </row>
    <row r="4829">
      <c r="A4829" t="str">
        <f>IFERROR(__xludf.DUMMYFUNCTION("""COMPUTED_VALUE"""),"R-119")</f>
        <v>R-119</v>
      </c>
      <c r="B4829" s="226" t="str">
        <f>IFERROR(__xludf.DUMMYFUNCTION("""COMPUTED_VALUE"""),"5907615819889")</f>
        <v>5907615819889</v>
      </c>
      <c r="C4829" t="str">
        <f>IFERROR(__xludf.DUMMYFUNCTION("""COMPUTED_VALUE"""),"Steinhof")</f>
        <v>Steinhof</v>
      </c>
    </row>
    <row r="4830">
      <c r="A4830" t="str">
        <f>IFERROR(__xludf.DUMMYFUNCTION("""COMPUTED_VALUE"""),"R-119")</f>
        <v>R-119</v>
      </c>
      <c r="B4830" s="226" t="str">
        <f>IFERROR(__xludf.DUMMYFUNCTION("""COMPUTED_VALUE"""),"5907615819889")</f>
        <v>5907615819889</v>
      </c>
      <c r="C4830" t="str">
        <f>IFERROR(__xludf.DUMMYFUNCTION("""COMPUTED_VALUE"""),"Steinhof")</f>
        <v>Steinhof</v>
      </c>
    </row>
    <row r="4831">
      <c r="A4831" t="str">
        <f>IFERROR(__xludf.DUMMYFUNCTION("""COMPUTED_VALUE"""),"R-120")</f>
        <v>R-120</v>
      </c>
      <c r="B4831" s="226" t="str">
        <f>IFERROR(__xludf.DUMMYFUNCTION("""COMPUTED_VALUE"""),"5907615819896")</f>
        <v>5907615819896</v>
      </c>
      <c r="C4831" t="str">
        <f>IFERROR(__xludf.DUMMYFUNCTION("""COMPUTED_VALUE"""),"Steinhof")</f>
        <v>Steinhof</v>
      </c>
    </row>
    <row r="4832">
      <c r="A4832" t="str">
        <f>IFERROR(__xludf.DUMMYFUNCTION("""COMPUTED_VALUE"""),"R-120")</f>
        <v>R-120</v>
      </c>
      <c r="B4832" s="226" t="str">
        <f>IFERROR(__xludf.DUMMYFUNCTION("""COMPUTED_VALUE"""),"5907615819896")</f>
        <v>5907615819896</v>
      </c>
      <c r="C4832" t="str">
        <f>IFERROR(__xludf.DUMMYFUNCTION("""COMPUTED_VALUE"""),"Steinhof")</f>
        <v>Steinhof</v>
      </c>
    </row>
    <row r="4833">
      <c r="A4833" t="str">
        <f>IFERROR(__xludf.DUMMYFUNCTION("""COMPUTED_VALUE"""),"R-120")</f>
        <v>R-120</v>
      </c>
      <c r="B4833" s="226" t="str">
        <f>IFERROR(__xludf.DUMMYFUNCTION("""COMPUTED_VALUE"""),"5907615819896")</f>
        <v>5907615819896</v>
      </c>
      <c r="C4833" t="str">
        <f>IFERROR(__xludf.DUMMYFUNCTION("""COMPUTED_VALUE"""),"Steinhof")</f>
        <v>Steinhof</v>
      </c>
    </row>
    <row r="4834">
      <c r="A4834" t="str">
        <f>IFERROR(__xludf.DUMMYFUNCTION("""COMPUTED_VALUE"""),"R-120")</f>
        <v>R-120</v>
      </c>
      <c r="B4834" s="226" t="str">
        <f>IFERROR(__xludf.DUMMYFUNCTION("""COMPUTED_VALUE"""),"5907615819896")</f>
        <v>5907615819896</v>
      </c>
      <c r="C4834" t="str">
        <f>IFERROR(__xludf.DUMMYFUNCTION("""COMPUTED_VALUE"""),"Steinhof")</f>
        <v>Steinhof</v>
      </c>
    </row>
    <row r="4835">
      <c r="A4835" t="str">
        <f>IFERROR(__xludf.DUMMYFUNCTION("""COMPUTED_VALUE"""),"R-121")</f>
        <v>R-121</v>
      </c>
      <c r="B4835" s="226" t="str">
        <f>IFERROR(__xludf.DUMMYFUNCTION("""COMPUTED_VALUE"""),"5907615819902")</f>
        <v>5907615819902</v>
      </c>
      <c r="C4835" t="str">
        <f>IFERROR(__xludf.DUMMYFUNCTION("""COMPUTED_VALUE"""),"Steinhof")</f>
        <v>Steinhof</v>
      </c>
    </row>
    <row r="4836">
      <c r="A4836" t="str">
        <f>IFERROR(__xludf.DUMMYFUNCTION("""COMPUTED_VALUE"""),"R-122")</f>
        <v>R-122</v>
      </c>
      <c r="B4836" s="226" t="str">
        <f>IFERROR(__xludf.DUMMYFUNCTION("""COMPUTED_VALUE"""),"5907615819919")</f>
        <v>5907615819919</v>
      </c>
      <c r="C4836" t="str">
        <f>IFERROR(__xludf.DUMMYFUNCTION("""COMPUTED_VALUE"""),"Steinhof")</f>
        <v>Steinhof</v>
      </c>
    </row>
    <row r="4837">
      <c r="A4837" t="str">
        <f>IFERROR(__xludf.DUMMYFUNCTION("""COMPUTED_VALUE"""),"R-123")</f>
        <v>R-123</v>
      </c>
      <c r="B4837" s="226" t="str">
        <f>IFERROR(__xludf.DUMMYFUNCTION("""COMPUTED_VALUE"""),"5907615819926")</f>
        <v>5907615819926</v>
      </c>
      <c r="C4837" t="str">
        <f>IFERROR(__xludf.DUMMYFUNCTION("""COMPUTED_VALUE"""),"Steinhof")</f>
        <v>Steinhof</v>
      </c>
    </row>
    <row r="4838">
      <c r="A4838" t="str">
        <f>IFERROR(__xludf.DUMMYFUNCTION("""COMPUTED_VALUE"""),"R-124")</f>
        <v>R-124</v>
      </c>
      <c r="B4838" s="226" t="str">
        <f>IFERROR(__xludf.DUMMYFUNCTION("""COMPUTED_VALUE"""),"5907615819933")</f>
        <v>5907615819933</v>
      </c>
      <c r="C4838" t="str">
        <f>IFERROR(__xludf.DUMMYFUNCTION("""COMPUTED_VALUE"""),"Steinhof")</f>
        <v>Steinhof</v>
      </c>
    </row>
    <row r="4839">
      <c r="A4839" t="str">
        <f>IFERROR(__xludf.DUMMYFUNCTION("""COMPUTED_VALUE"""),"R-125")</f>
        <v>R-125</v>
      </c>
      <c r="B4839" s="226" t="str">
        <f>IFERROR(__xludf.DUMMYFUNCTION("""COMPUTED_VALUE"""),"5907615819940")</f>
        <v>5907615819940</v>
      </c>
      <c r="C4839" t="str">
        <f>IFERROR(__xludf.DUMMYFUNCTION("""COMPUTED_VALUE"""),"Steinhof")</f>
        <v>Steinhof</v>
      </c>
    </row>
    <row r="4840">
      <c r="A4840" t="str">
        <f>IFERROR(__xludf.DUMMYFUNCTION("""COMPUTED_VALUE"""),"R-125")</f>
        <v>R-125</v>
      </c>
      <c r="B4840" s="226" t="str">
        <f>IFERROR(__xludf.DUMMYFUNCTION("""COMPUTED_VALUE"""),"5907615819940")</f>
        <v>5907615819940</v>
      </c>
      <c r="C4840" t="str">
        <f>IFERROR(__xludf.DUMMYFUNCTION("""COMPUTED_VALUE"""),"Steinhof")</f>
        <v>Steinhof</v>
      </c>
    </row>
    <row r="4841">
      <c r="A4841" t="str">
        <f>IFERROR(__xludf.DUMMYFUNCTION("""COMPUTED_VALUE"""),"R-127")</f>
        <v>R-127</v>
      </c>
      <c r="B4841" s="226" t="str">
        <f>IFERROR(__xludf.DUMMYFUNCTION("""COMPUTED_VALUE"""),"5907615819964")</f>
        <v>5907615819964</v>
      </c>
      <c r="C4841" t="str">
        <f>IFERROR(__xludf.DUMMYFUNCTION("""COMPUTED_VALUE"""),"Steinhof")</f>
        <v>Steinhof</v>
      </c>
    </row>
    <row r="4842">
      <c r="A4842" t="str">
        <f>IFERROR(__xludf.DUMMYFUNCTION("""COMPUTED_VALUE"""),"R-127")</f>
        <v>R-127</v>
      </c>
      <c r="B4842" s="226" t="str">
        <f>IFERROR(__xludf.DUMMYFUNCTION("""COMPUTED_VALUE"""),"5907615819964")</f>
        <v>5907615819964</v>
      </c>
      <c r="C4842" t="str">
        <f>IFERROR(__xludf.DUMMYFUNCTION("""COMPUTED_VALUE"""),"Steinhof")</f>
        <v>Steinhof</v>
      </c>
    </row>
    <row r="4843">
      <c r="A4843" t="str">
        <f>IFERROR(__xludf.DUMMYFUNCTION("""COMPUTED_VALUE"""),"R-127")</f>
        <v>R-127</v>
      </c>
      <c r="B4843" s="226" t="str">
        <f>IFERROR(__xludf.DUMMYFUNCTION("""COMPUTED_VALUE"""),"5907615819964")</f>
        <v>5907615819964</v>
      </c>
      <c r="C4843" t="str">
        <f>IFERROR(__xludf.DUMMYFUNCTION("""COMPUTED_VALUE"""),"Steinhof")</f>
        <v>Steinhof</v>
      </c>
    </row>
    <row r="4844">
      <c r="A4844" t="str">
        <f>IFERROR(__xludf.DUMMYFUNCTION("""COMPUTED_VALUE"""),"R-127")</f>
        <v>R-127</v>
      </c>
      <c r="B4844" s="226" t="str">
        <f>IFERROR(__xludf.DUMMYFUNCTION("""COMPUTED_VALUE"""),"5907615819964")</f>
        <v>5907615819964</v>
      </c>
      <c r="C4844" t="str">
        <f>IFERROR(__xludf.DUMMYFUNCTION("""COMPUTED_VALUE"""),"Steinhof")</f>
        <v>Steinhof</v>
      </c>
    </row>
    <row r="4845">
      <c r="A4845" t="str">
        <f>IFERROR(__xludf.DUMMYFUNCTION("""COMPUTED_VALUE"""),"R-127")</f>
        <v>R-127</v>
      </c>
      <c r="B4845" s="226" t="str">
        <f>IFERROR(__xludf.DUMMYFUNCTION("""COMPUTED_VALUE"""),"5907615819964")</f>
        <v>5907615819964</v>
      </c>
      <c r="C4845" t="str">
        <f>IFERROR(__xludf.DUMMYFUNCTION("""COMPUTED_VALUE"""),"Steinhof")</f>
        <v>Steinhof</v>
      </c>
    </row>
    <row r="4846">
      <c r="A4846" t="str">
        <f>IFERROR(__xludf.DUMMYFUNCTION("""COMPUTED_VALUE"""),"R-127")</f>
        <v>R-127</v>
      </c>
      <c r="B4846" s="226" t="str">
        <f>IFERROR(__xludf.DUMMYFUNCTION("""COMPUTED_VALUE"""),"5907615819964")</f>
        <v>5907615819964</v>
      </c>
      <c r="C4846" t="str">
        <f>IFERROR(__xludf.DUMMYFUNCTION("""COMPUTED_VALUE"""),"Steinhof")</f>
        <v>Steinhof</v>
      </c>
    </row>
    <row r="4847">
      <c r="A4847" t="str">
        <f>IFERROR(__xludf.DUMMYFUNCTION("""COMPUTED_VALUE"""),"R-127")</f>
        <v>R-127</v>
      </c>
      <c r="B4847" s="226" t="str">
        <f>IFERROR(__xludf.DUMMYFUNCTION("""COMPUTED_VALUE"""),"5907615819964")</f>
        <v>5907615819964</v>
      </c>
      <c r="C4847" t="str">
        <f>IFERROR(__xludf.DUMMYFUNCTION("""COMPUTED_VALUE"""),"Steinhof")</f>
        <v>Steinhof</v>
      </c>
    </row>
    <row r="4848">
      <c r="A4848" t="str">
        <f>IFERROR(__xludf.DUMMYFUNCTION("""COMPUTED_VALUE"""),"R-127")</f>
        <v>R-127</v>
      </c>
      <c r="B4848" s="226" t="str">
        <f>IFERROR(__xludf.DUMMYFUNCTION("""COMPUTED_VALUE"""),"5907615819964")</f>
        <v>5907615819964</v>
      </c>
      <c r="C4848" t="str">
        <f>IFERROR(__xludf.DUMMYFUNCTION("""COMPUTED_VALUE"""),"Steinhof")</f>
        <v>Steinhof</v>
      </c>
    </row>
    <row r="4849">
      <c r="A4849" t="str">
        <f>IFERROR(__xludf.DUMMYFUNCTION("""COMPUTED_VALUE"""),"R-127")</f>
        <v>R-127</v>
      </c>
      <c r="B4849" s="226" t="str">
        <f>IFERROR(__xludf.DUMMYFUNCTION("""COMPUTED_VALUE"""),"5907615819964")</f>
        <v>5907615819964</v>
      </c>
      <c r="C4849" t="str">
        <f>IFERROR(__xludf.DUMMYFUNCTION("""COMPUTED_VALUE"""),"Steinhof")</f>
        <v>Steinhof</v>
      </c>
    </row>
    <row r="4850">
      <c r="A4850" t="str">
        <f>IFERROR(__xludf.DUMMYFUNCTION("""COMPUTED_VALUE"""),"R-127")</f>
        <v>R-127</v>
      </c>
      <c r="B4850" s="226" t="str">
        <f>IFERROR(__xludf.DUMMYFUNCTION("""COMPUTED_VALUE"""),"5907615819964")</f>
        <v>5907615819964</v>
      </c>
      <c r="C4850" t="str">
        <f>IFERROR(__xludf.DUMMYFUNCTION("""COMPUTED_VALUE"""),"Steinhof")</f>
        <v>Steinhof</v>
      </c>
    </row>
    <row r="4851">
      <c r="A4851" t="str">
        <f>IFERROR(__xludf.DUMMYFUNCTION("""COMPUTED_VALUE"""),"R-128")</f>
        <v>R-128</v>
      </c>
      <c r="B4851" s="226" t="str">
        <f>IFERROR(__xludf.DUMMYFUNCTION("""COMPUTED_VALUE"""),"5907615819971")</f>
        <v>5907615819971</v>
      </c>
      <c r="C4851" t="str">
        <f>IFERROR(__xludf.DUMMYFUNCTION("""COMPUTED_VALUE"""),"Steinhof")</f>
        <v>Steinhof</v>
      </c>
    </row>
    <row r="4852">
      <c r="A4852" t="str">
        <f>IFERROR(__xludf.DUMMYFUNCTION("""COMPUTED_VALUE"""),"R-128")</f>
        <v>R-128</v>
      </c>
      <c r="B4852" s="226" t="str">
        <f>IFERROR(__xludf.DUMMYFUNCTION("""COMPUTED_VALUE"""),"5907615819971")</f>
        <v>5907615819971</v>
      </c>
      <c r="C4852" t="str">
        <f>IFERROR(__xludf.DUMMYFUNCTION("""COMPUTED_VALUE"""),"Steinhof")</f>
        <v>Steinhof</v>
      </c>
    </row>
    <row r="4853">
      <c r="A4853" t="str">
        <f>IFERROR(__xludf.DUMMYFUNCTION("""COMPUTED_VALUE"""),"R-128")</f>
        <v>R-128</v>
      </c>
      <c r="B4853" s="226" t="str">
        <f>IFERROR(__xludf.DUMMYFUNCTION("""COMPUTED_VALUE"""),"5907615819971")</f>
        <v>5907615819971</v>
      </c>
      <c r="C4853" t="str">
        <f>IFERROR(__xludf.DUMMYFUNCTION("""COMPUTED_VALUE"""),"Steinhof")</f>
        <v>Steinhof</v>
      </c>
    </row>
    <row r="4854">
      <c r="A4854" t="str">
        <f>IFERROR(__xludf.DUMMYFUNCTION("""COMPUTED_VALUE"""),"R-128")</f>
        <v>R-128</v>
      </c>
      <c r="B4854" s="226" t="str">
        <f>IFERROR(__xludf.DUMMYFUNCTION("""COMPUTED_VALUE"""),"5907615819971")</f>
        <v>5907615819971</v>
      </c>
      <c r="C4854" t="str">
        <f>IFERROR(__xludf.DUMMYFUNCTION("""COMPUTED_VALUE"""),"Steinhof")</f>
        <v>Steinhof</v>
      </c>
    </row>
    <row r="4855">
      <c r="A4855" t="str">
        <f>IFERROR(__xludf.DUMMYFUNCTION("""COMPUTED_VALUE"""),"R-128")</f>
        <v>R-128</v>
      </c>
      <c r="B4855" s="226" t="str">
        <f>IFERROR(__xludf.DUMMYFUNCTION("""COMPUTED_VALUE"""),"5907615819971")</f>
        <v>5907615819971</v>
      </c>
      <c r="C4855" t="str">
        <f>IFERROR(__xludf.DUMMYFUNCTION("""COMPUTED_VALUE"""),"Steinhof")</f>
        <v>Steinhof</v>
      </c>
    </row>
    <row r="4856">
      <c r="A4856" t="str">
        <f>IFERROR(__xludf.DUMMYFUNCTION("""COMPUTED_VALUE"""),"R-128")</f>
        <v>R-128</v>
      </c>
      <c r="B4856" s="226" t="str">
        <f>IFERROR(__xludf.DUMMYFUNCTION("""COMPUTED_VALUE"""),"5907615819971")</f>
        <v>5907615819971</v>
      </c>
      <c r="C4856" t="str">
        <f>IFERROR(__xludf.DUMMYFUNCTION("""COMPUTED_VALUE"""),"Steinhof")</f>
        <v>Steinhof</v>
      </c>
    </row>
    <row r="4857">
      <c r="A4857" t="str">
        <f>IFERROR(__xludf.DUMMYFUNCTION("""COMPUTED_VALUE"""),"R-135")</f>
        <v>R-135</v>
      </c>
      <c r="B4857" s="226" t="str">
        <f>IFERROR(__xludf.DUMMYFUNCTION("""COMPUTED_VALUE"""),"5907615820045")</f>
        <v>5907615820045</v>
      </c>
      <c r="C4857" t="str">
        <f>IFERROR(__xludf.DUMMYFUNCTION("""COMPUTED_VALUE"""),"Steinhof")</f>
        <v>Steinhof</v>
      </c>
    </row>
    <row r="4858">
      <c r="A4858" t="str">
        <f>IFERROR(__xludf.DUMMYFUNCTION("""COMPUTED_VALUE"""),"R-136")</f>
        <v>R-136</v>
      </c>
      <c r="B4858" s="226" t="str">
        <f>IFERROR(__xludf.DUMMYFUNCTION("""COMPUTED_VALUE"""),"5907615820052")</f>
        <v>5907615820052</v>
      </c>
      <c r="C4858" t="str">
        <f>IFERROR(__xludf.DUMMYFUNCTION("""COMPUTED_VALUE"""),"Steinhof")</f>
        <v>Steinhof</v>
      </c>
    </row>
    <row r="4859">
      <c r="A4859" t="str">
        <f>IFERROR(__xludf.DUMMYFUNCTION("""COMPUTED_VALUE"""),"R-136")</f>
        <v>R-136</v>
      </c>
      <c r="B4859" s="226" t="str">
        <f>IFERROR(__xludf.DUMMYFUNCTION("""COMPUTED_VALUE"""),"5907615820052")</f>
        <v>5907615820052</v>
      </c>
      <c r="C4859" t="str">
        <f>IFERROR(__xludf.DUMMYFUNCTION("""COMPUTED_VALUE"""),"Steinhof")</f>
        <v>Steinhof</v>
      </c>
    </row>
    <row r="4860">
      <c r="A4860" t="str">
        <f>IFERROR(__xludf.DUMMYFUNCTION("""COMPUTED_VALUE"""),"R-136")</f>
        <v>R-136</v>
      </c>
      <c r="B4860" s="226" t="str">
        <f>IFERROR(__xludf.DUMMYFUNCTION("""COMPUTED_VALUE"""),"5907615820052")</f>
        <v>5907615820052</v>
      </c>
      <c r="C4860" t="str">
        <f>IFERROR(__xludf.DUMMYFUNCTION("""COMPUTED_VALUE"""),"Steinhof")</f>
        <v>Steinhof</v>
      </c>
    </row>
    <row r="4861">
      <c r="A4861" t="str">
        <f>IFERROR(__xludf.DUMMYFUNCTION("""COMPUTED_VALUE"""),"R-136")</f>
        <v>R-136</v>
      </c>
      <c r="B4861" s="226" t="str">
        <f>IFERROR(__xludf.DUMMYFUNCTION("""COMPUTED_VALUE"""),"5907615820052")</f>
        <v>5907615820052</v>
      </c>
      <c r="C4861" t="str">
        <f>IFERROR(__xludf.DUMMYFUNCTION("""COMPUTED_VALUE"""),"Steinhof")</f>
        <v>Steinhof</v>
      </c>
    </row>
    <row r="4862">
      <c r="A4862" t="str">
        <f>IFERROR(__xludf.DUMMYFUNCTION("""COMPUTED_VALUE"""),"R-137")</f>
        <v>R-137</v>
      </c>
      <c r="B4862" s="226" t="str">
        <f>IFERROR(__xludf.DUMMYFUNCTION("""COMPUTED_VALUE"""),"5907615820069")</f>
        <v>5907615820069</v>
      </c>
      <c r="C4862" t="str">
        <f>IFERROR(__xludf.DUMMYFUNCTION("""COMPUTED_VALUE"""),"Steinhof")</f>
        <v>Steinhof</v>
      </c>
    </row>
    <row r="4863">
      <c r="A4863" t="str">
        <f>IFERROR(__xludf.DUMMYFUNCTION("""COMPUTED_VALUE"""),"R-137")</f>
        <v>R-137</v>
      </c>
      <c r="B4863" s="226" t="str">
        <f>IFERROR(__xludf.DUMMYFUNCTION("""COMPUTED_VALUE"""),"5907615820069")</f>
        <v>5907615820069</v>
      </c>
      <c r="C4863" t="str">
        <f>IFERROR(__xludf.DUMMYFUNCTION("""COMPUTED_VALUE"""),"Steinhof")</f>
        <v>Steinhof</v>
      </c>
    </row>
    <row r="4864">
      <c r="A4864" t="str">
        <f>IFERROR(__xludf.DUMMYFUNCTION("""COMPUTED_VALUE"""),"R-137")</f>
        <v>R-137</v>
      </c>
      <c r="B4864" s="226" t="str">
        <f>IFERROR(__xludf.DUMMYFUNCTION("""COMPUTED_VALUE"""),"5907615820069")</f>
        <v>5907615820069</v>
      </c>
      <c r="C4864" t="str">
        <f>IFERROR(__xludf.DUMMYFUNCTION("""COMPUTED_VALUE"""),"Steinhof")</f>
        <v>Steinhof</v>
      </c>
    </row>
    <row r="4865">
      <c r="A4865" t="str">
        <f>IFERROR(__xludf.DUMMYFUNCTION("""COMPUTED_VALUE"""),"R-137")</f>
        <v>R-137</v>
      </c>
      <c r="B4865" s="226" t="str">
        <f>IFERROR(__xludf.DUMMYFUNCTION("""COMPUTED_VALUE"""),"5907615820069")</f>
        <v>5907615820069</v>
      </c>
      <c r="C4865" t="str">
        <f>IFERROR(__xludf.DUMMYFUNCTION("""COMPUTED_VALUE"""),"Steinhof")</f>
        <v>Steinhof</v>
      </c>
    </row>
    <row r="4866">
      <c r="A4866" t="str">
        <f>IFERROR(__xludf.DUMMYFUNCTION("""COMPUTED_VALUE"""),"S-010")</f>
        <v>S-010</v>
      </c>
      <c r="B4866" s="226" t="str">
        <f>IFERROR(__xludf.DUMMYFUNCTION("""COMPUTED_VALUE"""),"5907615820700")</f>
        <v>5907615820700</v>
      </c>
      <c r="C4866" t="str">
        <f>IFERROR(__xludf.DUMMYFUNCTION("""COMPUTED_VALUE"""),"Steinhof")</f>
        <v>Steinhof</v>
      </c>
    </row>
    <row r="4867">
      <c r="A4867" t="str">
        <f>IFERROR(__xludf.DUMMYFUNCTION("""COMPUTED_VALUE"""),"S-010")</f>
        <v>S-010</v>
      </c>
      <c r="B4867" s="226" t="str">
        <f>IFERROR(__xludf.DUMMYFUNCTION("""COMPUTED_VALUE"""),"5907615820700")</f>
        <v>5907615820700</v>
      </c>
      <c r="C4867" t="str">
        <f>IFERROR(__xludf.DUMMYFUNCTION("""COMPUTED_VALUE"""),"Steinhof")</f>
        <v>Steinhof</v>
      </c>
    </row>
    <row r="4868">
      <c r="A4868" t="str">
        <f>IFERROR(__xludf.DUMMYFUNCTION("""COMPUTED_VALUE"""),"S-011")</f>
        <v>S-011</v>
      </c>
      <c r="B4868" s="226" t="str">
        <f>IFERROR(__xludf.DUMMYFUNCTION("""COMPUTED_VALUE"""),"5907615820717")</f>
        <v>5907615820717</v>
      </c>
      <c r="C4868" t="str">
        <f>IFERROR(__xludf.DUMMYFUNCTION("""COMPUTED_VALUE"""),"Steinhof")</f>
        <v>Steinhof</v>
      </c>
    </row>
    <row r="4869">
      <c r="A4869" t="str">
        <f>IFERROR(__xludf.DUMMYFUNCTION("""COMPUTED_VALUE"""),"S-011")</f>
        <v>S-011</v>
      </c>
      <c r="B4869" s="226" t="str">
        <f>IFERROR(__xludf.DUMMYFUNCTION("""COMPUTED_VALUE"""),"5907615820717")</f>
        <v>5907615820717</v>
      </c>
      <c r="C4869" t="str">
        <f>IFERROR(__xludf.DUMMYFUNCTION("""COMPUTED_VALUE"""),"Steinhof")</f>
        <v>Steinhof</v>
      </c>
    </row>
    <row r="4870">
      <c r="A4870" t="str">
        <f>IFERROR(__xludf.DUMMYFUNCTION("""COMPUTED_VALUE"""),"S-014")</f>
        <v>S-014</v>
      </c>
      <c r="B4870" s="226" t="str">
        <f>IFERROR(__xludf.DUMMYFUNCTION("""COMPUTED_VALUE"""),"5907615820748")</f>
        <v>5907615820748</v>
      </c>
      <c r="C4870" t="str">
        <f>IFERROR(__xludf.DUMMYFUNCTION("""COMPUTED_VALUE"""),"Steinhof")</f>
        <v>Steinhof</v>
      </c>
    </row>
    <row r="4871">
      <c r="A4871" t="str">
        <f>IFERROR(__xludf.DUMMYFUNCTION("""COMPUTED_VALUE"""),"S-014")</f>
        <v>S-014</v>
      </c>
      <c r="B4871" s="226" t="str">
        <f>IFERROR(__xludf.DUMMYFUNCTION("""COMPUTED_VALUE"""),"5907615820748")</f>
        <v>5907615820748</v>
      </c>
      <c r="C4871" t="str">
        <f>IFERROR(__xludf.DUMMYFUNCTION("""COMPUTED_VALUE"""),"Steinhof")</f>
        <v>Steinhof</v>
      </c>
    </row>
    <row r="4872">
      <c r="A4872" t="str">
        <f>IFERROR(__xludf.DUMMYFUNCTION("""COMPUTED_VALUE"""),"S-015")</f>
        <v>S-015</v>
      </c>
      <c r="B4872" s="226" t="str">
        <f>IFERROR(__xludf.DUMMYFUNCTION("""COMPUTED_VALUE"""),"5907615820755")</f>
        <v>5907615820755</v>
      </c>
      <c r="C4872" t="str">
        <f>IFERROR(__xludf.DUMMYFUNCTION("""COMPUTED_VALUE"""),"Steinhof")</f>
        <v>Steinhof</v>
      </c>
    </row>
    <row r="4873">
      <c r="A4873" t="str">
        <f>IFERROR(__xludf.DUMMYFUNCTION("""COMPUTED_VALUE"""),"S-015")</f>
        <v>S-015</v>
      </c>
      <c r="B4873" s="226" t="str">
        <f>IFERROR(__xludf.DUMMYFUNCTION("""COMPUTED_VALUE"""),"5907615820755")</f>
        <v>5907615820755</v>
      </c>
      <c r="C4873" t="str">
        <f>IFERROR(__xludf.DUMMYFUNCTION("""COMPUTED_VALUE"""),"Steinhof")</f>
        <v>Steinhof</v>
      </c>
    </row>
    <row r="4874">
      <c r="A4874" t="str">
        <f>IFERROR(__xludf.DUMMYFUNCTION("""COMPUTED_VALUE"""),"S-016")</f>
        <v>S-016</v>
      </c>
      <c r="B4874" s="226" t="str">
        <f>IFERROR(__xludf.DUMMYFUNCTION("""COMPUTED_VALUE"""),"5907615820762")</f>
        <v>5907615820762</v>
      </c>
      <c r="C4874" t="str">
        <f>IFERROR(__xludf.DUMMYFUNCTION("""COMPUTED_VALUE"""),"Steinhof")</f>
        <v>Steinhof</v>
      </c>
    </row>
    <row r="4875">
      <c r="A4875" t="str">
        <f>IFERROR(__xludf.DUMMYFUNCTION("""COMPUTED_VALUE"""),"S-016")</f>
        <v>S-016</v>
      </c>
      <c r="B4875" s="226" t="str">
        <f>IFERROR(__xludf.DUMMYFUNCTION("""COMPUTED_VALUE"""),"5907615820762")</f>
        <v>5907615820762</v>
      </c>
      <c r="C4875" t="str">
        <f>IFERROR(__xludf.DUMMYFUNCTION("""COMPUTED_VALUE"""),"Steinhof")</f>
        <v>Steinhof</v>
      </c>
    </row>
    <row r="4876">
      <c r="A4876" t="str">
        <f>IFERROR(__xludf.DUMMYFUNCTION("""COMPUTED_VALUE"""),"S-017")</f>
        <v>S-017</v>
      </c>
      <c r="B4876" s="226" t="str">
        <f>IFERROR(__xludf.DUMMYFUNCTION("""COMPUTED_VALUE"""),"5907615820779")</f>
        <v>5907615820779</v>
      </c>
      <c r="C4876" t="str">
        <f>IFERROR(__xludf.DUMMYFUNCTION("""COMPUTED_VALUE"""),"Steinhof")</f>
        <v>Steinhof</v>
      </c>
    </row>
    <row r="4877">
      <c r="A4877" t="str">
        <f>IFERROR(__xludf.DUMMYFUNCTION("""COMPUTED_VALUE"""),"S-017")</f>
        <v>S-017</v>
      </c>
      <c r="B4877" s="226" t="str">
        <f>IFERROR(__xludf.DUMMYFUNCTION("""COMPUTED_VALUE"""),"5907615820779")</f>
        <v>5907615820779</v>
      </c>
      <c r="C4877" t="str">
        <f>IFERROR(__xludf.DUMMYFUNCTION("""COMPUTED_VALUE"""),"Steinhof")</f>
        <v>Steinhof</v>
      </c>
    </row>
    <row r="4878">
      <c r="A4878" t="str">
        <f>IFERROR(__xludf.DUMMYFUNCTION("""COMPUTED_VALUE"""),"S-018")</f>
        <v>S-018</v>
      </c>
      <c r="B4878" s="226" t="str">
        <f>IFERROR(__xludf.DUMMYFUNCTION("""COMPUTED_VALUE"""),"5907615820786")</f>
        <v>5907615820786</v>
      </c>
      <c r="C4878" t="str">
        <f>IFERROR(__xludf.DUMMYFUNCTION("""COMPUTED_VALUE"""),"Steinhof")</f>
        <v>Steinhof</v>
      </c>
    </row>
    <row r="4879">
      <c r="A4879" t="str">
        <f>IFERROR(__xludf.DUMMYFUNCTION("""COMPUTED_VALUE"""),"S-018")</f>
        <v>S-018</v>
      </c>
      <c r="B4879" s="226" t="str">
        <f>IFERROR(__xludf.DUMMYFUNCTION("""COMPUTED_VALUE"""),"5907615820786")</f>
        <v>5907615820786</v>
      </c>
      <c r="C4879" t="str">
        <f>IFERROR(__xludf.DUMMYFUNCTION("""COMPUTED_VALUE"""),"Steinhof")</f>
        <v>Steinhof</v>
      </c>
    </row>
    <row r="4880">
      <c r="A4880" t="str">
        <f>IFERROR(__xludf.DUMMYFUNCTION("""COMPUTED_VALUE"""),"S-019")</f>
        <v>S-019</v>
      </c>
      <c r="B4880" s="226" t="str">
        <f>IFERROR(__xludf.DUMMYFUNCTION("""COMPUTED_VALUE"""),"5907615820793")</f>
        <v>5907615820793</v>
      </c>
      <c r="C4880" t="str">
        <f>IFERROR(__xludf.DUMMYFUNCTION("""COMPUTED_VALUE"""),"Steinhof")</f>
        <v>Steinhof</v>
      </c>
    </row>
    <row r="4881">
      <c r="A4881" t="str">
        <f>IFERROR(__xludf.DUMMYFUNCTION("""COMPUTED_VALUE"""),"S-019")</f>
        <v>S-019</v>
      </c>
      <c r="B4881" s="226" t="str">
        <f>IFERROR(__xludf.DUMMYFUNCTION("""COMPUTED_VALUE"""),"5907615820793")</f>
        <v>5907615820793</v>
      </c>
      <c r="C4881" t="str">
        <f>IFERROR(__xludf.DUMMYFUNCTION("""COMPUTED_VALUE"""),"Steinhof")</f>
        <v>Steinhof</v>
      </c>
    </row>
    <row r="4882">
      <c r="A4882" t="str">
        <f>IFERROR(__xludf.DUMMYFUNCTION("""COMPUTED_VALUE"""),"S-101")</f>
        <v>S-101</v>
      </c>
      <c r="B4882" s="226" t="str">
        <f>IFERROR(__xludf.DUMMYFUNCTION("""COMPUTED_VALUE"""),"5907615821004")</f>
        <v>5907615821004</v>
      </c>
      <c r="C4882" t="str">
        <f>IFERROR(__xludf.DUMMYFUNCTION("""COMPUTED_VALUE"""),"Steinhof")</f>
        <v>Steinhof</v>
      </c>
    </row>
    <row r="4883">
      <c r="A4883" t="str">
        <f>IFERROR(__xludf.DUMMYFUNCTION("""COMPUTED_VALUE"""),"S-101")</f>
        <v>S-101</v>
      </c>
      <c r="B4883" s="226" t="str">
        <f>IFERROR(__xludf.DUMMYFUNCTION("""COMPUTED_VALUE"""),"5907615821004")</f>
        <v>5907615821004</v>
      </c>
      <c r="C4883" t="str">
        <f>IFERROR(__xludf.DUMMYFUNCTION("""COMPUTED_VALUE"""),"Steinhof")</f>
        <v>Steinhof</v>
      </c>
    </row>
    <row r="4884">
      <c r="A4884" t="str">
        <f>IFERROR(__xludf.DUMMYFUNCTION("""COMPUTED_VALUE"""),"S-101")</f>
        <v>S-101</v>
      </c>
      <c r="B4884" s="226" t="str">
        <f>IFERROR(__xludf.DUMMYFUNCTION("""COMPUTED_VALUE"""),"5907615821004")</f>
        <v>5907615821004</v>
      </c>
      <c r="C4884" t="str">
        <f>IFERROR(__xludf.DUMMYFUNCTION("""COMPUTED_VALUE"""),"Steinhof")</f>
        <v>Steinhof</v>
      </c>
    </row>
    <row r="4885">
      <c r="A4885" t="str">
        <f>IFERROR(__xludf.DUMMYFUNCTION("""COMPUTED_VALUE"""),"S-101")</f>
        <v>S-101</v>
      </c>
      <c r="B4885" s="226" t="str">
        <f>IFERROR(__xludf.DUMMYFUNCTION("""COMPUTED_VALUE"""),"5907615821004")</f>
        <v>5907615821004</v>
      </c>
      <c r="C4885" t="str">
        <f>IFERROR(__xludf.DUMMYFUNCTION("""COMPUTED_VALUE"""),"Steinhof")</f>
        <v>Steinhof</v>
      </c>
    </row>
    <row r="4886">
      <c r="A4886" t="str">
        <f>IFERROR(__xludf.DUMMYFUNCTION("""COMPUTED_VALUE"""),"S-101")</f>
        <v>S-101</v>
      </c>
      <c r="B4886" s="226" t="str">
        <f>IFERROR(__xludf.DUMMYFUNCTION("""COMPUTED_VALUE"""),"5907615821004")</f>
        <v>5907615821004</v>
      </c>
      <c r="C4886" t="str">
        <f>IFERROR(__xludf.DUMMYFUNCTION("""COMPUTED_VALUE"""),"Steinhof")</f>
        <v>Steinhof</v>
      </c>
    </row>
    <row r="4887">
      <c r="A4887" t="str">
        <f>IFERROR(__xludf.DUMMYFUNCTION("""COMPUTED_VALUE"""),"S-101")</f>
        <v>S-101</v>
      </c>
      <c r="B4887" s="226" t="str">
        <f>IFERROR(__xludf.DUMMYFUNCTION("""COMPUTED_VALUE"""),"5907615821004")</f>
        <v>5907615821004</v>
      </c>
      <c r="C4887" t="str">
        <f>IFERROR(__xludf.DUMMYFUNCTION("""COMPUTED_VALUE"""),"Steinhof")</f>
        <v>Steinhof</v>
      </c>
    </row>
    <row r="4888">
      <c r="A4888" t="str">
        <f>IFERROR(__xludf.DUMMYFUNCTION("""COMPUTED_VALUE"""),"S-101")</f>
        <v>S-101</v>
      </c>
      <c r="B4888" s="226" t="str">
        <f>IFERROR(__xludf.DUMMYFUNCTION("""COMPUTED_VALUE"""),"5907615821004")</f>
        <v>5907615821004</v>
      </c>
      <c r="C4888" t="str">
        <f>IFERROR(__xludf.DUMMYFUNCTION("""COMPUTED_VALUE"""),"Steinhof")</f>
        <v>Steinhof</v>
      </c>
    </row>
    <row r="4889">
      <c r="A4889" t="str">
        <f>IFERROR(__xludf.DUMMYFUNCTION("""COMPUTED_VALUE"""),"S-101")</f>
        <v>S-101</v>
      </c>
      <c r="B4889" s="226" t="str">
        <f>IFERROR(__xludf.DUMMYFUNCTION("""COMPUTED_VALUE"""),"5907615821004")</f>
        <v>5907615821004</v>
      </c>
      <c r="C4889" t="str">
        <f>IFERROR(__xludf.DUMMYFUNCTION("""COMPUTED_VALUE"""),"Steinhof")</f>
        <v>Steinhof</v>
      </c>
    </row>
    <row r="4890">
      <c r="A4890" t="str">
        <f>IFERROR(__xludf.DUMMYFUNCTION("""COMPUTED_VALUE"""),"S-102")</f>
        <v>S-102</v>
      </c>
      <c r="B4890" s="226" t="str">
        <f>IFERROR(__xludf.DUMMYFUNCTION("""COMPUTED_VALUE"""),"5907615821028")</f>
        <v>5907615821028</v>
      </c>
      <c r="C4890" t="str">
        <f>IFERROR(__xludf.DUMMYFUNCTION("""COMPUTED_VALUE"""),"Steinhof")</f>
        <v>Steinhof</v>
      </c>
    </row>
    <row r="4891">
      <c r="A4891" t="str">
        <f>IFERROR(__xludf.DUMMYFUNCTION("""COMPUTED_VALUE"""),"S-102")</f>
        <v>S-102</v>
      </c>
      <c r="B4891" s="226" t="str">
        <f>IFERROR(__xludf.DUMMYFUNCTION("""COMPUTED_VALUE"""),"5907615821028")</f>
        <v>5907615821028</v>
      </c>
      <c r="C4891" t="str">
        <f>IFERROR(__xludf.DUMMYFUNCTION("""COMPUTED_VALUE"""),"Steinhof")</f>
        <v>Steinhof</v>
      </c>
    </row>
    <row r="4892">
      <c r="A4892" t="str">
        <f>IFERROR(__xludf.DUMMYFUNCTION("""COMPUTED_VALUE"""),"S-102")</f>
        <v>S-102</v>
      </c>
      <c r="B4892" s="226" t="str">
        <f>IFERROR(__xludf.DUMMYFUNCTION("""COMPUTED_VALUE"""),"5907615821028")</f>
        <v>5907615821028</v>
      </c>
      <c r="C4892" t="str">
        <f>IFERROR(__xludf.DUMMYFUNCTION("""COMPUTED_VALUE"""),"Steinhof")</f>
        <v>Steinhof</v>
      </c>
    </row>
    <row r="4893">
      <c r="A4893" t="str">
        <f>IFERROR(__xludf.DUMMYFUNCTION("""COMPUTED_VALUE"""),"S-102")</f>
        <v>S-102</v>
      </c>
      <c r="B4893" s="226" t="str">
        <f>IFERROR(__xludf.DUMMYFUNCTION("""COMPUTED_VALUE"""),"5907615821028")</f>
        <v>5907615821028</v>
      </c>
      <c r="C4893" t="str">
        <f>IFERROR(__xludf.DUMMYFUNCTION("""COMPUTED_VALUE"""),"Steinhof")</f>
        <v>Steinhof</v>
      </c>
    </row>
    <row r="4894">
      <c r="A4894" t="str">
        <f>IFERROR(__xludf.DUMMYFUNCTION("""COMPUTED_VALUE"""),"S-103")</f>
        <v>S-103</v>
      </c>
      <c r="B4894" s="226" t="str">
        <f>IFERROR(__xludf.DUMMYFUNCTION("""COMPUTED_VALUE"""),"5907615821035")</f>
        <v>5907615821035</v>
      </c>
      <c r="C4894" t="str">
        <f>IFERROR(__xludf.DUMMYFUNCTION("""COMPUTED_VALUE"""),"Steinhof")</f>
        <v>Steinhof</v>
      </c>
    </row>
    <row r="4895">
      <c r="A4895" t="str">
        <f>IFERROR(__xludf.DUMMYFUNCTION("""COMPUTED_VALUE"""),"S-103")</f>
        <v>S-103</v>
      </c>
      <c r="B4895" s="226" t="str">
        <f>IFERROR(__xludf.DUMMYFUNCTION("""COMPUTED_VALUE"""),"5907615821035")</f>
        <v>5907615821035</v>
      </c>
      <c r="C4895" t="str">
        <f>IFERROR(__xludf.DUMMYFUNCTION("""COMPUTED_VALUE"""),"Steinhof")</f>
        <v>Steinhof</v>
      </c>
    </row>
    <row r="4896">
      <c r="A4896" t="str">
        <f>IFERROR(__xludf.DUMMYFUNCTION("""COMPUTED_VALUE"""),"S-104")</f>
        <v>S-104</v>
      </c>
      <c r="B4896" s="226" t="str">
        <f>IFERROR(__xludf.DUMMYFUNCTION("""COMPUTED_VALUE"""),"5907615821042")</f>
        <v>5907615821042</v>
      </c>
      <c r="C4896" t="str">
        <f>IFERROR(__xludf.DUMMYFUNCTION("""COMPUTED_VALUE"""),"Steinhof")</f>
        <v>Steinhof</v>
      </c>
    </row>
    <row r="4897">
      <c r="A4897" t="str">
        <f>IFERROR(__xludf.DUMMYFUNCTION("""COMPUTED_VALUE"""),"S-104")</f>
        <v>S-104</v>
      </c>
      <c r="B4897" s="226" t="str">
        <f>IFERROR(__xludf.DUMMYFUNCTION("""COMPUTED_VALUE"""),"5907615821042")</f>
        <v>5907615821042</v>
      </c>
      <c r="C4897" t="str">
        <f>IFERROR(__xludf.DUMMYFUNCTION("""COMPUTED_VALUE"""),"Steinhof")</f>
        <v>Steinhof</v>
      </c>
    </row>
    <row r="4898">
      <c r="A4898" t="str">
        <f>IFERROR(__xludf.DUMMYFUNCTION("""COMPUTED_VALUE"""),"S-104")</f>
        <v>S-104</v>
      </c>
      <c r="B4898" s="226" t="str">
        <f>IFERROR(__xludf.DUMMYFUNCTION("""COMPUTED_VALUE"""),"5907615821042")</f>
        <v>5907615821042</v>
      </c>
      <c r="C4898" t="str">
        <f>IFERROR(__xludf.DUMMYFUNCTION("""COMPUTED_VALUE"""),"Steinhof")</f>
        <v>Steinhof</v>
      </c>
    </row>
    <row r="4899">
      <c r="A4899" t="str">
        <f>IFERROR(__xludf.DUMMYFUNCTION("""COMPUTED_VALUE"""),"S-104")</f>
        <v>S-104</v>
      </c>
      <c r="B4899" s="226" t="str">
        <f>IFERROR(__xludf.DUMMYFUNCTION("""COMPUTED_VALUE"""),"5907615821042")</f>
        <v>5907615821042</v>
      </c>
      <c r="C4899" t="str">
        <f>IFERROR(__xludf.DUMMYFUNCTION("""COMPUTED_VALUE"""),"Steinhof")</f>
        <v>Steinhof</v>
      </c>
    </row>
    <row r="4900">
      <c r="A4900" t="str">
        <f>IFERROR(__xludf.DUMMYFUNCTION("""COMPUTED_VALUE"""),"S-105")</f>
        <v>S-105</v>
      </c>
      <c r="B4900" s="226" t="str">
        <f>IFERROR(__xludf.DUMMYFUNCTION("""COMPUTED_VALUE"""),"5907615821059")</f>
        <v>5907615821059</v>
      </c>
      <c r="C4900" t="str">
        <f>IFERROR(__xludf.DUMMYFUNCTION("""COMPUTED_VALUE"""),"Steinhof")</f>
        <v>Steinhof</v>
      </c>
    </row>
    <row r="4901">
      <c r="A4901" t="str">
        <f>IFERROR(__xludf.DUMMYFUNCTION("""COMPUTED_VALUE"""),"S-105")</f>
        <v>S-105</v>
      </c>
      <c r="B4901" s="226" t="str">
        <f>IFERROR(__xludf.DUMMYFUNCTION("""COMPUTED_VALUE"""),"5907615821059")</f>
        <v>5907615821059</v>
      </c>
      <c r="C4901" t="str">
        <f>IFERROR(__xludf.DUMMYFUNCTION("""COMPUTED_VALUE"""),"Steinhof")</f>
        <v>Steinhof</v>
      </c>
    </row>
    <row r="4902">
      <c r="A4902" t="str">
        <f>IFERROR(__xludf.DUMMYFUNCTION("""COMPUTED_VALUE"""),"S-105")</f>
        <v>S-105</v>
      </c>
      <c r="B4902" s="226" t="str">
        <f>IFERROR(__xludf.DUMMYFUNCTION("""COMPUTED_VALUE"""),"5907615821059")</f>
        <v>5907615821059</v>
      </c>
      <c r="C4902" t="str">
        <f>IFERROR(__xludf.DUMMYFUNCTION("""COMPUTED_VALUE"""),"Steinhof")</f>
        <v>Steinhof</v>
      </c>
    </row>
    <row r="4903">
      <c r="A4903" t="str">
        <f>IFERROR(__xludf.DUMMYFUNCTION("""COMPUTED_VALUE"""),"S-110")</f>
        <v>S-110</v>
      </c>
      <c r="B4903" s="226" t="str">
        <f>IFERROR(__xludf.DUMMYFUNCTION("""COMPUTED_VALUE"""),"5907615821103")</f>
        <v>5907615821103</v>
      </c>
      <c r="C4903" t="str">
        <f>IFERROR(__xludf.DUMMYFUNCTION("""COMPUTED_VALUE"""),"Steinhof")</f>
        <v>Steinhof</v>
      </c>
    </row>
    <row r="4904">
      <c r="A4904" t="str">
        <f>IFERROR(__xludf.DUMMYFUNCTION("""COMPUTED_VALUE"""),"S-110")</f>
        <v>S-110</v>
      </c>
      <c r="B4904" s="226" t="str">
        <f>IFERROR(__xludf.DUMMYFUNCTION("""COMPUTED_VALUE"""),"5907615821103")</f>
        <v>5907615821103</v>
      </c>
      <c r="C4904" t="str">
        <f>IFERROR(__xludf.DUMMYFUNCTION("""COMPUTED_VALUE"""),"Steinhof")</f>
        <v>Steinhof</v>
      </c>
    </row>
    <row r="4905">
      <c r="A4905" t="str">
        <f>IFERROR(__xludf.DUMMYFUNCTION("""COMPUTED_VALUE"""),"S-112")</f>
        <v>S-112</v>
      </c>
      <c r="B4905" s="226" t="str">
        <f>IFERROR(__xludf.DUMMYFUNCTION("""COMPUTED_VALUE"""),"5907615821127")</f>
        <v>5907615821127</v>
      </c>
      <c r="C4905" t="str">
        <f>IFERROR(__xludf.DUMMYFUNCTION("""COMPUTED_VALUE"""),"Steinhof")</f>
        <v>Steinhof</v>
      </c>
    </row>
    <row r="4906">
      <c r="A4906" t="str">
        <f>IFERROR(__xludf.DUMMYFUNCTION("""COMPUTED_VALUE"""),"S-112")</f>
        <v>S-112</v>
      </c>
      <c r="B4906" s="226" t="str">
        <f>IFERROR(__xludf.DUMMYFUNCTION("""COMPUTED_VALUE"""),"5907615821127")</f>
        <v>5907615821127</v>
      </c>
      <c r="C4906" t="str">
        <f>IFERROR(__xludf.DUMMYFUNCTION("""COMPUTED_VALUE"""),"Steinhof")</f>
        <v>Steinhof</v>
      </c>
    </row>
    <row r="4907">
      <c r="A4907" t="str">
        <f>IFERROR(__xludf.DUMMYFUNCTION("""COMPUTED_VALUE"""),"S-112")</f>
        <v>S-112</v>
      </c>
      <c r="B4907" s="226" t="str">
        <f>IFERROR(__xludf.DUMMYFUNCTION("""COMPUTED_VALUE"""),"5907615821127")</f>
        <v>5907615821127</v>
      </c>
      <c r="C4907" t="str">
        <f>IFERROR(__xludf.DUMMYFUNCTION("""COMPUTED_VALUE"""),"Steinhof")</f>
        <v>Steinhof</v>
      </c>
    </row>
    <row r="4908">
      <c r="A4908" t="str">
        <f>IFERROR(__xludf.DUMMYFUNCTION("""COMPUTED_VALUE"""),"S-112")</f>
        <v>S-112</v>
      </c>
      <c r="B4908" s="226" t="str">
        <f>IFERROR(__xludf.DUMMYFUNCTION("""COMPUTED_VALUE"""),"5907615821127")</f>
        <v>5907615821127</v>
      </c>
      <c r="C4908" t="str">
        <f>IFERROR(__xludf.DUMMYFUNCTION("""COMPUTED_VALUE"""),"Steinhof")</f>
        <v>Steinhof</v>
      </c>
    </row>
    <row r="4909">
      <c r="A4909" t="str">
        <f>IFERROR(__xludf.DUMMYFUNCTION("""COMPUTED_VALUE"""),"S-112")</f>
        <v>S-112</v>
      </c>
      <c r="B4909" s="226" t="str">
        <f>IFERROR(__xludf.DUMMYFUNCTION("""COMPUTED_VALUE"""),"5907615821127")</f>
        <v>5907615821127</v>
      </c>
      <c r="C4909" t="str">
        <f>IFERROR(__xludf.DUMMYFUNCTION("""COMPUTED_VALUE"""),"Steinhof")</f>
        <v>Steinhof</v>
      </c>
    </row>
    <row r="4910">
      <c r="A4910" t="str">
        <f>IFERROR(__xludf.DUMMYFUNCTION("""COMPUTED_VALUE"""),"S-112")</f>
        <v>S-112</v>
      </c>
      <c r="B4910" s="226" t="str">
        <f>IFERROR(__xludf.DUMMYFUNCTION("""COMPUTED_VALUE"""),"5907615821127")</f>
        <v>5907615821127</v>
      </c>
      <c r="C4910" t="str">
        <f>IFERROR(__xludf.DUMMYFUNCTION("""COMPUTED_VALUE"""),"Steinhof")</f>
        <v>Steinhof</v>
      </c>
    </row>
    <row r="4911">
      <c r="A4911" t="str">
        <f>IFERROR(__xludf.DUMMYFUNCTION("""COMPUTED_VALUE"""),"S-112")</f>
        <v>S-112</v>
      </c>
      <c r="B4911" s="226" t="str">
        <f>IFERROR(__xludf.DUMMYFUNCTION("""COMPUTED_VALUE"""),"5907615821127")</f>
        <v>5907615821127</v>
      </c>
      <c r="C4911" t="str">
        <f>IFERROR(__xludf.DUMMYFUNCTION("""COMPUTED_VALUE"""),"Steinhof")</f>
        <v>Steinhof</v>
      </c>
    </row>
    <row r="4912">
      <c r="A4912" t="str">
        <f>IFERROR(__xludf.DUMMYFUNCTION("""COMPUTED_VALUE"""),"S-112")</f>
        <v>S-112</v>
      </c>
      <c r="B4912" s="226" t="str">
        <f>IFERROR(__xludf.DUMMYFUNCTION("""COMPUTED_VALUE"""),"5907615821127")</f>
        <v>5907615821127</v>
      </c>
      <c r="C4912" t="str">
        <f>IFERROR(__xludf.DUMMYFUNCTION("""COMPUTED_VALUE"""),"Steinhof")</f>
        <v>Steinhof</v>
      </c>
    </row>
    <row r="4913">
      <c r="A4913" t="str">
        <f>IFERROR(__xludf.DUMMYFUNCTION("""COMPUTED_VALUE"""),"S-112")</f>
        <v>S-112</v>
      </c>
      <c r="B4913" s="226" t="str">
        <f>IFERROR(__xludf.DUMMYFUNCTION("""COMPUTED_VALUE"""),"5907615821127")</f>
        <v>5907615821127</v>
      </c>
      <c r="C4913" t="str">
        <f>IFERROR(__xludf.DUMMYFUNCTION("""COMPUTED_VALUE"""),"Steinhof")</f>
        <v>Steinhof</v>
      </c>
    </row>
    <row r="4914">
      <c r="A4914" t="str">
        <f>IFERROR(__xludf.DUMMYFUNCTION("""COMPUTED_VALUE"""),"S-112")</f>
        <v>S-112</v>
      </c>
      <c r="B4914" s="226" t="str">
        <f>IFERROR(__xludf.DUMMYFUNCTION("""COMPUTED_VALUE"""),"5907615821127")</f>
        <v>5907615821127</v>
      </c>
      <c r="C4914" t="str">
        <f>IFERROR(__xludf.DUMMYFUNCTION("""COMPUTED_VALUE"""),"Steinhof")</f>
        <v>Steinhof</v>
      </c>
    </row>
    <row r="4915">
      <c r="A4915" t="str">
        <f>IFERROR(__xludf.DUMMYFUNCTION("""COMPUTED_VALUE"""),"S-112")</f>
        <v>S-112</v>
      </c>
      <c r="B4915" s="226" t="str">
        <f>IFERROR(__xludf.DUMMYFUNCTION("""COMPUTED_VALUE"""),"5907615821127")</f>
        <v>5907615821127</v>
      </c>
      <c r="C4915" t="str">
        <f>IFERROR(__xludf.DUMMYFUNCTION("""COMPUTED_VALUE"""),"Steinhof")</f>
        <v>Steinhof</v>
      </c>
    </row>
    <row r="4916">
      <c r="A4916" t="str">
        <f>IFERROR(__xludf.DUMMYFUNCTION("""COMPUTED_VALUE"""),"S-112")</f>
        <v>S-112</v>
      </c>
      <c r="B4916" s="226" t="str">
        <f>IFERROR(__xludf.DUMMYFUNCTION("""COMPUTED_VALUE"""),"5907615821127")</f>
        <v>5907615821127</v>
      </c>
      <c r="C4916" t="str">
        <f>IFERROR(__xludf.DUMMYFUNCTION("""COMPUTED_VALUE"""),"Steinhof")</f>
        <v>Steinhof</v>
      </c>
    </row>
    <row r="4917">
      <c r="A4917" t="str">
        <f>IFERROR(__xludf.DUMMYFUNCTION("""COMPUTED_VALUE"""),"S-112")</f>
        <v>S-112</v>
      </c>
      <c r="B4917" s="226" t="str">
        <f>IFERROR(__xludf.DUMMYFUNCTION("""COMPUTED_VALUE"""),"5907615821127")</f>
        <v>5907615821127</v>
      </c>
      <c r="C4917" t="str">
        <f>IFERROR(__xludf.DUMMYFUNCTION("""COMPUTED_VALUE"""),"Steinhof")</f>
        <v>Steinhof</v>
      </c>
    </row>
    <row r="4918">
      <c r="A4918" t="str">
        <f>IFERROR(__xludf.DUMMYFUNCTION("""COMPUTED_VALUE"""),"S-112")</f>
        <v>S-112</v>
      </c>
      <c r="B4918" s="226" t="str">
        <f>IFERROR(__xludf.DUMMYFUNCTION("""COMPUTED_VALUE"""),"5907615821127")</f>
        <v>5907615821127</v>
      </c>
      <c r="C4918" t="str">
        <f>IFERROR(__xludf.DUMMYFUNCTION("""COMPUTED_VALUE"""),"Steinhof")</f>
        <v>Steinhof</v>
      </c>
    </row>
    <row r="4919">
      <c r="A4919" t="str">
        <f>IFERROR(__xludf.DUMMYFUNCTION("""COMPUTED_VALUE"""),"S-115")</f>
        <v>S-115</v>
      </c>
      <c r="B4919" s="226" t="str">
        <f>IFERROR(__xludf.DUMMYFUNCTION("""COMPUTED_VALUE"""),"5907615821158")</f>
        <v>5907615821158</v>
      </c>
      <c r="C4919" t="str">
        <f>IFERROR(__xludf.DUMMYFUNCTION("""COMPUTED_VALUE"""),"Steinhof")</f>
        <v>Steinhof</v>
      </c>
    </row>
    <row r="4920">
      <c r="A4920" t="str">
        <f>IFERROR(__xludf.DUMMYFUNCTION("""COMPUTED_VALUE"""),"S-115")</f>
        <v>S-115</v>
      </c>
      <c r="B4920" s="226" t="str">
        <f>IFERROR(__xludf.DUMMYFUNCTION("""COMPUTED_VALUE"""),"5907615821158")</f>
        <v>5907615821158</v>
      </c>
      <c r="C4920" t="str">
        <f>IFERROR(__xludf.DUMMYFUNCTION("""COMPUTED_VALUE"""),"Steinhof")</f>
        <v>Steinhof</v>
      </c>
    </row>
    <row r="4921">
      <c r="A4921" t="str">
        <f>IFERROR(__xludf.DUMMYFUNCTION("""COMPUTED_VALUE"""),"S-140")</f>
        <v>S-140</v>
      </c>
      <c r="B4921" s="226" t="str">
        <f>IFERROR(__xludf.DUMMYFUNCTION("""COMPUTED_VALUE"""),"5907615821400")</f>
        <v>5907615821400</v>
      </c>
      <c r="C4921" t="str">
        <f>IFERROR(__xludf.DUMMYFUNCTION("""COMPUTED_VALUE"""),"Steinhof")</f>
        <v>Steinhof</v>
      </c>
    </row>
    <row r="4922">
      <c r="A4922" t="str">
        <f>IFERROR(__xludf.DUMMYFUNCTION("""COMPUTED_VALUE"""),"S-141")</f>
        <v>S-141</v>
      </c>
      <c r="B4922" s="226" t="str">
        <f>IFERROR(__xludf.DUMMYFUNCTION("""COMPUTED_VALUE"""),"5907615821417")</f>
        <v>5907615821417</v>
      </c>
      <c r="C4922" t="str">
        <f>IFERROR(__xludf.DUMMYFUNCTION("""COMPUTED_VALUE"""),"Steinhof")</f>
        <v>Steinhof</v>
      </c>
    </row>
    <row r="4923">
      <c r="A4923" t="str">
        <f>IFERROR(__xludf.DUMMYFUNCTION("""COMPUTED_VALUE"""),"S-141")</f>
        <v>S-141</v>
      </c>
      <c r="B4923" s="226" t="str">
        <f>IFERROR(__xludf.DUMMYFUNCTION("""COMPUTED_VALUE"""),"5907615821417")</f>
        <v>5907615821417</v>
      </c>
      <c r="C4923" t="str">
        <f>IFERROR(__xludf.DUMMYFUNCTION("""COMPUTED_VALUE"""),"Steinhof")</f>
        <v>Steinhof</v>
      </c>
    </row>
    <row r="4924">
      <c r="A4924" t="str">
        <f>IFERROR(__xludf.DUMMYFUNCTION("""COMPUTED_VALUE"""),"S-142/1")</f>
        <v>S-142/1</v>
      </c>
      <c r="B4924" s="226" t="str">
        <f>IFERROR(__xludf.DUMMYFUNCTION("""COMPUTED_VALUE"""),"5907615821424")</f>
        <v>5907615821424</v>
      </c>
      <c r="C4924" t="str">
        <f>IFERROR(__xludf.DUMMYFUNCTION("""COMPUTED_VALUE"""),"Steinhof")</f>
        <v>Steinhof</v>
      </c>
    </row>
    <row r="4925">
      <c r="A4925" t="str">
        <f>IFERROR(__xludf.DUMMYFUNCTION("""COMPUTED_VALUE"""),"S-142/1")</f>
        <v>S-142/1</v>
      </c>
      <c r="B4925" s="226" t="str">
        <f>IFERROR(__xludf.DUMMYFUNCTION("""COMPUTED_VALUE"""),"5907615821424")</f>
        <v>5907615821424</v>
      </c>
      <c r="C4925" t="str">
        <f>IFERROR(__xludf.DUMMYFUNCTION("""COMPUTED_VALUE"""),"Steinhof")</f>
        <v>Steinhof</v>
      </c>
    </row>
    <row r="4926">
      <c r="A4926" t="str">
        <f>IFERROR(__xludf.DUMMYFUNCTION("""COMPUTED_VALUE"""),"S-146")</f>
        <v>S-146</v>
      </c>
      <c r="B4926" s="226" t="str">
        <f>IFERROR(__xludf.DUMMYFUNCTION("""COMPUTED_VALUE"""),"5907615821462")</f>
        <v>5907615821462</v>
      </c>
      <c r="C4926" t="str">
        <f>IFERROR(__xludf.DUMMYFUNCTION("""COMPUTED_VALUE"""),"Steinhof")</f>
        <v>Steinhof</v>
      </c>
    </row>
    <row r="4927">
      <c r="A4927" t="str">
        <f>IFERROR(__xludf.DUMMYFUNCTION("""COMPUTED_VALUE"""),"S-146")</f>
        <v>S-146</v>
      </c>
      <c r="B4927" s="226" t="str">
        <f>IFERROR(__xludf.DUMMYFUNCTION("""COMPUTED_VALUE"""),"5907615821462")</f>
        <v>5907615821462</v>
      </c>
      <c r="C4927" t="str">
        <f>IFERROR(__xludf.DUMMYFUNCTION("""COMPUTED_VALUE"""),"Steinhof")</f>
        <v>Steinhof</v>
      </c>
    </row>
    <row r="4928">
      <c r="A4928" t="str">
        <f>IFERROR(__xludf.DUMMYFUNCTION("""COMPUTED_VALUE"""),"S-148")</f>
        <v>S-148</v>
      </c>
      <c r="B4928" s="226" t="str">
        <f>IFERROR(__xludf.DUMMYFUNCTION("""COMPUTED_VALUE"""),"5907615821486")</f>
        <v>5907615821486</v>
      </c>
      <c r="C4928" t="str">
        <f>IFERROR(__xludf.DUMMYFUNCTION("""COMPUTED_VALUE"""),"Steinhof")</f>
        <v>Steinhof</v>
      </c>
    </row>
    <row r="4929">
      <c r="A4929" t="str">
        <f>IFERROR(__xludf.DUMMYFUNCTION("""COMPUTED_VALUE"""),"S-148")</f>
        <v>S-148</v>
      </c>
      <c r="B4929" s="226" t="str">
        <f>IFERROR(__xludf.DUMMYFUNCTION("""COMPUTED_VALUE"""),"5907615821486")</f>
        <v>5907615821486</v>
      </c>
      <c r="C4929" t="str">
        <f>IFERROR(__xludf.DUMMYFUNCTION("""COMPUTED_VALUE"""),"Steinhof")</f>
        <v>Steinhof</v>
      </c>
    </row>
    <row r="4930">
      <c r="A4930" t="str">
        <f>IFERROR(__xludf.DUMMYFUNCTION("""COMPUTED_VALUE"""),"S-148")</f>
        <v>S-148</v>
      </c>
      <c r="B4930" s="226" t="str">
        <f>IFERROR(__xludf.DUMMYFUNCTION("""COMPUTED_VALUE"""),"5907615821486")</f>
        <v>5907615821486</v>
      </c>
      <c r="C4930" t="str">
        <f>IFERROR(__xludf.DUMMYFUNCTION("""COMPUTED_VALUE"""),"Steinhof")</f>
        <v>Steinhof</v>
      </c>
    </row>
    <row r="4931">
      <c r="A4931" t="str">
        <f>IFERROR(__xludf.DUMMYFUNCTION("""COMPUTED_VALUE"""),"S-148")</f>
        <v>S-148</v>
      </c>
      <c r="B4931" s="226" t="str">
        <f>IFERROR(__xludf.DUMMYFUNCTION("""COMPUTED_VALUE"""),"5907615821486")</f>
        <v>5907615821486</v>
      </c>
      <c r="C4931" t="str">
        <f>IFERROR(__xludf.DUMMYFUNCTION("""COMPUTED_VALUE"""),"Steinhof")</f>
        <v>Steinhof</v>
      </c>
    </row>
    <row r="4932">
      <c r="A4932" t="str">
        <f>IFERROR(__xludf.DUMMYFUNCTION("""COMPUTED_VALUE"""),"S-150")</f>
        <v>S-150</v>
      </c>
      <c r="B4932" s="226" t="str">
        <f>IFERROR(__xludf.DUMMYFUNCTION("""COMPUTED_VALUE"""),"5907615821509")</f>
        <v>5907615821509</v>
      </c>
      <c r="C4932" t="str">
        <f>IFERROR(__xludf.DUMMYFUNCTION("""COMPUTED_VALUE"""),"Steinhof")</f>
        <v>Steinhof</v>
      </c>
    </row>
    <row r="4933">
      <c r="A4933" t="str">
        <f>IFERROR(__xludf.DUMMYFUNCTION("""COMPUTED_VALUE"""),"S-150")</f>
        <v>S-150</v>
      </c>
      <c r="B4933" s="226" t="str">
        <f>IFERROR(__xludf.DUMMYFUNCTION("""COMPUTED_VALUE"""),"5907615821509")</f>
        <v>5907615821509</v>
      </c>
      <c r="C4933" t="str">
        <f>IFERROR(__xludf.DUMMYFUNCTION("""COMPUTED_VALUE"""),"Steinhof")</f>
        <v>Steinhof</v>
      </c>
    </row>
    <row r="4934">
      <c r="A4934" t="str">
        <f>IFERROR(__xludf.DUMMYFUNCTION("""COMPUTED_VALUE"""),"S-150")</f>
        <v>S-150</v>
      </c>
      <c r="B4934" s="226" t="str">
        <f>IFERROR(__xludf.DUMMYFUNCTION("""COMPUTED_VALUE"""),"5907615821509")</f>
        <v>5907615821509</v>
      </c>
      <c r="C4934" t="str">
        <f>IFERROR(__xludf.DUMMYFUNCTION("""COMPUTED_VALUE"""),"Steinhof")</f>
        <v>Steinhof</v>
      </c>
    </row>
    <row r="4935">
      <c r="A4935" t="str">
        <f>IFERROR(__xludf.DUMMYFUNCTION("""COMPUTED_VALUE"""),"S-150")</f>
        <v>S-150</v>
      </c>
      <c r="B4935" s="226" t="str">
        <f>IFERROR(__xludf.DUMMYFUNCTION("""COMPUTED_VALUE"""),"5907615821509")</f>
        <v>5907615821509</v>
      </c>
      <c r="C4935" t="str">
        <f>IFERROR(__xludf.DUMMYFUNCTION("""COMPUTED_VALUE"""),"Steinhof")</f>
        <v>Steinhof</v>
      </c>
    </row>
    <row r="4936">
      <c r="A4936" t="str">
        <f>IFERROR(__xludf.DUMMYFUNCTION("""COMPUTED_VALUE"""),"S-150")</f>
        <v>S-150</v>
      </c>
      <c r="B4936" s="226" t="str">
        <f>IFERROR(__xludf.DUMMYFUNCTION("""COMPUTED_VALUE"""),"5907615821509")</f>
        <v>5907615821509</v>
      </c>
      <c r="C4936" t="str">
        <f>IFERROR(__xludf.DUMMYFUNCTION("""COMPUTED_VALUE"""),"Steinhof")</f>
        <v>Steinhof</v>
      </c>
    </row>
    <row r="4937">
      <c r="A4937" t="str">
        <f>IFERROR(__xludf.DUMMYFUNCTION("""COMPUTED_VALUE"""),"S-150")</f>
        <v>S-150</v>
      </c>
      <c r="B4937" s="226" t="str">
        <f>IFERROR(__xludf.DUMMYFUNCTION("""COMPUTED_VALUE"""),"5907615821509")</f>
        <v>5907615821509</v>
      </c>
      <c r="C4937" t="str">
        <f>IFERROR(__xludf.DUMMYFUNCTION("""COMPUTED_VALUE"""),"Steinhof")</f>
        <v>Steinhof</v>
      </c>
    </row>
    <row r="4938">
      <c r="A4938" t="str">
        <f>IFERROR(__xludf.DUMMYFUNCTION("""COMPUTED_VALUE"""),"S-150")</f>
        <v>S-150</v>
      </c>
      <c r="B4938" s="226" t="str">
        <f>IFERROR(__xludf.DUMMYFUNCTION("""COMPUTED_VALUE"""),"5907615821509")</f>
        <v>5907615821509</v>
      </c>
      <c r="C4938" t="str">
        <f>IFERROR(__xludf.DUMMYFUNCTION("""COMPUTED_VALUE"""),"Steinhof")</f>
        <v>Steinhof</v>
      </c>
    </row>
    <row r="4939">
      <c r="A4939" t="str">
        <f>IFERROR(__xludf.DUMMYFUNCTION("""COMPUTED_VALUE"""),"S-150")</f>
        <v>S-150</v>
      </c>
      <c r="B4939" s="226" t="str">
        <f>IFERROR(__xludf.DUMMYFUNCTION("""COMPUTED_VALUE"""),"5907615821509")</f>
        <v>5907615821509</v>
      </c>
      <c r="C4939" t="str">
        <f>IFERROR(__xludf.DUMMYFUNCTION("""COMPUTED_VALUE"""),"Steinhof")</f>
        <v>Steinhof</v>
      </c>
    </row>
    <row r="4940">
      <c r="A4940" t="str">
        <f>IFERROR(__xludf.DUMMYFUNCTION("""COMPUTED_VALUE"""),"S-151")</f>
        <v>S-151</v>
      </c>
      <c r="B4940" s="226" t="str">
        <f>IFERROR(__xludf.DUMMYFUNCTION("""COMPUTED_VALUE"""),"5907615821516")</f>
        <v>5907615821516</v>
      </c>
      <c r="C4940" t="str">
        <f>IFERROR(__xludf.DUMMYFUNCTION("""COMPUTED_VALUE"""),"Steinhof")</f>
        <v>Steinhof</v>
      </c>
    </row>
    <row r="4941">
      <c r="A4941" t="str">
        <f>IFERROR(__xludf.DUMMYFUNCTION("""COMPUTED_VALUE"""),"S-151")</f>
        <v>S-151</v>
      </c>
      <c r="B4941" s="226" t="str">
        <f>IFERROR(__xludf.DUMMYFUNCTION("""COMPUTED_VALUE"""),"5907615821516")</f>
        <v>5907615821516</v>
      </c>
      <c r="C4941" t="str">
        <f>IFERROR(__xludf.DUMMYFUNCTION("""COMPUTED_VALUE"""),"Steinhof")</f>
        <v>Steinhof</v>
      </c>
    </row>
    <row r="4942">
      <c r="A4942" t="str">
        <f>IFERROR(__xludf.DUMMYFUNCTION("""COMPUTED_VALUE"""),"S-151")</f>
        <v>S-151</v>
      </c>
      <c r="B4942" s="226" t="str">
        <f>IFERROR(__xludf.DUMMYFUNCTION("""COMPUTED_VALUE"""),"5907615821516")</f>
        <v>5907615821516</v>
      </c>
      <c r="C4942" t="str">
        <f>IFERROR(__xludf.DUMMYFUNCTION("""COMPUTED_VALUE"""),"Steinhof")</f>
        <v>Steinhof</v>
      </c>
    </row>
    <row r="4943">
      <c r="A4943" t="str">
        <f>IFERROR(__xludf.DUMMYFUNCTION("""COMPUTED_VALUE"""),"S-151")</f>
        <v>S-151</v>
      </c>
      <c r="B4943" s="226" t="str">
        <f>IFERROR(__xludf.DUMMYFUNCTION("""COMPUTED_VALUE"""),"5907615821516")</f>
        <v>5907615821516</v>
      </c>
      <c r="C4943" t="str">
        <f>IFERROR(__xludf.DUMMYFUNCTION("""COMPUTED_VALUE"""),"Steinhof")</f>
        <v>Steinhof</v>
      </c>
    </row>
    <row r="4944">
      <c r="A4944" t="str">
        <f>IFERROR(__xludf.DUMMYFUNCTION("""COMPUTED_VALUE"""),"S-151")</f>
        <v>S-151</v>
      </c>
      <c r="B4944" s="226" t="str">
        <f>IFERROR(__xludf.DUMMYFUNCTION("""COMPUTED_VALUE"""),"5907615821516")</f>
        <v>5907615821516</v>
      </c>
      <c r="C4944" t="str">
        <f>IFERROR(__xludf.DUMMYFUNCTION("""COMPUTED_VALUE"""),"Steinhof")</f>
        <v>Steinhof</v>
      </c>
    </row>
    <row r="4945">
      <c r="A4945" t="str">
        <f>IFERROR(__xludf.DUMMYFUNCTION("""COMPUTED_VALUE"""),"S-151")</f>
        <v>S-151</v>
      </c>
      <c r="B4945" s="226" t="str">
        <f>IFERROR(__xludf.DUMMYFUNCTION("""COMPUTED_VALUE"""),"5907615821516")</f>
        <v>5907615821516</v>
      </c>
      <c r="C4945" t="str">
        <f>IFERROR(__xludf.DUMMYFUNCTION("""COMPUTED_VALUE"""),"Steinhof")</f>
        <v>Steinhof</v>
      </c>
    </row>
    <row r="4946">
      <c r="A4946" t="str">
        <f>IFERROR(__xludf.DUMMYFUNCTION("""COMPUTED_VALUE"""),"S-151")</f>
        <v>S-151</v>
      </c>
      <c r="B4946" s="226" t="str">
        <f>IFERROR(__xludf.DUMMYFUNCTION("""COMPUTED_VALUE"""),"5907615821516")</f>
        <v>5907615821516</v>
      </c>
      <c r="C4946" t="str">
        <f>IFERROR(__xludf.DUMMYFUNCTION("""COMPUTED_VALUE"""),"Steinhof")</f>
        <v>Steinhof</v>
      </c>
    </row>
    <row r="4947">
      <c r="A4947" t="str">
        <f>IFERROR(__xludf.DUMMYFUNCTION("""COMPUTED_VALUE"""),"S-151")</f>
        <v>S-151</v>
      </c>
      <c r="B4947" s="226" t="str">
        <f>IFERROR(__xludf.DUMMYFUNCTION("""COMPUTED_VALUE"""),"5907615821516")</f>
        <v>5907615821516</v>
      </c>
      <c r="C4947" t="str">
        <f>IFERROR(__xludf.DUMMYFUNCTION("""COMPUTED_VALUE"""),"Steinhof")</f>
        <v>Steinhof</v>
      </c>
    </row>
    <row r="4948">
      <c r="A4948" t="str">
        <f>IFERROR(__xludf.DUMMYFUNCTION("""COMPUTED_VALUE"""),"S-155")</f>
        <v>S-155</v>
      </c>
      <c r="B4948" s="226" t="str">
        <f>IFERROR(__xludf.DUMMYFUNCTION("""COMPUTED_VALUE"""),"5907615821554")</f>
        <v>5907615821554</v>
      </c>
      <c r="C4948" t="str">
        <f>IFERROR(__xludf.DUMMYFUNCTION("""COMPUTED_VALUE"""),"Steinhof")</f>
        <v>Steinhof</v>
      </c>
    </row>
    <row r="4949">
      <c r="A4949" t="str">
        <f>IFERROR(__xludf.DUMMYFUNCTION("""COMPUTED_VALUE"""),"S-155")</f>
        <v>S-155</v>
      </c>
      <c r="B4949" s="226" t="str">
        <f>IFERROR(__xludf.DUMMYFUNCTION("""COMPUTED_VALUE"""),"5907615821554")</f>
        <v>5907615821554</v>
      </c>
      <c r="C4949" t="str">
        <f>IFERROR(__xludf.DUMMYFUNCTION("""COMPUTED_VALUE"""),"Steinhof")</f>
        <v>Steinhof</v>
      </c>
    </row>
    <row r="4950">
      <c r="A4950" t="str">
        <f>IFERROR(__xludf.DUMMYFUNCTION("""COMPUTED_VALUE"""),"S-158")</f>
        <v>S-158</v>
      </c>
      <c r="B4950" s="226" t="str">
        <f>IFERROR(__xludf.DUMMYFUNCTION("""COMPUTED_VALUE"""),"5907615821585")</f>
        <v>5907615821585</v>
      </c>
      <c r="C4950" t="str">
        <f>IFERROR(__xludf.DUMMYFUNCTION("""COMPUTED_VALUE"""),"Steinhof")</f>
        <v>Steinhof</v>
      </c>
    </row>
    <row r="4951">
      <c r="A4951" t="str">
        <f>IFERROR(__xludf.DUMMYFUNCTION("""COMPUTED_VALUE"""),"S-158")</f>
        <v>S-158</v>
      </c>
      <c r="B4951" s="226" t="str">
        <f>IFERROR(__xludf.DUMMYFUNCTION("""COMPUTED_VALUE"""),"5907615821585")</f>
        <v>5907615821585</v>
      </c>
      <c r="C4951" t="str">
        <f>IFERROR(__xludf.DUMMYFUNCTION("""COMPUTED_VALUE"""),"Steinhof")</f>
        <v>Steinhof</v>
      </c>
    </row>
    <row r="4952">
      <c r="A4952" t="str">
        <f>IFERROR(__xludf.DUMMYFUNCTION("""COMPUTED_VALUE"""),"S-159")</f>
        <v>S-159</v>
      </c>
      <c r="B4952" s="226" t="str">
        <f>IFERROR(__xludf.DUMMYFUNCTION("""COMPUTED_VALUE"""),"5907615821592")</f>
        <v>5907615821592</v>
      </c>
      <c r="C4952" t="str">
        <f>IFERROR(__xludf.DUMMYFUNCTION("""COMPUTED_VALUE"""),"Steinhof")</f>
        <v>Steinhof</v>
      </c>
    </row>
    <row r="4953">
      <c r="A4953" t="str">
        <f>IFERROR(__xludf.DUMMYFUNCTION("""COMPUTED_VALUE"""),"S-159")</f>
        <v>S-159</v>
      </c>
      <c r="B4953" s="226" t="str">
        <f>IFERROR(__xludf.DUMMYFUNCTION("""COMPUTED_VALUE"""),"5907615821592")</f>
        <v>5907615821592</v>
      </c>
      <c r="C4953" t="str">
        <f>IFERROR(__xludf.DUMMYFUNCTION("""COMPUTED_VALUE"""),"Steinhof")</f>
        <v>Steinhof</v>
      </c>
    </row>
    <row r="4954">
      <c r="A4954" t="str">
        <f>IFERROR(__xludf.DUMMYFUNCTION("""COMPUTED_VALUE"""),"S-190")</f>
        <v>S-190</v>
      </c>
      <c r="B4954" s="226" t="str">
        <f>IFERROR(__xludf.DUMMYFUNCTION("""COMPUTED_VALUE"""),"5907615821905")</f>
        <v>5907615821905</v>
      </c>
      <c r="C4954" t="str">
        <f>IFERROR(__xludf.DUMMYFUNCTION("""COMPUTED_VALUE"""),"Steinhof")</f>
        <v>Steinhof</v>
      </c>
    </row>
    <row r="4955">
      <c r="A4955" t="str">
        <f>IFERROR(__xludf.DUMMYFUNCTION("""COMPUTED_VALUE"""),"S-190")</f>
        <v>S-190</v>
      </c>
      <c r="B4955" s="226" t="str">
        <f>IFERROR(__xludf.DUMMYFUNCTION("""COMPUTED_VALUE"""),"5907615821905")</f>
        <v>5907615821905</v>
      </c>
      <c r="C4955" t="str">
        <f>IFERROR(__xludf.DUMMYFUNCTION("""COMPUTED_VALUE"""),"Steinhof")</f>
        <v>Steinhof</v>
      </c>
    </row>
    <row r="4956">
      <c r="A4956" t="str">
        <f>IFERROR(__xludf.DUMMYFUNCTION("""COMPUTED_VALUE"""),"S-276")</f>
        <v>S-276</v>
      </c>
      <c r="B4956" s="226" t="str">
        <f>IFERROR(__xludf.DUMMYFUNCTION("""COMPUTED_VALUE"""),"5907615822292")</f>
        <v>5907615822292</v>
      </c>
      <c r="C4956" t="str">
        <f>IFERROR(__xludf.DUMMYFUNCTION("""COMPUTED_VALUE"""),"Steinhof")</f>
        <v>Steinhof</v>
      </c>
    </row>
    <row r="4957">
      <c r="A4957" t="str">
        <f>IFERROR(__xludf.DUMMYFUNCTION("""COMPUTED_VALUE"""),"S-276")</f>
        <v>S-276</v>
      </c>
      <c r="B4957" s="226" t="str">
        <f>IFERROR(__xludf.DUMMYFUNCTION("""COMPUTED_VALUE"""),"5907615822292")</f>
        <v>5907615822292</v>
      </c>
      <c r="C4957" t="str">
        <f>IFERROR(__xludf.DUMMYFUNCTION("""COMPUTED_VALUE"""),"Steinhof")</f>
        <v>Steinhof</v>
      </c>
    </row>
    <row r="4958">
      <c r="A4958" t="str">
        <f>IFERROR(__xludf.DUMMYFUNCTION("""COMPUTED_VALUE"""),"S-271")</f>
        <v>S-271</v>
      </c>
      <c r="B4958" s="226" t="str">
        <f>IFERROR(__xludf.DUMMYFUNCTION("""COMPUTED_VALUE"""),"5907615822315")</f>
        <v>5907615822315</v>
      </c>
      <c r="C4958" t="str">
        <f>IFERROR(__xludf.DUMMYFUNCTION("""COMPUTED_VALUE"""),"Steinhof")</f>
        <v>Steinhof</v>
      </c>
    </row>
    <row r="4959">
      <c r="A4959" t="str">
        <f>IFERROR(__xludf.DUMMYFUNCTION("""COMPUTED_VALUE"""),"S-271")</f>
        <v>S-271</v>
      </c>
      <c r="B4959" s="226" t="str">
        <f>IFERROR(__xludf.DUMMYFUNCTION("""COMPUTED_VALUE"""),"5907615822315")</f>
        <v>5907615822315</v>
      </c>
      <c r="C4959" t="str">
        <f>IFERROR(__xludf.DUMMYFUNCTION("""COMPUTED_VALUE"""),"Steinhof")</f>
        <v>Steinhof</v>
      </c>
    </row>
    <row r="4960">
      <c r="A4960" t="str">
        <f>IFERROR(__xludf.DUMMYFUNCTION("""COMPUTED_VALUE"""),"S-271")</f>
        <v>S-271</v>
      </c>
      <c r="B4960" s="226" t="str">
        <f>IFERROR(__xludf.DUMMYFUNCTION("""COMPUTED_VALUE"""),"5907615822315")</f>
        <v>5907615822315</v>
      </c>
      <c r="C4960" t="str">
        <f>IFERROR(__xludf.DUMMYFUNCTION("""COMPUTED_VALUE"""),"Steinhof")</f>
        <v>Steinhof</v>
      </c>
    </row>
    <row r="4961">
      <c r="A4961" t="str">
        <f>IFERROR(__xludf.DUMMYFUNCTION("""COMPUTED_VALUE"""),"S-271")</f>
        <v>S-271</v>
      </c>
      <c r="B4961" s="226" t="str">
        <f>IFERROR(__xludf.DUMMYFUNCTION("""COMPUTED_VALUE"""),"5907615822315")</f>
        <v>5907615822315</v>
      </c>
      <c r="C4961" t="str">
        <f>IFERROR(__xludf.DUMMYFUNCTION("""COMPUTED_VALUE"""),"Steinhof")</f>
        <v>Steinhof</v>
      </c>
    </row>
    <row r="4962">
      <c r="A4962" t="str">
        <f>IFERROR(__xludf.DUMMYFUNCTION("""COMPUTED_VALUE"""),"S-271")</f>
        <v>S-271</v>
      </c>
      <c r="B4962" s="226" t="str">
        <f>IFERROR(__xludf.DUMMYFUNCTION("""COMPUTED_VALUE"""),"5907615822315")</f>
        <v>5907615822315</v>
      </c>
      <c r="C4962" t="str">
        <f>IFERROR(__xludf.DUMMYFUNCTION("""COMPUTED_VALUE"""),"Steinhof")</f>
        <v>Steinhof</v>
      </c>
    </row>
    <row r="4963">
      <c r="A4963" t="str">
        <f>IFERROR(__xludf.DUMMYFUNCTION("""COMPUTED_VALUE"""),"S-271")</f>
        <v>S-271</v>
      </c>
      <c r="B4963" s="226" t="str">
        <f>IFERROR(__xludf.DUMMYFUNCTION("""COMPUTED_VALUE"""),"5907615822315")</f>
        <v>5907615822315</v>
      </c>
      <c r="C4963" t="str">
        <f>IFERROR(__xludf.DUMMYFUNCTION("""COMPUTED_VALUE"""),"Steinhof")</f>
        <v>Steinhof</v>
      </c>
    </row>
    <row r="4964">
      <c r="A4964" t="str">
        <f>IFERROR(__xludf.DUMMYFUNCTION("""COMPUTED_VALUE"""),"S-271")</f>
        <v>S-271</v>
      </c>
      <c r="B4964" s="226" t="str">
        <f>IFERROR(__xludf.DUMMYFUNCTION("""COMPUTED_VALUE"""),"5907615822315")</f>
        <v>5907615822315</v>
      </c>
      <c r="C4964" t="str">
        <f>IFERROR(__xludf.DUMMYFUNCTION("""COMPUTED_VALUE"""),"Steinhof")</f>
        <v>Steinhof</v>
      </c>
    </row>
    <row r="4965">
      <c r="A4965" t="str">
        <f>IFERROR(__xludf.DUMMYFUNCTION("""COMPUTED_VALUE"""),"S-271")</f>
        <v>S-271</v>
      </c>
      <c r="B4965" s="226" t="str">
        <f>IFERROR(__xludf.DUMMYFUNCTION("""COMPUTED_VALUE"""),"5907615822315")</f>
        <v>5907615822315</v>
      </c>
      <c r="C4965" t="str">
        <f>IFERROR(__xludf.DUMMYFUNCTION("""COMPUTED_VALUE"""),"Steinhof")</f>
        <v>Steinhof</v>
      </c>
    </row>
    <row r="4966">
      <c r="A4966" t="str">
        <f>IFERROR(__xludf.DUMMYFUNCTION("""COMPUTED_VALUE"""),"S-271")</f>
        <v>S-271</v>
      </c>
      <c r="B4966" s="226" t="str">
        <f>IFERROR(__xludf.DUMMYFUNCTION("""COMPUTED_VALUE"""),"5907615822315")</f>
        <v>5907615822315</v>
      </c>
      <c r="C4966" t="str">
        <f>IFERROR(__xludf.DUMMYFUNCTION("""COMPUTED_VALUE"""),"Steinhof")</f>
        <v>Steinhof</v>
      </c>
    </row>
    <row r="4967">
      <c r="A4967" t="str">
        <f>IFERROR(__xludf.DUMMYFUNCTION("""COMPUTED_VALUE"""),"S-271")</f>
        <v>S-271</v>
      </c>
      <c r="B4967" s="226" t="str">
        <f>IFERROR(__xludf.DUMMYFUNCTION("""COMPUTED_VALUE"""),"5907615822315")</f>
        <v>5907615822315</v>
      </c>
      <c r="C4967" t="str">
        <f>IFERROR(__xludf.DUMMYFUNCTION("""COMPUTED_VALUE"""),"Steinhof")</f>
        <v>Steinhof</v>
      </c>
    </row>
    <row r="4968">
      <c r="A4968" t="str">
        <f>IFERROR(__xludf.DUMMYFUNCTION("""COMPUTED_VALUE"""),"S-271")</f>
        <v>S-271</v>
      </c>
      <c r="B4968" s="226" t="str">
        <f>IFERROR(__xludf.DUMMYFUNCTION("""COMPUTED_VALUE"""),"5907615822315")</f>
        <v>5907615822315</v>
      </c>
      <c r="C4968" t="str">
        <f>IFERROR(__xludf.DUMMYFUNCTION("""COMPUTED_VALUE"""),"Steinhof")</f>
        <v>Steinhof</v>
      </c>
    </row>
    <row r="4969">
      <c r="A4969" t="str">
        <f>IFERROR(__xludf.DUMMYFUNCTION("""COMPUTED_VALUE"""),"S-271")</f>
        <v>S-271</v>
      </c>
      <c r="B4969" s="226" t="str">
        <f>IFERROR(__xludf.DUMMYFUNCTION("""COMPUTED_VALUE"""),"5907615822315")</f>
        <v>5907615822315</v>
      </c>
      <c r="C4969" t="str">
        <f>IFERROR(__xludf.DUMMYFUNCTION("""COMPUTED_VALUE"""),"Steinhof")</f>
        <v>Steinhof</v>
      </c>
    </row>
    <row r="4970">
      <c r="A4970" t="str">
        <f>IFERROR(__xludf.DUMMYFUNCTION("""COMPUTED_VALUE"""),"S-274")</f>
        <v>S-274</v>
      </c>
      <c r="B4970" s="226" t="str">
        <f>IFERROR(__xludf.DUMMYFUNCTION("""COMPUTED_VALUE"""),"5907615822346")</f>
        <v>5907615822346</v>
      </c>
      <c r="C4970" t="str">
        <f>IFERROR(__xludf.DUMMYFUNCTION("""COMPUTED_VALUE"""),"Steinhof")</f>
        <v>Steinhof</v>
      </c>
    </row>
    <row r="4971">
      <c r="A4971" t="str">
        <f>IFERROR(__xludf.DUMMYFUNCTION("""COMPUTED_VALUE"""),"S-274")</f>
        <v>S-274</v>
      </c>
      <c r="B4971" s="226" t="str">
        <f>IFERROR(__xludf.DUMMYFUNCTION("""COMPUTED_VALUE"""),"5907615822346")</f>
        <v>5907615822346</v>
      </c>
      <c r="C4971" t="str">
        <f>IFERROR(__xludf.DUMMYFUNCTION("""COMPUTED_VALUE"""),"Steinhof")</f>
        <v>Steinhof</v>
      </c>
    </row>
    <row r="4972">
      <c r="A4972" t="str">
        <f>IFERROR(__xludf.DUMMYFUNCTION("""COMPUTED_VALUE"""),"S-274")</f>
        <v>S-274</v>
      </c>
      <c r="B4972" s="226" t="str">
        <f>IFERROR(__xludf.DUMMYFUNCTION("""COMPUTED_VALUE"""),"5907615822346")</f>
        <v>5907615822346</v>
      </c>
      <c r="C4972" t="str">
        <f>IFERROR(__xludf.DUMMYFUNCTION("""COMPUTED_VALUE"""),"Steinhof")</f>
        <v>Steinhof</v>
      </c>
    </row>
    <row r="4973">
      <c r="A4973" t="str">
        <f>IFERROR(__xludf.DUMMYFUNCTION("""COMPUTED_VALUE"""),"S-274")</f>
        <v>S-274</v>
      </c>
      <c r="B4973" s="226" t="str">
        <f>IFERROR(__xludf.DUMMYFUNCTION("""COMPUTED_VALUE"""),"5907615822346")</f>
        <v>5907615822346</v>
      </c>
      <c r="C4973" t="str">
        <f>IFERROR(__xludf.DUMMYFUNCTION("""COMPUTED_VALUE"""),"Steinhof")</f>
        <v>Steinhof</v>
      </c>
    </row>
    <row r="4974">
      <c r="A4974" t="str">
        <f>IFERROR(__xludf.DUMMYFUNCTION("""COMPUTED_VALUE"""),"S-274")</f>
        <v>S-274</v>
      </c>
      <c r="B4974" s="226" t="str">
        <f>IFERROR(__xludf.DUMMYFUNCTION("""COMPUTED_VALUE"""),"5907615822346")</f>
        <v>5907615822346</v>
      </c>
      <c r="C4974" t="str">
        <f>IFERROR(__xludf.DUMMYFUNCTION("""COMPUTED_VALUE"""),"Steinhof")</f>
        <v>Steinhof</v>
      </c>
    </row>
    <row r="4975">
      <c r="A4975" t="str">
        <f>IFERROR(__xludf.DUMMYFUNCTION("""COMPUTED_VALUE"""),"S-275")</f>
        <v>S-275</v>
      </c>
      <c r="B4975" s="226" t="str">
        <f>IFERROR(__xludf.DUMMYFUNCTION("""COMPUTED_VALUE"""),"5907615822353")</f>
        <v>5907615822353</v>
      </c>
      <c r="C4975" t="str">
        <f>IFERROR(__xludf.DUMMYFUNCTION("""COMPUTED_VALUE"""),"Steinhof")</f>
        <v>Steinhof</v>
      </c>
    </row>
    <row r="4976">
      <c r="A4976" t="str">
        <f>IFERROR(__xludf.DUMMYFUNCTION("""COMPUTED_VALUE"""),"S-275")</f>
        <v>S-275</v>
      </c>
      <c r="B4976" s="226" t="str">
        <f>IFERROR(__xludf.DUMMYFUNCTION("""COMPUTED_VALUE"""),"5907615822353")</f>
        <v>5907615822353</v>
      </c>
      <c r="C4976" t="str">
        <f>IFERROR(__xludf.DUMMYFUNCTION("""COMPUTED_VALUE"""),"Steinhof")</f>
        <v>Steinhof</v>
      </c>
    </row>
    <row r="4977">
      <c r="A4977" t="str">
        <f>IFERROR(__xludf.DUMMYFUNCTION("""COMPUTED_VALUE"""),"S-275")</f>
        <v>S-275</v>
      </c>
      <c r="B4977" s="226" t="str">
        <f>IFERROR(__xludf.DUMMYFUNCTION("""COMPUTED_VALUE"""),"5907615822353")</f>
        <v>5907615822353</v>
      </c>
      <c r="C4977" t="str">
        <f>IFERROR(__xludf.DUMMYFUNCTION("""COMPUTED_VALUE"""),"Steinhof")</f>
        <v>Steinhof</v>
      </c>
    </row>
    <row r="4978">
      <c r="A4978" t="str">
        <f>IFERROR(__xludf.DUMMYFUNCTION("""COMPUTED_VALUE"""),"S-275")</f>
        <v>S-275</v>
      </c>
      <c r="B4978" s="226" t="str">
        <f>IFERROR(__xludf.DUMMYFUNCTION("""COMPUTED_VALUE"""),"5907615822353")</f>
        <v>5907615822353</v>
      </c>
      <c r="C4978" t="str">
        <f>IFERROR(__xludf.DUMMYFUNCTION("""COMPUTED_VALUE"""),"Steinhof")</f>
        <v>Steinhof</v>
      </c>
    </row>
    <row r="4979">
      <c r="A4979" t="str">
        <f>IFERROR(__xludf.DUMMYFUNCTION("""COMPUTED_VALUE"""),"S-275")</f>
        <v>S-275</v>
      </c>
      <c r="B4979" s="226" t="str">
        <f>IFERROR(__xludf.DUMMYFUNCTION("""COMPUTED_VALUE"""),"5907615822353")</f>
        <v>5907615822353</v>
      </c>
      <c r="C4979" t="str">
        <f>IFERROR(__xludf.DUMMYFUNCTION("""COMPUTED_VALUE"""),"Steinhof")</f>
        <v>Steinhof</v>
      </c>
    </row>
    <row r="4980">
      <c r="A4980" t="str">
        <f>IFERROR(__xludf.DUMMYFUNCTION("""COMPUTED_VALUE"""),"S-275/1")</f>
        <v>S-275/1</v>
      </c>
      <c r="B4980" s="226" t="str">
        <f>IFERROR(__xludf.DUMMYFUNCTION("""COMPUTED_VALUE"""),"5907615822360")</f>
        <v>5907615822360</v>
      </c>
      <c r="C4980" t="str">
        <f>IFERROR(__xludf.DUMMYFUNCTION("""COMPUTED_VALUE"""),"Steinhof")</f>
        <v>Steinhof</v>
      </c>
    </row>
    <row r="4981">
      <c r="A4981" t="str">
        <f>IFERROR(__xludf.DUMMYFUNCTION("""COMPUTED_VALUE"""),"S-275/1")</f>
        <v>S-275/1</v>
      </c>
      <c r="B4981" s="226" t="str">
        <f>IFERROR(__xludf.DUMMYFUNCTION("""COMPUTED_VALUE"""),"5907615822360")</f>
        <v>5907615822360</v>
      </c>
      <c r="C4981" t="str">
        <f>IFERROR(__xludf.DUMMYFUNCTION("""COMPUTED_VALUE"""),"Steinhof")</f>
        <v>Steinhof</v>
      </c>
    </row>
    <row r="4982">
      <c r="A4982" t="str">
        <f>IFERROR(__xludf.DUMMYFUNCTION("""COMPUTED_VALUE"""),"S-275/1")</f>
        <v>S-275/1</v>
      </c>
      <c r="B4982" s="226" t="str">
        <f>IFERROR(__xludf.DUMMYFUNCTION("""COMPUTED_VALUE"""),"5907615822360")</f>
        <v>5907615822360</v>
      </c>
      <c r="C4982" t="str">
        <f>IFERROR(__xludf.DUMMYFUNCTION("""COMPUTED_VALUE"""),"Steinhof")</f>
        <v>Steinhof</v>
      </c>
    </row>
    <row r="4983">
      <c r="A4983" t="str">
        <f>IFERROR(__xludf.DUMMYFUNCTION("""COMPUTED_VALUE"""),"S-275/1")</f>
        <v>S-275/1</v>
      </c>
      <c r="B4983" s="226" t="str">
        <f>IFERROR(__xludf.DUMMYFUNCTION("""COMPUTED_VALUE"""),"5907615822360")</f>
        <v>5907615822360</v>
      </c>
      <c r="C4983" t="str">
        <f>IFERROR(__xludf.DUMMYFUNCTION("""COMPUTED_VALUE"""),"Steinhof")</f>
        <v>Steinhof</v>
      </c>
    </row>
    <row r="4984">
      <c r="A4984" t="str">
        <f>IFERROR(__xludf.DUMMYFUNCTION("""COMPUTED_VALUE"""),"S-275/1")</f>
        <v>S-275/1</v>
      </c>
      <c r="B4984" s="226" t="str">
        <f>IFERROR(__xludf.DUMMYFUNCTION("""COMPUTED_VALUE"""),"5907615822360")</f>
        <v>5907615822360</v>
      </c>
      <c r="C4984" t="str">
        <f>IFERROR(__xludf.DUMMYFUNCTION("""COMPUTED_VALUE"""),"Steinhof")</f>
        <v>Steinhof</v>
      </c>
    </row>
    <row r="4985">
      <c r="A4985" t="str">
        <f>IFERROR(__xludf.DUMMYFUNCTION("""COMPUTED_VALUE"""),"S-275/1")</f>
        <v>S-275/1</v>
      </c>
      <c r="B4985" s="226" t="str">
        <f>IFERROR(__xludf.DUMMYFUNCTION("""COMPUTED_VALUE"""),"5907615822360")</f>
        <v>5907615822360</v>
      </c>
      <c r="C4985" t="str">
        <f>IFERROR(__xludf.DUMMYFUNCTION("""COMPUTED_VALUE"""),"Steinhof")</f>
        <v>Steinhof</v>
      </c>
    </row>
    <row r="4986">
      <c r="A4986" t="str">
        <f>IFERROR(__xludf.DUMMYFUNCTION("""COMPUTED_VALUE"""),"S-275/1")</f>
        <v>S-275/1</v>
      </c>
      <c r="B4986" s="226" t="str">
        <f>IFERROR(__xludf.DUMMYFUNCTION("""COMPUTED_VALUE"""),"5907615822360")</f>
        <v>5907615822360</v>
      </c>
      <c r="C4986" t="str">
        <f>IFERROR(__xludf.DUMMYFUNCTION("""COMPUTED_VALUE"""),"Steinhof")</f>
        <v>Steinhof</v>
      </c>
    </row>
    <row r="4987">
      <c r="A4987" t="str">
        <f>IFERROR(__xludf.DUMMYFUNCTION("""COMPUTED_VALUE"""),"S-275/1")</f>
        <v>S-275/1</v>
      </c>
      <c r="B4987" s="226" t="str">
        <f>IFERROR(__xludf.DUMMYFUNCTION("""COMPUTED_VALUE"""),"5907615822360")</f>
        <v>5907615822360</v>
      </c>
      <c r="C4987" t="str">
        <f>IFERROR(__xludf.DUMMYFUNCTION("""COMPUTED_VALUE"""),"Steinhof")</f>
        <v>Steinhof</v>
      </c>
    </row>
    <row r="4988">
      <c r="A4988" t="str">
        <f>IFERROR(__xludf.DUMMYFUNCTION("""COMPUTED_VALUE"""),"S-275/1")</f>
        <v>S-275/1</v>
      </c>
      <c r="B4988" s="226" t="str">
        <f>IFERROR(__xludf.DUMMYFUNCTION("""COMPUTED_VALUE"""),"5907615822360")</f>
        <v>5907615822360</v>
      </c>
      <c r="C4988" t="str">
        <f>IFERROR(__xludf.DUMMYFUNCTION("""COMPUTED_VALUE"""),"Steinhof")</f>
        <v>Steinhof</v>
      </c>
    </row>
    <row r="4989">
      <c r="A4989" t="str">
        <f>IFERROR(__xludf.DUMMYFUNCTION("""COMPUTED_VALUE"""),"S-275/1")</f>
        <v>S-275/1</v>
      </c>
      <c r="B4989" s="226" t="str">
        <f>IFERROR(__xludf.DUMMYFUNCTION("""COMPUTED_VALUE"""),"5907615822360")</f>
        <v>5907615822360</v>
      </c>
      <c r="C4989" t="str">
        <f>IFERROR(__xludf.DUMMYFUNCTION("""COMPUTED_VALUE"""),"Steinhof")</f>
        <v>Steinhof</v>
      </c>
    </row>
    <row r="4990">
      <c r="A4990" t="str">
        <f>IFERROR(__xludf.DUMMYFUNCTION("""COMPUTED_VALUE"""),"S-277")</f>
        <v>S-277</v>
      </c>
      <c r="B4990" s="226" t="str">
        <f>IFERROR(__xludf.DUMMYFUNCTION("""COMPUTED_VALUE"""),"5907615822377")</f>
        <v>5907615822377</v>
      </c>
      <c r="C4990" t="str">
        <f>IFERROR(__xludf.DUMMYFUNCTION("""COMPUTED_VALUE"""),"Steinhof")</f>
        <v>Steinhof</v>
      </c>
    </row>
    <row r="4991">
      <c r="A4991" t="str">
        <f>IFERROR(__xludf.DUMMYFUNCTION("""COMPUTED_VALUE"""),"S-277")</f>
        <v>S-277</v>
      </c>
      <c r="B4991" s="226" t="str">
        <f>IFERROR(__xludf.DUMMYFUNCTION("""COMPUTED_VALUE"""),"5907615822377")</f>
        <v>5907615822377</v>
      </c>
      <c r="C4991" t="str">
        <f>IFERROR(__xludf.DUMMYFUNCTION("""COMPUTED_VALUE"""),"Steinhof")</f>
        <v>Steinhof</v>
      </c>
    </row>
    <row r="4992">
      <c r="A4992" t="str">
        <f>IFERROR(__xludf.DUMMYFUNCTION("""COMPUTED_VALUE"""),"S-278")</f>
        <v>S-278</v>
      </c>
      <c r="B4992" s="226" t="str">
        <f>IFERROR(__xludf.DUMMYFUNCTION("""COMPUTED_VALUE"""),"5907615822384")</f>
        <v>5907615822384</v>
      </c>
      <c r="C4992" t="str">
        <f>IFERROR(__xludf.DUMMYFUNCTION("""COMPUTED_VALUE"""),"Steinhof")</f>
        <v>Steinhof</v>
      </c>
    </row>
    <row r="4993">
      <c r="A4993" t="str">
        <f>IFERROR(__xludf.DUMMYFUNCTION("""COMPUTED_VALUE"""),"S-278")</f>
        <v>S-278</v>
      </c>
      <c r="B4993" s="226" t="str">
        <f>IFERROR(__xludf.DUMMYFUNCTION("""COMPUTED_VALUE"""),"5907615822384")</f>
        <v>5907615822384</v>
      </c>
      <c r="C4993" t="str">
        <f>IFERROR(__xludf.DUMMYFUNCTION("""COMPUTED_VALUE"""),"Steinhof")</f>
        <v>Steinhof</v>
      </c>
    </row>
    <row r="4994">
      <c r="A4994" t="str">
        <f>IFERROR(__xludf.DUMMYFUNCTION("""COMPUTED_VALUE"""),"S-279")</f>
        <v>S-279</v>
      </c>
      <c r="B4994" s="226" t="str">
        <f>IFERROR(__xludf.DUMMYFUNCTION("""COMPUTED_VALUE"""),"5907615822391")</f>
        <v>5907615822391</v>
      </c>
      <c r="C4994" t="str">
        <f>IFERROR(__xludf.DUMMYFUNCTION("""COMPUTED_VALUE"""),"Steinhof")</f>
        <v>Steinhof</v>
      </c>
    </row>
    <row r="4995">
      <c r="A4995" t="str">
        <f>IFERROR(__xludf.DUMMYFUNCTION("""COMPUTED_VALUE"""),"S-285")</f>
        <v>S-285</v>
      </c>
      <c r="B4995" s="226" t="str">
        <f>IFERROR(__xludf.DUMMYFUNCTION("""COMPUTED_VALUE"""),"5907615822452")</f>
        <v>5907615822452</v>
      </c>
      <c r="C4995" t="str">
        <f>IFERROR(__xludf.DUMMYFUNCTION("""COMPUTED_VALUE"""),"Steinhof")</f>
        <v>Steinhof</v>
      </c>
    </row>
    <row r="4996">
      <c r="A4996" t="str">
        <f>IFERROR(__xludf.DUMMYFUNCTION("""COMPUTED_VALUE"""),"S-285")</f>
        <v>S-285</v>
      </c>
      <c r="B4996" s="226" t="str">
        <f>IFERROR(__xludf.DUMMYFUNCTION("""COMPUTED_VALUE"""),"5907615822452")</f>
        <v>5907615822452</v>
      </c>
      <c r="C4996" t="str">
        <f>IFERROR(__xludf.DUMMYFUNCTION("""COMPUTED_VALUE"""),"Steinhof")</f>
        <v>Steinhof</v>
      </c>
    </row>
    <row r="4997">
      <c r="A4997" t="str">
        <f>IFERROR(__xludf.DUMMYFUNCTION("""COMPUTED_VALUE"""),"S-286")</f>
        <v>S-286</v>
      </c>
      <c r="B4997" s="226" t="str">
        <f>IFERROR(__xludf.DUMMYFUNCTION("""COMPUTED_VALUE"""),"5907615822469")</f>
        <v>5907615822469</v>
      </c>
      <c r="C4997" t="str">
        <f>IFERROR(__xludf.DUMMYFUNCTION("""COMPUTED_VALUE"""),"Steinhof")</f>
        <v>Steinhof</v>
      </c>
    </row>
    <row r="4998">
      <c r="A4998" t="str">
        <f>IFERROR(__xludf.DUMMYFUNCTION("""COMPUTED_VALUE"""),"S-286")</f>
        <v>S-286</v>
      </c>
      <c r="B4998" s="226" t="str">
        <f>IFERROR(__xludf.DUMMYFUNCTION("""COMPUTED_VALUE"""),"5907615822469")</f>
        <v>5907615822469</v>
      </c>
      <c r="C4998" t="str">
        <f>IFERROR(__xludf.DUMMYFUNCTION("""COMPUTED_VALUE"""),"Steinhof")</f>
        <v>Steinhof</v>
      </c>
    </row>
    <row r="4999">
      <c r="A4999" t="str">
        <f>IFERROR(__xludf.DUMMYFUNCTION("""COMPUTED_VALUE"""),"S-290")</f>
        <v>S-290</v>
      </c>
      <c r="B4999" s="226" t="str">
        <f>IFERROR(__xludf.DUMMYFUNCTION("""COMPUTED_VALUE"""),"5907615822506")</f>
        <v>5907615822506</v>
      </c>
      <c r="C4999" t="str">
        <f>IFERROR(__xludf.DUMMYFUNCTION("""COMPUTED_VALUE"""),"Steinhof")</f>
        <v>Steinhof</v>
      </c>
    </row>
    <row r="5000">
      <c r="A5000" t="str">
        <f>IFERROR(__xludf.DUMMYFUNCTION("""COMPUTED_VALUE"""),"S-291")</f>
        <v>S-291</v>
      </c>
      <c r="B5000" s="226" t="str">
        <f>IFERROR(__xludf.DUMMYFUNCTION("""COMPUTED_VALUE"""),"5907615822513")</f>
        <v>5907615822513</v>
      </c>
      <c r="C5000" t="str">
        <f>IFERROR(__xludf.DUMMYFUNCTION("""COMPUTED_VALUE"""),"Steinhof")</f>
        <v>Steinhof</v>
      </c>
    </row>
    <row r="5001">
      <c r="A5001" t="str">
        <f>IFERROR(__xludf.DUMMYFUNCTION("""COMPUTED_VALUE"""),"S-292")</f>
        <v>S-292</v>
      </c>
      <c r="B5001" s="226" t="str">
        <f>IFERROR(__xludf.DUMMYFUNCTION("""COMPUTED_VALUE"""),"5907615822520")</f>
        <v>5907615822520</v>
      </c>
      <c r="C5001" t="str">
        <f>IFERROR(__xludf.DUMMYFUNCTION("""COMPUTED_VALUE"""),"Steinhof")</f>
        <v>Steinhof</v>
      </c>
    </row>
    <row r="5002">
      <c r="A5002" t="str">
        <f>IFERROR(__xludf.DUMMYFUNCTION("""COMPUTED_VALUE"""),"S-293")</f>
        <v>S-293</v>
      </c>
      <c r="B5002" s="226" t="str">
        <f>IFERROR(__xludf.DUMMYFUNCTION("""COMPUTED_VALUE"""),"5907615822537")</f>
        <v>5907615822537</v>
      </c>
      <c r="C5002" t="str">
        <f>IFERROR(__xludf.DUMMYFUNCTION("""COMPUTED_VALUE"""),"Steinhof")</f>
        <v>Steinhof</v>
      </c>
    </row>
    <row r="5003">
      <c r="A5003" t="str">
        <f>IFERROR(__xludf.DUMMYFUNCTION("""COMPUTED_VALUE"""),"S-294")</f>
        <v>S-294</v>
      </c>
      <c r="B5003" s="226" t="str">
        <f>IFERROR(__xludf.DUMMYFUNCTION("""COMPUTED_VALUE"""),"5907615822544")</f>
        <v>5907615822544</v>
      </c>
      <c r="C5003" t="str">
        <f>IFERROR(__xludf.DUMMYFUNCTION("""COMPUTED_VALUE"""),"Steinhof")</f>
        <v>Steinhof</v>
      </c>
    </row>
    <row r="5004">
      <c r="A5004" t="str">
        <f>IFERROR(__xludf.DUMMYFUNCTION("""COMPUTED_VALUE"""),"S-310")</f>
        <v>S-310</v>
      </c>
      <c r="B5004" s="226" t="str">
        <f>IFERROR(__xludf.DUMMYFUNCTION("""COMPUTED_VALUE"""),"5907615822704")</f>
        <v>5907615822704</v>
      </c>
      <c r="C5004" t="str">
        <f>IFERROR(__xludf.DUMMYFUNCTION("""COMPUTED_VALUE"""),"Steinhof")</f>
        <v>Steinhof</v>
      </c>
    </row>
    <row r="5005">
      <c r="A5005" t="str">
        <f>IFERROR(__xludf.DUMMYFUNCTION("""COMPUTED_VALUE"""),"S-310")</f>
        <v>S-310</v>
      </c>
      <c r="B5005" s="226" t="str">
        <f>IFERROR(__xludf.DUMMYFUNCTION("""COMPUTED_VALUE"""),"5907615822704")</f>
        <v>5907615822704</v>
      </c>
      <c r="C5005" t="str">
        <f>IFERROR(__xludf.DUMMYFUNCTION("""COMPUTED_VALUE"""),"Steinhof")</f>
        <v>Steinhof</v>
      </c>
    </row>
    <row r="5006">
      <c r="A5006" t="str">
        <f>IFERROR(__xludf.DUMMYFUNCTION("""COMPUTED_VALUE"""),"S-310")</f>
        <v>S-310</v>
      </c>
      <c r="B5006" s="226" t="str">
        <f>IFERROR(__xludf.DUMMYFUNCTION("""COMPUTED_VALUE"""),"5907615822704")</f>
        <v>5907615822704</v>
      </c>
      <c r="C5006" t="str">
        <f>IFERROR(__xludf.DUMMYFUNCTION("""COMPUTED_VALUE"""),"Steinhof")</f>
        <v>Steinhof</v>
      </c>
    </row>
    <row r="5007">
      <c r="A5007" t="str">
        <f>IFERROR(__xludf.DUMMYFUNCTION("""COMPUTED_VALUE"""),"S-310")</f>
        <v>S-310</v>
      </c>
      <c r="B5007" s="226" t="str">
        <f>IFERROR(__xludf.DUMMYFUNCTION("""COMPUTED_VALUE"""),"5907615822704")</f>
        <v>5907615822704</v>
      </c>
      <c r="C5007" t="str">
        <f>IFERROR(__xludf.DUMMYFUNCTION("""COMPUTED_VALUE"""),"Steinhof")</f>
        <v>Steinhof</v>
      </c>
    </row>
    <row r="5008">
      <c r="A5008" t="str">
        <f>IFERROR(__xludf.DUMMYFUNCTION("""COMPUTED_VALUE"""),"S-311")</f>
        <v>S-311</v>
      </c>
      <c r="B5008" s="226" t="str">
        <f>IFERROR(__xludf.DUMMYFUNCTION("""COMPUTED_VALUE"""),"5907615822711")</f>
        <v>5907615822711</v>
      </c>
      <c r="C5008" t="str">
        <f>IFERROR(__xludf.DUMMYFUNCTION("""COMPUTED_VALUE"""),"Steinhof")</f>
        <v>Steinhof</v>
      </c>
    </row>
    <row r="5009">
      <c r="A5009" t="str">
        <f>IFERROR(__xludf.DUMMYFUNCTION("""COMPUTED_VALUE"""),"S-311")</f>
        <v>S-311</v>
      </c>
      <c r="B5009" s="226" t="str">
        <f>IFERROR(__xludf.DUMMYFUNCTION("""COMPUTED_VALUE"""),"5907615822711")</f>
        <v>5907615822711</v>
      </c>
      <c r="C5009" t="str">
        <f>IFERROR(__xludf.DUMMYFUNCTION("""COMPUTED_VALUE"""),"Steinhof")</f>
        <v>Steinhof</v>
      </c>
    </row>
    <row r="5010">
      <c r="A5010" t="str">
        <f>IFERROR(__xludf.DUMMYFUNCTION("""COMPUTED_VALUE"""),"S-311")</f>
        <v>S-311</v>
      </c>
      <c r="B5010" s="226" t="str">
        <f>IFERROR(__xludf.DUMMYFUNCTION("""COMPUTED_VALUE"""),"5907615822711")</f>
        <v>5907615822711</v>
      </c>
      <c r="C5010" t="str">
        <f>IFERROR(__xludf.DUMMYFUNCTION("""COMPUTED_VALUE"""),"Steinhof")</f>
        <v>Steinhof</v>
      </c>
    </row>
    <row r="5011">
      <c r="A5011" t="str">
        <f>IFERROR(__xludf.DUMMYFUNCTION("""COMPUTED_VALUE"""),"S-311")</f>
        <v>S-311</v>
      </c>
      <c r="B5011" s="226" t="str">
        <f>IFERROR(__xludf.DUMMYFUNCTION("""COMPUTED_VALUE"""),"5907615822711")</f>
        <v>5907615822711</v>
      </c>
      <c r="C5011" t="str">
        <f>IFERROR(__xludf.DUMMYFUNCTION("""COMPUTED_VALUE"""),"Steinhof")</f>
        <v>Steinhof</v>
      </c>
    </row>
    <row r="5012">
      <c r="A5012" t="str">
        <f>IFERROR(__xludf.DUMMYFUNCTION("""COMPUTED_VALUE"""),"S-312")</f>
        <v>S-312</v>
      </c>
      <c r="B5012" s="226" t="str">
        <f>IFERROR(__xludf.DUMMYFUNCTION("""COMPUTED_VALUE"""),"5907615822728")</f>
        <v>5907615822728</v>
      </c>
      <c r="C5012" t="str">
        <f>IFERROR(__xludf.DUMMYFUNCTION("""COMPUTED_VALUE"""),"Steinhof")</f>
        <v>Steinhof</v>
      </c>
    </row>
    <row r="5013">
      <c r="A5013" t="str">
        <f>IFERROR(__xludf.DUMMYFUNCTION("""COMPUTED_VALUE"""),"S-312")</f>
        <v>S-312</v>
      </c>
      <c r="B5013" s="226" t="str">
        <f>IFERROR(__xludf.DUMMYFUNCTION("""COMPUTED_VALUE"""),"5907615822728")</f>
        <v>5907615822728</v>
      </c>
      <c r="C5013" t="str">
        <f>IFERROR(__xludf.DUMMYFUNCTION("""COMPUTED_VALUE"""),"Steinhof")</f>
        <v>Steinhof</v>
      </c>
    </row>
    <row r="5014">
      <c r="A5014" t="str">
        <f>IFERROR(__xludf.DUMMYFUNCTION("""COMPUTED_VALUE"""),"S-312")</f>
        <v>S-312</v>
      </c>
      <c r="B5014" s="226" t="str">
        <f>IFERROR(__xludf.DUMMYFUNCTION("""COMPUTED_VALUE"""),"5907615822728")</f>
        <v>5907615822728</v>
      </c>
      <c r="C5014" t="str">
        <f>IFERROR(__xludf.DUMMYFUNCTION("""COMPUTED_VALUE"""),"Steinhof")</f>
        <v>Steinhof</v>
      </c>
    </row>
    <row r="5015">
      <c r="A5015" t="str">
        <f>IFERROR(__xludf.DUMMYFUNCTION("""COMPUTED_VALUE"""),"S-312")</f>
        <v>S-312</v>
      </c>
      <c r="B5015" s="226" t="str">
        <f>IFERROR(__xludf.DUMMYFUNCTION("""COMPUTED_VALUE"""),"5907615822728")</f>
        <v>5907615822728</v>
      </c>
      <c r="C5015" t="str">
        <f>IFERROR(__xludf.DUMMYFUNCTION("""COMPUTED_VALUE"""),"Steinhof")</f>
        <v>Steinhof</v>
      </c>
    </row>
    <row r="5016">
      <c r="A5016" t="str">
        <f>IFERROR(__xludf.DUMMYFUNCTION("""COMPUTED_VALUE"""),"S-313")</f>
        <v>S-313</v>
      </c>
      <c r="B5016" s="226" t="str">
        <f>IFERROR(__xludf.DUMMYFUNCTION("""COMPUTED_VALUE"""),"5907615822735")</f>
        <v>5907615822735</v>
      </c>
      <c r="C5016" t="str">
        <f>IFERROR(__xludf.DUMMYFUNCTION("""COMPUTED_VALUE"""),"Steinhof")</f>
        <v>Steinhof</v>
      </c>
    </row>
    <row r="5017">
      <c r="A5017" t="str">
        <f>IFERROR(__xludf.DUMMYFUNCTION("""COMPUTED_VALUE"""),"S-313")</f>
        <v>S-313</v>
      </c>
      <c r="B5017" s="226" t="str">
        <f>IFERROR(__xludf.DUMMYFUNCTION("""COMPUTED_VALUE"""),"5907615822735")</f>
        <v>5907615822735</v>
      </c>
      <c r="C5017" t="str">
        <f>IFERROR(__xludf.DUMMYFUNCTION("""COMPUTED_VALUE"""),"Steinhof")</f>
        <v>Steinhof</v>
      </c>
    </row>
    <row r="5018">
      <c r="A5018" t="str">
        <f>IFERROR(__xludf.DUMMYFUNCTION("""COMPUTED_VALUE"""),"S-313")</f>
        <v>S-313</v>
      </c>
      <c r="B5018" s="226" t="str">
        <f>IFERROR(__xludf.DUMMYFUNCTION("""COMPUTED_VALUE"""),"5907615822735")</f>
        <v>5907615822735</v>
      </c>
      <c r="C5018" t="str">
        <f>IFERROR(__xludf.DUMMYFUNCTION("""COMPUTED_VALUE"""),"Steinhof")</f>
        <v>Steinhof</v>
      </c>
    </row>
    <row r="5019">
      <c r="A5019" t="str">
        <f>IFERROR(__xludf.DUMMYFUNCTION("""COMPUTED_VALUE"""),"S-313")</f>
        <v>S-313</v>
      </c>
      <c r="B5019" s="226" t="str">
        <f>IFERROR(__xludf.DUMMYFUNCTION("""COMPUTED_VALUE"""),"5907615822735")</f>
        <v>5907615822735</v>
      </c>
      <c r="C5019" t="str">
        <f>IFERROR(__xludf.DUMMYFUNCTION("""COMPUTED_VALUE"""),"Steinhof")</f>
        <v>Steinhof</v>
      </c>
    </row>
    <row r="5020">
      <c r="A5020" t="str">
        <f>IFERROR(__xludf.DUMMYFUNCTION("""COMPUTED_VALUE"""),"S-338")</f>
        <v>S-338</v>
      </c>
      <c r="B5020" s="226" t="str">
        <f>IFERROR(__xludf.DUMMYFUNCTION("""COMPUTED_VALUE"""),"5907615822988")</f>
        <v>5907615822988</v>
      </c>
      <c r="C5020" t="str">
        <f>IFERROR(__xludf.DUMMYFUNCTION("""COMPUTED_VALUE"""),"Steinhof")</f>
        <v>Steinhof</v>
      </c>
    </row>
    <row r="5021">
      <c r="A5021" t="str">
        <f>IFERROR(__xludf.DUMMYFUNCTION("""COMPUTED_VALUE"""),"S-338")</f>
        <v>S-338</v>
      </c>
      <c r="B5021" s="226" t="str">
        <f>IFERROR(__xludf.DUMMYFUNCTION("""COMPUTED_VALUE"""),"5907615822988")</f>
        <v>5907615822988</v>
      </c>
      <c r="C5021" t="str">
        <f>IFERROR(__xludf.DUMMYFUNCTION("""COMPUTED_VALUE"""),"Steinhof")</f>
        <v>Steinhof</v>
      </c>
    </row>
    <row r="5022">
      <c r="A5022" t="str">
        <f>IFERROR(__xludf.DUMMYFUNCTION("""COMPUTED_VALUE"""),"S-340")</f>
        <v>S-340</v>
      </c>
      <c r="B5022" s="226" t="str">
        <f>IFERROR(__xludf.DUMMYFUNCTION("""COMPUTED_VALUE"""),"5907615823008")</f>
        <v>5907615823008</v>
      </c>
      <c r="C5022" t="str">
        <f>IFERROR(__xludf.DUMMYFUNCTION("""COMPUTED_VALUE"""),"Steinhof")</f>
        <v>Steinhof</v>
      </c>
    </row>
    <row r="5023">
      <c r="A5023" t="str">
        <f>IFERROR(__xludf.DUMMYFUNCTION("""COMPUTED_VALUE"""),"S-340")</f>
        <v>S-340</v>
      </c>
      <c r="B5023" s="226" t="str">
        <f>IFERROR(__xludf.DUMMYFUNCTION("""COMPUTED_VALUE"""),"5907615823008")</f>
        <v>5907615823008</v>
      </c>
      <c r="C5023" t="str">
        <f>IFERROR(__xludf.DUMMYFUNCTION("""COMPUTED_VALUE"""),"Steinhof")</f>
        <v>Steinhof</v>
      </c>
    </row>
    <row r="5024">
      <c r="A5024" t="str">
        <f>IFERROR(__xludf.DUMMYFUNCTION("""COMPUTED_VALUE"""),"S-341")</f>
        <v>S-341</v>
      </c>
      <c r="B5024" s="226" t="str">
        <f>IFERROR(__xludf.DUMMYFUNCTION("""COMPUTED_VALUE"""),"5907615823015")</f>
        <v>5907615823015</v>
      </c>
      <c r="C5024" t="str">
        <f>IFERROR(__xludf.DUMMYFUNCTION("""COMPUTED_VALUE"""),"Steinhof")</f>
        <v>Steinhof</v>
      </c>
    </row>
    <row r="5025">
      <c r="A5025" t="str">
        <f>IFERROR(__xludf.DUMMYFUNCTION("""COMPUTED_VALUE"""),"S-341")</f>
        <v>S-341</v>
      </c>
      <c r="B5025" s="226" t="str">
        <f>IFERROR(__xludf.DUMMYFUNCTION("""COMPUTED_VALUE"""),"5907615823015")</f>
        <v>5907615823015</v>
      </c>
      <c r="C5025" t="str">
        <f>IFERROR(__xludf.DUMMYFUNCTION("""COMPUTED_VALUE"""),"Steinhof")</f>
        <v>Steinhof</v>
      </c>
    </row>
    <row r="5026">
      <c r="A5026" t="str">
        <f>IFERROR(__xludf.DUMMYFUNCTION("""COMPUTED_VALUE"""),"S-343")</f>
        <v>S-343</v>
      </c>
      <c r="B5026" s="226" t="str">
        <f>IFERROR(__xludf.DUMMYFUNCTION("""COMPUTED_VALUE"""),"5907615823039")</f>
        <v>5907615823039</v>
      </c>
      <c r="C5026" t="str">
        <f>IFERROR(__xludf.DUMMYFUNCTION("""COMPUTED_VALUE"""),"Steinhof")</f>
        <v>Steinhof</v>
      </c>
    </row>
    <row r="5027">
      <c r="A5027" t="str">
        <f>IFERROR(__xludf.DUMMYFUNCTION("""COMPUTED_VALUE"""),"S-343")</f>
        <v>S-343</v>
      </c>
      <c r="B5027" s="226" t="str">
        <f>IFERROR(__xludf.DUMMYFUNCTION("""COMPUTED_VALUE"""),"5907615823039")</f>
        <v>5907615823039</v>
      </c>
      <c r="C5027" t="str">
        <f>IFERROR(__xludf.DUMMYFUNCTION("""COMPUTED_VALUE"""),"Steinhof")</f>
        <v>Steinhof</v>
      </c>
    </row>
    <row r="5028">
      <c r="A5028" t="str">
        <f>IFERROR(__xludf.DUMMYFUNCTION("""COMPUTED_VALUE"""),"S-344")</f>
        <v>S-344</v>
      </c>
      <c r="B5028" s="226" t="str">
        <f>IFERROR(__xludf.DUMMYFUNCTION("""COMPUTED_VALUE"""),"5907615823046")</f>
        <v>5907615823046</v>
      </c>
      <c r="C5028" t="str">
        <f>IFERROR(__xludf.DUMMYFUNCTION("""COMPUTED_VALUE"""),"Steinhof")</f>
        <v>Steinhof</v>
      </c>
    </row>
    <row r="5029">
      <c r="A5029" t="str">
        <f>IFERROR(__xludf.DUMMYFUNCTION("""COMPUTED_VALUE"""),"S-344")</f>
        <v>S-344</v>
      </c>
      <c r="B5029" s="226" t="str">
        <f>IFERROR(__xludf.DUMMYFUNCTION("""COMPUTED_VALUE"""),"5907615823046")</f>
        <v>5907615823046</v>
      </c>
      <c r="C5029" t="str">
        <f>IFERROR(__xludf.DUMMYFUNCTION("""COMPUTED_VALUE"""),"Steinhof")</f>
        <v>Steinhof</v>
      </c>
    </row>
    <row r="5030">
      <c r="A5030" t="str">
        <f>IFERROR(__xludf.DUMMYFUNCTION("""COMPUTED_VALUE"""),"S-345")</f>
        <v>S-345</v>
      </c>
      <c r="B5030" s="226" t="str">
        <f>IFERROR(__xludf.DUMMYFUNCTION("""COMPUTED_VALUE"""),"5907615823053")</f>
        <v>5907615823053</v>
      </c>
      <c r="C5030" t="str">
        <f>IFERROR(__xludf.DUMMYFUNCTION("""COMPUTED_VALUE"""),"Steinhof")</f>
        <v>Steinhof</v>
      </c>
    </row>
    <row r="5031">
      <c r="A5031" t="str">
        <f>IFERROR(__xludf.DUMMYFUNCTION("""COMPUTED_VALUE"""),"S-345")</f>
        <v>S-345</v>
      </c>
      <c r="B5031" s="226" t="str">
        <f>IFERROR(__xludf.DUMMYFUNCTION("""COMPUTED_VALUE"""),"5907615823053")</f>
        <v>5907615823053</v>
      </c>
      <c r="C5031" t="str">
        <f>IFERROR(__xludf.DUMMYFUNCTION("""COMPUTED_VALUE"""),"Steinhof")</f>
        <v>Steinhof</v>
      </c>
    </row>
    <row r="5032">
      <c r="A5032" t="str">
        <f>IFERROR(__xludf.DUMMYFUNCTION("""COMPUTED_VALUE"""),"S-347/1")</f>
        <v>S-347/1</v>
      </c>
      <c r="B5032" s="226" t="str">
        <f>IFERROR(__xludf.DUMMYFUNCTION("""COMPUTED_VALUE"""),"5907615823084")</f>
        <v>5907615823084</v>
      </c>
      <c r="C5032" t="str">
        <f>IFERROR(__xludf.DUMMYFUNCTION("""COMPUTED_VALUE"""),"Steinhof")</f>
        <v>Steinhof</v>
      </c>
    </row>
    <row r="5033">
      <c r="A5033" t="str">
        <f>IFERROR(__xludf.DUMMYFUNCTION("""COMPUTED_VALUE"""),"S-347/1")</f>
        <v>S-347/1</v>
      </c>
      <c r="B5033" s="226" t="str">
        <f>IFERROR(__xludf.DUMMYFUNCTION("""COMPUTED_VALUE"""),"5907615823084")</f>
        <v>5907615823084</v>
      </c>
      <c r="C5033" t="str">
        <f>IFERROR(__xludf.DUMMYFUNCTION("""COMPUTED_VALUE"""),"Steinhof")</f>
        <v>Steinhof</v>
      </c>
    </row>
    <row r="5034">
      <c r="A5034" t="str">
        <f>IFERROR(__xludf.DUMMYFUNCTION("""COMPUTED_VALUE"""),"S-348")</f>
        <v>S-348</v>
      </c>
      <c r="B5034" s="226" t="str">
        <f>IFERROR(__xludf.DUMMYFUNCTION("""COMPUTED_VALUE"""),"5907615823091")</f>
        <v>5907615823091</v>
      </c>
      <c r="C5034" t="str">
        <f>IFERROR(__xludf.DUMMYFUNCTION("""COMPUTED_VALUE"""),"Steinhof")</f>
        <v>Steinhof</v>
      </c>
    </row>
    <row r="5035">
      <c r="A5035" t="str">
        <f>IFERROR(__xludf.DUMMYFUNCTION("""COMPUTED_VALUE"""),"S-348")</f>
        <v>S-348</v>
      </c>
      <c r="B5035" s="226" t="str">
        <f>IFERROR(__xludf.DUMMYFUNCTION("""COMPUTED_VALUE"""),"5907615823091")</f>
        <v>5907615823091</v>
      </c>
      <c r="C5035" t="str">
        <f>IFERROR(__xludf.DUMMYFUNCTION("""COMPUTED_VALUE"""),"Steinhof")</f>
        <v>Steinhof</v>
      </c>
    </row>
    <row r="5036">
      <c r="A5036" t="str">
        <f>IFERROR(__xludf.DUMMYFUNCTION("""COMPUTED_VALUE"""),"S-348")</f>
        <v>S-348</v>
      </c>
      <c r="B5036" s="226" t="str">
        <f>IFERROR(__xludf.DUMMYFUNCTION("""COMPUTED_VALUE"""),"5907615823091")</f>
        <v>5907615823091</v>
      </c>
      <c r="C5036" t="str">
        <f>IFERROR(__xludf.DUMMYFUNCTION("""COMPUTED_VALUE"""),"Steinhof")</f>
        <v>Steinhof</v>
      </c>
    </row>
    <row r="5037">
      <c r="A5037" t="str">
        <f>IFERROR(__xludf.DUMMYFUNCTION("""COMPUTED_VALUE"""),"S-348")</f>
        <v>S-348</v>
      </c>
      <c r="B5037" s="226" t="str">
        <f>IFERROR(__xludf.DUMMYFUNCTION("""COMPUTED_VALUE"""),"5907615823091")</f>
        <v>5907615823091</v>
      </c>
      <c r="C5037" t="str">
        <f>IFERROR(__xludf.DUMMYFUNCTION("""COMPUTED_VALUE"""),"Steinhof")</f>
        <v>Steinhof</v>
      </c>
    </row>
    <row r="5038">
      <c r="A5038" t="str">
        <f>IFERROR(__xludf.DUMMYFUNCTION("""COMPUTED_VALUE"""),"S-349")</f>
        <v>S-349</v>
      </c>
      <c r="B5038" s="226" t="str">
        <f>IFERROR(__xludf.DUMMYFUNCTION("""COMPUTED_VALUE"""),"5907615823107")</f>
        <v>5907615823107</v>
      </c>
      <c r="C5038" t="str">
        <f>IFERROR(__xludf.DUMMYFUNCTION("""COMPUTED_VALUE"""),"Steinhof")</f>
        <v>Steinhof</v>
      </c>
    </row>
    <row r="5039">
      <c r="A5039" t="str">
        <f>IFERROR(__xludf.DUMMYFUNCTION("""COMPUTED_VALUE"""),"S-349")</f>
        <v>S-349</v>
      </c>
      <c r="B5039" s="226" t="str">
        <f>IFERROR(__xludf.DUMMYFUNCTION("""COMPUTED_VALUE"""),"5907615823107")</f>
        <v>5907615823107</v>
      </c>
      <c r="C5039" t="str">
        <f>IFERROR(__xludf.DUMMYFUNCTION("""COMPUTED_VALUE"""),"Steinhof")</f>
        <v>Steinhof</v>
      </c>
    </row>
    <row r="5040">
      <c r="A5040" t="str">
        <f>IFERROR(__xludf.DUMMYFUNCTION("""COMPUTED_VALUE"""),"S-349")</f>
        <v>S-349</v>
      </c>
      <c r="B5040" s="226" t="str">
        <f>IFERROR(__xludf.DUMMYFUNCTION("""COMPUTED_VALUE"""),"5907615823107")</f>
        <v>5907615823107</v>
      </c>
      <c r="C5040" t="str">
        <f>IFERROR(__xludf.DUMMYFUNCTION("""COMPUTED_VALUE"""),"Steinhof")</f>
        <v>Steinhof</v>
      </c>
    </row>
    <row r="5041">
      <c r="A5041" t="str">
        <f>IFERROR(__xludf.DUMMYFUNCTION("""COMPUTED_VALUE"""),"S-349")</f>
        <v>S-349</v>
      </c>
      <c r="B5041" s="226" t="str">
        <f>IFERROR(__xludf.DUMMYFUNCTION("""COMPUTED_VALUE"""),"5907615823107")</f>
        <v>5907615823107</v>
      </c>
      <c r="C5041" t="str">
        <f>IFERROR(__xludf.DUMMYFUNCTION("""COMPUTED_VALUE"""),"Steinhof")</f>
        <v>Steinhof</v>
      </c>
    </row>
    <row r="5042">
      <c r="A5042" t="str">
        <f>IFERROR(__xludf.DUMMYFUNCTION("""COMPUTED_VALUE"""),"S-355")</f>
        <v>S-355</v>
      </c>
      <c r="B5042" s="226" t="str">
        <f>IFERROR(__xludf.DUMMYFUNCTION("""COMPUTED_VALUE"""),"5907615823152")</f>
        <v>5907615823152</v>
      </c>
      <c r="C5042" t="str">
        <f>IFERROR(__xludf.DUMMYFUNCTION("""COMPUTED_VALUE"""),"Steinhof")</f>
        <v>Steinhof</v>
      </c>
    </row>
    <row r="5043">
      <c r="A5043" t="str">
        <f>IFERROR(__xludf.DUMMYFUNCTION("""COMPUTED_VALUE"""),"S-355")</f>
        <v>S-355</v>
      </c>
      <c r="B5043" s="226" t="str">
        <f>IFERROR(__xludf.DUMMYFUNCTION("""COMPUTED_VALUE"""),"5907615823152")</f>
        <v>5907615823152</v>
      </c>
      <c r="C5043" t="str">
        <f>IFERROR(__xludf.DUMMYFUNCTION("""COMPUTED_VALUE"""),"Steinhof")</f>
        <v>Steinhof</v>
      </c>
    </row>
    <row r="5044">
      <c r="A5044" t="str">
        <f>IFERROR(__xludf.DUMMYFUNCTION("""COMPUTED_VALUE"""),"S-356")</f>
        <v>S-356</v>
      </c>
      <c r="B5044" s="226" t="str">
        <f>IFERROR(__xludf.DUMMYFUNCTION("""COMPUTED_VALUE"""),"5907615823169")</f>
        <v>5907615823169</v>
      </c>
      <c r="C5044" t="str">
        <f>IFERROR(__xludf.DUMMYFUNCTION("""COMPUTED_VALUE"""),"Steinhof")</f>
        <v>Steinhof</v>
      </c>
    </row>
    <row r="5045">
      <c r="A5045" t="str">
        <f>IFERROR(__xludf.DUMMYFUNCTION("""COMPUTED_VALUE"""),"S-356")</f>
        <v>S-356</v>
      </c>
      <c r="B5045" s="226" t="str">
        <f>IFERROR(__xludf.DUMMYFUNCTION("""COMPUTED_VALUE"""),"5907615823169")</f>
        <v>5907615823169</v>
      </c>
      <c r="C5045" t="str">
        <f>IFERROR(__xludf.DUMMYFUNCTION("""COMPUTED_VALUE"""),"Steinhof")</f>
        <v>Steinhof</v>
      </c>
    </row>
    <row r="5046">
      <c r="A5046" t="str">
        <f>IFERROR(__xludf.DUMMYFUNCTION("""COMPUTED_VALUE"""),"S-417")</f>
        <v>S-417</v>
      </c>
      <c r="B5046" s="226" t="str">
        <f>IFERROR(__xludf.DUMMYFUNCTION("""COMPUTED_VALUE"""),"5907615823176")</f>
        <v>5907615823176</v>
      </c>
      <c r="C5046" t="str">
        <f>IFERROR(__xludf.DUMMYFUNCTION("""COMPUTED_VALUE"""),"Steinhof")</f>
        <v>Steinhof</v>
      </c>
    </row>
    <row r="5047">
      <c r="A5047" t="str">
        <f>IFERROR(__xludf.DUMMYFUNCTION("""COMPUTED_VALUE"""),"S-417")</f>
        <v>S-417</v>
      </c>
      <c r="B5047" s="226" t="str">
        <f>IFERROR(__xludf.DUMMYFUNCTION("""COMPUTED_VALUE"""),"5907615823176")</f>
        <v>5907615823176</v>
      </c>
      <c r="C5047" t="str">
        <f>IFERROR(__xludf.DUMMYFUNCTION("""COMPUTED_VALUE"""),"Steinhof")</f>
        <v>Steinhof</v>
      </c>
    </row>
    <row r="5048">
      <c r="A5048" t="str">
        <f>IFERROR(__xludf.DUMMYFUNCTION("""COMPUTED_VALUE"""),"S-395")</f>
        <v>S-395</v>
      </c>
      <c r="B5048" s="226" t="str">
        <f>IFERROR(__xludf.DUMMYFUNCTION("""COMPUTED_VALUE"""),"5907615823312")</f>
        <v>5907615823312</v>
      </c>
      <c r="C5048" t="str">
        <f>IFERROR(__xludf.DUMMYFUNCTION("""COMPUTED_VALUE"""),"Steinhof")</f>
        <v>Steinhof</v>
      </c>
    </row>
    <row r="5049">
      <c r="A5049" t="str">
        <f>IFERROR(__xludf.DUMMYFUNCTION("""COMPUTED_VALUE"""),"S-395")</f>
        <v>S-395</v>
      </c>
      <c r="B5049" s="226" t="str">
        <f>IFERROR(__xludf.DUMMYFUNCTION("""COMPUTED_VALUE"""),"5907615823312")</f>
        <v>5907615823312</v>
      </c>
      <c r="C5049" t="str">
        <f>IFERROR(__xludf.DUMMYFUNCTION("""COMPUTED_VALUE"""),"Steinhof")</f>
        <v>Steinhof</v>
      </c>
    </row>
    <row r="5050">
      <c r="A5050" t="str">
        <f>IFERROR(__xludf.DUMMYFUNCTION("""COMPUTED_VALUE"""),"S-396")</f>
        <v>S-396</v>
      </c>
      <c r="B5050" s="226" t="str">
        <f>IFERROR(__xludf.DUMMYFUNCTION("""COMPUTED_VALUE"""),"5907615823329")</f>
        <v>5907615823329</v>
      </c>
      <c r="C5050" t="str">
        <f>IFERROR(__xludf.DUMMYFUNCTION("""COMPUTED_VALUE"""),"Steinhof")</f>
        <v>Steinhof</v>
      </c>
    </row>
    <row r="5051">
      <c r="A5051" t="str">
        <f>IFERROR(__xludf.DUMMYFUNCTION("""COMPUTED_VALUE"""),"S-396")</f>
        <v>S-396</v>
      </c>
      <c r="B5051" s="226" t="str">
        <f>IFERROR(__xludf.DUMMYFUNCTION("""COMPUTED_VALUE"""),"5907615823329")</f>
        <v>5907615823329</v>
      </c>
      <c r="C5051" t="str">
        <f>IFERROR(__xludf.DUMMYFUNCTION("""COMPUTED_VALUE"""),"Steinhof")</f>
        <v>Steinhof</v>
      </c>
    </row>
    <row r="5052">
      <c r="A5052" t="str">
        <f>IFERROR(__xludf.DUMMYFUNCTION("""COMPUTED_VALUE"""),"S-387")</f>
        <v>S-387</v>
      </c>
      <c r="B5052" s="226" t="str">
        <f>IFERROR(__xludf.DUMMYFUNCTION("""COMPUTED_VALUE"""),"5907615823336")</f>
        <v>5907615823336</v>
      </c>
      <c r="C5052" t="str">
        <f>IFERROR(__xludf.DUMMYFUNCTION("""COMPUTED_VALUE"""),"Steinhof")</f>
        <v>Steinhof</v>
      </c>
    </row>
    <row r="5053">
      <c r="A5053" t="str">
        <f>IFERROR(__xludf.DUMMYFUNCTION("""COMPUTED_VALUE"""),"S-387")</f>
        <v>S-387</v>
      </c>
      <c r="B5053" s="226" t="str">
        <f>IFERROR(__xludf.DUMMYFUNCTION("""COMPUTED_VALUE"""),"5907615823336")</f>
        <v>5907615823336</v>
      </c>
      <c r="C5053" t="str">
        <f>IFERROR(__xludf.DUMMYFUNCTION("""COMPUTED_VALUE"""),"Steinhof")</f>
        <v>Steinhof</v>
      </c>
    </row>
    <row r="5054">
      <c r="A5054" t="str">
        <f>IFERROR(__xludf.DUMMYFUNCTION("""COMPUTED_VALUE"""),"S-388")</f>
        <v>S-388</v>
      </c>
      <c r="B5054" s="226" t="str">
        <f>IFERROR(__xludf.DUMMYFUNCTION("""COMPUTED_VALUE"""),"5907615823343")</f>
        <v>5907615823343</v>
      </c>
      <c r="C5054" t="str">
        <f>IFERROR(__xludf.DUMMYFUNCTION("""COMPUTED_VALUE"""),"Steinhof")</f>
        <v>Steinhof</v>
      </c>
    </row>
    <row r="5055">
      <c r="A5055" t="str">
        <f>IFERROR(__xludf.DUMMYFUNCTION("""COMPUTED_VALUE"""),"S-388")</f>
        <v>S-388</v>
      </c>
      <c r="B5055" s="226" t="str">
        <f>IFERROR(__xludf.DUMMYFUNCTION("""COMPUTED_VALUE"""),"5907615823343")</f>
        <v>5907615823343</v>
      </c>
      <c r="C5055" t="str">
        <f>IFERROR(__xludf.DUMMYFUNCTION("""COMPUTED_VALUE"""),"Steinhof")</f>
        <v>Steinhof</v>
      </c>
    </row>
    <row r="5056">
      <c r="A5056" t="str">
        <f>IFERROR(__xludf.DUMMYFUNCTION("""COMPUTED_VALUE"""),"S-360")</f>
        <v>S-360</v>
      </c>
      <c r="B5056" s="226" t="str">
        <f>IFERROR(__xludf.DUMMYFUNCTION("""COMPUTED_VALUE"""),"5907615823350")</f>
        <v>5907615823350</v>
      </c>
      <c r="C5056" t="str">
        <f>IFERROR(__xludf.DUMMYFUNCTION("""COMPUTED_VALUE"""),"Steinhof")</f>
        <v>Steinhof</v>
      </c>
    </row>
    <row r="5057">
      <c r="A5057" t="str">
        <f>IFERROR(__xludf.DUMMYFUNCTION("""COMPUTED_VALUE"""),"S-360")</f>
        <v>S-360</v>
      </c>
      <c r="B5057" s="226" t="str">
        <f>IFERROR(__xludf.DUMMYFUNCTION("""COMPUTED_VALUE"""),"5907615823350")</f>
        <v>5907615823350</v>
      </c>
      <c r="C5057" t="str">
        <f>IFERROR(__xludf.DUMMYFUNCTION("""COMPUTED_VALUE"""),"Steinhof")</f>
        <v>Steinhof</v>
      </c>
    </row>
    <row r="5058">
      <c r="A5058" t="str">
        <f>IFERROR(__xludf.DUMMYFUNCTION("""COMPUTED_VALUE"""),"S-361")</f>
        <v>S-361</v>
      </c>
      <c r="B5058" s="226" t="str">
        <f>IFERROR(__xludf.DUMMYFUNCTION("""COMPUTED_VALUE"""),"5907615823367")</f>
        <v>5907615823367</v>
      </c>
      <c r="C5058" t="str">
        <f>IFERROR(__xludf.DUMMYFUNCTION("""COMPUTED_VALUE"""),"Steinhof")</f>
        <v>Steinhof</v>
      </c>
    </row>
    <row r="5059">
      <c r="A5059" t="str">
        <f>IFERROR(__xludf.DUMMYFUNCTION("""COMPUTED_VALUE"""),"S-361")</f>
        <v>S-361</v>
      </c>
      <c r="B5059" s="226" t="str">
        <f>IFERROR(__xludf.DUMMYFUNCTION("""COMPUTED_VALUE"""),"5907615823367")</f>
        <v>5907615823367</v>
      </c>
      <c r="C5059" t="str">
        <f>IFERROR(__xludf.DUMMYFUNCTION("""COMPUTED_VALUE"""),"Steinhof")</f>
        <v>Steinhof</v>
      </c>
    </row>
    <row r="5060">
      <c r="A5060" t="str">
        <f>IFERROR(__xludf.DUMMYFUNCTION("""COMPUTED_VALUE"""),"S-362")</f>
        <v>S-362</v>
      </c>
      <c r="B5060" s="226" t="str">
        <f>IFERROR(__xludf.DUMMYFUNCTION("""COMPUTED_VALUE"""),"5907615823374")</f>
        <v>5907615823374</v>
      </c>
      <c r="C5060" t="str">
        <f>IFERROR(__xludf.DUMMYFUNCTION("""COMPUTED_VALUE"""),"Steinhof")</f>
        <v>Steinhof</v>
      </c>
    </row>
    <row r="5061">
      <c r="A5061" t="str">
        <f>IFERROR(__xludf.DUMMYFUNCTION("""COMPUTED_VALUE"""),"S-362")</f>
        <v>S-362</v>
      </c>
      <c r="B5061" s="226" t="str">
        <f>IFERROR(__xludf.DUMMYFUNCTION("""COMPUTED_VALUE"""),"5907615823374")</f>
        <v>5907615823374</v>
      </c>
      <c r="C5061" t="str">
        <f>IFERROR(__xludf.DUMMYFUNCTION("""COMPUTED_VALUE"""),"Steinhof")</f>
        <v>Steinhof</v>
      </c>
    </row>
    <row r="5062">
      <c r="A5062" t="str">
        <f>IFERROR(__xludf.DUMMYFUNCTION("""COMPUTED_VALUE"""),"S-363")</f>
        <v>S-363</v>
      </c>
      <c r="B5062" s="226" t="str">
        <f>IFERROR(__xludf.DUMMYFUNCTION("""COMPUTED_VALUE"""),"5907615823381")</f>
        <v>5907615823381</v>
      </c>
      <c r="C5062" t="str">
        <f>IFERROR(__xludf.DUMMYFUNCTION("""COMPUTED_VALUE"""),"Steinhof")</f>
        <v>Steinhof</v>
      </c>
    </row>
    <row r="5063">
      <c r="A5063" t="str">
        <f>IFERROR(__xludf.DUMMYFUNCTION("""COMPUTED_VALUE"""),"S-363")</f>
        <v>S-363</v>
      </c>
      <c r="B5063" s="226" t="str">
        <f>IFERROR(__xludf.DUMMYFUNCTION("""COMPUTED_VALUE"""),"5907615823381")</f>
        <v>5907615823381</v>
      </c>
      <c r="C5063" t="str">
        <f>IFERROR(__xludf.DUMMYFUNCTION("""COMPUTED_VALUE"""),"Steinhof")</f>
        <v>Steinhof</v>
      </c>
    </row>
    <row r="5064">
      <c r="A5064" t="str">
        <f>IFERROR(__xludf.DUMMYFUNCTION("""COMPUTED_VALUE"""),"S-364")</f>
        <v>S-364</v>
      </c>
      <c r="B5064" s="226" t="str">
        <f>IFERROR(__xludf.DUMMYFUNCTION("""COMPUTED_VALUE"""),"5907615823398")</f>
        <v>5907615823398</v>
      </c>
      <c r="C5064" t="str">
        <f>IFERROR(__xludf.DUMMYFUNCTION("""COMPUTED_VALUE"""),"Steinhof")</f>
        <v>Steinhof</v>
      </c>
    </row>
    <row r="5065">
      <c r="A5065" t="str">
        <f>IFERROR(__xludf.DUMMYFUNCTION("""COMPUTED_VALUE"""),"S-364")</f>
        <v>S-364</v>
      </c>
      <c r="B5065" s="226" t="str">
        <f>IFERROR(__xludf.DUMMYFUNCTION("""COMPUTED_VALUE"""),"5907615823398")</f>
        <v>5907615823398</v>
      </c>
      <c r="C5065" t="str">
        <f>IFERROR(__xludf.DUMMYFUNCTION("""COMPUTED_VALUE"""),"Steinhof")</f>
        <v>Steinhof</v>
      </c>
    </row>
    <row r="5066">
      <c r="A5066" t="str">
        <f>IFERROR(__xludf.DUMMYFUNCTION("""COMPUTED_VALUE"""),"S-365")</f>
        <v>S-365</v>
      </c>
      <c r="B5066" s="226" t="str">
        <f>IFERROR(__xludf.DUMMYFUNCTION("""COMPUTED_VALUE"""),"5907615823404")</f>
        <v>5907615823404</v>
      </c>
      <c r="C5066" t="str">
        <f>IFERROR(__xludf.DUMMYFUNCTION("""COMPUTED_VALUE"""),"Steinhof")</f>
        <v>Steinhof</v>
      </c>
    </row>
    <row r="5067">
      <c r="A5067" t="str">
        <f>IFERROR(__xludf.DUMMYFUNCTION("""COMPUTED_VALUE"""),"S-365")</f>
        <v>S-365</v>
      </c>
      <c r="B5067" s="226" t="str">
        <f>IFERROR(__xludf.DUMMYFUNCTION("""COMPUTED_VALUE"""),"5907615823404")</f>
        <v>5907615823404</v>
      </c>
      <c r="C5067" t="str">
        <f>IFERROR(__xludf.DUMMYFUNCTION("""COMPUTED_VALUE"""),"Steinhof")</f>
        <v>Steinhof</v>
      </c>
    </row>
    <row r="5068">
      <c r="A5068" t="str">
        <f>IFERROR(__xludf.DUMMYFUNCTION("""COMPUTED_VALUE"""),"S-366")</f>
        <v>S-366</v>
      </c>
      <c r="B5068" s="226" t="str">
        <f>IFERROR(__xludf.DUMMYFUNCTION("""COMPUTED_VALUE"""),"5907615823411")</f>
        <v>5907615823411</v>
      </c>
      <c r="C5068" t="str">
        <f>IFERROR(__xludf.DUMMYFUNCTION("""COMPUTED_VALUE"""),"Steinhof")</f>
        <v>Steinhof</v>
      </c>
    </row>
    <row r="5069">
      <c r="A5069" t="str">
        <f>IFERROR(__xludf.DUMMYFUNCTION("""COMPUTED_VALUE"""),"S-366")</f>
        <v>S-366</v>
      </c>
      <c r="B5069" s="226" t="str">
        <f>IFERROR(__xludf.DUMMYFUNCTION("""COMPUTED_VALUE"""),"5907615823411")</f>
        <v>5907615823411</v>
      </c>
      <c r="C5069" t="str">
        <f>IFERROR(__xludf.DUMMYFUNCTION("""COMPUTED_VALUE"""),"Steinhof")</f>
        <v>Steinhof</v>
      </c>
    </row>
    <row r="5070">
      <c r="A5070" t="str">
        <f>IFERROR(__xludf.DUMMYFUNCTION("""COMPUTED_VALUE"""),"S-367")</f>
        <v>S-367</v>
      </c>
      <c r="B5070" s="226" t="str">
        <f>IFERROR(__xludf.DUMMYFUNCTION("""COMPUTED_VALUE"""),"5907615823428")</f>
        <v>5907615823428</v>
      </c>
      <c r="C5070" t="str">
        <f>IFERROR(__xludf.DUMMYFUNCTION("""COMPUTED_VALUE"""),"Steinhof")</f>
        <v>Steinhof</v>
      </c>
    </row>
    <row r="5071">
      <c r="A5071" t="str">
        <f>IFERROR(__xludf.DUMMYFUNCTION("""COMPUTED_VALUE"""),"S-367")</f>
        <v>S-367</v>
      </c>
      <c r="B5071" s="226" t="str">
        <f>IFERROR(__xludf.DUMMYFUNCTION("""COMPUTED_VALUE"""),"5907615823428")</f>
        <v>5907615823428</v>
      </c>
      <c r="C5071" t="str">
        <f>IFERROR(__xludf.DUMMYFUNCTION("""COMPUTED_VALUE"""),"Steinhof")</f>
        <v>Steinhof</v>
      </c>
    </row>
    <row r="5072">
      <c r="A5072" t="str">
        <f>IFERROR(__xludf.DUMMYFUNCTION("""COMPUTED_VALUE"""),"S-414")</f>
        <v>S-414</v>
      </c>
      <c r="B5072" s="226" t="str">
        <f>IFERROR(__xludf.DUMMYFUNCTION("""COMPUTED_VALUE"""),"5907615823435")</f>
        <v>5907615823435</v>
      </c>
      <c r="C5072" t="str">
        <f>IFERROR(__xludf.DUMMYFUNCTION("""COMPUTED_VALUE"""),"Steinhof")</f>
        <v>Steinhof</v>
      </c>
    </row>
    <row r="5073">
      <c r="A5073" t="str">
        <f>IFERROR(__xludf.DUMMYFUNCTION("""COMPUTED_VALUE"""),"S-414")</f>
        <v>S-414</v>
      </c>
      <c r="B5073" s="226" t="str">
        <f>IFERROR(__xludf.DUMMYFUNCTION("""COMPUTED_VALUE"""),"5907615823435")</f>
        <v>5907615823435</v>
      </c>
      <c r="C5073" t="str">
        <f>IFERROR(__xludf.DUMMYFUNCTION("""COMPUTED_VALUE"""),"Steinhof")</f>
        <v>Steinhof</v>
      </c>
    </row>
    <row r="5074">
      <c r="A5074" t="str">
        <f>IFERROR(__xludf.DUMMYFUNCTION("""COMPUTED_VALUE"""),"S-415")</f>
        <v>S-415</v>
      </c>
      <c r="B5074" s="226" t="str">
        <f>IFERROR(__xludf.DUMMYFUNCTION("""COMPUTED_VALUE"""),"5907615823442")</f>
        <v>5907615823442</v>
      </c>
      <c r="C5074" t="str">
        <f>IFERROR(__xludf.DUMMYFUNCTION("""COMPUTED_VALUE"""),"Steinhof")</f>
        <v>Steinhof</v>
      </c>
    </row>
    <row r="5075">
      <c r="A5075" t="str">
        <f>IFERROR(__xludf.DUMMYFUNCTION("""COMPUTED_VALUE"""),"S-415")</f>
        <v>S-415</v>
      </c>
      <c r="B5075" s="226" t="str">
        <f>IFERROR(__xludf.DUMMYFUNCTION("""COMPUTED_VALUE"""),"5907615823442")</f>
        <v>5907615823442</v>
      </c>
      <c r="C5075" t="str">
        <f>IFERROR(__xludf.DUMMYFUNCTION("""COMPUTED_VALUE"""),"Steinhof")</f>
        <v>Steinhof</v>
      </c>
    </row>
    <row r="5076">
      <c r="A5076" t="str">
        <f>IFERROR(__xludf.DUMMYFUNCTION("""COMPUTED_VALUE"""),"S-368")</f>
        <v>S-368</v>
      </c>
      <c r="B5076" s="226" t="str">
        <f>IFERROR(__xludf.DUMMYFUNCTION("""COMPUTED_VALUE"""),"5907615823459")</f>
        <v>5907615823459</v>
      </c>
      <c r="C5076" t="str">
        <f>IFERROR(__xludf.DUMMYFUNCTION("""COMPUTED_VALUE"""),"Steinhof")</f>
        <v>Steinhof</v>
      </c>
    </row>
    <row r="5077">
      <c r="A5077" t="str">
        <f>IFERROR(__xludf.DUMMYFUNCTION("""COMPUTED_VALUE"""),"S-369")</f>
        <v>S-369</v>
      </c>
      <c r="B5077" s="226" t="str">
        <f>IFERROR(__xludf.DUMMYFUNCTION("""COMPUTED_VALUE"""),"5907615823466")</f>
        <v>5907615823466</v>
      </c>
      <c r="C5077" t="str">
        <f>IFERROR(__xludf.DUMMYFUNCTION("""COMPUTED_VALUE"""),"Steinhof")</f>
        <v>Steinhof</v>
      </c>
    </row>
    <row r="5078">
      <c r="A5078" t="str">
        <f>IFERROR(__xludf.DUMMYFUNCTION("""COMPUTED_VALUE"""),"S-370")</f>
        <v>S-370</v>
      </c>
      <c r="B5078" s="226" t="str">
        <f>IFERROR(__xludf.DUMMYFUNCTION("""COMPUTED_VALUE"""),"5907615823473")</f>
        <v>5907615823473</v>
      </c>
      <c r="C5078" t="str">
        <f>IFERROR(__xludf.DUMMYFUNCTION("""COMPUTED_VALUE"""),"Steinhof")</f>
        <v>Steinhof</v>
      </c>
    </row>
    <row r="5079">
      <c r="A5079" t="str">
        <f>IFERROR(__xludf.DUMMYFUNCTION("""COMPUTED_VALUE"""),"S-370")</f>
        <v>S-370</v>
      </c>
      <c r="B5079" s="226" t="str">
        <f>IFERROR(__xludf.DUMMYFUNCTION("""COMPUTED_VALUE"""),"5907615823473")</f>
        <v>5907615823473</v>
      </c>
      <c r="C5079" t="str">
        <f>IFERROR(__xludf.DUMMYFUNCTION("""COMPUTED_VALUE"""),"Steinhof")</f>
        <v>Steinhof</v>
      </c>
    </row>
    <row r="5080">
      <c r="A5080" t="str">
        <f>IFERROR(__xludf.DUMMYFUNCTION("""COMPUTED_VALUE"""),"S-371")</f>
        <v>S-371</v>
      </c>
      <c r="B5080" s="226" t="str">
        <f>IFERROR(__xludf.DUMMYFUNCTION("""COMPUTED_VALUE"""),"5907615823480")</f>
        <v>5907615823480</v>
      </c>
      <c r="C5080" t="str">
        <f>IFERROR(__xludf.DUMMYFUNCTION("""COMPUTED_VALUE"""),"Steinhof")</f>
        <v>Steinhof</v>
      </c>
    </row>
    <row r="5081">
      <c r="A5081" t="str">
        <f>IFERROR(__xludf.DUMMYFUNCTION("""COMPUTED_VALUE"""),"S-371")</f>
        <v>S-371</v>
      </c>
      <c r="B5081" s="226" t="str">
        <f>IFERROR(__xludf.DUMMYFUNCTION("""COMPUTED_VALUE"""),"5907615823480")</f>
        <v>5907615823480</v>
      </c>
      <c r="C5081" t="str">
        <f>IFERROR(__xludf.DUMMYFUNCTION("""COMPUTED_VALUE"""),"Steinhof")</f>
        <v>Steinhof</v>
      </c>
    </row>
    <row r="5082">
      <c r="A5082" t="str">
        <f>IFERROR(__xludf.DUMMYFUNCTION("""COMPUTED_VALUE"""),"S-372")</f>
        <v>S-372</v>
      </c>
      <c r="B5082" s="226" t="str">
        <f>IFERROR(__xludf.DUMMYFUNCTION("""COMPUTED_VALUE"""),"5907615823497")</f>
        <v>5907615823497</v>
      </c>
      <c r="C5082" t="str">
        <f>IFERROR(__xludf.DUMMYFUNCTION("""COMPUTED_VALUE"""),"Steinhof")</f>
        <v>Steinhof</v>
      </c>
    </row>
    <row r="5083">
      <c r="A5083" t="str">
        <f>IFERROR(__xludf.DUMMYFUNCTION("""COMPUTED_VALUE"""),"S-372")</f>
        <v>S-372</v>
      </c>
      <c r="B5083" s="226" t="str">
        <f>IFERROR(__xludf.DUMMYFUNCTION("""COMPUTED_VALUE"""),"5907615823497")</f>
        <v>5907615823497</v>
      </c>
      <c r="C5083" t="str">
        <f>IFERROR(__xludf.DUMMYFUNCTION("""COMPUTED_VALUE"""),"Steinhof")</f>
        <v>Steinhof</v>
      </c>
    </row>
    <row r="5084">
      <c r="A5084" t="str">
        <f>IFERROR(__xludf.DUMMYFUNCTION("""COMPUTED_VALUE"""),"S-373")</f>
        <v>S-373</v>
      </c>
      <c r="B5084" s="226" t="str">
        <f>IFERROR(__xludf.DUMMYFUNCTION("""COMPUTED_VALUE"""),"5907615823503")</f>
        <v>5907615823503</v>
      </c>
      <c r="C5084" t="str">
        <f>IFERROR(__xludf.DUMMYFUNCTION("""COMPUTED_VALUE"""),"Steinhof")</f>
        <v>Steinhof</v>
      </c>
    </row>
    <row r="5085">
      <c r="A5085" t="str">
        <f>IFERROR(__xludf.DUMMYFUNCTION("""COMPUTED_VALUE"""),"S-373")</f>
        <v>S-373</v>
      </c>
      <c r="B5085" s="226" t="str">
        <f>IFERROR(__xludf.DUMMYFUNCTION("""COMPUTED_VALUE"""),"5907615823503")</f>
        <v>5907615823503</v>
      </c>
      <c r="C5085" t="str">
        <f>IFERROR(__xludf.DUMMYFUNCTION("""COMPUTED_VALUE"""),"Steinhof")</f>
        <v>Steinhof</v>
      </c>
    </row>
    <row r="5086">
      <c r="A5086" t="str">
        <f>IFERROR(__xludf.DUMMYFUNCTION("""COMPUTED_VALUE"""),"S-416")</f>
        <v>S-416</v>
      </c>
      <c r="B5086" s="226" t="str">
        <f>IFERROR(__xludf.DUMMYFUNCTION("""COMPUTED_VALUE"""),"5907615823510")</f>
        <v>5907615823510</v>
      </c>
      <c r="C5086" t="str">
        <f>IFERROR(__xludf.DUMMYFUNCTION("""COMPUTED_VALUE"""),"Steinhof")</f>
        <v>Steinhof</v>
      </c>
    </row>
    <row r="5087">
      <c r="A5087" t="str">
        <f>IFERROR(__xludf.DUMMYFUNCTION("""COMPUTED_VALUE"""),"S-416")</f>
        <v>S-416</v>
      </c>
      <c r="B5087" s="226" t="str">
        <f>IFERROR(__xludf.DUMMYFUNCTION("""COMPUTED_VALUE"""),"5907615823510")</f>
        <v>5907615823510</v>
      </c>
      <c r="C5087" t="str">
        <f>IFERROR(__xludf.DUMMYFUNCTION("""COMPUTED_VALUE"""),"Steinhof")</f>
        <v>Steinhof</v>
      </c>
    </row>
    <row r="5088">
      <c r="A5088" t="str">
        <f>IFERROR(__xludf.DUMMYFUNCTION("""COMPUTED_VALUE"""),"S-469")</f>
        <v>S-469</v>
      </c>
      <c r="B5088" s="226" t="str">
        <f>IFERROR(__xludf.DUMMYFUNCTION("""COMPUTED_VALUE"""),"5907615823534")</f>
        <v>5907615823534</v>
      </c>
      <c r="C5088" t="str">
        <f>IFERROR(__xludf.DUMMYFUNCTION("""COMPUTED_VALUE"""),"Steinhof")</f>
        <v>Steinhof</v>
      </c>
    </row>
    <row r="5089">
      <c r="A5089" t="str">
        <f>IFERROR(__xludf.DUMMYFUNCTION("""COMPUTED_VALUE"""),"S-469")</f>
        <v>S-469</v>
      </c>
      <c r="B5089" s="226" t="str">
        <f>IFERROR(__xludf.DUMMYFUNCTION("""COMPUTED_VALUE"""),"5907615823534")</f>
        <v>5907615823534</v>
      </c>
      <c r="C5089" t="str">
        <f>IFERROR(__xludf.DUMMYFUNCTION("""COMPUTED_VALUE"""),"Steinhof")</f>
        <v>Steinhof</v>
      </c>
    </row>
    <row r="5090">
      <c r="A5090" t="str">
        <f>IFERROR(__xludf.DUMMYFUNCTION("""COMPUTED_VALUE"""),"S-469")</f>
        <v>S-469</v>
      </c>
      <c r="B5090" s="226" t="str">
        <f>IFERROR(__xludf.DUMMYFUNCTION("""COMPUTED_VALUE"""),"5907615823534")</f>
        <v>5907615823534</v>
      </c>
      <c r="C5090" t="str">
        <f>IFERROR(__xludf.DUMMYFUNCTION("""COMPUTED_VALUE"""),"Steinhof")</f>
        <v>Steinhof</v>
      </c>
    </row>
    <row r="5091">
      <c r="A5091" t="str">
        <f>IFERROR(__xludf.DUMMYFUNCTION("""COMPUTED_VALUE"""),"S-452")</f>
        <v>S-452</v>
      </c>
      <c r="B5091" s="226" t="str">
        <f>IFERROR(__xludf.DUMMYFUNCTION("""COMPUTED_VALUE"""),"5907615823541")</f>
        <v>5907615823541</v>
      </c>
      <c r="C5091" t="str">
        <f>IFERROR(__xludf.DUMMYFUNCTION("""COMPUTED_VALUE"""),"Steinhof")</f>
        <v>Steinhof</v>
      </c>
    </row>
    <row r="5092">
      <c r="A5092" t="str">
        <f>IFERROR(__xludf.DUMMYFUNCTION("""COMPUTED_VALUE"""),"S-452")</f>
        <v>S-452</v>
      </c>
      <c r="B5092" s="226" t="str">
        <f>IFERROR(__xludf.DUMMYFUNCTION("""COMPUTED_VALUE"""),"5907615823541")</f>
        <v>5907615823541</v>
      </c>
      <c r="C5092" t="str">
        <f>IFERROR(__xludf.DUMMYFUNCTION("""COMPUTED_VALUE"""),"Steinhof")</f>
        <v>Steinhof</v>
      </c>
    </row>
    <row r="5093">
      <c r="A5093" t="str">
        <f>IFERROR(__xludf.DUMMYFUNCTION("""COMPUTED_VALUE"""),"S-453")</f>
        <v>S-453</v>
      </c>
      <c r="B5093" s="226" t="str">
        <f>IFERROR(__xludf.DUMMYFUNCTION("""COMPUTED_VALUE"""),"5907615823558")</f>
        <v>5907615823558</v>
      </c>
      <c r="C5093" t="str">
        <f>IFERROR(__xludf.DUMMYFUNCTION("""COMPUTED_VALUE"""),"Steinhof")</f>
        <v>Steinhof</v>
      </c>
    </row>
    <row r="5094">
      <c r="A5094" t="str">
        <f>IFERROR(__xludf.DUMMYFUNCTION("""COMPUTED_VALUE"""),"S-453")</f>
        <v>S-453</v>
      </c>
      <c r="B5094" s="226" t="str">
        <f>IFERROR(__xludf.DUMMYFUNCTION("""COMPUTED_VALUE"""),"5907615823558")</f>
        <v>5907615823558</v>
      </c>
      <c r="C5094" t="str">
        <f>IFERROR(__xludf.DUMMYFUNCTION("""COMPUTED_VALUE"""),"Steinhof")</f>
        <v>Steinhof</v>
      </c>
    </row>
    <row r="5095">
      <c r="A5095" t="str">
        <f>IFERROR(__xludf.DUMMYFUNCTION("""COMPUTED_VALUE"""),"S-470")</f>
        <v>S-470</v>
      </c>
      <c r="B5095" s="226" t="str">
        <f>IFERROR(__xludf.DUMMYFUNCTION("""COMPUTED_VALUE"""),"5907615823572")</f>
        <v>5907615823572</v>
      </c>
      <c r="C5095" t="str">
        <f>IFERROR(__xludf.DUMMYFUNCTION("""COMPUTED_VALUE"""),"Steinhof")</f>
        <v>Steinhof</v>
      </c>
    </row>
    <row r="5096">
      <c r="A5096" t="str">
        <f>IFERROR(__xludf.DUMMYFUNCTION("""COMPUTED_VALUE"""),"S-471")</f>
        <v>S-471</v>
      </c>
      <c r="B5096" s="226" t="str">
        <f>IFERROR(__xludf.DUMMYFUNCTION("""COMPUTED_VALUE"""),"5907615823589")</f>
        <v>5907615823589</v>
      </c>
      <c r="C5096" t="str">
        <f>IFERROR(__xludf.DUMMYFUNCTION("""COMPUTED_VALUE"""),"Steinhof")</f>
        <v>Steinhof</v>
      </c>
    </row>
    <row r="5097">
      <c r="A5097" t="str">
        <f>IFERROR(__xludf.DUMMYFUNCTION("""COMPUTED_VALUE"""),"S-476")</f>
        <v>S-476</v>
      </c>
      <c r="B5097" s="226" t="str">
        <f>IFERROR(__xludf.DUMMYFUNCTION("""COMPUTED_VALUE"""),"5907615823596")</f>
        <v>5907615823596</v>
      </c>
      <c r="C5097" t="str">
        <f>IFERROR(__xludf.DUMMYFUNCTION("""COMPUTED_VALUE"""),"Steinhof")</f>
        <v>Steinhof</v>
      </c>
    </row>
    <row r="5098">
      <c r="A5098" t="str">
        <f>IFERROR(__xludf.DUMMYFUNCTION("""COMPUTED_VALUE"""),"S-458")</f>
        <v>S-458</v>
      </c>
      <c r="B5098" s="226" t="str">
        <f>IFERROR(__xludf.DUMMYFUNCTION("""COMPUTED_VALUE"""),"5907615823602")</f>
        <v>5907615823602</v>
      </c>
      <c r="C5098" t="str">
        <f>IFERROR(__xludf.DUMMYFUNCTION("""COMPUTED_VALUE"""),"Steinhof")</f>
        <v>Steinhof</v>
      </c>
    </row>
    <row r="5099">
      <c r="A5099" t="str">
        <f>IFERROR(__xludf.DUMMYFUNCTION("""COMPUTED_VALUE"""),"S-458")</f>
        <v>S-458</v>
      </c>
      <c r="B5099" s="226" t="str">
        <f>IFERROR(__xludf.DUMMYFUNCTION("""COMPUTED_VALUE"""),"5907615823602")</f>
        <v>5907615823602</v>
      </c>
      <c r="C5099" t="str">
        <f>IFERROR(__xludf.DUMMYFUNCTION("""COMPUTED_VALUE"""),"Steinhof")</f>
        <v>Steinhof</v>
      </c>
    </row>
    <row r="5100">
      <c r="A5100" t="str">
        <f>IFERROR(__xludf.DUMMYFUNCTION("""COMPUTED_VALUE"""),"S-477")</f>
        <v>S-477</v>
      </c>
      <c r="B5100" s="226" t="str">
        <f>IFERROR(__xludf.DUMMYFUNCTION("""COMPUTED_VALUE"""),"5907615823619")</f>
        <v>5907615823619</v>
      </c>
      <c r="C5100" t="str">
        <f>IFERROR(__xludf.DUMMYFUNCTION("""COMPUTED_VALUE"""),"Steinhof")</f>
        <v>Steinhof</v>
      </c>
    </row>
    <row r="5101">
      <c r="A5101" t="str">
        <f>IFERROR(__xludf.DUMMYFUNCTION("""COMPUTED_VALUE"""),"S-460")</f>
        <v>S-460</v>
      </c>
      <c r="B5101" s="226" t="str">
        <f>IFERROR(__xludf.DUMMYFUNCTION("""COMPUTED_VALUE"""),"5907615823626")</f>
        <v>5907615823626</v>
      </c>
      <c r="C5101" t="str">
        <f>IFERROR(__xludf.DUMMYFUNCTION("""COMPUTED_VALUE"""),"Steinhof")</f>
        <v>Steinhof</v>
      </c>
    </row>
    <row r="5102">
      <c r="A5102" t="str">
        <f>IFERROR(__xludf.DUMMYFUNCTION("""COMPUTED_VALUE"""),"S-460")</f>
        <v>S-460</v>
      </c>
      <c r="B5102" s="226" t="str">
        <f>IFERROR(__xludf.DUMMYFUNCTION("""COMPUTED_VALUE"""),"5907615823626")</f>
        <v>5907615823626</v>
      </c>
      <c r="C5102" t="str">
        <f>IFERROR(__xludf.DUMMYFUNCTION("""COMPUTED_VALUE"""),"Steinhof")</f>
        <v>Steinhof</v>
      </c>
    </row>
    <row r="5103">
      <c r="A5103" t="str">
        <f>IFERROR(__xludf.DUMMYFUNCTION("""COMPUTED_VALUE"""),"S-461")</f>
        <v>S-461</v>
      </c>
      <c r="B5103" s="226" t="str">
        <f>IFERROR(__xludf.DUMMYFUNCTION("""COMPUTED_VALUE"""),"5907615823633")</f>
        <v>5907615823633</v>
      </c>
      <c r="C5103" t="str">
        <f>IFERROR(__xludf.DUMMYFUNCTION("""COMPUTED_VALUE"""),"Steinhof")</f>
        <v>Steinhof</v>
      </c>
    </row>
    <row r="5104">
      <c r="A5104" t="str">
        <f>IFERROR(__xludf.DUMMYFUNCTION("""COMPUTED_VALUE"""),"S-461")</f>
        <v>S-461</v>
      </c>
      <c r="B5104" s="226" t="str">
        <f>IFERROR(__xludf.DUMMYFUNCTION("""COMPUTED_VALUE"""),"5907615823633")</f>
        <v>5907615823633</v>
      </c>
      <c r="C5104" t="str">
        <f>IFERROR(__xludf.DUMMYFUNCTION("""COMPUTED_VALUE"""),"Steinhof")</f>
        <v>Steinhof</v>
      </c>
    </row>
    <row r="5105">
      <c r="A5105" t="str">
        <f>IFERROR(__xludf.DUMMYFUNCTION("""COMPUTED_VALUE"""),"S-462")</f>
        <v>S-462</v>
      </c>
      <c r="B5105" s="226" t="str">
        <f>IFERROR(__xludf.DUMMYFUNCTION("""COMPUTED_VALUE"""),"5907615823640")</f>
        <v>5907615823640</v>
      </c>
      <c r="C5105" t="str">
        <f>IFERROR(__xludf.DUMMYFUNCTION("""COMPUTED_VALUE"""),"Steinhof")</f>
        <v>Steinhof</v>
      </c>
    </row>
    <row r="5106">
      <c r="A5106" t="str">
        <f>IFERROR(__xludf.DUMMYFUNCTION("""COMPUTED_VALUE"""),"S-462")</f>
        <v>S-462</v>
      </c>
      <c r="B5106" s="226" t="str">
        <f>IFERROR(__xludf.DUMMYFUNCTION("""COMPUTED_VALUE"""),"5907615823640")</f>
        <v>5907615823640</v>
      </c>
      <c r="C5106" t="str">
        <f>IFERROR(__xludf.DUMMYFUNCTION("""COMPUTED_VALUE"""),"Steinhof")</f>
        <v>Steinhof</v>
      </c>
    </row>
    <row r="5107">
      <c r="A5107" t="str">
        <f>IFERROR(__xludf.DUMMYFUNCTION("""COMPUTED_VALUE"""),"S-463")</f>
        <v>S-463</v>
      </c>
      <c r="B5107" s="226" t="str">
        <f>IFERROR(__xludf.DUMMYFUNCTION("""COMPUTED_VALUE"""),"5907615823657")</f>
        <v>5907615823657</v>
      </c>
      <c r="C5107" t="str">
        <f>IFERROR(__xludf.DUMMYFUNCTION("""COMPUTED_VALUE"""),"Steinhof")</f>
        <v>Steinhof</v>
      </c>
    </row>
    <row r="5108">
      <c r="A5108" t="str">
        <f>IFERROR(__xludf.DUMMYFUNCTION("""COMPUTED_VALUE"""),"S-463")</f>
        <v>S-463</v>
      </c>
      <c r="B5108" s="226" t="str">
        <f>IFERROR(__xludf.DUMMYFUNCTION("""COMPUTED_VALUE"""),"5907615823657")</f>
        <v>5907615823657</v>
      </c>
      <c r="C5108" t="str">
        <f>IFERROR(__xludf.DUMMYFUNCTION("""COMPUTED_VALUE"""),"Steinhof")</f>
        <v>Steinhof</v>
      </c>
    </row>
    <row r="5109">
      <c r="A5109" t="str">
        <f>IFERROR(__xludf.DUMMYFUNCTION("""COMPUTED_VALUE"""),"S-463")</f>
        <v>S-463</v>
      </c>
      <c r="B5109" s="226" t="str">
        <f>IFERROR(__xludf.DUMMYFUNCTION("""COMPUTED_VALUE"""),"5907615823657")</f>
        <v>5907615823657</v>
      </c>
      <c r="C5109" t="str">
        <f>IFERROR(__xludf.DUMMYFUNCTION("""COMPUTED_VALUE"""),"Steinhof")</f>
        <v>Steinhof</v>
      </c>
    </row>
    <row r="5110">
      <c r="A5110" t="str">
        <f>IFERROR(__xludf.DUMMYFUNCTION("""COMPUTED_VALUE"""),"S-463")</f>
        <v>S-463</v>
      </c>
      <c r="B5110" s="226" t="str">
        <f>IFERROR(__xludf.DUMMYFUNCTION("""COMPUTED_VALUE"""),"5907615823657")</f>
        <v>5907615823657</v>
      </c>
      <c r="C5110" t="str">
        <f>IFERROR(__xludf.DUMMYFUNCTION("""COMPUTED_VALUE"""),"Steinhof")</f>
        <v>Steinhof</v>
      </c>
    </row>
    <row r="5111">
      <c r="A5111" t="str">
        <f>IFERROR(__xludf.DUMMYFUNCTION("""COMPUTED_VALUE"""),"S-464")</f>
        <v>S-464</v>
      </c>
      <c r="B5111" s="226" t="str">
        <f>IFERROR(__xludf.DUMMYFUNCTION("""COMPUTED_VALUE"""),"5907615823664")</f>
        <v>5907615823664</v>
      </c>
      <c r="C5111" t="str">
        <f>IFERROR(__xludf.DUMMYFUNCTION("""COMPUTED_VALUE"""),"Steinhof")</f>
        <v>Steinhof</v>
      </c>
    </row>
    <row r="5112">
      <c r="A5112" t="str">
        <f>IFERROR(__xludf.DUMMYFUNCTION("""COMPUTED_VALUE"""),"S-464")</f>
        <v>S-464</v>
      </c>
      <c r="B5112" s="226" t="str">
        <f>IFERROR(__xludf.DUMMYFUNCTION("""COMPUTED_VALUE"""),"5907615823664")</f>
        <v>5907615823664</v>
      </c>
      <c r="C5112" t="str">
        <f>IFERROR(__xludf.DUMMYFUNCTION("""COMPUTED_VALUE"""),"Steinhof")</f>
        <v>Steinhof</v>
      </c>
    </row>
    <row r="5113">
      <c r="A5113" t="str">
        <f>IFERROR(__xludf.DUMMYFUNCTION("""COMPUTED_VALUE"""),"S-465")</f>
        <v>S-465</v>
      </c>
      <c r="B5113" s="226" t="str">
        <f>IFERROR(__xludf.DUMMYFUNCTION("""COMPUTED_VALUE"""),"5907615823671")</f>
        <v>5907615823671</v>
      </c>
      <c r="C5113" t="str">
        <f>IFERROR(__xludf.DUMMYFUNCTION("""COMPUTED_VALUE"""),"Steinhof")</f>
        <v>Steinhof</v>
      </c>
    </row>
    <row r="5114">
      <c r="A5114" t="str">
        <f>IFERROR(__xludf.DUMMYFUNCTION("""COMPUTED_VALUE"""),"S-466")</f>
        <v>S-466</v>
      </c>
      <c r="B5114" s="226" t="str">
        <f>IFERROR(__xludf.DUMMYFUNCTION("""COMPUTED_VALUE"""),"5907615823688")</f>
        <v>5907615823688</v>
      </c>
      <c r="C5114" t="str">
        <f>IFERROR(__xludf.DUMMYFUNCTION("""COMPUTED_VALUE"""),"Steinhof")</f>
        <v>Steinhof</v>
      </c>
    </row>
    <row r="5115">
      <c r="A5115" t="str">
        <f>IFERROR(__xludf.DUMMYFUNCTION("""COMPUTED_VALUE"""),"S-466")</f>
        <v>S-466</v>
      </c>
      <c r="B5115" s="226" t="str">
        <f>IFERROR(__xludf.DUMMYFUNCTION("""COMPUTED_VALUE"""),"5907615823688")</f>
        <v>5907615823688</v>
      </c>
      <c r="C5115" t="str">
        <f>IFERROR(__xludf.DUMMYFUNCTION("""COMPUTED_VALUE"""),"Steinhof")</f>
        <v>Steinhof</v>
      </c>
    </row>
    <row r="5116">
      <c r="A5116" t="str">
        <f>IFERROR(__xludf.DUMMYFUNCTION("""COMPUTED_VALUE"""),"S-467")</f>
        <v>S-467</v>
      </c>
      <c r="B5116" s="226" t="str">
        <f>IFERROR(__xludf.DUMMYFUNCTION("""COMPUTED_VALUE"""),"5907615823695")</f>
        <v>5907615823695</v>
      </c>
      <c r="C5116" t="str">
        <f>IFERROR(__xludf.DUMMYFUNCTION("""COMPUTED_VALUE"""),"Steinhof")</f>
        <v>Steinhof</v>
      </c>
    </row>
    <row r="5117">
      <c r="A5117" t="str">
        <f>IFERROR(__xludf.DUMMYFUNCTION("""COMPUTED_VALUE"""),"S-467")</f>
        <v>S-467</v>
      </c>
      <c r="B5117" s="226" t="str">
        <f>IFERROR(__xludf.DUMMYFUNCTION("""COMPUTED_VALUE"""),"5907615823695")</f>
        <v>5907615823695</v>
      </c>
      <c r="C5117" t="str">
        <f>IFERROR(__xludf.DUMMYFUNCTION("""COMPUTED_VALUE"""),"Steinhof")</f>
        <v>Steinhof</v>
      </c>
    </row>
    <row r="5118">
      <c r="A5118" t="str">
        <f>IFERROR(__xludf.DUMMYFUNCTION("""COMPUTED_VALUE"""),"S-468")</f>
        <v>S-468</v>
      </c>
      <c r="B5118" s="226" t="str">
        <f>IFERROR(__xludf.DUMMYFUNCTION("""COMPUTED_VALUE"""),"5907615823701")</f>
        <v>5907615823701</v>
      </c>
      <c r="C5118" t="str">
        <f>IFERROR(__xludf.DUMMYFUNCTION("""COMPUTED_VALUE"""),"Steinhof")</f>
        <v>Steinhof</v>
      </c>
    </row>
    <row r="5119">
      <c r="A5119" t="str">
        <f>IFERROR(__xludf.DUMMYFUNCTION("""COMPUTED_VALUE"""),"S-468")</f>
        <v>S-468</v>
      </c>
      <c r="B5119" s="226" t="str">
        <f>IFERROR(__xludf.DUMMYFUNCTION("""COMPUTED_VALUE"""),"5907615823701")</f>
        <v>5907615823701</v>
      </c>
      <c r="C5119" t="str">
        <f>IFERROR(__xludf.DUMMYFUNCTION("""COMPUTED_VALUE"""),"Steinhof")</f>
        <v>Steinhof</v>
      </c>
    </row>
    <row r="5120">
      <c r="A5120" t="str">
        <f>IFERROR(__xludf.DUMMYFUNCTION("""COMPUTED_VALUE"""),"S-468")</f>
        <v>S-468</v>
      </c>
      <c r="B5120" s="226" t="str">
        <f>IFERROR(__xludf.DUMMYFUNCTION("""COMPUTED_VALUE"""),"5907615823701")</f>
        <v>5907615823701</v>
      </c>
      <c r="C5120" t="str">
        <f>IFERROR(__xludf.DUMMYFUNCTION("""COMPUTED_VALUE"""),"Steinhof")</f>
        <v>Steinhof</v>
      </c>
    </row>
    <row r="5121">
      <c r="A5121" t="str">
        <f>IFERROR(__xludf.DUMMYFUNCTION("""COMPUTED_VALUE"""),"S-401")</f>
        <v>S-401</v>
      </c>
      <c r="B5121" s="226" t="str">
        <f>IFERROR(__xludf.DUMMYFUNCTION("""COMPUTED_VALUE"""),"5907615823725")</f>
        <v>5907615823725</v>
      </c>
      <c r="C5121" t="str">
        <f>IFERROR(__xludf.DUMMYFUNCTION("""COMPUTED_VALUE"""),"Steinhof")</f>
        <v>Steinhof</v>
      </c>
    </row>
    <row r="5122">
      <c r="A5122" t="str">
        <f>IFERROR(__xludf.DUMMYFUNCTION("""COMPUTED_VALUE"""),"S-401")</f>
        <v>S-401</v>
      </c>
      <c r="B5122" s="226" t="str">
        <f>IFERROR(__xludf.DUMMYFUNCTION("""COMPUTED_VALUE"""),"5907615823725")</f>
        <v>5907615823725</v>
      </c>
      <c r="C5122" t="str">
        <f>IFERROR(__xludf.DUMMYFUNCTION("""COMPUTED_VALUE"""),"Steinhof")</f>
        <v>Steinhof</v>
      </c>
    </row>
    <row r="5123">
      <c r="A5123" t="str">
        <f>IFERROR(__xludf.DUMMYFUNCTION("""COMPUTED_VALUE"""),"S-374")</f>
        <v>S-374</v>
      </c>
      <c r="B5123" s="226" t="str">
        <f>IFERROR(__xludf.DUMMYFUNCTION("""COMPUTED_VALUE"""),"5907615823732")</f>
        <v>5907615823732</v>
      </c>
      <c r="C5123" t="str">
        <f>IFERROR(__xludf.DUMMYFUNCTION("""COMPUTED_VALUE"""),"Steinhof")</f>
        <v>Steinhof</v>
      </c>
    </row>
    <row r="5124">
      <c r="A5124" t="str">
        <f>IFERROR(__xludf.DUMMYFUNCTION("""COMPUTED_VALUE"""),"S-374")</f>
        <v>S-374</v>
      </c>
      <c r="B5124" s="226" t="str">
        <f>IFERROR(__xludf.DUMMYFUNCTION("""COMPUTED_VALUE"""),"5907615823732")</f>
        <v>5907615823732</v>
      </c>
      <c r="C5124" t="str">
        <f>IFERROR(__xludf.DUMMYFUNCTION("""COMPUTED_VALUE"""),"Steinhof")</f>
        <v>Steinhof</v>
      </c>
    </row>
    <row r="5125">
      <c r="A5125" t="str">
        <f>IFERROR(__xludf.DUMMYFUNCTION("""COMPUTED_VALUE"""),"S-403")</f>
        <v>S-403</v>
      </c>
      <c r="B5125" s="226" t="str">
        <f>IFERROR(__xludf.DUMMYFUNCTION("""COMPUTED_VALUE"""),"5907615823749")</f>
        <v>5907615823749</v>
      </c>
      <c r="C5125" t="str">
        <f>IFERROR(__xludf.DUMMYFUNCTION("""COMPUTED_VALUE"""),"Steinhof")</f>
        <v>Steinhof</v>
      </c>
    </row>
    <row r="5126">
      <c r="A5126" t="str">
        <f>IFERROR(__xludf.DUMMYFUNCTION("""COMPUTED_VALUE"""),"S-403")</f>
        <v>S-403</v>
      </c>
      <c r="B5126" s="226" t="str">
        <f>IFERROR(__xludf.DUMMYFUNCTION("""COMPUTED_VALUE"""),"5907615823749")</f>
        <v>5907615823749</v>
      </c>
      <c r="C5126" t="str">
        <f>IFERROR(__xludf.DUMMYFUNCTION("""COMPUTED_VALUE"""),"Steinhof")</f>
        <v>Steinhof</v>
      </c>
    </row>
    <row r="5127">
      <c r="A5127" t="str">
        <f>IFERROR(__xludf.DUMMYFUNCTION("""COMPUTED_VALUE"""),"S-404")</f>
        <v>S-404</v>
      </c>
      <c r="B5127" s="226" t="str">
        <f>IFERROR(__xludf.DUMMYFUNCTION("""COMPUTED_VALUE"""),"5907615823756")</f>
        <v>5907615823756</v>
      </c>
      <c r="C5127" t="str">
        <f>IFERROR(__xludf.DUMMYFUNCTION("""COMPUTED_VALUE"""),"Steinhof")</f>
        <v>Steinhof</v>
      </c>
    </row>
    <row r="5128">
      <c r="A5128" t="str">
        <f>IFERROR(__xludf.DUMMYFUNCTION("""COMPUTED_VALUE"""),"S-404")</f>
        <v>S-404</v>
      </c>
      <c r="B5128" s="226" t="str">
        <f>IFERROR(__xludf.DUMMYFUNCTION("""COMPUTED_VALUE"""),"5907615823756")</f>
        <v>5907615823756</v>
      </c>
      <c r="C5128" t="str">
        <f>IFERROR(__xludf.DUMMYFUNCTION("""COMPUTED_VALUE"""),"Steinhof")</f>
        <v>Steinhof</v>
      </c>
    </row>
    <row r="5129">
      <c r="A5129" t="str">
        <f>IFERROR(__xludf.DUMMYFUNCTION("""COMPUTED_VALUE"""),"S-405")</f>
        <v>S-405</v>
      </c>
      <c r="B5129" s="226" t="str">
        <f>IFERROR(__xludf.DUMMYFUNCTION("""COMPUTED_VALUE"""),"5907615823763")</f>
        <v>5907615823763</v>
      </c>
      <c r="C5129" t="str">
        <f>IFERROR(__xludf.DUMMYFUNCTION("""COMPUTED_VALUE"""),"Steinhof")</f>
        <v>Steinhof</v>
      </c>
    </row>
    <row r="5130">
      <c r="A5130" t="str">
        <f>IFERROR(__xludf.DUMMYFUNCTION("""COMPUTED_VALUE"""),"S-405")</f>
        <v>S-405</v>
      </c>
      <c r="B5130" s="226" t="str">
        <f>IFERROR(__xludf.DUMMYFUNCTION("""COMPUTED_VALUE"""),"5907615823763")</f>
        <v>5907615823763</v>
      </c>
      <c r="C5130" t="str">
        <f>IFERROR(__xludf.DUMMYFUNCTION("""COMPUTED_VALUE"""),"Steinhof")</f>
        <v>Steinhof</v>
      </c>
    </row>
    <row r="5131">
      <c r="A5131" t="str">
        <f>IFERROR(__xludf.DUMMYFUNCTION("""COMPUTED_VALUE"""),"S-405")</f>
        <v>S-405</v>
      </c>
      <c r="B5131" s="226" t="str">
        <f>IFERROR(__xludf.DUMMYFUNCTION("""COMPUTED_VALUE"""),"5907615823763")</f>
        <v>5907615823763</v>
      </c>
      <c r="C5131" t="str">
        <f>IFERROR(__xludf.DUMMYFUNCTION("""COMPUTED_VALUE"""),"Steinhof")</f>
        <v>Steinhof</v>
      </c>
    </row>
    <row r="5132">
      <c r="A5132" t="str">
        <f>IFERROR(__xludf.DUMMYFUNCTION("""COMPUTED_VALUE"""),"S-405")</f>
        <v>S-405</v>
      </c>
      <c r="B5132" s="226" t="str">
        <f>IFERROR(__xludf.DUMMYFUNCTION("""COMPUTED_VALUE"""),"5907615823763")</f>
        <v>5907615823763</v>
      </c>
      <c r="C5132" t="str">
        <f>IFERROR(__xludf.DUMMYFUNCTION("""COMPUTED_VALUE"""),"Steinhof")</f>
        <v>Steinhof</v>
      </c>
    </row>
    <row r="5133">
      <c r="A5133" t="str">
        <f>IFERROR(__xludf.DUMMYFUNCTION("""COMPUTED_VALUE"""),"S-375")</f>
        <v>S-375</v>
      </c>
      <c r="B5133" s="226" t="str">
        <f>IFERROR(__xludf.DUMMYFUNCTION("""COMPUTED_VALUE"""),"5907615823770")</f>
        <v>5907615823770</v>
      </c>
      <c r="C5133" t="str">
        <f>IFERROR(__xludf.DUMMYFUNCTION("""COMPUTED_VALUE"""),"Steinhof")</f>
        <v>Steinhof</v>
      </c>
    </row>
    <row r="5134">
      <c r="A5134" t="str">
        <f>IFERROR(__xludf.DUMMYFUNCTION("""COMPUTED_VALUE"""),"S-375")</f>
        <v>S-375</v>
      </c>
      <c r="B5134" s="226" t="str">
        <f>IFERROR(__xludf.DUMMYFUNCTION("""COMPUTED_VALUE"""),"5907615823770")</f>
        <v>5907615823770</v>
      </c>
      <c r="C5134" t="str">
        <f>IFERROR(__xludf.DUMMYFUNCTION("""COMPUTED_VALUE"""),"Steinhof")</f>
        <v>Steinhof</v>
      </c>
    </row>
    <row r="5135">
      <c r="A5135" t="str">
        <f>IFERROR(__xludf.DUMMYFUNCTION("""COMPUTED_VALUE"""),"S-407")</f>
        <v>S-407</v>
      </c>
      <c r="B5135" s="226" t="str">
        <f>IFERROR(__xludf.DUMMYFUNCTION("""COMPUTED_VALUE"""),"5907615823787")</f>
        <v>5907615823787</v>
      </c>
      <c r="C5135" t="str">
        <f>IFERROR(__xludf.DUMMYFUNCTION("""COMPUTED_VALUE"""),"Steinhof")</f>
        <v>Steinhof</v>
      </c>
    </row>
    <row r="5136">
      <c r="A5136" t="str">
        <f>IFERROR(__xludf.DUMMYFUNCTION("""COMPUTED_VALUE"""),"S-407")</f>
        <v>S-407</v>
      </c>
      <c r="B5136" s="226" t="str">
        <f>IFERROR(__xludf.DUMMYFUNCTION("""COMPUTED_VALUE"""),"5907615823787")</f>
        <v>5907615823787</v>
      </c>
      <c r="C5136" t="str">
        <f>IFERROR(__xludf.DUMMYFUNCTION("""COMPUTED_VALUE"""),"Steinhof")</f>
        <v>Steinhof</v>
      </c>
    </row>
    <row r="5137">
      <c r="A5137" t="str">
        <f>IFERROR(__xludf.DUMMYFUNCTION("""COMPUTED_VALUE"""),"S-408")</f>
        <v>S-408</v>
      </c>
      <c r="B5137" s="226" t="str">
        <f>IFERROR(__xludf.DUMMYFUNCTION("""COMPUTED_VALUE"""),"5907615823794")</f>
        <v>5907615823794</v>
      </c>
      <c r="C5137" t="str">
        <f>IFERROR(__xludf.DUMMYFUNCTION("""COMPUTED_VALUE"""),"Steinhof")</f>
        <v>Steinhof</v>
      </c>
    </row>
    <row r="5138">
      <c r="A5138" t="str">
        <f>IFERROR(__xludf.DUMMYFUNCTION("""COMPUTED_VALUE"""),"S-408")</f>
        <v>S-408</v>
      </c>
      <c r="B5138" s="226" t="str">
        <f>IFERROR(__xludf.DUMMYFUNCTION("""COMPUTED_VALUE"""),"5907615823794")</f>
        <v>5907615823794</v>
      </c>
      <c r="C5138" t="str">
        <f>IFERROR(__xludf.DUMMYFUNCTION("""COMPUTED_VALUE"""),"Steinhof")</f>
        <v>Steinhof</v>
      </c>
    </row>
    <row r="5139">
      <c r="A5139" t="str">
        <f>IFERROR(__xludf.DUMMYFUNCTION("""COMPUTED_VALUE"""),"S-409")</f>
        <v>S-409</v>
      </c>
      <c r="B5139" s="226" t="str">
        <f>IFERROR(__xludf.DUMMYFUNCTION("""COMPUTED_VALUE"""),"5907615823800")</f>
        <v>5907615823800</v>
      </c>
      <c r="C5139" t="str">
        <f>IFERROR(__xludf.DUMMYFUNCTION("""COMPUTED_VALUE"""),"Steinhof")</f>
        <v>Steinhof</v>
      </c>
    </row>
    <row r="5140">
      <c r="A5140" t="str">
        <f>IFERROR(__xludf.DUMMYFUNCTION("""COMPUTED_VALUE"""),"S-409")</f>
        <v>S-409</v>
      </c>
      <c r="B5140" s="226" t="str">
        <f>IFERROR(__xludf.DUMMYFUNCTION("""COMPUTED_VALUE"""),"5907615823800")</f>
        <v>5907615823800</v>
      </c>
      <c r="C5140" t="str">
        <f>IFERROR(__xludf.DUMMYFUNCTION("""COMPUTED_VALUE"""),"Steinhof")</f>
        <v>Steinhof</v>
      </c>
    </row>
    <row r="5141">
      <c r="A5141" t="str">
        <f>IFERROR(__xludf.DUMMYFUNCTION("""COMPUTED_VALUE"""),"S-410")</f>
        <v>S-410</v>
      </c>
      <c r="B5141" s="226" t="str">
        <f>IFERROR(__xludf.DUMMYFUNCTION("""COMPUTED_VALUE"""),"5907615823817")</f>
        <v>5907615823817</v>
      </c>
      <c r="C5141" t="str">
        <f>IFERROR(__xludf.DUMMYFUNCTION("""COMPUTED_VALUE"""),"Steinhof")</f>
        <v>Steinhof</v>
      </c>
    </row>
    <row r="5142">
      <c r="A5142" t="str">
        <f>IFERROR(__xludf.DUMMYFUNCTION("""COMPUTED_VALUE"""),"S-410")</f>
        <v>S-410</v>
      </c>
      <c r="B5142" s="226" t="str">
        <f>IFERROR(__xludf.DUMMYFUNCTION("""COMPUTED_VALUE"""),"5907615823817")</f>
        <v>5907615823817</v>
      </c>
      <c r="C5142" t="str">
        <f>IFERROR(__xludf.DUMMYFUNCTION("""COMPUTED_VALUE"""),"Steinhof")</f>
        <v>Steinhof</v>
      </c>
    </row>
    <row r="5143">
      <c r="A5143" t="str">
        <f>IFERROR(__xludf.DUMMYFUNCTION("""COMPUTED_VALUE"""),"S-385")</f>
        <v>S-385</v>
      </c>
      <c r="B5143" s="226" t="str">
        <f>IFERROR(__xludf.DUMMYFUNCTION("""COMPUTED_VALUE"""),"5907615823824")</f>
        <v>5907615823824</v>
      </c>
      <c r="C5143" t="str">
        <f>IFERROR(__xludf.DUMMYFUNCTION("""COMPUTED_VALUE"""),"Steinhof")</f>
        <v>Steinhof</v>
      </c>
    </row>
    <row r="5144">
      <c r="A5144" t="str">
        <f>IFERROR(__xludf.DUMMYFUNCTION("""COMPUTED_VALUE"""),"S-385")</f>
        <v>S-385</v>
      </c>
      <c r="B5144" s="226" t="str">
        <f>IFERROR(__xludf.DUMMYFUNCTION("""COMPUTED_VALUE"""),"5907615823824")</f>
        <v>5907615823824</v>
      </c>
      <c r="C5144" t="str">
        <f>IFERROR(__xludf.DUMMYFUNCTION("""COMPUTED_VALUE"""),"Steinhof")</f>
        <v>Steinhof</v>
      </c>
    </row>
    <row r="5145">
      <c r="A5145" t="str">
        <f>IFERROR(__xludf.DUMMYFUNCTION("""COMPUTED_VALUE"""),"S-386")</f>
        <v>S-386</v>
      </c>
      <c r="B5145" s="226" t="str">
        <f>IFERROR(__xludf.DUMMYFUNCTION("""COMPUTED_VALUE"""),"5907615823831")</f>
        <v>5907615823831</v>
      </c>
      <c r="C5145" t="str">
        <f>IFERROR(__xludf.DUMMYFUNCTION("""COMPUTED_VALUE"""),"Steinhof")</f>
        <v>Steinhof</v>
      </c>
    </row>
    <row r="5146">
      <c r="A5146" t="str">
        <f>IFERROR(__xludf.DUMMYFUNCTION("""COMPUTED_VALUE"""),"S-386")</f>
        <v>S-386</v>
      </c>
      <c r="B5146" s="226" t="str">
        <f>IFERROR(__xludf.DUMMYFUNCTION("""COMPUTED_VALUE"""),"5907615823831")</f>
        <v>5907615823831</v>
      </c>
      <c r="C5146" t="str">
        <f>IFERROR(__xludf.DUMMYFUNCTION("""COMPUTED_VALUE"""),"Steinhof")</f>
        <v>Steinhof</v>
      </c>
    </row>
    <row r="5147">
      <c r="A5147" t="str">
        <f>IFERROR(__xludf.DUMMYFUNCTION("""COMPUTED_VALUE"""),"S-376")</f>
        <v>S-376</v>
      </c>
      <c r="B5147" s="226" t="str">
        <f>IFERROR(__xludf.DUMMYFUNCTION("""COMPUTED_VALUE"""),"5907615823848")</f>
        <v>5907615823848</v>
      </c>
      <c r="C5147" t="str">
        <f>IFERROR(__xludf.DUMMYFUNCTION("""COMPUTED_VALUE"""),"Steinhof")</f>
        <v>Steinhof</v>
      </c>
    </row>
    <row r="5148">
      <c r="A5148" t="str">
        <f>IFERROR(__xludf.DUMMYFUNCTION("""COMPUTED_VALUE"""),"S-376")</f>
        <v>S-376</v>
      </c>
      <c r="B5148" s="226" t="str">
        <f>IFERROR(__xludf.DUMMYFUNCTION("""COMPUTED_VALUE"""),"5907615823848")</f>
        <v>5907615823848</v>
      </c>
      <c r="C5148" t="str">
        <f>IFERROR(__xludf.DUMMYFUNCTION("""COMPUTED_VALUE"""),"Steinhof")</f>
        <v>Steinhof</v>
      </c>
    </row>
    <row r="5149">
      <c r="A5149" t="str">
        <f>IFERROR(__xludf.DUMMYFUNCTION("""COMPUTED_VALUE"""),"S-376")</f>
        <v>S-376</v>
      </c>
      <c r="B5149" s="226" t="str">
        <f>IFERROR(__xludf.DUMMYFUNCTION("""COMPUTED_VALUE"""),"5907615823848")</f>
        <v>5907615823848</v>
      </c>
      <c r="C5149" t="str">
        <f>IFERROR(__xludf.DUMMYFUNCTION("""COMPUTED_VALUE"""),"Steinhof")</f>
        <v>Steinhof</v>
      </c>
    </row>
    <row r="5150">
      <c r="A5150" t="str">
        <f>IFERROR(__xludf.DUMMYFUNCTION("""COMPUTED_VALUE"""),"S-376")</f>
        <v>S-376</v>
      </c>
      <c r="B5150" s="226" t="str">
        <f>IFERROR(__xludf.DUMMYFUNCTION("""COMPUTED_VALUE"""),"5907615823848")</f>
        <v>5907615823848</v>
      </c>
      <c r="C5150" t="str">
        <f>IFERROR(__xludf.DUMMYFUNCTION("""COMPUTED_VALUE"""),"Steinhof")</f>
        <v>Steinhof</v>
      </c>
    </row>
    <row r="5151">
      <c r="A5151" t="str">
        <f>IFERROR(__xludf.DUMMYFUNCTION("""COMPUTED_VALUE"""),"S-377")</f>
        <v>S-377</v>
      </c>
      <c r="B5151" s="226" t="str">
        <f>IFERROR(__xludf.DUMMYFUNCTION("""COMPUTED_VALUE"""),"5907615823855")</f>
        <v>5907615823855</v>
      </c>
      <c r="C5151" t="str">
        <f>IFERROR(__xludf.DUMMYFUNCTION("""COMPUTED_VALUE"""),"Steinhof")</f>
        <v>Steinhof</v>
      </c>
    </row>
    <row r="5152">
      <c r="A5152" t="str">
        <f>IFERROR(__xludf.DUMMYFUNCTION("""COMPUTED_VALUE"""),"S-377")</f>
        <v>S-377</v>
      </c>
      <c r="B5152" s="226" t="str">
        <f>IFERROR(__xludf.DUMMYFUNCTION("""COMPUTED_VALUE"""),"5907615823855")</f>
        <v>5907615823855</v>
      </c>
      <c r="C5152" t="str">
        <f>IFERROR(__xludf.DUMMYFUNCTION("""COMPUTED_VALUE"""),"Steinhof")</f>
        <v>Steinhof</v>
      </c>
    </row>
    <row r="5153">
      <c r="A5153" t="str">
        <f>IFERROR(__xludf.DUMMYFUNCTION("""COMPUTED_VALUE"""),"S-377")</f>
        <v>S-377</v>
      </c>
      <c r="B5153" s="226" t="str">
        <f>IFERROR(__xludf.DUMMYFUNCTION("""COMPUTED_VALUE"""),"5907615823855")</f>
        <v>5907615823855</v>
      </c>
      <c r="C5153" t="str">
        <f>IFERROR(__xludf.DUMMYFUNCTION("""COMPUTED_VALUE"""),"Steinhof")</f>
        <v>Steinhof</v>
      </c>
    </row>
    <row r="5154">
      <c r="A5154" t="str">
        <f>IFERROR(__xludf.DUMMYFUNCTION("""COMPUTED_VALUE"""),"S-377")</f>
        <v>S-377</v>
      </c>
      <c r="B5154" s="226" t="str">
        <f>IFERROR(__xludf.DUMMYFUNCTION("""COMPUTED_VALUE"""),"5907615823855")</f>
        <v>5907615823855</v>
      </c>
      <c r="C5154" t="str">
        <f>IFERROR(__xludf.DUMMYFUNCTION("""COMPUTED_VALUE"""),"Steinhof")</f>
        <v>Steinhof</v>
      </c>
    </row>
    <row r="5155">
      <c r="A5155" t="str">
        <f>IFERROR(__xludf.DUMMYFUNCTION("""COMPUTED_VALUE"""),"S-383")</f>
        <v>S-383</v>
      </c>
      <c r="B5155" s="226" t="str">
        <f>IFERROR(__xludf.DUMMYFUNCTION("""COMPUTED_VALUE"""),"5907615823862")</f>
        <v>5907615823862</v>
      </c>
      <c r="C5155" t="str">
        <f>IFERROR(__xludf.DUMMYFUNCTION("""COMPUTED_VALUE"""),"Steinhof")</f>
        <v>Steinhof</v>
      </c>
    </row>
    <row r="5156">
      <c r="A5156" t="str">
        <f>IFERROR(__xludf.DUMMYFUNCTION("""COMPUTED_VALUE"""),"S-383")</f>
        <v>S-383</v>
      </c>
      <c r="B5156" s="226" t="str">
        <f>IFERROR(__xludf.DUMMYFUNCTION("""COMPUTED_VALUE"""),"5907615823862")</f>
        <v>5907615823862</v>
      </c>
      <c r="C5156" t="str">
        <f>IFERROR(__xludf.DUMMYFUNCTION("""COMPUTED_VALUE"""),"Steinhof")</f>
        <v>Steinhof</v>
      </c>
    </row>
    <row r="5157">
      <c r="A5157" t="str">
        <f>IFERROR(__xludf.DUMMYFUNCTION("""COMPUTED_VALUE"""),"S-384")</f>
        <v>S-384</v>
      </c>
      <c r="B5157" s="226" t="str">
        <f>IFERROR(__xludf.DUMMYFUNCTION("""COMPUTED_VALUE"""),"5907615823879")</f>
        <v>5907615823879</v>
      </c>
      <c r="C5157" t="str">
        <f>IFERROR(__xludf.DUMMYFUNCTION("""COMPUTED_VALUE"""),"Steinhof")</f>
        <v>Steinhof</v>
      </c>
    </row>
    <row r="5158">
      <c r="A5158" t="str">
        <f>IFERROR(__xludf.DUMMYFUNCTION("""COMPUTED_VALUE"""),"S-384")</f>
        <v>S-384</v>
      </c>
      <c r="B5158" s="226" t="str">
        <f>IFERROR(__xludf.DUMMYFUNCTION("""COMPUTED_VALUE"""),"5907615823879")</f>
        <v>5907615823879</v>
      </c>
      <c r="C5158" t="str">
        <f>IFERROR(__xludf.DUMMYFUNCTION("""COMPUTED_VALUE"""),"Steinhof")</f>
        <v>Steinhof</v>
      </c>
    </row>
    <row r="5159">
      <c r="A5159" t="str">
        <f>IFERROR(__xludf.DUMMYFUNCTION("""COMPUTED_VALUE"""),"S-411")</f>
        <v>S-411</v>
      </c>
      <c r="B5159" s="226" t="str">
        <f>IFERROR(__xludf.DUMMYFUNCTION("""COMPUTED_VALUE"""),"5907615823886")</f>
        <v>5907615823886</v>
      </c>
      <c r="C5159" t="str">
        <f>IFERROR(__xludf.DUMMYFUNCTION("""COMPUTED_VALUE"""),"Steinhof")</f>
        <v>Steinhof</v>
      </c>
    </row>
    <row r="5160">
      <c r="A5160" t="str">
        <f>IFERROR(__xludf.DUMMYFUNCTION("""COMPUTED_VALUE"""),"S-411")</f>
        <v>S-411</v>
      </c>
      <c r="B5160" s="226" t="str">
        <f>IFERROR(__xludf.DUMMYFUNCTION("""COMPUTED_VALUE"""),"5907615823886")</f>
        <v>5907615823886</v>
      </c>
      <c r="C5160" t="str">
        <f>IFERROR(__xludf.DUMMYFUNCTION("""COMPUTED_VALUE"""),"Steinhof")</f>
        <v>Steinhof</v>
      </c>
    </row>
    <row r="5161">
      <c r="A5161" t="str">
        <f>IFERROR(__xludf.DUMMYFUNCTION("""COMPUTED_VALUE"""),"S-389")</f>
        <v>S-389</v>
      </c>
      <c r="B5161" s="226" t="str">
        <f>IFERROR(__xludf.DUMMYFUNCTION("""COMPUTED_VALUE"""),"5907615823893")</f>
        <v>5907615823893</v>
      </c>
      <c r="C5161" t="str">
        <f>IFERROR(__xludf.DUMMYFUNCTION("""COMPUTED_VALUE"""),"Steinhof")</f>
        <v>Steinhof</v>
      </c>
    </row>
    <row r="5162">
      <c r="A5162" t="str">
        <f>IFERROR(__xludf.DUMMYFUNCTION("""COMPUTED_VALUE"""),"S-389")</f>
        <v>S-389</v>
      </c>
      <c r="B5162" s="226" t="str">
        <f>IFERROR(__xludf.DUMMYFUNCTION("""COMPUTED_VALUE"""),"5907615823893")</f>
        <v>5907615823893</v>
      </c>
      <c r="C5162" t="str">
        <f>IFERROR(__xludf.DUMMYFUNCTION("""COMPUTED_VALUE"""),"Steinhof")</f>
        <v>Steinhof</v>
      </c>
    </row>
    <row r="5163">
      <c r="A5163" t="str">
        <f>IFERROR(__xludf.DUMMYFUNCTION("""COMPUTED_VALUE"""),"S-390")</f>
        <v>S-390</v>
      </c>
      <c r="B5163" s="226" t="str">
        <f>IFERROR(__xludf.DUMMYFUNCTION("""COMPUTED_VALUE"""),"5907615823909")</f>
        <v>5907615823909</v>
      </c>
      <c r="C5163" t="str">
        <f>IFERROR(__xludf.DUMMYFUNCTION("""COMPUTED_VALUE"""),"Steinhof")</f>
        <v>Steinhof</v>
      </c>
    </row>
    <row r="5164">
      <c r="A5164" t="str">
        <f>IFERROR(__xludf.DUMMYFUNCTION("""COMPUTED_VALUE"""),"S-390")</f>
        <v>S-390</v>
      </c>
      <c r="B5164" s="226" t="str">
        <f>IFERROR(__xludf.DUMMYFUNCTION("""COMPUTED_VALUE"""),"5907615823909")</f>
        <v>5907615823909</v>
      </c>
      <c r="C5164" t="str">
        <f>IFERROR(__xludf.DUMMYFUNCTION("""COMPUTED_VALUE"""),"Steinhof")</f>
        <v>Steinhof</v>
      </c>
    </row>
    <row r="5165">
      <c r="A5165" t="str">
        <f>IFERROR(__xludf.DUMMYFUNCTION("""COMPUTED_VALUE"""),"S-380")</f>
        <v>S-380</v>
      </c>
      <c r="B5165" s="226" t="str">
        <f>IFERROR(__xludf.DUMMYFUNCTION("""COMPUTED_VALUE"""),"5907615823916")</f>
        <v>5907615823916</v>
      </c>
      <c r="C5165" t="str">
        <f>IFERROR(__xludf.DUMMYFUNCTION("""COMPUTED_VALUE"""),"Steinhof")</f>
        <v>Steinhof</v>
      </c>
    </row>
    <row r="5166">
      <c r="A5166" t="str">
        <f>IFERROR(__xludf.DUMMYFUNCTION("""COMPUTED_VALUE"""),"S-380")</f>
        <v>S-380</v>
      </c>
      <c r="B5166" s="226" t="str">
        <f>IFERROR(__xludf.DUMMYFUNCTION("""COMPUTED_VALUE"""),"5907615823916")</f>
        <v>5907615823916</v>
      </c>
      <c r="C5166" t="str">
        <f>IFERROR(__xludf.DUMMYFUNCTION("""COMPUTED_VALUE"""),"Steinhof")</f>
        <v>Steinhof</v>
      </c>
    </row>
    <row r="5167">
      <c r="A5167" t="str">
        <f>IFERROR(__xludf.DUMMYFUNCTION("""COMPUTED_VALUE"""),"S-381")</f>
        <v>S-381</v>
      </c>
      <c r="B5167" s="226" t="str">
        <f>IFERROR(__xludf.DUMMYFUNCTION("""COMPUTED_VALUE"""),"5907615823923")</f>
        <v>5907615823923</v>
      </c>
      <c r="C5167" t="str">
        <f>IFERROR(__xludf.DUMMYFUNCTION("""COMPUTED_VALUE"""),"Steinhof")</f>
        <v>Steinhof</v>
      </c>
    </row>
    <row r="5168">
      <c r="A5168" t="str">
        <f>IFERROR(__xludf.DUMMYFUNCTION("""COMPUTED_VALUE"""),"S-381")</f>
        <v>S-381</v>
      </c>
      <c r="B5168" s="226" t="str">
        <f>IFERROR(__xludf.DUMMYFUNCTION("""COMPUTED_VALUE"""),"5907615823923")</f>
        <v>5907615823923</v>
      </c>
      <c r="C5168" t="str">
        <f>IFERROR(__xludf.DUMMYFUNCTION("""COMPUTED_VALUE"""),"Steinhof")</f>
        <v>Steinhof</v>
      </c>
    </row>
    <row r="5169">
      <c r="A5169" t="str">
        <f>IFERROR(__xludf.DUMMYFUNCTION("""COMPUTED_VALUE"""),"S-393")</f>
        <v>S-393</v>
      </c>
      <c r="B5169" s="226" t="str">
        <f>IFERROR(__xludf.DUMMYFUNCTION("""COMPUTED_VALUE"""),"5907615823930")</f>
        <v>5907615823930</v>
      </c>
      <c r="C5169" t="str">
        <f>IFERROR(__xludf.DUMMYFUNCTION("""COMPUTED_VALUE"""),"Steinhof")</f>
        <v>Steinhof</v>
      </c>
    </row>
    <row r="5170">
      <c r="A5170" t="str">
        <f>IFERROR(__xludf.DUMMYFUNCTION("""COMPUTED_VALUE"""),"S-393")</f>
        <v>S-393</v>
      </c>
      <c r="B5170" s="226" t="str">
        <f>IFERROR(__xludf.DUMMYFUNCTION("""COMPUTED_VALUE"""),"5907615823930")</f>
        <v>5907615823930</v>
      </c>
      <c r="C5170" t="str">
        <f>IFERROR(__xludf.DUMMYFUNCTION("""COMPUTED_VALUE"""),"Steinhof")</f>
        <v>Steinhof</v>
      </c>
    </row>
    <row r="5171">
      <c r="A5171" t="str">
        <f>IFERROR(__xludf.DUMMYFUNCTION("""COMPUTED_VALUE"""),"S-394")</f>
        <v>S-394</v>
      </c>
      <c r="B5171" s="226" t="str">
        <f>IFERROR(__xludf.DUMMYFUNCTION("""COMPUTED_VALUE"""),"5907615823947")</f>
        <v>5907615823947</v>
      </c>
      <c r="C5171" t="str">
        <f>IFERROR(__xludf.DUMMYFUNCTION("""COMPUTED_VALUE"""),"Steinhof")</f>
        <v>Steinhof</v>
      </c>
    </row>
    <row r="5172">
      <c r="A5172" t="str">
        <f>IFERROR(__xludf.DUMMYFUNCTION("""COMPUTED_VALUE"""),"S-394")</f>
        <v>S-394</v>
      </c>
      <c r="B5172" s="226" t="str">
        <f>IFERROR(__xludf.DUMMYFUNCTION("""COMPUTED_VALUE"""),"5907615823947")</f>
        <v>5907615823947</v>
      </c>
      <c r="C5172" t="str">
        <f>IFERROR(__xludf.DUMMYFUNCTION("""COMPUTED_VALUE"""),"Steinhof")</f>
        <v>Steinhof</v>
      </c>
    </row>
    <row r="5173">
      <c r="A5173" t="str">
        <f>IFERROR(__xludf.DUMMYFUNCTION("""COMPUTED_VALUE"""),"S-391")</f>
        <v>S-391</v>
      </c>
      <c r="B5173" s="226" t="str">
        <f>IFERROR(__xludf.DUMMYFUNCTION("""COMPUTED_VALUE"""),"5907615823954")</f>
        <v>5907615823954</v>
      </c>
      <c r="C5173" t="str">
        <f>IFERROR(__xludf.DUMMYFUNCTION("""COMPUTED_VALUE"""),"Steinhof")</f>
        <v>Steinhof</v>
      </c>
    </row>
    <row r="5174">
      <c r="A5174" t="str">
        <f>IFERROR(__xludf.DUMMYFUNCTION("""COMPUTED_VALUE"""),"S-391")</f>
        <v>S-391</v>
      </c>
      <c r="B5174" s="226" t="str">
        <f>IFERROR(__xludf.DUMMYFUNCTION("""COMPUTED_VALUE"""),"5907615823954")</f>
        <v>5907615823954</v>
      </c>
      <c r="C5174" t="str">
        <f>IFERROR(__xludf.DUMMYFUNCTION("""COMPUTED_VALUE"""),"Steinhof")</f>
        <v>Steinhof</v>
      </c>
    </row>
    <row r="5175">
      <c r="A5175" t="str">
        <f>IFERROR(__xludf.DUMMYFUNCTION("""COMPUTED_VALUE"""),"S-392")</f>
        <v>S-392</v>
      </c>
      <c r="B5175" s="226" t="str">
        <f>IFERROR(__xludf.DUMMYFUNCTION("""COMPUTED_VALUE"""),"5907615823961")</f>
        <v>5907615823961</v>
      </c>
      <c r="C5175" t="str">
        <f>IFERROR(__xludf.DUMMYFUNCTION("""COMPUTED_VALUE"""),"Steinhof")</f>
        <v>Steinhof</v>
      </c>
    </row>
    <row r="5176">
      <c r="A5176" t="str">
        <f>IFERROR(__xludf.DUMMYFUNCTION("""COMPUTED_VALUE"""),"S-392")</f>
        <v>S-392</v>
      </c>
      <c r="B5176" s="226" t="str">
        <f>IFERROR(__xludf.DUMMYFUNCTION("""COMPUTED_VALUE"""),"5907615823961")</f>
        <v>5907615823961</v>
      </c>
      <c r="C5176" t="str">
        <f>IFERROR(__xludf.DUMMYFUNCTION("""COMPUTED_VALUE"""),"Steinhof")</f>
        <v>Steinhof</v>
      </c>
    </row>
    <row r="5177">
      <c r="A5177" t="str">
        <f>IFERROR(__xludf.DUMMYFUNCTION("""COMPUTED_VALUE"""),"S-397")</f>
        <v>S-397</v>
      </c>
      <c r="B5177" s="226" t="str">
        <f>IFERROR(__xludf.DUMMYFUNCTION("""COMPUTED_VALUE"""),"5907615823978")</f>
        <v>5907615823978</v>
      </c>
      <c r="C5177" t="str">
        <f>IFERROR(__xludf.DUMMYFUNCTION("""COMPUTED_VALUE"""),"Steinhof")</f>
        <v>Steinhof</v>
      </c>
    </row>
    <row r="5178">
      <c r="A5178" t="str">
        <f>IFERROR(__xludf.DUMMYFUNCTION("""COMPUTED_VALUE"""),"S-397")</f>
        <v>S-397</v>
      </c>
      <c r="B5178" s="226" t="str">
        <f>IFERROR(__xludf.DUMMYFUNCTION("""COMPUTED_VALUE"""),"5907615823978")</f>
        <v>5907615823978</v>
      </c>
      <c r="C5178" t="str">
        <f>IFERROR(__xludf.DUMMYFUNCTION("""COMPUTED_VALUE"""),"Steinhof")</f>
        <v>Steinhof</v>
      </c>
    </row>
    <row r="5179">
      <c r="A5179" t="str">
        <f>IFERROR(__xludf.DUMMYFUNCTION("""COMPUTED_VALUE"""),"S-398")</f>
        <v>S-398</v>
      </c>
      <c r="B5179" s="226" t="str">
        <f>IFERROR(__xludf.DUMMYFUNCTION("""COMPUTED_VALUE"""),"5907615823985")</f>
        <v>5907615823985</v>
      </c>
      <c r="C5179" t="str">
        <f>IFERROR(__xludf.DUMMYFUNCTION("""COMPUTED_VALUE"""),"Steinhof")</f>
        <v>Steinhof</v>
      </c>
    </row>
    <row r="5180">
      <c r="A5180" t="str">
        <f>IFERROR(__xludf.DUMMYFUNCTION("""COMPUTED_VALUE"""),"S-398")</f>
        <v>S-398</v>
      </c>
      <c r="B5180" s="226" t="str">
        <f>IFERROR(__xludf.DUMMYFUNCTION("""COMPUTED_VALUE"""),"5907615823985")</f>
        <v>5907615823985</v>
      </c>
      <c r="C5180" t="str">
        <f>IFERROR(__xludf.DUMMYFUNCTION("""COMPUTED_VALUE"""),"Steinhof")</f>
        <v>Steinhof</v>
      </c>
    </row>
    <row r="5181">
      <c r="A5181" t="str">
        <f>IFERROR(__xludf.DUMMYFUNCTION("""COMPUTED_VALUE"""),"S-412")</f>
        <v>S-412</v>
      </c>
      <c r="B5181" s="226" t="str">
        <f>IFERROR(__xludf.DUMMYFUNCTION("""COMPUTED_VALUE"""),"5907615823992")</f>
        <v>5907615823992</v>
      </c>
      <c r="C5181" t="str">
        <f>IFERROR(__xludf.DUMMYFUNCTION("""COMPUTED_VALUE"""),"Steinhof")</f>
        <v>Steinhof</v>
      </c>
    </row>
    <row r="5182">
      <c r="A5182" t="str">
        <f>IFERROR(__xludf.DUMMYFUNCTION("""COMPUTED_VALUE"""),"S-412")</f>
        <v>S-412</v>
      </c>
      <c r="B5182" s="226" t="str">
        <f>IFERROR(__xludf.DUMMYFUNCTION("""COMPUTED_VALUE"""),"5907615823992")</f>
        <v>5907615823992</v>
      </c>
      <c r="C5182" t="str">
        <f>IFERROR(__xludf.DUMMYFUNCTION("""COMPUTED_VALUE"""),"Steinhof")</f>
        <v>Steinhof</v>
      </c>
    </row>
    <row r="5183">
      <c r="A5183" t="str">
        <f>IFERROR(__xludf.DUMMYFUNCTION("""COMPUTED_VALUE"""),"S-413")</f>
        <v>S-413</v>
      </c>
      <c r="B5183" s="226" t="str">
        <f>IFERROR(__xludf.DUMMYFUNCTION("""COMPUTED_VALUE"""),"5907615824005")</f>
        <v>5907615824005</v>
      </c>
      <c r="C5183" t="str">
        <f>IFERROR(__xludf.DUMMYFUNCTION("""COMPUTED_VALUE"""),"Steinhof")</f>
        <v>Steinhof</v>
      </c>
    </row>
    <row r="5184">
      <c r="A5184" t="str">
        <f>IFERROR(__xludf.DUMMYFUNCTION("""COMPUTED_VALUE"""),"S-413")</f>
        <v>S-413</v>
      </c>
      <c r="B5184" s="226" t="str">
        <f>IFERROR(__xludf.DUMMYFUNCTION("""COMPUTED_VALUE"""),"5907615824005")</f>
        <v>5907615824005</v>
      </c>
      <c r="C5184" t="str">
        <f>IFERROR(__xludf.DUMMYFUNCTION("""COMPUTED_VALUE"""),"Steinhof")</f>
        <v>Steinhof</v>
      </c>
    </row>
    <row r="5185">
      <c r="A5185" t="str">
        <f>IFERROR(__xludf.DUMMYFUNCTION("""COMPUTED_VALUE"""),"S-406")</f>
        <v>S-406</v>
      </c>
      <c r="B5185" s="226" t="str">
        <f>IFERROR(__xludf.DUMMYFUNCTION("""COMPUTED_VALUE"""),"5907615824012")</f>
        <v>5907615824012</v>
      </c>
      <c r="C5185" t="str">
        <f>IFERROR(__xludf.DUMMYFUNCTION("""COMPUTED_VALUE"""),"Steinhof")</f>
        <v>Steinhof</v>
      </c>
    </row>
    <row r="5186">
      <c r="A5186" t="str">
        <f>IFERROR(__xludf.DUMMYFUNCTION("""COMPUTED_VALUE"""),"S-406")</f>
        <v>S-406</v>
      </c>
      <c r="B5186" s="226" t="str">
        <f>IFERROR(__xludf.DUMMYFUNCTION("""COMPUTED_VALUE"""),"5907615824012")</f>
        <v>5907615824012</v>
      </c>
      <c r="C5186" t="str">
        <f>IFERROR(__xludf.DUMMYFUNCTION("""COMPUTED_VALUE"""),"Steinhof")</f>
        <v>Steinhof</v>
      </c>
    </row>
    <row r="5187">
      <c r="A5187" t="str">
        <f>IFERROR(__xludf.DUMMYFUNCTION("""COMPUTED_VALUE"""),"S-404/W8")</f>
        <v>S-404/W8</v>
      </c>
      <c r="B5187" s="226" t="str">
        <f>IFERROR(__xludf.DUMMYFUNCTION("""COMPUTED_VALUE"""),"5907615824029")</f>
        <v>5907615824029</v>
      </c>
      <c r="C5187" t="str">
        <f>IFERROR(__xludf.DUMMYFUNCTION("""COMPUTED_VALUE"""),"Steinhof")</f>
        <v>Steinhof</v>
      </c>
    </row>
    <row r="5188">
      <c r="A5188" t="str">
        <f>IFERROR(__xludf.DUMMYFUNCTION("""COMPUTED_VALUE"""),"S-378")</f>
        <v>S-378</v>
      </c>
      <c r="B5188" s="226" t="str">
        <f>IFERROR(__xludf.DUMMYFUNCTION("""COMPUTED_VALUE"""),"5907615824036")</f>
        <v>5907615824036</v>
      </c>
      <c r="C5188" t="str">
        <f>IFERROR(__xludf.DUMMYFUNCTION("""COMPUTED_VALUE"""),"Steinhof")</f>
        <v>Steinhof</v>
      </c>
    </row>
    <row r="5189">
      <c r="A5189" t="str">
        <f>IFERROR(__xludf.DUMMYFUNCTION("""COMPUTED_VALUE"""),"S-379")</f>
        <v>S-379</v>
      </c>
      <c r="B5189" s="226" t="str">
        <f>IFERROR(__xludf.DUMMYFUNCTION("""COMPUTED_VALUE"""),"5907615824043")</f>
        <v>5907615824043</v>
      </c>
      <c r="C5189" t="str">
        <f>IFERROR(__xludf.DUMMYFUNCTION("""COMPUTED_VALUE"""),"Steinhof")</f>
        <v>Steinhof</v>
      </c>
    </row>
    <row r="5190">
      <c r="A5190" t="str">
        <f>IFERROR(__xludf.DUMMYFUNCTION("""COMPUTED_VALUE"""),"S-418")</f>
        <v>S-418</v>
      </c>
      <c r="B5190" s="226" t="str">
        <f>IFERROR(__xludf.DUMMYFUNCTION("""COMPUTED_VALUE"""),"5907615824050")</f>
        <v>5907615824050</v>
      </c>
      <c r="C5190" t="str">
        <f>IFERROR(__xludf.DUMMYFUNCTION("""COMPUTED_VALUE"""),"Steinhof")</f>
        <v>Steinhof</v>
      </c>
    </row>
    <row r="5191">
      <c r="A5191" t="str">
        <f>IFERROR(__xludf.DUMMYFUNCTION("""COMPUTED_VALUE"""),"S-419")</f>
        <v>S-419</v>
      </c>
      <c r="B5191" s="226" t="str">
        <f>IFERROR(__xludf.DUMMYFUNCTION("""COMPUTED_VALUE"""),"5907615824067")</f>
        <v>5907615824067</v>
      </c>
      <c r="C5191" t="str">
        <f>IFERROR(__xludf.DUMMYFUNCTION("""COMPUTED_VALUE"""),"Steinhof")</f>
        <v>Steinhof</v>
      </c>
    </row>
    <row r="5192">
      <c r="A5192" t="str">
        <f>IFERROR(__xludf.DUMMYFUNCTION("""COMPUTED_VALUE"""),"S-420")</f>
        <v>S-420</v>
      </c>
      <c r="B5192" s="226" t="str">
        <f>IFERROR(__xludf.DUMMYFUNCTION("""COMPUTED_VALUE"""),"5907615824074")</f>
        <v>5907615824074</v>
      </c>
      <c r="C5192" t="str">
        <f>IFERROR(__xludf.DUMMYFUNCTION("""COMPUTED_VALUE"""),"Steinhof")</f>
        <v>Steinhof</v>
      </c>
    </row>
    <row r="5193">
      <c r="A5193" t="str">
        <f>IFERROR(__xludf.DUMMYFUNCTION("""COMPUTED_VALUE"""),"S-421")</f>
        <v>S-421</v>
      </c>
      <c r="B5193" s="226" t="str">
        <f>IFERROR(__xludf.DUMMYFUNCTION("""COMPUTED_VALUE"""),"5907615824081")</f>
        <v>5907615824081</v>
      </c>
      <c r="C5193" t="str">
        <f>IFERROR(__xludf.DUMMYFUNCTION("""COMPUTED_VALUE"""),"Steinhof")</f>
        <v>Steinhof</v>
      </c>
    </row>
    <row r="5194">
      <c r="A5194" t="str">
        <f>IFERROR(__xludf.DUMMYFUNCTION("""COMPUTED_VALUE"""),"T-090")</f>
        <v>T-090</v>
      </c>
      <c r="B5194" s="226" t="str">
        <f>IFERROR(__xludf.DUMMYFUNCTION("""COMPUTED_VALUE"""),"5907615824203")</f>
        <v>5907615824203</v>
      </c>
      <c r="C5194" t="str">
        <f>IFERROR(__xludf.DUMMYFUNCTION("""COMPUTED_VALUE"""),"Steinhof")</f>
        <v>Steinhof</v>
      </c>
    </row>
    <row r="5195">
      <c r="A5195" t="str">
        <f>IFERROR(__xludf.DUMMYFUNCTION("""COMPUTED_VALUE"""),"T-090")</f>
        <v>T-090</v>
      </c>
      <c r="B5195" s="226" t="str">
        <f>IFERROR(__xludf.DUMMYFUNCTION("""COMPUTED_VALUE"""),"5907615824203")</f>
        <v>5907615824203</v>
      </c>
      <c r="C5195" t="str">
        <f>IFERROR(__xludf.DUMMYFUNCTION("""COMPUTED_VALUE"""),"Steinhof")</f>
        <v>Steinhof</v>
      </c>
    </row>
    <row r="5196">
      <c r="A5196" t="str">
        <f>IFERROR(__xludf.DUMMYFUNCTION("""COMPUTED_VALUE"""),"T-091")</f>
        <v>T-091</v>
      </c>
      <c r="B5196" s="226" t="str">
        <f>IFERROR(__xludf.DUMMYFUNCTION("""COMPUTED_VALUE"""),"5907615824210")</f>
        <v>5907615824210</v>
      </c>
      <c r="C5196" t="str">
        <f>IFERROR(__xludf.DUMMYFUNCTION("""COMPUTED_VALUE"""),"Steinhof")</f>
        <v>Steinhof</v>
      </c>
    </row>
    <row r="5197">
      <c r="A5197" t="str">
        <f>IFERROR(__xludf.DUMMYFUNCTION("""COMPUTED_VALUE"""),"T-091")</f>
        <v>T-091</v>
      </c>
      <c r="B5197" s="226" t="str">
        <f>IFERROR(__xludf.DUMMYFUNCTION("""COMPUTED_VALUE"""),"5907615824210")</f>
        <v>5907615824210</v>
      </c>
      <c r="C5197" t="str">
        <f>IFERROR(__xludf.DUMMYFUNCTION("""COMPUTED_VALUE"""),"Steinhof")</f>
        <v>Steinhof</v>
      </c>
    </row>
    <row r="5198">
      <c r="A5198" t="str">
        <f>IFERROR(__xludf.DUMMYFUNCTION("""COMPUTED_VALUE"""),"T-092")</f>
        <v>T-092</v>
      </c>
      <c r="B5198" s="226" t="str">
        <f>IFERROR(__xludf.DUMMYFUNCTION("""COMPUTED_VALUE"""),"5907615824227")</f>
        <v>5907615824227</v>
      </c>
      <c r="C5198" t="str">
        <f>IFERROR(__xludf.DUMMYFUNCTION("""COMPUTED_VALUE"""),"Steinhof")</f>
        <v>Steinhof</v>
      </c>
    </row>
    <row r="5199">
      <c r="A5199" t="str">
        <f>IFERROR(__xludf.DUMMYFUNCTION("""COMPUTED_VALUE"""),"T-092")</f>
        <v>T-092</v>
      </c>
      <c r="B5199" s="226" t="str">
        <f>IFERROR(__xludf.DUMMYFUNCTION("""COMPUTED_VALUE"""),"5907615824227")</f>
        <v>5907615824227</v>
      </c>
      <c r="C5199" t="str">
        <f>IFERROR(__xludf.DUMMYFUNCTION("""COMPUTED_VALUE"""),"Steinhof")</f>
        <v>Steinhof</v>
      </c>
    </row>
    <row r="5200">
      <c r="A5200" t="str">
        <f>IFERROR(__xludf.DUMMYFUNCTION("""COMPUTED_VALUE"""),"T-093")</f>
        <v>T-093</v>
      </c>
      <c r="B5200" s="226" t="str">
        <f>IFERROR(__xludf.DUMMYFUNCTION("""COMPUTED_VALUE"""),"5907615824234")</f>
        <v>5907615824234</v>
      </c>
      <c r="C5200" t="str">
        <f>IFERROR(__xludf.DUMMYFUNCTION("""COMPUTED_VALUE"""),"Steinhof")</f>
        <v>Steinhof</v>
      </c>
    </row>
    <row r="5201">
      <c r="A5201" t="str">
        <f>IFERROR(__xludf.DUMMYFUNCTION("""COMPUTED_VALUE"""),"T-093")</f>
        <v>T-093</v>
      </c>
      <c r="B5201" s="226" t="str">
        <f>IFERROR(__xludf.DUMMYFUNCTION("""COMPUTED_VALUE"""),"5907615824234")</f>
        <v>5907615824234</v>
      </c>
      <c r="C5201" t="str">
        <f>IFERROR(__xludf.DUMMYFUNCTION("""COMPUTED_VALUE"""),"Steinhof")</f>
        <v>Steinhof</v>
      </c>
    </row>
    <row r="5202">
      <c r="A5202" t="str">
        <f>IFERROR(__xludf.DUMMYFUNCTION("""COMPUTED_VALUE"""),"T-094")</f>
        <v>T-094</v>
      </c>
      <c r="B5202" s="226" t="str">
        <f>IFERROR(__xludf.DUMMYFUNCTION("""COMPUTED_VALUE"""),"5907615824241")</f>
        <v>5907615824241</v>
      </c>
      <c r="C5202" t="str">
        <f>IFERROR(__xludf.DUMMYFUNCTION("""COMPUTED_VALUE"""),"Steinhof")</f>
        <v>Steinhof</v>
      </c>
    </row>
    <row r="5203">
      <c r="A5203" t="str">
        <f>IFERROR(__xludf.DUMMYFUNCTION("""COMPUTED_VALUE"""),"T-095")</f>
        <v>T-095</v>
      </c>
      <c r="B5203" s="226" t="str">
        <f>IFERROR(__xludf.DUMMYFUNCTION("""COMPUTED_VALUE"""),"5907615824258")</f>
        <v>5907615824258</v>
      </c>
      <c r="C5203" t="str">
        <f>IFERROR(__xludf.DUMMYFUNCTION("""COMPUTED_VALUE"""),"Steinhof")</f>
        <v>Steinhof</v>
      </c>
    </row>
    <row r="5204">
      <c r="A5204" t="str">
        <f>IFERROR(__xludf.DUMMYFUNCTION("""COMPUTED_VALUE"""),"T-096")</f>
        <v>T-096</v>
      </c>
      <c r="B5204" s="226" t="str">
        <f>IFERROR(__xludf.DUMMYFUNCTION("""COMPUTED_VALUE"""),"5907615824265")</f>
        <v>5907615824265</v>
      </c>
      <c r="C5204" t="str">
        <f>IFERROR(__xludf.DUMMYFUNCTION("""COMPUTED_VALUE"""),"Steinhof")</f>
        <v>Steinhof</v>
      </c>
    </row>
    <row r="5205">
      <c r="A5205" t="str">
        <f>IFERROR(__xludf.DUMMYFUNCTION("""COMPUTED_VALUE"""),"T-096")</f>
        <v>T-096</v>
      </c>
      <c r="B5205" s="226" t="str">
        <f>IFERROR(__xludf.DUMMYFUNCTION("""COMPUTED_VALUE"""),"5907615824265")</f>
        <v>5907615824265</v>
      </c>
      <c r="C5205" t="str">
        <f>IFERROR(__xludf.DUMMYFUNCTION("""COMPUTED_VALUE"""),"Steinhof")</f>
        <v>Steinhof</v>
      </c>
    </row>
    <row r="5206">
      <c r="A5206" t="str">
        <f>IFERROR(__xludf.DUMMYFUNCTION("""COMPUTED_VALUE"""),"T-096")</f>
        <v>T-096</v>
      </c>
      <c r="B5206" s="226" t="str">
        <f>IFERROR(__xludf.DUMMYFUNCTION("""COMPUTED_VALUE"""),"5907615824265")</f>
        <v>5907615824265</v>
      </c>
      <c r="C5206" t="str">
        <f>IFERROR(__xludf.DUMMYFUNCTION("""COMPUTED_VALUE"""),"Steinhof")</f>
        <v>Steinhof</v>
      </c>
    </row>
    <row r="5207">
      <c r="A5207" t="str">
        <f>IFERROR(__xludf.DUMMYFUNCTION("""COMPUTED_VALUE"""),"T-096")</f>
        <v>T-096</v>
      </c>
      <c r="B5207" s="226" t="str">
        <f>IFERROR(__xludf.DUMMYFUNCTION("""COMPUTED_VALUE"""),"5907615824265")</f>
        <v>5907615824265</v>
      </c>
      <c r="C5207" t="str">
        <f>IFERROR(__xludf.DUMMYFUNCTION("""COMPUTED_VALUE"""),"Steinhof")</f>
        <v>Steinhof</v>
      </c>
    </row>
    <row r="5208">
      <c r="A5208" t="str">
        <f>IFERROR(__xludf.DUMMYFUNCTION("""COMPUTED_VALUE"""),"T-096")</f>
        <v>T-096</v>
      </c>
      <c r="B5208" s="226" t="str">
        <f>IFERROR(__xludf.DUMMYFUNCTION("""COMPUTED_VALUE"""),"5907615824265")</f>
        <v>5907615824265</v>
      </c>
      <c r="C5208" t="str">
        <f>IFERROR(__xludf.DUMMYFUNCTION("""COMPUTED_VALUE"""),"Steinhof")</f>
        <v>Steinhof</v>
      </c>
    </row>
    <row r="5209">
      <c r="A5209" t="str">
        <f>IFERROR(__xludf.DUMMYFUNCTION("""COMPUTED_VALUE"""),"T-096")</f>
        <v>T-096</v>
      </c>
      <c r="B5209" s="226" t="str">
        <f>IFERROR(__xludf.DUMMYFUNCTION("""COMPUTED_VALUE"""),"5907615824265")</f>
        <v>5907615824265</v>
      </c>
      <c r="C5209" t="str">
        <f>IFERROR(__xludf.DUMMYFUNCTION("""COMPUTED_VALUE"""),"Steinhof")</f>
        <v>Steinhof</v>
      </c>
    </row>
    <row r="5210">
      <c r="A5210" t="str">
        <f>IFERROR(__xludf.DUMMYFUNCTION("""COMPUTED_VALUE"""),"T-097")</f>
        <v>T-097</v>
      </c>
      <c r="B5210" s="226" t="str">
        <f>IFERROR(__xludf.DUMMYFUNCTION("""COMPUTED_VALUE"""),"5907615824272")</f>
        <v>5907615824272</v>
      </c>
      <c r="C5210" t="str">
        <f>IFERROR(__xludf.DUMMYFUNCTION("""COMPUTED_VALUE"""),"Steinhof")</f>
        <v>Steinhof</v>
      </c>
    </row>
    <row r="5211">
      <c r="A5211" t="str">
        <f>IFERROR(__xludf.DUMMYFUNCTION("""COMPUTED_VALUE"""),"T-097")</f>
        <v>T-097</v>
      </c>
      <c r="B5211" s="226" t="str">
        <f>IFERROR(__xludf.DUMMYFUNCTION("""COMPUTED_VALUE"""),"5907615824272")</f>
        <v>5907615824272</v>
      </c>
      <c r="C5211" t="str">
        <f>IFERROR(__xludf.DUMMYFUNCTION("""COMPUTED_VALUE"""),"Steinhof")</f>
        <v>Steinhof</v>
      </c>
    </row>
    <row r="5212">
      <c r="A5212" t="str">
        <f>IFERROR(__xludf.DUMMYFUNCTION("""COMPUTED_VALUE"""),"T-097")</f>
        <v>T-097</v>
      </c>
      <c r="B5212" s="226" t="str">
        <f>IFERROR(__xludf.DUMMYFUNCTION("""COMPUTED_VALUE"""),"5907615824272")</f>
        <v>5907615824272</v>
      </c>
      <c r="C5212" t="str">
        <f>IFERROR(__xludf.DUMMYFUNCTION("""COMPUTED_VALUE"""),"Steinhof")</f>
        <v>Steinhof</v>
      </c>
    </row>
    <row r="5213">
      <c r="A5213" t="str">
        <f>IFERROR(__xludf.DUMMYFUNCTION("""COMPUTED_VALUE"""),"T-098")</f>
        <v>T-098</v>
      </c>
      <c r="B5213" s="226" t="str">
        <f>IFERROR(__xludf.DUMMYFUNCTION("""COMPUTED_VALUE"""),"5907615824289")</f>
        <v>5907615824289</v>
      </c>
      <c r="C5213" t="str">
        <f>IFERROR(__xludf.DUMMYFUNCTION("""COMPUTED_VALUE"""),"Steinhof")</f>
        <v>Steinhof</v>
      </c>
    </row>
    <row r="5214">
      <c r="A5214" t="str">
        <f>IFERROR(__xludf.DUMMYFUNCTION("""COMPUTED_VALUE"""),"T-099")</f>
        <v>T-099</v>
      </c>
      <c r="B5214" s="226" t="str">
        <f>IFERROR(__xludf.DUMMYFUNCTION("""COMPUTED_VALUE"""),"5907615824296")</f>
        <v>5907615824296</v>
      </c>
      <c r="C5214" t="str">
        <f>IFERROR(__xludf.DUMMYFUNCTION("""COMPUTED_VALUE"""),"Steinhof")</f>
        <v>Steinhof</v>
      </c>
    </row>
    <row r="5215">
      <c r="A5215" t="str">
        <f>IFERROR(__xludf.DUMMYFUNCTION("""COMPUTED_VALUE"""),"T-100")</f>
        <v>T-100</v>
      </c>
      <c r="B5215" s="226" t="str">
        <f>IFERROR(__xludf.DUMMYFUNCTION("""COMPUTED_VALUE"""),"5907615824302")</f>
        <v>5907615824302</v>
      </c>
      <c r="C5215" t="str">
        <f>IFERROR(__xludf.DUMMYFUNCTION("""COMPUTED_VALUE"""),"Steinhof")</f>
        <v>Steinhof</v>
      </c>
    </row>
    <row r="5216">
      <c r="A5216" t="str">
        <f>IFERROR(__xludf.DUMMYFUNCTION("""COMPUTED_VALUE"""),"T-100")</f>
        <v>T-100</v>
      </c>
      <c r="B5216" s="226" t="str">
        <f>IFERROR(__xludf.DUMMYFUNCTION("""COMPUTED_VALUE"""),"5907615824302")</f>
        <v>5907615824302</v>
      </c>
      <c r="C5216" t="str">
        <f>IFERROR(__xludf.DUMMYFUNCTION("""COMPUTED_VALUE"""),"Steinhof")</f>
        <v>Steinhof</v>
      </c>
    </row>
    <row r="5217">
      <c r="A5217" t="str">
        <f>IFERROR(__xludf.DUMMYFUNCTION("""COMPUTED_VALUE"""),"T-231")</f>
        <v>T-231</v>
      </c>
      <c r="B5217" s="226" t="str">
        <f>IFERROR(__xludf.DUMMYFUNCTION("""COMPUTED_VALUE"""),"5907615824319")</f>
        <v>5907615824319</v>
      </c>
      <c r="C5217" t="str">
        <f>IFERROR(__xludf.DUMMYFUNCTION("""COMPUTED_VALUE"""),"Steinhof")</f>
        <v>Steinhof</v>
      </c>
    </row>
    <row r="5218">
      <c r="A5218" t="str">
        <f>IFERROR(__xludf.DUMMYFUNCTION("""COMPUTED_VALUE"""),"T-231")</f>
        <v>T-231</v>
      </c>
      <c r="B5218" s="226" t="str">
        <f>IFERROR(__xludf.DUMMYFUNCTION("""COMPUTED_VALUE"""),"5907615824319")</f>
        <v>5907615824319</v>
      </c>
      <c r="C5218" t="str">
        <f>IFERROR(__xludf.DUMMYFUNCTION("""COMPUTED_VALUE"""),"Steinhof")</f>
        <v>Steinhof</v>
      </c>
    </row>
    <row r="5219">
      <c r="A5219" t="str">
        <f>IFERROR(__xludf.DUMMYFUNCTION("""COMPUTED_VALUE"""),"T-231")</f>
        <v>T-231</v>
      </c>
      <c r="B5219" s="226" t="str">
        <f>IFERROR(__xludf.DUMMYFUNCTION("""COMPUTED_VALUE"""),"5907615824319")</f>
        <v>5907615824319</v>
      </c>
      <c r="C5219" t="str">
        <f>IFERROR(__xludf.DUMMYFUNCTION("""COMPUTED_VALUE"""),"Steinhof")</f>
        <v>Steinhof</v>
      </c>
    </row>
    <row r="5220">
      <c r="A5220" t="str">
        <f>IFERROR(__xludf.DUMMYFUNCTION("""COMPUTED_VALUE"""),"T-102")</f>
        <v>T-102</v>
      </c>
      <c r="B5220" s="226" t="str">
        <f>IFERROR(__xludf.DUMMYFUNCTION("""COMPUTED_VALUE"""),"5907615824326")</f>
        <v>5907615824326</v>
      </c>
      <c r="C5220" t="str">
        <f>IFERROR(__xludf.DUMMYFUNCTION("""COMPUTED_VALUE"""),"Steinhof")</f>
        <v>Steinhof</v>
      </c>
    </row>
    <row r="5221">
      <c r="A5221" t="str">
        <f>IFERROR(__xludf.DUMMYFUNCTION("""COMPUTED_VALUE"""),"T-102")</f>
        <v>T-102</v>
      </c>
      <c r="B5221" s="226" t="str">
        <f>IFERROR(__xludf.DUMMYFUNCTION("""COMPUTED_VALUE"""),"5907615824326")</f>
        <v>5907615824326</v>
      </c>
      <c r="C5221" t="str">
        <f>IFERROR(__xludf.DUMMYFUNCTION("""COMPUTED_VALUE"""),"Steinhof")</f>
        <v>Steinhof</v>
      </c>
    </row>
    <row r="5222">
      <c r="A5222" t="str">
        <f>IFERROR(__xludf.DUMMYFUNCTION("""COMPUTED_VALUE"""),"T-232")</f>
        <v>T-232</v>
      </c>
      <c r="B5222" s="226" t="str">
        <f>IFERROR(__xludf.DUMMYFUNCTION("""COMPUTED_VALUE"""),"5907615824333")</f>
        <v>5907615824333</v>
      </c>
      <c r="C5222" t="str">
        <f>IFERROR(__xludf.DUMMYFUNCTION("""COMPUTED_VALUE"""),"Steinhof")</f>
        <v>Steinhof</v>
      </c>
    </row>
    <row r="5223">
      <c r="A5223" t="str">
        <f>IFERROR(__xludf.DUMMYFUNCTION("""COMPUTED_VALUE"""),"T-232")</f>
        <v>T-232</v>
      </c>
      <c r="B5223" s="226" t="str">
        <f>IFERROR(__xludf.DUMMYFUNCTION("""COMPUTED_VALUE"""),"5907615824333")</f>
        <v>5907615824333</v>
      </c>
      <c r="C5223" t="str">
        <f>IFERROR(__xludf.DUMMYFUNCTION("""COMPUTED_VALUE"""),"Steinhof")</f>
        <v>Steinhof</v>
      </c>
    </row>
    <row r="5224">
      <c r="A5224" t="str">
        <f>IFERROR(__xludf.DUMMYFUNCTION("""COMPUTED_VALUE"""),"T-232")</f>
        <v>T-232</v>
      </c>
      <c r="B5224" s="226" t="str">
        <f>IFERROR(__xludf.DUMMYFUNCTION("""COMPUTED_VALUE"""),"5907615824333")</f>
        <v>5907615824333</v>
      </c>
      <c r="C5224" t="str">
        <f>IFERROR(__xludf.DUMMYFUNCTION("""COMPUTED_VALUE"""),"Steinhof")</f>
        <v>Steinhof</v>
      </c>
    </row>
    <row r="5225">
      <c r="A5225" t="str">
        <f>IFERROR(__xludf.DUMMYFUNCTION("""COMPUTED_VALUE"""),"T-104")</f>
        <v>T-104</v>
      </c>
      <c r="B5225" s="226" t="str">
        <f>IFERROR(__xludf.DUMMYFUNCTION("""COMPUTED_VALUE"""),"5907615824340")</f>
        <v>5907615824340</v>
      </c>
      <c r="C5225" t="str">
        <f>IFERROR(__xludf.DUMMYFUNCTION("""COMPUTED_VALUE"""),"Steinhof")</f>
        <v>Steinhof</v>
      </c>
    </row>
    <row r="5226">
      <c r="A5226" t="str">
        <f>IFERROR(__xludf.DUMMYFUNCTION("""COMPUTED_VALUE"""),"T-104")</f>
        <v>T-104</v>
      </c>
      <c r="B5226" s="226" t="str">
        <f>IFERROR(__xludf.DUMMYFUNCTION("""COMPUTED_VALUE"""),"5907615824340")</f>
        <v>5907615824340</v>
      </c>
      <c r="C5226" t="str">
        <f>IFERROR(__xludf.DUMMYFUNCTION("""COMPUTED_VALUE"""),"Steinhof")</f>
        <v>Steinhof</v>
      </c>
    </row>
    <row r="5227">
      <c r="A5227" t="str">
        <f>IFERROR(__xludf.DUMMYFUNCTION("""COMPUTED_VALUE"""),"T-105")</f>
        <v>T-105</v>
      </c>
      <c r="B5227" s="226" t="str">
        <f>IFERROR(__xludf.DUMMYFUNCTION("""COMPUTED_VALUE"""),"5907615824357")</f>
        <v>5907615824357</v>
      </c>
      <c r="C5227" t="str">
        <f>IFERROR(__xludf.DUMMYFUNCTION("""COMPUTED_VALUE"""),"Steinhof")</f>
        <v>Steinhof</v>
      </c>
    </row>
    <row r="5228">
      <c r="A5228" t="str">
        <f>IFERROR(__xludf.DUMMYFUNCTION("""COMPUTED_VALUE"""),"T-106")</f>
        <v>T-106</v>
      </c>
      <c r="B5228" s="226" t="str">
        <f>IFERROR(__xludf.DUMMYFUNCTION("""COMPUTED_VALUE"""),"5907615824364")</f>
        <v>5907615824364</v>
      </c>
      <c r="C5228" t="str">
        <f>IFERROR(__xludf.DUMMYFUNCTION("""COMPUTED_VALUE"""),"Steinhof")</f>
        <v>Steinhof</v>
      </c>
    </row>
    <row r="5229">
      <c r="A5229" t="str">
        <f>IFERROR(__xludf.DUMMYFUNCTION("""COMPUTED_VALUE"""),"T-106")</f>
        <v>T-106</v>
      </c>
      <c r="B5229" s="226" t="str">
        <f>IFERROR(__xludf.DUMMYFUNCTION("""COMPUTED_VALUE"""),"5907615824364")</f>
        <v>5907615824364</v>
      </c>
      <c r="C5229" t="str">
        <f>IFERROR(__xludf.DUMMYFUNCTION("""COMPUTED_VALUE"""),"Steinhof")</f>
        <v>Steinhof</v>
      </c>
    </row>
    <row r="5230">
      <c r="A5230" t="str">
        <f>IFERROR(__xludf.DUMMYFUNCTION("""COMPUTED_VALUE"""),"T-107")</f>
        <v>T-107</v>
      </c>
      <c r="B5230" s="226" t="str">
        <f>IFERROR(__xludf.DUMMYFUNCTION("""COMPUTED_VALUE"""),"5907615824371")</f>
        <v>5907615824371</v>
      </c>
      <c r="C5230" t="str">
        <f>IFERROR(__xludf.DUMMYFUNCTION("""COMPUTED_VALUE"""),"Steinhof")</f>
        <v>Steinhof</v>
      </c>
    </row>
    <row r="5231">
      <c r="A5231" t="str">
        <f>IFERROR(__xludf.DUMMYFUNCTION("""COMPUTED_VALUE"""),"T-108")</f>
        <v>T-108</v>
      </c>
      <c r="B5231" s="226" t="str">
        <f>IFERROR(__xludf.DUMMYFUNCTION("""COMPUTED_VALUE"""),"5907615824388")</f>
        <v>5907615824388</v>
      </c>
      <c r="C5231" t="str">
        <f>IFERROR(__xludf.DUMMYFUNCTION("""COMPUTED_VALUE"""),"Steinhof")</f>
        <v>Steinhof</v>
      </c>
    </row>
    <row r="5232">
      <c r="A5232" t="str">
        <f>IFERROR(__xludf.DUMMYFUNCTION("""COMPUTED_VALUE"""),"O-128")</f>
        <v>O-128</v>
      </c>
      <c r="B5232" s="226" t="str">
        <f>IFERROR(__xludf.DUMMYFUNCTION("""COMPUTED_VALUE"""),"5907615824388")</f>
        <v>5907615824388</v>
      </c>
      <c r="C5232" t="str">
        <f>IFERROR(__xludf.DUMMYFUNCTION("""COMPUTED_VALUE"""),"Steinhof")</f>
        <v>Steinhof</v>
      </c>
    </row>
    <row r="5233">
      <c r="A5233" t="str">
        <f>IFERROR(__xludf.DUMMYFUNCTION("""COMPUTED_VALUE"""),"T-109")</f>
        <v>T-109</v>
      </c>
      <c r="B5233" s="226" t="str">
        <f>IFERROR(__xludf.DUMMYFUNCTION("""COMPUTED_VALUE"""),"5907615824395")</f>
        <v>5907615824395</v>
      </c>
      <c r="C5233" t="str">
        <f>IFERROR(__xludf.DUMMYFUNCTION("""COMPUTED_VALUE"""),"Steinhof")</f>
        <v>Steinhof</v>
      </c>
    </row>
    <row r="5234">
      <c r="A5234" t="str">
        <f>IFERROR(__xludf.DUMMYFUNCTION("""COMPUTED_VALUE"""),"T-109")</f>
        <v>T-109</v>
      </c>
      <c r="B5234" s="226" t="str">
        <f>IFERROR(__xludf.DUMMYFUNCTION("""COMPUTED_VALUE"""),"5907615824395")</f>
        <v>5907615824395</v>
      </c>
      <c r="C5234" t="str">
        <f>IFERROR(__xludf.DUMMYFUNCTION("""COMPUTED_VALUE"""),"Steinhof")</f>
        <v>Steinhof</v>
      </c>
    </row>
    <row r="5235">
      <c r="A5235" t="str">
        <f>IFERROR(__xludf.DUMMYFUNCTION("""COMPUTED_VALUE"""),"T-103")</f>
        <v>T-103</v>
      </c>
      <c r="B5235" s="226" t="str">
        <f>IFERROR(__xludf.DUMMYFUNCTION("""COMPUTED_VALUE"""),"5907615824401")</f>
        <v>5907615824401</v>
      </c>
      <c r="C5235" t="str">
        <f>IFERROR(__xludf.DUMMYFUNCTION("""COMPUTED_VALUE"""),"Steinhof")</f>
        <v>Steinhof</v>
      </c>
    </row>
    <row r="5236">
      <c r="A5236" t="str">
        <f>IFERROR(__xludf.DUMMYFUNCTION("""COMPUTED_VALUE"""),"T-103")</f>
        <v>T-103</v>
      </c>
      <c r="B5236" s="226" t="str">
        <f>IFERROR(__xludf.DUMMYFUNCTION("""COMPUTED_VALUE"""),"5907615824401")</f>
        <v>5907615824401</v>
      </c>
      <c r="C5236" t="str">
        <f>IFERROR(__xludf.DUMMYFUNCTION("""COMPUTED_VALUE"""),"Steinhof")</f>
        <v>Steinhof</v>
      </c>
    </row>
    <row r="5237">
      <c r="A5237" t="str">
        <f>IFERROR(__xludf.DUMMYFUNCTION("""COMPUTED_VALUE"""),"T-111")</f>
        <v>T-111</v>
      </c>
      <c r="B5237" s="226" t="str">
        <f>IFERROR(__xludf.DUMMYFUNCTION("""COMPUTED_VALUE"""),"5907615824418")</f>
        <v>5907615824418</v>
      </c>
      <c r="C5237" t="str">
        <f>IFERROR(__xludf.DUMMYFUNCTION("""COMPUTED_VALUE"""),"Steinhof")</f>
        <v>Steinhof</v>
      </c>
    </row>
    <row r="5238">
      <c r="A5238" t="str">
        <f>IFERROR(__xludf.DUMMYFUNCTION("""COMPUTED_VALUE"""),"T-111")</f>
        <v>T-111</v>
      </c>
      <c r="B5238" s="226" t="str">
        <f>IFERROR(__xludf.DUMMYFUNCTION("""COMPUTED_VALUE"""),"5907615824418")</f>
        <v>5907615824418</v>
      </c>
      <c r="C5238" t="str">
        <f>IFERROR(__xludf.DUMMYFUNCTION("""COMPUTED_VALUE"""),"Steinhof")</f>
        <v>Steinhof</v>
      </c>
    </row>
    <row r="5239">
      <c r="A5239" t="str">
        <f>IFERROR(__xludf.DUMMYFUNCTION("""COMPUTED_VALUE"""),"T-233")</f>
        <v>T-233</v>
      </c>
      <c r="B5239" s="226" t="str">
        <f>IFERROR(__xludf.DUMMYFUNCTION("""COMPUTED_VALUE"""),"5907615824432")</f>
        <v>5907615824432</v>
      </c>
      <c r="C5239" t="str">
        <f>IFERROR(__xludf.DUMMYFUNCTION("""COMPUTED_VALUE"""),"Steinhof")</f>
        <v>Steinhof</v>
      </c>
    </row>
    <row r="5240">
      <c r="A5240" t="str">
        <f>IFERROR(__xludf.DUMMYFUNCTION("""COMPUTED_VALUE"""),"T-233")</f>
        <v>T-233</v>
      </c>
      <c r="B5240" s="226" t="str">
        <f>IFERROR(__xludf.DUMMYFUNCTION("""COMPUTED_VALUE"""),"5907615824432")</f>
        <v>5907615824432</v>
      </c>
      <c r="C5240" t="str">
        <f>IFERROR(__xludf.DUMMYFUNCTION("""COMPUTED_VALUE"""),"Steinhof")</f>
        <v>Steinhof</v>
      </c>
    </row>
    <row r="5241">
      <c r="A5241" t="str">
        <f>IFERROR(__xludf.DUMMYFUNCTION("""COMPUTED_VALUE"""),"T-233")</f>
        <v>T-233</v>
      </c>
      <c r="B5241" s="226" t="str">
        <f>IFERROR(__xludf.DUMMYFUNCTION("""COMPUTED_VALUE"""),"5907615824432")</f>
        <v>5907615824432</v>
      </c>
      <c r="C5241" t="str">
        <f>IFERROR(__xludf.DUMMYFUNCTION("""COMPUTED_VALUE"""),"Steinhof")</f>
        <v>Steinhof</v>
      </c>
    </row>
    <row r="5242">
      <c r="A5242" t="str">
        <f>IFERROR(__xludf.DUMMYFUNCTION("""COMPUTED_VALUE"""),"T-116")</f>
        <v>T-116</v>
      </c>
      <c r="B5242" s="226" t="str">
        <f>IFERROR(__xludf.DUMMYFUNCTION("""COMPUTED_VALUE"""),"5907615824463")</f>
        <v>5907615824463</v>
      </c>
      <c r="C5242" t="str">
        <f>IFERROR(__xludf.DUMMYFUNCTION("""COMPUTED_VALUE"""),"Steinhof")</f>
        <v>Steinhof</v>
      </c>
    </row>
    <row r="5243">
      <c r="A5243" t="str">
        <f>IFERROR(__xludf.DUMMYFUNCTION("""COMPUTED_VALUE"""),"T-116")</f>
        <v>T-116</v>
      </c>
      <c r="B5243" s="226" t="str">
        <f>IFERROR(__xludf.DUMMYFUNCTION("""COMPUTED_VALUE"""),"5907615824463")</f>
        <v>5907615824463</v>
      </c>
      <c r="C5243" t="str">
        <f>IFERROR(__xludf.DUMMYFUNCTION("""COMPUTED_VALUE"""),"Steinhof")</f>
        <v>Steinhof</v>
      </c>
    </row>
    <row r="5244">
      <c r="A5244" t="str">
        <f>IFERROR(__xludf.DUMMYFUNCTION("""COMPUTED_VALUE"""),"T-120")</f>
        <v>T-120</v>
      </c>
      <c r="B5244" s="226" t="str">
        <f>IFERROR(__xludf.DUMMYFUNCTION("""COMPUTED_VALUE"""),"5907615824500")</f>
        <v>5907615824500</v>
      </c>
      <c r="C5244" t="str">
        <f>IFERROR(__xludf.DUMMYFUNCTION("""COMPUTED_VALUE"""),"Steinhof")</f>
        <v>Steinhof</v>
      </c>
    </row>
    <row r="5245">
      <c r="A5245" t="str">
        <f>IFERROR(__xludf.DUMMYFUNCTION("""COMPUTED_VALUE"""),"T-120")</f>
        <v>T-120</v>
      </c>
      <c r="B5245" s="226" t="str">
        <f>IFERROR(__xludf.DUMMYFUNCTION("""COMPUTED_VALUE"""),"5907615824500")</f>
        <v>5907615824500</v>
      </c>
      <c r="C5245" t="str">
        <f>IFERROR(__xludf.DUMMYFUNCTION("""COMPUTED_VALUE"""),"Steinhof")</f>
        <v>Steinhof</v>
      </c>
    </row>
    <row r="5246">
      <c r="A5246" t="str">
        <f>IFERROR(__xludf.DUMMYFUNCTION("""COMPUTED_VALUE"""),"T-122")</f>
        <v>T-122</v>
      </c>
      <c r="B5246" s="226" t="str">
        <f>IFERROR(__xludf.DUMMYFUNCTION("""COMPUTED_VALUE"""),"5907615824524")</f>
        <v>5907615824524</v>
      </c>
      <c r="C5246" t="str">
        <f>IFERROR(__xludf.DUMMYFUNCTION("""COMPUTED_VALUE"""),"Steinhof")</f>
        <v>Steinhof</v>
      </c>
    </row>
    <row r="5247">
      <c r="A5247" t="str">
        <f>IFERROR(__xludf.DUMMYFUNCTION("""COMPUTED_VALUE"""),"T-122")</f>
        <v>T-122</v>
      </c>
      <c r="B5247" s="226" t="str">
        <f>IFERROR(__xludf.DUMMYFUNCTION("""COMPUTED_VALUE"""),"5907615824524")</f>
        <v>5907615824524</v>
      </c>
      <c r="C5247" t="str">
        <f>IFERROR(__xludf.DUMMYFUNCTION("""COMPUTED_VALUE"""),"Steinhof")</f>
        <v>Steinhof</v>
      </c>
    </row>
    <row r="5248">
      <c r="A5248" t="str">
        <f>IFERROR(__xludf.DUMMYFUNCTION("""COMPUTED_VALUE"""),"T-124")</f>
        <v>T-124</v>
      </c>
      <c r="B5248" s="226" t="str">
        <f>IFERROR(__xludf.DUMMYFUNCTION("""COMPUTED_VALUE"""),"5907615824548")</f>
        <v>5907615824548</v>
      </c>
      <c r="C5248" t="str">
        <f>IFERROR(__xludf.DUMMYFUNCTION("""COMPUTED_VALUE"""),"Steinhof")</f>
        <v>Steinhof</v>
      </c>
    </row>
    <row r="5249">
      <c r="A5249" t="str">
        <f>IFERROR(__xludf.DUMMYFUNCTION("""COMPUTED_VALUE"""),"T-124")</f>
        <v>T-124</v>
      </c>
      <c r="B5249" s="226" t="str">
        <f>IFERROR(__xludf.DUMMYFUNCTION("""COMPUTED_VALUE"""),"5907615824548")</f>
        <v>5907615824548</v>
      </c>
      <c r="C5249" t="str">
        <f>IFERROR(__xludf.DUMMYFUNCTION("""COMPUTED_VALUE"""),"Steinhof")</f>
        <v>Steinhof</v>
      </c>
    </row>
    <row r="5250">
      <c r="A5250" t="str">
        <f>IFERROR(__xludf.DUMMYFUNCTION("""COMPUTED_VALUE"""),"T-125")</f>
        <v>T-125</v>
      </c>
      <c r="B5250" s="226" t="str">
        <f>IFERROR(__xludf.DUMMYFUNCTION("""COMPUTED_VALUE"""),"5907615824555")</f>
        <v>5907615824555</v>
      </c>
      <c r="C5250" t="str">
        <f>IFERROR(__xludf.DUMMYFUNCTION("""COMPUTED_VALUE"""),"Steinhof")</f>
        <v>Steinhof</v>
      </c>
    </row>
    <row r="5251">
      <c r="A5251" t="str">
        <f>IFERROR(__xludf.DUMMYFUNCTION("""COMPUTED_VALUE"""),"T-125")</f>
        <v>T-125</v>
      </c>
      <c r="B5251" s="226" t="str">
        <f>IFERROR(__xludf.DUMMYFUNCTION("""COMPUTED_VALUE"""),"5907615824555")</f>
        <v>5907615824555</v>
      </c>
      <c r="C5251" t="str">
        <f>IFERROR(__xludf.DUMMYFUNCTION("""COMPUTED_VALUE"""),"Steinhof")</f>
        <v>Steinhof</v>
      </c>
    </row>
    <row r="5252">
      <c r="A5252" t="str">
        <f>IFERROR(__xludf.DUMMYFUNCTION("""COMPUTED_VALUE"""),"T-126")</f>
        <v>T-126</v>
      </c>
      <c r="B5252" s="226" t="str">
        <f>IFERROR(__xludf.DUMMYFUNCTION("""COMPUTED_VALUE"""),"5907615824562")</f>
        <v>5907615824562</v>
      </c>
      <c r="C5252" t="str">
        <f>IFERROR(__xludf.DUMMYFUNCTION("""COMPUTED_VALUE"""),"Steinhof")</f>
        <v>Steinhof</v>
      </c>
    </row>
    <row r="5253">
      <c r="A5253" t="str">
        <f>IFERROR(__xludf.DUMMYFUNCTION("""COMPUTED_VALUE"""),"T-126")</f>
        <v>T-126</v>
      </c>
      <c r="B5253" s="226" t="str">
        <f>IFERROR(__xludf.DUMMYFUNCTION("""COMPUTED_VALUE"""),"5907615824562")</f>
        <v>5907615824562</v>
      </c>
      <c r="C5253" t="str">
        <f>IFERROR(__xludf.DUMMYFUNCTION("""COMPUTED_VALUE"""),"Steinhof")</f>
        <v>Steinhof</v>
      </c>
    </row>
    <row r="5254">
      <c r="A5254" t="str">
        <f>IFERROR(__xludf.DUMMYFUNCTION("""COMPUTED_VALUE"""),"T-127")</f>
        <v>T-127</v>
      </c>
      <c r="B5254" s="226" t="str">
        <f>IFERROR(__xludf.DUMMYFUNCTION("""COMPUTED_VALUE"""),"5907615824579")</f>
        <v>5907615824579</v>
      </c>
      <c r="C5254" t="str">
        <f>IFERROR(__xludf.DUMMYFUNCTION("""COMPUTED_VALUE"""),"Steinhof")</f>
        <v>Steinhof</v>
      </c>
    </row>
    <row r="5255">
      <c r="A5255" t="str">
        <f>IFERROR(__xludf.DUMMYFUNCTION("""COMPUTED_VALUE"""),"T-127")</f>
        <v>T-127</v>
      </c>
      <c r="B5255" s="226" t="str">
        <f>IFERROR(__xludf.DUMMYFUNCTION("""COMPUTED_VALUE"""),"5907615824579")</f>
        <v>5907615824579</v>
      </c>
      <c r="C5255" t="str">
        <f>IFERROR(__xludf.DUMMYFUNCTION("""COMPUTED_VALUE"""),"Steinhof")</f>
        <v>Steinhof</v>
      </c>
    </row>
    <row r="5256">
      <c r="A5256" t="str">
        <f>IFERROR(__xludf.DUMMYFUNCTION("""COMPUTED_VALUE"""),"T-128")</f>
        <v>T-128</v>
      </c>
      <c r="B5256" s="226" t="str">
        <f>IFERROR(__xludf.DUMMYFUNCTION("""COMPUTED_VALUE"""),"5907615824586")</f>
        <v>5907615824586</v>
      </c>
      <c r="C5256" t="str">
        <f>IFERROR(__xludf.DUMMYFUNCTION("""COMPUTED_VALUE"""),"Steinhof")</f>
        <v>Steinhof</v>
      </c>
    </row>
    <row r="5257">
      <c r="A5257" t="str">
        <f>IFERROR(__xludf.DUMMYFUNCTION("""COMPUTED_VALUE"""),"T-129")</f>
        <v>T-129</v>
      </c>
      <c r="B5257" s="226" t="str">
        <f>IFERROR(__xludf.DUMMYFUNCTION("""COMPUTED_VALUE"""),"5907615824593")</f>
        <v>5907615824593</v>
      </c>
      <c r="C5257" t="str">
        <f>IFERROR(__xludf.DUMMYFUNCTION("""COMPUTED_VALUE"""),"Steinhof")</f>
        <v>Steinhof</v>
      </c>
    </row>
    <row r="5258">
      <c r="A5258" t="str">
        <f>IFERROR(__xludf.DUMMYFUNCTION("""COMPUTED_VALUE"""),"T-130")</f>
        <v>T-130</v>
      </c>
      <c r="B5258" s="226" t="str">
        <f>IFERROR(__xludf.DUMMYFUNCTION("""COMPUTED_VALUE"""),"5907615824609")</f>
        <v>5907615824609</v>
      </c>
      <c r="C5258" t="str">
        <f>IFERROR(__xludf.DUMMYFUNCTION("""COMPUTED_VALUE"""),"Steinhof")</f>
        <v>Steinhof</v>
      </c>
    </row>
    <row r="5259">
      <c r="A5259" t="str">
        <f>IFERROR(__xludf.DUMMYFUNCTION("""COMPUTED_VALUE"""),"T-130")</f>
        <v>T-130</v>
      </c>
      <c r="B5259" s="226" t="str">
        <f>IFERROR(__xludf.DUMMYFUNCTION("""COMPUTED_VALUE"""),"5907615824609")</f>
        <v>5907615824609</v>
      </c>
      <c r="C5259" t="str">
        <f>IFERROR(__xludf.DUMMYFUNCTION("""COMPUTED_VALUE"""),"Steinhof")</f>
        <v>Steinhof</v>
      </c>
    </row>
    <row r="5260">
      <c r="A5260" t="str">
        <f>IFERROR(__xludf.DUMMYFUNCTION("""COMPUTED_VALUE"""),"T-131")</f>
        <v>T-131</v>
      </c>
      <c r="B5260" s="226" t="str">
        <f>IFERROR(__xludf.DUMMYFUNCTION("""COMPUTED_VALUE"""),"5907615824616")</f>
        <v>5907615824616</v>
      </c>
      <c r="C5260" t="str">
        <f>IFERROR(__xludf.DUMMYFUNCTION("""COMPUTED_VALUE"""),"Steinhof")</f>
        <v>Steinhof</v>
      </c>
    </row>
    <row r="5261">
      <c r="A5261" t="str">
        <f>IFERROR(__xludf.DUMMYFUNCTION("""COMPUTED_VALUE"""),"T-131")</f>
        <v>T-131</v>
      </c>
      <c r="B5261" s="226" t="str">
        <f>IFERROR(__xludf.DUMMYFUNCTION("""COMPUTED_VALUE"""),"5907615824616")</f>
        <v>5907615824616</v>
      </c>
      <c r="C5261" t="str">
        <f>IFERROR(__xludf.DUMMYFUNCTION("""COMPUTED_VALUE"""),"Steinhof")</f>
        <v>Steinhof</v>
      </c>
    </row>
    <row r="5262">
      <c r="A5262" t="str">
        <f>IFERROR(__xludf.DUMMYFUNCTION("""COMPUTED_VALUE"""),"T-132")</f>
        <v>T-132</v>
      </c>
      <c r="B5262" s="226" t="str">
        <f>IFERROR(__xludf.DUMMYFUNCTION("""COMPUTED_VALUE"""),"5907615824623")</f>
        <v>5907615824623</v>
      </c>
      <c r="C5262" t="str">
        <f>IFERROR(__xludf.DUMMYFUNCTION("""COMPUTED_VALUE"""),"Steinhof")</f>
        <v>Steinhof</v>
      </c>
    </row>
    <row r="5263">
      <c r="A5263" t="str">
        <f>IFERROR(__xludf.DUMMYFUNCTION("""COMPUTED_VALUE"""),"T-133")</f>
        <v>T-133</v>
      </c>
      <c r="B5263" s="226" t="str">
        <f>IFERROR(__xludf.DUMMYFUNCTION("""COMPUTED_VALUE"""),"5907615824630")</f>
        <v>5907615824630</v>
      </c>
      <c r="C5263" t="str">
        <f>IFERROR(__xludf.DUMMYFUNCTION("""COMPUTED_VALUE"""),"Steinhof")</f>
        <v>Steinhof</v>
      </c>
    </row>
    <row r="5264">
      <c r="A5264" t="str">
        <f>IFERROR(__xludf.DUMMYFUNCTION("""COMPUTED_VALUE"""),"T-140/1")</f>
        <v>T-140/1</v>
      </c>
      <c r="B5264" s="226" t="str">
        <f>IFERROR(__xludf.DUMMYFUNCTION("""COMPUTED_VALUE"""),"5907615824715")</f>
        <v>5907615824715</v>
      </c>
      <c r="C5264" t="str">
        <f>IFERROR(__xludf.DUMMYFUNCTION("""COMPUTED_VALUE"""),"Steinhof")</f>
        <v>Steinhof</v>
      </c>
    </row>
    <row r="5265">
      <c r="A5265" t="str">
        <f>IFERROR(__xludf.DUMMYFUNCTION("""COMPUTED_VALUE"""),"T-140/1")</f>
        <v>T-140/1</v>
      </c>
      <c r="B5265" s="226" t="str">
        <f>IFERROR(__xludf.DUMMYFUNCTION("""COMPUTED_VALUE"""),"5907615824715")</f>
        <v>5907615824715</v>
      </c>
      <c r="C5265" t="str">
        <f>IFERROR(__xludf.DUMMYFUNCTION("""COMPUTED_VALUE"""),"Steinhof")</f>
        <v>Steinhof</v>
      </c>
    </row>
    <row r="5266">
      <c r="A5266" t="str">
        <f>IFERROR(__xludf.DUMMYFUNCTION("""COMPUTED_VALUE"""),"T-141")</f>
        <v>T-141</v>
      </c>
      <c r="B5266" s="226" t="str">
        <f>IFERROR(__xludf.DUMMYFUNCTION("""COMPUTED_VALUE"""),"5907615824722")</f>
        <v>5907615824722</v>
      </c>
      <c r="C5266" t="str">
        <f>IFERROR(__xludf.DUMMYFUNCTION("""COMPUTED_VALUE"""),"Steinhof")</f>
        <v>Steinhof</v>
      </c>
    </row>
    <row r="5267">
      <c r="A5267" t="str">
        <f>IFERROR(__xludf.DUMMYFUNCTION("""COMPUTED_VALUE"""),"T-141")</f>
        <v>T-141</v>
      </c>
      <c r="B5267" s="226" t="str">
        <f>IFERROR(__xludf.DUMMYFUNCTION("""COMPUTED_VALUE"""),"5907615824722")</f>
        <v>5907615824722</v>
      </c>
      <c r="C5267" t="str">
        <f>IFERROR(__xludf.DUMMYFUNCTION("""COMPUTED_VALUE"""),"Steinhof")</f>
        <v>Steinhof</v>
      </c>
    </row>
    <row r="5268">
      <c r="A5268" t="str">
        <f>IFERROR(__xludf.DUMMYFUNCTION("""COMPUTED_VALUE"""),"T-141")</f>
        <v>T-141</v>
      </c>
      <c r="B5268" s="226" t="str">
        <f>IFERROR(__xludf.DUMMYFUNCTION("""COMPUTED_VALUE"""),"5907615824722")</f>
        <v>5907615824722</v>
      </c>
      <c r="C5268" t="str">
        <f>IFERROR(__xludf.DUMMYFUNCTION("""COMPUTED_VALUE"""),"Steinhof")</f>
        <v>Steinhof</v>
      </c>
    </row>
    <row r="5269">
      <c r="A5269" t="str">
        <f>IFERROR(__xludf.DUMMYFUNCTION("""COMPUTED_VALUE"""),"T-141")</f>
        <v>T-141</v>
      </c>
      <c r="B5269" s="226" t="str">
        <f>IFERROR(__xludf.DUMMYFUNCTION("""COMPUTED_VALUE"""),"5907615824722")</f>
        <v>5907615824722</v>
      </c>
      <c r="C5269" t="str">
        <f>IFERROR(__xludf.DUMMYFUNCTION("""COMPUTED_VALUE"""),"Steinhof")</f>
        <v>Steinhof</v>
      </c>
    </row>
    <row r="5270">
      <c r="A5270" t="str">
        <f>IFERROR(__xludf.DUMMYFUNCTION("""COMPUTED_VALUE"""),"T-142")</f>
        <v>T-142</v>
      </c>
      <c r="B5270" s="226" t="str">
        <f>IFERROR(__xludf.DUMMYFUNCTION("""COMPUTED_VALUE"""),"5907615824739")</f>
        <v>5907615824739</v>
      </c>
      <c r="C5270" t="str">
        <f>IFERROR(__xludf.DUMMYFUNCTION("""COMPUTED_VALUE"""),"Steinhof")</f>
        <v>Steinhof</v>
      </c>
    </row>
    <row r="5271">
      <c r="A5271" t="str">
        <f>IFERROR(__xludf.DUMMYFUNCTION("""COMPUTED_VALUE"""),"T-142")</f>
        <v>T-142</v>
      </c>
      <c r="B5271" s="226" t="str">
        <f>IFERROR(__xludf.DUMMYFUNCTION("""COMPUTED_VALUE"""),"5907615824739")</f>
        <v>5907615824739</v>
      </c>
      <c r="C5271" t="str">
        <f>IFERROR(__xludf.DUMMYFUNCTION("""COMPUTED_VALUE"""),"Steinhof")</f>
        <v>Steinhof</v>
      </c>
    </row>
    <row r="5272">
      <c r="A5272" t="str">
        <f>IFERROR(__xludf.DUMMYFUNCTION("""COMPUTED_VALUE"""),"T-142")</f>
        <v>T-142</v>
      </c>
      <c r="B5272" s="226" t="str">
        <f>IFERROR(__xludf.DUMMYFUNCTION("""COMPUTED_VALUE"""),"5907615824739")</f>
        <v>5907615824739</v>
      </c>
      <c r="C5272" t="str">
        <f>IFERROR(__xludf.DUMMYFUNCTION("""COMPUTED_VALUE"""),"Steinhof")</f>
        <v>Steinhof</v>
      </c>
    </row>
    <row r="5273">
      <c r="A5273" t="str">
        <f>IFERROR(__xludf.DUMMYFUNCTION("""COMPUTED_VALUE"""),"T-142")</f>
        <v>T-142</v>
      </c>
      <c r="B5273" s="226" t="str">
        <f>IFERROR(__xludf.DUMMYFUNCTION("""COMPUTED_VALUE"""),"5907615824739")</f>
        <v>5907615824739</v>
      </c>
      <c r="C5273" t="str">
        <f>IFERROR(__xludf.DUMMYFUNCTION("""COMPUTED_VALUE"""),"Steinhof")</f>
        <v>Steinhof</v>
      </c>
    </row>
    <row r="5274">
      <c r="A5274" t="str">
        <f>IFERROR(__xludf.DUMMYFUNCTION("""COMPUTED_VALUE"""),"T-161")</f>
        <v>T-161</v>
      </c>
      <c r="B5274" s="226" t="str">
        <f>IFERROR(__xludf.DUMMYFUNCTION("""COMPUTED_VALUE"""),"5907615824746")</f>
        <v>5907615824746</v>
      </c>
      <c r="C5274" t="str">
        <f>IFERROR(__xludf.DUMMYFUNCTION("""COMPUTED_VALUE"""),"Steinhof")</f>
        <v>Steinhof</v>
      </c>
    </row>
    <row r="5275">
      <c r="A5275" t="str">
        <f>IFERROR(__xludf.DUMMYFUNCTION("""COMPUTED_VALUE"""),"T-161")</f>
        <v>T-161</v>
      </c>
      <c r="B5275" s="226" t="str">
        <f>IFERROR(__xludf.DUMMYFUNCTION("""COMPUTED_VALUE"""),"5907615824746")</f>
        <v>5907615824746</v>
      </c>
      <c r="C5275" t="str">
        <f>IFERROR(__xludf.DUMMYFUNCTION("""COMPUTED_VALUE"""),"Steinhof")</f>
        <v>Steinhof</v>
      </c>
    </row>
    <row r="5276">
      <c r="A5276" t="str">
        <f>IFERROR(__xludf.DUMMYFUNCTION("""COMPUTED_VALUE"""),"T-145")</f>
        <v>T-145</v>
      </c>
      <c r="B5276" s="226" t="str">
        <f>IFERROR(__xludf.DUMMYFUNCTION("""COMPUTED_VALUE"""),"5907615824753")</f>
        <v>5907615824753</v>
      </c>
      <c r="C5276" t="str">
        <f>IFERROR(__xludf.DUMMYFUNCTION("""COMPUTED_VALUE"""),"Steinhof")</f>
        <v>Steinhof</v>
      </c>
    </row>
    <row r="5277">
      <c r="A5277" t="str">
        <f>IFERROR(__xludf.DUMMYFUNCTION("""COMPUTED_VALUE"""),"T-145")</f>
        <v>T-145</v>
      </c>
      <c r="B5277" s="226" t="str">
        <f>IFERROR(__xludf.DUMMYFUNCTION("""COMPUTED_VALUE"""),"5907615824753")</f>
        <v>5907615824753</v>
      </c>
      <c r="C5277" t="str">
        <f>IFERROR(__xludf.DUMMYFUNCTION("""COMPUTED_VALUE"""),"Steinhof")</f>
        <v>Steinhof</v>
      </c>
    </row>
    <row r="5278">
      <c r="A5278" t="str">
        <f>IFERROR(__xludf.DUMMYFUNCTION("""COMPUTED_VALUE"""),"T-147")</f>
        <v>T-147</v>
      </c>
      <c r="B5278" s="226" t="str">
        <f>IFERROR(__xludf.DUMMYFUNCTION("""COMPUTED_VALUE"""),"5907615824760")</f>
        <v>5907615824760</v>
      </c>
      <c r="C5278" t="str">
        <f>IFERROR(__xludf.DUMMYFUNCTION("""COMPUTED_VALUE"""),"Steinhof")</f>
        <v>Steinhof</v>
      </c>
    </row>
    <row r="5279">
      <c r="A5279" t="str">
        <f>IFERROR(__xludf.DUMMYFUNCTION("""COMPUTED_VALUE"""),"T-147")</f>
        <v>T-147</v>
      </c>
      <c r="B5279" s="226" t="str">
        <f>IFERROR(__xludf.DUMMYFUNCTION("""COMPUTED_VALUE"""),"5907615824760")</f>
        <v>5907615824760</v>
      </c>
      <c r="C5279" t="str">
        <f>IFERROR(__xludf.DUMMYFUNCTION("""COMPUTED_VALUE"""),"Steinhof")</f>
        <v>Steinhof</v>
      </c>
    </row>
    <row r="5280">
      <c r="A5280" t="str">
        <f>IFERROR(__xludf.DUMMYFUNCTION("""COMPUTED_VALUE"""),"T-165")</f>
        <v>T-165</v>
      </c>
      <c r="B5280" s="226" t="str">
        <f>IFERROR(__xludf.DUMMYFUNCTION("""COMPUTED_VALUE"""),"5907615824777")</f>
        <v>5907615824777</v>
      </c>
      <c r="C5280" t="str">
        <f>IFERROR(__xludf.DUMMYFUNCTION("""COMPUTED_VALUE"""),"Steinhof")</f>
        <v>Steinhof</v>
      </c>
    </row>
    <row r="5281">
      <c r="A5281" t="str">
        <f>IFERROR(__xludf.DUMMYFUNCTION("""COMPUTED_VALUE"""),"T-165")</f>
        <v>T-165</v>
      </c>
      <c r="B5281" s="226" t="str">
        <f>IFERROR(__xludf.DUMMYFUNCTION("""COMPUTED_VALUE"""),"5907615824777")</f>
        <v>5907615824777</v>
      </c>
      <c r="C5281" t="str">
        <f>IFERROR(__xludf.DUMMYFUNCTION("""COMPUTED_VALUE"""),"Steinhof")</f>
        <v>Steinhof</v>
      </c>
    </row>
    <row r="5282">
      <c r="A5282" t="str">
        <f>IFERROR(__xludf.DUMMYFUNCTION("""COMPUTED_VALUE"""),"T-160")</f>
        <v>T-160</v>
      </c>
      <c r="B5282" s="226" t="str">
        <f>IFERROR(__xludf.DUMMYFUNCTION("""COMPUTED_VALUE"""),"5907615824784")</f>
        <v>5907615824784</v>
      </c>
      <c r="C5282" t="str">
        <f>IFERROR(__xludf.DUMMYFUNCTION("""COMPUTED_VALUE"""),"Steinhof")</f>
        <v>Steinhof</v>
      </c>
    </row>
    <row r="5283">
      <c r="A5283" t="str">
        <f>IFERROR(__xludf.DUMMYFUNCTION("""COMPUTED_VALUE"""),"T-160")</f>
        <v>T-160</v>
      </c>
      <c r="B5283" s="226" t="str">
        <f>IFERROR(__xludf.DUMMYFUNCTION("""COMPUTED_VALUE"""),"5907615824784")</f>
        <v>5907615824784</v>
      </c>
      <c r="C5283" t="str">
        <f>IFERROR(__xludf.DUMMYFUNCTION("""COMPUTED_VALUE"""),"Steinhof")</f>
        <v>Steinhof</v>
      </c>
    </row>
    <row r="5284">
      <c r="A5284" t="str">
        <f>IFERROR(__xludf.DUMMYFUNCTION("""COMPUTED_VALUE"""),"T-166")</f>
        <v>T-166</v>
      </c>
      <c r="B5284" s="226" t="str">
        <f>IFERROR(__xludf.DUMMYFUNCTION("""COMPUTED_VALUE"""),"5907615824791")</f>
        <v>5907615824791</v>
      </c>
      <c r="C5284" t="str">
        <f>IFERROR(__xludf.DUMMYFUNCTION("""COMPUTED_VALUE"""),"Steinhof")</f>
        <v>Steinhof</v>
      </c>
    </row>
    <row r="5285">
      <c r="A5285" t="str">
        <f>IFERROR(__xludf.DUMMYFUNCTION("""COMPUTED_VALUE"""),"T-166")</f>
        <v>T-166</v>
      </c>
      <c r="B5285" s="226" t="str">
        <f>IFERROR(__xludf.DUMMYFUNCTION("""COMPUTED_VALUE"""),"5907615824791")</f>
        <v>5907615824791</v>
      </c>
      <c r="C5285" t="str">
        <f>IFERROR(__xludf.DUMMYFUNCTION("""COMPUTED_VALUE"""),"Steinhof")</f>
        <v>Steinhof</v>
      </c>
    </row>
    <row r="5286">
      <c r="A5286" t="str">
        <f>IFERROR(__xludf.DUMMYFUNCTION("""COMPUTED_VALUE"""),"T-167")</f>
        <v>T-167</v>
      </c>
      <c r="B5286" s="226" t="str">
        <f>IFERROR(__xludf.DUMMYFUNCTION("""COMPUTED_VALUE"""),"5907615824807")</f>
        <v>5907615824807</v>
      </c>
      <c r="C5286" t="str">
        <f>IFERROR(__xludf.DUMMYFUNCTION("""COMPUTED_VALUE"""),"Steinhof")</f>
        <v>Steinhof</v>
      </c>
    </row>
    <row r="5287">
      <c r="A5287" t="str">
        <f>IFERROR(__xludf.DUMMYFUNCTION("""COMPUTED_VALUE"""),"T-167")</f>
        <v>T-167</v>
      </c>
      <c r="B5287" s="226" t="str">
        <f>IFERROR(__xludf.DUMMYFUNCTION("""COMPUTED_VALUE"""),"5907615824807")</f>
        <v>5907615824807</v>
      </c>
      <c r="C5287" t="str">
        <f>IFERROR(__xludf.DUMMYFUNCTION("""COMPUTED_VALUE"""),"Steinhof")</f>
        <v>Steinhof</v>
      </c>
    </row>
    <row r="5288">
      <c r="A5288" t="str">
        <f>IFERROR(__xludf.DUMMYFUNCTION("""COMPUTED_VALUE"""),"T-168")</f>
        <v>T-168</v>
      </c>
      <c r="B5288" s="226" t="str">
        <f>IFERROR(__xludf.DUMMYFUNCTION("""COMPUTED_VALUE"""),"5907615824814")</f>
        <v>5907615824814</v>
      </c>
      <c r="C5288" t="str">
        <f>IFERROR(__xludf.DUMMYFUNCTION("""COMPUTED_VALUE"""),"Steinhof")</f>
        <v>Steinhof</v>
      </c>
    </row>
    <row r="5289">
      <c r="A5289" t="str">
        <f>IFERROR(__xludf.DUMMYFUNCTION("""COMPUTED_VALUE"""),"T-168")</f>
        <v>T-168</v>
      </c>
      <c r="B5289" s="226" t="str">
        <f>IFERROR(__xludf.DUMMYFUNCTION("""COMPUTED_VALUE"""),"5907615824814")</f>
        <v>5907615824814</v>
      </c>
      <c r="C5289" t="str">
        <f>IFERROR(__xludf.DUMMYFUNCTION("""COMPUTED_VALUE"""),"Steinhof")</f>
        <v>Steinhof</v>
      </c>
    </row>
    <row r="5290">
      <c r="A5290" t="str">
        <f>IFERROR(__xludf.DUMMYFUNCTION("""COMPUTED_VALUE"""),"T-169")</f>
        <v>T-169</v>
      </c>
      <c r="B5290" s="226" t="str">
        <f>IFERROR(__xludf.DUMMYFUNCTION("""COMPUTED_VALUE"""),"5907615824821")</f>
        <v>5907615824821</v>
      </c>
      <c r="C5290" t="str">
        <f>IFERROR(__xludf.DUMMYFUNCTION("""COMPUTED_VALUE"""),"Steinhof")</f>
        <v>Steinhof</v>
      </c>
    </row>
    <row r="5291">
      <c r="A5291" t="str">
        <f>IFERROR(__xludf.DUMMYFUNCTION("""COMPUTED_VALUE"""),"T-169")</f>
        <v>T-169</v>
      </c>
      <c r="B5291" s="226" t="str">
        <f>IFERROR(__xludf.DUMMYFUNCTION("""COMPUTED_VALUE"""),"5907615824821")</f>
        <v>5907615824821</v>
      </c>
      <c r="C5291" t="str">
        <f>IFERROR(__xludf.DUMMYFUNCTION("""COMPUTED_VALUE"""),"Steinhof")</f>
        <v>Steinhof</v>
      </c>
    </row>
    <row r="5292">
      <c r="A5292" t="str">
        <f>IFERROR(__xludf.DUMMYFUNCTION("""COMPUTED_VALUE"""),"T-170")</f>
        <v>T-170</v>
      </c>
      <c r="B5292" s="226" t="str">
        <f>IFERROR(__xludf.DUMMYFUNCTION("""COMPUTED_VALUE"""),"5907615824838")</f>
        <v>5907615824838</v>
      </c>
      <c r="C5292" t="str">
        <f>IFERROR(__xludf.DUMMYFUNCTION("""COMPUTED_VALUE"""),"Steinhof")</f>
        <v>Steinhof</v>
      </c>
    </row>
    <row r="5293">
      <c r="A5293" t="str">
        <f>IFERROR(__xludf.DUMMYFUNCTION("""COMPUTED_VALUE"""),"T-170")</f>
        <v>T-170</v>
      </c>
      <c r="B5293" s="226" t="str">
        <f>IFERROR(__xludf.DUMMYFUNCTION("""COMPUTED_VALUE"""),"5907615824838")</f>
        <v>5907615824838</v>
      </c>
      <c r="C5293" t="str">
        <f>IFERROR(__xludf.DUMMYFUNCTION("""COMPUTED_VALUE"""),"Steinhof")</f>
        <v>Steinhof</v>
      </c>
    </row>
    <row r="5294">
      <c r="A5294" t="str">
        <f>IFERROR(__xludf.DUMMYFUNCTION("""COMPUTED_VALUE"""),"T-170")</f>
        <v>T-170</v>
      </c>
      <c r="B5294" s="226" t="str">
        <f>IFERROR(__xludf.DUMMYFUNCTION("""COMPUTED_VALUE"""),"5907615824838")</f>
        <v>5907615824838</v>
      </c>
      <c r="C5294" t="str">
        <f>IFERROR(__xludf.DUMMYFUNCTION("""COMPUTED_VALUE"""),"Steinhof")</f>
        <v>Steinhof</v>
      </c>
    </row>
    <row r="5295">
      <c r="A5295" t="str">
        <f>IFERROR(__xludf.DUMMYFUNCTION("""COMPUTED_VALUE"""),"T-170")</f>
        <v>T-170</v>
      </c>
      <c r="B5295" s="226" t="str">
        <f>IFERROR(__xludf.DUMMYFUNCTION("""COMPUTED_VALUE"""),"5907615824838")</f>
        <v>5907615824838</v>
      </c>
      <c r="C5295" t="str">
        <f>IFERROR(__xludf.DUMMYFUNCTION("""COMPUTED_VALUE"""),"Steinhof")</f>
        <v>Steinhof</v>
      </c>
    </row>
    <row r="5296">
      <c r="A5296" t="str">
        <f>IFERROR(__xludf.DUMMYFUNCTION("""COMPUTED_VALUE"""),"T-163")</f>
        <v>T-163</v>
      </c>
      <c r="B5296" s="226" t="str">
        <f>IFERROR(__xludf.DUMMYFUNCTION("""COMPUTED_VALUE"""),"5907615824852")</f>
        <v>5907615824852</v>
      </c>
      <c r="C5296" t="str">
        <f>IFERROR(__xludf.DUMMYFUNCTION("""COMPUTED_VALUE"""),"Steinhof")</f>
        <v>Steinhof</v>
      </c>
    </row>
    <row r="5297">
      <c r="A5297" t="str">
        <f>IFERROR(__xludf.DUMMYFUNCTION("""COMPUTED_VALUE"""),"T-163")</f>
        <v>T-163</v>
      </c>
      <c r="B5297" s="226" t="str">
        <f>IFERROR(__xludf.DUMMYFUNCTION("""COMPUTED_VALUE"""),"5907615824852")</f>
        <v>5907615824852</v>
      </c>
      <c r="C5297" t="str">
        <f>IFERROR(__xludf.DUMMYFUNCTION("""COMPUTED_VALUE"""),"Steinhof")</f>
        <v>Steinhof</v>
      </c>
    </row>
    <row r="5298">
      <c r="A5298" t="str">
        <f>IFERROR(__xludf.DUMMYFUNCTION("""COMPUTED_VALUE"""),"T-148")</f>
        <v>T-148</v>
      </c>
      <c r="B5298" s="226" t="str">
        <f>IFERROR(__xludf.DUMMYFUNCTION("""COMPUTED_VALUE"""),"5907615824869")</f>
        <v>5907615824869</v>
      </c>
      <c r="C5298" t="str">
        <f>IFERROR(__xludf.DUMMYFUNCTION("""COMPUTED_VALUE"""),"Steinhof")</f>
        <v>Steinhof</v>
      </c>
    </row>
    <row r="5299">
      <c r="A5299" t="str">
        <f>IFERROR(__xludf.DUMMYFUNCTION("""COMPUTED_VALUE"""),"T-148")</f>
        <v>T-148</v>
      </c>
      <c r="B5299" s="226" t="str">
        <f>IFERROR(__xludf.DUMMYFUNCTION("""COMPUTED_VALUE"""),"5907615824869")</f>
        <v>5907615824869</v>
      </c>
      <c r="C5299" t="str">
        <f>IFERROR(__xludf.DUMMYFUNCTION("""COMPUTED_VALUE"""),"Steinhof")</f>
        <v>Steinhof</v>
      </c>
    </row>
    <row r="5300">
      <c r="A5300" t="str">
        <f>IFERROR(__xludf.DUMMYFUNCTION("""COMPUTED_VALUE"""),"T-172")</f>
        <v>T-172</v>
      </c>
      <c r="B5300" s="226" t="str">
        <f>IFERROR(__xludf.DUMMYFUNCTION("""COMPUTED_VALUE"""),"5907615824876")</f>
        <v>5907615824876</v>
      </c>
      <c r="C5300" t="str">
        <f>IFERROR(__xludf.DUMMYFUNCTION("""COMPUTED_VALUE"""),"Steinhof")</f>
        <v>Steinhof</v>
      </c>
    </row>
    <row r="5301">
      <c r="A5301" t="str">
        <f>IFERROR(__xludf.DUMMYFUNCTION("""COMPUTED_VALUE"""),"T-172")</f>
        <v>T-172</v>
      </c>
      <c r="B5301" s="226" t="str">
        <f>IFERROR(__xludf.DUMMYFUNCTION("""COMPUTED_VALUE"""),"5907615824876")</f>
        <v>5907615824876</v>
      </c>
      <c r="C5301" t="str">
        <f>IFERROR(__xludf.DUMMYFUNCTION("""COMPUTED_VALUE"""),"Steinhof")</f>
        <v>Steinhof</v>
      </c>
    </row>
    <row r="5302">
      <c r="A5302" t="str">
        <f>IFERROR(__xludf.DUMMYFUNCTION("""COMPUTED_VALUE"""),"T-172")</f>
        <v>T-172</v>
      </c>
      <c r="B5302" s="226" t="str">
        <f>IFERROR(__xludf.DUMMYFUNCTION("""COMPUTED_VALUE"""),"5907615824876")</f>
        <v>5907615824876</v>
      </c>
      <c r="C5302" t="str">
        <f>IFERROR(__xludf.DUMMYFUNCTION("""COMPUTED_VALUE"""),"Steinhof")</f>
        <v>Steinhof</v>
      </c>
    </row>
    <row r="5303">
      <c r="A5303" t="str">
        <f>IFERROR(__xludf.DUMMYFUNCTION("""COMPUTED_VALUE"""),"T-172")</f>
        <v>T-172</v>
      </c>
      <c r="B5303" s="226" t="str">
        <f>IFERROR(__xludf.DUMMYFUNCTION("""COMPUTED_VALUE"""),"5907615824876")</f>
        <v>5907615824876</v>
      </c>
      <c r="C5303" t="str">
        <f>IFERROR(__xludf.DUMMYFUNCTION("""COMPUTED_VALUE"""),"Steinhof")</f>
        <v>Steinhof</v>
      </c>
    </row>
    <row r="5304">
      <c r="A5304" t="str">
        <f>IFERROR(__xludf.DUMMYFUNCTION("""COMPUTED_VALUE"""),"T-143")</f>
        <v>T-143</v>
      </c>
      <c r="B5304" s="226" t="str">
        <f>IFERROR(__xludf.DUMMYFUNCTION("""COMPUTED_VALUE"""),"5907615824883")</f>
        <v>5907615824883</v>
      </c>
      <c r="C5304" t="str">
        <f>IFERROR(__xludf.DUMMYFUNCTION("""COMPUTED_VALUE"""),"Steinhof")</f>
        <v>Steinhof</v>
      </c>
    </row>
    <row r="5305">
      <c r="A5305" t="str">
        <f>IFERROR(__xludf.DUMMYFUNCTION("""COMPUTED_VALUE"""),"T-143")</f>
        <v>T-143</v>
      </c>
      <c r="B5305" s="226" t="str">
        <f>IFERROR(__xludf.DUMMYFUNCTION("""COMPUTED_VALUE"""),"5907615824883")</f>
        <v>5907615824883</v>
      </c>
      <c r="C5305" t="str">
        <f>IFERROR(__xludf.DUMMYFUNCTION("""COMPUTED_VALUE"""),"Steinhof")</f>
        <v>Steinhof</v>
      </c>
    </row>
    <row r="5306">
      <c r="A5306" t="str">
        <f>IFERROR(__xludf.DUMMYFUNCTION("""COMPUTED_VALUE"""),"T-144")</f>
        <v>T-144</v>
      </c>
      <c r="B5306" s="226" t="str">
        <f>IFERROR(__xludf.DUMMYFUNCTION("""COMPUTED_VALUE"""),"5907615824890")</f>
        <v>5907615824890</v>
      </c>
      <c r="C5306" t="str">
        <f>IFERROR(__xludf.DUMMYFUNCTION("""COMPUTED_VALUE"""),"Steinhof")</f>
        <v>Steinhof</v>
      </c>
    </row>
    <row r="5307">
      <c r="A5307" t="str">
        <f>IFERROR(__xludf.DUMMYFUNCTION("""COMPUTED_VALUE"""),"T-144")</f>
        <v>T-144</v>
      </c>
      <c r="B5307" s="226" t="str">
        <f>IFERROR(__xludf.DUMMYFUNCTION("""COMPUTED_VALUE"""),"5907615824890")</f>
        <v>5907615824890</v>
      </c>
      <c r="C5307" t="str">
        <f>IFERROR(__xludf.DUMMYFUNCTION("""COMPUTED_VALUE"""),"Steinhof")</f>
        <v>Steinhof</v>
      </c>
    </row>
    <row r="5308">
      <c r="A5308" t="str">
        <f>IFERROR(__xludf.DUMMYFUNCTION("""COMPUTED_VALUE"""),"T-149")</f>
        <v>T-149</v>
      </c>
      <c r="B5308" s="226" t="str">
        <f>IFERROR(__xludf.DUMMYFUNCTION("""COMPUTED_VALUE"""),"5907615824906")</f>
        <v>5907615824906</v>
      </c>
      <c r="C5308" t="str">
        <f>IFERROR(__xludf.DUMMYFUNCTION("""COMPUTED_VALUE"""),"Steinhof")</f>
        <v>Steinhof</v>
      </c>
    </row>
    <row r="5309">
      <c r="A5309" t="str">
        <f>IFERROR(__xludf.DUMMYFUNCTION("""COMPUTED_VALUE"""),"T-149")</f>
        <v>T-149</v>
      </c>
      <c r="B5309" s="226" t="str">
        <f>IFERROR(__xludf.DUMMYFUNCTION("""COMPUTED_VALUE"""),"5907615824906")</f>
        <v>5907615824906</v>
      </c>
      <c r="C5309" t="str">
        <f>IFERROR(__xludf.DUMMYFUNCTION("""COMPUTED_VALUE"""),"Steinhof")</f>
        <v>Steinhof</v>
      </c>
    </row>
    <row r="5310">
      <c r="A5310" t="str">
        <f>IFERROR(__xludf.DUMMYFUNCTION("""COMPUTED_VALUE"""),"T-150")</f>
        <v>T-150</v>
      </c>
      <c r="B5310" s="226" t="str">
        <f>IFERROR(__xludf.DUMMYFUNCTION("""COMPUTED_VALUE"""),"5907615824913")</f>
        <v>5907615824913</v>
      </c>
      <c r="C5310" t="str">
        <f>IFERROR(__xludf.DUMMYFUNCTION("""COMPUTED_VALUE"""),"Steinhof")</f>
        <v>Steinhof</v>
      </c>
    </row>
    <row r="5311">
      <c r="A5311" t="str">
        <f>IFERROR(__xludf.DUMMYFUNCTION("""COMPUTED_VALUE"""),"T-150")</f>
        <v>T-150</v>
      </c>
      <c r="B5311" s="226" t="str">
        <f>IFERROR(__xludf.DUMMYFUNCTION("""COMPUTED_VALUE"""),"5907615824913")</f>
        <v>5907615824913</v>
      </c>
      <c r="C5311" t="str">
        <f>IFERROR(__xludf.DUMMYFUNCTION("""COMPUTED_VALUE"""),"Steinhof")</f>
        <v>Steinhof</v>
      </c>
    </row>
    <row r="5312">
      <c r="A5312" t="str">
        <f>IFERROR(__xludf.DUMMYFUNCTION("""COMPUTED_VALUE"""),"T-151")</f>
        <v>T-151</v>
      </c>
      <c r="B5312" s="226" t="str">
        <f>IFERROR(__xludf.DUMMYFUNCTION("""COMPUTED_VALUE"""),"5907615824920")</f>
        <v>5907615824920</v>
      </c>
      <c r="C5312" t="str">
        <f>IFERROR(__xludf.DUMMYFUNCTION("""COMPUTED_VALUE"""),"Steinhof")</f>
        <v>Steinhof</v>
      </c>
    </row>
    <row r="5313">
      <c r="A5313" t="str">
        <f>IFERROR(__xludf.DUMMYFUNCTION("""COMPUTED_VALUE"""),"T-152")</f>
        <v>T-152</v>
      </c>
      <c r="B5313" s="226" t="str">
        <f>IFERROR(__xludf.DUMMYFUNCTION("""COMPUTED_VALUE"""),"5907615824937")</f>
        <v>5907615824937</v>
      </c>
      <c r="C5313" t="str">
        <f>IFERROR(__xludf.DUMMYFUNCTION("""COMPUTED_VALUE"""),"Steinhof")</f>
        <v>Steinhof</v>
      </c>
    </row>
    <row r="5314">
      <c r="A5314" t="str">
        <f>IFERROR(__xludf.DUMMYFUNCTION("""COMPUTED_VALUE"""),"T-178")</f>
        <v>T-178</v>
      </c>
      <c r="B5314" s="226" t="str">
        <f>IFERROR(__xludf.DUMMYFUNCTION("""COMPUTED_VALUE"""),"5907615825088")</f>
        <v>5907615825088</v>
      </c>
      <c r="C5314" t="str">
        <f>IFERROR(__xludf.DUMMYFUNCTION("""COMPUTED_VALUE"""),"Steinhof")</f>
        <v>Steinhof</v>
      </c>
    </row>
    <row r="5315">
      <c r="A5315" t="str">
        <f>IFERROR(__xludf.DUMMYFUNCTION("""COMPUTED_VALUE"""),"T-179")</f>
        <v>T-179</v>
      </c>
      <c r="B5315" s="226" t="str">
        <f>IFERROR(__xludf.DUMMYFUNCTION("""COMPUTED_VALUE"""),"5907615825095")</f>
        <v>5907615825095</v>
      </c>
      <c r="C5315" t="str">
        <f>IFERROR(__xludf.DUMMYFUNCTION("""COMPUTED_VALUE"""),"Steinhof")</f>
        <v>Steinhof</v>
      </c>
    </row>
    <row r="5316">
      <c r="A5316" t="str">
        <f>IFERROR(__xludf.DUMMYFUNCTION("""COMPUTED_VALUE"""),"T-183")</f>
        <v>T-183</v>
      </c>
      <c r="B5316" s="226" t="str">
        <f>IFERROR(__xludf.DUMMYFUNCTION("""COMPUTED_VALUE"""),"5907615825132")</f>
        <v>5907615825132</v>
      </c>
      <c r="C5316" t="str">
        <f>IFERROR(__xludf.DUMMYFUNCTION("""COMPUTED_VALUE"""),"Steinhof")</f>
        <v>Steinhof</v>
      </c>
    </row>
    <row r="5317">
      <c r="A5317" t="str">
        <f>IFERROR(__xludf.DUMMYFUNCTION("""COMPUTED_VALUE"""),"T-183")</f>
        <v>T-183</v>
      </c>
      <c r="B5317" s="226" t="str">
        <f>IFERROR(__xludf.DUMMYFUNCTION("""COMPUTED_VALUE"""),"5907615825132")</f>
        <v>5907615825132</v>
      </c>
      <c r="C5317" t="str">
        <f>IFERROR(__xludf.DUMMYFUNCTION("""COMPUTED_VALUE"""),"Steinhof")</f>
        <v>Steinhof</v>
      </c>
    </row>
    <row r="5318">
      <c r="A5318" t="str">
        <f>IFERROR(__xludf.DUMMYFUNCTION("""COMPUTED_VALUE"""),"T-183")</f>
        <v>T-183</v>
      </c>
      <c r="B5318" s="226" t="str">
        <f>IFERROR(__xludf.DUMMYFUNCTION("""COMPUTED_VALUE"""),"5907615825132")</f>
        <v>5907615825132</v>
      </c>
      <c r="C5318" t="str">
        <f>IFERROR(__xludf.DUMMYFUNCTION("""COMPUTED_VALUE"""),"Steinhof")</f>
        <v>Steinhof</v>
      </c>
    </row>
    <row r="5319">
      <c r="A5319" t="str">
        <f>IFERROR(__xludf.DUMMYFUNCTION("""COMPUTED_VALUE"""),"T-183")</f>
        <v>T-183</v>
      </c>
      <c r="B5319" s="226" t="str">
        <f>IFERROR(__xludf.DUMMYFUNCTION("""COMPUTED_VALUE"""),"5907615825132")</f>
        <v>5907615825132</v>
      </c>
      <c r="C5319" t="str">
        <f>IFERROR(__xludf.DUMMYFUNCTION("""COMPUTED_VALUE"""),"Steinhof")</f>
        <v>Steinhof</v>
      </c>
    </row>
    <row r="5320">
      <c r="A5320" t="str">
        <f>IFERROR(__xludf.DUMMYFUNCTION("""COMPUTED_VALUE"""),"T-183")</f>
        <v>T-183</v>
      </c>
      <c r="B5320" s="226" t="str">
        <f>IFERROR(__xludf.DUMMYFUNCTION("""COMPUTED_VALUE"""),"5907615825132")</f>
        <v>5907615825132</v>
      </c>
      <c r="C5320" t="str">
        <f>IFERROR(__xludf.DUMMYFUNCTION("""COMPUTED_VALUE"""),"Steinhof")</f>
        <v>Steinhof</v>
      </c>
    </row>
    <row r="5321">
      <c r="A5321" t="str">
        <f>IFERROR(__xludf.DUMMYFUNCTION("""COMPUTED_VALUE"""),"T-184")</f>
        <v>T-184</v>
      </c>
      <c r="B5321" s="226" t="str">
        <f>IFERROR(__xludf.DUMMYFUNCTION("""COMPUTED_VALUE"""),"5907615825149")</f>
        <v>5907615825149</v>
      </c>
      <c r="C5321" t="str">
        <f>IFERROR(__xludf.DUMMYFUNCTION("""COMPUTED_VALUE"""),"Steinhof")</f>
        <v>Steinhof</v>
      </c>
    </row>
    <row r="5322">
      <c r="A5322" t="str">
        <f>IFERROR(__xludf.DUMMYFUNCTION("""COMPUTED_VALUE"""),"T-184")</f>
        <v>T-184</v>
      </c>
      <c r="B5322" s="226" t="str">
        <f>IFERROR(__xludf.DUMMYFUNCTION("""COMPUTED_VALUE"""),"5907615825149")</f>
        <v>5907615825149</v>
      </c>
      <c r="C5322" t="str">
        <f>IFERROR(__xludf.DUMMYFUNCTION("""COMPUTED_VALUE"""),"Steinhof")</f>
        <v>Steinhof</v>
      </c>
    </row>
    <row r="5323">
      <c r="A5323" t="str">
        <f>IFERROR(__xludf.DUMMYFUNCTION("""COMPUTED_VALUE"""),"T-184")</f>
        <v>T-184</v>
      </c>
      <c r="B5323" s="226" t="str">
        <f>IFERROR(__xludf.DUMMYFUNCTION("""COMPUTED_VALUE"""),"5907615825149")</f>
        <v>5907615825149</v>
      </c>
      <c r="C5323" t="str">
        <f>IFERROR(__xludf.DUMMYFUNCTION("""COMPUTED_VALUE"""),"Steinhof")</f>
        <v>Steinhof</v>
      </c>
    </row>
    <row r="5324">
      <c r="A5324" t="str">
        <f>IFERROR(__xludf.DUMMYFUNCTION("""COMPUTED_VALUE"""),"T-184")</f>
        <v>T-184</v>
      </c>
      <c r="B5324" s="226" t="str">
        <f>IFERROR(__xludf.DUMMYFUNCTION("""COMPUTED_VALUE"""),"5907615825149")</f>
        <v>5907615825149</v>
      </c>
      <c r="C5324" t="str">
        <f>IFERROR(__xludf.DUMMYFUNCTION("""COMPUTED_VALUE"""),"Steinhof")</f>
        <v>Steinhof</v>
      </c>
    </row>
    <row r="5325">
      <c r="A5325" t="str">
        <f>IFERROR(__xludf.DUMMYFUNCTION("""COMPUTED_VALUE"""),"T-184")</f>
        <v>T-184</v>
      </c>
      <c r="B5325" s="226" t="str">
        <f>IFERROR(__xludf.DUMMYFUNCTION("""COMPUTED_VALUE"""),"5907615825149")</f>
        <v>5907615825149</v>
      </c>
      <c r="C5325" t="str">
        <f>IFERROR(__xludf.DUMMYFUNCTION("""COMPUTED_VALUE"""),"Steinhof")</f>
        <v>Steinhof</v>
      </c>
    </row>
    <row r="5326">
      <c r="A5326" t="str">
        <f>IFERROR(__xludf.DUMMYFUNCTION("""COMPUTED_VALUE"""),"T-185")</f>
        <v>T-185</v>
      </c>
      <c r="B5326" s="226" t="str">
        <f>IFERROR(__xludf.DUMMYFUNCTION("""COMPUTED_VALUE"""),"5907615825156")</f>
        <v>5907615825156</v>
      </c>
      <c r="C5326" t="str">
        <f>IFERROR(__xludf.DUMMYFUNCTION("""COMPUTED_VALUE"""),"Steinhof")</f>
        <v>Steinhof</v>
      </c>
    </row>
    <row r="5327">
      <c r="A5327" t="str">
        <f>IFERROR(__xludf.DUMMYFUNCTION("""COMPUTED_VALUE"""),"T-185")</f>
        <v>T-185</v>
      </c>
      <c r="B5327" s="226" t="str">
        <f>IFERROR(__xludf.DUMMYFUNCTION("""COMPUTED_VALUE"""),"5907615825156")</f>
        <v>5907615825156</v>
      </c>
      <c r="C5327" t="str">
        <f>IFERROR(__xludf.DUMMYFUNCTION("""COMPUTED_VALUE"""),"Steinhof")</f>
        <v>Steinhof</v>
      </c>
    </row>
    <row r="5328">
      <c r="A5328" t="str">
        <f>IFERROR(__xludf.DUMMYFUNCTION("""COMPUTED_VALUE"""),"T-186")</f>
        <v>T-186</v>
      </c>
      <c r="B5328" s="226" t="str">
        <f>IFERROR(__xludf.DUMMYFUNCTION("""COMPUTED_VALUE"""),"5907615825163")</f>
        <v>5907615825163</v>
      </c>
      <c r="C5328" t="str">
        <f>IFERROR(__xludf.DUMMYFUNCTION("""COMPUTED_VALUE"""),"Steinhof")</f>
        <v>Steinhof</v>
      </c>
    </row>
    <row r="5329">
      <c r="A5329" t="str">
        <f>IFERROR(__xludf.DUMMYFUNCTION("""COMPUTED_VALUE"""),"T-186")</f>
        <v>T-186</v>
      </c>
      <c r="B5329" s="226" t="str">
        <f>IFERROR(__xludf.DUMMYFUNCTION("""COMPUTED_VALUE"""),"5907615825163")</f>
        <v>5907615825163</v>
      </c>
      <c r="C5329" t="str">
        <f>IFERROR(__xludf.DUMMYFUNCTION("""COMPUTED_VALUE"""),"Steinhof")</f>
        <v>Steinhof</v>
      </c>
    </row>
    <row r="5330">
      <c r="A5330" t="str">
        <f>IFERROR(__xludf.DUMMYFUNCTION("""COMPUTED_VALUE"""),"T-187")</f>
        <v>T-187</v>
      </c>
      <c r="B5330" s="226" t="str">
        <f>IFERROR(__xludf.DUMMYFUNCTION("""COMPUTED_VALUE"""),"5907615825170")</f>
        <v>5907615825170</v>
      </c>
      <c r="C5330" t="str">
        <f>IFERROR(__xludf.DUMMYFUNCTION("""COMPUTED_VALUE"""),"Steinhof")</f>
        <v>Steinhof</v>
      </c>
    </row>
    <row r="5331">
      <c r="A5331" t="str">
        <f>IFERROR(__xludf.DUMMYFUNCTION("""COMPUTED_VALUE"""),"T-187")</f>
        <v>T-187</v>
      </c>
      <c r="B5331" s="226" t="str">
        <f>IFERROR(__xludf.DUMMYFUNCTION("""COMPUTED_VALUE"""),"5907615825170")</f>
        <v>5907615825170</v>
      </c>
      <c r="C5331" t="str">
        <f>IFERROR(__xludf.DUMMYFUNCTION("""COMPUTED_VALUE"""),"Steinhof")</f>
        <v>Steinhof</v>
      </c>
    </row>
    <row r="5332">
      <c r="A5332" t="str">
        <f>IFERROR(__xludf.DUMMYFUNCTION("""COMPUTED_VALUE"""),"T-188")</f>
        <v>T-188</v>
      </c>
      <c r="B5332" s="226" t="str">
        <f>IFERROR(__xludf.DUMMYFUNCTION("""COMPUTED_VALUE"""),"5907615825187")</f>
        <v>5907615825187</v>
      </c>
      <c r="C5332" t="str">
        <f>IFERROR(__xludf.DUMMYFUNCTION("""COMPUTED_VALUE"""),"Steinhof")</f>
        <v>Steinhof</v>
      </c>
    </row>
    <row r="5333">
      <c r="A5333" t="str">
        <f>IFERROR(__xludf.DUMMYFUNCTION("""COMPUTED_VALUE"""),"T-188")</f>
        <v>T-188</v>
      </c>
      <c r="B5333" s="226" t="str">
        <f>IFERROR(__xludf.DUMMYFUNCTION("""COMPUTED_VALUE"""),"5907615825187")</f>
        <v>5907615825187</v>
      </c>
      <c r="C5333" t="str">
        <f>IFERROR(__xludf.DUMMYFUNCTION("""COMPUTED_VALUE"""),"Steinhof")</f>
        <v>Steinhof</v>
      </c>
    </row>
    <row r="5334">
      <c r="A5334" t="str">
        <f>IFERROR(__xludf.DUMMYFUNCTION("""COMPUTED_VALUE"""),"T-189")</f>
        <v>T-189</v>
      </c>
      <c r="B5334" s="226" t="str">
        <f>IFERROR(__xludf.DUMMYFUNCTION("""COMPUTED_VALUE"""),"5907615825194")</f>
        <v>5907615825194</v>
      </c>
      <c r="C5334" t="str">
        <f>IFERROR(__xludf.DUMMYFUNCTION("""COMPUTED_VALUE"""),"Steinhof")</f>
        <v>Steinhof</v>
      </c>
    </row>
    <row r="5335">
      <c r="A5335" t="str">
        <f>IFERROR(__xludf.DUMMYFUNCTION("""COMPUTED_VALUE"""),"T-189")</f>
        <v>T-189</v>
      </c>
      <c r="B5335" s="226" t="str">
        <f>IFERROR(__xludf.DUMMYFUNCTION("""COMPUTED_VALUE"""),"5907615825194")</f>
        <v>5907615825194</v>
      </c>
      <c r="C5335" t="str">
        <f>IFERROR(__xludf.DUMMYFUNCTION("""COMPUTED_VALUE"""),"Steinhof")</f>
        <v>Steinhof</v>
      </c>
    </row>
    <row r="5336">
      <c r="A5336" t="str">
        <f>IFERROR(__xludf.DUMMYFUNCTION("""COMPUTED_VALUE"""),"T-190")</f>
        <v>T-190</v>
      </c>
      <c r="B5336" s="226" t="str">
        <f>IFERROR(__xludf.DUMMYFUNCTION("""COMPUTED_VALUE"""),"5907615825200")</f>
        <v>5907615825200</v>
      </c>
      <c r="C5336" t="str">
        <f>IFERROR(__xludf.DUMMYFUNCTION("""COMPUTED_VALUE"""),"Steinhof")</f>
        <v>Steinhof</v>
      </c>
    </row>
    <row r="5337">
      <c r="A5337" t="str">
        <f>IFERROR(__xludf.DUMMYFUNCTION("""COMPUTED_VALUE"""),"T-190")</f>
        <v>T-190</v>
      </c>
      <c r="B5337" s="226" t="str">
        <f>IFERROR(__xludf.DUMMYFUNCTION("""COMPUTED_VALUE"""),"5907615825200")</f>
        <v>5907615825200</v>
      </c>
      <c r="C5337" t="str">
        <f>IFERROR(__xludf.DUMMYFUNCTION("""COMPUTED_VALUE"""),"Steinhof")</f>
        <v>Steinhof</v>
      </c>
    </row>
    <row r="5338">
      <c r="A5338" t="str">
        <f>IFERROR(__xludf.DUMMYFUNCTION("""COMPUTED_VALUE"""),"T-191")</f>
        <v>T-191</v>
      </c>
      <c r="B5338" s="226" t="str">
        <f>IFERROR(__xludf.DUMMYFUNCTION("""COMPUTED_VALUE"""),"5907615825217")</f>
        <v>5907615825217</v>
      </c>
      <c r="C5338" t="str">
        <f>IFERROR(__xludf.DUMMYFUNCTION("""COMPUTED_VALUE"""),"Steinhof")</f>
        <v>Steinhof</v>
      </c>
    </row>
    <row r="5339">
      <c r="A5339" t="str">
        <f>IFERROR(__xludf.DUMMYFUNCTION("""COMPUTED_VALUE"""),"T-191")</f>
        <v>T-191</v>
      </c>
      <c r="B5339" s="226" t="str">
        <f>IFERROR(__xludf.DUMMYFUNCTION("""COMPUTED_VALUE"""),"5907615825217")</f>
        <v>5907615825217</v>
      </c>
      <c r="C5339" t="str">
        <f>IFERROR(__xludf.DUMMYFUNCTION("""COMPUTED_VALUE"""),"Steinhof")</f>
        <v>Steinhof</v>
      </c>
    </row>
    <row r="5340">
      <c r="A5340" t="str">
        <f>IFERROR(__xludf.DUMMYFUNCTION("""COMPUTED_VALUE"""),"T-192")</f>
        <v>T-192</v>
      </c>
      <c r="B5340" s="226" t="str">
        <f>IFERROR(__xludf.DUMMYFUNCTION("""COMPUTED_VALUE"""),"5907615825224")</f>
        <v>5907615825224</v>
      </c>
      <c r="C5340" t="str">
        <f>IFERROR(__xludf.DUMMYFUNCTION("""COMPUTED_VALUE"""),"Steinhof")</f>
        <v>Steinhof</v>
      </c>
    </row>
    <row r="5341">
      <c r="A5341" t="str">
        <f>IFERROR(__xludf.DUMMYFUNCTION("""COMPUTED_VALUE"""),"T-192")</f>
        <v>T-192</v>
      </c>
      <c r="B5341" s="226" t="str">
        <f>IFERROR(__xludf.DUMMYFUNCTION("""COMPUTED_VALUE"""),"5907615825224")</f>
        <v>5907615825224</v>
      </c>
      <c r="C5341" t="str">
        <f>IFERROR(__xludf.DUMMYFUNCTION("""COMPUTED_VALUE"""),"Steinhof")</f>
        <v>Steinhof</v>
      </c>
    </row>
    <row r="5342">
      <c r="A5342" t="str">
        <f>IFERROR(__xludf.DUMMYFUNCTION("""COMPUTED_VALUE"""),"T-193")</f>
        <v>T-193</v>
      </c>
      <c r="B5342" s="226" t="str">
        <f>IFERROR(__xludf.DUMMYFUNCTION("""COMPUTED_VALUE"""),"5907615825231")</f>
        <v>5907615825231</v>
      </c>
      <c r="C5342" t="str">
        <f>IFERROR(__xludf.DUMMYFUNCTION("""COMPUTED_VALUE"""),"Steinhof")</f>
        <v>Steinhof</v>
      </c>
    </row>
    <row r="5343">
      <c r="A5343" t="str">
        <f>IFERROR(__xludf.DUMMYFUNCTION("""COMPUTED_VALUE"""),"T-193")</f>
        <v>T-193</v>
      </c>
      <c r="B5343" s="226" t="str">
        <f>IFERROR(__xludf.DUMMYFUNCTION("""COMPUTED_VALUE"""),"5907615825231")</f>
        <v>5907615825231</v>
      </c>
      <c r="C5343" t="str">
        <f>IFERROR(__xludf.DUMMYFUNCTION("""COMPUTED_VALUE"""),"Steinhof")</f>
        <v>Steinhof</v>
      </c>
    </row>
    <row r="5344">
      <c r="A5344" t="str">
        <f>IFERROR(__xludf.DUMMYFUNCTION("""COMPUTED_VALUE"""),"T-194")</f>
        <v>T-194</v>
      </c>
      <c r="B5344" s="226" t="str">
        <f>IFERROR(__xludf.DUMMYFUNCTION("""COMPUTED_VALUE"""),"5907615825248")</f>
        <v>5907615825248</v>
      </c>
      <c r="C5344" t="str">
        <f>IFERROR(__xludf.DUMMYFUNCTION("""COMPUTED_VALUE"""),"Steinhof")</f>
        <v>Steinhof</v>
      </c>
    </row>
    <row r="5345">
      <c r="A5345" t="str">
        <f>IFERROR(__xludf.DUMMYFUNCTION("""COMPUTED_VALUE"""),"T-194")</f>
        <v>T-194</v>
      </c>
      <c r="B5345" s="226" t="str">
        <f>IFERROR(__xludf.DUMMYFUNCTION("""COMPUTED_VALUE"""),"5907615825248")</f>
        <v>5907615825248</v>
      </c>
      <c r="C5345" t="str">
        <f>IFERROR(__xludf.DUMMYFUNCTION("""COMPUTED_VALUE"""),"Steinhof")</f>
        <v>Steinhof</v>
      </c>
    </row>
    <row r="5346">
      <c r="A5346" t="str">
        <f>IFERROR(__xludf.DUMMYFUNCTION("""COMPUTED_VALUE"""),"T-194")</f>
        <v>T-194</v>
      </c>
      <c r="B5346" s="226" t="str">
        <f>IFERROR(__xludf.DUMMYFUNCTION("""COMPUTED_VALUE"""),"5907615825248")</f>
        <v>5907615825248</v>
      </c>
      <c r="C5346" t="str">
        <f>IFERROR(__xludf.DUMMYFUNCTION("""COMPUTED_VALUE"""),"Steinhof")</f>
        <v>Steinhof</v>
      </c>
    </row>
    <row r="5347">
      <c r="A5347" t="str">
        <f>IFERROR(__xludf.DUMMYFUNCTION("""COMPUTED_VALUE"""),"T-195")</f>
        <v>T-195</v>
      </c>
      <c r="B5347" s="226" t="str">
        <f>IFERROR(__xludf.DUMMYFUNCTION("""COMPUTED_VALUE"""),"5907615825255")</f>
        <v>5907615825255</v>
      </c>
      <c r="C5347" t="str">
        <f>IFERROR(__xludf.DUMMYFUNCTION("""COMPUTED_VALUE"""),"Steinhof")</f>
        <v>Steinhof</v>
      </c>
    </row>
    <row r="5348">
      <c r="A5348" t="str">
        <f>IFERROR(__xludf.DUMMYFUNCTION("""COMPUTED_VALUE"""),"T-195")</f>
        <v>T-195</v>
      </c>
      <c r="B5348" s="226" t="str">
        <f>IFERROR(__xludf.DUMMYFUNCTION("""COMPUTED_VALUE"""),"5907615825255")</f>
        <v>5907615825255</v>
      </c>
      <c r="C5348" t="str">
        <f>IFERROR(__xludf.DUMMYFUNCTION("""COMPUTED_VALUE"""),"Steinhof")</f>
        <v>Steinhof</v>
      </c>
    </row>
    <row r="5349">
      <c r="A5349" t="str">
        <f>IFERROR(__xludf.DUMMYFUNCTION("""COMPUTED_VALUE"""),"T-195")</f>
        <v>T-195</v>
      </c>
      <c r="B5349" s="226" t="str">
        <f>IFERROR(__xludf.DUMMYFUNCTION("""COMPUTED_VALUE"""),"5907615825255")</f>
        <v>5907615825255</v>
      </c>
      <c r="C5349" t="str">
        <f>IFERROR(__xludf.DUMMYFUNCTION("""COMPUTED_VALUE"""),"Steinhof")</f>
        <v>Steinhof</v>
      </c>
    </row>
    <row r="5350">
      <c r="A5350" t="str">
        <f>IFERROR(__xludf.DUMMYFUNCTION("""COMPUTED_VALUE"""),"T-196")</f>
        <v>T-196</v>
      </c>
      <c r="B5350" s="226" t="str">
        <f>IFERROR(__xludf.DUMMYFUNCTION("""COMPUTED_VALUE"""),"5907615825262")</f>
        <v>5907615825262</v>
      </c>
      <c r="C5350" t="str">
        <f>IFERROR(__xludf.DUMMYFUNCTION("""COMPUTED_VALUE"""),"Steinhof")</f>
        <v>Steinhof</v>
      </c>
    </row>
    <row r="5351">
      <c r="A5351" t="str">
        <f>IFERROR(__xludf.DUMMYFUNCTION("""COMPUTED_VALUE"""),"T-204")</f>
        <v>T-204</v>
      </c>
      <c r="B5351" s="226" t="str">
        <f>IFERROR(__xludf.DUMMYFUNCTION("""COMPUTED_VALUE"""),"5907615825347")</f>
        <v>5907615825347</v>
      </c>
      <c r="C5351" t="str">
        <f>IFERROR(__xludf.DUMMYFUNCTION("""COMPUTED_VALUE"""),"Steinhof")</f>
        <v>Steinhof</v>
      </c>
    </row>
    <row r="5352">
      <c r="A5352" t="str">
        <f>IFERROR(__xludf.DUMMYFUNCTION("""COMPUTED_VALUE"""),"T-204")</f>
        <v>T-204</v>
      </c>
      <c r="B5352" s="226" t="str">
        <f>IFERROR(__xludf.DUMMYFUNCTION("""COMPUTED_VALUE"""),"5907615825347")</f>
        <v>5907615825347</v>
      </c>
      <c r="C5352" t="str">
        <f>IFERROR(__xludf.DUMMYFUNCTION("""COMPUTED_VALUE"""),"Steinhof")</f>
        <v>Steinhof</v>
      </c>
    </row>
    <row r="5353">
      <c r="A5353" t="str">
        <f>IFERROR(__xludf.DUMMYFUNCTION("""COMPUTED_VALUE"""),"T-205")</f>
        <v>T-205</v>
      </c>
      <c r="B5353" s="226" t="str">
        <f>IFERROR(__xludf.DUMMYFUNCTION("""COMPUTED_VALUE"""),"5907615825354")</f>
        <v>5907615825354</v>
      </c>
      <c r="C5353" t="str">
        <f>IFERROR(__xludf.DUMMYFUNCTION("""COMPUTED_VALUE"""),"Steinhof")</f>
        <v>Steinhof</v>
      </c>
    </row>
    <row r="5354">
      <c r="A5354" t="str">
        <f>IFERROR(__xludf.DUMMYFUNCTION("""COMPUTED_VALUE"""),"T-205")</f>
        <v>T-205</v>
      </c>
      <c r="B5354" s="226" t="str">
        <f>IFERROR(__xludf.DUMMYFUNCTION("""COMPUTED_VALUE"""),"5907615825354")</f>
        <v>5907615825354</v>
      </c>
      <c r="C5354" t="str">
        <f>IFERROR(__xludf.DUMMYFUNCTION("""COMPUTED_VALUE"""),"Steinhof")</f>
        <v>Steinhof</v>
      </c>
    </row>
    <row r="5355">
      <c r="A5355" t="str">
        <f>IFERROR(__xludf.DUMMYFUNCTION("""COMPUTED_VALUE"""),"T-206")</f>
        <v>T-206</v>
      </c>
      <c r="B5355" s="226" t="str">
        <f>IFERROR(__xludf.DUMMYFUNCTION("""COMPUTED_VALUE"""),"5907615825361")</f>
        <v>5907615825361</v>
      </c>
      <c r="C5355" t="str">
        <f>IFERROR(__xludf.DUMMYFUNCTION("""COMPUTED_VALUE"""),"Steinhof")</f>
        <v>Steinhof</v>
      </c>
    </row>
    <row r="5356">
      <c r="A5356" t="str">
        <f>IFERROR(__xludf.DUMMYFUNCTION("""COMPUTED_VALUE"""),"T-206")</f>
        <v>T-206</v>
      </c>
      <c r="B5356" s="226" t="str">
        <f>IFERROR(__xludf.DUMMYFUNCTION("""COMPUTED_VALUE"""),"5907615825361")</f>
        <v>5907615825361</v>
      </c>
      <c r="C5356" t="str">
        <f>IFERROR(__xludf.DUMMYFUNCTION("""COMPUTED_VALUE"""),"Steinhof")</f>
        <v>Steinhof</v>
      </c>
    </row>
    <row r="5357">
      <c r="A5357" t="str">
        <f>IFERROR(__xludf.DUMMYFUNCTION("""COMPUTED_VALUE"""),"T-207")</f>
        <v>T-207</v>
      </c>
      <c r="B5357" s="226" t="str">
        <f>IFERROR(__xludf.DUMMYFUNCTION("""COMPUTED_VALUE"""),"5907615825378")</f>
        <v>5907615825378</v>
      </c>
      <c r="C5357" t="str">
        <f>IFERROR(__xludf.DUMMYFUNCTION("""COMPUTED_VALUE"""),"Steinhof")</f>
        <v>Steinhof</v>
      </c>
    </row>
    <row r="5358">
      <c r="A5358" t="str">
        <f>IFERROR(__xludf.DUMMYFUNCTION("""COMPUTED_VALUE"""),"T-207")</f>
        <v>T-207</v>
      </c>
      <c r="B5358" s="226" t="str">
        <f>IFERROR(__xludf.DUMMYFUNCTION("""COMPUTED_VALUE"""),"5907615825378")</f>
        <v>5907615825378</v>
      </c>
      <c r="C5358" t="str">
        <f>IFERROR(__xludf.DUMMYFUNCTION("""COMPUTED_VALUE"""),"Steinhof")</f>
        <v>Steinhof</v>
      </c>
    </row>
    <row r="5359">
      <c r="A5359" t="str">
        <f>IFERROR(__xludf.DUMMYFUNCTION("""COMPUTED_VALUE"""),"T-210")</f>
        <v>T-210</v>
      </c>
      <c r="B5359" s="226" t="str">
        <f>IFERROR(__xludf.DUMMYFUNCTION("""COMPUTED_VALUE"""),"5907615825415")</f>
        <v>5907615825415</v>
      </c>
      <c r="C5359" t="str">
        <f>IFERROR(__xludf.DUMMYFUNCTION("""COMPUTED_VALUE"""),"Steinhof")</f>
        <v>Steinhof</v>
      </c>
    </row>
    <row r="5360">
      <c r="A5360" t="str">
        <f>IFERROR(__xludf.DUMMYFUNCTION("""COMPUTED_VALUE"""),"T-210")</f>
        <v>T-210</v>
      </c>
      <c r="B5360" s="226" t="str">
        <f>IFERROR(__xludf.DUMMYFUNCTION("""COMPUTED_VALUE"""),"5907615825415")</f>
        <v>5907615825415</v>
      </c>
      <c r="C5360" t="str">
        <f>IFERROR(__xludf.DUMMYFUNCTION("""COMPUTED_VALUE"""),"Steinhof")</f>
        <v>Steinhof</v>
      </c>
    </row>
    <row r="5361">
      <c r="A5361" t="str">
        <f>IFERROR(__xludf.DUMMYFUNCTION("""COMPUTED_VALUE"""),"T-211")</f>
        <v>T-211</v>
      </c>
      <c r="B5361" s="226" t="str">
        <f>IFERROR(__xludf.DUMMYFUNCTION("""COMPUTED_VALUE"""),"5907615825422")</f>
        <v>5907615825422</v>
      </c>
      <c r="C5361" t="str">
        <f>IFERROR(__xludf.DUMMYFUNCTION("""COMPUTED_VALUE"""),"Steinhof")</f>
        <v>Steinhof</v>
      </c>
    </row>
    <row r="5362">
      <c r="A5362" t="str">
        <f>IFERROR(__xludf.DUMMYFUNCTION("""COMPUTED_VALUE"""),"T-211")</f>
        <v>T-211</v>
      </c>
      <c r="B5362" s="226" t="str">
        <f>IFERROR(__xludf.DUMMYFUNCTION("""COMPUTED_VALUE"""),"5907615825422")</f>
        <v>5907615825422</v>
      </c>
      <c r="C5362" t="str">
        <f>IFERROR(__xludf.DUMMYFUNCTION("""COMPUTED_VALUE"""),"Steinhof")</f>
        <v>Steinhof</v>
      </c>
    </row>
    <row r="5363">
      <c r="A5363" t="str">
        <f>IFERROR(__xludf.DUMMYFUNCTION("""COMPUTED_VALUE"""),"T-212")</f>
        <v>T-212</v>
      </c>
      <c r="B5363" s="226" t="str">
        <f>IFERROR(__xludf.DUMMYFUNCTION("""COMPUTED_VALUE"""),"5907615825439")</f>
        <v>5907615825439</v>
      </c>
      <c r="C5363" t="str">
        <f>IFERROR(__xludf.DUMMYFUNCTION("""COMPUTED_VALUE"""),"Steinhof")</f>
        <v>Steinhof</v>
      </c>
    </row>
    <row r="5364">
      <c r="A5364" t="str">
        <f>IFERROR(__xludf.DUMMYFUNCTION("""COMPUTED_VALUE"""),"T-212")</f>
        <v>T-212</v>
      </c>
      <c r="B5364" s="226" t="str">
        <f>IFERROR(__xludf.DUMMYFUNCTION("""COMPUTED_VALUE"""),"5907615825439")</f>
        <v>5907615825439</v>
      </c>
      <c r="C5364" t="str">
        <f>IFERROR(__xludf.DUMMYFUNCTION("""COMPUTED_VALUE"""),"Steinhof")</f>
        <v>Steinhof</v>
      </c>
    </row>
    <row r="5365">
      <c r="A5365" t="str">
        <f>IFERROR(__xludf.DUMMYFUNCTION("""COMPUTED_VALUE"""),"T-212")</f>
        <v>T-212</v>
      </c>
      <c r="B5365" s="226" t="str">
        <f>IFERROR(__xludf.DUMMYFUNCTION("""COMPUTED_VALUE"""),"5907615825439")</f>
        <v>5907615825439</v>
      </c>
      <c r="C5365" t="str">
        <f>IFERROR(__xludf.DUMMYFUNCTION("""COMPUTED_VALUE"""),"Steinhof")</f>
        <v>Steinhof</v>
      </c>
    </row>
    <row r="5366">
      <c r="A5366" t="str">
        <f>IFERROR(__xludf.DUMMYFUNCTION("""COMPUTED_VALUE"""),"T-212")</f>
        <v>T-212</v>
      </c>
      <c r="B5366" s="226" t="str">
        <f>IFERROR(__xludf.DUMMYFUNCTION("""COMPUTED_VALUE"""),"5907615825439")</f>
        <v>5907615825439</v>
      </c>
      <c r="C5366" t="str">
        <f>IFERROR(__xludf.DUMMYFUNCTION("""COMPUTED_VALUE"""),"Steinhof")</f>
        <v>Steinhof</v>
      </c>
    </row>
    <row r="5367">
      <c r="A5367" t="str">
        <f>IFERROR(__xludf.DUMMYFUNCTION("""COMPUTED_VALUE"""),"T-213")</f>
        <v>T-213</v>
      </c>
      <c r="B5367" s="226" t="str">
        <f>IFERROR(__xludf.DUMMYFUNCTION("""COMPUTED_VALUE"""),"5907615825446")</f>
        <v>5907615825446</v>
      </c>
      <c r="C5367" t="str">
        <f>IFERROR(__xludf.DUMMYFUNCTION("""COMPUTED_VALUE"""),"Steinhof")</f>
        <v>Steinhof</v>
      </c>
    </row>
    <row r="5368">
      <c r="A5368" t="str">
        <f>IFERROR(__xludf.DUMMYFUNCTION("""COMPUTED_VALUE"""),"T-213")</f>
        <v>T-213</v>
      </c>
      <c r="B5368" s="226" t="str">
        <f>IFERROR(__xludf.DUMMYFUNCTION("""COMPUTED_VALUE"""),"5907615825446")</f>
        <v>5907615825446</v>
      </c>
      <c r="C5368" t="str">
        <f>IFERROR(__xludf.DUMMYFUNCTION("""COMPUTED_VALUE"""),"Steinhof")</f>
        <v>Steinhof</v>
      </c>
    </row>
    <row r="5369">
      <c r="A5369" t="str">
        <f>IFERROR(__xludf.DUMMYFUNCTION("""COMPUTED_VALUE"""),"T-213")</f>
        <v>T-213</v>
      </c>
      <c r="B5369" s="226" t="str">
        <f>IFERROR(__xludf.DUMMYFUNCTION("""COMPUTED_VALUE"""),"5907615825446")</f>
        <v>5907615825446</v>
      </c>
      <c r="C5369" t="str">
        <f>IFERROR(__xludf.DUMMYFUNCTION("""COMPUTED_VALUE"""),"Steinhof")</f>
        <v>Steinhof</v>
      </c>
    </row>
    <row r="5370">
      <c r="A5370" t="str">
        <f>IFERROR(__xludf.DUMMYFUNCTION("""COMPUTED_VALUE"""),"T-213")</f>
        <v>T-213</v>
      </c>
      <c r="B5370" s="226" t="str">
        <f>IFERROR(__xludf.DUMMYFUNCTION("""COMPUTED_VALUE"""),"5907615825446")</f>
        <v>5907615825446</v>
      </c>
      <c r="C5370" t="str">
        <f>IFERROR(__xludf.DUMMYFUNCTION("""COMPUTED_VALUE"""),"Steinhof")</f>
        <v>Steinhof</v>
      </c>
    </row>
    <row r="5371">
      <c r="A5371" t="str">
        <f>IFERROR(__xludf.DUMMYFUNCTION("""COMPUTED_VALUE"""),"T-220")</f>
        <v>T-220</v>
      </c>
      <c r="B5371" s="226" t="str">
        <f>IFERROR(__xludf.DUMMYFUNCTION("""COMPUTED_VALUE"""),"5907615825507")</f>
        <v>5907615825507</v>
      </c>
      <c r="C5371" t="str">
        <f>IFERROR(__xludf.DUMMYFUNCTION("""COMPUTED_VALUE"""),"Steinhof")</f>
        <v>Steinhof</v>
      </c>
    </row>
    <row r="5372">
      <c r="A5372" t="str">
        <f>IFERROR(__xludf.DUMMYFUNCTION("""COMPUTED_VALUE"""),"T-220")</f>
        <v>T-220</v>
      </c>
      <c r="B5372" s="226" t="str">
        <f>IFERROR(__xludf.DUMMYFUNCTION("""COMPUTED_VALUE"""),"5907615825507")</f>
        <v>5907615825507</v>
      </c>
      <c r="C5372" t="str">
        <f>IFERROR(__xludf.DUMMYFUNCTION("""COMPUTED_VALUE"""),"Steinhof")</f>
        <v>Steinhof</v>
      </c>
    </row>
    <row r="5373">
      <c r="A5373" t="str">
        <f>IFERROR(__xludf.DUMMYFUNCTION("""COMPUTED_VALUE"""),"T-224")</f>
        <v>T-224</v>
      </c>
      <c r="B5373" s="226" t="str">
        <f>IFERROR(__xludf.DUMMYFUNCTION("""COMPUTED_VALUE"""),"5907615825545")</f>
        <v>5907615825545</v>
      </c>
      <c r="C5373" t="str">
        <f>IFERROR(__xludf.DUMMYFUNCTION("""COMPUTED_VALUE"""),"Steinhof")</f>
        <v>Steinhof</v>
      </c>
    </row>
    <row r="5374">
      <c r="A5374" t="str">
        <f>IFERROR(__xludf.DUMMYFUNCTION("""COMPUTED_VALUE"""),"T-224")</f>
        <v>T-224</v>
      </c>
      <c r="B5374" s="226" t="str">
        <f>IFERROR(__xludf.DUMMYFUNCTION("""COMPUTED_VALUE"""),"5907615825545")</f>
        <v>5907615825545</v>
      </c>
      <c r="C5374" t="str">
        <f>IFERROR(__xludf.DUMMYFUNCTION("""COMPUTED_VALUE"""),"Steinhof")</f>
        <v>Steinhof</v>
      </c>
    </row>
    <row r="5375">
      <c r="A5375" t="str">
        <f>IFERROR(__xludf.DUMMYFUNCTION("""COMPUTED_VALUE"""),"T-227")</f>
        <v>T-227</v>
      </c>
      <c r="B5375" s="226" t="str">
        <f>IFERROR(__xludf.DUMMYFUNCTION("""COMPUTED_VALUE"""),"5907615825576")</f>
        <v>5907615825576</v>
      </c>
      <c r="C5375" t="str">
        <f>IFERROR(__xludf.DUMMYFUNCTION("""COMPUTED_VALUE"""),"Steinhof")</f>
        <v>Steinhof</v>
      </c>
    </row>
    <row r="5376">
      <c r="A5376" t="str">
        <f>IFERROR(__xludf.DUMMYFUNCTION("""COMPUTED_VALUE"""),"T-227")</f>
        <v>T-227</v>
      </c>
      <c r="B5376" s="226" t="str">
        <f>IFERROR(__xludf.DUMMYFUNCTION("""COMPUTED_VALUE"""),"5907615825576")</f>
        <v>5907615825576</v>
      </c>
      <c r="C5376" t="str">
        <f>IFERROR(__xludf.DUMMYFUNCTION("""COMPUTED_VALUE"""),"Steinhof")</f>
        <v>Steinhof</v>
      </c>
    </row>
    <row r="5377">
      <c r="A5377" t="str">
        <f>IFERROR(__xludf.DUMMYFUNCTION("""COMPUTED_VALUE"""),"T-228")</f>
        <v>T-228</v>
      </c>
      <c r="B5377" s="226" t="str">
        <f>IFERROR(__xludf.DUMMYFUNCTION("""COMPUTED_VALUE"""),"5907615825583")</f>
        <v>5907615825583</v>
      </c>
      <c r="C5377" t="str">
        <f>IFERROR(__xludf.DUMMYFUNCTION("""COMPUTED_VALUE"""),"Steinhof")</f>
        <v>Steinhof</v>
      </c>
    </row>
    <row r="5378">
      <c r="A5378" t="str">
        <f>IFERROR(__xludf.DUMMYFUNCTION("""COMPUTED_VALUE"""),"T-228")</f>
        <v>T-228</v>
      </c>
      <c r="B5378" s="226" t="str">
        <f>IFERROR(__xludf.DUMMYFUNCTION("""COMPUTED_VALUE"""),"5907615825583")</f>
        <v>5907615825583</v>
      </c>
      <c r="C5378" t="str">
        <f>IFERROR(__xludf.DUMMYFUNCTION("""COMPUTED_VALUE"""),"Steinhof")</f>
        <v>Steinhof</v>
      </c>
    </row>
    <row r="5379">
      <c r="A5379" t="str">
        <f>IFERROR(__xludf.DUMMYFUNCTION("""COMPUTED_VALUE"""),"T-229")</f>
        <v>T-229</v>
      </c>
      <c r="B5379" s="226" t="str">
        <f>IFERROR(__xludf.DUMMYFUNCTION("""COMPUTED_VALUE"""),"5907615825590")</f>
        <v>5907615825590</v>
      </c>
      <c r="C5379" t="str">
        <f>IFERROR(__xludf.DUMMYFUNCTION("""COMPUTED_VALUE"""),"Steinhof")</f>
        <v>Steinhof</v>
      </c>
    </row>
    <row r="5380">
      <c r="A5380" t="str">
        <f>IFERROR(__xludf.DUMMYFUNCTION("""COMPUTED_VALUE"""),"T-229")</f>
        <v>T-229</v>
      </c>
      <c r="B5380" s="226" t="str">
        <f>IFERROR(__xludf.DUMMYFUNCTION("""COMPUTED_VALUE"""),"5907615825590")</f>
        <v>5907615825590</v>
      </c>
      <c r="C5380" t="str">
        <f>IFERROR(__xludf.DUMMYFUNCTION("""COMPUTED_VALUE"""),"Steinhof")</f>
        <v>Steinhof</v>
      </c>
    </row>
    <row r="5381">
      <c r="A5381" t="str">
        <f>IFERROR(__xludf.DUMMYFUNCTION("""COMPUTED_VALUE"""),"T-230")</f>
        <v>T-230</v>
      </c>
      <c r="B5381" s="226" t="str">
        <f>IFERROR(__xludf.DUMMYFUNCTION("""COMPUTED_VALUE"""),"5907615825606")</f>
        <v>5907615825606</v>
      </c>
      <c r="C5381" t="str">
        <f>IFERROR(__xludf.DUMMYFUNCTION("""COMPUTED_VALUE"""),"Steinhof")</f>
        <v>Steinhof</v>
      </c>
    </row>
    <row r="5382">
      <c r="A5382" t="str">
        <f>IFERROR(__xludf.DUMMYFUNCTION("""COMPUTED_VALUE"""),"T-230")</f>
        <v>T-230</v>
      </c>
      <c r="B5382" s="226" t="str">
        <f>IFERROR(__xludf.DUMMYFUNCTION("""COMPUTED_VALUE"""),"5907615825606")</f>
        <v>5907615825606</v>
      </c>
      <c r="C5382" t="str">
        <f>IFERROR(__xludf.DUMMYFUNCTION("""COMPUTED_VALUE"""),"Steinhof")</f>
        <v>Steinhof</v>
      </c>
    </row>
    <row r="5383">
      <c r="A5383" t="str">
        <f>IFERROR(__xludf.DUMMYFUNCTION("""COMPUTED_VALUE"""),"V-060/1")</f>
        <v>V-060/1</v>
      </c>
      <c r="B5383" s="226" t="str">
        <f>IFERROR(__xludf.DUMMYFUNCTION("""COMPUTED_VALUE"""),"5907615825637")</f>
        <v>5907615825637</v>
      </c>
      <c r="C5383" t="str">
        <f>IFERROR(__xludf.DUMMYFUNCTION("""COMPUTED_VALUE"""),"Steinhof")</f>
        <v>Steinhof</v>
      </c>
    </row>
    <row r="5384">
      <c r="A5384" t="str">
        <f>IFERROR(__xludf.DUMMYFUNCTION("""COMPUTED_VALUE"""),"V-060/1")</f>
        <v>V-060/1</v>
      </c>
      <c r="B5384" s="226" t="str">
        <f>IFERROR(__xludf.DUMMYFUNCTION("""COMPUTED_VALUE"""),"5907615825637")</f>
        <v>5907615825637</v>
      </c>
      <c r="C5384" t="str">
        <f>IFERROR(__xludf.DUMMYFUNCTION("""COMPUTED_VALUE"""),"Steinhof")</f>
        <v>Steinhof</v>
      </c>
    </row>
    <row r="5385">
      <c r="A5385" t="str">
        <f>IFERROR(__xludf.DUMMYFUNCTION("""COMPUTED_VALUE"""),"V-060/1")</f>
        <v>V-060/1</v>
      </c>
      <c r="B5385" s="226" t="str">
        <f>IFERROR(__xludf.DUMMYFUNCTION("""COMPUTED_VALUE"""),"5907615825637")</f>
        <v>5907615825637</v>
      </c>
      <c r="C5385" t="str">
        <f>IFERROR(__xludf.DUMMYFUNCTION("""COMPUTED_VALUE"""),"Steinhof")</f>
        <v>Steinhof</v>
      </c>
    </row>
    <row r="5386">
      <c r="A5386" t="str">
        <f>IFERROR(__xludf.DUMMYFUNCTION("""COMPUTED_VALUE"""),"V-060/1")</f>
        <v>V-060/1</v>
      </c>
      <c r="B5386" s="226" t="str">
        <f>IFERROR(__xludf.DUMMYFUNCTION("""COMPUTED_VALUE"""),"5907615825637")</f>
        <v>5907615825637</v>
      </c>
      <c r="C5386" t="str">
        <f>IFERROR(__xludf.DUMMYFUNCTION("""COMPUTED_VALUE"""),"Steinhof")</f>
        <v>Steinhof</v>
      </c>
    </row>
    <row r="5387">
      <c r="A5387" t="str">
        <f>IFERROR(__xludf.DUMMYFUNCTION("""COMPUTED_VALUE"""),"V-060/1")</f>
        <v>V-060/1</v>
      </c>
      <c r="B5387" s="226" t="str">
        <f>IFERROR(__xludf.DUMMYFUNCTION("""COMPUTED_VALUE"""),"5907615825637")</f>
        <v>5907615825637</v>
      </c>
      <c r="C5387" t="str">
        <f>IFERROR(__xludf.DUMMYFUNCTION("""COMPUTED_VALUE"""),"Steinhof")</f>
        <v>Steinhof</v>
      </c>
    </row>
    <row r="5388">
      <c r="A5388" t="str">
        <f>IFERROR(__xludf.DUMMYFUNCTION("""COMPUTED_VALUE"""),"V-060/1")</f>
        <v>V-060/1</v>
      </c>
      <c r="B5388" s="226" t="str">
        <f>IFERROR(__xludf.DUMMYFUNCTION("""COMPUTED_VALUE"""),"5907615825637")</f>
        <v>5907615825637</v>
      </c>
      <c r="C5388" t="str">
        <f>IFERROR(__xludf.DUMMYFUNCTION("""COMPUTED_VALUE"""),"Steinhof")</f>
        <v>Steinhof</v>
      </c>
    </row>
    <row r="5389">
      <c r="A5389" t="str">
        <f>IFERROR(__xludf.DUMMYFUNCTION("""COMPUTED_VALUE"""),"V-060/1")</f>
        <v>V-060/1</v>
      </c>
      <c r="B5389" s="226" t="str">
        <f>IFERROR(__xludf.DUMMYFUNCTION("""COMPUTED_VALUE"""),"5907615825637")</f>
        <v>5907615825637</v>
      </c>
      <c r="C5389" t="str">
        <f>IFERROR(__xludf.DUMMYFUNCTION("""COMPUTED_VALUE"""),"Steinhof")</f>
        <v>Steinhof</v>
      </c>
    </row>
    <row r="5390">
      <c r="A5390" t="str">
        <f>IFERROR(__xludf.DUMMYFUNCTION("""COMPUTED_VALUE"""),"V-060/1")</f>
        <v>V-060/1</v>
      </c>
      <c r="B5390" s="226" t="str">
        <f>IFERROR(__xludf.DUMMYFUNCTION("""COMPUTED_VALUE"""),"5907615825637")</f>
        <v>5907615825637</v>
      </c>
      <c r="C5390" t="str">
        <f>IFERROR(__xludf.DUMMYFUNCTION("""COMPUTED_VALUE"""),"Steinhof")</f>
        <v>Steinhof</v>
      </c>
    </row>
    <row r="5391">
      <c r="A5391" t="str">
        <f>IFERROR(__xludf.DUMMYFUNCTION("""COMPUTED_VALUE"""),"V-060/1")</f>
        <v>V-060/1</v>
      </c>
      <c r="B5391" s="226" t="str">
        <f>IFERROR(__xludf.DUMMYFUNCTION("""COMPUTED_VALUE"""),"5907615825637")</f>
        <v>5907615825637</v>
      </c>
      <c r="C5391" t="str">
        <f>IFERROR(__xludf.DUMMYFUNCTION("""COMPUTED_VALUE"""),"Steinhof")</f>
        <v>Steinhof</v>
      </c>
    </row>
    <row r="5392">
      <c r="A5392" t="str">
        <f>IFERROR(__xludf.DUMMYFUNCTION("""COMPUTED_VALUE"""),"V-060/1")</f>
        <v>V-060/1</v>
      </c>
      <c r="B5392" s="226" t="str">
        <f>IFERROR(__xludf.DUMMYFUNCTION("""COMPUTED_VALUE"""),"5907615825637")</f>
        <v>5907615825637</v>
      </c>
      <c r="C5392" t="str">
        <f>IFERROR(__xludf.DUMMYFUNCTION("""COMPUTED_VALUE"""),"Steinhof")</f>
        <v>Steinhof</v>
      </c>
    </row>
    <row r="5393">
      <c r="A5393" t="str">
        <f>IFERROR(__xludf.DUMMYFUNCTION("""COMPUTED_VALUE"""),"V-060/1")</f>
        <v>V-060/1</v>
      </c>
      <c r="B5393" s="226" t="str">
        <f>IFERROR(__xludf.DUMMYFUNCTION("""COMPUTED_VALUE"""),"5907615825637")</f>
        <v>5907615825637</v>
      </c>
      <c r="C5393" t="str">
        <f>IFERROR(__xludf.DUMMYFUNCTION("""COMPUTED_VALUE"""),"Steinhof")</f>
        <v>Steinhof</v>
      </c>
    </row>
    <row r="5394">
      <c r="A5394" t="str">
        <f>IFERROR(__xludf.DUMMYFUNCTION("""COMPUTED_VALUE"""),"V-060/1")</f>
        <v>V-060/1</v>
      </c>
      <c r="B5394" s="226" t="str">
        <f>IFERROR(__xludf.DUMMYFUNCTION("""COMPUTED_VALUE"""),"5907615825637")</f>
        <v>5907615825637</v>
      </c>
      <c r="C5394" t="str">
        <f>IFERROR(__xludf.DUMMYFUNCTION("""COMPUTED_VALUE"""),"Steinhof")</f>
        <v>Steinhof</v>
      </c>
    </row>
    <row r="5395">
      <c r="A5395" t="str">
        <f>IFERROR(__xludf.DUMMYFUNCTION("""COMPUTED_VALUE"""),"V-148")</f>
        <v>V-148</v>
      </c>
      <c r="B5395" s="226" t="str">
        <f>IFERROR(__xludf.DUMMYFUNCTION("""COMPUTED_VALUE"""),"5907615825644")</f>
        <v>5907615825644</v>
      </c>
      <c r="C5395" t="str">
        <f>IFERROR(__xludf.DUMMYFUNCTION("""COMPUTED_VALUE"""),"Steinhof")</f>
        <v>Steinhof</v>
      </c>
    </row>
    <row r="5396">
      <c r="A5396" t="str">
        <f>IFERROR(__xludf.DUMMYFUNCTION("""COMPUTED_VALUE"""),"V-148")</f>
        <v>V-148</v>
      </c>
      <c r="B5396" s="226" t="str">
        <f>IFERROR(__xludf.DUMMYFUNCTION("""COMPUTED_VALUE"""),"5907615825644")</f>
        <v>5907615825644</v>
      </c>
      <c r="C5396" t="str">
        <f>IFERROR(__xludf.DUMMYFUNCTION("""COMPUTED_VALUE"""),"Steinhof")</f>
        <v>Steinhof</v>
      </c>
    </row>
    <row r="5397">
      <c r="A5397" t="str">
        <f>IFERROR(__xludf.DUMMYFUNCTION("""COMPUTED_VALUE"""),"V-148")</f>
        <v>V-148</v>
      </c>
      <c r="B5397" s="226" t="str">
        <f>IFERROR(__xludf.DUMMYFUNCTION("""COMPUTED_VALUE"""),"5907615825644")</f>
        <v>5907615825644</v>
      </c>
      <c r="C5397" t="str">
        <f>IFERROR(__xludf.DUMMYFUNCTION("""COMPUTED_VALUE"""),"Steinhof")</f>
        <v>Steinhof</v>
      </c>
    </row>
    <row r="5398">
      <c r="A5398" t="str">
        <f>IFERROR(__xludf.DUMMYFUNCTION("""COMPUTED_VALUE"""),"V-148")</f>
        <v>V-148</v>
      </c>
      <c r="B5398" s="226" t="str">
        <f>IFERROR(__xludf.DUMMYFUNCTION("""COMPUTED_VALUE"""),"5907615825644")</f>
        <v>5907615825644</v>
      </c>
      <c r="C5398" t="str">
        <f>IFERROR(__xludf.DUMMYFUNCTION("""COMPUTED_VALUE"""),"Steinhof")</f>
        <v>Steinhof</v>
      </c>
    </row>
    <row r="5399">
      <c r="A5399" t="str">
        <f>IFERROR(__xludf.DUMMYFUNCTION("""COMPUTED_VALUE"""),"V-149")</f>
        <v>V-149</v>
      </c>
      <c r="B5399" s="226" t="str">
        <f>IFERROR(__xludf.DUMMYFUNCTION("""COMPUTED_VALUE"""),"5907615825651")</f>
        <v>5907615825651</v>
      </c>
      <c r="C5399" t="str">
        <f>IFERROR(__xludf.DUMMYFUNCTION("""COMPUTED_VALUE"""),"Steinhof")</f>
        <v>Steinhof</v>
      </c>
    </row>
    <row r="5400">
      <c r="A5400" t="str">
        <f>IFERROR(__xludf.DUMMYFUNCTION("""COMPUTED_VALUE"""),"V-149")</f>
        <v>V-149</v>
      </c>
      <c r="B5400" s="226" t="str">
        <f>IFERROR(__xludf.DUMMYFUNCTION("""COMPUTED_VALUE"""),"5907615825651")</f>
        <v>5907615825651</v>
      </c>
      <c r="C5400" t="str">
        <f>IFERROR(__xludf.DUMMYFUNCTION("""COMPUTED_VALUE"""),"Steinhof")</f>
        <v>Steinhof</v>
      </c>
    </row>
    <row r="5401">
      <c r="A5401" t="str">
        <f>IFERROR(__xludf.DUMMYFUNCTION("""COMPUTED_VALUE"""),"V-149")</f>
        <v>V-149</v>
      </c>
      <c r="B5401" s="226" t="str">
        <f>IFERROR(__xludf.DUMMYFUNCTION("""COMPUTED_VALUE"""),"5907615825651")</f>
        <v>5907615825651</v>
      </c>
      <c r="C5401" t="str">
        <f>IFERROR(__xludf.DUMMYFUNCTION("""COMPUTED_VALUE"""),"Steinhof")</f>
        <v>Steinhof</v>
      </c>
    </row>
    <row r="5402">
      <c r="A5402" t="str">
        <f>IFERROR(__xludf.DUMMYFUNCTION("""COMPUTED_VALUE"""),"V-149")</f>
        <v>V-149</v>
      </c>
      <c r="B5402" s="226" t="str">
        <f>IFERROR(__xludf.DUMMYFUNCTION("""COMPUTED_VALUE"""),"5907615825651")</f>
        <v>5907615825651</v>
      </c>
      <c r="C5402" t="str">
        <f>IFERROR(__xludf.DUMMYFUNCTION("""COMPUTED_VALUE"""),"Steinhof")</f>
        <v>Steinhof</v>
      </c>
    </row>
    <row r="5403">
      <c r="A5403" t="str">
        <f>IFERROR(__xludf.DUMMYFUNCTION("""COMPUTED_VALUE"""),"V-150")</f>
        <v>V-150</v>
      </c>
      <c r="B5403" s="226" t="str">
        <f>IFERROR(__xludf.DUMMYFUNCTION("""COMPUTED_VALUE"""),"5907615825668")</f>
        <v>5907615825668</v>
      </c>
      <c r="C5403" t="str">
        <f>IFERROR(__xludf.DUMMYFUNCTION("""COMPUTED_VALUE"""),"Steinhof")</f>
        <v>Steinhof</v>
      </c>
    </row>
    <row r="5404">
      <c r="A5404" t="str">
        <f>IFERROR(__xludf.DUMMYFUNCTION("""COMPUTED_VALUE"""),"V-151")</f>
        <v>V-151</v>
      </c>
      <c r="B5404" s="226" t="str">
        <f>IFERROR(__xludf.DUMMYFUNCTION("""COMPUTED_VALUE"""),"5907615825675")</f>
        <v>5907615825675</v>
      </c>
      <c r="C5404" t="str">
        <f>IFERROR(__xludf.DUMMYFUNCTION("""COMPUTED_VALUE"""),"Steinhof")</f>
        <v>Steinhof</v>
      </c>
    </row>
    <row r="5405">
      <c r="A5405" t="str">
        <f>IFERROR(__xludf.DUMMYFUNCTION("""COMPUTED_VALUE"""),"V-152")</f>
        <v>V-152</v>
      </c>
      <c r="B5405" s="226" t="str">
        <f>IFERROR(__xludf.DUMMYFUNCTION("""COMPUTED_VALUE"""),"5907615825682")</f>
        <v>5907615825682</v>
      </c>
      <c r="C5405" t="str">
        <f>IFERROR(__xludf.DUMMYFUNCTION("""COMPUTED_VALUE"""),"Steinhof")</f>
        <v>Steinhof</v>
      </c>
    </row>
    <row r="5406">
      <c r="A5406" t="str">
        <f>IFERROR(__xludf.DUMMYFUNCTION("""COMPUTED_VALUE"""),"V-153")</f>
        <v>V-153</v>
      </c>
      <c r="B5406" s="226" t="str">
        <f>IFERROR(__xludf.DUMMYFUNCTION("""COMPUTED_VALUE"""),"5907615825699")</f>
        <v>5907615825699</v>
      </c>
      <c r="C5406" t="str">
        <f>IFERROR(__xludf.DUMMYFUNCTION("""COMPUTED_VALUE"""),"Steinhof")</f>
        <v>Steinhof</v>
      </c>
    </row>
    <row r="5407">
      <c r="A5407" t="str">
        <f>IFERROR(__xludf.DUMMYFUNCTION("""COMPUTED_VALUE"""),"V-020")</f>
        <v>V-020</v>
      </c>
      <c r="B5407" s="226" t="str">
        <f>IFERROR(__xludf.DUMMYFUNCTION("""COMPUTED_VALUE"""),"5907615825712")</f>
        <v>5907615825712</v>
      </c>
      <c r="C5407" t="str">
        <f>IFERROR(__xludf.DUMMYFUNCTION("""COMPUTED_VALUE"""),"Steinhof")</f>
        <v>Steinhof</v>
      </c>
    </row>
    <row r="5408">
      <c r="A5408" t="str">
        <f>IFERROR(__xludf.DUMMYFUNCTION("""COMPUTED_VALUE"""),"V-021")</f>
        <v>V-021</v>
      </c>
      <c r="B5408" s="226" t="str">
        <f>IFERROR(__xludf.DUMMYFUNCTION("""COMPUTED_VALUE"""),"5907615825729")</f>
        <v>5907615825729</v>
      </c>
      <c r="C5408" t="str">
        <f>IFERROR(__xludf.DUMMYFUNCTION("""COMPUTED_VALUE"""),"Steinhof")</f>
        <v>Steinhof</v>
      </c>
    </row>
    <row r="5409">
      <c r="A5409" t="str">
        <f>IFERROR(__xludf.DUMMYFUNCTION("""COMPUTED_VALUE"""),"V-156")</f>
        <v>V-156</v>
      </c>
      <c r="B5409" s="226" t="str">
        <f>IFERROR(__xludf.DUMMYFUNCTION("""COMPUTED_VALUE"""),"5907615825750")</f>
        <v>5907615825750</v>
      </c>
      <c r="C5409" t="str">
        <f>IFERROR(__xludf.DUMMYFUNCTION("""COMPUTED_VALUE"""),"Steinhof")</f>
        <v>Steinhof</v>
      </c>
    </row>
    <row r="5410">
      <c r="A5410" t="str">
        <f>IFERROR(__xludf.DUMMYFUNCTION("""COMPUTED_VALUE"""),"V-156")</f>
        <v>V-156</v>
      </c>
      <c r="B5410" s="226" t="str">
        <f>IFERROR(__xludf.DUMMYFUNCTION("""COMPUTED_VALUE"""),"5907615825750")</f>
        <v>5907615825750</v>
      </c>
      <c r="C5410" t="str">
        <f>IFERROR(__xludf.DUMMYFUNCTION("""COMPUTED_VALUE"""),"Steinhof")</f>
        <v>Steinhof</v>
      </c>
    </row>
    <row r="5411">
      <c r="A5411" t="str">
        <f>IFERROR(__xludf.DUMMYFUNCTION("""COMPUTED_VALUE"""),"V-157")</f>
        <v>V-157</v>
      </c>
      <c r="B5411" s="226" t="str">
        <f>IFERROR(__xludf.DUMMYFUNCTION("""COMPUTED_VALUE"""),"5907615825767")</f>
        <v>5907615825767</v>
      </c>
      <c r="C5411" t="str">
        <f>IFERROR(__xludf.DUMMYFUNCTION("""COMPUTED_VALUE"""),"Steinhof")</f>
        <v>Steinhof</v>
      </c>
    </row>
    <row r="5412">
      <c r="A5412" t="str">
        <f>IFERROR(__xludf.DUMMYFUNCTION("""COMPUTED_VALUE"""),"V-157")</f>
        <v>V-157</v>
      </c>
      <c r="B5412" s="226" t="str">
        <f>IFERROR(__xludf.DUMMYFUNCTION("""COMPUTED_VALUE"""),"5907615825767")</f>
        <v>5907615825767</v>
      </c>
      <c r="C5412" t="str">
        <f>IFERROR(__xludf.DUMMYFUNCTION("""COMPUTED_VALUE"""),"Steinhof")</f>
        <v>Steinhof</v>
      </c>
    </row>
    <row r="5413">
      <c r="A5413" t="str">
        <f>IFERROR(__xludf.DUMMYFUNCTION("""COMPUTED_VALUE"""),"V-028")</f>
        <v>V-028</v>
      </c>
      <c r="B5413" s="226" t="str">
        <f>IFERROR(__xludf.DUMMYFUNCTION("""COMPUTED_VALUE"""),"5907615825798")</f>
        <v>5907615825798</v>
      </c>
      <c r="C5413" t="str">
        <f>IFERROR(__xludf.DUMMYFUNCTION("""COMPUTED_VALUE"""),"Steinhof")</f>
        <v>Steinhof</v>
      </c>
    </row>
    <row r="5414">
      <c r="A5414" t="str">
        <f>IFERROR(__xludf.DUMMYFUNCTION("""COMPUTED_VALUE"""),"V-028")</f>
        <v>V-028</v>
      </c>
      <c r="B5414" s="226" t="str">
        <f>IFERROR(__xludf.DUMMYFUNCTION("""COMPUTED_VALUE"""),"5907615825798")</f>
        <v>5907615825798</v>
      </c>
      <c r="C5414" t="str">
        <f>IFERROR(__xludf.DUMMYFUNCTION("""COMPUTED_VALUE"""),"Steinhof")</f>
        <v>Steinhof</v>
      </c>
    </row>
    <row r="5415">
      <c r="A5415" t="str">
        <f>IFERROR(__xludf.DUMMYFUNCTION("""COMPUTED_VALUE"""),"V-029")</f>
        <v>V-029</v>
      </c>
      <c r="B5415" s="226" t="str">
        <f>IFERROR(__xludf.DUMMYFUNCTION("""COMPUTED_VALUE"""),"5907615825804")</f>
        <v>5907615825804</v>
      </c>
      <c r="C5415" t="str">
        <f>IFERROR(__xludf.DUMMYFUNCTION("""COMPUTED_VALUE"""),"Steinhof")</f>
        <v>Steinhof</v>
      </c>
    </row>
    <row r="5416">
      <c r="A5416" t="str">
        <f>IFERROR(__xludf.DUMMYFUNCTION("""COMPUTED_VALUE"""),"V-029")</f>
        <v>V-029</v>
      </c>
      <c r="B5416" s="226" t="str">
        <f>IFERROR(__xludf.DUMMYFUNCTION("""COMPUTED_VALUE"""),"5907615825804")</f>
        <v>5907615825804</v>
      </c>
      <c r="C5416" t="str">
        <f>IFERROR(__xludf.DUMMYFUNCTION("""COMPUTED_VALUE"""),"Steinhof")</f>
        <v>Steinhof</v>
      </c>
    </row>
    <row r="5417">
      <c r="A5417" t="str">
        <f>IFERROR(__xludf.DUMMYFUNCTION("""COMPUTED_VALUE"""),"V-032")</f>
        <v>V-032</v>
      </c>
      <c r="B5417" s="226" t="str">
        <f>IFERROR(__xludf.DUMMYFUNCTION("""COMPUTED_VALUE"""),"5907615825835")</f>
        <v>5907615825835</v>
      </c>
      <c r="C5417" t="str">
        <f>IFERROR(__xludf.DUMMYFUNCTION("""COMPUTED_VALUE"""),"Steinhof")</f>
        <v>Steinhof</v>
      </c>
    </row>
    <row r="5418">
      <c r="A5418" t="str">
        <f>IFERROR(__xludf.DUMMYFUNCTION("""COMPUTED_VALUE"""),"V-032")</f>
        <v>V-032</v>
      </c>
      <c r="B5418" s="226" t="str">
        <f>IFERROR(__xludf.DUMMYFUNCTION("""COMPUTED_VALUE"""),"5907615825835")</f>
        <v>5907615825835</v>
      </c>
      <c r="C5418" t="str">
        <f>IFERROR(__xludf.DUMMYFUNCTION("""COMPUTED_VALUE"""),"Steinhof")</f>
        <v>Steinhof</v>
      </c>
    </row>
    <row r="5419">
      <c r="A5419" t="str">
        <f>IFERROR(__xludf.DUMMYFUNCTION("""COMPUTED_VALUE"""),"V-032")</f>
        <v>V-032</v>
      </c>
      <c r="B5419" s="226" t="str">
        <f>IFERROR(__xludf.DUMMYFUNCTION("""COMPUTED_VALUE"""),"5907615825835")</f>
        <v>5907615825835</v>
      </c>
      <c r="C5419" t="str">
        <f>IFERROR(__xludf.DUMMYFUNCTION("""COMPUTED_VALUE"""),"Steinhof")</f>
        <v>Steinhof</v>
      </c>
    </row>
    <row r="5420">
      <c r="A5420" t="str">
        <f>IFERROR(__xludf.DUMMYFUNCTION("""COMPUTED_VALUE"""),"V-032")</f>
        <v>V-032</v>
      </c>
      <c r="B5420" s="226" t="str">
        <f>IFERROR(__xludf.DUMMYFUNCTION("""COMPUTED_VALUE"""),"5907615825835")</f>
        <v>5907615825835</v>
      </c>
      <c r="C5420" t="str">
        <f>IFERROR(__xludf.DUMMYFUNCTION("""COMPUTED_VALUE"""),"Steinhof")</f>
        <v>Steinhof</v>
      </c>
    </row>
    <row r="5421">
      <c r="A5421" t="str">
        <f>IFERROR(__xludf.DUMMYFUNCTION("""COMPUTED_VALUE"""),"V-033")</f>
        <v>V-033</v>
      </c>
      <c r="B5421" s="226" t="str">
        <f>IFERROR(__xludf.DUMMYFUNCTION("""COMPUTED_VALUE"""),"5907615825842")</f>
        <v>5907615825842</v>
      </c>
      <c r="C5421" t="str">
        <f>IFERROR(__xludf.DUMMYFUNCTION("""COMPUTED_VALUE"""),"Steinhof")</f>
        <v>Steinhof</v>
      </c>
    </row>
    <row r="5422">
      <c r="A5422" t="str">
        <f>IFERROR(__xludf.DUMMYFUNCTION("""COMPUTED_VALUE"""),"V-033")</f>
        <v>V-033</v>
      </c>
      <c r="B5422" s="226" t="str">
        <f>IFERROR(__xludf.DUMMYFUNCTION("""COMPUTED_VALUE"""),"5907615825842")</f>
        <v>5907615825842</v>
      </c>
      <c r="C5422" t="str">
        <f>IFERROR(__xludf.DUMMYFUNCTION("""COMPUTED_VALUE"""),"Steinhof")</f>
        <v>Steinhof</v>
      </c>
    </row>
    <row r="5423">
      <c r="A5423" t="str">
        <f>IFERROR(__xludf.DUMMYFUNCTION("""COMPUTED_VALUE"""),"V-033")</f>
        <v>V-033</v>
      </c>
      <c r="B5423" s="226" t="str">
        <f>IFERROR(__xludf.DUMMYFUNCTION("""COMPUTED_VALUE"""),"5907615825842")</f>
        <v>5907615825842</v>
      </c>
      <c r="C5423" t="str">
        <f>IFERROR(__xludf.DUMMYFUNCTION("""COMPUTED_VALUE"""),"Steinhof")</f>
        <v>Steinhof</v>
      </c>
    </row>
    <row r="5424">
      <c r="A5424" t="str">
        <f>IFERROR(__xludf.DUMMYFUNCTION("""COMPUTED_VALUE"""),"V-033")</f>
        <v>V-033</v>
      </c>
      <c r="B5424" s="226" t="str">
        <f>IFERROR(__xludf.DUMMYFUNCTION("""COMPUTED_VALUE"""),"5907615825842")</f>
        <v>5907615825842</v>
      </c>
      <c r="C5424" t="str">
        <f>IFERROR(__xludf.DUMMYFUNCTION("""COMPUTED_VALUE"""),"Steinhof")</f>
        <v>Steinhof</v>
      </c>
    </row>
    <row r="5425">
      <c r="A5425" t="str">
        <f>IFERROR(__xludf.DUMMYFUNCTION("""COMPUTED_VALUE"""),"V-034")</f>
        <v>V-034</v>
      </c>
      <c r="B5425" s="226" t="str">
        <f>IFERROR(__xludf.DUMMYFUNCTION("""COMPUTED_VALUE"""),"5907615825859")</f>
        <v>5907615825859</v>
      </c>
      <c r="C5425" t="str">
        <f>IFERROR(__xludf.DUMMYFUNCTION("""COMPUTED_VALUE"""),"Steinhof")</f>
        <v>Steinhof</v>
      </c>
    </row>
    <row r="5426">
      <c r="A5426" t="str">
        <f>IFERROR(__xludf.DUMMYFUNCTION("""COMPUTED_VALUE"""),"V-034")</f>
        <v>V-034</v>
      </c>
      <c r="B5426" s="226" t="str">
        <f>IFERROR(__xludf.DUMMYFUNCTION("""COMPUTED_VALUE"""),"5907615825859")</f>
        <v>5907615825859</v>
      </c>
      <c r="C5426" t="str">
        <f>IFERROR(__xludf.DUMMYFUNCTION("""COMPUTED_VALUE"""),"Steinhof")</f>
        <v>Steinhof</v>
      </c>
    </row>
    <row r="5427">
      <c r="A5427" t="str">
        <f>IFERROR(__xludf.DUMMYFUNCTION("""COMPUTED_VALUE"""),"V-034")</f>
        <v>V-034</v>
      </c>
      <c r="B5427" s="226" t="str">
        <f>IFERROR(__xludf.DUMMYFUNCTION("""COMPUTED_VALUE"""),"5907615825859")</f>
        <v>5907615825859</v>
      </c>
      <c r="C5427" t="str">
        <f>IFERROR(__xludf.DUMMYFUNCTION("""COMPUTED_VALUE"""),"Steinhof")</f>
        <v>Steinhof</v>
      </c>
    </row>
    <row r="5428">
      <c r="A5428" t="str">
        <f>IFERROR(__xludf.DUMMYFUNCTION("""COMPUTED_VALUE"""),"V-034")</f>
        <v>V-034</v>
      </c>
      <c r="B5428" s="226" t="str">
        <f>IFERROR(__xludf.DUMMYFUNCTION("""COMPUTED_VALUE"""),"5907615825859")</f>
        <v>5907615825859</v>
      </c>
      <c r="C5428" t="str">
        <f>IFERROR(__xludf.DUMMYFUNCTION("""COMPUTED_VALUE"""),"Steinhof")</f>
        <v>Steinhof</v>
      </c>
    </row>
    <row r="5429">
      <c r="A5429" t="str">
        <f>IFERROR(__xludf.DUMMYFUNCTION("""COMPUTED_VALUE"""),"V-043")</f>
        <v>V-043</v>
      </c>
      <c r="B5429" s="226" t="str">
        <f>IFERROR(__xludf.DUMMYFUNCTION("""COMPUTED_VALUE"""),"5907615825941")</f>
        <v>5907615825941</v>
      </c>
      <c r="C5429" t="str">
        <f>IFERROR(__xludf.DUMMYFUNCTION("""COMPUTED_VALUE"""),"Steinhof")</f>
        <v>Steinhof</v>
      </c>
    </row>
    <row r="5430">
      <c r="A5430" t="str">
        <f>IFERROR(__xludf.DUMMYFUNCTION("""COMPUTED_VALUE"""),"V-043")</f>
        <v>V-043</v>
      </c>
      <c r="B5430" s="226" t="str">
        <f>IFERROR(__xludf.DUMMYFUNCTION("""COMPUTED_VALUE"""),"5907615825941")</f>
        <v>5907615825941</v>
      </c>
      <c r="C5430" t="str">
        <f>IFERROR(__xludf.DUMMYFUNCTION("""COMPUTED_VALUE"""),"Steinhof")</f>
        <v>Steinhof</v>
      </c>
    </row>
    <row r="5431">
      <c r="A5431" t="str">
        <f>IFERROR(__xludf.DUMMYFUNCTION("""COMPUTED_VALUE"""),"V-049")</f>
        <v>V-049</v>
      </c>
      <c r="B5431" s="226" t="str">
        <f>IFERROR(__xludf.DUMMYFUNCTION("""COMPUTED_VALUE"""),"5907615826009")</f>
        <v>5907615826009</v>
      </c>
      <c r="C5431" t="str">
        <f>IFERROR(__xludf.DUMMYFUNCTION("""COMPUTED_VALUE"""),"Steinhof")</f>
        <v>Steinhof</v>
      </c>
    </row>
    <row r="5432">
      <c r="A5432" t="str">
        <f>IFERROR(__xludf.DUMMYFUNCTION("""COMPUTED_VALUE"""),"V-049")</f>
        <v>V-049</v>
      </c>
      <c r="B5432" s="226" t="str">
        <f>IFERROR(__xludf.DUMMYFUNCTION("""COMPUTED_VALUE"""),"5907615826009")</f>
        <v>5907615826009</v>
      </c>
      <c r="C5432" t="str">
        <f>IFERROR(__xludf.DUMMYFUNCTION("""COMPUTED_VALUE"""),"Steinhof")</f>
        <v>Steinhof</v>
      </c>
    </row>
    <row r="5433">
      <c r="A5433" t="str">
        <f>IFERROR(__xludf.DUMMYFUNCTION("""COMPUTED_VALUE"""),"V-049")</f>
        <v>V-049</v>
      </c>
      <c r="B5433" s="226" t="str">
        <f>IFERROR(__xludf.DUMMYFUNCTION("""COMPUTED_VALUE"""),"5907615826009")</f>
        <v>5907615826009</v>
      </c>
      <c r="C5433" t="str">
        <f>IFERROR(__xludf.DUMMYFUNCTION("""COMPUTED_VALUE"""),"Steinhof")</f>
        <v>Steinhof</v>
      </c>
    </row>
    <row r="5434">
      <c r="A5434" t="str">
        <f>IFERROR(__xludf.DUMMYFUNCTION("""COMPUTED_VALUE"""),"V-054")</f>
        <v>V-054</v>
      </c>
      <c r="B5434" s="226" t="str">
        <f>IFERROR(__xludf.DUMMYFUNCTION("""COMPUTED_VALUE"""),"5907615826054")</f>
        <v>5907615826054</v>
      </c>
      <c r="C5434" t="str">
        <f>IFERROR(__xludf.DUMMYFUNCTION("""COMPUTED_VALUE"""),"Steinhof")</f>
        <v>Steinhof</v>
      </c>
    </row>
    <row r="5435">
      <c r="A5435" t="str">
        <f>IFERROR(__xludf.DUMMYFUNCTION("""COMPUTED_VALUE"""),"V-056")</f>
        <v>V-056</v>
      </c>
      <c r="B5435" s="226" t="str">
        <f>IFERROR(__xludf.DUMMYFUNCTION("""COMPUTED_VALUE"""),"5907615826078")</f>
        <v>5907615826078</v>
      </c>
      <c r="C5435" t="str">
        <f>IFERROR(__xludf.DUMMYFUNCTION("""COMPUTED_VALUE"""),"Steinhof")</f>
        <v>Steinhof</v>
      </c>
    </row>
    <row r="5436">
      <c r="A5436" t="str">
        <f>IFERROR(__xludf.DUMMYFUNCTION("""COMPUTED_VALUE"""),"V-056")</f>
        <v>V-056</v>
      </c>
      <c r="B5436" s="226" t="str">
        <f>IFERROR(__xludf.DUMMYFUNCTION("""COMPUTED_VALUE"""),"5907615826078")</f>
        <v>5907615826078</v>
      </c>
      <c r="C5436" t="str">
        <f>IFERROR(__xludf.DUMMYFUNCTION("""COMPUTED_VALUE"""),"Steinhof")</f>
        <v>Steinhof</v>
      </c>
    </row>
    <row r="5437">
      <c r="A5437" t="str">
        <f>IFERROR(__xludf.DUMMYFUNCTION("""COMPUTED_VALUE"""),"V-056")</f>
        <v>V-056</v>
      </c>
      <c r="B5437" s="226" t="str">
        <f>IFERROR(__xludf.DUMMYFUNCTION("""COMPUTED_VALUE"""),"5907615826078")</f>
        <v>5907615826078</v>
      </c>
      <c r="C5437" t="str">
        <f>IFERROR(__xludf.DUMMYFUNCTION("""COMPUTED_VALUE"""),"Steinhof")</f>
        <v>Steinhof</v>
      </c>
    </row>
    <row r="5438">
      <c r="A5438" t="str">
        <f>IFERROR(__xludf.DUMMYFUNCTION("""COMPUTED_VALUE"""),"V-056")</f>
        <v>V-056</v>
      </c>
      <c r="B5438" s="226" t="str">
        <f>IFERROR(__xludf.DUMMYFUNCTION("""COMPUTED_VALUE"""),"5907615826078")</f>
        <v>5907615826078</v>
      </c>
      <c r="C5438" t="str">
        <f>IFERROR(__xludf.DUMMYFUNCTION("""COMPUTED_VALUE"""),"Steinhof")</f>
        <v>Steinhof</v>
      </c>
    </row>
    <row r="5439">
      <c r="A5439" t="str">
        <f>IFERROR(__xludf.DUMMYFUNCTION("""COMPUTED_VALUE"""),"V-056")</f>
        <v>V-056</v>
      </c>
      <c r="B5439" s="226" t="str">
        <f>IFERROR(__xludf.DUMMYFUNCTION("""COMPUTED_VALUE"""),"5907615826078")</f>
        <v>5907615826078</v>
      </c>
      <c r="C5439" t="str">
        <f>IFERROR(__xludf.DUMMYFUNCTION("""COMPUTED_VALUE"""),"Steinhof")</f>
        <v>Steinhof</v>
      </c>
    </row>
    <row r="5440">
      <c r="A5440" t="str">
        <f>IFERROR(__xludf.DUMMYFUNCTION("""COMPUTED_VALUE"""),"V-056")</f>
        <v>V-056</v>
      </c>
      <c r="B5440" s="226" t="str">
        <f>IFERROR(__xludf.DUMMYFUNCTION("""COMPUTED_VALUE"""),"5907615826078")</f>
        <v>5907615826078</v>
      </c>
      <c r="C5440" t="str">
        <f>IFERROR(__xludf.DUMMYFUNCTION("""COMPUTED_VALUE"""),"Steinhof")</f>
        <v>Steinhof</v>
      </c>
    </row>
    <row r="5441">
      <c r="A5441" t="str">
        <f>IFERROR(__xludf.DUMMYFUNCTION("""COMPUTED_VALUE"""),"V-056")</f>
        <v>V-056</v>
      </c>
      <c r="B5441" s="226" t="str">
        <f>IFERROR(__xludf.DUMMYFUNCTION("""COMPUTED_VALUE"""),"5907615826078")</f>
        <v>5907615826078</v>
      </c>
      <c r="C5441" t="str">
        <f>IFERROR(__xludf.DUMMYFUNCTION("""COMPUTED_VALUE"""),"Steinhof")</f>
        <v>Steinhof</v>
      </c>
    </row>
    <row r="5442">
      <c r="A5442" t="str">
        <f>IFERROR(__xludf.DUMMYFUNCTION("""COMPUTED_VALUE"""),"V-056")</f>
        <v>V-056</v>
      </c>
      <c r="B5442" s="226" t="str">
        <f>IFERROR(__xludf.DUMMYFUNCTION("""COMPUTED_VALUE"""),"5907615826078")</f>
        <v>5907615826078</v>
      </c>
      <c r="C5442" t="str">
        <f>IFERROR(__xludf.DUMMYFUNCTION("""COMPUTED_VALUE"""),"Steinhof")</f>
        <v>Steinhof</v>
      </c>
    </row>
    <row r="5443">
      <c r="A5443" t="str">
        <f>IFERROR(__xludf.DUMMYFUNCTION("""COMPUTED_VALUE"""),"V-056")</f>
        <v>V-056</v>
      </c>
      <c r="B5443" s="226" t="str">
        <f>IFERROR(__xludf.DUMMYFUNCTION("""COMPUTED_VALUE"""),"5907615826078")</f>
        <v>5907615826078</v>
      </c>
      <c r="C5443" t="str">
        <f>IFERROR(__xludf.DUMMYFUNCTION("""COMPUTED_VALUE"""),"Steinhof")</f>
        <v>Steinhof</v>
      </c>
    </row>
    <row r="5444">
      <c r="A5444" t="str">
        <f>IFERROR(__xludf.DUMMYFUNCTION("""COMPUTED_VALUE"""),"V-056")</f>
        <v>V-056</v>
      </c>
      <c r="B5444" s="226" t="str">
        <f>IFERROR(__xludf.DUMMYFUNCTION("""COMPUTED_VALUE"""),"5907615826078")</f>
        <v>5907615826078</v>
      </c>
      <c r="C5444" t="str">
        <f>IFERROR(__xludf.DUMMYFUNCTION("""COMPUTED_VALUE"""),"Steinhof")</f>
        <v>Steinhof</v>
      </c>
    </row>
    <row r="5445">
      <c r="A5445" t="str">
        <f>IFERROR(__xludf.DUMMYFUNCTION("""COMPUTED_VALUE"""),"V-056")</f>
        <v>V-056</v>
      </c>
      <c r="B5445" s="226" t="str">
        <f>IFERROR(__xludf.DUMMYFUNCTION("""COMPUTED_VALUE"""),"5907615826078")</f>
        <v>5907615826078</v>
      </c>
      <c r="C5445" t="str">
        <f>IFERROR(__xludf.DUMMYFUNCTION("""COMPUTED_VALUE"""),"Steinhof")</f>
        <v>Steinhof</v>
      </c>
    </row>
    <row r="5446">
      <c r="A5446" t="str">
        <f>IFERROR(__xludf.DUMMYFUNCTION("""COMPUTED_VALUE"""),"V-056")</f>
        <v>V-056</v>
      </c>
      <c r="B5446" s="226" t="str">
        <f>IFERROR(__xludf.DUMMYFUNCTION("""COMPUTED_VALUE"""),"5907615826078")</f>
        <v>5907615826078</v>
      </c>
      <c r="C5446" t="str">
        <f>IFERROR(__xludf.DUMMYFUNCTION("""COMPUTED_VALUE"""),"Steinhof")</f>
        <v>Steinhof</v>
      </c>
    </row>
    <row r="5447">
      <c r="A5447" t="str">
        <f>IFERROR(__xludf.DUMMYFUNCTION("""COMPUTED_VALUE"""),"V-056")</f>
        <v>V-056</v>
      </c>
      <c r="B5447" s="226" t="str">
        <f>IFERROR(__xludf.DUMMYFUNCTION("""COMPUTED_VALUE"""),"5907615826078")</f>
        <v>5907615826078</v>
      </c>
      <c r="C5447" t="str">
        <f>IFERROR(__xludf.DUMMYFUNCTION("""COMPUTED_VALUE"""),"Steinhof")</f>
        <v>Steinhof</v>
      </c>
    </row>
    <row r="5448">
      <c r="A5448" t="str">
        <f>IFERROR(__xludf.DUMMYFUNCTION("""COMPUTED_VALUE"""),"V-056")</f>
        <v>V-056</v>
      </c>
      <c r="B5448" s="226" t="str">
        <f>IFERROR(__xludf.DUMMYFUNCTION("""COMPUTED_VALUE"""),"5907615826078")</f>
        <v>5907615826078</v>
      </c>
      <c r="C5448" t="str">
        <f>IFERROR(__xludf.DUMMYFUNCTION("""COMPUTED_VALUE"""),"Steinhof")</f>
        <v>Steinhof</v>
      </c>
    </row>
    <row r="5449">
      <c r="A5449" t="str">
        <f>IFERROR(__xludf.DUMMYFUNCTION("""COMPUTED_VALUE"""),"V-056")</f>
        <v>V-056</v>
      </c>
      <c r="B5449" s="226" t="str">
        <f>IFERROR(__xludf.DUMMYFUNCTION("""COMPUTED_VALUE"""),"5907615826078")</f>
        <v>5907615826078</v>
      </c>
      <c r="C5449" t="str">
        <f>IFERROR(__xludf.DUMMYFUNCTION("""COMPUTED_VALUE"""),"Steinhof")</f>
        <v>Steinhof</v>
      </c>
    </row>
    <row r="5450">
      <c r="A5450" t="str">
        <f>IFERROR(__xludf.DUMMYFUNCTION("""COMPUTED_VALUE"""),"V-056")</f>
        <v>V-056</v>
      </c>
      <c r="B5450" s="226" t="str">
        <f>IFERROR(__xludf.DUMMYFUNCTION("""COMPUTED_VALUE"""),"5907615826078")</f>
        <v>5907615826078</v>
      </c>
      <c r="C5450" t="str">
        <f>IFERROR(__xludf.DUMMYFUNCTION("""COMPUTED_VALUE"""),"Steinhof")</f>
        <v>Steinhof</v>
      </c>
    </row>
    <row r="5451">
      <c r="A5451" t="str">
        <f>IFERROR(__xludf.DUMMYFUNCTION("""COMPUTED_VALUE"""),"V-056")</f>
        <v>V-056</v>
      </c>
      <c r="B5451" s="226" t="str">
        <f>IFERROR(__xludf.DUMMYFUNCTION("""COMPUTED_VALUE"""),"5907615826078")</f>
        <v>5907615826078</v>
      </c>
      <c r="C5451" t="str">
        <f>IFERROR(__xludf.DUMMYFUNCTION("""COMPUTED_VALUE"""),"Steinhof")</f>
        <v>Steinhof</v>
      </c>
    </row>
    <row r="5452">
      <c r="A5452" t="str">
        <f>IFERROR(__xludf.DUMMYFUNCTION("""COMPUTED_VALUE"""),"V-056")</f>
        <v>V-056</v>
      </c>
      <c r="B5452" s="226" t="str">
        <f>IFERROR(__xludf.DUMMYFUNCTION("""COMPUTED_VALUE"""),"5907615826078")</f>
        <v>5907615826078</v>
      </c>
      <c r="C5452" t="str">
        <f>IFERROR(__xludf.DUMMYFUNCTION("""COMPUTED_VALUE"""),"Steinhof")</f>
        <v>Steinhof</v>
      </c>
    </row>
    <row r="5453">
      <c r="A5453" t="str">
        <f>IFERROR(__xludf.DUMMYFUNCTION("""COMPUTED_VALUE"""),"V-056")</f>
        <v>V-056</v>
      </c>
      <c r="B5453" s="226" t="str">
        <f>IFERROR(__xludf.DUMMYFUNCTION("""COMPUTED_VALUE"""),"5907615826078")</f>
        <v>5907615826078</v>
      </c>
      <c r="C5453" t="str">
        <f>IFERROR(__xludf.DUMMYFUNCTION("""COMPUTED_VALUE"""),"Steinhof")</f>
        <v>Steinhof</v>
      </c>
    </row>
    <row r="5454">
      <c r="A5454" t="str">
        <f>IFERROR(__xludf.DUMMYFUNCTION("""COMPUTED_VALUE"""),"V-056")</f>
        <v>V-056</v>
      </c>
      <c r="B5454" s="226" t="str">
        <f>IFERROR(__xludf.DUMMYFUNCTION("""COMPUTED_VALUE"""),"5907615826078")</f>
        <v>5907615826078</v>
      </c>
      <c r="C5454" t="str">
        <f>IFERROR(__xludf.DUMMYFUNCTION("""COMPUTED_VALUE"""),"Steinhof")</f>
        <v>Steinhof</v>
      </c>
    </row>
    <row r="5455">
      <c r="A5455" t="str">
        <f>IFERROR(__xludf.DUMMYFUNCTION("""COMPUTED_VALUE"""),"V-056")</f>
        <v>V-056</v>
      </c>
      <c r="B5455" s="226" t="str">
        <f>IFERROR(__xludf.DUMMYFUNCTION("""COMPUTED_VALUE"""),"5907615826078")</f>
        <v>5907615826078</v>
      </c>
      <c r="C5455" t="str">
        <f>IFERROR(__xludf.DUMMYFUNCTION("""COMPUTED_VALUE"""),"Steinhof")</f>
        <v>Steinhof</v>
      </c>
    </row>
    <row r="5456">
      <c r="A5456" t="str">
        <f>IFERROR(__xludf.DUMMYFUNCTION("""COMPUTED_VALUE"""),"V-056")</f>
        <v>V-056</v>
      </c>
      <c r="B5456" s="226" t="str">
        <f>IFERROR(__xludf.DUMMYFUNCTION("""COMPUTED_VALUE"""),"5907615826078")</f>
        <v>5907615826078</v>
      </c>
      <c r="C5456" t="str">
        <f>IFERROR(__xludf.DUMMYFUNCTION("""COMPUTED_VALUE"""),"Steinhof")</f>
        <v>Steinhof</v>
      </c>
    </row>
    <row r="5457">
      <c r="A5457" t="str">
        <f>IFERROR(__xludf.DUMMYFUNCTION("""COMPUTED_VALUE"""),"V-056")</f>
        <v>V-056</v>
      </c>
      <c r="B5457" s="226" t="str">
        <f>IFERROR(__xludf.DUMMYFUNCTION("""COMPUTED_VALUE"""),"5907615826078")</f>
        <v>5907615826078</v>
      </c>
      <c r="C5457" t="str">
        <f>IFERROR(__xludf.DUMMYFUNCTION("""COMPUTED_VALUE"""),"Steinhof")</f>
        <v>Steinhof</v>
      </c>
    </row>
    <row r="5458">
      <c r="A5458" t="str">
        <f>IFERROR(__xludf.DUMMYFUNCTION("""COMPUTED_VALUE"""),"V-056")</f>
        <v>V-056</v>
      </c>
      <c r="B5458" s="226" t="str">
        <f>IFERROR(__xludf.DUMMYFUNCTION("""COMPUTED_VALUE"""),"5907615826078")</f>
        <v>5907615826078</v>
      </c>
      <c r="C5458" t="str">
        <f>IFERROR(__xludf.DUMMYFUNCTION("""COMPUTED_VALUE"""),"Steinhof")</f>
        <v>Steinhof</v>
      </c>
    </row>
    <row r="5459">
      <c r="A5459" t="str">
        <f>IFERROR(__xludf.DUMMYFUNCTION("""COMPUTED_VALUE"""),"V-058")</f>
        <v>V-058</v>
      </c>
      <c r="B5459" s="226" t="str">
        <f>IFERROR(__xludf.DUMMYFUNCTION("""COMPUTED_VALUE"""),"5907615826092")</f>
        <v>5907615826092</v>
      </c>
      <c r="C5459" t="str">
        <f>IFERROR(__xludf.DUMMYFUNCTION("""COMPUTED_VALUE"""),"Steinhof")</f>
        <v>Steinhof</v>
      </c>
    </row>
    <row r="5460">
      <c r="A5460" t="str">
        <f>IFERROR(__xludf.DUMMYFUNCTION("""COMPUTED_VALUE"""),"V-058")</f>
        <v>V-058</v>
      </c>
      <c r="B5460" s="226" t="str">
        <f>IFERROR(__xludf.DUMMYFUNCTION("""COMPUTED_VALUE"""),"5907615826092")</f>
        <v>5907615826092</v>
      </c>
      <c r="C5460" t="str">
        <f>IFERROR(__xludf.DUMMYFUNCTION("""COMPUTED_VALUE"""),"Steinhof")</f>
        <v>Steinhof</v>
      </c>
    </row>
    <row r="5461">
      <c r="A5461" t="str">
        <f>IFERROR(__xludf.DUMMYFUNCTION("""COMPUTED_VALUE"""),"V-058")</f>
        <v>V-058</v>
      </c>
      <c r="B5461" s="226" t="str">
        <f>IFERROR(__xludf.DUMMYFUNCTION("""COMPUTED_VALUE"""),"5907615826092")</f>
        <v>5907615826092</v>
      </c>
      <c r="C5461" t="str">
        <f>IFERROR(__xludf.DUMMYFUNCTION("""COMPUTED_VALUE"""),"Steinhof")</f>
        <v>Steinhof</v>
      </c>
    </row>
    <row r="5462">
      <c r="A5462" t="str">
        <f>IFERROR(__xludf.DUMMYFUNCTION("""COMPUTED_VALUE"""),"V-058")</f>
        <v>V-058</v>
      </c>
      <c r="B5462" s="226" t="str">
        <f>IFERROR(__xludf.DUMMYFUNCTION("""COMPUTED_VALUE"""),"5907615826092")</f>
        <v>5907615826092</v>
      </c>
      <c r="C5462" t="str">
        <f>IFERROR(__xludf.DUMMYFUNCTION("""COMPUTED_VALUE"""),"Steinhof")</f>
        <v>Steinhof</v>
      </c>
    </row>
    <row r="5463">
      <c r="A5463" t="str">
        <f>IFERROR(__xludf.DUMMYFUNCTION("""COMPUTED_VALUE"""),"V-058")</f>
        <v>V-058</v>
      </c>
      <c r="B5463" s="226" t="str">
        <f>IFERROR(__xludf.DUMMYFUNCTION("""COMPUTED_VALUE"""),"5907615826092")</f>
        <v>5907615826092</v>
      </c>
      <c r="C5463" t="str">
        <f>IFERROR(__xludf.DUMMYFUNCTION("""COMPUTED_VALUE"""),"Steinhof")</f>
        <v>Steinhof</v>
      </c>
    </row>
    <row r="5464">
      <c r="A5464" t="str">
        <f>IFERROR(__xludf.DUMMYFUNCTION("""COMPUTED_VALUE"""),"V-058")</f>
        <v>V-058</v>
      </c>
      <c r="B5464" s="226" t="str">
        <f>IFERROR(__xludf.DUMMYFUNCTION("""COMPUTED_VALUE"""),"5907615826092")</f>
        <v>5907615826092</v>
      </c>
      <c r="C5464" t="str">
        <f>IFERROR(__xludf.DUMMYFUNCTION("""COMPUTED_VALUE"""),"Steinhof")</f>
        <v>Steinhof</v>
      </c>
    </row>
    <row r="5465">
      <c r="A5465" t="str">
        <f>IFERROR(__xludf.DUMMYFUNCTION("""COMPUTED_VALUE"""),"V-062")</f>
        <v>V-062</v>
      </c>
      <c r="B5465" s="226" t="str">
        <f>IFERROR(__xludf.DUMMYFUNCTION("""COMPUTED_VALUE"""),"5907615826139")</f>
        <v>5907615826139</v>
      </c>
      <c r="C5465" t="str">
        <f>IFERROR(__xludf.DUMMYFUNCTION("""COMPUTED_VALUE"""),"Steinhof")</f>
        <v>Steinhof</v>
      </c>
    </row>
    <row r="5466">
      <c r="A5466" t="str">
        <f>IFERROR(__xludf.DUMMYFUNCTION("""COMPUTED_VALUE"""),"V-062")</f>
        <v>V-062</v>
      </c>
      <c r="B5466" s="226" t="str">
        <f>IFERROR(__xludf.DUMMYFUNCTION("""COMPUTED_VALUE"""),"5907615826139")</f>
        <v>5907615826139</v>
      </c>
      <c r="C5466" t="str">
        <f>IFERROR(__xludf.DUMMYFUNCTION("""COMPUTED_VALUE"""),"Steinhof")</f>
        <v>Steinhof</v>
      </c>
    </row>
    <row r="5467">
      <c r="A5467" t="str">
        <f>IFERROR(__xludf.DUMMYFUNCTION("""COMPUTED_VALUE"""),"V-062")</f>
        <v>V-062</v>
      </c>
      <c r="B5467" s="226" t="str">
        <f>IFERROR(__xludf.DUMMYFUNCTION("""COMPUTED_VALUE"""),"5907615826139")</f>
        <v>5907615826139</v>
      </c>
      <c r="C5467" t="str">
        <f>IFERROR(__xludf.DUMMYFUNCTION("""COMPUTED_VALUE"""),"Steinhof")</f>
        <v>Steinhof</v>
      </c>
    </row>
    <row r="5468">
      <c r="A5468" t="str">
        <f>IFERROR(__xludf.DUMMYFUNCTION("""COMPUTED_VALUE"""),"V-062")</f>
        <v>V-062</v>
      </c>
      <c r="B5468" s="226" t="str">
        <f>IFERROR(__xludf.DUMMYFUNCTION("""COMPUTED_VALUE"""),"5907615826139")</f>
        <v>5907615826139</v>
      </c>
      <c r="C5468" t="str">
        <f>IFERROR(__xludf.DUMMYFUNCTION("""COMPUTED_VALUE"""),"Steinhof")</f>
        <v>Steinhof</v>
      </c>
    </row>
    <row r="5469">
      <c r="A5469" t="str">
        <f>IFERROR(__xludf.DUMMYFUNCTION("""COMPUTED_VALUE"""),"V-062")</f>
        <v>V-062</v>
      </c>
      <c r="B5469" s="226" t="str">
        <f>IFERROR(__xludf.DUMMYFUNCTION("""COMPUTED_VALUE"""),"5907615826139")</f>
        <v>5907615826139</v>
      </c>
      <c r="C5469" t="str">
        <f>IFERROR(__xludf.DUMMYFUNCTION("""COMPUTED_VALUE"""),"Steinhof")</f>
        <v>Steinhof</v>
      </c>
    </row>
    <row r="5470">
      <c r="A5470" t="str">
        <f>IFERROR(__xludf.DUMMYFUNCTION("""COMPUTED_VALUE"""),"V-062")</f>
        <v>V-062</v>
      </c>
      <c r="B5470" s="226" t="str">
        <f>IFERROR(__xludf.DUMMYFUNCTION("""COMPUTED_VALUE"""),"5907615826139")</f>
        <v>5907615826139</v>
      </c>
      <c r="C5470" t="str">
        <f>IFERROR(__xludf.DUMMYFUNCTION("""COMPUTED_VALUE"""),"Steinhof")</f>
        <v>Steinhof</v>
      </c>
    </row>
    <row r="5471">
      <c r="A5471" t="str">
        <f>IFERROR(__xludf.DUMMYFUNCTION("""COMPUTED_VALUE"""),"V-062")</f>
        <v>V-062</v>
      </c>
      <c r="B5471" s="226" t="str">
        <f>IFERROR(__xludf.DUMMYFUNCTION("""COMPUTED_VALUE"""),"5907615826139")</f>
        <v>5907615826139</v>
      </c>
      <c r="C5471" t="str">
        <f>IFERROR(__xludf.DUMMYFUNCTION("""COMPUTED_VALUE"""),"Steinhof")</f>
        <v>Steinhof</v>
      </c>
    </row>
    <row r="5472">
      <c r="A5472" t="str">
        <f>IFERROR(__xludf.DUMMYFUNCTION("""COMPUTED_VALUE"""),"V-062")</f>
        <v>V-062</v>
      </c>
      <c r="B5472" s="226" t="str">
        <f>IFERROR(__xludf.DUMMYFUNCTION("""COMPUTED_VALUE"""),"5907615826139")</f>
        <v>5907615826139</v>
      </c>
      <c r="C5472" t="str">
        <f>IFERROR(__xludf.DUMMYFUNCTION("""COMPUTED_VALUE"""),"Steinhof")</f>
        <v>Steinhof</v>
      </c>
    </row>
    <row r="5473">
      <c r="A5473" t="str">
        <f>IFERROR(__xludf.DUMMYFUNCTION("""COMPUTED_VALUE"""),"V-062")</f>
        <v>V-062</v>
      </c>
      <c r="B5473" s="226" t="str">
        <f>IFERROR(__xludf.DUMMYFUNCTION("""COMPUTED_VALUE"""),"5907615826139")</f>
        <v>5907615826139</v>
      </c>
      <c r="C5473" t="str">
        <f>IFERROR(__xludf.DUMMYFUNCTION("""COMPUTED_VALUE"""),"Steinhof")</f>
        <v>Steinhof</v>
      </c>
    </row>
    <row r="5474">
      <c r="A5474" t="str">
        <f>IFERROR(__xludf.DUMMYFUNCTION("""COMPUTED_VALUE"""),"V-062")</f>
        <v>V-062</v>
      </c>
      <c r="B5474" s="226" t="str">
        <f>IFERROR(__xludf.DUMMYFUNCTION("""COMPUTED_VALUE"""),"5907615826139")</f>
        <v>5907615826139</v>
      </c>
      <c r="C5474" t="str">
        <f>IFERROR(__xludf.DUMMYFUNCTION("""COMPUTED_VALUE"""),"Steinhof")</f>
        <v>Steinhof</v>
      </c>
    </row>
    <row r="5475">
      <c r="A5475" t="str">
        <f>IFERROR(__xludf.DUMMYFUNCTION("""COMPUTED_VALUE"""),"V-062")</f>
        <v>V-062</v>
      </c>
      <c r="B5475" s="226" t="str">
        <f>IFERROR(__xludf.DUMMYFUNCTION("""COMPUTED_VALUE"""),"5907615826139")</f>
        <v>5907615826139</v>
      </c>
      <c r="C5475" t="str">
        <f>IFERROR(__xludf.DUMMYFUNCTION("""COMPUTED_VALUE"""),"Steinhof")</f>
        <v>Steinhof</v>
      </c>
    </row>
    <row r="5476">
      <c r="A5476" t="str">
        <f>IFERROR(__xludf.DUMMYFUNCTION("""COMPUTED_VALUE"""),"V-062")</f>
        <v>V-062</v>
      </c>
      <c r="B5476" s="226" t="str">
        <f>IFERROR(__xludf.DUMMYFUNCTION("""COMPUTED_VALUE"""),"5907615826139")</f>
        <v>5907615826139</v>
      </c>
      <c r="C5476" t="str">
        <f>IFERROR(__xludf.DUMMYFUNCTION("""COMPUTED_VALUE"""),"Steinhof")</f>
        <v>Steinhof</v>
      </c>
    </row>
    <row r="5477">
      <c r="A5477" t="str">
        <f>IFERROR(__xludf.DUMMYFUNCTION("""COMPUTED_VALUE"""),"V-062")</f>
        <v>V-062</v>
      </c>
      <c r="B5477" s="226" t="str">
        <f>IFERROR(__xludf.DUMMYFUNCTION("""COMPUTED_VALUE"""),"5907615826139")</f>
        <v>5907615826139</v>
      </c>
      <c r="C5477" t="str">
        <f>IFERROR(__xludf.DUMMYFUNCTION("""COMPUTED_VALUE"""),"Steinhof")</f>
        <v>Steinhof</v>
      </c>
    </row>
    <row r="5478">
      <c r="A5478" t="str">
        <f>IFERROR(__xludf.DUMMYFUNCTION("""COMPUTED_VALUE"""),"V-062")</f>
        <v>V-062</v>
      </c>
      <c r="B5478" s="226" t="str">
        <f>IFERROR(__xludf.DUMMYFUNCTION("""COMPUTED_VALUE"""),"5907615826139")</f>
        <v>5907615826139</v>
      </c>
      <c r="C5478" t="str">
        <f>IFERROR(__xludf.DUMMYFUNCTION("""COMPUTED_VALUE"""),"Steinhof")</f>
        <v>Steinhof</v>
      </c>
    </row>
    <row r="5479">
      <c r="A5479" t="str">
        <f>IFERROR(__xludf.DUMMYFUNCTION("""COMPUTED_VALUE"""),"V-062")</f>
        <v>V-062</v>
      </c>
      <c r="B5479" s="226" t="str">
        <f>IFERROR(__xludf.DUMMYFUNCTION("""COMPUTED_VALUE"""),"5907615826139")</f>
        <v>5907615826139</v>
      </c>
      <c r="C5479" t="str">
        <f>IFERROR(__xludf.DUMMYFUNCTION("""COMPUTED_VALUE"""),"Steinhof")</f>
        <v>Steinhof</v>
      </c>
    </row>
    <row r="5480">
      <c r="A5480" t="str">
        <f>IFERROR(__xludf.DUMMYFUNCTION("""COMPUTED_VALUE"""),"V-062")</f>
        <v>V-062</v>
      </c>
      <c r="B5480" s="226" t="str">
        <f>IFERROR(__xludf.DUMMYFUNCTION("""COMPUTED_VALUE"""),"5907615826139")</f>
        <v>5907615826139</v>
      </c>
      <c r="C5480" t="str">
        <f>IFERROR(__xludf.DUMMYFUNCTION("""COMPUTED_VALUE"""),"Steinhof")</f>
        <v>Steinhof</v>
      </c>
    </row>
    <row r="5481">
      <c r="A5481" t="str">
        <f>IFERROR(__xludf.DUMMYFUNCTION("""COMPUTED_VALUE"""),"V-063")</f>
        <v>V-063</v>
      </c>
      <c r="B5481" s="226" t="str">
        <f>IFERROR(__xludf.DUMMYFUNCTION("""COMPUTED_VALUE"""),"5907615826146")</f>
        <v>5907615826146</v>
      </c>
      <c r="C5481" t="str">
        <f>IFERROR(__xludf.DUMMYFUNCTION("""COMPUTED_VALUE"""),"Steinhof")</f>
        <v>Steinhof</v>
      </c>
    </row>
    <row r="5482">
      <c r="A5482" t="str">
        <f>IFERROR(__xludf.DUMMYFUNCTION("""COMPUTED_VALUE"""),"V-063")</f>
        <v>V-063</v>
      </c>
      <c r="B5482" s="226" t="str">
        <f>IFERROR(__xludf.DUMMYFUNCTION("""COMPUTED_VALUE"""),"5907615826146")</f>
        <v>5907615826146</v>
      </c>
      <c r="C5482" t="str">
        <f>IFERROR(__xludf.DUMMYFUNCTION("""COMPUTED_VALUE"""),"Steinhof")</f>
        <v>Steinhof</v>
      </c>
    </row>
    <row r="5483">
      <c r="A5483" t="str">
        <f>IFERROR(__xludf.DUMMYFUNCTION("""COMPUTED_VALUE"""),"V-063")</f>
        <v>V-063</v>
      </c>
      <c r="B5483" s="226" t="str">
        <f>IFERROR(__xludf.DUMMYFUNCTION("""COMPUTED_VALUE"""),"5907615826146")</f>
        <v>5907615826146</v>
      </c>
      <c r="C5483" t="str">
        <f>IFERROR(__xludf.DUMMYFUNCTION("""COMPUTED_VALUE"""),"Steinhof")</f>
        <v>Steinhof</v>
      </c>
    </row>
    <row r="5484">
      <c r="A5484" t="str">
        <f>IFERROR(__xludf.DUMMYFUNCTION("""COMPUTED_VALUE"""),"V-063")</f>
        <v>V-063</v>
      </c>
      <c r="B5484" s="226" t="str">
        <f>IFERROR(__xludf.DUMMYFUNCTION("""COMPUTED_VALUE"""),"5907615826146")</f>
        <v>5907615826146</v>
      </c>
      <c r="C5484" t="str">
        <f>IFERROR(__xludf.DUMMYFUNCTION("""COMPUTED_VALUE"""),"Steinhof")</f>
        <v>Steinhof</v>
      </c>
    </row>
    <row r="5485">
      <c r="A5485" t="str">
        <f>IFERROR(__xludf.DUMMYFUNCTION("""COMPUTED_VALUE"""),"V-063")</f>
        <v>V-063</v>
      </c>
      <c r="B5485" s="226" t="str">
        <f>IFERROR(__xludf.DUMMYFUNCTION("""COMPUTED_VALUE"""),"5907615826146")</f>
        <v>5907615826146</v>
      </c>
      <c r="C5485" t="str">
        <f>IFERROR(__xludf.DUMMYFUNCTION("""COMPUTED_VALUE"""),"Steinhof")</f>
        <v>Steinhof</v>
      </c>
    </row>
    <row r="5486">
      <c r="A5486" t="str">
        <f>IFERROR(__xludf.DUMMYFUNCTION("""COMPUTED_VALUE"""),"V-063")</f>
        <v>V-063</v>
      </c>
      <c r="B5486" s="226" t="str">
        <f>IFERROR(__xludf.DUMMYFUNCTION("""COMPUTED_VALUE"""),"5907615826146")</f>
        <v>5907615826146</v>
      </c>
      <c r="C5486" t="str">
        <f>IFERROR(__xludf.DUMMYFUNCTION("""COMPUTED_VALUE"""),"Steinhof")</f>
        <v>Steinhof</v>
      </c>
    </row>
    <row r="5487">
      <c r="A5487" t="str">
        <f>IFERROR(__xludf.DUMMYFUNCTION("""COMPUTED_VALUE"""),"V-063")</f>
        <v>V-063</v>
      </c>
      <c r="B5487" s="226" t="str">
        <f>IFERROR(__xludf.DUMMYFUNCTION("""COMPUTED_VALUE"""),"5907615826146")</f>
        <v>5907615826146</v>
      </c>
      <c r="C5487" t="str">
        <f>IFERROR(__xludf.DUMMYFUNCTION("""COMPUTED_VALUE"""),"Steinhof")</f>
        <v>Steinhof</v>
      </c>
    </row>
    <row r="5488">
      <c r="A5488" t="str">
        <f>IFERROR(__xludf.DUMMYFUNCTION("""COMPUTED_VALUE"""),"V-063")</f>
        <v>V-063</v>
      </c>
      <c r="B5488" s="226" t="str">
        <f>IFERROR(__xludf.DUMMYFUNCTION("""COMPUTED_VALUE"""),"5907615826146")</f>
        <v>5907615826146</v>
      </c>
      <c r="C5488" t="str">
        <f>IFERROR(__xludf.DUMMYFUNCTION("""COMPUTED_VALUE"""),"Steinhof")</f>
        <v>Steinhof</v>
      </c>
    </row>
    <row r="5489">
      <c r="A5489" t="str">
        <f>IFERROR(__xludf.DUMMYFUNCTION("""COMPUTED_VALUE"""),"V-063")</f>
        <v>V-063</v>
      </c>
      <c r="B5489" s="226" t="str">
        <f>IFERROR(__xludf.DUMMYFUNCTION("""COMPUTED_VALUE"""),"5907615826146")</f>
        <v>5907615826146</v>
      </c>
      <c r="C5489" t="str">
        <f>IFERROR(__xludf.DUMMYFUNCTION("""COMPUTED_VALUE"""),"Steinhof")</f>
        <v>Steinhof</v>
      </c>
    </row>
    <row r="5490">
      <c r="A5490" t="str">
        <f>IFERROR(__xludf.DUMMYFUNCTION("""COMPUTED_VALUE"""),"V-063")</f>
        <v>V-063</v>
      </c>
      <c r="B5490" s="226" t="str">
        <f>IFERROR(__xludf.DUMMYFUNCTION("""COMPUTED_VALUE"""),"5907615826146")</f>
        <v>5907615826146</v>
      </c>
      <c r="C5490" t="str">
        <f>IFERROR(__xludf.DUMMYFUNCTION("""COMPUTED_VALUE"""),"Steinhof")</f>
        <v>Steinhof</v>
      </c>
    </row>
    <row r="5491">
      <c r="A5491" t="str">
        <f>IFERROR(__xludf.DUMMYFUNCTION("""COMPUTED_VALUE"""),"V-063")</f>
        <v>V-063</v>
      </c>
      <c r="B5491" s="226" t="str">
        <f>IFERROR(__xludf.DUMMYFUNCTION("""COMPUTED_VALUE"""),"5907615826146")</f>
        <v>5907615826146</v>
      </c>
      <c r="C5491" t="str">
        <f>IFERROR(__xludf.DUMMYFUNCTION("""COMPUTED_VALUE"""),"Steinhof")</f>
        <v>Steinhof</v>
      </c>
    </row>
    <row r="5492">
      <c r="A5492" t="str">
        <f>IFERROR(__xludf.DUMMYFUNCTION("""COMPUTED_VALUE"""),"V-063")</f>
        <v>V-063</v>
      </c>
      <c r="B5492" s="226" t="str">
        <f>IFERROR(__xludf.DUMMYFUNCTION("""COMPUTED_VALUE"""),"5907615826146")</f>
        <v>5907615826146</v>
      </c>
      <c r="C5492" t="str">
        <f>IFERROR(__xludf.DUMMYFUNCTION("""COMPUTED_VALUE"""),"Steinhof")</f>
        <v>Steinhof</v>
      </c>
    </row>
    <row r="5493">
      <c r="A5493" t="str">
        <f>IFERROR(__xludf.DUMMYFUNCTION("""COMPUTED_VALUE"""),"V-063")</f>
        <v>V-063</v>
      </c>
      <c r="B5493" s="226" t="str">
        <f>IFERROR(__xludf.DUMMYFUNCTION("""COMPUTED_VALUE"""),"5907615826146")</f>
        <v>5907615826146</v>
      </c>
      <c r="C5493" t="str">
        <f>IFERROR(__xludf.DUMMYFUNCTION("""COMPUTED_VALUE"""),"Steinhof")</f>
        <v>Steinhof</v>
      </c>
    </row>
    <row r="5494">
      <c r="A5494" t="str">
        <f>IFERROR(__xludf.DUMMYFUNCTION("""COMPUTED_VALUE"""),"V-063")</f>
        <v>V-063</v>
      </c>
      <c r="B5494" s="226" t="str">
        <f>IFERROR(__xludf.DUMMYFUNCTION("""COMPUTED_VALUE"""),"5907615826146")</f>
        <v>5907615826146</v>
      </c>
      <c r="C5494" t="str">
        <f>IFERROR(__xludf.DUMMYFUNCTION("""COMPUTED_VALUE"""),"Steinhof")</f>
        <v>Steinhof</v>
      </c>
    </row>
    <row r="5495">
      <c r="A5495" t="str">
        <f>IFERROR(__xludf.DUMMYFUNCTION("""COMPUTED_VALUE"""),"V-063")</f>
        <v>V-063</v>
      </c>
      <c r="B5495" s="226" t="str">
        <f>IFERROR(__xludf.DUMMYFUNCTION("""COMPUTED_VALUE"""),"5907615826146")</f>
        <v>5907615826146</v>
      </c>
      <c r="C5495" t="str">
        <f>IFERROR(__xludf.DUMMYFUNCTION("""COMPUTED_VALUE"""),"Steinhof")</f>
        <v>Steinhof</v>
      </c>
    </row>
    <row r="5496">
      <c r="A5496" t="str">
        <f>IFERROR(__xludf.DUMMYFUNCTION("""COMPUTED_VALUE"""),"V-063")</f>
        <v>V-063</v>
      </c>
      <c r="B5496" s="226" t="str">
        <f>IFERROR(__xludf.DUMMYFUNCTION("""COMPUTED_VALUE"""),"5907615826146")</f>
        <v>5907615826146</v>
      </c>
      <c r="C5496" t="str">
        <f>IFERROR(__xludf.DUMMYFUNCTION("""COMPUTED_VALUE"""),"Steinhof")</f>
        <v>Steinhof</v>
      </c>
    </row>
    <row r="5497">
      <c r="A5497" t="str">
        <f>IFERROR(__xludf.DUMMYFUNCTION("""COMPUTED_VALUE"""),"V-064")</f>
        <v>V-064</v>
      </c>
      <c r="B5497" s="226" t="str">
        <f>IFERROR(__xludf.DUMMYFUNCTION("""COMPUTED_VALUE"""),"5907615826153")</f>
        <v>5907615826153</v>
      </c>
      <c r="C5497" t="str">
        <f>IFERROR(__xludf.DUMMYFUNCTION("""COMPUTED_VALUE"""),"Steinhof")</f>
        <v>Steinhof</v>
      </c>
    </row>
    <row r="5498">
      <c r="A5498" t="str">
        <f>IFERROR(__xludf.DUMMYFUNCTION("""COMPUTED_VALUE"""),"V-065")</f>
        <v>V-065</v>
      </c>
      <c r="B5498" s="226" t="str">
        <f>IFERROR(__xludf.DUMMYFUNCTION("""COMPUTED_VALUE"""),"5907615826160")</f>
        <v>5907615826160</v>
      </c>
      <c r="C5498" t="str">
        <f>IFERROR(__xludf.DUMMYFUNCTION("""COMPUTED_VALUE"""),"Steinhof")</f>
        <v>Steinhof</v>
      </c>
    </row>
    <row r="5499">
      <c r="A5499" t="str">
        <f>IFERROR(__xludf.DUMMYFUNCTION("""COMPUTED_VALUE"""),"V-066")</f>
        <v>V-066</v>
      </c>
      <c r="B5499" s="226" t="str">
        <f>IFERROR(__xludf.DUMMYFUNCTION("""COMPUTED_VALUE"""),"5907615826177")</f>
        <v>5907615826177</v>
      </c>
      <c r="C5499" t="str">
        <f>IFERROR(__xludf.DUMMYFUNCTION("""COMPUTED_VALUE"""),"Steinhof")</f>
        <v>Steinhof</v>
      </c>
    </row>
    <row r="5500">
      <c r="A5500" t="str">
        <f>IFERROR(__xludf.DUMMYFUNCTION("""COMPUTED_VALUE"""),"V-067")</f>
        <v>V-067</v>
      </c>
      <c r="B5500" s="226" t="str">
        <f>IFERROR(__xludf.DUMMYFUNCTION("""COMPUTED_VALUE"""),"5907615826184")</f>
        <v>5907615826184</v>
      </c>
      <c r="C5500" t="str">
        <f>IFERROR(__xludf.DUMMYFUNCTION("""COMPUTED_VALUE"""),"Steinhof")</f>
        <v>Steinhof</v>
      </c>
    </row>
    <row r="5501">
      <c r="A5501" t="str">
        <f>IFERROR(__xludf.DUMMYFUNCTION("""COMPUTED_VALUE"""),"V-072")</f>
        <v>V-072</v>
      </c>
      <c r="B5501" s="226" t="str">
        <f>IFERROR(__xludf.DUMMYFUNCTION("""COMPUTED_VALUE"""),"5907615826238")</f>
        <v>5907615826238</v>
      </c>
      <c r="C5501" t="str">
        <f>IFERROR(__xludf.DUMMYFUNCTION("""COMPUTED_VALUE"""),"Steinhof")</f>
        <v>Steinhof</v>
      </c>
    </row>
    <row r="5502">
      <c r="A5502" t="str">
        <f>IFERROR(__xludf.DUMMYFUNCTION("""COMPUTED_VALUE"""),"V-072")</f>
        <v>V-072</v>
      </c>
      <c r="B5502" s="226" t="str">
        <f>IFERROR(__xludf.DUMMYFUNCTION("""COMPUTED_VALUE"""),"5907615826238")</f>
        <v>5907615826238</v>
      </c>
      <c r="C5502" t="str">
        <f>IFERROR(__xludf.DUMMYFUNCTION("""COMPUTED_VALUE"""),"Steinhof")</f>
        <v>Steinhof</v>
      </c>
    </row>
    <row r="5503">
      <c r="A5503" t="str">
        <f>IFERROR(__xludf.DUMMYFUNCTION("""COMPUTED_VALUE"""),"V-074")</f>
        <v>V-074</v>
      </c>
      <c r="B5503" s="226" t="str">
        <f>IFERROR(__xludf.DUMMYFUNCTION("""COMPUTED_VALUE"""),"5907615826252")</f>
        <v>5907615826252</v>
      </c>
      <c r="C5503" t="str">
        <f>IFERROR(__xludf.DUMMYFUNCTION("""COMPUTED_VALUE"""),"Steinhof")</f>
        <v>Steinhof</v>
      </c>
    </row>
    <row r="5504">
      <c r="A5504" t="str">
        <f>IFERROR(__xludf.DUMMYFUNCTION("""COMPUTED_VALUE"""),"V-075")</f>
        <v>V-075</v>
      </c>
      <c r="B5504" s="226" t="str">
        <f>IFERROR(__xludf.DUMMYFUNCTION("""COMPUTED_VALUE"""),"5907615826269")</f>
        <v>5907615826269</v>
      </c>
      <c r="C5504" t="str">
        <f>IFERROR(__xludf.DUMMYFUNCTION("""COMPUTED_VALUE"""),"Steinhof")</f>
        <v>Steinhof</v>
      </c>
    </row>
    <row r="5505">
      <c r="A5505" t="str">
        <f>IFERROR(__xludf.DUMMYFUNCTION("""COMPUTED_VALUE"""),"V-098")</f>
        <v>V-098</v>
      </c>
      <c r="B5505" s="226" t="str">
        <f>IFERROR(__xludf.DUMMYFUNCTION("""COMPUTED_VALUE"""),"5907615826498")</f>
        <v>5907615826498</v>
      </c>
      <c r="C5505" t="str">
        <f>IFERROR(__xludf.DUMMYFUNCTION("""COMPUTED_VALUE"""),"Steinhof")</f>
        <v>Steinhof</v>
      </c>
    </row>
    <row r="5506">
      <c r="A5506" t="str">
        <f>IFERROR(__xludf.DUMMYFUNCTION("""COMPUTED_VALUE"""),"V-098")</f>
        <v>V-098</v>
      </c>
      <c r="B5506" s="226" t="str">
        <f>IFERROR(__xludf.DUMMYFUNCTION("""COMPUTED_VALUE"""),"5907615826498")</f>
        <v>5907615826498</v>
      </c>
      <c r="C5506" t="str">
        <f>IFERROR(__xludf.DUMMYFUNCTION("""COMPUTED_VALUE"""),"Steinhof")</f>
        <v>Steinhof</v>
      </c>
    </row>
    <row r="5507">
      <c r="A5507" t="str">
        <f>IFERROR(__xludf.DUMMYFUNCTION("""COMPUTED_VALUE"""),"V-104")</f>
        <v>V-104</v>
      </c>
      <c r="B5507" s="226" t="str">
        <f>IFERROR(__xludf.DUMMYFUNCTION("""COMPUTED_VALUE"""),"5907615826559")</f>
        <v>5907615826559</v>
      </c>
      <c r="C5507" t="str">
        <f>IFERROR(__xludf.DUMMYFUNCTION("""COMPUTED_VALUE"""),"Steinhof")</f>
        <v>Steinhof</v>
      </c>
    </row>
    <row r="5508">
      <c r="A5508" t="str">
        <f>IFERROR(__xludf.DUMMYFUNCTION("""COMPUTED_VALUE"""),"V-104")</f>
        <v>V-104</v>
      </c>
      <c r="B5508" s="226" t="str">
        <f>IFERROR(__xludf.DUMMYFUNCTION("""COMPUTED_VALUE"""),"5907615826559")</f>
        <v>5907615826559</v>
      </c>
      <c r="C5508" t="str">
        <f>IFERROR(__xludf.DUMMYFUNCTION("""COMPUTED_VALUE"""),"Steinhof")</f>
        <v>Steinhof</v>
      </c>
    </row>
    <row r="5509">
      <c r="A5509" t="str">
        <f>IFERROR(__xludf.DUMMYFUNCTION("""COMPUTED_VALUE"""),"V-107")</f>
        <v>V-107</v>
      </c>
      <c r="B5509" s="226" t="str">
        <f>IFERROR(__xludf.DUMMYFUNCTION("""COMPUTED_VALUE"""),"5907615826580")</f>
        <v>5907615826580</v>
      </c>
      <c r="C5509" t="str">
        <f>IFERROR(__xludf.DUMMYFUNCTION("""COMPUTED_VALUE"""),"Steinhof")</f>
        <v>Steinhof</v>
      </c>
    </row>
    <row r="5510">
      <c r="A5510" t="str">
        <f>IFERROR(__xludf.DUMMYFUNCTION("""COMPUTED_VALUE"""),"V-107")</f>
        <v>V-107</v>
      </c>
      <c r="B5510" s="226" t="str">
        <f>IFERROR(__xludf.DUMMYFUNCTION("""COMPUTED_VALUE"""),"5907615826580")</f>
        <v>5907615826580</v>
      </c>
      <c r="C5510" t="str">
        <f>IFERROR(__xludf.DUMMYFUNCTION("""COMPUTED_VALUE"""),"Steinhof")</f>
        <v>Steinhof</v>
      </c>
    </row>
    <row r="5511">
      <c r="A5511" t="str">
        <f>IFERROR(__xludf.DUMMYFUNCTION("""COMPUTED_VALUE"""),"V-108")</f>
        <v>V-108</v>
      </c>
      <c r="B5511" s="226" t="str">
        <f>IFERROR(__xludf.DUMMYFUNCTION("""COMPUTED_VALUE"""),"5907615826597")</f>
        <v>5907615826597</v>
      </c>
      <c r="C5511" t="str">
        <f>IFERROR(__xludf.DUMMYFUNCTION("""COMPUTED_VALUE"""),"Steinhof")</f>
        <v>Steinhof</v>
      </c>
    </row>
    <row r="5512">
      <c r="A5512" t="str">
        <f>IFERROR(__xludf.DUMMYFUNCTION("""COMPUTED_VALUE"""),"V-108")</f>
        <v>V-108</v>
      </c>
      <c r="B5512" s="226" t="str">
        <f>IFERROR(__xludf.DUMMYFUNCTION("""COMPUTED_VALUE"""),"5907615826597")</f>
        <v>5907615826597</v>
      </c>
      <c r="C5512" t="str">
        <f>IFERROR(__xludf.DUMMYFUNCTION("""COMPUTED_VALUE"""),"Steinhof")</f>
        <v>Steinhof</v>
      </c>
    </row>
    <row r="5513">
      <c r="A5513" t="str">
        <f>IFERROR(__xludf.DUMMYFUNCTION("""COMPUTED_VALUE"""),"V-112")</f>
        <v>V-112</v>
      </c>
      <c r="B5513" s="226" t="str">
        <f>IFERROR(__xludf.DUMMYFUNCTION("""COMPUTED_VALUE"""),"5907615826634")</f>
        <v>5907615826634</v>
      </c>
      <c r="C5513" t="str">
        <f>IFERROR(__xludf.DUMMYFUNCTION("""COMPUTED_VALUE"""),"Steinhof")</f>
        <v>Steinhof</v>
      </c>
    </row>
    <row r="5514">
      <c r="A5514" t="str">
        <f>IFERROR(__xludf.DUMMYFUNCTION("""COMPUTED_VALUE"""),"V-113")</f>
        <v>V-113</v>
      </c>
      <c r="B5514" s="226" t="str">
        <f>IFERROR(__xludf.DUMMYFUNCTION("""COMPUTED_VALUE"""),"5907615826641")</f>
        <v>5907615826641</v>
      </c>
      <c r="C5514" t="str">
        <f>IFERROR(__xludf.DUMMYFUNCTION("""COMPUTED_VALUE"""),"Steinhof")</f>
        <v>Steinhof</v>
      </c>
    </row>
    <row r="5515">
      <c r="A5515" t="str">
        <f>IFERROR(__xludf.DUMMYFUNCTION("""COMPUTED_VALUE"""),"V-115")</f>
        <v>V-115</v>
      </c>
      <c r="B5515" s="226" t="str">
        <f>IFERROR(__xludf.DUMMYFUNCTION("""COMPUTED_VALUE"""),"5907615826665")</f>
        <v>5907615826665</v>
      </c>
      <c r="C5515" t="str">
        <f>IFERROR(__xludf.DUMMYFUNCTION("""COMPUTED_VALUE"""),"Steinhof")</f>
        <v>Steinhof</v>
      </c>
    </row>
    <row r="5516">
      <c r="A5516" t="str">
        <f>IFERROR(__xludf.DUMMYFUNCTION("""COMPUTED_VALUE"""),"V-115")</f>
        <v>V-115</v>
      </c>
      <c r="B5516" s="226" t="str">
        <f>IFERROR(__xludf.DUMMYFUNCTION("""COMPUTED_VALUE"""),"5907615826665")</f>
        <v>5907615826665</v>
      </c>
      <c r="C5516" t="str">
        <f>IFERROR(__xludf.DUMMYFUNCTION("""COMPUTED_VALUE"""),"Steinhof")</f>
        <v>Steinhof</v>
      </c>
    </row>
    <row r="5517">
      <c r="A5517" t="str">
        <f>IFERROR(__xludf.DUMMYFUNCTION("""COMPUTED_VALUE"""),"V-115")</f>
        <v>V-115</v>
      </c>
      <c r="B5517" s="226" t="str">
        <f>IFERROR(__xludf.DUMMYFUNCTION("""COMPUTED_VALUE"""),"5907615826665")</f>
        <v>5907615826665</v>
      </c>
      <c r="C5517" t="str">
        <f>IFERROR(__xludf.DUMMYFUNCTION("""COMPUTED_VALUE"""),"Steinhof")</f>
        <v>Steinhof</v>
      </c>
    </row>
    <row r="5518">
      <c r="A5518" t="str">
        <f>IFERROR(__xludf.DUMMYFUNCTION("""COMPUTED_VALUE"""),"V-115")</f>
        <v>V-115</v>
      </c>
      <c r="B5518" s="226" t="str">
        <f>IFERROR(__xludf.DUMMYFUNCTION("""COMPUTED_VALUE"""),"5907615826665")</f>
        <v>5907615826665</v>
      </c>
      <c r="C5518" t="str">
        <f>IFERROR(__xludf.DUMMYFUNCTION("""COMPUTED_VALUE"""),"Steinhof")</f>
        <v>Steinhof</v>
      </c>
    </row>
    <row r="5519">
      <c r="A5519" t="str">
        <f>IFERROR(__xludf.DUMMYFUNCTION("""COMPUTED_VALUE"""),"V-117")</f>
        <v>V-117</v>
      </c>
      <c r="B5519" s="226" t="str">
        <f>IFERROR(__xludf.DUMMYFUNCTION("""COMPUTED_VALUE"""),"5907615826689")</f>
        <v>5907615826689</v>
      </c>
      <c r="C5519" t="str">
        <f>IFERROR(__xludf.DUMMYFUNCTION("""COMPUTED_VALUE"""),"Steinhof")</f>
        <v>Steinhof</v>
      </c>
    </row>
    <row r="5520">
      <c r="A5520" t="str">
        <f>IFERROR(__xludf.DUMMYFUNCTION("""COMPUTED_VALUE"""),"V-117")</f>
        <v>V-117</v>
      </c>
      <c r="B5520" s="226" t="str">
        <f>IFERROR(__xludf.DUMMYFUNCTION("""COMPUTED_VALUE"""),"5907615826689")</f>
        <v>5907615826689</v>
      </c>
      <c r="C5520" t="str">
        <f>IFERROR(__xludf.DUMMYFUNCTION("""COMPUTED_VALUE"""),"Steinhof")</f>
        <v>Steinhof</v>
      </c>
    </row>
    <row r="5521">
      <c r="A5521" t="str">
        <f>IFERROR(__xludf.DUMMYFUNCTION("""COMPUTED_VALUE"""),"V-117")</f>
        <v>V-117</v>
      </c>
      <c r="B5521" s="226" t="str">
        <f>IFERROR(__xludf.DUMMYFUNCTION("""COMPUTED_VALUE"""),"5907615826689")</f>
        <v>5907615826689</v>
      </c>
      <c r="C5521" t="str">
        <f>IFERROR(__xludf.DUMMYFUNCTION("""COMPUTED_VALUE"""),"Steinhof")</f>
        <v>Steinhof</v>
      </c>
    </row>
    <row r="5522">
      <c r="A5522" t="str">
        <f>IFERROR(__xludf.DUMMYFUNCTION("""COMPUTED_VALUE"""),"V-117")</f>
        <v>V-117</v>
      </c>
      <c r="B5522" s="226" t="str">
        <f>IFERROR(__xludf.DUMMYFUNCTION("""COMPUTED_VALUE"""),"5907615826689")</f>
        <v>5907615826689</v>
      </c>
      <c r="C5522" t="str">
        <f>IFERROR(__xludf.DUMMYFUNCTION("""COMPUTED_VALUE"""),"Steinhof")</f>
        <v>Steinhof</v>
      </c>
    </row>
    <row r="5523">
      <c r="A5523" t="str">
        <f>IFERROR(__xludf.DUMMYFUNCTION("""COMPUTED_VALUE"""),"V-117")</f>
        <v>V-117</v>
      </c>
      <c r="B5523" s="226" t="str">
        <f>IFERROR(__xludf.DUMMYFUNCTION("""COMPUTED_VALUE"""),"5907615826689")</f>
        <v>5907615826689</v>
      </c>
      <c r="C5523" t="str">
        <f>IFERROR(__xludf.DUMMYFUNCTION("""COMPUTED_VALUE"""),"Steinhof")</f>
        <v>Steinhof</v>
      </c>
    </row>
    <row r="5524">
      <c r="A5524" t="str">
        <f>IFERROR(__xludf.DUMMYFUNCTION("""COMPUTED_VALUE"""),"V-117")</f>
        <v>V-117</v>
      </c>
      <c r="B5524" s="226" t="str">
        <f>IFERROR(__xludf.DUMMYFUNCTION("""COMPUTED_VALUE"""),"5907615826689")</f>
        <v>5907615826689</v>
      </c>
      <c r="C5524" t="str">
        <f>IFERROR(__xludf.DUMMYFUNCTION("""COMPUTED_VALUE"""),"Steinhof")</f>
        <v>Steinhof</v>
      </c>
    </row>
    <row r="5525">
      <c r="A5525" t="str">
        <f>IFERROR(__xludf.DUMMYFUNCTION("""COMPUTED_VALUE"""),"V-119")</f>
        <v>V-119</v>
      </c>
      <c r="B5525" s="226" t="str">
        <f>IFERROR(__xludf.DUMMYFUNCTION("""COMPUTED_VALUE"""),"5907615826702")</f>
        <v>5907615826702</v>
      </c>
      <c r="C5525" t="str">
        <f>IFERROR(__xludf.DUMMYFUNCTION("""COMPUTED_VALUE"""),"Steinhof")</f>
        <v>Steinhof</v>
      </c>
    </row>
    <row r="5526">
      <c r="A5526" t="str">
        <f>IFERROR(__xludf.DUMMYFUNCTION("""COMPUTED_VALUE"""),"V-119")</f>
        <v>V-119</v>
      </c>
      <c r="B5526" s="226" t="str">
        <f>IFERROR(__xludf.DUMMYFUNCTION("""COMPUTED_VALUE"""),"5907615826702")</f>
        <v>5907615826702</v>
      </c>
      <c r="C5526" t="str">
        <f>IFERROR(__xludf.DUMMYFUNCTION("""COMPUTED_VALUE"""),"Steinhof")</f>
        <v>Steinhof</v>
      </c>
    </row>
    <row r="5527">
      <c r="A5527" t="str">
        <f>IFERROR(__xludf.DUMMYFUNCTION("""COMPUTED_VALUE"""),"V-119")</f>
        <v>V-119</v>
      </c>
      <c r="B5527" s="226" t="str">
        <f>IFERROR(__xludf.DUMMYFUNCTION("""COMPUTED_VALUE"""),"5907615826702")</f>
        <v>5907615826702</v>
      </c>
      <c r="C5527" t="str">
        <f>IFERROR(__xludf.DUMMYFUNCTION("""COMPUTED_VALUE"""),"Steinhof")</f>
        <v>Steinhof</v>
      </c>
    </row>
    <row r="5528">
      <c r="A5528" t="str">
        <f>IFERROR(__xludf.DUMMYFUNCTION("""COMPUTED_VALUE"""),"V-114/1")</f>
        <v>V-114/1</v>
      </c>
      <c r="B5528" s="226" t="str">
        <f>IFERROR(__xludf.DUMMYFUNCTION("""COMPUTED_VALUE"""),"5907615826726")</f>
        <v>5907615826726</v>
      </c>
      <c r="C5528" t="str">
        <f>IFERROR(__xludf.DUMMYFUNCTION("""COMPUTED_VALUE"""),"Steinhof")</f>
        <v>Steinhof</v>
      </c>
    </row>
    <row r="5529">
      <c r="A5529" t="str">
        <f>IFERROR(__xludf.DUMMYFUNCTION("""COMPUTED_VALUE"""),"V-114/1")</f>
        <v>V-114/1</v>
      </c>
      <c r="B5529" s="226" t="str">
        <f>IFERROR(__xludf.DUMMYFUNCTION("""COMPUTED_VALUE"""),"5907615826726")</f>
        <v>5907615826726</v>
      </c>
      <c r="C5529" t="str">
        <f>IFERROR(__xludf.DUMMYFUNCTION("""COMPUTED_VALUE"""),"Steinhof")</f>
        <v>Steinhof</v>
      </c>
    </row>
    <row r="5530">
      <c r="A5530" t="str">
        <f>IFERROR(__xludf.DUMMYFUNCTION("""COMPUTED_VALUE"""),"V-122")</f>
        <v>V-122</v>
      </c>
      <c r="B5530" s="226" t="str">
        <f>IFERROR(__xludf.DUMMYFUNCTION("""COMPUTED_VALUE"""),"5907615826733")</f>
        <v>5907615826733</v>
      </c>
      <c r="C5530" t="str">
        <f>IFERROR(__xludf.DUMMYFUNCTION("""COMPUTED_VALUE"""),"Steinhof")</f>
        <v>Steinhof</v>
      </c>
    </row>
    <row r="5531">
      <c r="A5531" t="str">
        <f>IFERROR(__xludf.DUMMYFUNCTION("""COMPUTED_VALUE"""),"V-122")</f>
        <v>V-122</v>
      </c>
      <c r="B5531" s="226" t="str">
        <f>IFERROR(__xludf.DUMMYFUNCTION("""COMPUTED_VALUE"""),"5907615826733")</f>
        <v>5907615826733</v>
      </c>
      <c r="C5531" t="str">
        <f>IFERROR(__xludf.DUMMYFUNCTION("""COMPUTED_VALUE"""),"Steinhof")</f>
        <v>Steinhof</v>
      </c>
    </row>
    <row r="5532">
      <c r="A5532" t="str">
        <f>IFERROR(__xludf.DUMMYFUNCTION("""COMPUTED_VALUE"""),"V-124")</f>
        <v>V-124</v>
      </c>
      <c r="B5532" s="226" t="str">
        <f>IFERROR(__xludf.DUMMYFUNCTION("""COMPUTED_VALUE"""),"5907615826757")</f>
        <v>5907615826757</v>
      </c>
      <c r="C5532" t="str">
        <f>IFERROR(__xludf.DUMMYFUNCTION("""COMPUTED_VALUE"""),"Steinhof")</f>
        <v>Steinhof</v>
      </c>
    </row>
    <row r="5533">
      <c r="A5533" t="str">
        <f>IFERROR(__xludf.DUMMYFUNCTION("""COMPUTED_VALUE"""),"V-124")</f>
        <v>V-124</v>
      </c>
      <c r="B5533" s="226" t="str">
        <f>IFERROR(__xludf.DUMMYFUNCTION("""COMPUTED_VALUE"""),"5907615826757")</f>
        <v>5907615826757</v>
      </c>
      <c r="C5533" t="str">
        <f>IFERROR(__xludf.DUMMYFUNCTION("""COMPUTED_VALUE"""),"Steinhof")</f>
        <v>Steinhof</v>
      </c>
    </row>
    <row r="5534">
      <c r="A5534" t="str">
        <f>IFERROR(__xludf.DUMMYFUNCTION("""COMPUTED_VALUE"""),"V-125")</f>
        <v>V-125</v>
      </c>
      <c r="B5534" s="226" t="str">
        <f>IFERROR(__xludf.DUMMYFUNCTION("""COMPUTED_VALUE"""),"5907615826764")</f>
        <v>5907615826764</v>
      </c>
      <c r="C5534" t="str">
        <f>IFERROR(__xludf.DUMMYFUNCTION("""COMPUTED_VALUE"""),"Steinhof")</f>
        <v>Steinhof</v>
      </c>
    </row>
    <row r="5535">
      <c r="A5535" t="str">
        <f>IFERROR(__xludf.DUMMYFUNCTION("""COMPUTED_VALUE"""),"V-126")</f>
        <v>V-126</v>
      </c>
      <c r="B5535" s="226" t="str">
        <f>IFERROR(__xludf.DUMMYFUNCTION("""COMPUTED_VALUE"""),"5907615826771")</f>
        <v>5907615826771</v>
      </c>
      <c r="C5535" t="str">
        <f>IFERROR(__xludf.DUMMYFUNCTION("""COMPUTED_VALUE"""),"Steinhof")</f>
        <v>Steinhof</v>
      </c>
    </row>
    <row r="5536">
      <c r="A5536" t="str">
        <f>IFERROR(__xludf.DUMMYFUNCTION("""COMPUTED_VALUE"""),"V-127")</f>
        <v>V-127</v>
      </c>
      <c r="B5536" s="226" t="str">
        <f>IFERROR(__xludf.DUMMYFUNCTION("""COMPUTED_VALUE"""),"5907615826788")</f>
        <v>5907615826788</v>
      </c>
      <c r="C5536" t="str">
        <f>IFERROR(__xludf.DUMMYFUNCTION("""COMPUTED_VALUE"""),"Steinhof")</f>
        <v>Steinhof</v>
      </c>
    </row>
    <row r="5537">
      <c r="A5537" t="str">
        <f>IFERROR(__xludf.DUMMYFUNCTION("""COMPUTED_VALUE"""),"V-128")</f>
        <v>V-128</v>
      </c>
      <c r="B5537" s="226" t="str">
        <f>IFERROR(__xludf.DUMMYFUNCTION("""COMPUTED_VALUE"""),"5907615826795")</f>
        <v>5907615826795</v>
      </c>
      <c r="C5537" t="str">
        <f>IFERROR(__xludf.DUMMYFUNCTION("""COMPUTED_VALUE"""),"Steinhof")</f>
        <v>Steinhof</v>
      </c>
    </row>
    <row r="5538">
      <c r="A5538" t="str">
        <f>IFERROR(__xludf.DUMMYFUNCTION("""COMPUTED_VALUE"""),"V-128")</f>
        <v>V-128</v>
      </c>
      <c r="B5538" s="226" t="str">
        <f>IFERROR(__xludf.DUMMYFUNCTION("""COMPUTED_VALUE"""),"5907615826795")</f>
        <v>5907615826795</v>
      </c>
      <c r="C5538" t="str">
        <f>IFERROR(__xludf.DUMMYFUNCTION("""COMPUTED_VALUE"""),"Steinhof")</f>
        <v>Steinhof</v>
      </c>
    </row>
    <row r="5539">
      <c r="A5539" t="str">
        <f>IFERROR(__xludf.DUMMYFUNCTION("""COMPUTED_VALUE"""),"V-128")</f>
        <v>V-128</v>
      </c>
      <c r="B5539" s="226" t="str">
        <f>IFERROR(__xludf.DUMMYFUNCTION("""COMPUTED_VALUE"""),"5907615826795")</f>
        <v>5907615826795</v>
      </c>
      <c r="C5539" t="str">
        <f>IFERROR(__xludf.DUMMYFUNCTION("""COMPUTED_VALUE"""),"Steinhof")</f>
        <v>Steinhof</v>
      </c>
    </row>
    <row r="5540">
      <c r="A5540" t="str">
        <f>IFERROR(__xludf.DUMMYFUNCTION("""COMPUTED_VALUE"""),"V-128")</f>
        <v>V-128</v>
      </c>
      <c r="B5540" s="226" t="str">
        <f>IFERROR(__xludf.DUMMYFUNCTION("""COMPUTED_VALUE"""),"5907615826795")</f>
        <v>5907615826795</v>
      </c>
      <c r="C5540" t="str">
        <f>IFERROR(__xludf.DUMMYFUNCTION("""COMPUTED_VALUE"""),"Steinhof")</f>
        <v>Steinhof</v>
      </c>
    </row>
    <row r="5541">
      <c r="A5541" t="str">
        <f>IFERROR(__xludf.DUMMYFUNCTION("""COMPUTED_VALUE"""),"V-129")</f>
        <v>V-129</v>
      </c>
      <c r="B5541" s="226" t="str">
        <f>IFERROR(__xludf.DUMMYFUNCTION("""COMPUTED_VALUE"""),"5907615826801")</f>
        <v>5907615826801</v>
      </c>
      <c r="C5541" t="str">
        <f>IFERROR(__xludf.DUMMYFUNCTION("""COMPUTED_VALUE"""),"Steinhof")</f>
        <v>Steinhof</v>
      </c>
    </row>
    <row r="5542">
      <c r="A5542" t="str">
        <f>IFERROR(__xludf.DUMMYFUNCTION("""COMPUTED_VALUE"""),"V-131")</f>
        <v>V-131</v>
      </c>
      <c r="B5542" s="226" t="str">
        <f>IFERROR(__xludf.DUMMYFUNCTION("""COMPUTED_VALUE"""),"5907615826825")</f>
        <v>5907615826825</v>
      </c>
      <c r="C5542" t="str">
        <f>IFERROR(__xludf.DUMMYFUNCTION("""COMPUTED_VALUE"""),"Steinhof")</f>
        <v>Steinhof</v>
      </c>
    </row>
    <row r="5543">
      <c r="A5543" t="str">
        <f>IFERROR(__xludf.DUMMYFUNCTION("""COMPUTED_VALUE"""),"V-131")</f>
        <v>V-131</v>
      </c>
      <c r="B5543" s="226" t="str">
        <f>IFERROR(__xludf.DUMMYFUNCTION("""COMPUTED_VALUE"""),"5907615826825")</f>
        <v>5907615826825</v>
      </c>
      <c r="C5543" t="str">
        <f>IFERROR(__xludf.DUMMYFUNCTION("""COMPUTED_VALUE"""),"Steinhof")</f>
        <v>Steinhof</v>
      </c>
    </row>
    <row r="5544">
      <c r="A5544" t="str">
        <f>IFERROR(__xludf.DUMMYFUNCTION("""COMPUTED_VALUE"""),"V-131")</f>
        <v>V-131</v>
      </c>
      <c r="B5544" s="226" t="str">
        <f>IFERROR(__xludf.DUMMYFUNCTION("""COMPUTED_VALUE"""),"5907615826825")</f>
        <v>5907615826825</v>
      </c>
      <c r="C5544" t="str">
        <f>IFERROR(__xludf.DUMMYFUNCTION("""COMPUTED_VALUE"""),"Steinhof")</f>
        <v>Steinhof</v>
      </c>
    </row>
    <row r="5545">
      <c r="A5545" t="str">
        <f>IFERROR(__xludf.DUMMYFUNCTION("""COMPUTED_VALUE"""),"V-132")</f>
        <v>V-132</v>
      </c>
      <c r="B5545" s="226" t="str">
        <f>IFERROR(__xludf.DUMMYFUNCTION("""COMPUTED_VALUE"""),"5907615826832")</f>
        <v>5907615826832</v>
      </c>
      <c r="C5545" t="str">
        <f>IFERROR(__xludf.DUMMYFUNCTION("""COMPUTED_VALUE"""),"Steinhof")</f>
        <v>Steinhof</v>
      </c>
    </row>
    <row r="5546">
      <c r="A5546" t="str">
        <f>IFERROR(__xludf.DUMMYFUNCTION("""COMPUTED_VALUE"""),"V-133")</f>
        <v>V-133</v>
      </c>
      <c r="B5546" s="226" t="str">
        <f>IFERROR(__xludf.DUMMYFUNCTION("""COMPUTED_VALUE"""),"5907615826849")</f>
        <v>5907615826849</v>
      </c>
      <c r="C5546" t="str">
        <f>IFERROR(__xludf.DUMMYFUNCTION("""COMPUTED_VALUE"""),"Steinhof")</f>
        <v>Steinhof</v>
      </c>
    </row>
    <row r="5547">
      <c r="A5547" t="str">
        <f>IFERROR(__xludf.DUMMYFUNCTION("""COMPUTED_VALUE"""),"V-135")</f>
        <v>V-135</v>
      </c>
      <c r="B5547" s="226" t="str">
        <f>IFERROR(__xludf.DUMMYFUNCTION("""COMPUTED_VALUE"""),"5907615826863")</f>
        <v>5907615826863</v>
      </c>
      <c r="C5547" t="str">
        <f>IFERROR(__xludf.DUMMYFUNCTION("""COMPUTED_VALUE"""),"Steinhof")</f>
        <v>Steinhof</v>
      </c>
    </row>
    <row r="5548">
      <c r="A5548" t="str">
        <f>IFERROR(__xludf.DUMMYFUNCTION("""COMPUTED_VALUE"""),"V-135")</f>
        <v>V-135</v>
      </c>
      <c r="B5548" s="226" t="str">
        <f>IFERROR(__xludf.DUMMYFUNCTION("""COMPUTED_VALUE"""),"5907615826863")</f>
        <v>5907615826863</v>
      </c>
      <c r="C5548" t="str">
        <f>IFERROR(__xludf.DUMMYFUNCTION("""COMPUTED_VALUE"""),"Steinhof")</f>
        <v>Steinhof</v>
      </c>
    </row>
    <row r="5549">
      <c r="A5549" t="str">
        <f>IFERROR(__xludf.DUMMYFUNCTION("""COMPUTED_VALUE"""),"V-135")</f>
        <v>V-135</v>
      </c>
      <c r="B5549" s="226" t="str">
        <f>IFERROR(__xludf.DUMMYFUNCTION("""COMPUTED_VALUE"""),"5907615826863")</f>
        <v>5907615826863</v>
      </c>
      <c r="C5549" t="str">
        <f>IFERROR(__xludf.DUMMYFUNCTION("""COMPUTED_VALUE"""),"Steinhof")</f>
        <v>Steinhof</v>
      </c>
    </row>
    <row r="5550">
      <c r="A5550" t="str">
        <f>IFERROR(__xludf.DUMMYFUNCTION("""COMPUTED_VALUE"""),"V-135")</f>
        <v>V-135</v>
      </c>
      <c r="B5550" s="226" t="str">
        <f>IFERROR(__xludf.DUMMYFUNCTION("""COMPUTED_VALUE"""),"5907615826863")</f>
        <v>5907615826863</v>
      </c>
      <c r="C5550" t="str">
        <f>IFERROR(__xludf.DUMMYFUNCTION("""COMPUTED_VALUE"""),"Steinhof")</f>
        <v>Steinhof</v>
      </c>
    </row>
    <row r="5551">
      <c r="A5551" t="str">
        <f>IFERROR(__xludf.DUMMYFUNCTION("""COMPUTED_VALUE"""),"V-135")</f>
        <v>V-135</v>
      </c>
      <c r="B5551" s="226" t="str">
        <f>IFERROR(__xludf.DUMMYFUNCTION("""COMPUTED_VALUE"""),"5907615826863")</f>
        <v>5907615826863</v>
      </c>
      <c r="C5551" t="str">
        <f>IFERROR(__xludf.DUMMYFUNCTION("""COMPUTED_VALUE"""),"Steinhof")</f>
        <v>Steinhof</v>
      </c>
    </row>
    <row r="5552">
      <c r="A5552" t="str">
        <f>IFERROR(__xludf.DUMMYFUNCTION("""COMPUTED_VALUE"""),"V-135")</f>
        <v>V-135</v>
      </c>
      <c r="B5552" s="226" t="str">
        <f>IFERROR(__xludf.DUMMYFUNCTION("""COMPUTED_VALUE"""),"5907615826863")</f>
        <v>5907615826863</v>
      </c>
      <c r="C5552" t="str">
        <f>IFERROR(__xludf.DUMMYFUNCTION("""COMPUTED_VALUE"""),"Steinhof")</f>
        <v>Steinhof</v>
      </c>
    </row>
    <row r="5553">
      <c r="A5553" t="str">
        <f>IFERROR(__xludf.DUMMYFUNCTION("""COMPUTED_VALUE"""),"V-137")</f>
        <v>V-137</v>
      </c>
      <c r="B5553" s="226" t="str">
        <f>IFERROR(__xludf.DUMMYFUNCTION("""COMPUTED_VALUE"""),"5907615826887")</f>
        <v>5907615826887</v>
      </c>
      <c r="C5553" t="str">
        <f>IFERROR(__xludf.DUMMYFUNCTION("""COMPUTED_VALUE"""),"Steinhof")</f>
        <v>Steinhof</v>
      </c>
    </row>
    <row r="5554">
      <c r="A5554" t="str">
        <f>IFERROR(__xludf.DUMMYFUNCTION("""COMPUTED_VALUE"""),"V-137")</f>
        <v>V-137</v>
      </c>
      <c r="B5554" s="226" t="str">
        <f>IFERROR(__xludf.DUMMYFUNCTION("""COMPUTED_VALUE"""),"5907615826887")</f>
        <v>5907615826887</v>
      </c>
      <c r="C5554" t="str">
        <f>IFERROR(__xludf.DUMMYFUNCTION("""COMPUTED_VALUE"""),"Steinhof")</f>
        <v>Steinhof</v>
      </c>
    </row>
    <row r="5555">
      <c r="A5555" t="str">
        <f>IFERROR(__xludf.DUMMYFUNCTION("""COMPUTED_VALUE"""),"V-137")</f>
        <v>V-137</v>
      </c>
      <c r="B5555" s="226" t="str">
        <f>IFERROR(__xludf.DUMMYFUNCTION("""COMPUTED_VALUE"""),"5907615826887")</f>
        <v>5907615826887</v>
      </c>
      <c r="C5555" t="str">
        <f>IFERROR(__xludf.DUMMYFUNCTION("""COMPUTED_VALUE"""),"Steinhof")</f>
        <v>Steinhof</v>
      </c>
    </row>
    <row r="5556">
      <c r="A5556" t="str">
        <f>IFERROR(__xludf.DUMMYFUNCTION("""COMPUTED_VALUE"""),"V-137")</f>
        <v>V-137</v>
      </c>
      <c r="B5556" s="226" t="str">
        <f>IFERROR(__xludf.DUMMYFUNCTION("""COMPUTED_VALUE"""),"5907615826887")</f>
        <v>5907615826887</v>
      </c>
      <c r="C5556" t="str">
        <f>IFERROR(__xludf.DUMMYFUNCTION("""COMPUTED_VALUE"""),"Steinhof")</f>
        <v>Steinhof</v>
      </c>
    </row>
    <row r="5557">
      <c r="A5557" t="str">
        <f>IFERROR(__xludf.DUMMYFUNCTION("""COMPUTED_VALUE"""),"V-138")</f>
        <v>V-138</v>
      </c>
      <c r="B5557" s="226" t="str">
        <f>IFERROR(__xludf.DUMMYFUNCTION("""COMPUTED_VALUE"""),"5907615826894")</f>
        <v>5907615826894</v>
      </c>
      <c r="C5557" t="str">
        <f>IFERROR(__xludf.DUMMYFUNCTION("""COMPUTED_VALUE"""),"Steinhof")</f>
        <v>Steinhof</v>
      </c>
    </row>
    <row r="5558">
      <c r="A5558" t="str">
        <f>IFERROR(__xludf.DUMMYFUNCTION("""COMPUTED_VALUE"""),"V-138")</f>
        <v>V-138</v>
      </c>
      <c r="B5558" s="226" t="str">
        <f>IFERROR(__xludf.DUMMYFUNCTION("""COMPUTED_VALUE"""),"5907615826894")</f>
        <v>5907615826894</v>
      </c>
      <c r="C5558" t="str">
        <f>IFERROR(__xludf.DUMMYFUNCTION("""COMPUTED_VALUE"""),"Steinhof")</f>
        <v>Steinhof</v>
      </c>
    </row>
    <row r="5559">
      <c r="A5559" t="str">
        <f>IFERROR(__xludf.DUMMYFUNCTION("""COMPUTED_VALUE"""),"V-138")</f>
        <v>V-138</v>
      </c>
      <c r="B5559" s="226" t="str">
        <f>IFERROR(__xludf.DUMMYFUNCTION("""COMPUTED_VALUE"""),"5907615826894")</f>
        <v>5907615826894</v>
      </c>
      <c r="C5559" t="str">
        <f>IFERROR(__xludf.DUMMYFUNCTION("""COMPUTED_VALUE"""),"Steinhof")</f>
        <v>Steinhof</v>
      </c>
    </row>
    <row r="5560">
      <c r="A5560" t="str">
        <f>IFERROR(__xludf.DUMMYFUNCTION("""COMPUTED_VALUE"""),"V-138")</f>
        <v>V-138</v>
      </c>
      <c r="B5560" s="226" t="str">
        <f>IFERROR(__xludf.DUMMYFUNCTION("""COMPUTED_VALUE"""),"5907615826894")</f>
        <v>5907615826894</v>
      </c>
      <c r="C5560" t="str">
        <f>IFERROR(__xludf.DUMMYFUNCTION("""COMPUTED_VALUE"""),"Steinhof")</f>
        <v>Steinhof</v>
      </c>
    </row>
    <row r="5561">
      <c r="A5561" t="str">
        <f>IFERROR(__xludf.DUMMYFUNCTION("""COMPUTED_VALUE"""),"V-140")</f>
        <v>V-140</v>
      </c>
      <c r="B5561" s="226" t="str">
        <f>IFERROR(__xludf.DUMMYFUNCTION("""COMPUTED_VALUE"""),"5907615826917")</f>
        <v>5907615826917</v>
      </c>
      <c r="C5561" t="str">
        <f>IFERROR(__xludf.DUMMYFUNCTION("""COMPUTED_VALUE"""),"Steinhof")</f>
        <v>Steinhof</v>
      </c>
    </row>
    <row r="5562">
      <c r="A5562" t="str">
        <f>IFERROR(__xludf.DUMMYFUNCTION("""COMPUTED_VALUE"""),"V-140")</f>
        <v>V-140</v>
      </c>
      <c r="B5562" s="226" t="str">
        <f>IFERROR(__xludf.DUMMYFUNCTION("""COMPUTED_VALUE"""),"5907615826917")</f>
        <v>5907615826917</v>
      </c>
      <c r="C5562" t="str">
        <f>IFERROR(__xludf.DUMMYFUNCTION("""COMPUTED_VALUE"""),"Steinhof")</f>
        <v>Steinhof</v>
      </c>
    </row>
    <row r="5563">
      <c r="A5563" t="str">
        <f>IFERROR(__xludf.DUMMYFUNCTION("""COMPUTED_VALUE"""),"V-143")</f>
        <v>V-143</v>
      </c>
      <c r="B5563" s="226" t="str">
        <f>IFERROR(__xludf.DUMMYFUNCTION("""COMPUTED_VALUE"""),"5907615826948")</f>
        <v>5907615826948</v>
      </c>
      <c r="C5563" t="str">
        <f>IFERROR(__xludf.DUMMYFUNCTION("""COMPUTED_VALUE"""),"Steinhof")</f>
        <v>Steinhof</v>
      </c>
    </row>
    <row r="5564">
      <c r="A5564" t="str">
        <f>IFERROR(__xludf.DUMMYFUNCTION("""COMPUTED_VALUE"""),"V-143")</f>
        <v>V-143</v>
      </c>
      <c r="B5564" s="226" t="str">
        <f>IFERROR(__xludf.DUMMYFUNCTION("""COMPUTED_VALUE"""),"5907615826948")</f>
        <v>5907615826948</v>
      </c>
      <c r="C5564" t="str">
        <f>IFERROR(__xludf.DUMMYFUNCTION("""COMPUTED_VALUE"""),"Steinhof")</f>
        <v>Steinhof</v>
      </c>
    </row>
    <row r="5565">
      <c r="A5565" t="str">
        <f>IFERROR(__xludf.DUMMYFUNCTION("""COMPUTED_VALUE"""),"V-144")</f>
        <v>V-144</v>
      </c>
      <c r="B5565" s="226" t="str">
        <f>IFERROR(__xludf.DUMMYFUNCTION("""COMPUTED_VALUE"""),"5907615826955")</f>
        <v>5907615826955</v>
      </c>
      <c r="C5565" t="str">
        <f>IFERROR(__xludf.DUMMYFUNCTION("""COMPUTED_VALUE"""),"Steinhof")</f>
        <v>Steinhof</v>
      </c>
    </row>
    <row r="5566">
      <c r="A5566" t="str">
        <f>IFERROR(__xludf.DUMMYFUNCTION("""COMPUTED_VALUE"""),"V-144")</f>
        <v>V-144</v>
      </c>
      <c r="B5566" s="226" t="str">
        <f>IFERROR(__xludf.DUMMYFUNCTION("""COMPUTED_VALUE"""),"5907615826955")</f>
        <v>5907615826955</v>
      </c>
      <c r="C5566" t="str">
        <f>IFERROR(__xludf.DUMMYFUNCTION("""COMPUTED_VALUE"""),"Steinhof")</f>
        <v>Steinhof</v>
      </c>
    </row>
    <row r="5567">
      <c r="A5567" t="str">
        <f>IFERROR(__xludf.DUMMYFUNCTION("""COMPUTED_VALUE"""),"V-145")</f>
        <v>V-145</v>
      </c>
      <c r="B5567" s="226" t="str">
        <f>IFERROR(__xludf.DUMMYFUNCTION("""COMPUTED_VALUE"""),"5907615826962")</f>
        <v>5907615826962</v>
      </c>
      <c r="C5567" t="str">
        <f>IFERROR(__xludf.DUMMYFUNCTION("""COMPUTED_VALUE"""),"Steinhof")</f>
        <v>Steinhof</v>
      </c>
    </row>
    <row r="5568">
      <c r="A5568" t="str">
        <f>IFERROR(__xludf.DUMMYFUNCTION("""COMPUTED_VALUE"""),"V-145")</f>
        <v>V-145</v>
      </c>
      <c r="B5568" s="226" t="str">
        <f>IFERROR(__xludf.DUMMYFUNCTION("""COMPUTED_VALUE"""),"5907615826962")</f>
        <v>5907615826962</v>
      </c>
      <c r="C5568" t="str">
        <f>IFERROR(__xludf.DUMMYFUNCTION("""COMPUTED_VALUE"""),"Steinhof")</f>
        <v>Steinhof</v>
      </c>
    </row>
    <row r="5569">
      <c r="A5569" t="str">
        <f>IFERROR(__xludf.DUMMYFUNCTION("""COMPUTED_VALUE"""),"V-147")</f>
        <v>V-147</v>
      </c>
      <c r="B5569" s="226" t="str">
        <f>IFERROR(__xludf.DUMMYFUNCTION("""COMPUTED_VALUE"""),"5907615826979")</f>
        <v>5907615826979</v>
      </c>
      <c r="C5569" t="str">
        <f>IFERROR(__xludf.DUMMYFUNCTION("""COMPUTED_VALUE"""),"Steinhof")</f>
        <v>Steinhof</v>
      </c>
    </row>
    <row r="5570">
      <c r="A5570" t="str">
        <f>IFERROR(__xludf.DUMMYFUNCTION("""COMPUTED_VALUE"""),"V-147")</f>
        <v>V-147</v>
      </c>
      <c r="B5570" s="226" t="str">
        <f>IFERROR(__xludf.DUMMYFUNCTION("""COMPUTED_VALUE"""),"5907615826979")</f>
        <v>5907615826979</v>
      </c>
      <c r="C5570" t="str">
        <f>IFERROR(__xludf.DUMMYFUNCTION("""COMPUTED_VALUE"""),"Steinhof")</f>
        <v>Steinhof</v>
      </c>
    </row>
    <row r="5571">
      <c r="A5571" t="str">
        <f>IFERROR(__xludf.DUMMYFUNCTION("""COMPUTED_VALUE"""),"V-160")</f>
        <v>V-160</v>
      </c>
      <c r="B5571" s="226" t="str">
        <f>IFERROR(__xludf.DUMMYFUNCTION("""COMPUTED_VALUE"""),"5907615826993")</f>
        <v>5907615826993</v>
      </c>
      <c r="C5571" t="str">
        <f>IFERROR(__xludf.DUMMYFUNCTION("""COMPUTED_VALUE"""),"Steinhof")</f>
        <v>Steinhof</v>
      </c>
    </row>
    <row r="5572">
      <c r="A5572" t="str">
        <f>IFERROR(__xludf.DUMMYFUNCTION("""COMPUTED_VALUE"""),"V-160")</f>
        <v>V-160</v>
      </c>
      <c r="B5572" s="226" t="str">
        <f>IFERROR(__xludf.DUMMYFUNCTION("""COMPUTED_VALUE"""),"5907615826993")</f>
        <v>5907615826993</v>
      </c>
      <c r="C5572" t="str">
        <f>IFERROR(__xludf.DUMMYFUNCTION("""COMPUTED_VALUE"""),"Steinhof")</f>
        <v>Steinhof</v>
      </c>
    </row>
    <row r="5573">
      <c r="A5573" t="str">
        <f>IFERROR(__xludf.DUMMYFUNCTION("""COMPUTED_VALUE"""),"V-160")</f>
        <v>V-160</v>
      </c>
      <c r="B5573" s="226" t="str">
        <f>IFERROR(__xludf.DUMMYFUNCTION("""COMPUTED_VALUE"""),"5907615826993")</f>
        <v>5907615826993</v>
      </c>
      <c r="C5573" t="str">
        <f>IFERROR(__xludf.DUMMYFUNCTION("""COMPUTED_VALUE"""),"Steinhof")</f>
        <v>Steinhof</v>
      </c>
    </row>
    <row r="5574">
      <c r="A5574" t="str">
        <f>IFERROR(__xludf.DUMMYFUNCTION("""COMPUTED_VALUE"""),"V-161")</f>
        <v>V-161</v>
      </c>
      <c r="B5574" s="226" t="str">
        <f>IFERROR(__xludf.DUMMYFUNCTION("""COMPUTED_VALUE"""),"5907615827006")</f>
        <v>5907615827006</v>
      </c>
      <c r="C5574" t="str">
        <f>IFERROR(__xludf.DUMMYFUNCTION("""COMPUTED_VALUE"""),"Steinhof")</f>
        <v>Steinhof</v>
      </c>
    </row>
    <row r="5575">
      <c r="A5575" t="str">
        <f>IFERROR(__xludf.DUMMYFUNCTION("""COMPUTED_VALUE"""),"V-161")</f>
        <v>V-161</v>
      </c>
      <c r="B5575" s="226" t="str">
        <f>IFERROR(__xludf.DUMMYFUNCTION("""COMPUTED_VALUE"""),"5907615827006")</f>
        <v>5907615827006</v>
      </c>
      <c r="C5575" t="str">
        <f>IFERROR(__xludf.DUMMYFUNCTION("""COMPUTED_VALUE"""),"Steinhof")</f>
        <v>Steinhof</v>
      </c>
    </row>
    <row r="5576">
      <c r="A5576" t="str">
        <f>IFERROR(__xludf.DUMMYFUNCTION("""COMPUTED_VALUE"""),"V-161")</f>
        <v>V-161</v>
      </c>
      <c r="B5576" s="226" t="str">
        <f>IFERROR(__xludf.DUMMYFUNCTION("""COMPUTED_VALUE"""),"5907615827006")</f>
        <v>5907615827006</v>
      </c>
      <c r="C5576" t="str">
        <f>IFERROR(__xludf.DUMMYFUNCTION("""COMPUTED_VALUE"""),"Steinhof")</f>
        <v>Steinhof</v>
      </c>
    </row>
    <row r="5577">
      <c r="A5577" t="str">
        <f>IFERROR(__xludf.DUMMYFUNCTION("""COMPUTED_VALUE"""),"V-292")</f>
        <v>V-292</v>
      </c>
      <c r="B5577" s="226" t="str">
        <f>IFERROR(__xludf.DUMMYFUNCTION("""COMPUTED_VALUE"""),"5907615827013")</f>
        <v>5907615827013</v>
      </c>
      <c r="C5577" t="str">
        <f>IFERROR(__xludf.DUMMYFUNCTION("""COMPUTED_VALUE"""),"Steinhof")</f>
        <v>Steinhof</v>
      </c>
    </row>
    <row r="5578">
      <c r="A5578" t="str">
        <f>IFERROR(__xludf.DUMMYFUNCTION("""COMPUTED_VALUE"""),"V-292")</f>
        <v>V-292</v>
      </c>
      <c r="B5578" s="226" t="str">
        <f>IFERROR(__xludf.DUMMYFUNCTION("""COMPUTED_VALUE"""),"5907615827013")</f>
        <v>5907615827013</v>
      </c>
      <c r="C5578" t="str">
        <f>IFERROR(__xludf.DUMMYFUNCTION("""COMPUTED_VALUE"""),"Steinhof")</f>
        <v>Steinhof</v>
      </c>
    </row>
    <row r="5579">
      <c r="A5579" t="str">
        <f>IFERROR(__xludf.DUMMYFUNCTION("""COMPUTED_VALUE"""),"V-293")</f>
        <v>V-293</v>
      </c>
      <c r="B5579" s="226" t="str">
        <f>IFERROR(__xludf.DUMMYFUNCTION("""COMPUTED_VALUE"""),"5907615827020")</f>
        <v>5907615827020</v>
      </c>
      <c r="C5579" t="str">
        <f>IFERROR(__xludf.DUMMYFUNCTION("""COMPUTED_VALUE"""),"Steinhof")</f>
        <v>Steinhof</v>
      </c>
    </row>
    <row r="5580">
      <c r="A5580" t="str">
        <f>IFERROR(__xludf.DUMMYFUNCTION("""COMPUTED_VALUE"""),"V-293")</f>
        <v>V-293</v>
      </c>
      <c r="B5580" s="226" t="str">
        <f>IFERROR(__xludf.DUMMYFUNCTION("""COMPUTED_VALUE"""),"5907615827020")</f>
        <v>5907615827020</v>
      </c>
      <c r="C5580" t="str">
        <f>IFERROR(__xludf.DUMMYFUNCTION("""COMPUTED_VALUE"""),"Steinhof")</f>
        <v>Steinhof</v>
      </c>
    </row>
    <row r="5581">
      <c r="A5581" t="str">
        <f>IFERROR(__xludf.DUMMYFUNCTION("""COMPUTED_VALUE"""),"V-282")</f>
        <v>V-282</v>
      </c>
      <c r="B5581" s="226" t="str">
        <f>IFERROR(__xludf.DUMMYFUNCTION("""COMPUTED_VALUE"""),"5907615827037")</f>
        <v>5907615827037</v>
      </c>
      <c r="C5581" t="str">
        <f>IFERROR(__xludf.DUMMYFUNCTION("""COMPUTED_VALUE"""),"Steinhof")</f>
        <v>Steinhof</v>
      </c>
    </row>
    <row r="5582">
      <c r="A5582" t="str">
        <f>IFERROR(__xludf.DUMMYFUNCTION("""COMPUTED_VALUE"""),"V-282")</f>
        <v>V-282</v>
      </c>
      <c r="B5582" s="226" t="str">
        <f>IFERROR(__xludf.DUMMYFUNCTION("""COMPUTED_VALUE"""),"5907615827037")</f>
        <v>5907615827037</v>
      </c>
      <c r="C5582" t="str">
        <f>IFERROR(__xludf.DUMMYFUNCTION("""COMPUTED_VALUE"""),"Steinhof")</f>
        <v>Steinhof</v>
      </c>
    </row>
    <row r="5583">
      <c r="A5583" t="str">
        <f>IFERROR(__xludf.DUMMYFUNCTION("""COMPUTED_VALUE"""),"V-283")</f>
        <v>V-283</v>
      </c>
      <c r="B5583" s="226" t="str">
        <f>IFERROR(__xludf.DUMMYFUNCTION("""COMPUTED_VALUE"""),"5907615827044")</f>
        <v>5907615827044</v>
      </c>
      <c r="C5583" t="str">
        <f>IFERROR(__xludf.DUMMYFUNCTION("""COMPUTED_VALUE"""),"Steinhof")</f>
        <v>Steinhof</v>
      </c>
    </row>
    <row r="5584">
      <c r="A5584" t="str">
        <f>IFERROR(__xludf.DUMMYFUNCTION("""COMPUTED_VALUE"""),"V-283")</f>
        <v>V-283</v>
      </c>
      <c r="B5584" s="226" t="str">
        <f>IFERROR(__xludf.DUMMYFUNCTION("""COMPUTED_VALUE"""),"5907615827044")</f>
        <v>5907615827044</v>
      </c>
      <c r="C5584" t="str">
        <f>IFERROR(__xludf.DUMMYFUNCTION("""COMPUTED_VALUE"""),"Steinhof")</f>
        <v>Steinhof</v>
      </c>
    </row>
    <row r="5585">
      <c r="A5585" t="str">
        <f>IFERROR(__xludf.DUMMYFUNCTION("""COMPUTED_VALUE"""),"V-288")</f>
        <v>V-288</v>
      </c>
      <c r="B5585" s="226" t="str">
        <f>IFERROR(__xludf.DUMMYFUNCTION("""COMPUTED_VALUE"""),"5907615827051")</f>
        <v>5907615827051</v>
      </c>
      <c r="C5585" t="str">
        <f>IFERROR(__xludf.DUMMYFUNCTION("""COMPUTED_VALUE"""),"Steinhof")</f>
        <v>Steinhof</v>
      </c>
    </row>
    <row r="5586">
      <c r="A5586" t="str">
        <f>IFERROR(__xludf.DUMMYFUNCTION("""COMPUTED_VALUE"""),"V-288")</f>
        <v>V-288</v>
      </c>
      <c r="B5586" s="226" t="str">
        <f>IFERROR(__xludf.DUMMYFUNCTION("""COMPUTED_VALUE"""),"5907615827051")</f>
        <v>5907615827051</v>
      </c>
      <c r="C5586" t="str">
        <f>IFERROR(__xludf.DUMMYFUNCTION("""COMPUTED_VALUE"""),"Steinhof")</f>
        <v>Steinhof</v>
      </c>
    </row>
    <row r="5587">
      <c r="A5587" t="str">
        <f>IFERROR(__xludf.DUMMYFUNCTION("""COMPUTED_VALUE"""),"V-289")</f>
        <v>V-289</v>
      </c>
      <c r="B5587" s="226" t="str">
        <f>IFERROR(__xludf.DUMMYFUNCTION("""COMPUTED_VALUE"""),"5907615827068")</f>
        <v>5907615827068</v>
      </c>
      <c r="C5587" t="str">
        <f>IFERROR(__xludf.DUMMYFUNCTION("""COMPUTED_VALUE"""),"Steinhof")</f>
        <v>Steinhof</v>
      </c>
    </row>
    <row r="5588">
      <c r="A5588" t="str">
        <f>IFERROR(__xludf.DUMMYFUNCTION("""COMPUTED_VALUE"""),"V-289")</f>
        <v>V-289</v>
      </c>
      <c r="B5588" s="226" t="str">
        <f>IFERROR(__xludf.DUMMYFUNCTION("""COMPUTED_VALUE"""),"5907615827068")</f>
        <v>5907615827068</v>
      </c>
      <c r="C5588" t="str">
        <f>IFERROR(__xludf.DUMMYFUNCTION("""COMPUTED_VALUE"""),"Steinhof")</f>
        <v>Steinhof</v>
      </c>
    </row>
    <row r="5589">
      <c r="A5589" t="str">
        <f>IFERROR(__xludf.DUMMYFUNCTION("""COMPUTED_VALUE"""),"V-280")</f>
        <v>V-280</v>
      </c>
      <c r="B5589" s="226" t="str">
        <f>IFERROR(__xludf.DUMMYFUNCTION("""COMPUTED_VALUE"""),"5907615827099")</f>
        <v>5907615827099</v>
      </c>
      <c r="C5589" t="str">
        <f>IFERROR(__xludf.DUMMYFUNCTION("""COMPUTED_VALUE"""),"Steinhof")</f>
        <v>Steinhof</v>
      </c>
    </row>
    <row r="5590">
      <c r="A5590" t="str">
        <f>IFERROR(__xludf.DUMMYFUNCTION("""COMPUTED_VALUE"""),"V-281")</f>
        <v>V-281</v>
      </c>
      <c r="B5590" s="226" t="str">
        <f>IFERROR(__xludf.DUMMYFUNCTION("""COMPUTED_VALUE"""),"5907615827105")</f>
        <v>5907615827105</v>
      </c>
      <c r="C5590" t="str">
        <f>IFERROR(__xludf.DUMMYFUNCTION("""COMPUTED_VALUE"""),"Steinhof")</f>
        <v>Steinhof</v>
      </c>
    </row>
    <row r="5591">
      <c r="A5591" t="str">
        <f>IFERROR(__xludf.DUMMYFUNCTION("""COMPUTED_VALUE"""),"V-300")</f>
        <v>V-300</v>
      </c>
      <c r="B5591" s="226" t="str">
        <f>IFERROR(__xludf.DUMMYFUNCTION("""COMPUTED_VALUE"""),"5907615827112")</f>
        <v>5907615827112</v>
      </c>
      <c r="C5591" t="str">
        <f>IFERROR(__xludf.DUMMYFUNCTION("""COMPUTED_VALUE"""),"Steinhof")</f>
        <v>Steinhof</v>
      </c>
    </row>
    <row r="5592">
      <c r="A5592" t="str">
        <f>IFERROR(__xludf.DUMMYFUNCTION("""COMPUTED_VALUE"""),"V-284")</f>
        <v>V-284</v>
      </c>
      <c r="B5592" s="226" t="str">
        <f>IFERROR(__xludf.DUMMYFUNCTION("""COMPUTED_VALUE"""),"5907615827150")</f>
        <v>5907615827150</v>
      </c>
      <c r="C5592" t="str">
        <f>IFERROR(__xludf.DUMMYFUNCTION("""COMPUTED_VALUE"""),"Steinhof")</f>
        <v>Steinhof</v>
      </c>
    </row>
    <row r="5593">
      <c r="A5593" t="str">
        <f>IFERROR(__xludf.DUMMYFUNCTION("""COMPUTED_VALUE"""),"V-284")</f>
        <v>V-284</v>
      </c>
      <c r="B5593" s="226" t="str">
        <f>IFERROR(__xludf.DUMMYFUNCTION("""COMPUTED_VALUE"""),"5907615827150")</f>
        <v>5907615827150</v>
      </c>
      <c r="C5593" t="str">
        <f>IFERROR(__xludf.DUMMYFUNCTION("""COMPUTED_VALUE"""),"Steinhof")</f>
        <v>Steinhof</v>
      </c>
    </row>
    <row r="5594">
      <c r="A5594" t="str">
        <f>IFERROR(__xludf.DUMMYFUNCTION("""COMPUTED_VALUE"""),"V-284")</f>
        <v>V-284</v>
      </c>
      <c r="B5594" s="226" t="str">
        <f>IFERROR(__xludf.DUMMYFUNCTION("""COMPUTED_VALUE"""),"5907615827150")</f>
        <v>5907615827150</v>
      </c>
      <c r="C5594" t="str">
        <f>IFERROR(__xludf.DUMMYFUNCTION("""COMPUTED_VALUE"""),"Steinhof")</f>
        <v>Steinhof</v>
      </c>
    </row>
    <row r="5595">
      <c r="A5595" t="str">
        <f>IFERROR(__xludf.DUMMYFUNCTION("""COMPUTED_VALUE"""),"V-285")</f>
        <v>V-285</v>
      </c>
      <c r="B5595" s="226" t="str">
        <f>IFERROR(__xludf.DUMMYFUNCTION("""COMPUTED_VALUE"""),"5907615827167")</f>
        <v>5907615827167</v>
      </c>
      <c r="C5595" t="str">
        <f>IFERROR(__xludf.DUMMYFUNCTION("""COMPUTED_VALUE"""),"Steinhof")</f>
        <v>Steinhof</v>
      </c>
    </row>
    <row r="5596">
      <c r="A5596" t="str">
        <f>IFERROR(__xludf.DUMMYFUNCTION("""COMPUTED_VALUE"""),"V-285")</f>
        <v>V-285</v>
      </c>
      <c r="B5596" s="226" t="str">
        <f>IFERROR(__xludf.DUMMYFUNCTION("""COMPUTED_VALUE"""),"5907615827167")</f>
        <v>5907615827167</v>
      </c>
      <c r="C5596" t="str">
        <f>IFERROR(__xludf.DUMMYFUNCTION("""COMPUTED_VALUE"""),"Steinhof")</f>
        <v>Steinhof</v>
      </c>
    </row>
    <row r="5597">
      <c r="A5597" t="str">
        <f>IFERROR(__xludf.DUMMYFUNCTION("""COMPUTED_VALUE"""),"V-285")</f>
        <v>V-285</v>
      </c>
      <c r="B5597" s="226" t="str">
        <f>IFERROR(__xludf.DUMMYFUNCTION("""COMPUTED_VALUE"""),"5907615827167")</f>
        <v>5907615827167</v>
      </c>
      <c r="C5597" t="str">
        <f>IFERROR(__xludf.DUMMYFUNCTION("""COMPUTED_VALUE"""),"Steinhof")</f>
        <v>Steinhof</v>
      </c>
    </row>
    <row r="5598">
      <c r="A5598" t="str">
        <f>IFERROR(__xludf.DUMMYFUNCTION("""COMPUTED_VALUE"""),"V-286")</f>
        <v>V-286</v>
      </c>
      <c r="B5598" s="226" t="str">
        <f>IFERROR(__xludf.DUMMYFUNCTION("""COMPUTED_VALUE"""),"5907615827174")</f>
        <v>5907615827174</v>
      </c>
      <c r="C5598" t="str">
        <f>IFERROR(__xludf.DUMMYFUNCTION("""COMPUTED_VALUE"""),"Steinhof")</f>
        <v>Steinhof</v>
      </c>
    </row>
    <row r="5599">
      <c r="A5599" t="str">
        <f>IFERROR(__xludf.DUMMYFUNCTION("""COMPUTED_VALUE"""),"V-286")</f>
        <v>V-286</v>
      </c>
      <c r="B5599" s="226" t="str">
        <f>IFERROR(__xludf.DUMMYFUNCTION("""COMPUTED_VALUE"""),"5907615827174")</f>
        <v>5907615827174</v>
      </c>
      <c r="C5599" t="str">
        <f>IFERROR(__xludf.DUMMYFUNCTION("""COMPUTED_VALUE"""),"Steinhof")</f>
        <v>Steinhof</v>
      </c>
    </row>
    <row r="5600">
      <c r="A5600" t="str">
        <f>IFERROR(__xludf.DUMMYFUNCTION("""COMPUTED_VALUE"""),"V-287")</f>
        <v>V-287</v>
      </c>
      <c r="B5600" s="226" t="str">
        <f>IFERROR(__xludf.DUMMYFUNCTION("""COMPUTED_VALUE"""),"5907615827181")</f>
        <v>5907615827181</v>
      </c>
      <c r="C5600" t="str">
        <f>IFERROR(__xludf.DUMMYFUNCTION("""COMPUTED_VALUE"""),"Steinhof")</f>
        <v>Steinhof</v>
      </c>
    </row>
    <row r="5601">
      <c r="A5601" t="str">
        <f>IFERROR(__xludf.DUMMYFUNCTION("""COMPUTED_VALUE"""),"V-287")</f>
        <v>V-287</v>
      </c>
      <c r="B5601" s="226" t="str">
        <f>IFERROR(__xludf.DUMMYFUNCTION("""COMPUTED_VALUE"""),"5907615827181")</f>
        <v>5907615827181</v>
      </c>
      <c r="C5601" t="str">
        <f>IFERROR(__xludf.DUMMYFUNCTION("""COMPUTED_VALUE"""),"Steinhof")</f>
        <v>Steinhof</v>
      </c>
    </row>
    <row r="5602">
      <c r="A5602" t="str">
        <f>IFERROR(__xludf.DUMMYFUNCTION("""COMPUTED_VALUE"""),"V-294")</f>
        <v>V-294</v>
      </c>
      <c r="B5602" s="226" t="str">
        <f>IFERROR(__xludf.DUMMYFUNCTION("""COMPUTED_VALUE"""),"5907615827211")</f>
        <v>5907615827211</v>
      </c>
      <c r="C5602" t="str">
        <f>IFERROR(__xludf.DUMMYFUNCTION("""COMPUTED_VALUE"""),"Steinhof")</f>
        <v>Steinhof</v>
      </c>
    </row>
    <row r="5603">
      <c r="A5603" t="str">
        <f>IFERROR(__xludf.DUMMYFUNCTION("""COMPUTED_VALUE"""),"V-294")</f>
        <v>V-294</v>
      </c>
      <c r="B5603" s="226" t="str">
        <f>IFERROR(__xludf.DUMMYFUNCTION("""COMPUTED_VALUE"""),"5907615827211")</f>
        <v>5907615827211</v>
      </c>
      <c r="C5603" t="str">
        <f>IFERROR(__xludf.DUMMYFUNCTION("""COMPUTED_VALUE"""),"Steinhof")</f>
        <v>Steinhof</v>
      </c>
    </row>
    <row r="5604">
      <c r="A5604" t="str">
        <f>IFERROR(__xludf.DUMMYFUNCTION("""COMPUTED_VALUE"""),"V-295")</f>
        <v>V-295</v>
      </c>
      <c r="B5604" s="226" t="str">
        <f>IFERROR(__xludf.DUMMYFUNCTION("""COMPUTED_VALUE"""),"5907615827228")</f>
        <v>5907615827228</v>
      </c>
      <c r="C5604" t="str">
        <f>IFERROR(__xludf.DUMMYFUNCTION("""COMPUTED_VALUE"""),"Steinhof")</f>
        <v>Steinhof</v>
      </c>
    </row>
    <row r="5605">
      <c r="A5605" t="str">
        <f>IFERROR(__xludf.DUMMYFUNCTION("""COMPUTED_VALUE"""),"V-295")</f>
        <v>V-295</v>
      </c>
      <c r="B5605" s="226" t="str">
        <f>IFERROR(__xludf.DUMMYFUNCTION("""COMPUTED_VALUE"""),"5907615827228")</f>
        <v>5907615827228</v>
      </c>
      <c r="C5605" t="str">
        <f>IFERROR(__xludf.DUMMYFUNCTION("""COMPUTED_VALUE"""),"Steinhof")</f>
        <v>Steinhof</v>
      </c>
    </row>
    <row r="5606">
      <c r="A5606" t="str">
        <f>IFERROR(__xludf.DUMMYFUNCTION("""COMPUTED_VALUE"""),"V-298")</f>
        <v>V-298</v>
      </c>
      <c r="B5606" s="226" t="str">
        <f>IFERROR(__xludf.DUMMYFUNCTION("""COMPUTED_VALUE"""),"5907615827235")</f>
        <v>5907615827235</v>
      </c>
      <c r="C5606" t="str">
        <f>IFERROR(__xludf.DUMMYFUNCTION("""COMPUTED_VALUE"""),"Steinhof")</f>
        <v>Steinhof</v>
      </c>
    </row>
    <row r="5607">
      <c r="A5607" t="str">
        <f>IFERROR(__xludf.DUMMYFUNCTION("""COMPUTED_VALUE"""),"V-298")</f>
        <v>V-298</v>
      </c>
      <c r="B5607" s="226" t="str">
        <f>IFERROR(__xludf.DUMMYFUNCTION("""COMPUTED_VALUE"""),"5907615827235")</f>
        <v>5907615827235</v>
      </c>
      <c r="C5607" t="str">
        <f>IFERROR(__xludf.DUMMYFUNCTION("""COMPUTED_VALUE"""),"Steinhof")</f>
        <v>Steinhof</v>
      </c>
    </row>
    <row r="5608">
      <c r="A5608" t="str">
        <f>IFERROR(__xludf.DUMMYFUNCTION("""COMPUTED_VALUE"""),"V-299")</f>
        <v>V-299</v>
      </c>
      <c r="B5608" s="226" t="str">
        <f>IFERROR(__xludf.DUMMYFUNCTION("""COMPUTED_VALUE"""),"5907615827242")</f>
        <v>5907615827242</v>
      </c>
      <c r="C5608" t="str">
        <f>IFERROR(__xludf.DUMMYFUNCTION("""COMPUTED_VALUE"""),"Steinhof")</f>
        <v>Steinhof</v>
      </c>
    </row>
    <row r="5609">
      <c r="A5609" t="str">
        <f>IFERROR(__xludf.DUMMYFUNCTION("""COMPUTED_VALUE"""),"V-299")</f>
        <v>V-299</v>
      </c>
      <c r="B5609" s="226" t="str">
        <f>IFERROR(__xludf.DUMMYFUNCTION("""COMPUTED_VALUE"""),"5907615827242")</f>
        <v>5907615827242</v>
      </c>
      <c r="C5609" t="str">
        <f>IFERROR(__xludf.DUMMYFUNCTION("""COMPUTED_VALUE"""),"Steinhof")</f>
        <v>Steinhof</v>
      </c>
    </row>
    <row r="5610">
      <c r="A5610" t="str">
        <f>IFERROR(__xludf.DUMMYFUNCTION("""COMPUTED_VALUE"""),"V-302")</f>
        <v>V-302</v>
      </c>
      <c r="B5610" s="226" t="str">
        <f>IFERROR(__xludf.DUMMYFUNCTION("""COMPUTED_VALUE"""),"5907615827259")</f>
        <v>5907615827259</v>
      </c>
      <c r="C5610" t="str">
        <f>IFERROR(__xludf.DUMMYFUNCTION("""COMPUTED_VALUE"""),"Steinhof")</f>
        <v>Steinhof</v>
      </c>
    </row>
    <row r="5611">
      <c r="A5611" t="str">
        <f>IFERROR(__xludf.DUMMYFUNCTION("""COMPUTED_VALUE"""),"V-303")</f>
        <v>V-303</v>
      </c>
      <c r="B5611" s="226" t="str">
        <f>IFERROR(__xludf.DUMMYFUNCTION("""COMPUTED_VALUE"""),"5907615827266")</f>
        <v>5907615827266</v>
      </c>
      <c r="C5611" t="str">
        <f>IFERROR(__xludf.DUMMYFUNCTION("""COMPUTED_VALUE"""),"Steinhof")</f>
        <v>Steinhof</v>
      </c>
    </row>
    <row r="5612">
      <c r="A5612" t="str">
        <f>IFERROR(__xludf.DUMMYFUNCTION("""COMPUTED_VALUE"""),"V-303")</f>
        <v>V-303</v>
      </c>
      <c r="B5612" s="226" t="str">
        <f>IFERROR(__xludf.DUMMYFUNCTION("""COMPUTED_VALUE"""),"5907615827266")</f>
        <v>5907615827266</v>
      </c>
      <c r="C5612" t="str">
        <f>IFERROR(__xludf.DUMMYFUNCTION("""COMPUTED_VALUE"""),"Steinhof")</f>
        <v>Steinhof</v>
      </c>
    </row>
    <row r="5613">
      <c r="A5613" t="str">
        <f>IFERROR(__xludf.DUMMYFUNCTION("""COMPUTED_VALUE"""),"V-304")</f>
        <v>V-304</v>
      </c>
      <c r="B5613" s="226" t="str">
        <f>IFERROR(__xludf.DUMMYFUNCTION("""COMPUTED_VALUE"""),"5907615827273")</f>
        <v>5907615827273</v>
      </c>
      <c r="C5613" t="str">
        <f>IFERROR(__xludf.DUMMYFUNCTION("""COMPUTED_VALUE"""),"Steinhof")</f>
        <v>Steinhof</v>
      </c>
    </row>
    <row r="5614">
      <c r="A5614" t="str">
        <f>IFERROR(__xludf.DUMMYFUNCTION("""COMPUTED_VALUE"""),"V-304")</f>
        <v>V-304</v>
      </c>
      <c r="B5614" s="226" t="str">
        <f>IFERROR(__xludf.DUMMYFUNCTION("""COMPUTED_VALUE"""),"5907615827273")</f>
        <v>5907615827273</v>
      </c>
      <c r="C5614" t="str">
        <f>IFERROR(__xludf.DUMMYFUNCTION("""COMPUTED_VALUE"""),"Steinhof")</f>
        <v>Steinhof</v>
      </c>
    </row>
    <row r="5615">
      <c r="A5615" t="str">
        <f>IFERROR(__xludf.DUMMYFUNCTION("""COMPUTED_VALUE"""),"V-305")</f>
        <v>V-305</v>
      </c>
      <c r="B5615" s="226" t="str">
        <f>IFERROR(__xludf.DUMMYFUNCTION("""COMPUTED_VALUE"""),"5907615827280")</f>
        <v>5907615827280</v>
      </c>
      <c r="C5615" t="str">
        <f>IFERROR(__xludf.DUMMYFUNCTION("""COMPUTED_VALUE"""),"Steinhof")</f>
        <v>Steinhof</v>
      </c>
    </row>
    <row r="5616">
      <c r="A5616" t="str">
        <f>IFERROR(__xludf.DUMMYFUNCTION("""COMPUTED_VALUE"""),"V-306")</f>
        <v>V-306</v>
      </c>
      <c r="B5616" s="226" t="str">
        <f>IFERROR(__xludf.DUMMYFUNCTION("""COMPUTED_VALUE"""),"5907615827297")</f>
        <v>5907615827297</v>
      </c>
      <c r="C5616" t="str">
        <f>IFERROR(__xludf.DUMMYFUNCTION("""COMPUTED_VALUE"""),"Steinhof")</f>
        <v>Steinhof</v>
      </c>
    </row>
    <row r="5617">
      <c r="A5617" t="str">
        <f>IFERROR(__xludf.DUMMYFUNCTION("""COMPUTED_VALUE"""),"Z-020")</f>
        <v>Z-020</v>
      </c>
      <c r="B5617" s="226" t="str">
        <f>IFERROR(__xludf.DUMMYFUNCTION("""COMPUTED_VALUE"""),"5907615827327")</f>
        <v>5907615827327</v>
      </c>
      <c r="C5617" t="str">
        <f>IFERROR(__xludf.DUMMYFUNCTION("""COMPUTED_VALUE"""),"Steinhof")</f>
        <v>Steinhof</v>
      </c>
    </row>
    <row r="5618">
      <c r="A5618" t="str">
        <f>IFERROR(__xludf.DUMMYFUNCTION("""COMPUTED_VALUE"""),"V-307")</f>
        <v>V-307</v>
      </c>
      <c r="B5618" s="226" t="str">
        <f>IFERROR(__xludf.DUMMYFUNCTION("""COMPUTED_VALUE"""),"5907615827365")</f>
        <v>5907615827365</v>
      </c>
      <c r="C5618" t="str">
        <f>IFERROR(__xludf.DUMMYFUNCTION("""COMPUTED_VALUE"""),"Steinhof")</f>
        <v>Steinhof</v>
      </c>
    </row>
    <row r="5619">
      <c r="A5619" t="str">
        <f>IFERROR(__xludf.DUMMYFUNCTION("""COMPUTED_VALUE"""),"V-308")</f>
        <v>V-308</v>
      </c>
      <c r="B5619" s="226" t="str">
        <f>IFERROR(__xludf.DUMMYFUNCTION("""COMPUTED_VALUE"""),"5907615827372")</f>
        <v>5907615827372</v>
      </c>
      <c r="C5619" t="str">
        <f>IFERROR(__xludf.DUMMYFUNCTION("""COMPUTED_VALUE"""),"Steinhof")</f>
        <v>Steinhof</v>
      </c>
    </row>
    <row r="5620">
      <c r="A5620" t="str">
        <f>IFERROR(__xludf.DUMMYFUNCTION("""COMPUTED_VALUE"""),"V-308")</f>
        <v>V-308</v>
      </c>
      <c r="B5620" s="226" t="str">
        <f>IFERROR(__xludf.DUMMYFUNCTION("""COMPUTED_VALUE"""),"5907615827372")</f>
        <v>5907615827372</v>
      </c>
      <c r="C5620" t="str">
        <f>IFERROR(__xludf.DUMMYFUNCTION("""COMPUTED_VALUE"""),"Steinhof")</f>
        <v>Steinhof</v>
      </c>
    </row>
    <row r="5621">
      <c r="A5621" t="str">
        <f>IFERROR(__xludf.DUMMYFUNCTION("""COMPUTED_VALUE"""),"V-309")</f>
        <v>V-309</v>
      </c>
      <c r="B5621" s="226" t="str">
        <f>IFERROR(__xludf.DUMMYFUNCTION("""COMPUTED_VALUE"""),"5907615827389")</f>
        <v>5907615827389</v>
      </c>
      <c r="C5621" t="str">
        <f>IFERROR(__xludf.DUMMYFUNCTION("""COMPUTED_VALUE"""),"Steinhof")</f>
        <v>Steinhof</v>
      </c>
    </row>
    <row r="5622">
      <c r="A5622" t="str">
        <f>IFERROR(__xludf.DUMMYFUNCTION("""COMPUTED_VALUE"""),"V-309")</f>
        <v>V-309</v>
      </c>
      <c r="B5622" s="226" t="str">
        <f>IFERROR(__xludf.DUMMYFUNCTION("""COMPUTED_VALUE"""),"5907615827389")</f>
        <v>5907615827389</v>
      </c>
      <c r="C5622" t="str">
        <f>IFERROR(__xludf.DUMMYFUNCTION("""COMPUTED_VALUE"""),"Steinhof")</f>
        <v>Steinhof</v>
      </c>
    </row>
    <row r="5623">
      <c r="A5623" t="str">
        <f>IFERROR(__xludf.DUMMYFUNCTION("""COMPUTED_VALUE"""),"ZK-5")</f>
        <v>ZK-5</v>
      </c>
      <c r="B5623" s="226" t="str">
        <f>IFERROR(__xludf.DUMMYFUNCTION("""COMPUTED_VALUE"""),"5907615827433")</f>
        <v>5907615827433</v>
      </c>
      <c r="C5623" t="str">
        <f>IFERROR(__xludf.DUMMYFUNCTION("""COMPUTED_VALUE"""),"Steinhof")</f>
        <v>Steinhof</v>
      </c>
    </row>
    <row r="5624">
      <c r="A5624" t="str">
        <f>IFERROR(__xludf.DUMMYFUNCTION("""COMPUTED_VALUE"""),"C-250")</f>
        <v>C-250</v>
      </c>
      <c r="B5624" s="226" t="str">
        <f>IFERROR(__xludf.DUMMYFUNCTION("""COMPUTED_VALUE"""),"5907615827457")</f>
        <v>5907615827457</v>
      </c>
      <c r="C5624" t="str">
        <f>IFERROR(__xludf.DUMMYFUNCTION("""COMPUTED_VALUE"""),"Steinhof")</f>
        <v>Steinhof</v>
      </c>
    </row>
    <row r="5625">
      <c r="A5625" t="str">
        <f>IFERROR(__xludf.DUMMYFUNCTION("""COMPUTED_VALUE"""),"C-250")</f>
        <v>C-250</v>
      </c>
      <c r="B5625" s="226" t="str">
        <f>IFERROR(__xludf.DUMMYFUNCTION("""COMPUTED_VALUE"""),"5907615827457")</f>
        <v>5907615827457</v>
      </c>
      <c r="C5625" t="str">
        <f>IFERROR(__xludf.DUMMYFUNCTION("""COMPUTED_VALUE"""),"Steinhof")</f>
        <v>Steinhof</v>
      </c>
    </row>
    <row r="5626">
      <c r="A5626" t="str">
        <f>IFERROR(__xludf.DUMMYFUNCTION("""COMPUTED_VALUE"""),"C-270")</f>
        <v>C-270</v>
      </c>
      <c r="B5626" s="226" t="str">
        <f>IFERROR(__xludf.DUMMYFUNCTION("""COMPUTED_VALUE"""),"5907615827464")</f>
        <v>5907615827464</v>
      </c>
      <c r="C5626" t="str">
        <f>IFERROR(__xludf.DUMMYFUNCTION("""COMPUTED_VALUE"""),"Steinhof")</f>
        <v>Steinhof</v>
      </c>
    </row>
    <row r="5627">
      <c r="A5627" t="str">
        <f>IFERROR(__xludf.DUMMYFUNCTION("""COMPUTED_VALUE"""),"C-270")</f>
        <v>C-270</v>
      </c>
      <c r="B5627" s="226" t="str">
        <f>IFERROR(__xludf.DUMMYFUNCTION("""COMPUTED_VALUE"""),"5907615827464")</f>
        <v>5907615827464</v>
      </c>
      <c r="C5627" t="str">
        <f>IFERROR(__xludf.DUMMYFUNCTION("""COMPUTED_VALUE"""),"Steinhof")</f>
        <v>Steinhof</v>
      </c>
    </row>
    <row r="5628">
      <c r="A5628" t="str">
        <f>IFERROR(__xludf.DUMMYFUNCTION("""COMPUTED_VALUE"""),"C-271")</f>
        <v>C-271</v>
      </c>
      <c r="B5628" s="226" t="str">
        <f>IFERROR(__xludf.DUMMYFUNCTION("""COMPUTED_VALUE"""),"5907615827471")</f>
        <v>5907615827471</v>
      </c>
      <c r="C5628" t="str">
        <f>IFERROR(__xludf.DUMMYFUNCTION("""COMPUTED_VALUE"""),"Steinhof")</f>
        <v>Steinhof</v>
      </c>
    </row>
    <row r="5629">
      <c r="A5629" t="str">
        <f>IFERROR(__xludf.DUMMYFUNCTION("""COMPUTED_VALUE"""),"C-271")</f>
        <v>C-271</v>
      </c>
      <c r="B5629" s="226" t="str">
        <f>IFERROR(__xludf.DUMMYFUNCTION("""COMPUTED_VALUE"""),"5907615827471")</f>
        <v>5907615827471</v>
      </c>
      <c r="C5629" t="str">
        <f>IFERROR(__xludf.DUMMYFUNCTION("""COMPUTED_VALUE"""),"Steinhof")</f>
        <v>Steinhof</v>
      </c>
    </row>
    <row r="5630">
      <c r="A5630" t="str">
        <f>IFERROR(__xludf.DUMMYFUNCTION("""COMPUTED_VALUE"""),"C-255")</f>
        <v>C-255</v>
      </c>
      <c r="B5630" s="226" t="str">
        <f>IFERROR(__xludf.DUMMYFUNCTION("""COMPUTED_VALUE"""),"5907615827488")</f>
        <v>5907615827488</v>
      </c>
      <c r="C5630" t="str">
        <f>IFERROR(__xludf.DUMMYFUNCTION("""COMPUTED_VALUE"""),"Steinhof")</f>
        <v>Steinhof</v>
      </c>
    </row>
    <row r="5631">
      <c r="A5631" t="str">
        <f>IFERROR(__xludf.DUMMYFUNCTION("""COMPUTED_VALUE"""),"C-256")</f>
        <v>C-256</v>
      </c>
      <c r="B5631" s="226" t="str">
        <f>IFERROR(__xludf.DUMMYFUNCTION("""COMPUTED_VALUE"""),"5907615827495")</f>
        <v>5907615827495</v>
      </c>
      <c r="C5631" t="str">
        <f>IFERROR(__xludf.DUMMYFUNCTION("""COMPUTED_VALUE"""),"Steinhof")</f>
        <v>Steinhof</v>
      </c>
    </row>
    <row r="5632">
      <c r="A5632" t="str">
        <f>IFERROR(__xludf.DUMMYFUNCTION("""COMPUTED_VALUE"""),"C-256")</f>
        <v>C-256</v>
      </c>
      <c r="B5632" s="226" t="str">
        <f>IFERROR(__xludf.DUMMYFUNCTION("""COMPUTED_VALUE"""),"5907615827495")</f>
        <v>5907615827495</v>
      </c>
      <c r="C5632" t="str">
        <f>IFERROR(__xludf.DUMMYFUNCTION("""COMPUTED_VALUE"""),"Steinhof")</f>
        <v>Steinhof</v>
      </c>
    </row>
    <row r="5633">
      <c r="A5633" t="str">
        <f>IFERROR(__xludf.DUMMYFUNCTION("""COMPUTED_VALUE"""),"C-260")</f>
        <v>C-260</v>
      </c>
      <c r="B5633" s="226" t="str">
        <f>IFERROR(__xludf.DUMMYFUNCTION("""COMPUTED_VALUE"""),"5907615827501")</f>
        <v>5907615827501</v>
      </c>
      <c r="C5633" t="str">
        <f>IFERROR(__xludf.DUMMYFUNCTION("""COMPUTED_VALUE"""),"Steinhof")</f>
        <v>Steinhof</v>
      </c>
    </row>
    <row r="5634">
      <c r="A5634" t="str">
        <f>IFERROR(__xludf.DUMMYFUNCTION("""COMPUTED_VALUE"""),"C-260")</f>
        <v>C-260</v>
      </c>
      <c r="B5634" s="226" t="str">
        <f>IFERROR(__xludf.DUMMYFUNCTION("""COMPUTED_VALUE"""),"5907615827501")</f>
        <v>5907615827501</v>
      </c>
      <c r="C5634" t="str">
        <f>IFERROR(__xludf.DUMMYFUNCTION("""COMPUTED_VALUE"""),"Steinhof")</f>
        <v>Steinhof</v>
      </c>
    </row>
    <row r="5635">
      <c r="A5635" t="str">
        <f>IFERROR(__xludf.DUMMYFUNCTION("""COMPUTED_VALUE"""),"C-261")</f>
        <v>C-261</v>
      </c>
      <c r="B5635" s="226" t="str">
        <f>IFERROR(__xludf.DUMMYFUNCTION("""COMPUTED_VALUE"""),"5907615827518")</f>
        <v>5907615827518</v>
      </c>
      <c r="C5635" t="str">
        <f>IFERROR(__xludf.DUMMYFUNCTION("""COMPUTED_VALUE"""),"Steinhof")</f>
        <v>Steinhof</v>
      </c>
    </row>
    <row r="5636">
      <c r="A5636" t="str">
        <f>IFERROR(__xludf.DUMMYFUNCTION("""COMPUTED_VALUE"""),"C-261")</f>
        <v>C-261</v>
      </c>
      <c r="B5636" s="226" t="str">
        <f>IFERROR(__xludf.DUMMYFUNCTION("""COMPUTED_VALUE"""),"5907615827518")</f>
        <v>5907615827518</v>
      </c>
      <c r="C5636" t="str">
        <f>IFERROR(__xludf.DUMMYFUNCTION("""COMPUTED_VALUE"""),"Steinhof")</f>
        <v>Steinhof</v>
      </c>
    </row>
    <row r="5637">
      <c r="A5637" t="str">
        <f>IFERROR(__xludf.DUMMYFUNCTION("""COMPUTED_VALUE"""),"C-274")</f>
        <v>C-274</v>
      </c>
      <c r="B5637" s="226" t="str">
        <f>IFERROR(__xludf.DUMMYFUNCTION("""COMPUTED_VALUE"""),"5907615827549")</f>
        <v>5907615827549</v>
      </c>
      <c r="C5637" t="str">
        <f>IFERROR(__xludf.DUMMYFUNCTION("""COMPUTED_VALUE"""),"Steinhof")</f>
        <v>Steinhof</v>
      </c>
    </row>
    <row r="5638">
      <c r="A5638" t="str">
        <f>IFERROR(__xludf.DUMMYFUNCTION("""COMPUTED_VALUE"""),"C-274")</f>
        <v>C-274</v>
      </c>
      <c r="B5638" s="226" t="str">
        <f>IFERROR(__xludf.DUMMYFUNCTION("""COMPUTED_VALUE"""),"5907615827549")</f>
        <v>5907615827549</v>
      </c>
      <c r="C5638" t="str">
        <f>IFERROR(__xludf.DUMMYFUNCTION("""COMPUTED_VALUE"""),"Steinhof")</f>
        <v>Steinhof</v>
      </c>
    </row>
    <row r="5639">
      <c r="A5639" t="str">
        <f>IFERROR(__xludf.DUMMYFUNCTION("""COMPUTED_VALUE"""),"C-274")</f>
        <v>C-274</v>
      </c>
      <c r="B5639" s="226" t="str">
        <f>IFERROR(__xludf.DUMMYFUNCTION("""COMPUTED_VALUE"""),"5907615827549")</f>
        <v>5907615827549</v>
      </c>
      <c r="C5639" t="str">
        <f>IFERROR(__xludf.DUMMYFUNCTION("""COMPUTED_VALUE"""),"Steinhof")</f>
        <v>Steinhof</v>
      </c>
    </row>
    <row r="5640">
      <c r="A5640" t="str">
        <f>IFERROR(__xludf.DUMMYFUNCTION("""COMPUTED_VALUE"""),"C-274")</f>
        <v>C-274</v>
      </c>
      <c r="B5640" s="226" t="str">
        <f>IFERROR(__xludf.DUMMYFUNCTION("""COMPUTED_VALUE"""),"5907615827549")</f>
        <v>5907615827549</v>
      </c>
      <c r="C5640" t="str">
        <f>IFERROR(__xludf.DUMMYFUNCTION("""COMPUTED_VALUE"""),"Steinhof")</f>
        <v>Steinhof</v>
      </c>
    </row>
    <row r="5641">
      <c r="A5641" t="str">
        <f>IFERROR(__xludf.DUMMYFUNCTION("""COMPUTED_VALUE"""),"C-274")</f>
        <v>C-274</v>
      </c>
      <c r="B5641" s="226" t="str">
        <f>IFERROR(__xludf.DUMMYFUNCTION("""COMPUTED_VALUE"""),"5907615827549")</f>
        <v>5907615827549</v>
      </c>
      <c r="C5641" t="str">
        <f>IFERROR(__xludf.DUMMYFUNCTION("""COMPUTED_VALUE"""),"Steinhof")</f>
        <v>Steinhof</v>
      </c>
    </row>
    <row r="5642">
      <c r="A5642" t="str">
        <f>IFERROR(__xludf.DUMMYFUNCTION("""COMPUTED_VALUE"""),"C-274")</f>
        <v>C-274</v>
      </c>
      <c r="B5642" s="226" t="str">
        <f>IFERROR(__xludf.DUMMYFUNCTION("""COMPUTED_VALUE"""),"5907615827549")</f>
        <v>5907615827549</v>
      </c>
      <c r="C5642" t="str">
        <f>IFERROR(__xludf.DUMMYFUNCTION("""COMPUTED_VALUE"""),"Steinhof")</f>
        <v>Steinhof</v>
      </c>
    </row>
    <row r="5643">
      <c r="A5643" t="str">
        <f>IFERROR(__xludf.DUMMYFUNCTION("""COMPUTED_VALUE"""),"C-275")</f>
        <v>C-275</v>
      </c>
      <c r="B5643" s="226" t="str">
        <f>IFERROR(__xludf.DUMMYFUNCTION("""COMPUTED_VALUE"""),"5907615827556")</f>
        <v>5907615827556</v>
      </c>
      <c r="C5643" t="str">
        <f>IFERROR(__xludf.DUMMYFUNCTION("""COMPUTED_VALUE"""),"Steinhof")</f>
        <v>Steinhof</v>
      </c>
    </row>
    <row r="5644">
      <c r="A5644" t="str">
        <f>IFERROR(__xludf.DUMMYFUNCTION("""COMPUTED_VALUE"""),"C-275")</f>
        <v>C-275</v>
      </c>
      <c r="B5644" s="226" t="str">
        <f>IFERROR(__xludf.DUMMYFUNCTION("""COMPUTED_VALUE"""),"5907615827556")</f>
        <v>5907615827556</v>
      </c>
      <c r="C5644" t="str">
        <f>IFERROR(__xludf.DUMMYFUNCTION("""COMPUTED_VALUE"""),"Steinhof")</f>
        <v>Steinhof</v>
      </c>
    </row>
    <row r="5645">
      <c r="A5645" t="str">
        <f>IFERROR(__xludf.DUMMYFUNCTION("""COMPUTED_VALUE"""),"C-275")</f>
        <v>C-275</v>
      </c>
      <c r="B5645" s="226" t="str">
        <f>IFERROR(__xludf.DUMMYFUNCTION("""COMPUTED_VALUE"""),"5907615827556")</f>
        <v>5907615827556</v>
      </c>
      <c r="C5645" t="str">
        <f>IFERROR(__xludf.DUMMYFUNCTION("""COMPUTED_VALUE"""),"Steinhof")</f>
        <v>Steinhof</v>
      </c>
    </row>
    <row r="5646">
      <c r="A5646" t="str">
        <f>IFERROR(__xludf.DUMMYFUNCTION("""COMPUTED_VALUE"""),"C-275")</f>
        <v>C-275</v>
      </c>
      <c r="B5646" s="226" t="str">
        <f>IFERROR(__xludf.DUMMYFUNCTION("""COMPUTED_VALUE"""),"5907615827556")</f>
        <v>5907615827556</v>
      </c>
      <c r="C5646" t="str">
        <f>IFERROR(__xludf.DUMMYFUNCTION("""COMPUTED_VALUE"""),"Steinhof")</f>
        <v>Steinhof</v>
      </c>
    </row>
    <row r="5647">
      <c r="A5647" t="str">
        <f>IFERROR(__xludf.DUMMYFUNCTION("""COMPUTED_VALUE"""),"C-275")</f>
        <v>C-275</v>
      </c>
      <c r="B5647" s="226" t="str">
        <f>IFERROR(__xludf.DUMMYFUNCTION("""COMPUTED_VALUE"""),"5907615827556")</f>
        <v>5907615827556</v>
      </c>
      <c r="C5647" t="str">
        <f>IFERROR(__xludf.DUMMYFUNCTION("""COMPUTED_VALUE"""),"Steinhof")</f>
        <v>Steinhof</v>
      </c>
    </row>
    <row r="5648">
      <c r="A5648" t="str">
        <f>IFERROR(__xludf.DUMMYFUNCTION("""COMPUTED_VALUE"""),"C-275")</f>
        <v>C-275</v>
      </c>
      <c r="B5648" s="226" t="str">
        <f>IFERROR(__xludf.DUMMYFUNCTION("""COMPUTED_VALUE"""),"5907615827556")</f>
        <v>5907615827556</v>
      </c>
      <c r="C5648" t="str">
        <f>IFERROR(__xludf.DUMMYFUNCTION("""COMPUTED_VALUE"""),"Steinhof")</f>
        <v>Steinhof</v>
      </c>
    </row>
    <row r="5649">
      <c r="A5649" t="str">
        <f>IFERROR(__xludf.DUMMYFUNCTION("""COMPUTED_VALUE"""),"C-266")</f>
        <v>C-266</v>
      </c>
      <c r="B5649" s="226" t="str">
        <f>IFERROR(__xludf.DUMMYFUNCTION("""COMPUTED_VALUE"""),"5907615827563")</f>
        <v>5907615827563</v>
      </c>
      <c r="C5649" t="str">
        <f>IFERROR(__xludf.DUMMYFUNCTION("""COMPUTED_VALUE"""),"Steinhof")</f>
        <v>Steinhof</v>
      </c>
    </row>
    <row r="5650">
      <c r="A5650" t="str">
        <f>IFERROR(__xludf.DUMMYFUNCTION("""COMPUTED_VALUE"""),"C-266")</f>
        <v>C-266</v>
      </c>
      <c r="B5650" s="226" t="str">
        <f>IFERROR(__xludf.DUMMYFUNCTION("""COMPUTED_VALUE"""),"5907615827563")</f>
        <v>5907615827563</v>
      </c>
      <c r="C5650" t="str">
        <f>IFERROR(__xludf.DUMMYFUNCTION("""COMPUTED_VALUE"""),"Steinhof")</f>
        <v>Steinhof</v>
      </c>
    </row>
    <row r="5651">
      <c r="A5651" t="str">
        <f>IFERROR(__xludf.DUMMYFUNCTION("""COMPUTED_VALUE"""),"C-266")</f>
        <v>C-266</v>
      </c>
      <c r="B5651" s="226" t="str">
        <f>IFERROR(__xludf.DUMMYFUNCTION("""COMPUTED_VALUE"""),"5907615827563")</f>
        <v>5907615827563</v>
      </c>
      <c r="C5651" t="str">
        <f>IFERROR(__xludf.DUMMYFUNCTION("""COMPUTED_VALUE"""),"Steinhof")</f>
        <v>Steinhof</v>
      </c>
    </row>
    <row r="5652">
      <c r="A5652" t="str">
        <f>IFERROR(__xludf.DUMMYFUNCTION("""COMPUTED_VALUE"""),"C-266")</f>
        <v>C-266</v>
      </c>
      <c r="B5652" s="226" t="str">
        <f>IFERROR(__xludf.DUMMYFUNCTION("""COMPUTED_VALUE"""),"5907615827563")</f>
        <v>5907615827563</v>
      </c>
      <c r="C5652" t="str">
        <f>IFERROR(__xludf.DUMMYFUNCTION("""COMPUTED_VALUE"""),"Steinhof")</f>
        <v>Steinhof</v>
      </c>
    </row>
    <row r="5653">
      <c r="A5653" t="str">
        <f>IFERROR(__xludf.DUMMYFUNCTION("""COMPUTED_VALUE"""),"C-266")</f>
        <v>C-266</v>
      </c>
      <c r="B5653" s="226" t="str">
        <f>IFERROR(__xludf.DUMMYFUNCTION("""COMPUTED_VALUE"""),"5907615827563")</f>
        <v>5907615827563</v>
      </c>
      <c r="C5653" t="str">
        <f>IFERROR(__xludf.DUMMYFUNCTION("""COMPUTED_VALUE"""),"Steinhof")</f>
        <v>Steinhof</v>
      </c>
    </row>
    <row r="5654">
      <c r="A5654" t="str">
        <f>IFERROR(__xludf.DUMMYFUNCTION("""COMPUTED_VALUE"""),"C-266")</f>
        <v>C-266</v>
      </c>
      <c r="B5654" s="226" t="str">
        <f>IFERROR(__xludf.DUMMYFUNCTION("""COMPUTED_VALUE"""),"5907615827563")</f>
        <v>5907615827563</v>
      </c>
      <c r="C5654" t="str">
        <f>IFERROR(__xludf.DUMMYFUNCTION("""COMPUTED_VALUE"""),"Steinhof")</f>
        <v>Steinhof</v>
      </c>
    </row>
    <row r="5655">
      <c r="A5655" t="str">
        <f>IFERROR(__xludf.DUMMYFUNCTION("""COMPUTED_VALUE"""),"C-267")</f>
        <v>C-267</v>
      </c>
      <c r="B5655" s="226" t="str">
        <f>IFERROR(__xludf.DUMMYFUNCTION("""COMPUTED_VALUE"""),"5907615827570")</f>
        <v>5907615827570</v>
      </c>
      <c r="C5655" t="str">
        <f>IFERROR(__xludf.DUMMYFUNCTION("""COMPUTED_VALUE"""),"Steinhof")</f>
        <v>Steinhof</v>
      </c>
    </row>
    <row r="5656">
      <c r="A5656" t="str">
        <f>IFERROR(__xludf.DUMMYFUNCTION("""COMPUTED_VALUE"""),"C-267")</f>
        <v>C-267</v>
      </c>
      <c r="B5656" s="226" t="str">
        <f>IFERROR(__xludf.DUMMYFUNCTION("""COMPUTED_VALUE"""),"5907615827570")</f>
        <v>5907615827570</v>
      </c>
      <c r="C5656" t="str">
        <f>IFERROR(__xludf.DUMMYFUNCTION("""COMPUTED_VALUE"""),"Steinhof")</f>
        <v>Steinhof</v>
      </c>
    </row>
    <row r="5657">
      <c r="A5657" t="str">
        <f>IFERROR(__xludf.DUMMYFUNCTION("""COMPUTED_VALUE"""),"C-267")</f>
        <v>C-267</v>
      </c>
      <c r="B5657" s="226" t="str">
        <f>IFERROR(__xludf.DUMMYFUNCTION("""COMPUTED_VALUE"""),"5907615827570")</f>
        <v>5907615827570</v>
      </c>
      <c r="C5657" t="str">
        <f>IFERROR(__xludf.DUMMYFUNCTION("""COMPUTED_VALUE"""),"Steinhof")</f>
        <v>Steinhof</v>
      </c>
    </row>
    <row r="5658">
      <c r="A5658" t="str">
        <f>IFERROR(__xludf.DUMMYFUNCTION("""COMPUTED_VALUE"""),"C-267")</f>
        <v>C-267</v>
      </c>
      <c r="B5658" s="226" t="str">
        <f>IFERROR(__xludf.DUMMYFUNCTION("""COMPUTED_VALUE"""),"5907615827570")</f>
        <v>5907615827570</v>
      </c>
      <c r="C5658" t="str">
        <f>IFERROR(__xludf.DUMMYFUNCTION("""COMPUTED_VALUE"""),"Steinhof")</f>
        <v>Steinhof</v>
      </c>
    </row>
    <row r="5659">
      <c r="A5659" t="str">
        <f>IFERROR(__xludf.DUMMYFUNCTION("""COMPUTED_VALUE"""),"C-267")</f>
        <v>C-267</v>
      </c>
      <c r="B5659" s="226" t="str">
        <f>IFERROR(__xludf.DUMMYFUNCTION("""COMPUTED_VALUE"""),"5907615827570")</f>
        <v>5907615827570</v>
      </c>
      <c r="C5659" t="str">
        <f>IFERROR(__xludf.DUMMYFUNCTION("""COMPUTED_VALUE"""),"Steinhof")</f>
        <v>Steinhof</v>
      </c>
    </row>
    <row r="5660">
      <c r="A5660" t="str">
        <f>IFERROR(__xludf.DUMMYFUNCTION("""COMPUTED_VALUE"""),"C-267")</f>
        <v>C-267</v>
      </c>
      <c r="B5660" s="226" t="str">
        <f>IFERROR(__xludf.DUMMYFUNCTION("""COMPUTED_VALUE"""),"5907615827570")</f>
        <v>5907615827570</v>
      </c>
      <c r="C5660" t="str">
        <f>IFERROR(__xludf.DUMMYFUNCTION("""COMPUTED_VALUE"""),"Steinhof")</f>
        <v>Steinhof</v>
      </c>
    </row>
    <row r="5661">
      <c r="A5661" t="str">
        <f>IFERROR(__xludf.DUMMYFUNCTION("""COMPUTED_VALUE"""),"C-262")</f>
        <v>C-262</v>
      </c>
      <c r="B5661" s="226" t="str">
        <f>IFERROR(__xludf.DUMMYFUNCTION("""COMPUTED_VALUE"""),"5907615827587")</f>
        <v>5907615827587</v>
      </c>
      <c r="C5661" t="str">
        <f>IFERROR(__xludf.DUMMYFUNCTION("""COMPUTED_VALUE"""),"Steinhof")</f>
        <v>Steinhof</v>
      </c>
    </row>
    <row r="5662">
      <c r="A5662" t="str">
        <f>IFERROR(__xludf.DUMMYFUNCTION("""COMPUTED_VALUE"""),"C-262")</f>
        <v>C-262</v>
      </c>
      <c r="B5662" s="226" t="str">
        <f>IFERROR(__xludf.DUMMYFUNCTION("""COMPUTED_VALUE"""),"5907615827587")</f>
        <v>5907615827587</v>
      </c>
      <c r="C5662" t="str">
        <f>IFERROR(__xludf.DUMMYFUNCTION("""COMPUTED_VALUE"""),"Steinhof")</f>
        <v>Steinhof</v>
      </c>
    </row>
    <row r="5663">
      <c r="A5663" t="str">
        <f>IFERROR(__xludf.DUMMYFUNCTION("""COMPUTED_VALUE"""),"C-263")</f>
        <v>C-263</v>
      </c>
      <c r="B5663" s="226" t="str">
        <f>IFERROR(__xludf.DUMMYFUNCTION("""COMPUTED_VALUE"""),"5907615827594")</f>
        <v>5907615827594</v>
      </c>
      <c r="C5663" t="str">
        <f>IFERROR(__xludf.DUMMYFUNCTION("""COMPUTED_VALUE"""),"Steinhof")</f>
        <v>Steinhof</v>
      </c>
    </row>
    <row r="5664">
      <c r="A5664" t="str">
        <f>IFERROR(__xludf.DUMMYFUNCTION("""COMPUTED_VALUE"""),"C-263")</f>
        <v>C-263</v>
      </c>
      <c r="B5664" s="226" t="str">
        <f>IFERROR(__xludf.DUMMYFUNCTION("""COMPUTED_VALUE"""),"5907615827594")</f>
        <v>5907615827594</v>
      </c>
      <c r="C5664" t="str">
        <f>IFERROR(__xludf.DUMMYFUNCTION("""COMPUTED_VALUE"""),"Steinhof")</f>
        <v>Steinhof</v>
      </c>
    </row>
    <row r="5665">
      <c r="A5665" t="str">
        <f>IFERROR(__xludf.DUMMYFUNCTION("""COMPUTED_VALUE"""),"C-288")</f>
        <v>C-288</v>
      </c>
      <c r="B5665" s="226" t="str">
        <f>IFERROR(__xludf.DUMMYFUNCTION("""COMPUTED_VALUE"""),"5907615827600")</f>
        <v>5907615827600</v>
      </c>
      <c r="C5665" t="str">
        <f>IFERROR(__xludf.DUMMYFUNCTION("""COMPUTED_VALUE"""),"Steinhof")</f>
        <v>Steinhof</v>
      </c>
    </row>
    <row r="5666">
      <c r="A5666" t="str">
        <f>IFERROR(__xludf.DUMMYFUNCTION("""COMPUTED_VALUE"""),"C-288")</f>
        <v>C-288</v>
      </c>
      <c r="B5666" s="226" t="str">
        <f>IFERROR(__xludf.DUMMYFUNCTION("""COMPUTED_VALUE"""),"5907615827600")</f>
        <v>5907615827600</v>
      </c>
      <c r="C5666" t="str">
        <f>IFERROR(__xludf.DUMMYFUNCTION("""COMPUTED_VALUE"""),"Steinhof")</f>
        <v>Steinhof</v>
      </c>
    </row>
    <row r="5667">
      <c r="A5667" t="str">
        <f>IFERROR(__xludf.DUMMYFUNCTION("""COMPUTED_VALUE"""),"C-289")</f>
        <v>C-289</v>
      </c>
      <c r="B5667" s="226" t="str">
        <f>IFERROR(__xludf.DUMMYFUNCTION("""COMPUTED_VALUE"""),"5907615827617")</f>
        <v>5907615827617</v>
      </c>
      <c r="C5667" t="str">
        <f>IFERROR(__xludf.DUMMYFUNCTION("""COMPUTED_VALUE"""),"Steinhof")</f>
        <v>Steinhof</v>
      </c>
    </row>
    <row r="5668">
      <c r="A5668" t="str">
        <f>IFERROR(__xludf.DUMMYFUNCTION("""COMPUTED_VALUE"""),"C-289")</f>
        <v>C-289</v>
      </c>
      <c r="B5668" s="226" t="str">
        <f>IFERROR(__xludf.DUMMYFUNCTION("""COMPUTED_VALUE"""),"5907615827617")</f>
        <v>5907615827617</v>
      </c>
      <c r="C5668" t="str">
        <f>IFERROR(__xludf.DUMMYFUNCTION("""COMPUTED_VALUE"""),"Steinhof")</f>
        <v>Steinhof</v>
      </c>
    </row>
    <row r="5669">
      <c r="A5669" t="str">
        <f>IFERROR(__xludf.DUMMYFUNCTION("""COMPUTED_VALUE"""),"C-252")</f>
        <v>C-252</v>
      </c>
      <c r="B5669" s="226" t="str">
        <f>IFERROR(__xludf.DUMMYFUNCTION("""COMPUTED_VALUE"""),"5907615827624")</f>
        <v>5907615827624</v>
      </c>
      <c r="C5669" t="str">
        <f>IFERROR(__xludf.DUMMYFUNCTION("""COMPUTED_VALUE"""),"Steinhof")</f>
        <v>Steinhof</v>
      </c>
    </row>
    <row r="5670">
      <c r="A5670" t="str">
        <f>IFERROR(__xludf.DUMMYFUNCTION("""COMPUTED_VALUE"""),"C-252")</f>
        <v>C-252</v>
      </c>
      <c r="B5670" s="226" t="str">
        <f>IFERROR(__xludf.DUMMYFUNCTION("""COMPUTED_VALUE"""),"5907615827624")</f>
        <v>5907615827624</v>
      </c>
      <c r="C5670" t="str">
        <f>IFERROR(__xludf.DUMMYFUNCTION("""COMPUTED_VALUE"""),"Steinhof")</f>
        <v>Steinhof</v>
      </c>
    </row>
    <row r="5671">
      <c r="A5671" t="str">
        <f>IFERROR(__xludf.DUMMYFUNCTION("""COMPUTED_VALUE"""),"C-253")</f>
        <v>C-253</v>
      </c>
      <c r="B5671" s="226" t="str">
        <f>IFERROR(__xludf.DUMMYFUNCTION("""COMPUTED_VALUE"""),"5907615827631")</f>
        <v>5907615827631</v>
      </c>
      <c r="C5671" t="str">
        <f>IFERROR(__xludf.DUMMYFUNCTION("""COMPUTED_VALUE"""),"Steinhof")</f>
        <v>Steinhof</v>
      </c>
    </row>
    <row r="5672">
      <c r="A5672" t="str">
        <f>IFERROR(__xludf.DUMMYFUNCTION("""COMPUTED_VALUE"""),"C-264")</f>
        <v>C-264</v>
      </c>
      <c r="B5672" s="226" t="str">
        <f>IFERROR(__xludf.DUMMYFUNCTION("""COMPUTED_VALUE"""),"5907615827648")</f>
        <v>5907615827648</v>
      </c>
      <c r="C5672" t="str">
        <f>IFERROR(__xludf.DUMMYFUNCTION("""COMPUTED_VALUE"""),"Steinhof")</f>
        <v>Steinhof</v>
      </c>
    </row>
    <row r="5673">
      <c r="A5673" t="str">
        <f>IFERROR(__xludf.DUMMYFUNCTION("""COMPUTED_VALUE"""),"C-264")</f>
        <v>C-264</v>
      </c>
      <c r="B5673" s="226" t="str">
        <f>IFERROR(__xludf.DUMMYFUNCTION("""COMPUTED_VALUE"""),"5907615827648")</f>
        <v>5907615827648</v>
      </c>
      <c r="C5673" t="str">
        <f>IFERROR(__xludf.DUMMYFUNCTION("""COMPUTED_VALUE"""),"Steinhof")</f>
        <v>Steinhof</v>
      </c>
    </row>
    <row r="5674">
      <c r="A5674" t="str">
        <f>IFERROR(__xludf.DUMMYFUNCTION("""COMPUTED_VALUE"""),"C-265")</f>
        <v>C-265</v>
      </c>
      <c r="B5674" s="226" t="str">
        <f>IFERROR(__xludf.DUMMYFUNCTION("""COMPUTED_VALUE"""),"5907615827655")</f>
        <v>5907615827655</v>
      </c>
      <c r="C5674" t="str">
        <f>IFERROR(__xludf.DUMMYFUNCTION("""COMPUTED_VALUE"""),"Steinhof")</f>
        <v>Steinhof</v>
      </c>
    </row>
    <row r="5675">
      <c r="A5675" t="str">
        <f>IFERROR(__xludf.DUMMYFUNCTION("""COMPUTED_VALUE"""),"C-265")</f>
        <v>C-265</v>
      </c>
      <c r="B5675" s="226" t="str">
        <f>IFERROR(__xludf.DUMMYFUNCTION("""COMPUTED_VALUE"""),"5907615827655")</f>
        <v>5907615827655</v>
      </c>
      <c r="C5675" t="str">
        <f>IFERROR(__xludf.DUMMYFUNCTION("""COMPUTED_VALUE"""),"Steinhof")</f>
        <v>Steinhof</v>
      </c>
    </row>
    <row r="5676">
      <c r="A5676" t="str">
        <f>IFERROR(__xludf.DUMMYFUNCTION("""COMPUTED_VALUE"""),"C-276")</f>
        <v>C-276</v>
      </c>
      <c r="B5676" s="226" t="str">
        <f>IFERROR(__xludf.DUMMYFUNCTION("""COMPUTED_VALUE"""),"5907615827662")</f>
        <v>5907615827662</v>
      </c>
      <c r="C5676" t="str">
        <f>IFERROR(__xludf.DUMMYFUNCTION("""COMPUTED_VALUE"""),"Steinhof")</f>
        <v>Steinhof</v>
      </c>
    </row>
    <row r="5677">
      <c r="A5677" t="str">
        <f>IFERROR(__xludf.DUMMYFUNCTION("""COMPUTED_VALUE"""),"C-276")</f>
        <v>C-276</v>
      </c>
      <c r="B5677" s="226" t="str">
        <f>IFERROR(__xludf.DUMMYFUNCTION("""COMPUTED_VALUE"""),"5907615827662")</f>
        <v>5907615827662</v>
      </c>
      <c r="C5677" t="str">
        <f>IFERROR(__xludf.DUMMYFUNCTION("""COMPUTED_VALUE"""),"Steinhof")</f>
        <v>Steinhof</v>
      </c>
    </row>
    <row r="5678">
      <c r="A5678" t="str">
        <f>IFERROR(__xludf.DUMMYFUNCTION("""COMPUTED_VALUE"""),"C-277")</f>
        <v>C-277</v>
      </c>
      <c r="B5678" s="226" t="str">
        <f>IFERROR(__xludf.DUMMYFUNCTION("""COMPUTED_VALUE"""),"5907615827679")</f>
        <v>5907615827679</v>
      </c>
      <c r="C5678" t="str">
        <f>IFERROR(__xludf.DUMMYFUNCTION("""COMPUTED_VALUE"""),"Steinhof")</f>
        <v>Steinhof</v>
      </c>
    </row>
    <row r="5679">
      <c r="A5679" t="str">
        <f>IFERROR(__xludf.DUMMYFUNCTION("""COMPUTED_VALUE"""),"C-277")</f>
        <v>C-277</v>
      </c>
      <c r="B5679" s="226" t="str">
        <f>IFERROR(__xludf.DUMMYFUNCTION("""COMPUTED_VALUE"""),"5907615827679")</f>
        <v>5907615827679</v>
      </c>
      <c r="C5679" t="str">
        <f>IFERROR(__xludf.DUMMYFUNCTION("""COMPUTED_VALUE"""),"Steinhof")</f>
        <v>Steinhof</v>
      </c>
    </row>
    <row r="5680">
      <c r="A5680" t="str">
        <f>IFERROR(__xludf.DUMMYFUNCTION("""COMPUTED_VALUE"""),"C-257")</f>
        <v>C-257</v>
      </c>
      <c r="B5680" s="226" t="str">
        <f>IFERROR(__xludf.DUMMYFUNCTION("""COMPUTED_VALUE"""),"5907615827686")</f>
        <v>5907615827686</v>
      </c>
      <c r="C5680" t="str">
        <f>IFERROR(__xludf.DUMMYFUNCTION("""COMPUTED_VALUE"""),"Steinhof")</f>
        <v>Steinhof</v>
      </c>
    </row>
    <row r="5681">
      <c r="A5681" t="str">
        <f>IFERROR(__xludf.DUMMYFUNCTION("""COMPUTED_VALUE"""),"C-257")</f>
        <v>C-257</v>
      </c>
      <c r="B5681" s="226" t="str">
        <f>IFERROR(__xludf.DUMMYFUNCTION("""COMPUTED_VALUE"""),"5907615827686")</f>
        <v>5907615827686</v>
      </c>
      <c r="C5681" t="str">
        <f>IFERROR(__xludf.DUMMYFUNCTION("""COMPUTED_VALUE"""),"Steinhof")</f>
        <v>Steinhof</v>
      </c>
    </row>
    <row r="5682">
      <c r="A5682" t="str">
        <f>IFERROR(__xludf.DUMMYFUNCTION("""COMPUTED_VALUE"""),"C-258")</f>
        <v>C-258</v>
      </c>
      <c r="B5682" s="226" t="str">
        <f>IFERROR(__xludf.DUMMYFUNCTION("""COMPUTED_VALUE"""),"5907615827693")</f>
        <v>5907615827693</v>
      </c>
      <c r="C5682" t="str">
        <f>IFERROR(__xludf.DUMMYFUNCTION("""COMPUTED_VALUE"""),"Steinhof")</f>
        <v>Steinhof</v>
      </c>
    </row>
    <row r="5683">
      <c r="A5683" t="str">
        <f>IFERROR(__xludf.DUMMYFUNCTION("""COMPUTED_VALUE"""),"C-258")</f>
        <v>C-258</v>
      </c>
      <c r="B5683" s="226" t="str">
        <f>IFERROR(__xludf.DUMMYFUNCTION("""COMPUTED_VALUE"""),"5907615827693")</f>
        <v>5907615827693</v>
      </c>
      <c r="C5683" t="str">
        <f>IFERROR(__xludf.DUMMYFUNCTION("""COMPUTED_VALUE"""),"Steinhof")</f>
        <v>Steinhof</v>
      </c>
    </row>
    <row r="5684">
      <c r="A5684" t="str">
        <f>IFERROR(__xludf.DUMMYFUNCTION("""COMPUTED_VALUE"""),"C-278")</f>
        <v>C-278</v>
      </c>
      <c r="B5684" s="226" t="str">
        <f>IFERROR(__xludf.DUMMYFUNCTION("""COMPUTED_VALUE"""),"5907615827709")</f>
        <v>5907615827709</v>
      </c>
      <c r="C5684" t="str">
        <f>IFERROR(__xludf.DUMMYFUNCTION("""COMPUTED_VALUE"""),"Steinhof")</f>
        <v>Steinhof</v>
      </c>
    </row>
    <row r="5685">
      <c r="A5685" t="str">
        <f>IFERROR(__xludf.DUMMYFUNCTION("""COMPUTED_VALUE"""),"C-278")</f>
        <v>C-278</v>
      </c>
      <c r="B5685" s="226" t="str">
        <f>IFERROR(__xludf.DUMMYFUNCTION("""COMPUTED_VALUE"""),"5907615827709")</f>
        <v>5907615827709</v>
      </c>
      <c r="C5685" t="str">
        <f>IFERROR(__xludf.DUMMYFUNCTION("""COMPUTED_VALUE"""),"Steinhof")</f>
        <v>Steinhof</v>
      </c>
    </row>
    <row r="5686">
      <c r="A5686" t="str">
        <f>IFERROR(__xludf.DUMMYFUNCTION("""COMPUTED_VALUE"""),"C-279")</f>
        <v>C-279</v>
      </c>
      <c r="B5686" s="226" t="str">
        <f>IFERROR(__xludf.DUMMYFUNCTION("""COMPUTED_VALUE"""),"5907615827716")</f>
        <v>5907615827716</v>
      </c>
      <c r="C5686" t="str">
        <f>IFERROR(__xludf.DUMMYFUNCTION("""COMPUTED_VALUE"""),"Steinhof")</f>
        <v>Steinhof</v>
      </c>
    </row>
    <row r="5687">
      <c r="A5687" t="str">
        <f>IFERROR(__xludf.DUMMYFUNCTION("""COMPUTED_VALUE"""),"C-279")</f>
        <v>C-279</v>
      </c>
      <c r="B5687" s="226" t="str">
        <f>IFERROR(__xludf.DUMMYFUNCTION("""COMPUTED_VALUE"""),"5907615827716")</f>
        <v>5907615827716</v>
      </c>
      <c r="C5687" t="str">
        <f>IFERROR(__xludf.DUMMYFUNCTION("""COMPUTED_VALUE"""),"Steinhof")</f>
        <v>Steinhof</v>
      </c>
    </row>
    <row r="5688">
      <c r="A5688" t="str">
        <f>IFERROR(__xludf.DUMMYFUNCTION("""COMPUTED_VALUE"""),"C-280")</f>
        <v>C-280</v>
      </c>
      <c r="B5688" s="226" t="str">
        <f>IFERROR(__xludf.DUMMYFUNCTION("""COMPUTED_VALUE"""),"5907615827723")</f>
        <v>5907615827723</v>
      </c>
      <c r="C5688" t="str">
        <f>IFERROR(__xludf.DUMMYFUNCTION("""COMPUTED_VALUE"""),"Steinhof")</f>
        <v>Steinhof</v>
      </c>
    </row>
    <row r="5689">
      <c r="A5689" t="str">
        <f>IFERROR(__xludf.DUMMYFUNCTION("""COMPUTED_VALUE"""),"C-280")</f>
        <v>C-280</v>
      </c>
      <c r="B5689" s="226" t="str">
        <f>IFERROR(__xludf.DUMMYFUNCTION("""COMPUTED_VALUE"""),"5907615827723")</f>
        <v>5907615827723</v>
      </c>
      <c r="C5689" t="str">
        <f>IFERROR(__xludf.DUMMYFUNCTION("""COMPUTED_VALUE"""),"Steinhof")</f>
        <v>Steinhof</v>
      </c>
    </row>
    <row r="5690">
      <c r="A5690" t="str">
        <f>IFERROR(__xludf.DUMMYFUNCTION("""COMPUTED_VALUE"""),"ZK-6")</f>
        <v>ZK-6</v>
      </c>
      <c r="B5690" s="226" t="str">
        <f>IFERROR(__xludf.DUMMYFUNCTION("""COMPUTED_VALUE"""),"5907615827815")</f>
        <v>5907615827815</v>
      </c>
      <c r="C5690" t="str">
        <f>IFERROR(__xludf.DUMMYFUNCTION("""COMPUTED_VALUE"""),"Steinhof")</f>
        <v>Steinhof</v>
      </c>
    </row>
    <row r="5691">
      <c r="A5691" t="str">
        <f>IFERROR(__xludf.DUMMYFUNCTION("""COMPUTED_VALUE"""),"S-472")</f>
        <v>S-472</v>
      </c>
      <c r="B5691" s="226" t="str">
        <f>IFERROR(__xludf.DUMMYFUNCTION("""COMPUTED_VALUE"""),"5907615828317")</f>
        <v>5907615828317</v>
      </c>
      <c r="C5691" t="str">
        <f>IFERROR(__xludf.DUMMYFUNCTION("""COMPUTED_VALUE"""),"Steinhof")</f>
        <v>Steinhof</v>
      </c>
    </row>
    <row r="5692">
      <c r="A5692" t="str">
        <f>IFERROR(__xludf.DUMMYFUNCTION("""COMPUTED_VALUE"""),"S-473")</f>
        <v>S-473</v>
      </c>
      <c r="B5692" s="226" t="str">
        <f>IFERROR(__xludf.DUMMYFUNCTION("""COMPUTED_VALUE"""),"5907615828324")</f>
        <v>5907615828324</v>
      </c>
      <c r="C5692" t="str">
        <f>IFERROR(__xludf.DUMMYFUNCTION("""COMPUTED_VALUE"""),"Steinhof")</f>
        <v>Steinhof</v>
      </c>
    </row>
    <row r="5693">
      <c r="A5693" t="str">
        <f>IFERROR(__xludf.DUMMYFUNCTION("""COMPUTED_VALUE"""),"S-474")</f>
        <v>S-474</v>
      </c>
      <c r="B5693" s="226" t="str">
        <f>IFERROR(__xludf.DUMMYFUNCTION("""COMPUTED_VALUE"""),"5907615828331")</f>
        <v>5907615828331</v>
      </c>
      <c r="C5693" t="str">
        <f>IFERROR(__xludf.DUMMYFUNCTION("""COMPUTED_VALUE"""),"Steinhof")</f>
        <v>Steinhof</v>
      </c>
    </row>
    <row r="5694">
      <c r="A5694" t="str">
        <f>IFERROR(__xludf.DUMMYFUNCTION("""COMPUTED_VALUE"""),"S-478")</f>
        <v>S-478</v>
      </c>
      <c r="B5694" s="226" t="str">
        <f>IFERROR(__xludf.DUMMYFUNCTION("""COMPUTED_VALUE"""),"5907615828348")</f>
        <v>5907615828348</v>
      </c>
      <c r="C5694" t="str">
        <f>IFERROR(__xludf.DUMMYFUNCTION("""COMPUTED_VALUE"""),"Steinhof")</f>
        <v>Steinhof</v>
      </c>
    </row>
    <row r="5695">
      <c r="A5695" t="str">
        <f>IFERROR(__xludf.DUMMYFUNCTION("""COMPUTED_VALUE"""),"S-479")</f>
        <v>S-479</v>
      </c>
      <c r="B5695" s="226" t="str">
        <f>IFERROR(__xludf.DUMMYFUNCTION("""COMPUTED_VALUE"""),"5907615828355")</f>
        <v>5907615828355</v>
      </c>
      <c r="C5695" t="str">
        <f>IFERROR(__xludf.DUMMYFUNCTION("""COMPUTED_VALUE"""),"Steinhof")</f>
        <v>Steinhof</v>
      </c>
    </row>
    <row r="5696">
      <c r="A5696" t="str">
        <f>IFERROR(__xludf.DUMMYFUNCTION("""COMPUTED_VALUE"""),"S-422")</f>
        <v>S-422</v>
      </c>
      <c r="B5696" s="226" t="str">
        <f>IFERROR(__xludf.DUMMYFUNCTION("""COMPUTED_VALUE"""),"5907615828362")</f>
        <v>5907615828362</v>
      </c>
      <c r="C5696" t="str">
        <f>IFERROR(__xludf.DUMMYFUNCTION("""COMPUTED_VALUE"""),"Steinhof")</f>
        <v>Steinhof</v>
      </c>
    </row>
    <row r="5697">
      <c r="A5697" t="str">
        <f>IFERROR(__xludf.DUMMYFUNCTION("""COMPUTED_VALUE"""),"S-423")</f>
        <v>S-423</v>
      </c>
      <c r="B5697" s="226" t="str">
        <f>IFERROR(__xludf.DUMMYFUNCTION("""COMPUTED_VALUE"""),"5907615828379")</f>
        <v>5907615828379</v>
      </c>
      <c r="C5697" t="str">
        <f>IFERROR(__xludf.DUMMYFUNCTION("""COMPUTED_VALUE"""),"Steinhof")</f>
        <v>Steinhof</v>
      </c>
    </row>
    <row r="5698">
      <c r="A5698" t="str">
        <f>IFERROR(__xludf.DUMMYFUNCTION("""COMPUTED_VALUE"""),"S-475")</f>
        <v>S-475</v>
      </c>
      <c r="B5698" s="226" t="str">
        <f>IFERROR(__xludf.DUMMYFUNCTION("""COMPUTED_VALUE"""),"5907615828386")</f>
        <v>5907615828386</v>
      </c>
      <c r="C5698" t="str">
        <f>IFERROR(__xludf.DUMMYFUNCTION("""COMPUTED_VALUE"""),"Steinhof")</f>
        <v>Steinhof</v>
      </c>
    </row>
    <row r="5699">
      <c r="A5699" t="str">
        <f>IFERROR(__xludf.DUMMYFUNCTION("""COMPUTED_VALUE"""),"WUK-01")</f>
        <v>WUK-01</v>
      </c>
      <c r="B5699" s="226" t="str">
        <f>IFERROR(__xludf.DUMMYFUNCTION("""COMPUTED_VALUE"""),"5907615850011")</f>
        <v>5907615850011</v>
      </c>
      <c r="C5699" t="str">
        <f>IFERROR(__xludf.DUMMYFUNCTION("""COMPUTED_VALUE"""),"Steinhof")</f>
        <v>Steinhof</v>
      </c>
    </row>
    <row r="5700">
      <c r="A5700" t="str">
        <f>IFERROR(__xludf.DUMMYFUNCTION("""COMPUTED_VALUE"""),"ZSK-1700C")</f>
        <v>ZSK-1700C</v>
      </c>
      <c r="B5700" s="226" t="str">
        <f>IFERROR(__xludf.DUMMYFUNCTION("""COMPUTED_VALUE"""),"5907615850042")</f>
        <v>5907615850042</v>
      </c>
      <c r="C5700" t="str">
        <f>IFERROR(__xludf.DUMMYFUNCTION("""COMPUTED_VALUE"""),"Steinhof")</f>
        <v>Steinhof</v>
      </c>
    </row>
    <row r="5701">
      <c r="A5701" t="str">
        <f>IFERROR(__xludf.DUMMYFUNCTION("""COMPUTED_VALUE"""),"ZSK-1300C")</f>
        <v>ZSK-1300C</v>
      </c>
      <c r="B5701" s="226" t="str">
        <f>IFERROR(__xludf.DUMMYFUNCTION("""COMPUTED_VALUE"""),"5907615850059")</f>
        <v>5907615850059</v>
      </c>
      <c r="C5701" t="str">
        <f>IFERROR(__xludf.DUMMYFUNCTION("""COMPUTED_VALUE"""),"Steinhof")</f>
        <v>Steinhof</v>
      </c>
    </row>
    <row r="5702">
      <c r="A5702" t="str">
        <f>IFERROR(__xludf.DUMMYFUNCTION("""COMPUTED_VALUE"""),"ZSK-1300H")</f>
        <v>ZSK-1300H</v>
      </c>
      <c r="B5702" s="226" t="str">
        <f>IFERROR(__xludf.DUMMYFUNCTION("""COMPUTED_VALUE"""),"5907615850066")</f>
        <v>5907615850066</v>
      </c>
      <c r="C5702" t="str">
        <f>IFERROR(__xludf.DUMMYFUNCTION("""COMPUTED_VALUE"""),"Steinhof")</f>
        <v>Steinhof</v>
      </c>
    </row>
    <row r="5703">
      <c r="A5703" t="str">
        <f>IFERROR(__xludf.DUMMYFUNCTION("""COMPUTED_VALUE"""),"ZSK-750C")</f>
        <v>ZSK-750C</v>
      </c>
      <c r="B5703" s="226" t="str">
        <f>IFERROR(__xludf.DUMMYFUNCTION("""COMPUTED_VALUE"""),"5907615850073")</f>
        <v>5907615850073</v>
      </c>
      <c r="C5703" t="str">
        <f>IFERROR(__xludf.DUMMYFUNCTION("""COMPUTED_VALUE"""),"Steinhof")</f>
        <v>Steinhof</v>
      </c>
    </row>
    <row r="5704">
      <c r="A5704" t="str">
        <f>IFERROR(__xludf.DUMMYFUNCTION("""COMPUTED_VALUE"""),"ZSK-750H")</f>
        <v>ZSK-750H</v>
      </c>
      <c r="B5704" s="226" t="str">
        <f>IFERROR(__xludf.DUMMYFUNCTION("""COMPUTED_VALUE"""),"5907615850080")</f>
        <v>5907615850080</v>
      </c>
      <c r="C5704" t="str">
        <f>IFERROR(__xludf.DUMMYFUNCTION("""COMPUTED_VALUE"""),"Steinhof")</f>
        <v>Steinhof</v>
      </c>
    </row>
    <row r="5705">
      <c r="A5705" t="str">
        <f>IFERROR(__xludf.DUMMYFUNCTION("""COMPUTED_VALUE"""),"WUD-07")</f>
        <v>WUD-07</v>
      </c>
      <c r="B5705" s="226" t="str">
        <f>IFERROR(__xludf.DUMMYFUNCTION("""COMPUTED_VALUE"""),"5907615850158")</f>
        <v>5907615850158</v>
      </c>
      <c r="C5705" t="str">
        <f>IFERROR(__xludf.DUMMYFUNCTION("""COMPUTED_VALUE"""),"Steinhof")</f>
        <v>Steinhof</v>
      </c>
    </row>
    <row r="5706">
      <c r="A5706" t="str">
        <f>IFERROR(__xludf.DUMMYFUNCTION("""COMPUTED_VALUE"""),"SMP-2E")</f>
        <v>SMP-2E</v>
      </c>
      <c r="B5706" s="226" t="str">
        <f>IFERROR(__xludf.DUMMYFUNCTION("""COMPUTED_VALUE"""),"5907615850196")</f>
        <v>5907615850196</v>
      </c>
      <c r="C5706" t="str">
        <f>IFERROR(__xludf.DUMMYFUNCTION("""COMPUTED_VALUE"""),"Steinhof")</f>
        <v>Steinhof</v>
      </c>
    </row>
    <row r="5707">
      <c r="A5707" t="str">
        <f>IFERROR(__xludf.DUMMYFUNCTION("""COMPUTED_VALUE"""),"SMP-2PE")</f>
        <v>SMP-2PE</v>
      </c>
      <c r="B5707" s="226" t="str">
        <f>IFERROR(__xludf.DUMMYFUNCTION("""COMPUTED_VALUE"""),"5907615850202")</f>
        <v>5907615850202</v>
      </c>
      <c r="C5707" t="str">
        <f>IFERROR(__xludf.DUMMYFUNCTION("""COMPUTED_VALUE"""),"Steinhof")</f>
        <v>Steinhof</v>
      </c>
    </row>
    <row r="5708">
      <c r="A5708" t="str">
        <f>IFERROR(__xludf.DUMMYFUNCTION("""COMPUTED_VALUE"""),"SMP-4PE")</f>
        <v>SMP-4PE</v>
      </c>
      <c r="B5708" s="226" t="str">
        <f>IFERROR(__xludf.DUMMYFUNCTION("""COMPUTED_VALUE"""),"5907615850219")</f>
        <v>5907615850219</v>
      </c>
      <c r="C5708" t="str">
        <f>IFERROR(__xludf.DUMMYFUNCTION("""COMPUTED_VALUE"""),"Steinhof")</f>
        <v>Steinhof</v>
      </c>
    </row>
    <row r="5709">
      <c r="A5709" t="str">
        <f>IFERROR(__xludf.DUMMYFUNCTION("""COMPUTED_VALUE"""),"HO")</f>
        <v>HO</v>
      </c>
      <c r="B5709" s="226" t="str">
        <f>IFERROR(__xludf.DUMMYFUNCTION("""COMPUTED_VALUE"""),"5907615852022")</f>
        <v>5907615852022</v>
      </c>
      <c r="C5709" t="str">
        <f>IFERROR(__xludf.DUMMYFUNCTION("""COMPUTED_VALUE"""),"Steinhof")</f>
        <v>Steinhof</v>
      </c>
    </row>
    <row r="5710">
      <c r="A5710" t="str">
        <f>IFERROR(__xludf.DUMMYFUNCTION("""COMPUTED_VALUE"""),"KULA")</f>
        <v>KULA</v>
      </c>
      <c r="B5710" s="226" t="str">
        <f>IFERROR(__xludf.DUMMYFUNCTION("""COMPUTED_VALUE"""),"5907615852039")</f>
        <v>5907615852039</v>
      </c>
      <c r="C5710" t="str">
        <f>IFERROR(__xludf.DUMMYFUNCTION("""COMPUTED_VALUE"""),"Steinhof")</f>
        <v>Steinhof</v>
      </c>
    </row>
    <row r="5711">
      <c r="A5711" t="str">
        <f>IFERROR(__xludf.DUMMYFUNCTION("""COMPUTED_VALUE"""),"KULA E")</f>
        <v>KULA E</v>
      </c>
      <c r="B5711" s="226" t="str">
        <f>IFERROR(__xludf.DUMMYFUNCTION("""COMPUTED_VALUE"""),"5907615852046")</f>
        <v>5907615852046</v>
      </c>
      <c r="C5711" t="str">
        <f>IFERROR(__xludf.DUMMYFUNCTION("""COMPUTED_VALUE"""),"Steinhof")</f>
        <v>Steinhof</v>
      </c>
    </row>
    <row r="5712">
      <c r="A5712" t="str">
        <f>IFERROR(__xludf.DUMMYFUNCTION("""COMPUTED_VALUE"""),"ZSK-2000C")</f>
        <v>ZSK-2000C</v>
      </c>
      <c r="B5712" s="226" t="str">
        <f>IFERROR(__xludf.DUMMYFUNCTION("""COMPUTED_VALUE"""),"5907615852053")</f>
        <v>5907615852053</v>
      </c>
      <c r="C5712" t="str">
        <f>IFERROR(__xludf.DUMMYFUNCTION("""COMPUTED_VALUE"""),"Steinhof")</f>
        <v>Steinhof</v>
      </c>
    </row>
    <row r="5713">
      <c r="A5713" t="str">
        <f>IFERROR(__xludf.DUMMYFUNCTION("""COMPUTED_VALUE"""),"LK-01")</f>
        <v>LK-01</v>
      </c>
      <c r="B5713" s="226" t="str">
        <f>IFERROR(__xludf.DUMMYFUNCTION("""COMPUTED_VALUE"""),"5907615852114")</f>
        <v>5907615852114</v>
      </c>
      <c r="C5713" t="str">
        <f>IFERROR(__xludf.DUMMYFUNCTION("""COMPUTED_VALUE"""),"Steinhof")</f>
        <v>Steinhof</v>
      </c>
    </row>
    <row r="5714">
      <c r="A5714" t="str">
        <f>IFERROR(__xludf.DUMMYFUNCTION("""COMPUTED_VALUE"""),"SMB-01")</f>
        <v>SMB-01</v>
      </c>
      <c r="B5714" s="226" t="str">
        <f>IFERROR(__xludf.DUMMYFUNCTION("""COMPUTED_VALUE"""),"5907615852121")</f>
        <v>5907615852121</v>
      </c>
      <c r="C5714" t="str">
        <f>IFERROR(__xludf.DUMMYFUNCTION("""COMPUTED_VALUE"""),"Steinhof")</f>
        <v>Steinhof</v>
      </c>
    </row>
    <row r="5715">
      <c r="A5715" t="str">
        <f>IFERROR(__xludf.DUMMYFUNCTION("""COMPUTED_VALUE"""),"KULA E ZESTAW")</f>
        <v>KULA E ZESTAW</v>
      </c>
      <c r="B5715" s="226" t="str">
        <f>IFERROR(__xludf.DUMMYFUNCTION("""COMPUTED_VALUE"""),"5907615852169")</f>
        <v>5907615852169</v>
      </c>
      <c r="C5715" t="str">
        <f>IFERROR(__xludf.DUMMYFUNCTION("""COMPUTED_VALUE"""),"Steinhof")</f>
        <v>Steinhof</v>
      </c>
    </row>
    <row r="5716">
      <c r="A5716" t="str">
        <f>IFERROR(__xludf.DUMMYFUNCTION("""COMPUTED_VALUE"""),"SMB-06")</f>
        <v>SMB-06</v>
      </c>
      <c r="B5716" s="226" t="str">
        <f>IFERROR(__xludf.DUMMYFUNCTION("""COMPUTED_VALUE"""),"5907615852176")</f>
        <v>5907615852176</v>
      </c>
      <c r="C5716" t="str">
        <f>IFERROR(__xludf.DUMMYFUNCTION("""COMPUTED_VALUE"""),"Steinhof")</f>
        <v>Steinhof</v>
      </c>
    </row>
    <row r="5717">
      <c r="A5717" t="str">
        <f>IFERROR(__xludf.DUMMYFUNCTION("""COMPUTED_VALUE"""),"SMB-07")</f>
        <v>SMB-07</v>
      </c>
      <c r="B5717" s="226" t="str">
        <f>IFERROR(__xludf.DUMMYFUNCTION("""COMPUTED_VALUE"""),"5907615852183")</f>
        <v>5907615852183</v>
      </c>
      <c r="C5717" t="str">
        <f>IFERROR(__xludf.DUMMYFUNCTION("""COMPUTED_VALUE"""),"Steinhof")</f>
        <v>Steinhof</v>
      </c>
    </row>
    <row r="5718">
      <c r="A5718" t="str">
        <f>IFERROR(__xludf.DUMMYFUNCTION("""COMPUTED_VALUE"""),"SMB-09")</f>
        <v>SMB-09</v>
      </c>
      <c r="B5718" s="226" t="str">
        <f>IFERROR(__xludf.DUMMYFUNCTION("""COMPUTED_VALUE"""),"5907615852190")</f>
        <v>5907615852190</v>
      </c>
      <c r="C5718" t="str">
        <f>IFERROR(__xludf.DUMMYFUNCTION("""COMPUTED_VALUE"""),"Steinhof")</f>
        <v>Steinhof</v>
      </c>
    </row>
    <row r="5719">
      <c r="A5719" t="str">
        <f>IFERROR(__xludf.DUMMYFUNCTION("""COMPUTED_VALUE"""),"SMB-10")</f>
        <v>SMB-10</v>
      </c>
      <c r="B5719" s="226" t="str">
        <f>IFERROR(__xludf.DUMMYFUNCTION("""COMPUTED_VALUE"""),"5907615852206")</f>
        <v>5907615852206</v>
      </c>
      <c r="C5719" t="str">
        <f>IFERROR(__xludf.DUMMYFUNCTION("""COMPUTED_VALUE"""),"Steinhof")</f>
        <v>Steinhof</v>
      </c>
    </row>
    <row r="5720">
      <c r="A5720" t="str">
        <f>IFERROR(__xludf.DUMMYFUNCTION("""COMPUTED_VALUE"""),"SMB-11")</f>
        <v>SMB-11</v>
      </c>
      <c r="B5720" s="226" t="str">
        <f>IFERROR(__xludf.DUMMYFUNCTION("""COMPUTED_VALUE"""),"5907615852213")</f>
        <v>5907615852213</v>
      </c>
      <c r="C5720" t="str">
        <f>IFERROR(__xludf.DUMMYFUNCTION("""COMPUTED_VALUE"""),"Steinhof")</f>
        <v>Steinhof</v>
      </c>
    </row>
    <row r="5721">
      <c r="A5721" t="str">
        <f>IFERROR(__xludf.DUMMYFUNCTION("""COMPUTED_VALUE"""),"ST-01")</f>
        <v>ST-01</v>
      </c>
      <c r="B5721" s="226" t="str">
        <f>IFERROR(__xludf.DUMMYFUNCTION("""COMPUTED_VALUE"""),"5907615852237")</f>
        <v>5907615852237</v>
      </c>
      <c r="C5721" t="str">
        <f>IFERROR(__xludf.DUMMYFUNCTION("""COMPUTED_VALUE"""),"Steinhof")</f>
        <v>Steinhof</v>
      </c>
    </row>
    <row r="5722">
      <c r="A5722" t="str">
        <f>IFERROR(__xludf.DUMMYFUNCTION("""COMPUTED_VALUE"""),"SZ")</f>
        <v>SZ</v>
      </c>
      <c r="B5722" s="226" t="str">
        <f>IFERROR(__xludf.DUMMYFUNCTION("""COMPUTED_VALUE"""),"5907615852503")</f>
        <v>5907615852503</v>
      </c>
      <c r="C5722" t="str">
        <f>IFERROR(__xludf.DUMMYFUNCTION("""COMPUTED_VALUE"""),"Steinhof")</f>
        <v>Steinhof</v>
      </c>
    </row>
    <row r="5723">
      <c r="A5723" t="str">
        <f>IFERROR(__xludf.DUMMYFUNCTION("""COMPUTED_VALUE"""),"SZ 10")</f>
        <v>SZ 10</v>
      </c>
      <c r="B5723" s="226" t="str">
        <f>IFERROR(__xludf.DUMMYFUNCTION("""COMPUTED_VALUE"""),"5907615852510")</f>
        <v>5907615852510</v>
      </c>
      <c r="C5723" t="str">
        <f>IFERROR(__xludf.DUMMYFUNCTION("""COMPUTED_VALUE"""),"Steinhof")</f>
        <v>Steinhof</v>
      </c>
    </row>
    <row r="5724">
      <c r="A5724" t="str">
        <f>IFERROR(__xludf.DUMMYFUNCTION("""COMPUTED_VALUE"""),"ACS-POK")</f>
        <v>ACS-POK</v>
      </c>
      <c r="B5724" s="226" t="str">
        <f>IFERROR(__xludf.DUMMYFUNCTION("""COMPUTED_VALUE"""),"5907615852541")</f>
        <v>5907615852541</v>
      </c>
      <c r="C5724" t="str">
        <f>IFERROR(__xludf.DUMMYFUNCTION("""COMPUTED_VALUE"""),"Steinhof")</f>
        <v>Steinhof</v>
      </c>
    </row>
    <row r="5725">
      <c r="A5725" t="str">
        <f>IFERROR(__xludf.DUMMYFUNCTION("""COMPUTED_VALUE"""),"ACS-AKCESORIA 1")</f>
        <v>ACS-AKCESORIA 1</v>
      </c>
      <c r="B5725" s="226" t="str">
        <f>IFERROR(__xludf.DUMMYFUNCTION("""COMPUTED_VALUE"""),"5907615852558")</f>
        <v>5907615852558</v>
      </c>
      <c r="C5725" t="str">
        <f>IFERROR(__xludf.DUMMYFUNCTION("""COMPUTED_VALUE"""),"Steinhof")</f>
        <v>Steinhof</v>
      </c>
    </row>
    <row r="5726">
      <c r="A5726" t="str">
        <f>IFERROR(__xludf.DUMMYFUNCTION("""COMPUTED_VALUE"""),"ACS-AKCESORIA 2")</f>
        <v>ACS-AKCESORIA 2</v>
      </c>
      <c r="B5726" s="226" t="str">
        <f>IFERROR(__xludf.DUMMYFUNCTION("""COMPUTED_VALUE"""),"5907615852565")</f>
        <v>5907615852565</v>
      </c>
      <c r="C5726" t="str">
        <f>IFERROR(__xludf.DUMMYFUNCTION("""COMPUTED_VALUE"""),"Steinhof")</f>
        <v>Steinhof</v>
      </c>
    </row>
    <row r="5727">
      <c r="A5727" t="str">
        <f>IFERROR(__xludf.DUMMYFUNCTION("""COMPUTED_VALUE"""),"ACS-ZESTAW KLUCZY")</f>
        <v>ACS-ZESTAW KLUCZY</v>
      </c>
      <c r="B5727" s="226" t="str">
        <f>IFERROR(__xludf.DUMMYFUNCTION("""COMPUTED_VALUE"""),"5907615852572")</f>
        <v>5907615852572</v>
      </c>
      <c r="C5727" t="str">
        <f>IFERROR(__xludf.DUMMYFUNCTION("""COMPUTED_VALUE"""),"Steinhof")</f>
        <v>Steinhof</v>
      </c>
    </row>
    <row r="5728">
      <c r="A5728" t="str">
        <f>IFERROR(__xludf.DUMMYFUNCTION("""COMPUTED_VALUE"""),"ACS EKSPOZYCJA")</f>
        <v>ACS EKSPOZYCJA</v>
      </c>
      <c r="B5728" s="226" t="str">
        <f>IFERROR(__xludf.DUMMYFUNCTION("""COMPUTED_VALUE"""),"5907615852589")</f>
        <v>5907615852589</v>
      </c>
      <c r="C5728" t="str">
        <f>IFERROR(__xludf.DUMMYFUNCTION("""COMPUTED_VALUE"""),"Steinhof")</f>
        <v>Steinhof</v>
      </c>
    </row>
    <row r="5729">
      <c r="A5729" t="str">
        <f>IFERROR(__xludf.DUMMYFUNCTION("""COMPUTED_VALUE"""),"KULA ACS")</f>
        <v>KULA ACS</v>
      </c>
      <c r="B5729" s="226" t="str">
        <f>IFERROR(__xludf.DUMMYFUNCTION("""COMPUTED_VALUE"""),"5907615852596")</f>
        <v>5907615852596</v>
      </c>
      <c r="C5729" t="str">
        <f>IFERROR(__xludf.DUMMYFUNCTION("""COMPUTED_VALUE"""),"Steinhof")</f>
        <v>Steinhof</v>
      </c>
    </row>
    <row r="5730">
      <c r="A5730" t="str">
        <f>IFERROR(__xludf.DUMMYFUNCTION("""COMPUTED_VALUE"""),"KULA E 21kN")</f>
        <v>KULA E 21kN</v>
      </c>
      <c r="B5730" s="226" t="str">
        <f>IFERROR(__xludf.DUMMYFUNCTION("""COMPUTED_VALUE"""),"5907615852602")</f>
        <v>5907615852602</v>
      </c>
      <c r="C5730" t="str">
        <f>IFERROR(__xludf.DUMMYFUNCTION("""COMPUTED_VALUE"""),"Steinhof")</f>
        <v>Steinhof</v>
      </c>
    </row>
    <row r="5731">
      <c r="A5731" t="str">
        <f>IFERROR(__xludf.DUMMYFUNCTION("""COMPUTED_VALUE"""),"346072600001")</f>
        <v>346072600001</v>
      </c>
      <c r="B5731" s="226" t="str">
        <f>IFERROR(__xludf.DUMMYFUNCTION("""COMPUTED_VALUE"""),"7340091400024")</f>
        <v>7340091400024</v>
      </c>
      <c r="C5731" t="str">
        <f>IFERROR(__xludf.DUMMYFUNCTION("""COMPUTED_VALUE"""),"Westfalia/Witter")</f>
        <v>Westfalia/Witter</v>
      </c>
    </row>
    <row r="5732">
      <c r="A5732" t="str">
        <f>IFERROR(__xludf.DUMMYFUNCTION("""COMPUTED_VALUE"""),"340097600001")</f>
        <v>340097600001</v>
      </c>
      <c r="B5732" s="226" t="str">
        <f>IFERROR(__xludf.DUMMYFUNCTION("""COMPUTED_VALUE"""),"7340091400031")</f>
        <v>7340091400031</v>
      </c>
      <c r="C5732" t="str">
        <f>IFERROR(__xludf.DUMMYFUNCTION("""COMPUTED_VALUE"""),"Westfalia/Witter")</f>
        <v>Westfalia/Witter</v>
      </c>
    </row>
    <row r="5733">
      <c r="A5733" t="str">
        <f>IFERROR(__xludf.DUMMYFUNCTION("""COMPUTED_VALUE"""),"340096600001")</f>
        <v>340096600001</v>
      </c>
      <c r="B5733" s="226" t="str">
        <f>IFERROR(__xludf.DUMMYFUNCTION("""COMPUTED_VALUE"""),"7340091400048")</f>
        <v>7340091400048</v>
      </c>
      <c r="C5733" t="str">
        <f>IFERROR(__xludf.DUMMYFUNCTION("""COMPUTED_VALUE"""),"Westfalia/Witter")</f>
        <v>Westfalia/Witter</v>
      </c>
    </row>
    <row r="5734">
      <c r="A5734" t="str">
        <f>IFERROR(__xludf.DUMMYFUNCTION("""COMPUTED_VALUE"""),"342187600001")</f>
        <v>342187600001</v>
      </c>
      <c r="B5734" s="226" t="str">
        <f>IFERROR(__xludf.DUMMYFUNCTION("""COMPUTED_VALUE"""),"7340091400055")</f>
        <v>7340091400055</v>
      </c>
      <c r="C5734" t="str">
        <f>IFERROR(__xludf.DUMMYFUNCTION("""COMPUTED_VALUE"""),"Westfalia/Witter")</f>
        <v>Westfalia/Witter</v>
      </c>
    </row>
    <row r="5735">
      <c r="A5735" t="str">
        <f>IFERROR(__xludf.DUMMYFUNCTION("""COMPUTED_VALUE"""),"346070600001")</f>
        <v>346070600001</v>
      </c>
      <c r="B5735" s="226" t="str">
        <f>IFERROR(__xludf.DUMMYFUNCTION("""COMPUTED_VALUE"""),"7340091400079")</f>
        <v>7340091400079</v>
      </c>
      <c r="C5735" t="str">
        <f>IFERROR(__xludf.DUMMYFUNCTION("""COMPUTED_VALUE"""),"Westfalia/Witter")</f>
        <v>Westfalia/Witter</v>
      </c>
    </row>
    <row r="5736">
      <c r="A5736" t="str">
        <f>IFERROR(__xludf.DUMMYFUNCTION("""COMPUTED_VALUE"""),"323102600001")</f>
        <v>323102600001</v>
      </c>
      <c r="B5736" s="226" t="str">
        <f>IFERROR(__xludf.DUMMYFUNCTION("""COMPUTED_VALUE"""),"7340091400086")</f>
        <v>7340091400086</v>
      </c>
      <c r="C5736" t="str">
        <f>IFERROR(__xludf.DUMMYFUNCTION("""COMPUTED_VALUE"""),"Westfalia/Witter")</f>
        <v>Westfalia/Witter</v>
      </c>
    </row>
    <row r="5737">
      <c r="A5737" t="str">
        <f>IFERROR(__xludf.DUMMYFUNCTION("""COMPUTED_VALUE"""),"342195600001")</f>
        <v>342195600001</v>
      </c>
      <c r="B5737" s="226" t="str">
        <f>IFERROR(__xludf.DUMMYFUNCTION("""COMPUTED_VALUE"""),"7340091400109")</f>
        <v>7340091400109</v>
      </c>
      <c r="C5737" t="str">
        <f>IFERROR(__xludf.DUMMYFUNCTION("""COMPUTED_VALUE"""),"Westfalia/Witter")</f>
        <v>Westfalia/Witter</v>
      </c>
    </row>
    <row r="5738">
      <c r="A5738" t="str">
        <f>IFERROR(__xludf.DUMMYFUNCTION("""COMPUTED_VALUE"""),"315188600001")</f>
        <v>315188600001</v>
      </c>
      <c r="B5738" s="226" t="str">
        <f>IFERROR(__xludf.DUMMYFUNCTION("""COMPUTED_VALUE"""),"7340091400123")</f>
        <v>7340091400123</v>
      </c>
      <c r="C5738" t="str">
        <f>IFERROR(__xludf.DUMMYFUNCTION("""COMPUTED_VALUE"""),"Westfalia/Witter")</f>
        <v>Westfalia/Witter</v>
      </c>
    </row>
    <row r="5739">
      <c r="A5739" t="str">
        <f>IFERROR(__xludf.DUMMYFUNCTION("""COMPUTED_VALUE"""),"323101600001")</f>
        <v>323101600001</v>
      </c>
      <c r="B5739" s="226" t="str">
        <f>IFERROR(__xludf.DUMMYFUNCTION("""COMPUTED_VALUE"""),"7340091400147")</f>
        <v>7340091400147</v>
      </c>
      <c r="C5739" t="str">
        <f>IFERROR(__xludf.DUMMYFUNCTION("""COMPUTED_VALUE"""),"Westfalia/Witter")</f>
        <v>Westfalia/Witter</v>
      </c>
    </row>
    <row r="5740">
      <c r="A5740" t="str">
        <f>IFERROR(__xludf.DUMMYFUNCTION("""COMPUTED_VALUE"""),"343053600001")</f>
        <v>343053600001</v>
      </c>
      <c r="B5740" s="226" t="str">
        <f>IFERROR(__xludf.DUMMYFUNCTION("""COMPUTED_VALUE"""),"7340091400154")</f>
        <v>7340091400154</v>
      </c>
      <c r="C5740" t="str">
        <f>IFERROR(__xludf.DUMMYFUNCTION("""COMPUTED_VALUE"""),"Westfalia/Witter")</f>
        <v>Westfalia/Witter</v>
      </c>
    </row>
    <row r="5741">
      <c r="A5741" t="str">
        <f>IFERROR(__xludf.DUMMYFUNCTION("""COMPUTED_VALUE"""),"343056600001")</f>
        <v>343056600001</v>
      </c>
      <c r="B5741" s="226" t="str">
        <f>IFERROR(__xludf.DUMMYFUNCTION("""COMPUTED_VALUE"""),"7340091400161")</f>
        <v>7340091400161</v>
      </c>
      <c r="C5741" t="str">
        <f>IFERROR(__xludf.DUMMYFUNCTION("""COMPUTED_VALUE"""),"Westfalia/Witter")</f>
        <v>Westfalia/Witter</v>
      </c>
    </row>
    <row r="5742">
      <c r="A5742" t="str">
        <f>IFERROR(__xludf.DUMMYFUNCTION("""COMPUTED_VALUE"""),"346082600001")</f>
        <v>346082600001</v>
      </c>
      <c r="B5742" s="226" t="str">
        <f>IFERROR(__xludf.DUMMYFUNCTION("""COMPUTED_VALUE"""),"7340091400178")</f>
        <v>7340091400178</v>
      </c>
      <c r="C5742" t="str">
        <f>IFERROR(__xludf.DUMMYFUNCTION("""COMPUTED_VALUE"""),"Westfalia/Witter")</f>
        <v>Westfalia/Witter</v>
      </c>
    </row>
    <row r="5743">
      <c r="A5743" t="str">
        <f>IFERROR(__xludf.DUMMYFUNCTION("""COMPUTED_VALUE"""),"346083600001")</f>
        <v>346083600001</v>
      </c>
      <c r="B5743" s="226" t="str">
        <f>IFERROR(__xludf.DUMMYFUNCTION("""COMPUTED_VALUE"""),"7340091400185")</f>
        <v>7340091400185</v>
      </c>
      <c r="C5743" t="str">
        <f>IFERROR(__xludf.DUMMYFUNCTION("""COMPUTED_VALUE"""),"Westfalia/Witter")</f>
        <v>Westfalia/Witter</v>
      </c>
    </row>
    <row r="5744">
      <c r="A5744" t="str">
        <f>IFERROR(__xludf.DUMMYFUNCTION("""COMPUTED_VALUE"""),"345086600001")</f>
        <v>345086600001</v>
      </c>
      <c r="B5744" s="226" t="str">
        <f>IFERROR(__xludf.DUMMYFUNCTION("""COMPUTED_VALUE"""),"7340091400222")</f>
        <v>7340091400222</v>
      </c>
      <c r="C5744" t="str">
        <f>IFERROR(__xludf.DUMMYFUNCTION("""COMPUTED_VALUE"""),"Westfalia/Witter")</f>
        <v>Westfalia/Witter</v>
      </c>
    </row>
    <row r="5745">
      <c r="A5745" t="str">
        <f>IFERROR(__xludf.DUMMYFUNCTION("""COMPUTED_VALUE"""),"345086600001")</f>
        <v>345086600001</v>
      </c>
      <c r="B5745" s="226" t="str">
        <f>IFERROR(__xludf.DUMMYFUNCTION("""COMPUTED_VALUE"""),"7340091400222")</f>
        <v>7340091400222</v>
      </c>
      <c r="C5745" t="str">
        <f>IFERROR(__xludf.DUMMYFUNCTION("""COMPUTED_VALUE"""),"Westfalia/Witter")</f>
        <v>Westfalia/Witter</v>
      </c>
    </row>
    <row r="5746">
      <c r="A5746" t="str">
        <f>IFERROR(__xludf.DUMMYFUNCTION("""COMPUTED_VALUE"""),"345086600001")</f>
        <v>345086600001</v>
      </c>
      <c r="B5746" s="226" t="str">
        <f>IFERROR(__xludf.DUMMYFUNCTION("""COMPUTED_VALUE"""),"7340091400222")</f>
        <v>7340091400222</v>
      </c>
      <c r="C5746" t="str">
        <f>IFERROR(__xludf.DUMMYFUNCTION("""COMPUTED_VALUE"""),"Westfalia/Witter")</f>
        <v>Westfalia/Witter</v>
      </c>
    </row>
    <row r="5747">
      <c r="A5747" t="str">
        <f>IFERROR(__xludf.DUMMYFUNCTION("""COMPUTED_VALUE"""),"321835600001")</f>
        <v>321835600001</v>
      </c>
      <c r="B5747" s="226" t="str">
        <f>IFERROR(__xludf.DUMMYFUNCTION("""COMPUTED_VALUE"""),"7340091400239")</f>
        <v>7340091400239</v>
      </c>
      <c r="C5747" t="str">
        <f>IFERROR(__xludf.DUMMYFUNCTION("""COMPUTED_VALUE"""),"Westfalia/Witter")</f>
        <v>Westfalia/Witter</v>
      </c>
    </row>
    <row r="5748">
      <c r="A5748" t="str">
        <f>IFERROR(__xludf.DUMMYFUNCTION("""COMPUTED_VALUE"""),"346084600001")</f>
        <v>346084600001</v>
      </c>
      <c r="B5748" s="226" t="str">
        <f>IFERROR(__xludf.DUMMYFUNCTION("""COMPUTED_VALUE"""),"7340091400246")</f>
        <v>7340091400246</v>
      </c>
      <c r="C5748" t="str">
        <f>IFERROR(__xludf.DUMMYFUNCTION("""COMPUTED_VALUE"""),"Westfalia/Witter")</f>
        <v>Westfalia/Witter</v>
      </c>
    </row>
    <row r="5749">
      <c r="A5749" t="str">
        <f>IFERROR(__xludf.DUMMYFUNCTION("""COMPUTED_VALUE"""),"340099600001")</f>
        <v>340099600001</v>
      </c>
      <c r="B5749" s="226" t="str">
        <f>IFERROR(__xludf.DUMMYFUNCTION("""COMPUTED_VALUE"""),"7340091400277")</f>
        <v>7340091400277</v>
      </c>
      <c r="C5749" t="str">
        <f>IFERROR(__xludf.DUMMYFUNCTION("""COMPUTED_VALUE"""),"Westfalia/Witter")</f>
        <v>Westfalia/Witter</v>
      </c>
    </row>
    <row r="5750">
      <c r="A5750" t="str">
        <f>IFERROR(__xludf.DUMMYFUNCTION("""COMPUTED_VALUE"""),"340098600001")</f>
        <v>340098600001</v>
      </c>
      <c r="B5750" s="226" t="str">
        <f>IFERROR(__xludf.DUMMYFUNCTION("""COMPUTED_VALUE"""),"7340091400284")</f>
        <v>7340091400284</v>
      </c>
      <c r="C5750" t="str">
        <f>IFERROR(__xludf.DUMMYFUNCTION("""COMPUTED_VALUE"""),"Westfalia/Witter")</f>
        <v>Westfalia/Witter</v>
      </c>
    </row>
    <row r="5751">
      <c r="A5751" t="str">
        <f>IFERROR(__xludf.DUMMYFUNCTION("""COMPUTED_VALUE"""),"346076600001")</f>
        <v>346076600001</v>
      </c>
      <c r="B5751" s="226" t="str">
        <f>IFERROR(__xludf.DUMMYFUNCTION("""COMPUTED_VALUE"""),"7340091400321")</f>
        <v>7340091400321</v>
      </c>
      <c r="C5751" t="str">
        <f>IFERROR(__xludf.DUMMYFUNCTION("""COMPUTED_VALUE"""),"Westfalia/Witter")</f>
        <v>Westfalia/Witter</v>
      </c>
    </row>
    <row r="5752">
      <c r="A5752" t="str">
        <f>IFERROR(__xludf.DUMMYFUNCTION("""COMPUTED_VALUE"""),"346075600001")</f>
        <v>346075600001</v>
      </c>
      <c r="B5752" s="226" t="str">
        <f>IFERROR(__xludf.DUMMYFUNCTION("""COMPUTED_VALUE"""),"7340091400338")</f>
        <v>7340091400338</v>
      </c>
      <c r="C5752" t="str">
        <f>IFERROR(__xludf.DUMMYFUNCTION("""COMPUTED_VALUE"""),"Westfalia/Witter")</f>
        <v>Westfalia/Witter</v>
      </c>
    </row>
    <row r="5753">
      <c r="A5753" t="str">
        <f>IFERROR(__xludf.DUMMYFUNCTION("""COMPUTED_VALUE"""),"345069600001")</f>
        <v>345069600001</v>
      </c>
      <c r="B5753" s="226" t="str">
        <f>IFERROR(__xludf.DUMMYFUNCTION("""COMPUTED_VALUE"""),"7340091400345")</f>
        <v>7340091400345</v>
      </c>
      <c r="C5753" t="str">
        <f>IFERROR(__xludf.DUMMYFUNCTION("""COMPUTED_VALUE"""),"Westfalia/Witter")</f>
        <v>Westfalia/Witter</v>
      </c>
    </row>
    <row r="5754">
      <c r="A5754" t="str">
        <f>IFERROR(__xludf.DUMMYFUNCTION("""COMPUTED_VALUE"""),"316375600001")</f>
        <v>316375600001</v>
      </c>
      <c r="B5754" s="226" t="str">
        <f>IFERROR(__xludf.DUMMYFUNCTION("""COMPUTED_VALUE"""),"7340091400772")</f>
        <v>7340091400772</v>
      </c>
      <c r="C5754" t="str">
        <f>IFERROR(__xludf.DUMMYFUNCTION("""COMPUTED_VALUE"""),"Westfalia/Witter")</f>
        <v>Westfalia/Witter</v>
      </c>
    </row>
    <row r="5755">
      <c r="A5755" t="str">
        <f>IFERROR(__xludf.DUMMYFUNCTION("""COMPUTED_VALUE"""),"316379600001")</f>
        <v>316379600001</v>
      </c>
      <c r="B5755" s="226" t="str">
        <f>IFERROR(__xludf.DUMMYFUNCTION("""COMPUTED_VALUE"""),"7340091400833")</f>
        <v>7340091400833</v>
      </c>
      <c r="C5755" t="str">
        <f>IFERROR(__xludf.DUMMYFUNCTION("""COMPUTED_VALUE"""),"Westfalia/Witter")</f>
        <v>Westfalia/Witter</v>
      </c>
    </row>
    <row r="5756">
      <c r="A5756" t="str">
        <f>IFERROR(__xludf.DUMMYFUNCTION("""COMPUTED_VALUE"""),"307527600001")</f>
        <v>307527600001</v>
      </c>
      <c r="B5756" s="226" t="str">
        <f>IFERROR(__xludf.DUMMYFUNCTION("""COMPUTED_VALUE"""),"7340091401090")</f>
        <v>7340091401090</v>
      </c>
      <c r="C5756" t="str">
        <f>IFERROR(__xludf.DUMMYFUNCTION("""COMPUTED_VALUE"""),"Westfalia/Witter")</f>
        <v>Westfalia/Witter</v>
      </c>
    </row>
    <row r="5757">
      <c r="A5757" t="str">
        <f>IFERROR(__xludf.DUMMYFUNCTION("""COMPUTED_VALUE"""),"307530600001")</f>
        <v>307530600001</v>
      </c>
      <c r="B5757" s="226" t="str">
        <f>IFERROR(__xludf.DUMMYFUNCTION("""COMPUTED_VALUE"""),"7340091401168")</f>
        <v>7340091401168</v>
      </c>
      <c r="C5757" t="str">
        <f>IFERROR(__xludf.DUMMYFUNCTION("""COMPUTED_VALUE"""),"Westfalia/Witter")</f>
        <v>Westfalia/Witter</v>
      </c>
    </row>
    <row r="5758">
      <c r="A5758" t="str">
        <f>IFERROR(__xludf.DUMMYFUNCTION("""COMPUTED_VALUE"""),"307530600001")</f>
        <v>307530600001</v>
      </c>
      <c r="B5758" s="226" t="str">
        <f>IFERROR(__xludf.DUMMYFUNCTION("""COMPUTED_VALUE"""),"7340091401168")</f>
        <v>7340091401168</v>
      </c>
      <c r="C5758" t="str">
        <f>IFERROR(__xludf.DUMMYFUNCTION("""COMPUTED_VALUE"""),"Westfalia/Witter")</f>
        <v>Westfalia/Witter</v>
      </c>
    </row>
    <row r="5759">
      <c r="A5759" t="str">
        <f>IFERROR(__xludf.DUMMYFUNCTION("""COMPUTED_VALUE"""),"307532600001")</f>
        <v>307532600001</v>
      </c>
      <c r="B5759" s="226" t="str">
        <f>IFERROR(__xludf.DUMMYFUNCTION("""COMPUTED_VALUE"""),"7340091401236")</f>
        <v>7340091401236</v>
      </c>
      <c r="C5759" t="str">
        <f>IFERROR(__xludf.DUMMYFUNCTION("""COMPUTED_VALUE"""),"Westfalia/Witter")</f>
        <v>Westfalia/Witter</v>
      </c>
    </row>
    <row r="5760">
      <c r="A5760" t="str">
        <f>IFERROR(__xludf.DUMMYFUNCTION("""COMPUTED_VALUE"""),"313488600001")</f>
        <v>313488600001</v>
      </c>
      <c r="B5760" s="226" t="str">
        <f>IFERROR(__xludf.DUMMYFUNCTION("""COMPUTED_VALUE"""),"7340091401311")</f>
        <v>7340091401311</v>
      </c>
      <c r="C5760" t="str">
        <f>IFERROR(__xludf.DUMMYFUNCTION("""COMPUTED_VALUE"""),"Westfalia/Witter")</f>
        <v>Westfalia/Witter</v>
      </c>
    </row>
    <row r="5761">
      <c r="A5761" t="str">
        <f>IFERROR(__xludf.DUMMYFUNCTION("""COMPUTED_VALUE"""),"313499600001")</f>
        <v>313499600001</v>
      </c>
      <c r="B5761" s="226" t="str">
        <f>IFERROR(__xludf.DUMMYFUNCTION("""COMPUTED_VALUE"""),"7340091401373")</f>
        <v>7340091401373</v>
      </c>
      <c r="C5761" t="str">
        <f>IFERROR(__xludf.DUMMYFUNCTION("""COMPUTED_VALUE"""),"Westfalia/Witter")</f>
        <v>Westfalia/Witter</v>
      </c>
    </row>
    <row r="5762">
      <c r="A5762" t="str">
        <f>IFERROR(__xludf.DUMMYFUNCTION("""COMPUTED_VALUE"""),"321874600001")</f>
        <v>321874600001</v>
      </c>
      <c r="B5762" s="226" t="str">
        <f>IFERROR(__xludf.DUMMYFUNCTION("""COMPUTED_VALUE"""),"7340091401557")</f>
        <v>7340091401557</v>
      </c>
      <c r="C5762" t="str">
        <f>IFERROR(__xludf.DUMMYFUNCTION("""COMPUTED_VALUE"""),"Westfalia/Witter")</f>
        <v>Westfalia/Witter</v>
      </c>
    </row>
    <row r="5763">
      <c r="A5763" t="str">
        <f>IFERROR(__xludf.DUMMYFUNCTION("""COMPUTED_VALUE"""),"321874600001")</f>
        <v>321874600001</v>
      </c>
      <c r="B5763" s="226" t="str">
        <f>IFERROR(__xludf.DUMMYFUNCTION("""COMPUTED_VALUE"""),"7340091401557")</f>
        <v>7340091401557</v>
      </c>
      <c r="C5763" t="str">
        <f>IFERROR(__xludf.DUMMYFUNCTION("""COMPUTED_VALUE"""),"Westfalia/Witter")</f>
        <v>Westfalia/Witter</v>
      </c>
    </row>
    <row r="5764">
      <c r="A5764" t="str">
        <f>IFERROR(__xludf.DUMMYFUNCTION("""COMPUTED_VALUE"""),"321874600001")</f>
        <v>321874600001</v>
      </c>
      <c r="B5764" s="226" t="str">
        <f>IFERROR(__xludf.DUMMYFUNCTION("""COMPUTED_VALUE"""),"7340091401557")</f>
        <v>7340091401557</v>
      </c>
      <c r="C5764" t="str">
        <f>IFERROR(__xludf.DUMMYFUNCTION("""COMPUTED_VALUE"""),"Westfalia/Witter")</f>
        <v>Westfalia/Witter</v>
      </c>
    </row>
    <row r="5765">
      <c r="A5765" t="str">
        <f>IFERROR(__xludf.DUMMYFUNCTION("""COMPUTED_VALUE"""),"320097600001")</f>
        <v>320097600001</v>
      </c>
      <c r="B5765" s="226" t="str">
        <f>IFERROR(__xludf.DUMMYFUNCTION("""COMPUTED_VALUE"""),"7340091401618")</f>
        <v>7340091401618</v>
      </c>
      <c r="C5765" t="str">
        <f>IFERROR(__xludf.DUMMYFUNCTION("""COMPUTED_VALUE"""),"Westfalia/Witter")</f>
        <v>Westfalia/Witter</v>
      </c>
    </row>
    <row r="5766">
      <c r="A5766" t="str">
        <f>IFERROR(__xludf.DUMMYFUNCTION("""COMPUTED_VALUE"""),"320108600001")</f>
        <v>320108600001</v>
      </c>
      <c r="B5766" s="226" t="str">
        <f>IFERROR(__xludf.DUMMYFUNCTION("""COMPUTED_VALUE"""),"7340091401625")</f>
        <v>7340091401625</v>
      </c>
      <c r="C5766" t="str">
        <f>IFERROR(__xludf.DUMMYFUNCTION("""COMPUTED_VALUE"""),"Westfalia/Witter")</f>
        <v>Westfalia/Witter</v>
      </c>
    </row>
    <row r="5767">
      <c r="A5767" t="str">
        <f>IFERROR(__xludf.DUMMYFUNCTION("""COMPUTED_VALUE"""),"320072600001")</f>
        <v>320072600001</v>
      </c>
      <c r="B5767" s="226" t="str">
        <f>IFERROR(__xludf.DUMMYFUNCTION("""COMPUTED_VALUE"""),"7340091401632")</f>
        <v>7340091401632</v>
      </c>
      <c r="C5767" t="str">
        <f>IFERROR(__xludf.DUMMYFUNCTION("""COMPUTED_VALUE"""),"Westfalia/Witter")</f>
        <v>Westfalia/Witter</v>
      </c>
    </row>
    <row r="5768">
      <c r="A5768" t="str">
        <f>IFERROR(__xludf.DUMMYFUNCTION("""COMPUTED_VALUE"""),"320072600001")</f>
        <v>320072600001</v>
      </c>
      <c r="B5768" s="226" t="str">
        <f>IFERROR(__xludf.DUMMYFUNCTION("""COMPUTED_VALUE"""),"7340091401632")</f>
        <v>7340091401632</v>
      </c>
      <c r="C5768" t="str">
        <f>IFERROR(__xludf.DUMMYFUNCTION("""COMPUTED_VALUE"""),"Westfalia/Witter")</f>
        <v>Westfalia/Witter</v>
      </c>
    </row>
    <row r="5769">
      <c r="A5769" t="str">
        <f>IFERROR(__xludf.DUMMYFUNCTION("""COMPUTED_VALUE"""),"320121600001")</f>
        <v>320121600001</v>
      </c>
      <c r="B5769" s="226" t="str">
        <f>IFERROR(__xludf.DUMMYFUNCTION("""COMPUTED_VALUE"""),"7340091401694")</f>
        <v>7340091401694</v>
      </c>
      <c r="C5769" t="str">
        <f>IFERROR(__xludf.DUMMYFUNCTION("""COMPUTED_VALUE"""),"Westfalia/Witter")</f>
        <v>Westfalia/Witter</v>
      </c>
    </row>
    <row r="5770">
      <c r="A5770" t="str">
        <f>IFERROR(__xludf.DUMMYFUNCTION("""COMPUTED_VALUE"""),"320121600001")</f>
        <v>320121600001</v>
      </c>
      <c r="B5770" s="226" t="str">
        <f>IFERROR(__xludf.DUMMYFUNCTION("""COMPUTED_VALUE"""),"7340091401694")</f>
        <v>7340091401694</v>
      </c>
      <c r="C5770" t="str">
        <f>IFERROR(__xludf.DUMMYFUNCTION("""COMPUTED_VALUE"""),"Westfalia/Witter")</f>
        <v>Westfalia/Witter</v>
      </c>
    </row>
    <row r="5771">
      <c r="A5771" t="str">
        <f>IFERROR(__xludf.DUMMYFUNCTION("""COMPUTED_VALUE"""),"320107600001")</f>
        <v>320107600001</v>
      </c>
      <c r="B5771" s="226" t="str">
        <f>IFERROR(__xludf.DUMMYFUNCTION("""COMPUTED_VALUE"""),"7340091401748")</f>
        <v>7340091401748</v>
      </c>
      <c r="C5771" t="str">
        <f>IFERROR(__xludf.DUMMYFUNCTION("""COMPUTED_VALUE"""),"Westfalia/Witter")</f>
        <v>Westfalia/Witter</v>
      </c>
    </row>
    <row r="5772">
      <c r="A5772" t="str">
        <f>IFERROR(__xludf.DUMMYFUNCTION("""COMPUTED_VALUE"""),"320071600001")</f>
        <v>320071600001</v>
      </c>
      <c r="B5772" s="226" t="str">
        <f>IFERROR(__xludf.DUMMYFUNCTION("""COMPUTED_VALUE"""),"7340091401755")</f>
        <v>7340091401755</v>
      </c>
      <c r="C5772" t="str">
        <f>IFERROR(__xludf.DUMMYFUNCTION("""COMPUTED_VALUE"""),"Westfalia/Witter")</f>
        <v>Westfalia/Witter</v>
      </c>
    </row>
    <row r="5773">
      <c r="A5773" t="str">
        <f>IFERROR(__xludf.DUMMYFUNCTION("""COMPUTED_VALUE"""),"320071600001")</f>
        <v>320071600001</v>
      </c>
      <c r="B5773" s="226" t="str">
        <f>IFERROR(__xludf.DUMMYFUNCTION("""COMPUTED_VALUE"""),"7340091401755")</f>
        <v>7340091401755</v>
      </c>
      <c r="C5773" t="str">
        <f>IFERROR(__xludf.DUMMYFUNCTION("""COMPUTED_VALUE"""),"Westfalia/Witter")</f>
        <v>Westfalia/Witter</v>
      </c>
    </row>
    <row r="5774">
      <c r="A5774" t="str">
        <f>IFERROR(__xludf.DUMMYFUNCTION("""COMPUTED_VALUE"""),"335360600001")</f>
        <v>335360600001</v>
      </c>
      <c r="B5774" s="226" t="str">
        <f>IFERROR(__xludf.DUMMYFUNCTION("""COMPUTED_VALUE"""),"7340091401830")</f>
        <v>7340091401830</v>
      </c>
      <c r="C5774" t="str">
        <f>IFERROR(__xludf.DUMMYFUNCTION("""COMPUTED_VALUE"""),"Westfalia/Witter")</f>
        <v>Westfalia/Witter</v>
      </c>
    </row>
    <row r="5775">
      <c r="A5775" t="str">
        <f>IFERROR(__xludf.DUMMYFUNCTION("""COMPUTED_VALUE"""),"340120600001")</f>
        <v>340120600001</v>
      </c>
      <c r="B5775" s="226" t="str">
        <f>IFERROR(__xludf.DUMMYFUNCTION("""COMPUTED_VALUE"""),"7340091402653")</f>
        <v>7340091402653</v>
      </c>
      <c r="C5775" t="str">
        <f>IFERROR(__xludf.DUMMYFUNCTION("""COMPUTED_VALUE"""),"Westfalia/Witter")</f>
        <v>Westfalia/Witter</v>
      </c>
    </row>
    <row r="5776">
      <c r="A5776" t="str">
        <f>IFERROR(__xludf.DUMMYFUNCTION("""COMPUTED_VALUE"""),"348026600001")</f>
        <v>348026600001</v>
      </c>
      <c r="B5776" s="226" t="str">
        <f>IFERROR(__xludf.DUMMYFUNCTION("""COMPUTED_VALUE"""),"7340091402745")</f>
        <v>7340091402745</v>
      </c>
      <c r="C5776" t="str">
        <f>IFERROR(__xludf.DUMMYFUNCTION("""COMPUTED_VALUE"""),"Westfalia/Witter")</f>
        <v>Westfalia/Witter</v>
      </c>
    </row>
    <row r="5777">
      <c r="A5777" t="str">
        <f>IFERROR(__xludf.DUMMYFUNCTION("""COMPUTED_VALUE"""),"348074600001")</f>
        <v>348074600001</v>
      </c>
      <c r="B5777" s="226" t="str">
        <f>IFERROR(__xludf.DUMMYFUNCTION("""COMPUTED_VALUE"""),"7340091402813")</f>
        <v>7340091402813</v>
      </c>
      <c r="C5777" t="str">
        <f>IFERROR(__xludf.DUMMYFUNCTION("""COMPUTED_VALUE"""),"Westfalia/Witter")</f>
        <v>Westfalia/Witter</v>
      </c>
    </row>
    <row r="5778">
      <c r="A5778" t="str">
        <f>IFERROR(__xludf.DUMMYFUNCTION("""COMPUTED_VALUE"""),"348025600001")</f>
        <v>348025600001</v>
      </c>
      <c r="B5778" s="226" t="str">
        <f>IFERROR(__xludf.DUMMYFUNCTION("""COMPUTED_VALUE"""),"7340091402837")</f>
        <v>7340091402837</v>
      </c>
      <c r="C5778" t="str">
        <f>IFERROR(__xludf.DUMMYFUNCTION("""COMPUTED_VALUE"""),"Westfalia/Witter")</f>
        <v>Westfalia/Witter</v>
      </c>
    </row>
    <row r="5779">
      <c r="A5779" t="str">
        <f>IFERROR(__xludf.DUMMYFUNCTION("""COMPUTED_VALUE"""),"348027600001")</f>
        <v>348027600001</v>
      </c>
      <c r="B5779" s="226" t="str">
        <f>IFERROR(__xludf.DUMMYFUNCTION("""COMPUTED_VALUE"""),"7340091402844")</f>
        <v>7340091402844</v>
      </c>
      <c r="C5779" t="str">
        <f>IFERROR(__xludf.DUMMYFUNCTION("""COMPUTED_VALUE"""),"Westfalia/Witter")</f>
        <v>Westfalia/Witter</v>
      </c>
    </row>
    <row r="5780">
      <c r="A5780" t="str">
        <f>IFERROR(__xludf.DUMMYFUNCTION("""COMPUTED_VALUE"""),"345079600001")</f>
        <v>345079600001</v>
      </c>
      <c r="B5780" s="226" t="str">
        <f>IFERROR(__xludf.DUMMYFUNCTION("""COMPUTED_VALUE"""),"7340091402905")</f>
        <v>7340091402905</v>
      </c>
      <c r="C5780" t="str">
        <f>IFERROR(__xludf.DUMMYFUNCTION("""COMPUTED_VALUE"""),"Westfalia/Witter")</f>
        <v>Westfalia/Witter</v>
      </c>
    </row>
    <row r="5781">
      <c r="A5781" t="str">
        <f>IFERROR(__xludf.DUMMYFUNCTION("""COMPUTED_VALUE"""),"346088600001")</f>
        <v>346088600001</v>
      </c>
      <c r="B5781" s="226" t="str">
        <f>IFERROR(__xludf.DUMMYFUNCTION("""COMPUTED_VALUE"""),"7340091403056")</f>
        <v>7340091403056</v>
      </c>
      <c r="C5781" t="str">
        <f>IFERROR(__xludf.DUMMYFUNCTION("""COMPUTED_VALUE"""),"Westfalia/Witter")</f>
        <v>Westfalia/Witter</v>
      </c>
    </row>
    <row r="5782">
      <c r="A5782" t="str">
        <f>IFERROR(__xludf.DUMMYFUNCTION("""COMPUTED_VALUE"""),"346088600001")</f>
        <v>346088600001</v>
      </c>
      <c r="B5782" s="226" t="str">
        <f>IFERROR(__xludf.DUMMYFUNCTION("""COMPUTED_VALUE"""),"7340091403056")</f>
        <v>7340091403056</v>
      </c>
      <c r="C5782" t="str">
        <f>IFERROR(__xludf.DUMMYFUNCTION("""COMPUTED_VALUE"""),"Westfalia/Witter")</f>
        <v>Westfalia/Witter</v>
      </c>
    </row>
    <row r="5783">
      <c r="A5783" t="str">
        <f>IFERROR(__xludf.DUMMYFUNCTION("""COMPUTED_VALUE"""),"346088600001")</f>
        <v>346088600001</v>
      </c>
      <c r="B5783" s="226" t="str">
        <f>IFERROR(__xludf.DUMMYFUNCTION("""COMPUTED_VALUE"""),"7340091403056")</f>
        <v>7340091403056</v>
      </c>
      <c r="C5783" t="str">
        <f>IFERROR(__xludf.DUMMYFUNCTION("""COMPUTED_VALUE"""),"Westfalia/Witter")</f>
        <v>Westfalia/Witter</v>
      </c>
    </row>
    <row r="5784">
      <c r="A5784" t="str">
        <f>IFERROR(__xludf.DUMMYFUNCTION("""COMPUTED_VALUE"""),"346090600001")</f>
        <v>346090600001</v>
      </c>
      <c r="B5784" s="226" t="str">
        <f>IFERROR(__xludf.DUMMYFUNCTION("""COMPUTED_VALUE"""),"7340091403131")</f>
        <v>7340091403131</v>
      </c>
      <c r="C5784" t="str">
        <f>IFERROR(__xludf.DUMMYFUNCTION("""COMPUTED_VALUE"""),"Westfalia/Witter")</f>
        <v>Westfalia/Witter</v>
      </c>
    </row>
    <row r="5785">
      <c r="A5785" t="str">
        <f>IFERROR(__xludf.DUMMYFUNCTION("""COMPUTED_VALUE"""),"346053600001")</f>
        <v>346053600001</v>
      </c>
      <c r="B5785" s="226" t="str">
        <f>IFERROR(__xludf.DUMMYFUNCTION("""COMPUTED_VALUE"""),"7340091403148")</f>
        <v>7340091403148</v>
      </c>
      <c r="C5785" t="str">
        <f>IFERROR(__xludf.DUMMYFUNCTION("""COMPUTED_VALUE"""),"Westfalia/Witter")</f>
        <v>Westfalia/Witter</v>
      </c>
    </row>
    <row r="5786">
      <c r="A5786" t="str">
        <f>IFERROR(__xludf.DUMMYFUNCTION("""COMPUTED_VALUE"""),"341031600001")</f>
        <v>341031600001</v>
      </c>
      <c r="B5786" s="226" t="str">
        <f>IFERROR(__xludf.DUMMYFUNCTION("""COMPUTED_VALUE"""),"7340091403278")</f>
        <v>7340091403278</v>
      </c>
      <c r="C5786" t="str">
        <f>IFERROR(__xludf.DUMMYFUNCTION("""COMPUTED_VALUE"""),"Westfalia/Witter")</f>
        <v>Westfalia/Witter</v>
      </c>
    </row>
    <row r="5787">
      <c r="A5787" t="str">
        <f>IFERROR(__xludf.DUMMYFUNCTION("""COMPUTED_VALUE"""),"345093600001")</f>
        <v>345093600001</v>
      </c>
      <c r="B5787" s="226" t="str">
        <f>IFERROR(__xludf.DUMMYFUNCTION("""COMPUTED_VALUE"""),"7340091403629")</f>
        <v>7340091403629</v>
      </c>
      <c r="C5787" t="str">
        <f>IFERROR(__xludf.DUMMYFUNCTION("""COMPUTED_VALUE"""),"Westfalia/Witter")</f>
        <v>Westfalia/Witter</v>
      </c>
    </row>
    <row r="5788">
      <c r="A5788" t="str">
        <f>IFERROR(__xludf.DUMMYFUNCTION("""COMPUTED_VALUE"""),"345094600001")</f>
        <v>345094600001</v>
      </c>
      <c r="B5788" s="226" t="str">
        <f>IFERROR(__xludf.DUMMYFUNCTION("""COMPUTED_VALUE"""),"7340091403636")</f>
        <v>7340091403636</v>
      </c>
      <c r="C5788" t="str">
        <f>IFERROR(__xludf.DUMMYFUNCTION("""COMPUTED_VALUE"""),"Westfalia/Witter")</f>
        <v>Westfalia/Witter</v>
      </c>
    </row>
    <row r="5789">
      <c r="A5789" t="str">
        <f>IFERROR(__xludf.DUMMYFUNCTION("""COMPUTED_VALUE"""),"348038600001")</f>
        <v>348038600001</v>
      </c>
      <c r="B5789" s="226" t="str">
        <f>IFERROR(__xludf.DUMMYFUNCTION("""COMPUTED_VALUE"""),"7340091403643")</f>
        <v>7340091403643</v>
      </c>
      <c r="C5789" t="str">
        <f>IFERROR(__xludf.DUMMYFUNCTION("""COMPUTED_VALUE"""),"Westfalia/Witter")</f>
        <v>Westfalia/Witter</v>
      </c>
    </row>
    <row r="5790">
      <c r="A5790" t="str">
        <f>IFERROR(__xludf.DUMMYFUNCTION("""COMPUTED_VALUE"""),"348039600001")</f>
        <v>348039600001</v>
      </c>
      <c r="B5790" s="226" t="str">
        <f>IFERROR(__xludf.DUMMYFUNCTION("""COMPUTED_VALUE"""),"7340091403650")</f>
        <v>7340091403650</v>
      </c>
      <c r="C5790" t="str">
        <f>IFERROR(__xludf.DUMMYFUNCTION("""COMPUTED_VALUE"""),"Westfalia/Witter")</f>
        <v>Westfalia/Witter</v>
      </c>
    </row>
    <row r="5791">
      <c r="A5791" t="str">
        <f>IFERROR(__xludf.DUMMYFUNCTION("""COMPUTED_VALUE"""),"338115600001")</f>
        <v>338115600001</v>
      </c>
      <c r="B5791" s="226" t="str">
        <f>IFERROR(__xludf.DUMMYFUNCTION("""COMPUTED_VALUE"""),"7340091403667")</f>
        <v>7340091403667</v>
      </c>
      <c r="C5791" t="str">
        <f>IFERROR(__xludf.DUMMYFUNCTION("""COMPUTED_VALUE"""),"Westfalia/Witter")</f>
        <v>Westfalia/Witter</v>
      </c>
    </row>
    <row r="5792">
      <c r="A5792" t="str">
        <f>IFERROR(__xludf.DUMMYFUNCTION("""COMPUTED_VALUE"""),"338115600001")</f>
        <v>338115600001</v>
      </c>
      <c r="B5792" s="226" t="str">
        <f>IFERROR(__xludf.DUMMYFUNCTION("""COMPUTED_VALUE"""),"7340091403667")</f>
        <v>7340091403667</v>
      </c>
      <c r="C5792" t="str">
        <f>IFERROR(__xludf.DUMMYFUNCTION("""COMPUTED_VALUE"""),"Westfalia/Witter")</f>
        <v>Westfalia/Witter</v>
      </c>
    </row>
    <row r="5793">
      <c r="A5793" t="str">
        <f>IFERROR(__xludf.DUMMYFUNCTION("""COMPUTED_VALUE"""),"348036600001")</f>
        <v>348036600001</v>
      </c>
      <c r="B5793" s="226" t="str">
        <f>IFERROR(__xludf.DUMMYFUNCTION("""COMPUTED_VALUE"""),"7340091403674")</f>
        <v>7340091403674</v>
      </c>
      <c r="C5793" t="str">
        <f>IFERROR(__xludf.DUMMYFUNCTION("""COMPUTED_VALUE"""),"Westfalia/Witter")</f>
        <v>Westfalia/Witter</v>
      </c>
    </row>
    <row r="5794">
      <c r="A5794" t="str">
        <f>IFERROR(__xludf.DUMMYFUNCTION("""COMPUTED_VALUE"""),"338116600001")</f>
        <v>338116600001</v>
      </c>
      <c r="B5794" s="226" t="str">
        <f>IFERROR(__xludf.DUMMYFUNCTION("""COMPUTED_VALUE"""),"7340091403681")</f>
        <v>7340091403681</v>
      </c>
      <c r="C5794" t="str">
        <f>IFERROR(__xludf.DUMMYFUNCTION("""COMPUTED_VALUE"""),"Westfalia/Witter")</f>
        <v>Westfalia/Witter</v>
      </c>
    </row>
    <row r="5795">
      <c r="A5795" t="str">
        <f>IFERROR(__xludf.DUMMYFUNCTION("""COMPUTED_VALUE"""),"338116600001")</f>
        <v>338116600001</v>
      </c>
      <c r="B5795" s="226" t="str">
        <f>IFERROR(__xludf.DUMMYFUNCTION("""COMPUTED_VALUE"""),"7340091403681")</f>
        <v>7340091403681</v>
      </c>
      <c r="C5795" t="str">
        <f>IFERROR(__xludf.DUMMYFUNCTION("""COMPUTED_VALUE"""),"Westfalia/Witter")</f>
        <v>Westfalia/Witter</v>
      </c>
    </row>
    <row r="5796">
      <c r="A5796" t="str">
        <f>IFERROR(__xludf.DUMMYFUNCTION("""COMPUTED_VALUE"""),"338107600001")</f>
        <v>338107600001</v>
      </c>
      <c r="B5796" s="226" t="str">
        <f>IFERROR(__xludf.DUMMYFUNCTION("""COMPUTED_VALUE"""),"7340091403698")</f>
        <v>7340091403698</v>
      </c>
      <c r="C5796" t="str">
        <f>IFERROR(__xludf.DUMMYFUNCTION("""COMPUTED_VALUE"""),"Westfalia/Witter")</f>
        <v>Westfalia/Witter</v>
      </c>
    </row>
    <row r="5797">
      <c r="A5797" t="str">
        <f>IFERROR(__xludf.DUMMYFUNCTION("""COMPUTED_VALUE"""),"338108600001")</f>
        <v>338108600001</v>
      </c>
      <c r="B5797" s="226" t="str">
        <f>IFERROR(__xludf.DUMMYFUNCTION("""COMPUTED_VALUE"""),"7340091403704")</f>
        <v>7340091403704</v>
      </c>
      <c r="C5797" t="str">
        <f>IFERROR(__xludf.DUMMYFUNCTION("""COMPUTED_VALUE"""),"Westfalia/Witter")</f>
        <v>Westfalia/Witter</v>
      </c>
    </row>
    <row r="5798">
      <c r="A5798" t="str">
        <f>IFERROR(__xludf.DUMMYFUNCTION("""COMPUTED_VALUE"""),"305411600001")</f>
        <v>305411600001</v>
      </c>
      <c r="B5798" s="226" t="str">
        <f>IFERROR(__xludf.DUMMYFUNCTION("""COMPUTED_VALUE"""),"7340091403735")</f>
        <v>7340091403735</v>
      </c>
      <c r="C5798" t="str">
        <f>IFERROR(__xludf.DUMMYFUNCTION("""COMPUTED_VALUE"""),"Westfalia/Witter")</f>
        <v>Westfalia/Witter</v>
      </c>
    </row>
    <row r="5799">
      <c r="A5799" t="str">
        <f>IFERROR(__xludf.DUMMYFUNCTION("""COMPUTED_VALUE"""),"343077600001")</f>
        <v>343077600001</v>
      </c>
      <c r="B5799" s="226" t="str">
        <f>IFERROR(__xludf.DUMMYFUNCTION("""COMPUTED_VALUE"""),"7340091403759")</f>
        <v>7340091403759</v>
      </c>
      <c r="C5799" t="str">
        <f>IFERROR(__xludf.DUMMYFUNCTION("""COMPUTED_VALUE"""),"Westfalia/Witter")</f>
        <v>Westfalia/Witter</v>
      </c>
    </row>
    <row r="5800">
      <c r="A5800" t="str">
        <f>IFERROR(__xludf.DUMMYFUNCTION("""COMPUTED_VALUE"""),"343071600001")</f>
        <v>343071600001</v>
      </c>
      <c r="B5800" s="226" t="str">
        <f>IFERROR(__xludf.DUMMYFUNCTION("""COMPUTED_VALUE"""),"7340091403766")</f>
        <v>7340091403766</v>
      </c>
      <c r="C5800" t="str">
        <f>IFERROR(__xludf.DUMMYFUNCTION("""COMPUTED_VALUE"""),"Westfalia/Witter")</f>
        <v>Westfalia/Witter</v>
      </c>
    </row>
    <row r="5801">
      <c r="A5801" t="str">
        <f>IFERROR(__xludf.DUMMYFUNCTION("""COMPUTED_VALUE"""),"343070600001")</f>
        <v>343070600001</v>
      </c>
      <c r="B5801" s="226" t="str">
        <f>IFERROR(__xludf.DUMMYFUNCTION("""COMPUTED_VALUE"""),"7340091403773")</f>
        <v>7340091403773</v>
      </c>
      <c r="C5801" t="str">
        <f>IFERROR(__xludf.DUMMYFUNCTION("""COMPUTED_VALUE"""),"Westfalia/Witter")</f>
        <v>Westfalia/Witter</v>
      </c>
    </row>
    <row r="5802">
      <c r="A5802" t="str">
        <f>IFERROR(__xludf.DUMMYFUNCTION("""COMPUTED_VALUE"""),"345091600001")</f>
        <v>345091600001</v>
      </c>
      <c r="B5802" s="226" t="str">
        <f>IFERROR(__xludf.DUMMYFUNCTION("""COMPUTED_VALUE"""),"7340091403810")</f>
        <v>7340091403810</v>
      </c>
      <c r="C5802" t="str">
        <f>IFERROR(__xludf.DUMMYFUNCTION("""COMPUTED_VALUE"""),"Westfalia/Witter")</f>
        <v>Westfalia/Witter</v>
      </c>
    </row>
    <row r="5803">
      <c r="A5803" t="str">
        <f>IFERROR(__xludf.DUMMYFUNCTION("""COMPUTED_VALUE"""),"345092600001")</f>
        <v>345092600001</v>
      </c>
      <c r="B5803" s="226" t="str">
        <f>IFERROR(__xludf.DUMMYFUNCTION("""COMPUTED_VALUE"""),"7340091403827")</f>
        <v>7340091403827</v>
      </c>
      <c r="C5803" t="str">
        <f>IFERROR(__xludf.DUMMYFUNCTION("""COMPUTED_VALUE"""),"Westfalia/Witter")</f>
        <v>Westfalia/Witter</v>
      </c>
    </row>
    <row r="5804">
      <c r="A5804" t="str">
        <f>IFERROR(__xludf.DUMMYFUNCTION("""COMPUTED_VALUE"""),"320115600001")</f>
        <v>320115600001</v>
      </c>
      <c r="B5804" s="226" t="str">
        <f>IFERROR(__xludf.DUMMYFUNCTION("""COMPUTED_VALUE"""),"7340091403834")</f>
        <v>7340091403834</v>
      </c>
      <c r="C5804" t="str">
        <f>IFERROR(__xludf.DUMMYFUNCTION("""COMPUTED_VALUE"""),"Westfalia/Witter")</f>
        <v>Westfalia/Witter</v>
      </c>
    </row>
    <row r="5805">
      <c r="A5805" t="str">
        <f>IFERROR(__xludf.DUMMYFUNCTION("""COMPUTED_VALUE"""),"341024600001")</f>
        <v>341024600001</v>
      </c>
      <c r="B5805" s="226" t="str">
        <f>IFERROR(__xludf.DUMMYFUNCTION("""COMPUTED_VALUE"""),"7340091403841")</f>
        <v>7340091403841</v>
      </c>
      <c r="C5805" t="str">
        <f>IFERROR(__xludf.DUMMYFUNCTION("""COMPUTED_VALUE"""),"Westfalia/Witter")</f>
        <v>Westfalia/Witter</v>
      </c>
    </row>
    <row r="5806">
      <c r="A5806" t="str">
        <f>IFERROR(__xludf.DUMMYFUNCTION("""COMPUTED_VALUE"""),"341024600001")</f>
        <v>341024600001</v>
      </c>
      <c r="B5806" s="226" t="str">
        <f>IFERROR(__xludf.DUMMYFUNCTION("""COMPUTED_VALUE"""),"7340091403841")</f>
        <v>7340091403841</v>
      </c>
      <c r="C5806" t="str">
        <f>IFERROR(__xludf.DUMMYFUNCTION("""COMPUTED_VALUE"""),"Westfalia/Witter")</f>
        <v>Westfalia/Witter</v>
      </c>
    </row>
    <row r="5807">
      <c r="A5807" t="str">
        <f>IFERROR(__xludf.DUMMYFUNCTION("""COMPUTED_VALUE"""),"342221600001")</f>
        <v>342221600001</v>
      </c>
      <c r="B5807" s="226" t="str">
        <f>IFERROR(__xludf.DUMMYFUNCTION("""COMPUTED_VALUE"""),"7340091403858")</f>
        <v>7340091403858</v>
      </c>
      <c r="C5807" t="str">
        <f>IFERROR(__xludf.DUMMYFUNCTION("""COMPUTED_VALUE"""),"Westfalia/Witter")</f>
        <v>Westfalia/Witter</v>
      </c>
    </row>
    <row r="5808">
      <c r="A5808" t="str">
        <f>IFERROR(__xludf.DUMMYFUNCTION("""COMPUTED_VALUE"""),"332308600001")</f>
        <v>332308600001</v>
      </c>
      <c r="B5808" s="226" t="str">
        <f>IFERROR(__xludf.DUMMYFUNCTION("""COMPUTED_VALUE"""),"7340091403865")</f>
        <v>7340091403865</v>
      </c>
      <c r="C5808" t="str">
        <f>IFERROR(__xludf.DUMMYFUNCTION("""COMPUTED_VALUE"""),"Westfalia/Witter")</f>
        <v>Westfalia/Witter</v>
      </c>
    </row>
    <row r="5809">
      <c r="A5809" t="str">
        <f>IFERROR(__xludf.DUMMYFUNCTION("""COMPUTED_VALUE"""),"343073600001")</f>
        <v>343073600001</v>
      </c>
      <c r="B5809" s="226" t="str">
        <f>IFERROR(__xludf.DUMMYFUNCTION("""COMPUTED_VALUE"""),"7340091403872")</f>
        <v>7340091403872</v>
      </c>
      <c r="C5809" t="str">
        <f>IFERROR(__xludf.DUMMYFUNCTION("""COMPUTED_VALUE"""),"Westfalia/Witter")</f>
        <v>Westfalia/Witter</v>
      </c>
    </row>
    <row r="5810">
      <c r="A5810" t="str">
        <f>IFERROR(__xludf.DUMMYFUNCTION("""COMPUTED_VALUE"""),"343074600001")</f>
        <v>343074600001</v>
      </c>
      <c r="B5810" s="226" t="str">
        <f>IFERROR(__xludf.DUMMYFUNCTION("""COMPUTED_VALUE"""),"7340091403889")</f>
        <v>7340091403889</v>
      </c>
      <c r="C5810" t="str">
        <f>IFERROR(__xludf.DUMMYFUNCTION("""COMPUTED_VALUE"""),"Westfalia/Witter")</f>
        <v>Westfalia/Witter</v>
      </c>
    </row>
    <row r="5811">
      <c r="A5811" t="str">
        <f>IFERROR(__xludf.DUMMYFUNCTION("""COMPUTED_VALUE"""),"343080600001")</f>
        <v>343080600001</v>
      </c>
      <c r="B5811" s="226" t="str">
        <f>IFERROR(__xludf.DUMMYFUNCTION("""COMPUTED_VALUE"""),"7340091403896")</f>
        <v>7340091403896</v>
      </c>
      <c r="C5811" t="str">
        <f>IFERROR(__xludf.DUMMYFUNCTION("""COMPUTED_VALUE"""),"Westfalia/Witter")</f>
        <v>Westfalia/Witter</v>
      </c>
    </row>
    <row r="5812">
      <c r="A5812" t="str">
        <f>IFERROR(__xludf.DUMMYFUNCTION("""COMPUTED_VALUE"""),"327068600001")</f>
        <v>327068600001</v>
      </c>
      <c r="B5812" s="226" t="str">
        <f>IFERROR(__xludf.DUMMYFUNCTION("""COMPUTED_VALUE"""),"7340091403902")</f>
        <v>7340091403902</v>
      </c>
      <c r="C5812" t="str">
        <f>IFERROR(__xludf.DUMMYFUNCTION("""COMPUTED_VALUE"""),"Westfalia/Witter")</f>
        <v>Westfalia/Witter</v>
      </c>
    </row>
    <row r="5813">
      <c r="A5813" t="str">
        <f>IFERROR(__xludf.DUMMYFUNCTION("""COMPUTED_VALUE"""),"327068600001")</f>
        <v>327068600001</v>
      </c>
      <c r="B5813" s="226" t="str">
        <f>IFERROR(__xludf.DUMMYFUNCTION("""COMPUTED_VALUE"""),"7340091403902")</f>
        <v>7340091403902</v>
      </c>
      <c r="C5813" t="str">
        <f>IFERROR(__xludf.DUMMYFUNCTION("""COMPUTED_VALUE"""),"Westfalia/Witter")</f>
        <v>Westfalia/Witter</v>
      </c>
    </row>
    <row r="5814">
      <c r="A5814" t="str">
        <f>IFERROR(__xludf.DUMMYFUNCTION("""COMPUTED_VALUE"""),"346087600001")</f>
        <v>346087600001</v>
      </c>
      <c r="B5814" s="226" t="str">
        <f>IFERROR(__xludf.DUMMYFUNCTION("""COMPUTED_VALUE"""),"7340091403919")</f>
        <v>7340091403919</v>
      </c>
      <c r="C5814" t="str">
        <f>IFERROR(__xludf.DUMMYFUNCTION("""COMPUTED_VALUE"""),"Westfalia/Witter")</f>
        <v>Westfalia/Witter</v>
      </c>
    </row>
    <row r="5815">
      <c r="A5815" t="str">
        <f>IFERROR(__xludf.DUMMYFUNCTION("""COMPUTED_VALUE"""),"338120600001")</f>
        <v>338120600001</v>
      </c>
      <c r="B5815" s="226" t="str">
        <f>IFERROR(__xludf.DUMMYFUNCTION("""COMPUTED_VALUE"""),"7340091403971")</f>
        <v>7340091403971</v>
      </c>
      <c r="C5815" t="str">
        <f>IFERROR(__xludf.DUMMYFUNCTION("""COMPUTED_VALUE"""),"Westfalia/Witter")</f>
        <v>Westfalia/Witter</v>
      </c>
    </row>
    <row r="5816">
      <c r="A5816" t="str">
        <f>IFERROR(__xludf.DUMMYFUNCTION("""COMPUTED_VALUE"""),"338119600001")</f>
        <v>338119600001</v>
      </c>
      <c r="B5816" s="226" t="str">
        <f>IFERROR(__xludf.DUMMYFUNCTION("""COMPUTED_VALUE"""),"7340091403988")</f>
        <v>7340091403988</v>
      </c>
      <c r="C5816" t="str">
        <f>IFERROR(__xludf.DUMMYFUNCTION("""COMPUTED_VALUE"""),"Westfalia/Witter")</f>
        <v>Westfalia/Witter</v>
      </c>
    </row>
    <row r="5817">
      <c r="A5817" t="str">
        <f>IFERROR(__xludf.DUMMYFUNCTION("""COMPUTED_VALUE"""),"342234600001")</f>
        <v>342234600001</v>
      </c>
      <c r="B5817" s="226" t="str">
        <f>IFERROR(__xludf.DUMMYFUNCTION("""COMPUTED_VALUE"""),"7340091404046")</f>
        <v>7340091404046</v>
      </c>
      <c r="C5817" t="str">
        <f>IFERROR(__xludf.DUMMYFUNCTION("""COMPUTED_VALUE"""),"Westfalia/Witter")</f>
        <v>Westfalia/Witter</v>
      </c>
    </row>
    <row r="5818">
      <c r="A5818" t="str">
        <f>IFERROR(__xludf.DUMMYFUNCTION("""COMPUTED_VALUE"""),"332323600001")</f>
        <v>332323600001</v>
      </c>
      <c r="B5818" s="226" t="str">
        <f>IFERROR(__xludf.DUMMYFUNCTION("""COMPUTED_VALUE"""),"7340091404053")</f>
        <v>7340091404053</v>
      </c>
      <c r="C5818" t="str">
        <f>IFERROR(__xludf.DUMMYFUNCTION("""COMPUTED_VALUE"""),"Westfalia/Witter")</f>
        <v>Westfalia/Witter</v>
      </c>
    </row>
    <row r="5819">
      <c r="A5819" t="str">
        <f>IFERROR(__xludf.DUMMYFUNCTION("""COMPUTED_VALUE"""),"335454600001")</f>
        <v>335454600001</v>
      </c>
      <c r="B5819" s="226" t="str">
        <f>IFERROR(__xludf.DUMMYFUNCTION("""COMPUTED_VALUE"""),"7340091404084")</f>
        <v>7340091404084</v>
      </c>
      <c r="C5819" t="str">
        <f>IFERROR(__xludf.DUMMYFUNCTION("""COMPUTED_VALUE"""),"Westfalia/Witter")</f>
        <v>Westfalia/Witter</v>
      </c>
    </row>
    <row r="5820">
      <c r="A5820" t="str">
        <f>IFERROR(__xludf.DUMMYFUNCTION("""COMPUTED_VALUE"""),"307522600001")</f>
        <v>307522600001</v>
      </c>
      <c r="B5820" s="226" t="str">
        <f>IFERROR(__xludf.DUMMYFUNCTION("""COMPUTED_VALUE"""),"7340091404091")</f>
        <v>7340091404091</v>
      </c>
      <c r="C5820" t="str">
        <f>IFERROR(__xludf.DUMMYFUNCTION("""COMPUTED_VALUE"""),"Westfalia/Witter")</f>
        <v>Westfalia/Witter</v>
      </c>
    </row>
    <row r="5821">
      <c r="A5821" t="str">
        <f>IFERROR(__xludf.DUMMYFUNCTION("""COMPUTED_VALUE"""),"307521600001")</f>
        <v>307521600001</v>
      </c>
      <c r="B5821" s="226" t="str">
        <f>IFERROR(__xludf.DUMMYFUNCTION("""COMPUTED_VALUE"""),"7340091404107")</f>
        <v>7340091404107</v>
      </c>
      <c r="C5821" t="str">
        <f>IFERROR(__xludf.DUMMYFUNCTION("""COMPUTED_VALUE"""),"Westfalia/Witter")</f>
        <v>Westfalia/Witter</v>
      </c>
    </row>
    <row r="5822">
      <c r="A5822" t="str">
        <f>IFERROR(__xludf.DUMMYFUNCTION("""COMPUTED_VALUE"""),"348062600001")</f>
        <v>348062600001</v>
      </c>
      <c r="B5822" s="226" t="str">
        <f>IFERROR(__xludf.DUMMYFUNCTION("""COMPUTED_VALUE"""),"7340091404121")</f>
        <v>7340091404121</v>
      </c>
      <c r="C5822" t="str">
        <f>IFERROR(__xludf.DUMMYFUNCTION("""COMPUTED_VALUE"""),"Westfalia/Witter")</f>
        <v>Westfalia/Witter</v>
      </c>
    </row>
    <row r="5823">
      <c r="A5823" t="str">
        <f>IFERROR(__xludf.DUMMYFUNCTION("""COMPUTED_VALUE"""),"348063600001")</f>
        <v>348063600001</v>
      </c>
      <c r="B5823" s="226" t="str">
        <f>IFERROR(__xludf.DUMMYFUNCTION("""COMPUTED_VALUE"""),"7340091404138")</f>
        <v>7340091404138</v>
      </c>
      <c r="C5823" t="str">
        <f>IFERROR(__xludf.DUMMYFUNCTION("""COMPUTED_VALUE"""),"Westfalia/Witter")</f>
        <v>Westfalia/Witter</v>
      </c>
    </row>
    <row r="5824">
      <c r="A5824" t="str">
        <f>IFERROR(__xludf.DUMMYFUNCTION("""COMPUTED_VALUE"""),"346093600001")</f>
        <v>346093600001</v>
      </c>
      <c r="B5824" s="226" t="str">
        <f>IFERROR(__xludf.DUMMYFUNCTION("""COMPUTED_VALUE"""),"7340091404152")</f>
        <v>7340091404152</v>
      </c>
      <c r="C5824" t="str">
        <f>IFERROR(__xludf.DUMMYFUNCTION("""COMPUTED_VALUE"""),"Westfalia/Witter")</f>
        <v>Westfalia/Witter</v>
      </c>
    </row>
    <row r="5825">
      <c r="A5825" t="str">
        <f>IFERROR(__xludf.DUMMYFUNCTION("""COMPUTED_VALUE"""),"307476600001")</f>
        <v>307476600001</v>
      </c>
      <c r="B5825" s="226" t="str">
        <f>IFERROR(__xludf.DUMMYFUNCTION("""COMPUTED_VALUE"""),"7340091404176")</f>
        <v>7340091404176</v>
      </c>
      <c r="C5825" t="str">
        <f>IFERROR(__xludf.DUMMYFUNCTION("""COMPUTED_VALUE"""),"Westfalia/Witter")</f>
        <v>Westfalia/Witter</v>
      </c>
    </row>
    <row r="5826">
      <c r="A5826" t="str">
        <f>IFERROR(__xludf.DUMMYFUNCTION("""COMPUTED_VALUE"""),"307476600001")</f>
        <v>307476600001</v>
      </c>
      <c r="B5826" s="226" t="str">
        <f>IFERROR(__xludf.DUMMYFUNCTION("""COMPUTED_VALUE"""),"7340091404176")</f>
        <v>7340091404176</v>
      </c>
      <c r="C5826" t="str">
        <f>IFERROR(__xludf.DUMMYFUNCTION("""COMPUTED_VALUE"""),"Westfalia/Witter")</f>
        <v>Westfalia/Witter</v>
      </c>
    </row>
    <row r="5827">
      <c r="A5827" t="str">
        <f>IFERROR(__xludf.DUMMYFUNCTION("""COMPUTED_VALUE"""),"307476600001")</f>
        <v>307476600001</v>
      </c>
      <c r="B5827" s="226" t="str">
        <f>IFERROR(__xludf.DUMMYFUNCTION("""COMPUTED_VALUE"""),"7340091404176")</f>
        <v>7340091404176</v>
      </c>
      <c r="C5827" t="str">
        <f>IFERROR(__xludf.DUMMYFUNCTION("""COMPUTED_VALUE"""),"Westfalia/Witter")</f>
        <v>Westfalia/Witter</v>
      </c>
    </row>
    <row r="5828">
      <c r="A5828" t="str">
        <f>IFERROR(__xludf.DUMMYFUNCTION("""COMPUTED_VALUE"""),"307475600001")</f>
        <v>307475600001</v>
      </c>
      <c r="B5828" s="226" t="str">
        <f>IFERROR(__xludf.DUMMYFUNCTION("""COMPUTED_VALUE"""),"7340091404183")</f>
        <v>7340091404183</v>
      </c>
      <c r="C5828" t="str">
        <f>IFERROR(__xludf.DUMMYFUNCTION("""COMPUTED_VALUE"""),"Westfalia/Witter")</f>
        <v>Westfalia/Witter</v>
      </c>
    </row>
    <row r="5829">
      <c r="A5829" t="str">
        <f>IFERROR(__xludf.DUMMYFUNCTION("""COMPUTED_VALUE"""),"307475600001")</f>
        <v>307475600001</v>
      </c>
      <c r="B5829" s="226" t="str">
        <f>IFERROR(__xludf.DUMMYFUNCTION("""COMPUTED_VALUE"""),"7340091404183")</f>
        <v>7340091404183</v>
      </c>
      <c r="C5829" t="str">
        <f>IFERROR(__xludf.DUMMYFUNCTION("""COMPUTED_VALUE"""),"Westfalia/Witter")</f>
        <v>Westfalia/Witter</v>
      </c>
    </row>
    <row r="5830">
      <c r="A5830" t="str">
        <f>IFERROR(__xludf.DUMMYFUNCTION("""COMPUTED_VALUE"""),"307475600001")</f>
        <v>307475600001</v>
      </c>
      <c r="B5830" s="226" t="str">
        <f>IFERROR(__xludf.DUMMYFUNCTION("""COMPUTED_VALUE"""),"7340091404183")</f>
        <v>7340091404183</v>
      </c>
      <c r="C5830" t="str">
        <f>IFERROR(__xludf.DUMMYFUNCTION("""COMPUTED_VALUE"""),"Westfalia/Witter")</f>
        <v>Westfalia/Witter</v>
      </c>
    </row>
    <row r="5831">
      <c r="A5831" t="str">
        <f>IFERROR(__xludf.DUMMYFUNCTION("""COMPUTED_VALUE"""),"340124600001")</f>
        <v>340124600001</v>
      </c>
      <c r="B5831" s="226" t="str">
        <f>IFERROR(__xludf.DUMMYFUNCTION("""COMPUTED_VALUE"""),"7340091404206")</f>
        <v>7340091404206</v>
      </c>
      <c r="C5831" t="str">
        <f>IFERROR(__xludf.DUMMYFUNCTION("""COMPUTED_VALUE"""),"Westfalia/Witter")</f>
        <v>Westfalia/Witter</v>
      </c>
    </row>
    <row r="5832">
      <c r="A5832" t="str">
        <f>IFERROR(__xludf.DUMMYFUNCTION("""COMPUTED_VALUE"""),"340124600001")</f>
        <v>340124600001</v>
      </c>
      <c r="B5832" s="226" t="str">
        <f>IFERROR(__xludf.DUMMYFUNCTION("""COMPUTED_VALUE"""),"7340091404206")</f>
        <v>7340091404206</v>
      </c>
      <c r="C5832" t="str">
        <f>IFERROR(__xludf.DUMMYFUNCTION("""COMPUTED_VALUE"""),"Westfalia/Witter")</f>
        <v>Westfalia/Witter</v>
      </c>
    </row>
    <row r="5833">
      <c r="A5833" t="str">
        <f>IFERROR(__xludf.DUMMYFUNCTION("""COMPUTED_VALUE"""),"343076600001")</f>
        <v>343076600001</v>
      </c>
      <c r="B5833" s="226" t="str">
        <f>IFERROR(__xludf.DUMMYFUNCTION("""COMPUTED_VALUE"""),"7340091404213")</f>
        <v>7340091404213</v>
      </c>
      <c r="C5833" t="str">
        <f>IFERROR(__xludf.DUMMYFUNCTION("""COMPUTED_VALUE"""),"Westfalia/Witter")</f>
        <v>Westfalia/Witter</v>
      </c>
    </row>
    <row r="5834">
      <c r="A5834" t="str">
        <f>IFERROR(__xludf.DUMMYFUNCTION("""COMPUTED_VALUE"""),"343087600001")</f>
        <v>343087600001</v>
      </c>
      <c r="B5834" s="226" t="str">
        <f>IFERROR(__xludf.DUMMYFUNCTION("""COMPUTED_VALUE"""),"7340091404251")</f>
        <v>7340091404251</v>
      </c>
      <c r="C5834" t="str">
        <f>IFERROR(__xludf.DUMMYFUNCTION("""COMPUTED_VALUE"""),"Westfalia/Witter")</f>
        <v>Westfalia/Witter</v>
      </c>
    </row>
    <row r="5835">
      <c r="A5835" t="str">
        <f>IFERROR(__xludf.DUMMYFUNCTION("""COMPUTED_VALUE"""),"343088600001")</f>
        <v>343088600001</v>
      </c>
      <c r="B5835" s="226" t="str">
        <f>IFERROR(__xludf.DUMMYFUNCTION("""COMPUTED_VALUE"""),"7340091404268")</f>
        <v>7340091404268</v>
      </c>
      <c r="C5835" t="str">
        <f>IFERROR(__xludf.DUMMYFUNCTION("""COMPUTED_VALUE"""),"Westfalia/Witter")</f>
        <v>Westfalia/Witter</v>
      </c>
    </row>
    <row r="5836">
      <c r="A5836" t="str">
        <f>IFERROR(__xludf.DUMMYFUNCTION("""COMPUTED_VALUE"""),"346104600001")</f>
        <v>346104600001</v>
      </c>
      <c r="B5836" s="226" t="str">
        <f>IFERROR(__xludf.DUMMYFUNCTION("""COMPUTED_VALUE"""),"7340091404275")</f>
        <v>7340091404275</v>
      </c>
      <c r="C5836" t="str">
        <f>IFERROR(__xludf.DUMMYFUNCTION("""COMPUTED_VALUE"""),"Westfalia/Witter")</f>
        <v>Westfalia/Witter</v>
      </c>
    </row>
    <row r="5837">
      <c r="A5837" t="str">
        <f>IFERROR(__xludf.DUMMYFUNCTION("""COMPUTED_VALUE"""),"346104600001")</f>
        <v>346104600001</v>
      </c>
      <c r="B5837" s="226" t="str">
        <f>IFERROR(__xludf.DUMMYFUNCTION("""COMPUTED_VALUE"""),"7340091404275")</f>
        <v>7340091404275</v>
      </c>
      <c r="C5837" t="str">
        <f>IFERROR(__xludf.DUMMYFUNCTION("""COMPUTED_VALUE"""),"Westfalia/Witter")</f>
        <v>Westfalia/Witter</v>
      </c>
    </row>
    <row r="5838">
      <c r="A5838" t="str">
        <f>IFERROR(__xludf.DUMMYFUNCTION("""COMPUTED_VALUE"""),"346103600001")</f>
        <v>346103600001</v>
      </c>
      <c r="B5838" s="226" t="str">
        <f>IFERROR(__xludf.DUMMYFUNCTION("""COMPUTED_VALUE"""),"7340091404282")</f>
        <v>7340091404282</v>
      </c>
      <c r="C5838" t="str">
        <f>IFERROR(__xludf.DUMMYFUNCTION("""COMPUTED_VALUE"""),"Westfalia/Witter")</f>
        <v>Westfalia/Witter</v>
      </c>
    </row>
    <row r="5839">
      <c r="A5839" t="str">
        <f>IFERROR(__xludf.DUMMYFUNCTION("""COMPUTED_VALUE"""),"346103600001")</f>
        <v>346103600001</v>
      </c>
      <c r="B5839" s="226" t="str">
        <f>IFERROR(__xludf.DUMMYFUNCTION("""COMPUTED_VALUE"""),"7340091404282")</f>
        <v>7340091404282</v>
      </c>
      <c r="C5839" t="str">
        <f>IFERROR(__xludf.DUMMYFUNCTION("""COMPUTED_VALUE"""),"Westfalia/Witter")</f>
        <v>Westfalia/Witter</v>
      </c>
    </row>
    <row r="5840">
      <c r="A5840" t="str">
        <f>IFERROR(__xludf.DUMMYFUNCTION("""COMPUTED_VALUE"""),"323141600001")</f>
        <v>323141600001</v>
      </c>
      <c r="B5840" s="226" t="str">
        <f>IFERROR(__xludf.DUMMYFUNCTION("""COMPUTED_VALUE"""),"7340091404299")</f>
        <v>7340091404299</v>
      </c>
      <c r="C5840" t="str">
        <f>IFERROR(__xludf.DUMMYFUNCTION("""COMPUTED_VALUE"""),"Westfalia/Witter")</f>
        <v>Westfalia/Witter</v>
      </c>
    </row>
    <row r="5841">
      <c r="A5841" t="str">
        <f>IFERROR(__xludf.DUMMYFUNCTION("""COMPUTED_VALUE"""),"338110600001")</f>
        <v>338110600001</v>
      </c>
      <c r="B5841" s="226" t="str">
        <f>IFERROR(__xludf.DUMMYFUNCTION("""COMPUTED_VALUE"""),"7340091404602")</f>
        <v>7340091404602</v>
      </c>
      <c r="C5841" t="str">
        <f>IFERROR(__xludf.DUMMYFUNCTION("""COMPUTED_VALUE"""),"Westfalia/Witter")</f>
        <v>Westfalia/Witter</v>
      </c>
    </row>
    <row r="5842">
      <c r="A5842" t="str">
        <f>IFERROR(__xludf.DUMMYFUNCTION("""COMPUTED_VALUE"""),"338109600001")</f>
        <v>338109600001</v>
      </c>
      <c r="B5842" s="226" t="str">
        <f>IFERROR(__xludf.DUMMYFUNCTION("""COMPUTED_VALUE"""),"7340091404619")</f>
        <v>7340091404619</v>
      </c>
      <c r="C5842" t="str">
        <f>IFERROR(__xludf.DUMMYFUNCTION("""COMPUTED_VALUE"""),"Westfalia/Witter")</f>
        <v>Westfalia/Witter</v>
      </c>
    </row>
    <row r="5843">
      <c r="A5843" t="str">
        <f>IFERROR(__xludf.DUMMYFUNCTION("""COMPUTED_VALUE"""),"320103600001")</f>
        <v>320103600001</v>
      </c>
      <c r="B5843" s="226" t="str">
        <f>IFERROR(__xludf.DUMMYFUNCTION("""COMPUTED_VALUE"""),"7340091404626")</f>
        <v>7340091404626</v>
      </c>
      <c r="C5843" t="str">
        <f>IFERROR(__xludf.DUMMYFUNCTION("""COMPUTED_VALUE"""),"Westfalia/Witter")</f>
        <v>Westfalia/Witter</v>
      </c>
    </row>
    <row r="5844">
      <c r="A5844" t="str">
        <f>IFERROR(__xludf.DUMMYFUNCTION("""COMPUTED_VALUE"""),"320102600001")</f>
        <v>320102600001</v>
      </c>
      <c r="B5844" s="226" t="str">
        <f>IFERROR(__xludf.DUMMYFUNCTION("""COMPUTED_VALUE"""),"7340091404633")</f>
        <v>7340091404633</v>
      </c>
      <c r="C5844" t="str">
        <f>IFERROR(__xludf.DUMMYFUNCTION("""COMPUTED_VALUE"""),"Westfalia/Witter")</f>
        <v>Westfalia/Witter</v>
      </c>
    </row>
    <row r="5845">
      <c r="A5845" t="str">
        <f>IFERROR(__xludf.DUMMYFUNCTION("""COMPUTED_VALUE"""),"320101600001")</f>
        <v>320101600001</v>
      </c>
      <c r="B5845" s="226" t="str">
        <f>IFERROR(__xludf.DUMMYFUNCTION("""COMPUTED_VALUE"""),"7340091404640")</f>
        <v>7340091404640</v>
      </c>
      <c r="C5845" t="str">
        <f>IFERROR(__xludf.DUMMYFUNCTION("""COMPUTED_VALUE"""),"Westfalia/Witter")</f>
        <v>Westfalia/Witter</v>
      </c>
    </row>
    <row r="5846">
      <c r="A5846" t="str">
        <f>IFERROR(__xludf.DUMMYFUNCTION("""COMPUTED_VALUE"""),"320112600001")</f>
        <v>320112600001</v>
      </c>
      <c r="B5846" s="226" t="str">
        <f>IFERROR(__xludf.DUMMYFUNCTION("""COMPUTED_VALUE"""),"7340091404657")</f>
        <v>7340091404657</v>
      </c>
      <c r="C5846" t="str">
        <f>IFERROR(__xludf.DUMMYFUNCTION("""COMPUTED_VALUE"""),"Westfalia/Witter")</f>
        <v>Westfalia/Witter</v>
      </c>
    </row>
    <row r="5847">
      <c r="A5847" t="str">
        <f>IFERROR(__xludf.DUMMYFUNCTION("""COMPUTED_VALUE"""),"320112600001")</f>
        <v>320112600001</v>
      </c>
      <c r="B5847" s="226" t="str">
        <f>IFERROR(__xludf.DUMMYFUNCTION("""COMPUTED_VALUE"""),"7340091404657")</f>
        <v>7340091404657</v>
      </c>
      <c r="C5847" t="str">
        <f>IFERROR(__xludf.DUMMYFUNCTION("""COMPUTED_VALUE"""),"Westfalia/Witter")</f>
        <v>Westfalia/Witter</v>
      </c>
    </row>
    <row r="5848">
      <c r="A5848" t="str">
        <f>IFERROR(__xludf.DUMMYFUNCTION("""COMPUTED_VALUE"""),"320111600001")</f>
        <v>320111600001</v>
      </c>
      <c r="B5848" s="226" t="str">
        <f>IFERROR(__xludf.DUMMYFUNCTION("""COMPUTED_VALUE"""),"7340091404664")</f>
        <v>7340091404664</v>
      </c>
      <c r="C5848" t="str">
        <f>IFERROR(__xludf.DUMMYFUNCTION("""COMPUTED_VALUE"""),"Westfalia/Witter")</f>
        <v>Westfalia/Witter</v>
      </c>
    </row>
    <row r="5849">
      <c r="A5849" t="str">
        <f>IFERROR(__xludf.DUMMYFUNCTION("""COMPUTED_VALUE"""),"320111600001")</f>
        <v>320111600001</v>
      </c>
      <c r="B5849" s="226" t="str">
        <f>IFERROR(__xludf.DUMMYFUNCTION("""COMPUTED_VALUE"""),"7340091404664")</f>
        <v>7340091404664</v>
      </c>
      <c r="C5849" t="str">
        <f>IFERROR(__xludf.DUMMYFUNCTION("""COMPUTED_VALUE"""),"Westfalia/Witter")</f>
        <v>Westfalia/Witter</v>
      </c>
    </row>
    <row r="5850">
      <c r="A5850" t="str">
        <f>IFERROR(__xludf.DUMMYFUNCTION("""COMPUTED_VALUE"""),"345111600001")</f>
        <v>345111600001</v>
      </c>
      <c r="B5850" s="226" t="str">
        <f>IFERROR(__xludf.DUMMYFUNCTION("""COMPUTED_VALUE"""),"7340091404787")</f>
        <v>7340091404787</v>
      </c>
      <c r="C5850" t="str">
        <f>IFERROR(__xludf.DUMMYFUNCTION("""COMPUTED_VALUE"""),"Westfalia/Witter")</f>
        <v>Westfalia/Witter</v>
      </c>
    </row>
    <row r="5851">
      <c r="A5851" t="str">
        <f>IFERROR(__xludf.DUMMYFUNCTION("""COMPUTED_VALUE"""),"345111600001")</f>
        <v>345111600001</v>
      </c>
      <c r="B5851" s="226" t="str">
        <f>IFERROR(__xludf.DUMMYFUNCTION("""COMPUTED_VALUE"""),"7340091404787")</f>
        <v>7340091404787</v>
      </c>
      <c r="C5851" t="str">
        <f>IFERROR(__xludf.DUMMYFUNCTION("""COMPUTED_VALUE"""),"Westfalia/Witter")</f>
        <v>Westfalia/Witter</v>
      </c>
    </row>
    <row r="5852">
      <c r="A5852" t="str">
        <f>IFERROR(__xludf.DUMMYFUNCTION("""COMPUTED_VALUE"""),"345112600001")</f>
        <v>345112600001</v>
      </c>
      <c r="B5852" s="226" t="str">
        <f>IFERROR(__xludf.DUMMYFUNCTION("""COMPUTED_VALUE"""),"7340091404794")</f>
        <v>7340091404794</v>
      </c>
      <c r="C5852" t="str">
        <f>IFERROR(__xludf.DUMMYFUNCTION("""COMPUTED_VALUE"""),"Westfalia/Witter")</f>
        <v>Westfalia/Witter</v>
      </c>
    </row>
    <row r="5853">
      <c r="A5853" t="str">
        <f>IFERROR(__xludf.DUMMYFUNCTION("""COMPUTED_VALUE"""),"345112600001")</f>
        <v>345112600001</v>
      </c>
      <c r="B5853" s="226" t="str">
        <f>IFERROR(__xludf.DUMMYFUNCTION("""COMPUTED_VALUE"""),"7340091404794")</f>
        <v>7340091404794</v>
      </c>
      <c r="C5853" t="str">
        <f>IFERROR(__xludf.DUMMYFUNCTION("""COMPUTED_VALUE"""),"Westfalia/Witter")</f>
        <v>Westfalia/Witter</v>
      </c>
    </row>
    <row r="5854">
      <c r="A5854" t="str">
        <f>IFERROR(__xludf.DUMMYFUNCTION("""COMPUTED_VALUE"""),"338125600001")</f>
        <v>338125600001</v>
      </c>
      <c r="B5854" s="226" t="str">
        <f>IFERROR(__xludf.DUMMYFUNCTION("""COMPUTED_VALUE"""),"7340091404800")</f>
        <v>7340091404800</v>
      </c>
      <c r="C5854" t="str">
        <f>IFERROR(__xludf.DUMMYFUNCTION("""COMPUTED_VALUE"""),"Westfalia/Witter")</f>
        <v>Westfalia/Witter</v>
      </c>
    </row>
    <row r="5855">
      <c r="A5855" t="str">
        <f>IFERROR(__xludf.DUMMYFUNCTION("""COMPUTED_VALUE"""),"338126600001")</f>
        <v>338126600001</v>
      </c>
      <c r="B5855" s="226" t="str">
        <f>IFERROR(__xludf.DUMMYFUNCTION("""COMPUTED_VALUE"""),"7340091404817")</f>
        <v>7340091404817</v>
      </c>
      <c r="C5855" t="str">
        <f>IFERROR(__xludf.DUMMYFUNCTION("""COMPUTED_VALUE"""),"Westfalia/Witter")</f>
        <v>Westfalia/Witter</v>
      </c>
    </row>
    <row r="5856">
      <c r="A5856" t="str">
        <f>IFERROR(__xludf.DUMMYFUNCTION("""COMPUTED_VALUE"""),"346105600001")</f>
        <v>346105600001</v>
      </c>
      <c r="B5856" s="226" t="str">
        <f>IFERROR(__xludf.DUMMYFUNCTION("""COMPUTED_VALUE"""),"7340091404879")</f>
        <v>7340091404879</v>
      </c>
      <c r="C5856" t="str">
        <f>IFERROR(__xludf.DUMMYFUNCTION("""COMPUTED_VALUE"""),"Westfalia/Witter")</f>
        <v>Westfalia/Witter</v>
      </c>
    </row>
    <row r="5857">
      <c r="A5857" t="str">
        <f>IFERROR(__xludf.DUMMYFUNCTION("""COMPUTED_VALUE"""),"346106600001")</f>
        <v>346106600001</v>
      </c>
      <c r="B5857" s="226" t="str">
        <f>IFERROR(__xludf.DUMMYFUNCTION("""COMPUTED_VALUE"""),"7340091404886")</f>
        <v>7340091404886</v>
      </c>
      <c r="C5857" t="str">
        <f>IFERROR(__xludf.DUMMYFUNCTION("""COMPUTED_VALUE"""),"Westfalia/Witter")</f>
        <v>Westfalia/Witter</v>
      </c>
    </row>
    <row r="5858">
      <c r="A5858" t="str">
        <f>IFERROR(__xludf.DUMMYFUNCTION("""COMPUTED_VALUE"""),"335472600001")</f>
        <v>335472600001</v>
      </c>
      <c r="B5858" s="226" t="str">
        <f>IFERROR(__xludf.DUMMYFUNCTION("""COMPUTED_VALUE"""),"7340091404893")</f>
        <v>7340091404893</v>
      </c>
      <c r="C5858" t="str">
        <f>IFERROR(__xludf.DUMMYFUNCTION("""COMPUTED_VALUE"""),"Westfalia/Witter")</f>
        <v>Westfalia/Witter</v>
      </c>
    </row>
    <row r="5859">
      <c r="A5859" t="str">
        <f>IFERROR(__xludf.DUMMYFUNCTION("""COMPUTED_VALUE"""),"313506600001")</f>
        <v>313506600001</v>
      </c>
      <c r="B5859" s="226" t="str">
        <f>IFERROR(__xludf.DUMMYFUNCTION("""COMPUTED_VALUE"""),"7340091404909")</f>
        <v>7340091404909</v>
      </c>
      <c r="C5859" t="str">
        <f>IFERROR(__xludf.DUMMYFUNCTION("""COMPUTED_VALUE"""),"Westfalia/Witter")</f>
        <v>Westfalia/Witter</v>
      </c>
    </row>
    <row r="5860">
      <c r="A5860" t="str">
        <f>IFERROR(__xludf.DUMMYFUNCTION("""COMPUTED_VALUE"""),"313506600001")</f>
        <v>313506600001</v>
      </c>
      <c r="B5860" s="226" t="str">
        <f>IFERROR(__xludf.DUMMYFUNCTION("""COMPUTED_VALUE"""),"7340091404909")</f>
        <v>7340091404909</v>
      </c>
      <c r="C5860" t="str">
        <f>IFERROR(__xludf.DUMMYFUNCTION("""COMPUTED_VALUE"""),"Westfalia/Witter")</f>
        <v>Westfalia/Witter</v>
      </c>
    </row>
    <row r="5861">
      <c r="A5861" t="str">
        <f>IFERROR(__xludf.DUMMYFUNCTION("""COMPUTED_VALUE"""),"313507600001")</f>
        <v>313507600001</v>
      </c>
      <c r="B5861" s="226" t="str">
        <f>IFERROR(__xludf.DUMMYFUNCTION("""COMPUTED_VALUE"""),"7340091404916")</f>
        <v>7340091404916</v>
      </c>
      <c r="C5861" t="str">
        <f>IFERROR(__xludf.DUMMYFUNCTION("""COMPUTED_VALUE"""),"Westfalia/Witter")</f>
        <v>Westfalia/Witter</v>
      </c>
    </row>
    <row r="5862">
      <c r="A5862" t="str">
        <f>IFERROR(__xludf.DUMMYFUNCTION("""COMPUTED_VALUE"""),"313507600001")</f>
        <v>313507600001</v>
      </c>
      <c r="B5862" s="226" t="str">
        <f>IFERROR(__xludf.DUMMYFUNCTION("""COMPUTED_VALUE"""),"7340091404916")</f>
        <v>7340091404916</v>
      </c>
      <c r="C5862" t="str">
        <f>IFERROR(__xludf.DUMMYFUNCTION("""COMPUTED_VALUE"""),"Westfalia/Witter")</f>
        <v>Westfalia/Witter</v>
      </c>
    </row>
    <row r="5863">
      <c r="A5863" t="str">
        <f>IFERROR(__xludf.DUMMYFUNCTION("""COMPUTED_VALUE"""),"307580600001")</f>
        <v>307580600001</v>
      </c>
      <c r="B5863" s="226" t="str">
        <f>IFERROR(__xludf.DUMMYFUNCTION("""COMPUTED_VALUE"""),"7340091404930")</f>
        <v>7340091404930</v>
      </c>
      <c r="C5863" t="str">
        <f>IFERROR(__xludf.DUMMYFUNCTION("""COMPUTED_VALUE"""),"Westfalia/Witter")</f>
        <v>Westfalia/Witter</v>
      </c>
    </row>
    <row r="5864">
      <c r="A5864" t="str">
        <f>IFERROR(__xludf.DUMMYFUNCTION("""COMPUTED_VALUE"""),"307581600001")</f>
        <v>307581600001</v>
      </c>
      <c r="B5864" s="226" t="str">
        <f>IFERROR(__xludf.DUMMYFUNCTION("""COMPUTED_VALUE"""),"7340091404947")</f>
        <v>7340091404947</v>
      </c>
      <c r="C5864" t="str">
        <f>IFERROR(__xludf.DUMMYFUNCTION("""COMPUTED_VALUE"""),"Westfalia/Witter")</f>
        <v>Westfalia/Witter</v>
      </c>
    </row>
    <row r="5865">
      <c r="A5865" t="str">
        <f>IFERROR(__xludf.DUMMYFUNCTION("""COMPUTED_VALUE"""),"307494600001")</f>
        <v>307494600001</v>
      </c>
      <c r="B5865" s="226" t="str">
        <f>IFERROR(__xludf.DUMMYFUNCTION("""COMPUTED_VALUE"""),"7340091404961")</f>
        <v>7340091404961</v>
      </c>
      <c r="C5865" t="str">
        <f>IFERROR(__xludf.DUMMYFUNCTION("""COMPUTED_VALUE"""),"Westfalia/Witter")</f>
        <v>Westfalia/Witter</v>
      </c>
    </row>
    <row r="5866">
      <c r="A5866" t="str">
        <f>IFERROR(__xludf.DUMMYFUNCTION("""COMPUTED_VALUE"""),"RN94AQ")</f>
        <v>RN94AQ</v>
      </c>
      <c r="B5866" s="226" t="str">
        <f>IFERROR(__xludf.DUMMYFUNCTION("""COMPUTED_VALUE"""),"50561501036515")</f>
        <v>50561501036515</v>
      </c>
      <c r="C5866" t="str">
        <f>IFERROR(__xludf.DUMMYFUNCTION("""COMPUTED_VALUE"""),"Westfalia/Witter")</f>
        <v>Westfalia/Witter</v>
      </c>
    </row>
    <row r="5867">
      <c r="A5867" t="str">
        <f>IFERROR(__xludf.DUMMYFUNCTION("""COMPUTED_VALUE"""),"DA6S")</f>
        <v>DA6S</v>
      </c>
      <c r="B5867" s="226" t="str">
        <f>IFERROR(__xludf.DUMMYFUNCTION("""COMPUTED_VALUE"""),"50601285318058")</f>
        <v>50601285318058</v>
      </c>
      <c r="C5867" t="str">
        <f>IFERROR(__xludf.DUMMYFUNCTION("""COMPUTED_VALUE"""),"Westfalia/Witter")</f>
        <v>Westfalia/Witter</v>
      </c>
    </row>
    <row r="5868">
      <c r="A5868" t="str">
        <f>IFERROR(__xludf.DUMMYFUNCTION("""COMPUTED_VALUE"""),"F144S")</f>
        <v>F144S</v>
      </c>
      <c r="B5868" s="226" t="str">
        <f>IFERROR(__xludf.DUMMYFUNCTION("""COMPUTED_VALUE"""),"56060128532604")</f>
        <v>56060128532604</v>
      </c>
      <c r="C5868" t="str">
        <f>IFERROR(__xludf.DUMMYFUNCTION("""COMPUTED_VALUE"""),"Westfalia/Witter")</f>
        <v>Westfalia/Witter</v>
      </c>
    </row>
    <row r="5869">
      <c r="A5869" t="str">
        <f>IFERROR(__xludf.DUMMYFUNCTION("""COMPUTED_VALUE"""),"F144S")</f>
        <v>F144S</v>
      </c>
      <c r="B5869" s="226" t="str">
        <f>IFERROR(__xludf.DUMMYFUNCTION("""COMPUTED_VALUE"""),"56060128532604")</f>
        <v>56060128532604</v>
      </c>
      <c r="C5869" t="str">
        <f>IFERROR(__xludf.DUMMYFUNCTION("""COMPUTED_VALUE"""),"Westfalia/Witter")</f>
        <v>Westfalia/Witter</v>
      </c>
    </row>
    <row r="5870">
      <c r="A5870" t="str">
        <f>IFERROR(__xludf.DUMMYFUNCTION("""COMPUTED_VALUE"""),"S-103")</f>
        <v>S-103</v>
      </c>
      <c r="B5870" s="226" t="str">
        <f>IFERROR(__xludf.DUMMYFUNCTION("""COMPUTED_VALUE"""),"2100-2210")</f>
        <v>2100-2210</v>
      </c>
      <c r="C5870" t="str">
        <f>IFERROR(__xludf.DUMMYFUNCTION("""COMPUTED_VALUE"""),"Steinhof")</f>
        <v>Steinhof</v>
      </c>
    </row>
    <row r="5871">
      <c r="A5871" t="str">
        <f>IFERROR(__xludf.DUMMYFUNCTION("""COMPUTED_VALUE"""),"S-103")</f>
        <v>S-103</v>
      </c>
      <c r="B5871" s="226" t="str">
        <f>IFERROR(__xludf.DUMMYFUNCTION("""COMPUTED_VALUE"""),"2100-2210")</f>
        <v>2100-2210</v>
      </c>
      <c r="C5871" t="str">
        <f>IFERROR(__xludf.DUMMYFUNCTION("""COMPUTED_VALUE"""),"Steinhof")</f>
        <v>Steinhof</v>
      </c>
    </row>
    <row r="5872">
      <c r="A5872">
        <f>IFERROR(__xludf.DUMMYFUNCTION("""COMPUTED_VALUE"""),721022.0)</f>
        <v>721022</v>
      </c>
      <c r="C5872" t="str">
        <f>IFERROR(__xludf.DUMMYFUNCTION("""COMPUTED_VALUE"""),"Steinhof")</f>
        <v>Steinhof</v>
      </c>
    </row>
    <row r="5873">
      <c r="A5873">
        <f>IFERROR(__xludf.DUMMYFUNCTION("""COMPUTED_VALUE"""),721050.0)</f>
        <v>721050</v>
      </c>
      <c r="C5873" t="str">
        <f>IFERROR(__xludf.DUMMYFUNCTION("""COMPUTED_VALUE"""),"Steinhof")</f>
        <v>Steinhof</v>
      </c>
    </row>
    <row r="5874">
      <c r="A5874">
        <f>IFERROR(__xludf.DUMMYFUNCTION("""COMPUTED_VALUE"""),721059.0)</f>
        <v>721059</v>
      </c>
      <c r="C5874" t="str">
        <f>IFERROR(__xludf.DUMMYFUNCTION("""COMPUTED_VALUE"""),"Steinhof")</f>
        <v>Steinhof</v>
      </c>
    </row>
    <row r="5875">
      <c r="A5875">
        <f>IFERROR(__xludf.DUMMYFUNCTION("""COMPUTED_VALUE"""),721074.0)</f>
        <v>721074</v>
      </c>
      <c r="C5875" t="str">
        <f>IFERROR(__xludf.DUMMYFUNCTION("""COMPUTED_VALUE"""),"Steinhof")</f>
        <v>Steinhof</v>
      </c>
    </row>
    <row r="5876">
      <c r="A5876">
        <f>IFERROR(__xludf.DUMMYFUNCTION("""COMPUTED_VALUE"""),721075.0)</f>
        <v>721075</v>
      </c>
      <c r="C5876" t="str">
        <f>IFERROR(__xludf.DUMMYFUNCTION("""COMPUTED_VALUE"""),"Steinhof")</f>
        <v>Steinhof</v>
      </c>
    </row>
    <row r="5877">
      <c r="A5877">
        <f>IFERROR(__xludf.DUMMYFUNCTION("""COMPUTED_VALUE"""),721077.0)</f>
        <v>721077</v>
      </c>
      <c r="C5877" t="str">
        <f>IFERROR(__xludf.DUMMYFUNCTION("""COMPUTED_VALUE"""),"Steinhof")</f>
        <v>Steinhof</v>
      </c>
    </row>
    <row r="5878">
      <c r="A5878">
        <f>IFERROR(__xludf.DUMMYFUNCTION("""COMPUTED_VALUE"""),721083.0)</f>
        <v>721083</v>
      </c>
      <c r="C5878" t="str">
        <f>IFERROR(__xludf.DUMMYFUNCTION("""COMPUTED_VALUE"""),"Steinhof")</f>
        <v>Steinhof</v>
      </c>
    </row>
    <row r="5879">
      <c r="A5879">
        <f>IFERROR(__xludf.DUMMYFUNCTION("""COMPUTED_VALUE"""),721097.0)</f>
        <v>721097</v>
      </c>
      <c r="C5879" t="str">
        <f>IFERROR(__xludf.DUMMYFUNCTION("""COMPUTED_VALUE"""),"Steinhof")</f>
        <v>Steinhof</v>
      </c>
    </row>
    <row r="5880">
      <c r="A5880">
        <f>IFERROR(__xludf.DUMMYFUNCTION("""COMPUTED_VALUE"""),721135.0)</f>
        <v>721135</v>
      </c>
      <c r="C5880" t="str">
        <f>IFERROR(__xludf.DUMMYFUNCTION("""COMPUTED_VALUE"""),"Steinhof")</f>
        <v>Steinhof</v>
      </c>
    </row>
    <row r="5881">
      <c r="A5881">
        <f>IFERROR(__xludf.DUMMYFUNCTION("""COMPUTED_VALUE"""),721999.0)</f>
        <v>721999</v>
      </c>
      <c r="C5881" t="str">
        <f>IFERROR(__xludf.DUMMYFUNCTION("""COMPUTED_VALUE"""),"Steinhof")</f>
        <v>Steinhof</v>
      </c>
    </row>
    <row r="5882">
      <c r="A5882">
        <f>IFERROR(__xludf.DUMMYFUNCTION("""COMPUTED_VALUE"""),722293.0)</f>
        <v>722293</v>
      </c>
      <c r="C5882" t="str">
        <f>IFERROR(__xludf.DUMMYFUNCTION("""COMPUTED_VALUE"""),"Steinhof")</f>
        <v>Steinhof</v>
      </c>
    </row>
    <row r="5883">
      <c r="A5883">
        <f>IFERROR(__xludf.DUMMYFUNCTION("""COMPUTED_VALUE"""),722299.0)</f>
        <v>722299</v>
      </c>
      <c r="C5883" t="str">
        <f>IFERROR(__xludf.DUMMYFUNCTION("""COMPUTED_VALUE"""),"Steinhof")</f>
        <v>Steinhof</v>
      </c>
    </row>
    <row r="5884">
      <c r="A5884" t="str">
        <f>IFERROR(__xludf.DUMMYFUNCTION("""COMPUTED_VALUE"""),"A-039")</f>
        <v>A-039</v>
      </c>
      <c r="C5884" t="str">
        <f>IFERROR(__xludf.DUMMYFUNCTION("""COMPUTED_VALUE"""),"Steinhof")</f>
        <v>Steinhof</v>
      </c>
    </row>
    <row r="5885">
      <c r="A5885" t="str">
        <f>IFERROR(__xludf.DUMMYFUNCTION("""COMPUTED_VALUE"""),"A-040")</f>
        <v>A-040</v>
      </c>
      <c r="C5885" t="str">
        <f>IFERROR(__xludf.DUMMYFUNCTION("""COMPUTED_VALUE"""),"Steinhof")</f>
        <v>Steinhof</v>
      </c>
    </row>
    <row r="5886">
      <c r="A5886" t="str">
        <f>IFERROR(__xludf.DUMMYFUNCTION("""COMPUTED_VALUE"""),"A-098")</f>
        <v>A-098</v>
      </c>
      <c r="C5886" t="str">
        <f>IFERROR(__xludf.DUMMYFUNCTION("""COMPUTED_VALUE"""),"Steinhof")</f>
        <v>Steinhof</v>
      </c>
    </row>
    <row r="5887">
      <c r="A5887" t="str">
        <f>IFERROR(__xludf.DUMMYFUNCTION("""COMPUTED_VALUE"""),"A-099")</f>
        <v>A-099</v>
      </c>
      <c r="C5887" t="str">
        <f>IFERROR(__xludf.DUMMYFUNCTION("""COMPUTED_VALUE"""),"Steinhof")</f>
        <v>Steinhof</v>
      </c>
    </row>
    <row r="5888">
      <c r="A5888" t="str">
        <f>IFERROR(__xludf.DUMMYFUNCTION("""COMPUTED_VALUE"""),"A-109")</f>
        <v>A-109</v>
      </c>
      <c r="C5888" t="str">
        <f>IFERROR(__xludf.DUMMYFUNCTION("""COMPUTED_VALUE"""),"Steinhof")</f>
        <v>Steinhof</v>
      </c>
    </row>
    <row r="5889">
      <c r="A5889" t="str">
        <f>IFERROR(__xludf.DUMMYFUNCTION("""COMPUTED_VALUE"""),"A-110")</f>
        <v>A-110</v>
      </c>
      <c r="C5889" t="str">
        <f>IFERROR(__xludf.DUMMYFUNCTION("""COMPUTED_VALUE"""),"Steinhof")</f>
        <v>Steinhof</v>
      </c>
    </row>
    <row r="5890">
      <c r="A5890" t="str">
        <f>IFERROR(__xludf.DUMMYFUNCTION("""COMPUTED_VALUE"""),"A-111")</f>
        <v>A-111</v>
      </c>
      <c r="C5890" t="str">
        <f>IFERROR(__xludf.DUMMYFUNCTION("""COMPUTED_VALUE"""),"Steinhof")</f>
        <v>Steinhof</v>
      </c>
    </row>
    <row r="5891">
      <c r="A5891" t="str">
        <f>IFERROR(__xludf.DUMMYFUNCTION("""COMPUTED_VALUE"""),"A-112")</f>
        <v>A-112</v>
      </c>
      <c r="C5891" t="str">
        <f>IFERROR(__xludf.DUMMYFUNCTION("""COMPUTED_VALUE"""),"Steinhof")</f>
        <v>Steinhof</v>
      </c>
    </row>
    <row r="5892">
      <c r="A5892" t="str">
        <f>IFERROR(__xludf.DUMMYFUNCTION("""COMPUTED_VALUE"""),"A-113")</f>
        <v>A-113</v>
      </c>
      <c r="C5892" t="str">
        <f>IFERROR(__xludf.DUMMYFUNCTION("""COMPUTED_VALUE"""),"Steinhof")</f>
        <v>Steinhof</v>
      </c>
    </row>
    <row r="5893">
      <c r="A5893" t="str">
        <f>IFERROR(__xludf.DUMMYFUNCTION("""COMPUTED_VALUE"""),"A-113")</f>
        <v>A-113</v>
      </c>
      <c r="C5893" t="str">
        <f>IFERROR(__xludf.DUMMYFUNCTION("""COMPUTED_VALUE"""),"Steinhof")</f>
        <v>Steinhof</v>
      </c>
    </row>
    <row r="5894">
      <c r="A5894" t="str">
        <f>IFERROR(__xludf.DUMMYFUNCTION("""COMPUTED_VALUE"""),"A-114")</f>
        <v>A-114</v>
      </c>
      <c r="C5894" t="str">
        <f>IFERROR(__xludf.DUMMYFUNCTION("""COMPUTED_VALUE"""),"Steinhof")</f>
        <v>Steinhof</v>
      </c>
    </row>
    <row r="5895">
      <c r="A5895" t="str">
        <f>IFERROR(__xludf.DUMMYFUNCTION("""COMPUTED_VALUE"""),"A-114")</f>
        <v>A-114</v>
      </c>
      <c r="C5895" t="str">
        <f>IFERROR(__xludf.DUMMYFUNCTION("""COMPUTED_VALUE"""),"Steinhof")</f>
        <v>Steinhof</v>
      </c>
    </row>
    <row r="5896">
      <c r="A5896" t="str">
        <f>IFERROR(__xludf.DUMMYFUNCTION("""COMPUTED_VALUE"""),"A-115")</f>
        <v>A-115</v>
      </c>
      <c r="C5896" t="str">
        <f>IFERROR(__xludf.DUMMYFUNCTION("""COMPUTED_VALUE"""),"Steinhof")</f>
        <v>Steinhof</v>
      </c>
    </row>
    <row r="5897">
      <c r="A5897" t="str">
        <f>IFERROR(__xludf.DUMMYFUNCTION("""COMPUTED_VALUE"""),"A-116")</f>
        <v>A-116</v>
      </c>
      <c r="C5897" t="str">
        <f>IFERROR(__xludf.DUMMYFUNCTION("""COMPUTED_VALUE"""),"Steinhof")</f>
        <v>Steinhof</v>
      </c>
    </row>
    <row r="5898">
      <c r="A5898" t="str">
        <f>IFERROR(__xludf.DUMMYFUNCTION("""COMPUTED_VALUE"""),"A-117")</f>
        <v>A-117</v>
      </c>
      <c r="C5898" t="str">
        <f>IFERROR(__xludf.DUMMYFUNCTION("""COMPUTED_VALUE"""),"Steinhof")</f>
        <v>Steinhof</v>
      </c>
    </row>
    <row r="5899">
      <c r="A5899" t="str">
        <f>IFERROR(__xludf.DUMMYFUNCTION("""COMPUTED_VALUE"""),"A-117")</f>
        <v>A-117</v>
      </c>
      <c r="C5899" t="str">
        <f>IFERROR(__xludf.DUMMYFUNCTION("""COMPUTED_VALUE"""),"Steinhof")</f>
        <v>Steinhof</v>
      </c>
    </row>
    <row r="5900">
      <c r="A5900" t="str">
        <f>IFERROR(__xludf.DUMMYFUNCTION("""COMPUTED_VALUE"""),"A-118")</f>
        <v>A-118</v>
      </c>
      <c r="C5900" t="str">
        <f>IFERROR(__xludf.DUMMYFUNCTION("""COMPUTED_VALUE"""),"Steinhof")</f>
        <v>Steinhof</v>
      </c>
    </row>
    <row r="5901">
      <c r="A5901" t="str">
        <f>IFERROR(__xludf.DUMMYFUNCTION("""COMPUTED_VALUE"""),"A-118")</f>
        <v>A-118</v>
      </c>
      <c r="C5901" t="str">
        <f>IFERROR(__xludf.DUMMYFUNCTION("""COMPUTED_VALUE"""),"Steinhof")</f>
        <v>Steinhof</v>
      </c>
    </row>
    <row r="5902">
      <c r="A5902" t="str">
        <f>IFERROR(__xludf.DUMMYFUNCTION("""COMPUTED_VALUE"""),"ACS EKSPOZYCJA")</f>
        <v>ACS EKSPOZYCJA</v>
      </c>
      <c r="C5902" t="str">
        <f>IFERROR(__xludf.DUMMYFUNCTION("""COMPUTED_VALUE"""),"Steinhof")</f>
        <v>Steinhof</v>
      </c>
    </row>
    <row r="5903">
      <c r="A5903" t="str">
        <f>IFERROR(__xludf.DUMMYFUNCTION("""COMPUTED_VALUE"""),"ACS-AKCESORIA 1")</f>
        <v>ACS-AKCESORIA 1</v>
      </c>
      <c r="C5903" t="str">
        <f>IFERROR(__xludf.DUMMYFUNCTION("""COMPUTED_VALUE"""),"Steinhof")</f>
        <v>Steinhof</v>
      </c>
    </row>
    <row r="5904">
      <c r="A5904" t="str">
        <f>IFERROR(__xludf.DUMMYFUNCTION("""COMPUTED_VALUE"""),"ACS-AKCESORIA 2")</f>
        <v>ACS-AKCESORIA 2</v>
      </c>
      <c r="C5904" t="str">
        <f>IFERROR(__xludf.DUMMYFUNCTION("""COMPUTED_VALUE"""),"Steinhof")</f>
        <v>Steinhof</v>
      </c>
    </row>
    <row r="5905">
      <c r="A5905" t="str">
        <f>IFERROR(__xludf.DUMMYFUNCTION("""COMPUTED_VALUE"""),"ACS-POK")</f>
        <v>ACS-POK</v>
      </c>
      <c r="C5905" t="str">
        <f>IFERROR(__xludf.DUMMYFUNCTION("""COMPUTED_VALUE"""),"Steinhof")</f>
        <v>Steinhof</v>
      </c>
    </row>
    <row r="5906">
      <c r="A5906" t="str">
        <f>IFERROR(__xludf.DUMMYFUNCTION("""COMPUTED_VALUE"""),"ACS-ZESTAW KLUCZY")</f>
        <v>ACS-ZESTAW KLUCZY</v>
      </c>
      <c r="C5906" t="str">
        <f>IFERROR(__xludf.DUMMYFUNCTION("""COMPUTED_VALUE"""),"Steinhof")</f>
        <v>Steinhof</v>
      </c>
    </row>
    <row r="5907">
      <c r="A5907" t="str">
        <f>IFERROR(__xludf.DUMMYFUNCTION("""COMPUTED_VALUE"""),"AS-13/7")</f>
        <v>AS-13/7</v>
      </c>
      <c r="C5907" t="str">
        <f>IFERROR(__xludf.DUMMYFUNCTION("""COMPUTED_VALUE"""),"Steinhof")</f>
        <v>Steinhof</v>
      </c>
    </row>
    <row r="5908">
      <c r="A5908" t="str">
        <f>IFERROR(__xludf.DUMMYFUNCTION("""COMPUTED_VALUE"""),"AS-7/13")</f>
        <v>AS-7/13</v>
      </c>
      <c r="C5908" t="str">
        <f>IFERROR(__xludf.DUMMYFUNCTION("""COMPUTED_VALUE"""),"Steinhof")</f>
        <v>Steinhof</v>
      </c>
    </row>
    <row r="5909">
      <c r="A5909" t="str">
        <f>IFERROR(__xludf.DUMMYFUNCTION("""COMPUTED_VALUE"""),"B-082")</f>
        <v>B-082</v>
      </c>
      <c r="C5909" t="str">
        <f>IFERROR(__xludf.DUMMYFUNCTION("""COMPUTED_VALUE"""),"Steinhof")</f>
        <v>Steinhof</v>
      </c>
    </row>
    <row r="5910">
      <c r="A5910" t="str">
        <f>IFERROR(__xludf.DUMMYFUNCTION("""COMPUTED_VALUE"""),"B-082")</f>
        <v>B-082</v>
      </c>
      <c r="C5910" t="str">
        <f>IFERROR(__xludf.DUMMYFUNCTION("""COMPUTED_VALUE"""),"Steinhof")</f>
        <v>Steinhof</v>
      </c>
    </row>
    <row r="5911">
      <c r="A5911" t="str">
        <f>IFERROR(__xludf.DUMMYFUNCTION("""COMPUTED_VALUE"""),"B-083")</f>
        <v>B-083</v>
      </c>
      <c r="C5911" t="str">
        <f>IFERROR(__xludf.DUMMYFUNCTION("""COMPUTED_VALUE"""),"Steinhof")</f>
        <v>Steinhof</v>
      </c>
    </row>
    <row r="5912">
      <c r="A5912" t="str">
        <f>IFERROR(__xludf.DUMMYFUNCTION("""COMPUTED_VALUE"""),"B-083")</f>
        <v>B-083</v>
      </c>
      <c r="C5912" t="str">
        <f>IFERROR(__xludf.DUMMYFUNCTION("""COMPUTED_VALUE"""),"Steinhof")</f>
        <v>Steinhof</v>
      </c>
    </row>
    <row r="5913">
      <c r="A5913" t="str">
        <f>IFERROR(__xludf.DUMMYFUNCTION("""COMPUTED_VALUE"""),"B-084")</f>
        <v>B-084</v>
      </c>
      <c r="C5913" t="str">
        <f>IFERROR(__xludf.DUMMYFUNCTION("""COMPUTED_VALUE"""),"Steinhof")</f>
        <v>Steinhof</v>
      </c>
    </row>
    <row r="5914">
      <c r="A5914" t="str">
        <f>IFERROR(__xludf.DUMMYFUNCTION("""COMPUTED_VALUE"""),"B-085")</f>
        <v>B-085</v>
      </c>
      <c r="C5914" t="str">
        <f>IFERROR(__xludf.DUMMYFUNCTION("""COMPUTED_VALUE"""),"Steinhof")</f>
        <v>Steinhof</v>
      </c>
    </row>
    <row r="5915">
      <c r="A5915" t="str">
        <f>IFERROR(__xludf.DUMMYFUNCTION("""COMPUTED_VALUE"""),"B-086")</f>
        <v>B-086</v>
      </c>
      <c r="C5915" t="str">
        <f>IFERROR(__xludf.DUMMYFUNCTION("""COMPUTED_VALUE"""),"Steinhof")</f>
        <v>Steinhof</v>
      </c>
    </row>
    <row r="5916">
      <c r="A5916" t="str">
        <f>IFERROR(__xludf.DUMMYFUNCTION("""COMPUTED_VALUE"""),"B-087")</f>
        <v>B-087</v>
      </c>
      <c r="C5916" t="str">
        <f>IFERROR(__xludf.DUMMYFUNCTION("""COMPUTED_VALUE"""),"Steinhof")</f>
        <v>Steinhof</v>
      </c>
    </row>
    <row r="5917">
      <c r="A5917" t="str">
        <f>IFERROR(__xludf.DUMMYFUNCTION("""COMPUTED_VALUE"""),"B-088")</f>
        <v>B-088</v>
      </c>
      <c r="C5917" t="str">
        <f>IFERROR(__xludf.DUMMYFUNCTION("""COMPUTED_VALUE"""),"Steinhof")</f>
        <v>Steinhof</v>
      </c>
    </row>
    <row r="5918">
      <c r="A5918" t="str">
        <f>IFERROR(__xludf.DUMMYFUNCTION("""COMPUTED_VALUE"""),"B-089")</f>
        <v>B-089</v>
      </c>
      <c r="C5918" t="str">
        <f>IFERROR(__xludf.DUMMYFUNCTION("""COMPUTED_VALUE"""),"Steinhof")</f>
        <v>Steinhof</v>
      </c>
    </row>
    <row r="5919">
      <c r="A5919" t="str">
        <f>IFERROR(__xludf.DUMMYFUNCTION("""COMPUTED_VALUE"""),"B-090")</f>
        <v>B-090</v>
      </c>
      <c r="C5919" t="str">
        <f>IFERROR(__xludf.DUMMYFUNCTION("""COMPUTED_VALUE"""),"Steinhof")</f>
        <v>Steinhof</v>
      </c>
    </row>
    <row r="5920">
      <c r="A5920" t="str">
        <f>IFERROR(__xludf.DUMMYFUNCTION("""COMPUTED_VALUE"""),"B-091")</f>
        <v>B-091</v>
      </c>
      <c r="C5920" t="str">
        <f>IFERROR(__xludf.DUMMYFUNCTION("""COMPUTED_VALUE"""),"Steinhof")</f>
        <v>Steinhof</v>
      </c>
    </row>
    <row r="5921">
      <c r="A5921" t="str">
        <f>IFERROR(__xludf.DUMMYFUNCTION("""COMPUTED_VALUE"""),"C-023")</f>
        <v>C-023</v>
      </c>
      <c r="C5921" t="str">
        <f>IFERROR(__xludf.DUMMYFUNCTION("""COMPUTED_VALUE"""),"Steinhof")</f>
        <v>Steinhof</v>
      </c>
    </row>
    <row r="5922">
      <c r="A5922" t="str">
        <f>IFERROR(__xludf.DUMMYFUNCTION("""COMPUTED_VALUE"""),"C-023")</f>
        <v>C-023</v>
      </c>
      <c r="C5922" t="str">
        <f>IFERROR(__xludf.DUMMYFUNCTION("""COMPUTED_VALUE"""),"Steinhof")</f>
        <v>Steinhof</v>
      </c>
    </row>
    <row r="5923">
      <c r="A5923" t="str">
        <f>IFERROR(__xludf.DUMMYFUNCTION("""COMPUTED_VALUE"""),"C-023")</f>
        <v>C-023</v>
      </c>
      <c r="C5923" t="str">
        <f>IFERROR(__xludf.DUMMYFUNCTION("""COMPUTED_VALUE"""),"Steinhof")</f>
        <v>Steinhof</v>
      </c>
    </row>
    <row r="5924">
      <c r="A5924" t="str">
        <f>IFERROR(__xludf.DUMMYFUNCTION("""COMPUTED_VALUE"""),"C-023")</f>
        <v>C-023</v>
      </c>
      <c r="C5924" t="str">
        <f>IFERROR(__xludf.DUMMYFUNCTION("""COMPUTED_VALUE"""),"Steinhof")</f>
        <v>Steinhof</v>
      </c>
    </row>
    <row r="5925">
      <c r="A5925" t="str">
        <f>IFERROR(__xludf.DUMMYFUNCTION("""COMPUTED_VALUE"""),"C-024")</f>
        <v>C-024</v>
      </c>
      <c r="C5925" t="str">
        <f>IFERROR(__xludf.DUMMYFUNCTION("""COMPUTED_VALUE"""),"Steinhof")</f>
        <v>Steinhof</v>
      </c>
    </row>
    <row r="5926">
      <c r="A5926" t="str">
        <f>IFERROR(__xludf.DUMMYFUNCTION("""COMPUTED_VALUE"""),"C-024")</f>
        <v>C-024</v>
      </c>
      <c r="C5926" t="str">
        <f>IFERROR(__xludf.DUMMYFUNCTION("""COMPUTED_VALUE"""),"Steinhof")</f>
        <v>Steinhof</v>
      </c>
    </row>
    <row r="5927">
      <c r="A5927" t="str">
        <f>IFERROR(__xludf.DUMMYFUNCTION("""COMPUTED_VALUE"""),"C-024")</f>
        <v>C-024</v>
      </c>
      <c r="C5927" t="str">
        <f>IFERROR(__xludf.DUMMYFUNCTION("""COMPUTED_VALUE"""),"Steinhof")</f>
        <v>Steinhof</v>
      </c>
    </row>
    <row r="5928">
      <c r="A5928" t="str">
        <f>IFERROR(__xludf.DUMMYFUNCTION("""COMPUTED_VALUE"""),"C-024")</f>
        <v>C-024</v>
      </c>
      <c r="C5928" t="str">
        <f>IFERROR(__xludf.DUMMYFUNCTION("""COMPUTED_VALUE"""),"Steinhof")</f>
        <v>Steinhof</v>
      </c>
    </row>
    <row r="5929">
      <c r="A5929" t="str">
        <f>IFERROR(__xludf.DUMMYFUNCTION("""COMPUTED_VALUE"""),"C-057")</f>
        <v>C-057</v>
      </c>
      <c r="C5929" t="str">
        <f>IFERROR(__xludf.DUMMYFUNCTION("""COMPUTED_VALUE"""),"Steinhof")</f>
        <v>Steinhof</v>
      </c>
    </row>
    <row r="5930">
      <c r="A5930" t="str">
        <f>IFERROR(__xludf.DUMMYFUNCTION("""COMPUTED_VALUE"""),"C-058")</f>
        <v>C-058</v>
      </c>
      <c r="C5930" t="str">
        <f>IFERROR(__xludf.DUMMYFUNCTION("""COMPUTED_VALUE"""),"Steinhof")</f>
        <v>Steinhof</v>
      </c>
    </row>
    <row r="5931">
      <c r="A5931" t="str">
        <f>IFERROR(__xludf.DUMMYFUNCTION("""COMPUTED_VALUE"""),"C-059")</f>
        <v>C-059</v>
      </c>
      <c r="C5931" t="str">
        <f>IFERROR(__xludf.DUMMYFUNCTION("""COMPUTED_VALUE"""),"Steinhof")</f>
        <v>Steinhof</v>
      </c>
    </row>
    <row r="5932">
      <c r="A5932" t="str">
        <f>IFERROR(__xludf.DUMMYFUNCTION("""COMPUTED_VALUE"""),"C-060")</f>
        <v>C-060</v>
      </c>
      <c r="C5932" t="str">
        <f>IFERROR(__xludf.DUMMYFUNCTION("""COMPUTED_VALUE"""),"Steinhof")</f>
        <v>Steinhof</v>
      </c>
    </row>
    <row r="5933">
      <c r="A5933" t="str">
        <f>IFERROR(__xludf.DUMMYFUNCTION("""COMPUTED_VALUE"""),"D-014")</f>
        <v>D-014</v>
      </c>
      <c r="C5933" t="str">
        <f>IFERROR(__xludf.DUMMYFUNCTION("""COMPUTED_VALUE"""),"Steinhof")</f>
        <v>Steinhof</v>
      </c>
    </row>
    <row r="5934">
      <c r="A5934" t="str">
        <f>IFERROR(__xludf.DUMMYFUNCTION("""COMPUTED_VALUE"""),"D-015")</f>
        <v>D-015</v>
      </c>
      <c r="C5934" t="str">
        <f>IFERROR(__xludf.DUMMYFUNCTION("""COMPUTED_VALUE"""),"Steinhof")</f>
        <v>Steinhof</v>
      </c>
    </row>
    <row r="5935">
      <c r="A5935" t="str">
        <f>IFERROR(__xludf.DUMMYFUNCTION("""COMPUTED_VALUE"""),"D-016")</f>
        <v>D-016</v>
      </c>
      <c r="C5935" t="str">
        <f>IFERROR(__xludf.DUMMYFUNCTION("""COMPUTED_VALUE"""),"Steinhof")</f>
        <v>Steinhof</v>
      </c>
    </row>
    <row r="5936">
      <c r="A5936" t="str">
        <f>IFERROR(__xludf.DUMMYFUNCTION("""COMPUTED_VALUE"""),"D-017")</f>
        <v>D-017</v>
      </c>
      <c r="C5936" t="str">
        <f>IFERROR(__xludf.DUMMYFUNCTION("""COMPUTED_VALUE"""),"Steinhof")</f>
        <v>Steinhof</v>
      </c>
    </row>
    <row r="5937">
      <c r="A5937" t="str">
        <f>IFERROR(__xludf.DUMMYFUNCTION("""COMPUTED_VALUE"""),"D-082")</f>
        <v>D-082</v>
      </c>
      <c r="C5937" t="str">
        <f>IFERROR(__xludf.DUMMYFUNCTION("""COMPUTED_VALUE"""),"Steinhof")</f>
        <v>Steinhof</v>
      </c>
    </row>
    <row r="5938">
      <c r="A5938" t="str">
        <f>IFERROR(__xludf.DUMMYFUNCTION("""COMPUTED_VALUE"""),"D-083")</f>
        <v>D-083</v>
      </c>
      <c r="C5938" t="str">
        <f>IFERROR(__xludf.DUMMYFUNCTION("""COMPUTED_VALUE"""),"Steinhof")</f>
        <v>Steinhof</v>
      </c>
    </row>
    <row r="5939">
      <c r="A5939" t="str">
        <f>IFERROR(__xludf.DUMMYFUNCTION("""COMPUTED_VALUE"""),"D-084")</f>
        <v>D-084</v>
      </c>
      <c r="C5939" t="str">
        <f>IFERROR(__xludf.DUMMYFUNCTION("""COMPUTED_VALUE"""),"Steinhof")</f>
        <v>Steinhof</v>
      </c>
    </row>
    <row r="5940">
      <c r="A5940" t="str">
        <f>IFERROR(__xludf.DUMMYFUNCTION("""COMPUTED_VALUE"""),"D-085")</f>
        <v>D-085</v>
      </c>
      <c r="C5940" t="str">
        <f>IFERROR(__xludf.DUMMYFUNCTION("""COMPUTED_VALUE"""),"Steinhof")</f>
        <v>Steinhof</v>
      </c>
    </row>
    <row r="5941">
      <c r="A5941" t="str">
        <f>IFERROR(__xludf.DUMMYFUNCTION("""COMPUTED_VALUE"""),"F-060")</f>
        <v>F-060</v>
      </c>
      <c r="C5941" t="str">
        <f>IFERROR(__xludf.DUMMYFUNCTION("""COMPUTED_VALUE"""),"Steinhof")</f>
        <v>Steinhof</v>
      </c>
    </row>
    <row r="5942">
      <c r="A5942" t="str">
        <f>IFERROR(__xludf.DUMMYFUNCTION("""COMPUTED_VALUE"""),"F-061")</f>
        <v>F-061</v>
      </c>
      <c r="C5942" t="str">
        <f>IFERROR(__xludf.DUMMYFUNCTION("""COMPUTED_VALUE"""),"Steinhof")</f>
        <v>Steinhof</v>
      </c>
    </row>
    <row r="5943">
      <c r="A5943" t="str">
        <f>IFERROR(__xludf.DUMMYFUNCTION("""COMPUTED_VALUE"""),"F-203")</f>
        <v>F-203</v>
      </c>
      <c r="C5943" t="str">
        <f>IFERROR(__xludf.DUMMYFUNCTION("""COMPUTED_VALUE"""),"Steinhof")</f>
        <v>Steinhof</v>
      </c>
    </row>
    <row r="5944">
      <c r="A5944" t="str">
        <f>IFERROR(__xludf.DUMMYFUNCTION("""COMPUTED_VALUE"""),"F-204")</f>
        <v>F-204</v>
      </c>
      <c r="C5944" t="str">
        <f>IFERROR(__xludf.DUMMYFUNCTION("""COMPUTED_VALUE"""),"Steinhof")</f>
        <v>Steinhof</v>
      </c>
    </row>
    <row r="5945">
      <c r="A5945" t="str">
        <f>IFERROR(__xludf.DUMMYFUNCTION("""COMPUTED_VALUE"""),"F-209")</f>
        <v>F-209</v>
      </c>
      <c r="C5945" t="str">
        <f>IFERROR(__xludf.DUMMYFUNCTION("""COMPUTED_VALUE"""),"Steinhof")</f>
        <v>Steinhof</v>
      </c>
    </row>
    <row r="5946">
      <c r="A5946" t="str">
        <f>IFERROR(__xludf.DUMMYFUNCTION("""COMPUTED_VALUE"""),"F-210")</f>
        <v>F-210</v>
      </c>
      <c r="C5946" t="str">
        <f>IFERROR(__xludf.DUMMYFUNCTION("""COMPUTED_VALUE"""),"Steinhof")</f>
        <v>Steinhof</v>
      </c>
    </row>
    <row r="5947">
      <c r="A5947" t="str">
        <f>IFERROR(__xludf.DUMMYFUNCTION("""COMPUTED_VALUE"""),"F-215")</f>
        <v>F-215</v>
      </c>
      <c r="C5947" t="str">
        <f>IFERROR(__xludf.DUMMYFUNCTION("""COMPUTED_VALUE"""),"Steinhof")</f>
        <v>Steinhof</v>
      </c>
    </row>
    <row r="5948">
      <c r="A5948" t="str">
        <f>IFERROR(__xludf.DUMMYFUNCTION("""COMPUTED_VALUE"""),"F-216")</f>
        <v>F-216</v>
      </c>
      <c r="C5948" t="str">
        <f>IFERROR(__xludf.DUMMYFUNCTION("""COMPUTED_VALUE"""),"Steinhof")</f>
        <v>Steinhof</v>
      </c>
    </row>
    <row r="5949">
      <c r="A5949" t="str">
        <f>IFERROR(__xludf.DUMMYFUNCTION("""COMPUTED_VALUE"""),"F-217")</f>
        <v>F-217</v>
      </c>
      <c r="C5949" t="str">
        <f>IFERROR(__xludf.DUMMYFUNCTION("""COMPUTED_VALUE"""),"Steinhof")</f>
        <v>Steinhof</v>
      </c>
    </row>
    <row r="5950">
      <c r="A5950" t="str">
        <f>IFERROR(__xludf.DUMMYFUNCTION("""COMPUTED_VALUE"""),"F-218")</f>
        <v>F-218</v>
      </c>
      <c r="C5950" t="str">
        <f>IFERROR(__xludf.DUMMYFUNCTION("""COMPUTED_VALUE"""),"Steinhof")</f>
        <v>Steinhof</v>
      </c>
    </row>
    <row r="5951">
      <c r="A5951" t="str">
        <f>IFERROR(__xludf.DUMMYFUNCTION("""COMPUTED_VALUE"""),"F-255")</f>
        <v>F-255</v>
      </c>
      <c r="C5951" t="str">
        <f>IFERROR(__xludf.DUMMYFUNCTION("""COMPUTED_VALUE"""),"Steinhof")</f>
        <v>Steinhof</v>
      </c>
    </row>
    <row r="5952">
      <c r="A5952" t="str">
        <f>IFERROR(__xludf.DUMMYFUNCTION("""COMPUTED_VALUE"""),"F-256")</f>
        <v>F-256</v>
      </c>
      <c r="C5952" t="str">
        <f>IFERROR(__xludf.DUMMYFUNCTION("""COMPUTED_VALUE"""),"Steinhof")</f>
        <v>Steinhof</v>
      </c>
    </row>
    <row r="5953">
      <c r="A5953" t="str">
        <f>IFERROR(__xludf.DUMMYFUNCTION("""COMPUTED_VALUE"""),"F-283")</f>
        <v>F-283</v>
      </c>
      <c r="C5953" t="str">
        <f>IFERROR(__xludf.DUMMYFUNCTION("""COMPUTED_VALUE"""),"Steinhof")</f>
        <v>Steinhof</v>
      </c>
    </row>
    <row r="5954">
      <c r="A5954" t="str">
        <f>IFERROR(__xludf.DUMMYFUNCTION("""COMPUTED_VALUE"""),"F-283")</f>
        <v>F-283</v>
      </c>
      <c r="C5954" t="str">
        <f>IFERROR(__xludf.DUMMYFUNCTION("""COMPUTED_VALUE"""),"Steinhof")</f>
        <v>Steinhof</v>
      </c>
    </row>
    <row r="5955">
      <c r="A5955" t="str">
        <f>IFERROR(__xludf.DUMMYFUNCTION("""COMPUTED_VALUE"""),"F-287")</f>
        <v>F-287</v>
      </c>
      <c r="C5955" t="str">
        <f>IFERROR(__xludf.DUMMYFUNCTION("""COMPUTED_VALUE"""),"Steinhof")</f>
        <v>Steinhof</v>
      </c>
    </row>
    <row r="5956">
      <c r="A5956" t="str">
        <f>IFERROR(__xludf.DUMMYFUNCTION("""COMPUTED_VALUE"""),"F-288")</f>
        <v>F-288</v>
      </c>
      <c r="C5956" t="str">
        <f>IFERROR(__xludf.DUMMYFUNCTION("""COMPUTED_VALUE"""),"Steinhof")</f>
        <v>Steinhof</v>
      </c>
    </row>
    <row r="5957">
      <c r="A5957" t="str">
        <f>IFERROR(__xludf.DUMMYFUNCTION("""COMPUTED_VALUE"""),"F-291")</f>
        <v>F-291</v>
      </c>
      <c r="C5957" t="str">
        <f>IFERROR(__xludf.DUMMYFUNCTION("""COMPUTED_VALUE"""),"Steinhof")</f>
        <v>Steinhof</v>
      </c>
    </row>
    <row r="5958">
      <c r="A5958" t="str">
        <f>IFERROR(__xludf.DUMMYFUNCTION("""COMPUTED_VALUE"""),"F-292")</f>
        <v>F-292</v>
      </c>
      <c r="C5958" t="str">
        <f>IFERROR(__xludf.DUMMYFUNCTION("""COMPUTED_VALUE"""),"Steinhof")</f>
        <v>Steinhof</v>
      </c>
    </row>
    <row r="5959">
      <c r="A5959" t="str">
        <f>IFERROR(__xludf.DUMMYFUNCTION("""COMPUTED_VALUE"""),"F-308")</f>
        <v>F-308</v>
      </c>
      <c r="C5959" t="str">
        <f>IFERROR(__xludf.DUMMYFUNCTION("""COMPUTED_VALUE"""),"Steinhof")</f>
        <v>Steinhof</v>
      </c>
    </row>
    <row r="5960">
      <c r="A5960" t="str">
        <f>IFERROR(__xludf.DUMMYFUNCTION("""COMPUTED_VALUE"""),"GN-13")</f>
        <v>GN-13</v>
      </c>
      <c r="C5960" t="str">
        <f>IFERROR(__xludf.DUMMYFUNCTION("""COMPUTED_VALUE"""),"Steinhof")</f>
        <v>Steinhof</v>
      </c>
    </row>
    <row r="5961">
      <c r="A5961" t="str">
        <f>IFERROR(__xludf.DUMMYFUNCTION("""COMPUTED_VALUE"""),"GN-7")</f>
        <v>GN-7</v>
      </c>
      <c r="C5961" t="str">
        <f>IFERROR(__xludf.DUMMYFUNCTION("""COMPUTED_VALUE"""),"Steinhof")</f>
        <v>Steinhof</v>
      </c>
    </row>
    <row r="5962">
      <c r="A5962" t="str">
        <f>IFERROR(__xludf.DUMMYFUNCTION("""COMPUTED_VALUE"""),"H-054")</f>
        <v>H-054</v>
      </c>
      <c r="C5962" t="str">
        <f>IFERROR(__xludf.DUMMYFUNCTION("""COMPUTED_VALUE"""),"Steinhof")</f>
        <v>Steinhof</v>
      </c>
    </row>
    <row r="5963">
      <c r="A5963" t="str">
        <f>IFERROR(__xludf.DUMMYFUNCTION("""COMPUTED_VALUE"""),"H-081")</f>
        <v>H-081</v>
      </c>
      <c r="C5963" t="str">
        <f>IFERROR(__xludf.DUMMYFUNCTION("""COMPUTED_VALUE"""),"Steinhof")</f>
        <v>Steinhof</v>
      </c>
    </row>
    <row r="5964">
      <c r="A5964" t="str">
        <f>IFERROR(__xludf.DUMMYFUNCTION("""COMPUTED_VALUE"""),"H-082")</f>
        <v>H-082</v>
      </c>
      <c r="C5964" t="str">
        <f>IFERROR(__xludf.DUMMYFUNCTION("""COMPUTED_VALUE"""),"Steinhof")</f>
        <v>Steinhof</v>
      </c>
    </row>
    <row r="5965">
      <c r="A5965" t="str">
        <f>IFERROR(__xludf.DUMMYFUNCTION("""COMPUTED_VALUE"""),"H-083")</f>
        <v>H-083</v>
      </c>
      <c r="C5965" t="str">
        <f>IFERROR(__xludf.DUMMYFUNCTION("""COMPUTED_VALUE"""),"Steinhof")</f>
        <v>Steinhof</v>
      </c>
    </row>
    <row r="5966">
      <c r="A5966" t="str">
        <f>IFERROR(__xludf.DUMMYFUNCTION("""COMPUTED_VALUE"""),"H-084")</f>
        <v>H-084</v>
      </c>
      <c r="C5966" t="str">
        <f>IFERROR(__xludf.DUMMYFUNCTION("""COMPUTED_VALUE"""),"Steinhof")</f>
        <v>Steinhof</v>
      </c>
    </row>
    <row r="5967">
      <c r="A5967" t="str">
        <f>IFERROR(__xludf.DUMMYFUNCTION("""COMPUTED_VALUE"""),"H-227")</f>
        <v>H-227</v>
      </c>
      <c r="C5967" t="str">
        <f>IFERROR(__xludf.DUMMYFUNCTION("""COMPUTED_VALUE"""),"Steinhof")</f>
        <v>Steinhof</v>
      </c>
    </row>
    <row r="5968">
      <c r="A5968" t="str">
        <f>IFERROR(__xludf.DUMMYFUNCTION("""COMPUTED_VALUE"""),"H-228")</f>
        <v>H-228</v>
      </c>
      <c r="C5968" t="str">
        <f>IFERROR(__xludf.DUMMYFUNCTION("""COMPUTED_VALUE"""),"Steinhof")</f>
        <v>Steinhof</v>
      </c>
    </row>
    <row r="5969">
      <c r="A5969" t="str">
        <f>IFERROR(__xludf.DUMMYFUNCTION("""COMPUTED_VALUE"""),"H-229")</f>
        <v>H-229</v>
      </c>
      <c r="C5969" t="str">
        <f>IFERROR(__xludf.DUMMYFUNCTION("""COMPUTED_VALUE"""),"Steinhof")</f>
        <v>Steinhof</v>
      </c>
    </row>
    <row r="5970">
      <c r="A5970" t="str">
        <f>IFERROR(__xludf.DUMMYFUNCTION("""COMPUTED_VALUE"""),"H-230")</f>
        <v>H-230</v>
      </c>
      <c r="C5970" t="str">
        <f>IFERROR(__xludf.DUMMYFUNCTION("""COMPUTED_VALUE"""),"Steinhof")</f>
        <v>Steinhof</v>
      </c>
    </row>
    <row r="5971">
      <c r="A5971" t="str">
        <f>IFERROR(__xludf.DUMMYFUNCTION("""COMPUTED_VALUE"""),"H-247")</f>
        <v>H-247</v>
      </c>
      <c r="C5971" t="str">
        <f>IFERROR(__xludf.DUMMYFUNCTION("""COMPUTED_VALUE"""),"Steinhof")</f>
        <v>Steinhof</v>
      </c>
    </row>
    <row r="5972">
      <c r="A5972" t="str">
        <f>IFERROR(__xludf.DUMMYFUNCTION("""COMPUTED_VALUE"""),"H-248")</f>
        <v>H-248</v>
      </c>
      <c r="C5972" t="str">
        <f>IFERROR(__xludf.DUMMYFUNCTION("""COMPUTED_VALUE"""),"Steinhof")</f>
        <v>Steinhof</v>
      </c>
    </row>
    <row r="5973">
      <c r="A5973" t="str">
        <f>IFERROR(__xludf.DUMMYFUNCTION("""COMPUTED_VALUE"""),"H-274")</f>
        <v>H-274</v>
      </c>
      <c r="C5973" t="str">
        <f>IFERROR(__xludf.DUMMYFUNCTION("""COMPUTED_VALUE"""),"Steinhof")</f>
        <v>Steinhof</v>
      </c>
    </row>
    <row r="5974">
      <c r="A5974" t="str">
        <f>IFERROR(__xludf.DUMMYFUNCTION("""COMPUTED_VALUE"""),"H-275")</f>
        <v>H-275</v>
      </c>
      <c r="C5974" t="str">
        <f>IFERROR(__xludf.DUMMYFUNCTION("""COMPUTED_VALUE"""),"Steinhof")</f>
        <v>Steinhof</v>
      </c>
    </row>
    <row r="5975">
      <c r="A5975" t="str">
        <f>IFERROR(__xludf.DUMMYFUNCTION("""COMPUTED_VALUE"""),"H-276")</f>
        <v>H-276</v>
      </c>
      <c r="C5975" t="str">
        <f>IFERROR(__xludf.DUMMYFUNCTION("""COMPUTED_VALUE"""),"Steinhof")</f>
        <v>Steinhof</v>
      </c>
    </row>
    <row r="5976">
      <c r="A5976" t="str">
        <f>IFERROR(__xludf.DUMMYFUNCTION("""COMPUTED_VALUE"""),"H-277")</f>
        <v>H-277</v>
      </c>
      <c r="C5976" t="str">
        <f>IFERROR(__xludf.DUMMYFUNCTION("""COMPUTED_VALUE"""),"Steinhof")</f>
        <v>Steinhof</v>
      </c>
    </row>
    <row r="5977">
      <c r="A5977" t="str">
        <f>IFERROR(__xludf.DUMMYFUNCTION("""COMPUTED_VALUE"""),"H-282")</f>
        <v>H-282</v>
      </c>
      <c r="C5977" t="str">
        <f>IFERROR(__xludf.DUMMYFUNCTION("""COMPUTED_VALUE"""),"Steinhof")</f>
        <v>Steinhof</v>
      </c>
    </row>
    <row r="5978">
      <c r="A5978" t="str">
        <f>IFERROR(__xludf.DUMMYFUNCTION("""COMPUTED_VALUE"""),"H-283")</f>
        <v>H-283</v>
      </c>
      <c r="C5978" t="str">
        <f>IFERROR(__xludf.DUMMYFUNCTION("""COMPUTED_VALUE"""),"Steinhof")</f>
        <v>Steinhof</v>
      </c>
    </row>
    <row r="5979">
      <c r="A5979" t="str">
        <f>IFERROR(__xludf.DUMMYFUNCTION("""COMPUTED_VALUE"""),"HO")</f>
        <v>HO</v>
      </c>
      <c r="C5979" t="str">
        <f>IFERROR(__xludf.DUMMYFUNCTION("""COMPUTED_VALUE"""),"Steinhof")</f>
        <v>Steinhof</v>
      </c>
    </row>
    <row r="5980">
      <c r="A5980" t="str">
        <f>IFERROR(__xludf.DUMMYFUNCTION("""COMPUTED_VALUE"""),"I-022")</f>
        <v>I-022</v>
      </c>
      <c r="C5980" t="str">
        <f>IFERROR(__xludf.DUMMYFUNCTION("""COMPUTED_VALUE"""),"Steinhof")</f>
        <v>Steinhof</v>
      </c>
    </row>
    <row r="5981">
      <c r="A5981" t="str">
        <f>IFERROR(__xludf.DUMMYFUNCTION("""COMPUTED_VALUE"""),"I-033")</f>
        <v>I-033</v>
      </c>
      <c r="C5981" t="str">
        <f>IFERROR(__xludf.DUMMYFUNCTION("""COMPUTED_VALUE"""),"Steinhof")</f>
        <v>Steinhof</v>
      </c>
    </row>
    <row r="5982">
      <c r="A5982" t="str">
        <f>IFERROR(__xludf.DUMMYFUNCTION("""COMPUTED_VALUE"""),"J-010")</f>
        <v>J-010</v>
      </c>
      <c r="C5982" t="str">
        <f>IFERROR(__xludf.DUMMYFUNCTION("""COMPUTED_VALUE"""),"Steinhof")</f>
        <v>Steinhof</v>
      </c>
    </row>
    <row r="5983">
      <c r="A5983" t="str">
        <f>IFERROR(__xludf.DUMMYFUNCTION("""COMPUTED_VALUE"""),"J-011")</f>
        <v>J-011</v>
      </c>
      <c r="C5983" t="str">
        <f>IFERROR(__xludf.DUMMYFUNCTION("""COMPUTED_VALUE"""),"Steinhof")</f>
        <v>Steinhof</v>
      </c>
    </row>
    <row r="5984">
      <c r="A5984" t="str">
        <f>IFERROR(__xludf.DUMMYFUNCTION("""COMPUTED_VALUE"""),"J-012")</f>
        <v>J-012</v>
      </c>
      <c r="C5984" t="str">
        <f>IFERROR(__xludf.DUMMYFUNCTION("""COMPUTED_VALUE"""),"Steinhof")</f>
        <v>Steinhof</v>
      </c>
    </row>
    <row r="5985">
      <c r="A5985" t="str">
        <f>IFERROR(__xludf.DUMMYFUNCTION("""COMPUTED_VALUE"""),"J-013")</f>
        <v>J-013</v>
      </c>
      <c r="C5985" t="str">
        <f>IFERROR(__xludf.DUMMYFUNCTION("""COMPUTED_VALUE"""),"Steinhof")</f>
        <v>Steinhof</v>
      </c>
    </row>
    <row r="5986">
      <c r="A5986" t="str">
        <f>IFERROR(__xludf.DUMMYFUNCTION("""COMPUTED_VALUE"""),"J-014")</f>
        <v>J-014</v>
      </c>
      <c r="C5986" t="str">
        <f>IFERROR(__xludf.DUMMYFUNCTION("""COMPUTED_VALUE"""),"Steinhof")</f>
        <v>Steinhof</v>
      </c>
    </row>
    <row r="5987">
      <c r="A5987" t="str">
        <f>IFERROR(__xludf.DUMMYFUNCTION("""COMPUTED_VALUE"""),"J-014")</f>
        <v>J-014</v>
      </c>
      <c r="C5987" t="str">
        <f>IFERROR(__xludf.DUMMYFUNCTION("""COMPUTED_VALUE"""),"Steinhof")</f>
        <v>Steinhof</v>
      </c>
    </row>
    <row r="5988">
      <c r="A5988" t="str">
        <f>IFERROR(__xludf.DUMMYFUNCTION("""COMPUTED_VALUE"""),"J-015")</f>
        <v>J-015</v>
      </c>
      <c r="C5988" t="str">
        <f>IFERROR(__xludf.DUMMYFUNCTION("""COMPUTED_VALUE"""),"Steinhof")</f>
        <v>Steinhof</v>
      </c>
    </row>
    <row r="5989">
      <c r="A5989" t="str">
        <f>IFERROR(__xludf.DUMMYFUNCTION("""COMPUTED_VALUE"""),"J-015")</f>
        <v>J-015</v>
      </c>
      <c r="C5989" t="str">
        <f>IFERROR(__xludf.DUMMYFUNCTION("""COMPUTED_VALUE"""),"Steinhof")</f>
        <v>Steinhof</v>
      </c>
    </row>
    <row r="5990">
      <c r="A5990" t="str">
        <f>IFERROR(__xludf.DUMMYFUNCTION("""COMPUTED_VALUE"""),"J-073")</f>
        <v>J-073</v>
      </c>
      <c r="C5990" t="str">
        <f>IFERROR(__xludf.DUMMYFUNCTION("""COMPUTED_VALUE"""),"Steinhof")</f>
        <v>Steinhof</v>
      </c>
    </row>
    <row r="5991">
      <c r="A5991" t="str">
        <f>IFERROR(__xludf.DUMMYFUNCTION("""COMPUTED_VALUE"""),"J-073")</f>
        <v>J-073</v>
      </c>
      <c r="C5991" t="str">
        <f>IFERROR(__xludf.DUMMYFUNCTION("""COMPUTED_VALUE"""),"Steinhof")</f>
        <v>Steinhof</v>
      </c>
    </row>
    <row r="5992">
      <c r="A5992" t="str">
        <f>IFERROR(__xludf.DUMMYFUNCTION("""COMPUTED_VALUE"""),"J-073")</f>
        <v>J-073</v>
      </c>
      <c r="C5992" t="str">
        <f>IFERROR(__xludf.DUMMYFUNCTION("""COMPUTED_VALUE"""),"Steinhof")</f>
        <v>Steinhof</v>
      </c>
    </row>
    <row r="5993">
      <c r="A5993" t="str">
        <f>IFERROR(__xludf.DUMMYFUNCTION("""COMPUTED_VALUE"""),"J-074")</f>
        <v>J-074</v>
      </c>
      <c r="C5993" t="str">
        <f>IFERROR(__xludf.DUMMYFUNCTION("""COMPUTED_VALUE"""),"Steinhof")</f>
        <v>Steinhof</v>
      </c>
    </row>
    <row r="5994">
      <c r="A5994" t="str">
        <f>IFERROR(__xludf.DUMMYFUNCTION("""COMPUTED_VALUE"""),"J-074")</f>
        <v>J-074</v>
      </c>
      <c r="C5994" t="str">
        <f>IFERROR(__xludf.DUMMYFUNCTION("""COMPUTED_VALUE"""),"Steinhof")</f>
        <v>Steinhof</v>
      </c>
    </row>
    <row r="5995">
      <c r="A5995" t="str">
        <f>IFERROR(__xludf.DUMMYFUNCTION("""COMPUTED_VALUE"""),"J-074")</f>
        <v>J-074</v>
      </c>
      <c r="C5995" t="str">
        <f>IFERROR(__xludf.DUMMYFUNCTION("""COMPUTED_VALUE"""),"Steinhof")</f>
        <v>Steinhof</v>
      </c>
    </row>
    <row r="5996">
      <c r="A5996" t="str">
        <f>IFERROR(__xludf.DUMMYFUNCTION("""COMPUTED_VALUE"""),"J-075")</f>
        <v>J-075</v>
      </c>
      <c r="C5996" t="str">
        <f>IFERROR(__xludf.DUMMYFUNCTION("""COMPUTED_VALUE"""),"Steinhof")</f>
        <v>Steinhof</v>
      </c>
    </row>
    <row r="5997">
      <c r="A5997" t="str">
        <f>IFERROR(__xludf.DUMMYFUNCTION("""COMPUTED_VALUE"""),"J-076")</f>
        <v>J-076</v>
      </c>
      <c r="C5997" t="str">
        <f>IFERROR(__xludf.DUMMYFUNCTION("""COMPUTED_VALUE"""),"Steinhof")</f>
        <v>Steinhof</v>
      </c>
    </row>
    <row r="5998">
      <c r="A5998" t="str">
        <f>IFERROR(__xludf.DUMMYFUNCTION("""COMPUTED_VALUE"""),"K-077")</f>
        <v>K-077</v>
      </c>
      <c r="C5998" t="str">
        <f>IFERROR(__xludf.DUMMYFUNCTION("""COMPUTED_VALUE"""),"Steinhof")</f>
        <v>Steinhof</v>
      </c>
    </row>
    <row r="5999">
      <c r="A5999" t="str">
        <f>IFERROR(__xludf.DUMMYFUNCTION("""COMPUTED_VALUE"""),"K-078")</f>
        <v>K-078</v>
      </c>
      <c r="C5999" t="str">
        <f>IFERROR(__xludf.DUMMYFUNCTION("""COMPUTED_VALUE"""),"Steinhof")</f>
        <v>Steinhof</v>
      </c>
    </row>
    <row r="6000">
      <c r="A6000" t="str">
        <f>IFERROR(__xludf.DUMMYFUNCTION("""COMPUTED_VALUE"""),"K-079")</f>
        <v>K-079</v>
      </c>
      <c r="C6000" t="str">
        <f>IFERROR(__xludf.DUMMYFUNCTION("""COMPUTED_VALUE"""),"Steinhof")</f>
        <v>Steinhof</v>
      </c>
    </row>
    <row r="6001">
      <c r="A6001" t="str">
        <f>IFERROR(__xludf.DUMMYFUNCTION("""COMPUTED_VALUE"""),"K-080")</f>
        <v>K-080</v>
      </c>
      <c r="C6001" t="str">
        <f>IFERROR(__xludf.DUMMYFUNCTION("""COMPUTED_VALUE"""),"Steinhof")</f>
        <v>Steinhof</v>
      </c>
    </row>
    <row r="6002">
      <c r="A6002" t="str">
        <f>IFERROR(__xludf.DUMMYFUNCTION("""COMPUTED_VALUE"""),"K-081")</f>
        <v>K-081</v>
      </c>
      <c r="C6002" t="str">
        <f>IFERROR(__xludf.DUMMYFUNCTION("""COMPUTED_VALUE"""),"Steinhof")</f>
        <v>Steinhof</v>
      </c>
    </row>
    <row r="6003">
      <c r="A6003" t="str">
        <f>IFERROR(__xludf.DUMMYFUNCTION("""COMPUTED_VALUE"""),"K-082")</f>
        <v>K-082</v>
      </c>
      <c r="C6003" t="str">
        <f>IFERROR(__xludf.DUMMYFUNCTION("""COMPUTED_VALUE"""),"Steinhof")</f>
        <v>Steinhof</v>
      </c>
    </row>
    <row r="6004">
      <c r="A6004" t="str">
        <f>IFERROR(__xludf.DUMMYFUNCTION("""COMPUTED_VALUE"""),"K-083")</f>
        <v>K-083</v>
      </c>
      <c r="C6004" t="str">
        <f>IFERROR(__xludf.DUMMYFUNCTION("""COMPUTED_VALUE"""),"Steinhof")</f>
        <v>Steinhof</v>
      </c>
    </row>
    <row r="6005">
      <c r="A6005" t="str">
        <f>IFERROR(__xludf.DUMMYFUNCTION("""COMPUTED_VALUE"""),"K-083")</f>
        <v>K-083</v>
      </c>
      <c r="C6005" t="str">
        <f>IFERROR(__xludf.DUMMYFUNCTION("""COMPUTED_VALUE"""),"Steinhof")</f>
        <v>Steinhof</v>
      </c>
    </row>
    <row r="6006">
      <c r="A6006" t="str">
        <f>IFERROR(__xludf.DUMMYFUNCTION("""COMPUTED_VALUE"""),"K-084")</f>
        <v>K-084</v>
      </c>
      <c r="C6006" t="str">
        <f>IFERROR(__xludf.DUMMYFUNCTION("""COMPUTED_VALUE"""),"Steinhof")</f>
        <v>Steinhof</v>
      </c>
    </row>
    <row r="6007">
      <c r="A6007" t="str">
        <f>IFERROR(__xludf.DUMMYFUNCTION("""COMPUTED_VALUE"""),"K-084")</f>
        <v>K-084</v>
      </c>
      <c r="C6007" t="str">
        <f>IFERROR(__xludf.DUMMYFUNCTION("""COMPUTED_VALUE"""),"Steinhof")</f>
        <v>Steinhof</v>
      </c>
    </row>
    <row r="6008">
      <c r="A6008" t="str">
        <f>IFERROR(__xludf.DUMMYFUNCTION("""COMPUTED_VALUE"""),"K-085")</f>
        <v>K-085</v>
      </c>
      <c r="C6008" t="str">
        <f>IFERROR(__xludf.DUMMYFUNCTION("""COMPUTED_VALUE"""),"Steinhof")</f>
        <v>Steinhof</v>
      </c>
    </row>
    <row r="6009">
      <c r="A6009" t="str">
        <f>IFERROR(__xludf.DUMMYFUNCTION("""COMPUTED_VALUE"""),"K-086")</f>
        <v>K-086</v>
      </c>
      <c r="C6009" t="str">
        <f>IFERROR(__xludf.DUMMYFUNCTION("""COMPUTED_VALUE"""),"Steinhof")</f>
        <v>Steinhof</v>
      </c>
    </row>
    <row r="6010">
      <c r="A6010" t="str">
        <f>IFERROR(__xludf.DUMMYFUNCTION("""COMPUTED_VALUE"""),"K-087")</f>
        <v>K-087</v>
      </c>
      <c r="C6010" t="str">
        <f>IFERROR(__xludf.DUMMYFUNCTION("""COMPUTED_VALUE"""),"Steinhof")</f>
        <v>Steinhof</v>
      </c>
    </row>
    <row r="6011">
      <c r="A6011" t="str">
        <f>IFERROR(__xludf.DUMMYFUNCTION("""COMPUTED_VALUE"""),"K-088")</f>
        <v>K-088</v>
      </c>
      <c r="C6011" t="str">
        <f>IFERROR(__xludf.DUMMYFUNCTION("""COMPUTED_VALUE"""),"Steinhof")</f>
        <v>Steinhof</v>
      </c>
    </row>
    <row r="6012">
      <c r="A6012" t="str">
        <f>IFERROR(__xludf.DUMMYFUNCTION("""COMPUTED_VALUE"""),"K-089")</f>
        <v>K-089</v>
      </c>
      <c r="C6012" t="str">
        <f>IFERROR(__xludf.DUMMYFUNCTION("""COMPUTED_VALUE"""),"Steinhof")</f>
        <v>Steinhof</v>
      </c>
    </row>
    <row r="6013">
      <c r="A6013" t="str">
        <f>IFERROR(__xludf.DUMMYFUNCTION("""COMPUTED_VALUE"""),"K-090")</f>
        <v>K-090</v>
      </c>
      <c r="C6013" t="str">
        <f>IFERROR(__xludf.DUMMYFUNCTION("""COMPUTED_VALUE"""),"Steinhof")</f>
        <v>Steinhof</v>
      </c>
    </row>
    <row r="6014">
      <c r="A6014" t="str">
        <f>IFERROR(__xludf.DUMMYFUNCTION("""COMPUTED_VALUE"""),"KULA")</f>
        <v>KULA</v>
      </c>
      <c r="C6014" t="str">
        <f>IFERROR(__xludf.DUMMYFUNCTION("""COMPUTED_VALUE"""),"Steinhof")</f>
        <v>Steinhof</v>
      </c>
    </row>
    <row r="6015">
      <c r="A6015" t="str">
        <f>IFERROR(__xludf.DUMMYFUNCTION("""COMPUTED_VALUE"""),"KULA ACS")</f>
        <v>KULA ACS</v>
      </c>
      <c r="C6015" t="str">
        <f>IFERROR(__xludf.DUMMYFUNCTION("""COMPUTED_VALUE"""),"Steinhof")</f>
        <v>Steinhof</v>
      </c>
    </row>
    <row r="6016">
      <c r="A6016" t="str">
        <f>IFERROR(__xludf.DUMMYFUNCTION("""COMPUTED_VALUE"""),"KULA E")</f>
        <v>KULA E</v>
      </c>
      <c r="C6016" t="str">
        <f>IFERROR(__xludf.DUMMYFUNCTION("""COMPUTED_VALUE"""),"Steinhof")</f>
        <v>Steinhof</v>
      </c>
    </row>
    <row r="6017">
      <c r="A6017" t="str">
        <f>IFERROR(__xludf.DUMMYFUNCTION("""COMPUTED_VALUE"""),"KULA E ZESTAW")</f>
        <v>KULA E ZESTAW</v>
      </c>
      <c r="C6017" t="str">
        <f>IFERROR(__xludf.DUMMYFUNCTION("""COMPUTED_VALUE"""),"Steinhof")</f>
        <v>Steinhof</v>
      </c>
    </row>
    <row r="6018">
      <c r="A6018" t="str">
        <f>IFERROR(__xludf.DUMMYFUNCTION("""COMPUTED_VALUE"""),"L-106")</f>
        <v>L-106</v>
      </c>
      <c r="C6018" t="str">
        <f>IFERROR(__xludf.DUMMYFUNCTION("""COMPUTED_VALUE"""),"Steinhof")</f>
        <v>Steinhof</v>
      </c>
    </row>
    <row r="6019">
      <c r="A6019" t="str">
        <f>IFERROR(__xludf.DUMMYFUNCTION("""COMPUTED_VALUE"""),"L-107")</f>
        <v>L-107</v>
      </c>
      <c r="C6019" t="str">
        <f>IFERROR(__xludf.DUMMYFUNCTION("""COMPUTED_VALUE"""),"Steinhof")</f>
        <v>Steinhof</v>
      </c>
    </row>
    <row r="6020">
      <c r="A6020" t="str">
        <f>IFERROR(__xludf.DUMMYFUNCTION("""COMPUTED_VALUE"""),"L-108")</f>
        <v>L-108</v>
      </c>
      <c r="C6020" t="str">
        <f>IFERROR(__xludf.DUMMYFUNCTION("""COMPUTED_VALUE"""),"Steinhof")</f>
        <v>Steinhof</v>
      </c>
    </row>
    <row r="6021">
      <c r="A6021" t="str">
        <f>IFERROR(__xludf.DUMMYFUNCTION("""COMPUTED_VALUE"""),"L-118")</f>
        <v>L-118</v>
      </c>
      <c r="C6021" t="str">
        <f>IFERROR(__xludf.DUMMYFUNCTION("""COMPUTED_VALUE"""),"Steinhof")</f>
        <v>Steinhof</v>
      </c>
    </row>
    <row r="6022">
      <c r="A6022" t="str">
        <f>IFERROR(__xludf.DUMMYFUNCTION("""COMPUTED_VALUE"""),"L-119")</f>
        <v>L-119</v>
      </c>
      <c r="C6022" t="str">
        <f>IFERROR(__xludf.DUMMYFUNCTION("""COMPUTED_VALUE"""),"Steinhof")</f>
        <v>Steinhof</v>
      </c>
    </row>
    <row r="6023">
      <c r="A6023" t="str">
        <f>IFERROR(__xludf.DUMMYFUNCTION("""COMPUTED_VALUE"""),"L-167")</f>
        <v>L-167</v>
      </c>
      <c r="C6023" t="str">
        <f>IFERROR(__xludf.DUMMYFUNCTION("""COMPUTED_VALUE"""),"Steinhof")</f>
        <v>Steinhof</v>
      </c>
    </row>
    <row r="6024">
      <c r="A6024" t="str">
        <f>IFERROR(__xludf.DUMMYFUNCTION("""COMPUTED_VALUE"""),"L-168")</f>
        <v>L-168</v>
      </c>
      <c r="C6024" t="str">
        <f>IFERROR(__xludf.DUMMYFUNCTION("""COMPUTED_VALUE"""),"Steinhof")</f>
        <v>Steinhof</v>
      </c>
    </row>
    <row r="6025">
      <c r="A6025" t="str">
        <f>IFERROR(__xludf.DUMMYFUNCTION("""COMPUTED_VALUE"""),"LK-01")</f>
        <v>LK-01</v>
      </c>
      <c r="C6025" t="str">
        <f>IFERROR(__xludf.DUMMYFUNCTION("""COMPUTED_VALUE"""),"Steinhof")</f>
        <v>Steinhof</v>
      </c>
    </row>
    <row r="6026">
      <c r="A6026" t="str">
        <f>IFERROR(__xludf.DUMMYFUNCTION("""COMPUTED_VALUE"""),"M-058")</f>
        <v>M-058</v>
      </c>
      <c r="C6026" t="str">
        <f>IFERROR(__xludf.DUMMYFUNCTION("""COMPUTED_VALUE"""),"Steinhof")</f>
        <v>Steinhof</v>
      </c>
    </row>
    <row r="6027">
      <c r="A6027" t="str">
        <f>IFERROR(__xludf.DUMMYFUNCTION("""COMPUTED_VALUE"""),"M-059")</f>
        <v>M-059</v>
      </c>
      <c r="C6027" t="str">
        <f>IFERROR(__xludf.DUMMYFUNCTION("""COMPUTED_VALUE"""),"Steinhof")</f>
        <v>Steinhof</v>
      </c>
    </row>
    <row r="6028">
      <c r="A6028" t="str">
        <f>IFERROR(__xludf.DUMMYFUNCTION("""COMPUTED_VALUE"""),"M-060")</f>
        <v>M-060</v>
      </c>
      <c r="C6028" t="str">
        <f>IFERROR(__xludf.DUMMYFUNCTION("""COMPUTED_VALUE"""),"Steinhof")</f>
        <v>Steinhof</v>
      </c>
    </row>
    <row r="6029">
      <c r="A6029" t="str">
        <f>IFERROR(__xludf.DUMMYFUNCTION("""COMPUTED_VALUE"""),"M-061")</f>
        <v>M-061</v>
      </c>
      <c r="C6029" t="str">
        <f>IFERROR(__xludf.DUMMYFUNCTION("""COMPUTED_VALUE"""),"Steinhof")</f>
        <v>Steinhof</v>
      </c>
    </row>
    <row r="6030">
      <c r="A6030" t="str">
        <f>IFERROR(__xludf.DUMMYFUNCTION("""COMPUTED_VALUE"""),"M-062")</f>
        <v>M-062</v>
      </c>
      <c r="C6030" t="str">
        <f>IFERROR(__xludf.DUMMYFUNCTION("""COMPUTED_VALUE"""),"Steinhof")</f>
        <v>Steinhof</v>
      </c>
    </row>
    <row r="6031">
      <c r="A6031" t="str">
        <f>IFERROR(__xludf.DUMMYFUNCTION("""COMPUTED_VALUE"""),"M-063")</f>
        <v>M-063</v>
      </c>
      <c r="C6031" t="str">
        <f>IFERROR(__xludf.DUMMYFUNCTION("""COMPUTED_VALUE"""),"Steinhof")</f>
        <v>Steinhof</v>
      </c>
    </row>
    <row r="6032">
      <c r="A6032" t="str">
        <f>IFERROR(__xludf.DUMMYFUNCTION("""COMPUTED_VALUE"""),"M-064")</f>
        <v>M-064</v>
      </c>
      <c r="C6032" t="str">
        <f>IFERROR(__xludf.DUMMYFUNCTION("""COMPUTED_VALUE"""),"Steinhof")</f>
        <v>Steinhof</v>
      </c>
    </row>
    <row r="6033">
      <c r="A6033" t="str">
        <f>IFERROR(__xludf.DUMMYFUNCTION("""COMPUTED_VALUE"""),"M-065")</f>
        <v>M-065</v>
      </c>
      <c r="C6033" t="str">
        <f>IFERROR(__xludf.DUMMYFUNCTION("""COMPUTED_VALUE"""),"Steinhof")</f>
        <v>Steinhof</v>
      </c>
    </row>
    <row r="6034">
      <c r="A6034" t="str">
        <f>IFERROR(__xludf.DUMMYFUNCTION("""COMPUTED_VALUE"""),"M-066")</f>
        <v>M-066</v>
      </c>
      <c r="C6034" t="str">
        <f>IFERROR(__xludf.DUMMYFUNCTION("""COMPUTED_VALUE"""),"Steinhof")</f>
        <v>Steinhof</v>
      </c>
    </row>
    <row r="6035">
      <c r="A6035" t="str">
        <f>IFERROR(__xludf.DUMMYFUNCTION("""COMPUTED_VALUE"""),"M-103")</f>
        <v>M-103</v>
      </c>
      <c r="C6035" t="str">
        <f>IFERROR(__xludf.DUMMYFUNCTION("""COMPUTED_VALUE"""),"Steinhof")</f>
        <v>Steinhof</v>
      </c>
    </row>
    <row r="6036">
      <c r="A6036" t="str">
        <f>IFERROR(__xludf.DUMMYFUNCTION("""COMPUTED_VALUE"""),"M-104")</f>
        <v>M-104</v>
      </c>
      <c r="C6036" t="str">
        <f>IFERROR(__xludf.DUMMYFUNCTION("""COMPUTED_VALUE"""),"Steinhof")</f>
        <v>Steinhof</v>
      </c>
    </row>
    <row r="6037">
      <c r="A6037" t="str">
        <f>IFERROR(__xludf.DUMMYFUNCTION("""COMPUTED_VALUE"""),"M-157")</f>
        <v>M-157</v>
      </c>
      <c r="C6037" t="str">
        <f>IFERROR(__xludf.DUMMYFUNCTION("""COMPUTED_VALUE"""),"Steinhof")</f>
        <v>Steinhof</v>
      </c>
    </row>
    <row r="6038">
      <c r="A6038" t="str">
        <f>IFERROR(__xludf.DUMMYFUNCTION("""COMPUTED_VALUE"""),"M-157")</f>
        <v>M-157</v>
      </c>
      <c r="C6038" t="str">
        <f>IFERROR(__xludf.DUMMYFUNCTION("""COMPUTED_VALUE"""),"Steinhof")</f>
        <v>Steinhof</v>
      </c>
    </row>
    <row r="6039">
      <c r="A6039" t="str">
        <f>IFERROR(__xludf.DUMMYFUNCTION("""COMPUTED_VALUE"""),"M-158")</f>
        <v>M-158</v>
      </c>
      <c r="C6039" t="str">
        <f>IFERROR(__xludf.DUMMYFUNCTION("""COMPUTED_VALUE"""),"Steinhof")</f>
        <v>Steinhof</v>
      </c>
    </row>
    <row r="6040">
      <c r="A6040" t="str">
        <f>IFERROR(__xludf.DUMMYFUNCTION("""COMPUTED_VALUE"""),"M-159")</f>
        <v>M-159</v>
      </c>
      <c r="C6040" t="str">
        <f>IFERROR(__xludf.DUMMYFUNCTION("""COMPUTED_VALUE"""),"Steinhof")</f>
        <v>Steinhof</v>
      </c>
    </row>
    <row r="6041">
      <c r="A6041" t="str">
        <f>IFERROR(__xludf.DUMMYFUNCTION("""COMPUTED_VALUE"""),"M-160")</f>
        <v>M-160</v>
      </c>
      <c r="C6041" t="str">
        <f>IFERROR(__xludf.DUMMYFUNCTION("""COMPUTED_VALUE"""),"Steinhof")</f>
        <v>Steinhof</v>
      </c>
    </row>
    <row r="6042">
      <c r="A6042" t="str">
        <f>IFERROR(__xludf.DUMMYFUNCTION("""COMPUTED_VALUE"""),"M-160")</f>
        <v>M-160</v>
      </c>
      <c r="C6042" t="str">
        <f>IFERROR(__xludf.DUMMYFUNCTION("""COMPUTED_VALUE"""),"Steinhof")</f>
        <v>Steinhof</v>
      </c>
    </row>
    <row r="6043">
      <c r="A6043" t="str">
        <f>IFERROR(__xludf.DUMMYFUNCTION("""COMPUTED_VALUE"""),"M-160")</f>
        <v>M-160</v>
      </c>
      <c r="C6043" t="str">
        <f>IFERROR(__xludf.DUMMYFUNCTION("""COMPUTED_VALUE"""),"Steinhof")</f>
        <v>Steinhof</v>
      </c>
    </row>
    <row r="6044">
      <c r="A6044" t="str">
        <f>IFERROR(__xludf.DUMMYFUNCTION("""COMPUTED_VALUE"""),"M-160")</f>
        <v>M-160</v>
      </c>
      <c r="C6044" t="str">
        <f>IFERROR(__xludf.DUMMYFUNCTION("""COMPUTED_VALUE"""),"Steinhof")</f>
        <v>Steinhof</v>
      </c>
    </row>
    <row r="6045">
      <c r="A6045" t="str">
        <f>IFERROR(__xludf.DUMMYFUNCTION("""COMPUTED_VALUE"""),"M-161")</f>
        <v>M-161</v>
      </c>
      <c r="C6045" t="str">
        <f>IFERROR(__xludf.DUMMYFUNCTION("""COMPUTED_VALUE"""),"Steinhof")</f>
        <v>Steinhof</v>
      </c>
    </row>
    <row r="6046">
      <c r="A6046" t="str">
        <f>IFERROR(__xludf.DUMMYFUNCTION("""COMPUTED_VALUE"""),"M-161")</f>
        <v>M-161</v>
      </c>
      <c r="C6046" t="str">
        <f>IFERROR(__xludf.DUMMYFUNCTION("""COMPUTED_VALUE"""),"Steinhof")</f>
        <v>Steinhof</v>
      </c>
    </row>
    <row r="6047">
      <c r="A6047" t="str">
        <f>IFERROR(__xludf.DUMMYFUNCTION("""COMPUTED_VALUE"""),"M-161")</f>
        <v>M-161</v>
      </c>
      <c r="C6047" t="str">
        <f>IFERROR(__xludf.DUMMYFUNCTION("""COMPUTED_VALUE"""),"Steinhof")</f>
        <v>Steinhof</v>
      </c>
    </row>
    <row r="6048">
      <c r="A6048" t="str">
        <f>IFERROR(__xludf.DUMMYFUNCTION("""COMPUTED_VALUE"""),"M-161")</f>
        <v>M-161</v>
      </c>
      <c r="C6048" t="str">
        <f>IFERROR(__xludf.DUMMYFUNCTION("""COMPUTED_VALUE"""),"Steinhof")</f>
        <v>Steinhof</v>
      </c>
    </row>
    <row r="6049">
      <c r="A6049" t="str">
        <f>IFERROR(__xludf.DUMMYFUNCTION("""COMPUTED_VALUE"""),"M-162")</f>
        <v>M-162</v>
      </c>
      <c r="C6049" t="str">
        <f>IFERROR(__xludf.DUMMYFUNCTION("""COMPUTED_VALUE"""),"Steinhof")</f>
        <v>Steinhof</v>
      </c>
    </row>
    <row r="6050">
      <c r="A6050" t="str">
        <f>IFERROR(__xludf.DUMMYFUNCTION("""COMPUTED_VALUE"""),"M-163")</f>
        <v>M-163</v>
      </c>
      <c r="C6050" t="str">
        <f>IFERROR(__xludf.DUMMYFUNCTION("""COMPUTED_VALUE"""),"Steinhof")</f>
        <v>Steinhof</v>
      </c>
    </row>
    <row r="6051">
      <c r="A6051" t="str">
        <f>IFERROR(__xludf.DUMMYFUNCTION("""COMPUTED_VALUE"""),"M-164")</f>
        <v>M-164</v>
      </c>
      <c r="C6051" t="str">
        <f>IFERROR(__xludf.DUMMYFUNCTION("""COMPUTED_VALUE"""),"Steinhof")</f>
        <v>Steinhof</v>
      </c>
    </row>
    <row r="6052">
      <c r="A6052" t="str">
        <f>IFERROR(__xludf.DUMMYFUNCTION("""COMPUTED_VALUE"""),"M-165")</f>
        <v>M-165</v>
      </c>
      <c r="C6052" t="str">
        <f>IFERROR(__xludf.DUMMYFUNCTION("""COMPUTED_VALUE"""),"Steinhof")</f>
        <v>Steinhof</v>
      </c>
    </row>
    <row r="6053">
      <c r="A6053" t="str">
        <f>IFERROR(__xludf.DUMMYFUNCTION("""COMPUTED_VALUE"""),"M-166")</f>
        <v>M-166</v>
      </c>
      <c r="C6053" t="str">
        <f>IFERROR(__xludf.DUMMYFUNCTION("""COMPUTED_VALUE"""),"Steinhof")</f>
        <v>Steinhof</v>
      </c>
    </row>
    <row r="6054">
      <c r="A6054" t="str">
        <f>IFERROR(__xludf.DUMMYFUNCTION("""COMPUTED_VALUE"""),"M-167")</f>
        <v>M-167</v>
      </c>
      <c r="C6054" t="str">
        <f>IFERROR(__xludf.DUMMYFUNCTION("""COMPUTED_VALUE"""),"Steinhof")</f>
        <v>Steinhof</v>
      </c>
    </row>
    <row r="6055">
      <c r="A6055" t="str">
        <f>IFERROR(__xludf.DUMMYFUNCTION("""COMPUTED_VALUE"""),"M-168")</f>
        <v>M-168</v>
      </c>
      <c r="C6055" t="str">
        <f>IFERROR(__xludf.DUMMYFUNCTION("""COMPUTED_VALUE"""),"Steinhof")</f>
        <v>Steinhof</v>
      </c>
    </row>
    <row r="6056">
      <c r="A6056" t="str">
        <f>IFERROR(__xludf.DUMMYFUNCTION("""COMPUTED_VALUE"""),"M-168")</f>
        <v>M-168</v>
      </c>
      <c r="C6056" t="str">
        <f>IFERROR(__xludf.DUMMYFUNCTION("""COMPUTED_VALUE"""),"Steinhof")</f>
        <v>Steinhof</v>
      </c>
    </row>
    <row r="6057">
      <c r="A6057" t="str">
        <f>IFERROR(__xludf.DUMMYFUNCTION("""COMPUTED_VALUE"""),"M-169")</f>
        <v>M-169</v>
      </c>
      <c r="C6057" t="str">
        <f>IFERROR(__xludf.DUMMYFUNCTION("""COMPUTED_VALUE"""),"Steinhof")</f>
        <v>Steinhof</v>
      </c>
    </row>
    <row r="6058">
      <c r="A6058" t="str">
        <f>IFERROR(__xludf.DUMMYFUNCTION("""COMPUTED_VALUE"""),"M-169")</f>
        <v>M-169</v>
      </c>
      <c r="C6058" t="str">
        <f>IFERROR(__xludf.DUMMYFUNCTION("""COMPUTED_VALUE"""),"Steinhof")</f>
        <v>Steinhof</v>
      </c>
    </row>
    <row r="6059">
      <c r="A6059" t="str">
        <f>IFERROR(__xludf.DUMMYFUNCTION("""COMPUTED_VALUE"""),"M-282")</f>
        <v>M-282</v>
      </c>
      <c r="C6059" t="str">
        <f>IFERROR(__xludf.DUMMYFUNCTION("""COMPUTED_VALUE"""),"Steinhof")</f>
        <v>Steinhof</v>
      </c>
    </row>
    <row r="6060">
      <c r="A6060" t="str">
        <f>IFERROR(__xludf.DUMMYFUNCTION("""COMPUTED_VALUE"""),"M-283")</f>
        <v>M-283</v>
      </c>
      <c r="C6060" t="str">
        <f>IFERROR(__xludf.DUMMYFUNCTION("""COMPUTED_VALUE"""),"Steinhof")</f>
        <v>Steinhof</v>
      </c>
    </row>
    <row r="6061">
      <c r="A6061" t="str">
        <f>IFERROR(__xludf.DUMMYFUNCTION("""COMPUTED_VALUE"""),"M-284")</f>
        <v>M-284</v>
      </c>
      <c r="C6061" t="str">
        <f>IFERROR(__xludf.DUMMYFUNCTION("""COMPUTED_VALUE"""),"Steinhof")</f>
        <v>Steinhof</v>
      </c>
    </row>
    <row r="6062">
      <c r="A6062" t="str">
        <f>IFERROR(__xludf.DUMMYFUNCTION("""COMPUTED_VALUE"""),"M-285")</f>
        <v>M-285</v>
      </c>
      <c r="C6062" t="str">
        <f>IFERROR(__xludf.DUMMYFUNCTION("""COMPUTED_VALUE"""),"Steinhof")</f>
        <v>Steinhof</v>
      </c>
    </row>
    <row r="6063">
      <c r="A6063" t="str">
        <f>IFERROR(__xludf.DUMMYFUNCTION("""COMPUTED_VALUE"""),"M-285")</f>
        <v>M-285</v>
      </c>
      <c r="C6063" t="str">
        <f>IFERROR(__xludf.DUMMYFUNCTION("""COMPUTED_VALUE"""),"Steinhof")</f>
        <v>Steinhof</v>
      </c>
    </row>
    <row r="6064">
      <c r="A6064" t="str">
        <f>IFERROR(__xludf.DUMMYFUNCTION("""COMPUTED_VALUE"""),"M-333")</f>
        <v>M-333</v>
      </c>
      <c r="C6064" t="str">
        <f>IFERROR(__xludf.DUMMYFUNCTION("""COMPUTED_VALUE"""),"Steinhof")</f>
        <v>Steinhof</v>
      </c>
    </row>
    <row r="6065">
      <c r="A6065" t="str">
        <f>IFERROR(__xludf.DUMMYFUNCTION("""COMPUTED_VALUE"""),"M-333")</f>
        <v>M-333</v>
      </c>
      <c r="C6065" t="str">
        <f>IFERROR(__xludf.DUMMYFUNCTION("""COMPUTED_VALUE"""),"Steinhof")</f>
        <v>Steinhof</v>
      </c>
    </row>
    <row r="6066">
      <c r="A6066" t="str">
        <f>IFERROR(__xludf.DUMMYFUNCTION("""COMPUTED_VALUE"""),"M-333")</f>
        <v>M-333</v>
      </c>
      <c r="C6066" t="str">
        <f>IFERROR(__xludf.DUMMYFUNCTION("""COMPUTED_VALUE"""),"Steinhof")</f>
        <v>Steinhof</v>
      </c>
    </row>
    <row r="6067">
      <c r="A6067" t="str">
        <f>IFERROR(__xludf.DUMMYFUNCTION("""COMPUTED_VALUE"""),"M-347")</f>
        <v>M-347</v>
      </c>
      <c r="C6067" t="str">
        <f>IFERROR(__xludf.DUMMYFUNCTION("""COMPUTED_VALUE"""),"Steinhof")</f>
        <v>Steinhof</v>
      </c>
    </row>
    <row r="6068">
      <c r="A6068" t="str">
        <f>IFERROR(__xludf.DUMMYFUNCTION("""COMPUTED_VALUE"""),"M-358")</f>
        <v>M-358</v>
      </c>
      <c r="C6068" t="str">
        <f>IFERROR(__xludf.DUMMYFUNCTION("""COMPUTED_VALUE"""),"Steinhof")</f>
        <v>Steinhof</v>
      </c>
    </row>
    <row r="6069">
      <c r="A6069" t="str">
        <f>IFERROR(__xludf.DUMMYFUNCTION("""COMPUTED_VALUE"""),"N-022")</f>
        <v>N-022</v>
      </c>
      <c r="C6069" t="str">
        <f>IFERROR(__xludf.DUMMYFUNCTION("""COMPUTED_VALUE"""),"Steinhof")</f>
        <v>Steinhof</v>
      </c>
    </row>
    <row r="6070">
      <c r="A6070" t="str">
        <f>IFERROR(__xludf.DUMMYFUNCTION("""COMPUTED_VALUE"""),"N-023")</f>
        <v>N-023</v>
      </c>
      <c r="C6070" t="str">
        <f>IFERROR(__xludf.DUMMYFUNCTION("""COMPUTED_VALUE"""),"Steinhof")</f>
        <v>Steinhof</v>
      </c>
    </row>
    <row r="6071">
      <c r="A6071" t="str">
        <f>IFERROR(__xludf.DUMMYFUNCTION("""COMPUTED_VALUE"""),"N-091")</f>
        <v>N-091</v>
      </c>
      <c r="C6071" t="str">
        <f>IFERROR(__xludf.DUMMYFUNCTION("""COMPUTED_VALUE"""),"Steinhof")</f>
        <v>Steinhof</v>
      </c>
    </row>
    <row r="6072">
      <c r="A6072" t="str">
        <f>IFERROR(__xludf.DUMMYFUNCTION("""COMPUTED_VALUE"""),"N-091")</f>
        <v>N-091</v>
      </c>
      <c r="C6072" t="str">
        <f>IFERROR(__xludf.DUMMYFUNCTION("""COMPUTED_VALUE"""),"Steinhof")</f>
        <v>Steinhof</v>
      </c>
    </row>
    <row r="6073">
      <c r="A6073" t="str">
        <f>IFERROR(__xludf.DUMMYFUNCTION("""COMPUTED_VALUE"""),"N-100")</f>
        <v>N-100</v>
      </c>
      <c r="C6073" t="str">
        <f>IFERROR(__xludf.DUMMYFUNCTION("""COMPUTED_VALUE"""),"Steinhof")</f>
        <v>Steinhof</v>
      </c>
    </row>
    <row r="6074">
      <c r="A6074" t="str">
        <f>IFERROR(__xludf.DUMMYFUNCTION("""COMPUTED_VALUE"""),"N-102")</f>
        <v>N-102</v>
      </c>
      <c r="C6074" t="str">
        <f>IFERROR(__xludf.DUMMYFUNCTION("""COMPUTED_VALUE"""),"Steinhof")</f>
        <v>Steinhof</v>
      </c>
    </row>
    <row r="6075">
      <c r="A6075" t="str">
        <f>IFERROR(__xludf.DUMMYFUNCTION("""COMPUTED_VALUE"""),"N-109")</f>
        <v>N-109</v>
      </c>
      <c r="C6075" t="str">
        <f>IFERROR(__xludf.DUMMYFUNCTION("""COMPUTED_VALUE"""),"Steinhof")</f>
        <v>Steinhof</v>
      </c>
    </row>
    <row r="6076">
      <c r="A6076" t="str">
        <f>IFERROR(__xludf.DUMMYFUNCTION("""COMPUTED_VALUE"""),"N-110")</f>
        <v>N-110</v>
      </c>
      <c r="C6076" t="str">
        <f>IFERROR(__xludf.DUMMYFUNCTION("""COMPUTED_VALUE"""),"Steinhof")</f>
        <v>Steinhof</v>
      </c>
    </row>
    <row r="6077">
      <c r="A6077" t="str">
        <f>IFERROR(__xludf.DUMMYFUNCTION("""COMPUTED_VALUE"""),"N-111")</f>
        <v>N-111</v>
      </c>
      <c r="C6077" t="str">
        <f>IFERROR(__xludf.DUMMYFUNCTION("""COMPUTED_VALUE"""),"Steinhof")</f>
        <v>Steinhof</v>
      </c>
    </row>
    <row r="6078">
      <c r="A6078" t="str">
        <f>IFERROR(__xludf.DUMMYFUNCTION("""COMPUTED_VALUE"""),"N-111")</f>
        <v>N-111</v>
      </c>
      <c r="C6078" t="str">
        <f>IFERROR(__xludf.DUMMYFUNCTION("""COMPUTED_VALUE"""),"Steinhof")</f>
        <v>Steinhof</v>
      </c>
    </row>
    <row r="6079">
      <c r="A6079" t="str">
        <f>IFERROR(__xludf.DUMMYFUNCTION("""COMPUTED_VALUE"""),"N-112")</f>
        <v>N-112</v>
      </c>
      <c r="C6079" t="str">
        <f>IFERROR(__xludf.DUMMYFUNCTION("""COMPUTED_VALUE"""),"Steinhof")</f>
        <v>Steinhof</v>
      </c>
    </row>
    <row r="6080">
      <c r="A6080" t="str">
        <f>IFERROR(__xludf.DUMMYFUNCTION("""COMPUTED_VALUE"""),"N-112")</f>
        <v>N-112</v>
      </c>
      <c r="C6080" t="str">
        <f>IFERROR(__xludf.DUMMYFUNCTION("""COMPUTED_VALUE"""),"Steinhof")</f>
        <v>Steinhof</v>
      </c>
    </row>
    <row r="6081">
      <c r="A6081" t="str">
        <f>IFERROR(__xludf.DUMMYFUNCTION("""COMPUTED_VALUE"""),"O-158")</f>
        <v>O-158</v>
      </c>
      <c r="C6081" t="str">
        <f>IFERROR(__xludf.DUMMYFUNCTION("""COMPUTED_VALUE"""),"Steinhof")</f>
        <v>Steinhof</v>
      </c>
    </row>
    <row r="6082">
      <c r="A6082" t="str">
        <f>IFERROR(__xludf.DUMMYFUNCTION("""COMPUTED_VALUE"""),"O-163")</f>
        <v>O-163</v>
      </c>
      <c r="C6082" t="str">
        <f>IFERROR(__xludf.DUMMYFUNCTION("""COMPUTED_VALUE"""),"Steinhof")</f>
        <v>Steinhof</v>
      </c>
    </row>
    <row r="6083">
      <c r="A6083" t="str">
        <f>IFERROR(__xludf.DUMMYFUNCTION("""COMPUTED_VALUE"""),"O-163")</f>
        <v>O-163</v>
      </c>
      <c r="C6083" t="str">
        <f>IFERROR(__xludf.DUMMYFUNCTION("""COMPUTED_VALUE"""),"Steinhof")</f>
        <v>Steinhof</v>
      </c>
    </row>
    <row r="6084">
      <c r="A6084" t="str">
        <f>IFERROR(__xludf.DUMMYFUNCTION("""COMPUTED_VALUE"""),"O-164")</f>
        <v>O-164</v>
      </c>
      <c r="C6084" t="str">
        <f>IFERROR(__xludf.DUMMYFUNCTION("""COMPUTED_VALUE"""),"Steinhof")</f>
        <v>Steinhof</v>
      </c>
    </row>
    <row r="6085">
      <c r="A6085" t="str">
        <f>IFERROR(__xludf.DUMMYFUNCTION("""COMPUTED_VALUE"""),"O-164")</f>
        <v>O-164</v>
      </c>
      <c r="C6085" t="str">
        <f>IFERROR(__xludf.DUMMYFUNCTION("""COMPUTED_VALUE"""),"Steinhof")</f>
        <v>Steinhof</v>
      </c>
    </row>
    <row r="6086">
      <c r="A6086" t="str">
        <f>IFERROR(__xludf.DUMMYFUNCTION("""COMPUTED_VALUE"""),"P-015")</f>
        <v>P-015</v>
      </c>
      <c r="C6086" t="str">
        <f>IFERROR(__xludf.DUMMYFUNCTION("""COMPUTED_VALUE"""),"Steinhof")</f>
        <v>Steinhof</v>
      </c>
    </row>
    <row r="6087">
      <c r="A6087" t="str">
        <f>IFERROR(__xludf.DUMMYFUNCTION("""COMPUTED_VALUE"""),"P-016")</f>
        <v>P-016</v>
      </c>
      <c r="C6087" t="str">
        <f>IFERROR(__xludf.DUMMYFUNCTION("""COMPUTED_VALUE"""),"Steinhof")</f>
        <v>Steinhof</v>
      </c>
    </row>
    <row r="6088">
      <c r="A6088" t="str">
        <f>IFERROR(__xludf.DUMMYFUNCTION("""COMPUTED_VALUE"""),"P-064")</f>
        <v>P-064</v>
      </c>
      <c r="C6088" t="str">
        <f>IFERROR(__xludf.DUMMYFUNCTION("""COMPUTED_VALUE"""),"Steinhof")</f>
        <v>Steinhof</v>
      </c>
    </row>
    <row r="6089">
      <c r="A6089" t="str">
        <f>IFERROR(__xludf.DUMMYFUNCTION("""COMPUTED_VALUE"""),"P-064")</f>
        <v>P-064</v>
      </c>
      <c r="C6089" t="str">
        <f>IFERROR(__xludf.DUMMYFUNCTION("""COMPUTED_VALUE"""),"Steinhof")</f>
        <v>Steinhof</v>
      </c>
    </row>
    <row r="6090">
      <c r="A6090" t="str">
        <f>IFERROR(__xludf.DUMMYFUNCTION("""COMPUTED_VALUE"""),"P-065")</f>
        <v>P-065</v>
      </c>
      <c r="C6090" t="str">
        <f>IFERROR(__xludf.DUMMYFUNCTION("""COMPUTED_VALUE"""),"Steinhof")</f>
        <v>Steinhof</v>
      </c>
    </row>
    <row r="6091">
      <c r="A6091" t="str">
        <f>IFERROR(__xludf.DUMMYFUNCTION("""COMPUTED_VALUE"""),"P-065")</f>
        <v>P-065</v>
      </c>
      <c r="C6091" t="str">
        <f>IFERROR(__xludf.DUMMYFUNCTION("""COMPUTED_VALUE"""),"Steinhof")</f>
        <v>Steinhof</v>
      </c>
    </row>
    <row r="6092">
      <c r="A6092" t="str">
        <f>IFERROR(__xludf.DUMMYFUNCTION("""COMPUTED_VALUE"""),"P-066")</f>
        <v>P-066</v>
      </c>
      <c r="C6092" t="str">
        <f>IFERROR(__xludf.DUMMYFUNCTION("""COMPUTED_VALUE"""),"Steinhof")</f>
        <v>Steinhof</v>
      </c>
    </row>
    <row r="6093">
      <c r="A6093" t="str">
        <f>IFERROR(__xludf.DUMMYFUNCTION("""COMPUTED_VALUE"""),"P-067")</f>
        <v>P-067</v>
      </c>
      <c r="C6093" t="str">
        <f>IFERROR(__xludf.DUMMYFUNCTION("""COMPUTED_VALUE"""),"Steinhof")</f>
        <v>Steinhof</v>
      </c>
    </row>
    <row r="6094">
      <c r="A6094" t="str">
        <f>IFERROR(__xludf.DUMMYFUNCTION("""COMPUTED_VALUE"""),"P-068")</f>
        <v>P-068</v>
      </c>
      <c r="C6094" t="str">
        <f>IFERROR(__xludf.DUMMYFUNCTION("""COMPUTED_VALUE"""),"Steinhof")</f>
        <v>Steinhof</v>
      </c>
    </row>
    <row r="6095">
      <c r="A6095" t="str">
        <f>IFERROR(__xludf.DUMMYFUNCTION("""COMPUTED_VALUE"""),"P-068")</f>
        <v>P-068</v>
      </c>
      <c r="C6095" t="str">
        <f>IFERROR(__xludf.DUMMYFUNCTION("""COMPUTED_VALUE"""),"Steinhof")</f>
        <v>Steinhof</v>
      </c>
    </row>
    <row r="6096">
      <c r="A6096" t="str">
        <f>IFERROR(__xludf.DUMMYFUNCTION("""COMPUTED_VALUE"""),"P-069")</f>
        <v>P-069</v>
      </c>
      <c r="C6096" t="str">
        <f>IFERROR(__xludf.DUMMYFUNCTION("""COMPUTED_VALUE"""),"Steinhof")</f>
        <v>Steinhof</v>
      </c>
    </row>
    <row r="6097">
      <c r="A6097" t="str">
        <f>IFERROR(__xludf.DUMMYFUNCTION("""COMPUTED_VALUE"""),"P-069")</f>
        <v>P-069</v>
      </c>
      <c r="C6097" t="str">
        <f>IFERROR(__xludf.DUMMYFUNCTION("""COMPUTED_VALUE"""),"Steinhof")</f>
        <v>Steinhof</v>
      </c>
    </row>
    <row r="6098">
      <c r="A6098" t="str">
        <f>IFERROR(__xludf.DUMMYFUNCTION("""COMPUTED_VALUE"""),"P-070")</f>
        <v>P-070</v>
      </c>
      <c r="C6098" t="str">
        <f>IFERROR(__xludf.DUMMYFUNCTION("""COMPUTED_VALUE"""),"Steinhof")</f>
        <v>Steinhof</v>
      </c>
    </row>
    <row r="6099">
      <c r="A6099" t="str">
        <f>IFERROR(__xludf.DUMMYFUNCTION("""COMPUTED_VALUE"""),"P-071")</f>
        <v>P-071</v>
      </c>
      <c r="C6099" t="str">
        <f>IFERROR(__xludf.DUMMYFUNCTION("""COMPUTED_VALUE"""),"Steinhof")</f>
        <v>Steinhof</v>
      </c>
    </row>
    <row r="6100">
      <c r="A6100" t="str">
        <f>IFERROR(__xludf.DUMMYFUNCTION("""COMPUTED_VALUE"""),"P-200")</f>
        <v>P-200</v>
      </c>
      <c r="C6100" t="str">
        <f>IFERROR(__xludf.DUMMYFUNCTION("""COMPUTED_VALUE"""),"Steinhof")</f>
        <v>Steinhof</v>
      </c>
    </row>
    <row r="6101">
      <c r="A6101" t="str">
        <f>IFERROR(__xludf.DUMMYFUNCTION("""COMPUTED_VALUE"""),"P-201")</f>
        <v>P-201</v>
      </c>
      <c r="C6101" t="str">
        <f>IFERROR(__xludf.DUMMYFUNCTION("""COMPUTED_VALUE"""),"Steinhof")</f>
        <v>Steinhof</v>
      </c>
    </row>
    <row r="6102">
      <c r="A6102" t="str">
        <f>IFERROR(__xludf.DUMMYFUNCTION("""COMPUTED_VALUE"""),"P-202")</f>
        <v>P-202</v>
      </c>
      <c r="C6102" t="str">
        <f>IFERROR(__xludf.DUMMYFUNCTION("""COMPUTED_VALUE"""),"Steinhof")</f>
        <v>Steinhof</v>
      </c>
    </row>
    <row r="6103">
      <c r="A6103" t="str">
        <f>IFERROR(__xludf.DUMMYFUNCTION("""COMPUTED_VALUE"""),"P-203")</f>
        <v>P-203</v>
      </c>
      <c r="C6103" t="str">
        <f>IFERROR(__xludf.DUMMYFUNCTION("""COMPUTED_VALUE"""),"Steinhof")</f>
        <v>Steinhof</v>
      </c>
    </row>
    <row r="6104">
      <c r="A6104" t="str">
        <f>IFERROR(__xludf.DUMMYFUNCTION("""COMPUTED_VALUE"""),"R-018")</f>
        <v>R-018</v>
      </c>
      <c r="C6104" t="str">
        <f>IFERROR(__xludf.DUMMYFUNCTION("""COMPUTED_VALUE"""),"Steinhof")</f>
        <v>Steinhof</v>
      </c>
    </row>
    <row r="6105">
      <c r="A6105" t="str">
        <f>IFERROR(__xludf.DUMMYFUNCTION("""COMPUTED_VALUE"""),"R-019")</f>
        <v>R-019</v>
      </c>
      <c r="C6105" t="str">
        <f>IFERROR(__xludf.DUMMYFUNCTION("""COMPUTED_VALUE"""),"Steinhof")</f>
        <v>Steinhof</v>
      </c>
    </row>
    <row r="6106">
      <c r="A6106" t="str">
        <f>IFERROR(__xludf.DUMMYFUNCTION("""COMPUTED_VALUE"""),"R-031")</f>
        <v>R-031</v>
      </c>
      <c r="C6106" t="str">
        <f>IFERROR(__xludf.DUMMYFUNCTION("""COMPUTED_VALUE"""),"Steinhof")</f>
        <v>Steinhof</v>
      </c>
    </row>
    <row r="6107">
      <c r="A6107" t="str">
        <f>IFERROR(__xludf.DUMMYFUNCTION("""COMPUTED_VALUE"""),"R-032")</f>
        <v>R-032</v>
      </c>
      <c r="C6107" t="str">
        <f>IFERROR(__xludf.DUMMYFUNCTION("""COMPUTED_VALUE"""),"Steinhof")</f>
        <v>Steinhof</v>
      </c>
    </row>
    <row r="6108">
      <c r="A6108" t="str">
        <f>IFERROR(__xludf.DUMMYFUNCTION("""COMPUTED_VALUE"""),"R-047")</f>
        <v>R-047</v>
      </c>
      <c r="C6108" t="str">
        <f>IFERROR(__xludf.DUMMYFUNCTION("""COMPUTED_VALUE"""),"Steinhof")</f>
        <v>Steinhof</v>
      </c>
    </row>
    <row r="6109">
      <c r="A6109" t="str">
        <f>IFERROR(__xludf.DUMMYFUNCTION("""COMPUTED_VALUE"""),"R-047")</f>
        <v>R-047</v>
      </c>
      <c r="C6109" t="str">
        <f>IFERROR(__xludf.DUMMYFUNCTION("""COMPUTED_VALUE"""),"Steinhof")</f>
        <v>Steinhof</v>
      </c>
    </row>
    <row r="6110">
      <c r="A6110" t="str">
        <f>IFERROR(__xludf.DUMMYFUNCTION("""COMPUTED_VALUE"""),"R-048")</f>
        <v>R-048</v>
      </c>
      <c r="C6110" t="str">
        <f>IFERROR(__xludf.DUMMYFUNCTION("""COMPUTED_VALUE"""),"Steinhof")</f>
        <v>Steinhof</v>
      </c>
    </row>
    <row r="6111">
      <c r="A6111" t="str">
        <f>IFERROR(__xludf.DUMMYFUNCTION("""COMPUTED_VALUE"""),"R-048")</f>
        <v>R-048</v>
      </c>
      <c r="C6111" t="str">
        <f>IFERROR(__xludf.DUMMYFUNCTION("""COMPUTED_VALUE"""),"Steinhof")</f>
        <v>Steinhof</v>
      </c>
    </row>
    <row r="6112">
      <c r="A6112" t="str">
        <f>IFERROR(__xludf.DUMMYFUNCTION("""COMPUTED_VALUE"""),"R-073")</f>
        <v>R-073</v>
      </c>
      <c r="C6112" t="str">
        <f>IFERROR(__xludf.DUMMYFUNCTION("""COMPUTED_VALUE"""),"Steinhof")</f>
        <v>Steinhof</v>
      </c>
    </row>
    <row r="6113">
      <c r="A6113" t="str">
        <f>IFERROR(__xludf.DUMMYFUNCTION("""COMPUTED_VALUE"""),"R-073")</f>
        <v>R-073</v>
      </c>
      <c r="C6113" t="str">
        <f>IFERROR(__xludf.DUMMYFUNCTION("""COMPUTED_VALUE"""),"Steinhof")</f>
        <v>Steinhof</v>
      </c>
    </row>
    <row r="6114">
      <c r="A6114" t="str">
        <f>IFERROR(__xludf.DUMMYFUNCTION("""COMPUTED_VALUE"""),"R-074")</f>
        <v>R-074</v>
      </c>
      <c r="C6114" t="str">
        <f>IFERROR(__xludf.DUMMYFUNCTION("""COMPUTED_VALUE"""),"Steinhof")</f>
        <v>Steinhof</v>
      </c>
    </row>
    <row r="6115">
      <c r="A6115" t="str">
        <f>IFERROR(__xludf.DUMMYFUNCTION("""COMPUTED_VALUE"""),"R-074")</f>
        <v>R-074</v>
      </c>
      <c r="C6115" t="str">
        <f>IFERROR(__xludf.DUMMYFUNCTION("""COMPUTED_VALUE"""),"Steinhof")</f>
        <v>Steinhof</v>
      </c>
    </row>
    <row r="6116">
      <c r="A6116" t="str">
        <f>IFERROR(__xludf.DUMMYFUNCTION("""COMPUTED_VALUE"""),"R-132")</f>
        <v>R-132</v>
      </c>
      <c r="C6116" t="str">
        <f>IFERROR(__xludf.DUMMYFUNCTION("""COMPUTED_VALUE"""),"Steinhof")</f>
        <v>Steinhof</v>
      </c>
    </row>
    <row r="6117">
      <c r="A6117" t="str">
        <f>IFERROR(__xludf.DUMMYFUNCTION("""COMPUTED_VALUE"""),"R-133")</f>
        <v>R-133</v>
      </c>
      <c r="C6117" t="str">
        <f>IFERROR(__xludf.DUMMYFUNCTION("""COMPUTED_VALUE"""),"Steinhof")</f>
        <v>Steinhof</v>
      </c>
    </row>
    <row r="6118">
      <c r="A6118" t="str">
        <f>IFERROR(__xludf.DUMMYFUNCTION("""COMPUTED_VALUE"""),"R-134")</f>
        <v>R-134</v>
      </c>
      <c r="C6118" t="str">
        <f>IFERROR(__xludf.DUMMYFUNCTION("""COMPUTED_VALUE"""),"Steinhof")</f>
        <v>Steinhof</v>
      </c>
    </row>
    <row r="6119">
      <c r="A6119" t="str">
        <f>IFERROR(__xludf.DUMMYFUNCTION("""COMPUTED_VALUE"""),"S-108")</f>
        <v>S-108</v>
      </c>
      <c r="C6119" t="str">
        <f>IFERROR(__xludf.DUMMYFUNCTION("""COMPUTED_VALUE"""),"Steinhof")</f>
        <v>Steinhof</v>
      </c>
    </row>
    <row r="6120">
      <c r="A6120" t="str">
        <f>IFERROR(__xludf.DUMMYFUNCTION("""COMPUTED_VALUE"""),"S-109")</f>
        <v>S-109</v>
      </c>
      <c r="C6120" t="str">
        <f>IFERROR(__xludf.DUMMYFUNCTION("""COMPUTED_VALUE"""),"Steinhof")</f>
        <v>Steinhof</v>
      </c>
    </row>
    <row r="6121">
      <c r="A6121" t="str">
        <f>IFERROR(__xludf.DUMMYFUNCTION("""COMPUTED_VALUE"""),"S-116")</f>
        <v>S-116</v>
      </c>
      <c r="C6121" t="str">
        <f>IFERROR(__xludf.DUMMYFUNCTION("""COMPUTED_VALUE"""),"Steinhof")</f>
        <v>Steinhof</v>
      </c>
    </row>
    <row r="6122">
      <c r="A6122" t="str">
        <f>IFERROR(__xludf.DUMMYFUNCTION("""COMPUTED_VALUE"""),"S-116")</f>
        <v>S-116</v>
      </c>
      <c r="C6122" t="str">
        <f>IFERROR(__xludf.DUMMYFUNCTION("""COMPUTED_VALUE"""),"Steinhof")</f>
        <v>Steinhof</v>
      </c>
    </row>
    <row r="6123">
      <c r="A6123" t="str">
        <f>IFERROR(__xludf.DUMMYFUNCTION("""COMPUTED_VALUE"""),"S-117")</f>
        <v>S-117</v>
      </c>
      <c r="C6123" t="str">
        <f>IFERROR(__xludf.DUMMYFUNCTION("""COMPUTED_VALUE"""),"Steinhof")</f>
        <v>Steinhof</v>
      </c>
    </row>
    <row r="6124">
      <c r="A6124" t="str">
        <f>IFERROR(__xludf.DUMMYFUNCTION("""COMPUTED_VALUE"""),"S-117")</f>
        <v>S-117</v>
      </c>
      <c r="C6124" t="str">
        <f>IFERROR(__xludf.DUMMYFUNCTION("""COMPUTED_VALUE"""),"Steinhof")</f>
        <v>Steinhof</v>
      </c>
    </row>
    <row r="6125">
      <c r="A6125" t="str">
        <f>IFERROR(__xludf.DUMMYFUNCTION("""COMPUTED_VALUE"""),"S-295")</f>
        <v>S-295</v>
      </c>
      <c r="C6125" t="str">
        <f>IFERROR(__xludf.DUMMYFUNCTION("""COMPUTED_VALUE"""),"Steinhof")</f>
        <v>Steinhof</v>
      </c>
    </row>
    <row r="6126">
      <c r="A6126" t="str">
        <f>IFERROR(__xludf.DUMMYFUNCTION("""COMPUTED_VALUE"""),"S-296")</f>
        <v>S-296</v>
      </c>
      <c r="C6126" t="str">
        <f>IFERROR(__xludf.DUMMYFUNCTION("""COMPUTED_VALUE"""),"Steinhof")</f>
        <v>Steinhof</v>
      </c>
    </row>
    <row r="6127">
      <c r="A6127" t="str">
        <f>IFERROR(__xludf.DUMMYFUNCTION("""COMPUTED_VALUE"""),"S-297")</f>
        <v>S-297</v>
      </c>
      <c r="C6127" t="str">
        <f>IFERROR(__xludf.DUMMYFUNCTION("""COMPUTED_VALUE"""),"Steinhof")</f>
        <v>Steinhof</v>
      </c>
    </row>
    <row r="6128">
      <c r="A6128" t="str">
        <f>IFERROR(__xludf.DUMMYFUNCTION("""COMPUTED_VALUE"""),"S-298")</f>
        <v>S-298</v>
      </c>
      <c r="C6128" t="str">
        <f>IFERROR(__xludf.DUMMYFUNCTION("""COMPUTED_VALUE"""),"Steinhof")</f>
        <v>Steinhof</v>
      </c>
    </row>
    <row r="6129">
      <c r="A6129" t="str">
        <f>IFERROR(__xludf.DUMMYFUNCTION("""COMPUTED_VALUE"""),"S-299")</f>
        <v>S-299</v>
      </c>
      <c r="C6129" t="str">
        <f>IFERROR(__xludf.DUMMYFUNCTION("""COMPUTED_VALUE"""),"Steinhof")</f>
        <v>Steinhof</v>
      </c>
    </row>
    <row r="6130">
      <c r="A6130" t="str">
        <f>IFERROR(__xludf.DUMMYFUNCTION("""COMPUTED_VALUE"""),"S-300")</f>
        <v>S-300</v>
      </c>
      <c r="C6130" t="str">
        <f>IFERROR(__xludf.DUMMYFUNCTION("""COMPUTED_VALUE"""),"Steinhof")</f>
        <v>Steinhof</v>
      </c>
    </row>
    <row r="6131">
      <c r="A6131" t="str">
        <f>IFERROR(__xludf.DUMMYFUNCTION("""COMPUTED_VALUE"""),"S-301")</f>
        <v>S-301</v>
      </c>
      <c r="C6131" t="str">
        <f>IFERROR(__xludf.DUMMYFUNCTION("""COMPUTED_VALUE"""),"Steinhof")</f>
        <v>Steinhof</v>
      </c>
    </row>
    <row r="6132">
      <c r="A6132" t="str">
        <f>IFERROR(__xludf.DUMMYFUNCTION("""COMPUTED_VALUE"""),"S-302")</f>
        <v>S-302</v>
      </c>
      <c r="C6132" t="str">
        <f>IFERROR(__xludf.DUMMYFUNCTION("""COMPUTED_VALUE"""),"Steinhof")</f>
        <v>Steinhof</v>
      </c>
    </row>
    <row r="6133">
      <c r="A6133" t="str">
        <f>IFERROR(__xludf.DUMMYFUNCTION("""COMPUTED_VALUE"""),"S-350")</f>
        <v>S-350</v>
      </c>
      <c r="C6133" t="str">
        <f>IFERROR(__xludf.DUMMYFUNCTION("""COMPUTED_VALUE"""),"Steinhof")</f>
        <v>Steinhof</v>
      </c>
    </row>
    <row r="6134">
      <c r="A6134" t="str">
        <f>IFERROR(__xludf.DUMMYFUNCTION("""COMPUTED_VALUE"""),"S-350")</f>
        <v>S-350</v>
      </c>
      <c r="C6134" t="str">
        <f>IFERROR(__xludf.DUMMYFUNCTION("""COMPUTED_VALUE"""),"Steinhof")</f>
        <v>Steinhof</v>
      </c>
    </row>
    <row r="6135">
      <c r="A6135" t="str">
        <f>IFERROR(__xludf.DUMMYFUNCTION("""COMPUTED_VALUE"""),"S-351")</f>
        <v>S-351</v>
      </c>
      <c r="C6135" t="str">
        <f>IFERROR(__xludf.DUMMYFUNCTION("""COMPUTED_VALUE"""),"Steinhof")</f>
        <v>Steinhof</v>
      </c>
    </row>
    <row r="6136">
      <c r="A6136" t="str">
        <f>IFERROR(__xludf.DUMMYFUNCTION("""COMPUTED_VALUE"""),"S-351")</f>
        <v>S-351</v>
      </c>
      <c r="C6136" t="str">
        <f>IFERROR(__xludf.DUMMYFUNCTION("""COMPUTED_VALUE"""),"Steinhof")</f>
        <v>Steinhof</v>
      </c>
    </row>
    <row r="6137">
      <c r="A6137" t="str">
        <f>IFERROR(__xludf.DUMMYFUNCTION("""COMPUTED_VALUE"""),"S-389")</f>
        <v>S-389</v>
      </c>
      <c r="C6137" t="str">
        <f>IFERROR(__xludf.DUMMYFUNCTION("""COMPUTED_VALUE"""),"Steinhof")</f>
        <v>Steinhof</v>
      </c>
    </row>
    <row r="6138">
      <c r="A6138" t="str">
        <f>IFERROR(__xludf.DUMMYFUNCTION("""COMPUTED_VALUE"""),"S-390")</f>
        <v>S-390</v>
      </c>
      <c r="C6138" t="str">
        <f>IFERROR(__xludf.DUMMYFUNCTION("""COMPUTED_VALUE"""),"Steinhof")</f>
        <v>Steinhof</v>
      </c>
    </row>
    <row r="6139">
      <c r="A6139" t="str">
        <f>IFERROR(__xludf.DUMMYFUNCTION("""COMPUTED_VALUE"""),"S-406")</f>
        <v>S-406</v>
      </c>
      <c r="C6139" t="str">
        <f>IFERROR(__xludf.DUMMYFUNCTION("""COMPUTED_VALUE"""),"Steinhof")</f>
        <v>Steinhof</v>
      </c>
    </row>
    <row r="6140">
      <c r="A6140" t="str">
        <f>IFERROR(__xludf.DUMMYFUNCTION("""COMPUTED_VALUE"""),"S-426")</f>
        <v>S-426</v>
      </c>
      <c r="C6140" t="str">
        <f>IFERROR(__xludf.DUMMYFUNCTION("""COMPUTED_VALUE"""),"Steinhof")</f>
        <v>Steinhof</v>
      </c>
    </row>
    <row r="6141">
      <c r="A6141" t="str">
        <f>IFERROR(__xludf.DUMMYFUNCTION("""COMPUTED_VALUE"""),"S-427")</f>
        <v>S-427</v>
      </c>
      <c r="C6141" t="str">
        <f>IFERROR(__xludf.DUMMYFUNCTION("""COMPUTED_VALUE"""),"Steinhof")</f>
        <v>Steinhof</v>
      </c>
    </row>
    <row r="6142">
      <c r="A6142" t="str">
        <f>IFERROR(__xludf.DUMMYFUNCTION("""COMPUTED_VALUE"""),"S-428")</f>
        <v>S-428</v>
      </c>
      <c r="C6142" t="str">
        <f>IFERROR(__xludf.DUMMYFUNCTION("""COMPUTED_VALUE"""),"Steinhof")</f>
        <v>Steinhof</v>
      </c>
    </row>
    <row r="6143">
      <c r="A6143" t="str">
        <f>IFERROR(__xludf.DUMMYFUNCTION("""COMPUTED_VALUE"""),"S-429")</f>
        <v>S-429</v>
      </c>
      <c r="C6143" t="str">
        <f>IFERROR(__xludf.DUMMYFUNCTION("""COMPUTED_VALUE"""),"Steinhof")</f>
        <v>Steinhof</v>
      </c>
    </row>
    <row r="6144">
      <c r="A6144" t="str">
        <f>IFERROR(__xludf.DUMMYFUNCTION("""COMPUTED_VALUE"""),"S-480")</f>
        <v>S-480</v>
      </c>
      <c r="C6144" t="str">
        <f>IFERROR(__xludf.DUMMYFUNCTION("""COMPUTED_VALUE"""),"Steinhof")</f>
        <v>Steinhof</v>
      </c>
    </row>
    <row r="6145">
      <c r="A6145" t="str">
        <f>IFERROR(__xludf.DUMMYFUNCTION("""COMPUTED_VALUE"""),"S-481")</f>
        <v>S-481</v>
      </c>
      <c r="C6145" t="str">
        <f>IFERROR(__xludf.DUMMYFUNCTION("""COMPUTED_VALUE"""),"Steinhof")</f>
        <v>Steinhof</v>
      </c>
    </row>
    <row r="6146">
      <c r="A6146" t="str">
        <f>IFERROR(__xludf.DUMMYFUNCTION("""COMPUTED_VALUE"""),"S-482")</f>
        <v>S-482</v>
      </c>
      <c r="C6146" t="str">
        <f>IFERROR(__xludf.DUMMYFUNCTION("""COMPUTED_VALUE"""),"Steinhof")</f>
        <v>Steinhof</v>
      </c>
    </row>
    <row r="6147">
      <c r="A6147" t="str">
        <f>IFERROR(__xludf.DUMMYFUNCTION("""COMPUTED_VALUE"""),"S-483")</f>
        <v>S-483</v>
      </c>
      <c r="C6147" t="str">
        <f>IFERROR(__xludf.DUMMYFUNCTION("""COMPUTED_VALUE"""),"Steinhof")</f>
        <v>Steinhof</v>
      </c>
    </row>
    <row r="6148">
      <c r="A6148" t="str">
        <f>IFERROR(__xludf.DUMMYFUNCTION("""COMPUTED_VALUE"""),"S-484")</f>
        <v>S-484</v>
      </c>
      <c r="C6148" t="str">
        <f>IFERROR(__xludf.DUMMYFUNCTION("""COMPUTED_VALUE"""),"Steinhof")</f>
        <v>Steinhof</v>
      </c>
    </row>
    <row r="6149">
      <c r="A6149" t="str">
        <f>IFERROR(__xludf.DUMMYFUNCTION("""COMPUTED_VALUE"""),"SMB-01")</f>
        <v>SMB-01</v>
      </c>
      <c r="C6149" t="str">
        <f>IFERROR(__xludf.DUMMYFUNCTION("""COMPUTED_VALUE"""),"Steinhof")</f>
        <v>Steinhof</v>
      </c>
    </row>
    <row r="6150">
      <c r="A6150" t="str">
        <f>IFERROR(__xludf.DUMMYFUNCTION("""COMPUTED_VALUE"""),"SMB-02")</f>
        <v>SMB-02</v>
      </c>
      <c r="C6150" t="str">
        <f>IFERROR(__xludf.DUMMYFUNCTION("""COMPUTED_VALUE"""),"Steinhof")</f>
        <v>Steinhof</v>
      </c>
    </row>
    <row r="6151">
      <c r="A6151" t="str">
        <f>IFERROR(__xludf.DUMMYFUNCTION("""COMPUTED_VALUE"""),"SMB-04")</f>
        <v>SMB-04</v>
      </c>
      <c r="C6151" t="str">
        <f>IFERROR(__xludf.DUMMYFUNCTION("""COMPUTED_VALUE"""),"Steinhof")</f>
        <v>Steinhof</v>
      </c>
    </row>
    <row r="6152">
      <c r="A6152" t="str">
        <f>IFERROR(__xludf.DUMMYFUNCTION("""COMPUTED_VALUE"""),"SMB-05")</f>
        <v>SMB-05</v>
      </c>
      <c r="C6152" t="str">
        <f>IFERROR(__xludf.DUMMYFUNCTION("""COMPUTED_VALUE"""),"Steinhof")</f>
        <v>Steinhof</v>
      </c>
    </row>
    <row r="6153">
      <c r="A6153" t="str">
        <f>IFERROR(__xludf.DUMMYFUNCTION("""COMPUTED_VALUE"""),"SMB-06")</f>
        <v>SMB-06</v>
      </c>
      <c r="C6153" t="str">
        <f>IFERROR(__xludf.DUMMYFUNCTION("""COMPUTED_VALUE"""),"Steinhof")</f>
        <v>Steinhof</v>
      </c>
    </row>
    <row r="6154">
      <c r="A6154" t="str">
        <f>IFERROR(__xludf.DUMMYFUNCTION("""COMPUTED_VALUE"""),"SMB-09")</f>
        <v>SMB-09</v>
      </c>
      <c r="C6154" t="str">
        <f>IFERROR(__xludf.DUMMYFUNCTION("""COMPUTED_VALUE"""),"Steinhof")</f>
        <v>Steinhof</v>
      </c>
    </row>
    <row r="6155">
      <c r="A6155" t="str">
        <f>IFERROR(__xludf.DUMMYFUNCTION("""COMPUTED_VALUE"""),"SMB-10")</f>
        <v>SMB-10</v>
      </c>
      <c r="C6155" t="str">
        <f>IFERROR(__xludf.DUMMYFUNCTION("""COMPUTED_VALUE"""),"Steinhof")</f>
        <v>Steinhof</v>
      </c>
    </row>
    <row r="6156">
      <c r="A6156" t="str">
        <f>IFERROR(__xludf.DUMMYFUNCTION("""COMPUTED_VALUE"""),"SMB-11")</f>
        <v>SMB-11</v>
      </c>
      <c r="C6156" t="str">
        <f>IFERROR(__xludf.DUMMYFUNCTION("""COMPUTED_VALUE"""),"Steinhof")</f>
        <v>Steinhof</v>
      </c>
    </row>
    <row r="6157">
      <c r="A6157" t="str">
        <f>IFERROR(__xludf.DUMMYFUNCTION("""COMPUTED_VALUE"""),"SMB-13")</f>
        <v>SMB-13</v>
      </c>
      <c r="C6157" t="str">
        <f>IFERROR(__xludf.DUMMYFUNCTION("""COMPUTED_VALUE"""),"Steinhof")</f>
        <v>Steinhof</v>
      </c>
    </row>
    <row r="6158">
      <c r="A6158" t="str">
        <f>IFERROR(__xludf.DUMMYFUNCTION("""COMPUTED_VALUE"""),"SMB-14")</f>
        <v>SMB-14</v>
      </c>
      <c r="C6158" t="str">
        <f>IFERROR(__xludf.DUMMYFUNCTION("""COMPUTED_VALUE"""),"Steinhof")</f>
        <v>Steinhof</v>
      </c>
    </row>
    <row r="6159">
      <c r="A6159" t="str">
        <f>IFERROR(__xludf.DUMMYFUNCTION("""COMPUTED_VALUE"""),"SMB-15")</f>
        <v>SMB-15</v>
      </c>
      <c r="C6159" t="str">
        <f>IFERROR(__xludf.DUMMYFUNCTION("""COMPUTED_VALUE"""),"Steinhof")</f>
        <v>Steinhof</v>
      </c>
    </row>
    <row r="6160">
      <c r="A6160" t="str">
        <f>IFERROR(__xludf.DUMMYFUNCTION("""COMPUTED_VALUE"""),"SMB-AKCESORIA")</f>
        <v>SMB-AKCESORIA</v>
      </c>
      <c r="C6160" t="str">
        <f>IFERROR(__xludf.DUMMYFUNCTION("""COMPUTED_VALUE"""),"Steinhof")</f>
        <v>Steinhof</v>
      </c>
    </row>
    <row r="6161">
      <c r="A6161" t="str">
        <f>IFERROR(__xludf.DUMMYFUNCTION("""COMPUTED_VALUE"""),"SMB-AKCESORIA 10")</f>
        <v>SMB-AKCESORIA 10</v>
      </c>
      <c r="C6161" t="str">
        <f>IFERROR(__xludf.DUMMYFUNCTION("""COMPUTED_VALUE"""),"Steinhof")</f>
        <v>Steinhof</v>
      </c>
    </row>
    <row r="6162">
      <c r="A6162" t="str">
        <f>IFERROR(__xludf.DUMMYFUNCTION("""COMPUTED_VALUE"""),"SMB-AKCESORIA 11")</f>
        <v>SMB-AKCESORIA 11</v>
      </c>
      <c r="C6162" t="str">
        <f>IFERROR(__xludf.DUMMYFUNCTION("""COMPUTED_VALUE"""),"Steinhof")</f>
        <v>Steinhof</v>
      </c>
    </row>
    <row r="6163">
      <c r="A6163" t="str">
        <f>IFERROR(__xludf.DUMMYFUNCTION("""COMPUTED_VALUE"""),"SMB-AKCESORIA 12")</f>
        <v>SMB-AKCESORIA 12</v>
      </c>
      <c r="C6163" t="str">
        <f>IFERROR(__xludf.DUMMYFUNCTION("""COMPUTED_VALUE"""),"Steinhof")</f>
        <v>Steinhof</v>
      </c>
    </row>
    <row r="6164">
      <c r="A6164" t="str">
        <f>IFERROR(__xludf.DUMMYFUNCTION("""COMPUTED_VALUE"""),"SMB-AKCESORIA 13")</f>
        <v>SMB-AKCESORIA 13</v>
      </c>
      <c r="C6164" t="str">
        <f>IFERROR(__xludf.DUMMYFUNCTION("""COMPUTED_VALUE"""),"Steinhof")</f>
        <v>Steinhof</v>
      </c>
    </row>
    <row r="6165">
      <c r="A6165" t="str">
        <f>IFERROR(__xludf.DUMMYFUNCTION("""COMPUTED_VALUE"""),"SMB-AKCESORIA 6")</f>
        <v>SMB-AKCESORIA 6</v>
      </c>
      <c r="C6165" t="str">
        <f>IFERROR(__xludf.DUMMYFUNCTION("""COMPUTED_VALUE"""),"Steinhof")</f>
        <v>Steinhof</v>
      </c>
    </row>
    <row r="6166">
      <c r="A6166" t="str">
        <f>IFERROR(__xludf.DUMMYFUNCTION("""COMPUTED_VALUE"""),"SMB-AKCESORIA 7")</f>
        <v>SMB-AKCESORIA 7</v>
      </c>
      <c r="C6166" t="str">
        <f>IFERROR(__xludf.DUMMYFUNCTION("""COMPUTED_VALUE"""),"Steinhof")</f>
        <v>Steinhof</v>
      </c>
    </row>
    <row r="6167">
      <c r="A6167" t="str">
        <f>IFERROR(__xludf.DUMMYFUNCTION("""COMPUTED_VALUE"""),"SMB-R01")</f>
        <v>SMB-R01</v>
      </c>
      <c r="C6167" t="str">
        <f>IFERROR(__xludf.DUMMYFUNCTION("""COMPUTED_VALUE"""),"Steinhof")</f>
        <v>Steinhof</v>
      </c>
    </row>
    <row r="6168">
      <c r="A6168" t="str">
        <f>IFERROR(__xludf.DUMMYFUNCTION("""COMPUTED_VALUE"""),"SMB-T01")</f>
        <v>SMB-T01</v>
      </c>
      <c r="C6168" t="str">
        <f>IFERROR(__xludf.DUMMYFUNCTION("""COMPUTED_VALUE"""),"Steinhof")</f>
        <v>Steinhof</v>
      </c>
    </row>
    <row r="6169">
      <c r="A6169" t="str">
        <f>IFERROR(__xludf.DUMMYFUNCTION("""COMPUTED_VALUE"""),"SMB-T01K")</f>
        <v>SMB-T01K</v>
      </c>
      <c r="C6169" t="str">
        <f>IFERROR(__xludf.DUMMYFUNCTION("""COMPUTED_VALUE"""),"Steinhof")</f>
        <v>Steinhof</v>
      </c>
    </row>
    <row r="6170">
      <c r="A6170" t="str">
        <f>IFERROR(__xludf.DUMMYFUNCTION("""COMPUTED_VALUE"""),"SMB-T01L")</f>
        <v>SMB-T01L</v>
      </c>
      <c r="C6170" t="str">
        <f>IFERROR(__xludf.DUMMYFUNCTION("""COMPUTED_VALUE"""),"Steinhof")</f>
        <v>Steinhof</v>
      </c>
    </row>
    <row r="6171">
      <c r="A6171" t="str">
        <f>IFERROR(__xludf.DUMMYFUNCTION("""COMPUTED_VALUE"""),"SMB-U01")</f>
        <v>SMB-U01</v>
      </c>
      <c r="C6171" t="str">
        <f>IFERROR(__xludf.DUMMYFUNCTION("""COMPUTED_VALUE"""),"Steinhof")</f>
        <v>Steinhof</v>
      </c>
    </row>
    <row r="6172">
      <c r="A6172" t="str">
        <f>IFERROR(__xludf.DUMMYFUNCTION("""COMPUTED_VALUE"""),"SMB-W01")</f>
        <v>SMB-W01</v>
      </c>
      <c r="C6172" t="str">
        <f>IFERROR(__xludf.DUMMYFUNCTION("""COMPUTED_VALUE"""),"Steinhof")</f>
        <v>Steinhof</v>
      </c>
    </row>
    <row r="6173">
      <c r="A6173" t="str">
        <f>IFERROR(__xludf.DUMMYFUNCTION("""COMPUTED_VALUE"""),"SMP-2E")</f>
        <v>SMP-2E</v>
      </c>
      <c r="C6173" t="str">
        <f>IFERROR(__xludf.DUMMYFUNCTION("""COMPUTED_VALUE"""),"Steinhof")</f>
        <v>Steinhof</v>
      </c>
    </row>
    <row r="6174">
      <c r="A6174" t="str">
        <f>IFERROR(__xludf.DUMMYFUNCTION("""COMPUTED_VALUE"""),"SMP-4PE")</f>
        <v>SMP-4PE</v>
      </c>
      <c r="C6174" t="str">
        <f>IFERROR(__xludf.DUMMYFUNCTION("""COMPUTED_VALUE"""),"Steinhof")</f>
        <v>Steinhof</v>
      </c>
    </row>
    <row r="6175">
      <c r="A6175" t="str">
        <f>IFERROR(__xludf.DUMMYFUNCTION("""COMPUTED_VALUE"""),"ST-01")</f>
        <v>ST-01</v>
      </c>
      <c r="C6175" t="str">
        <f>IFERROR(__xludf.DUMMYFUNCTION("""COMPUTED_VALUE"""),"Steinhof")</f>
        <v>Steinhof</v>
      </c>
    </row>
    <row r="6176">
      <c r="A6176" t="str">
        <f>IFERROR(__xludf.DUMMYFUNCTION("""COMPUTED_VALUE"""),"STH-01")</f>
        <v>STH-01</v>
      </c>
      <c r="C6176" t="str">
        <f>IFERROR(__xludf.DUMMYFUNCTION("""COMPUTED_VALUE"""),"Steinhof")</f>
        <v>Steinhof</v>
      </c>
    </row>
    <row r="6177">
      <c r="A6177" t="str">
        <f>IFERROR(__xludf.DUMMYFUNCTION("""COMPUTED_VALUE"""),"SZ")</f>
        <v>SZ</v>
      </c>
      <c r="C6177" t="str">
        <f>IFERROR(__xludf.DUMMYFUNCTION("""COMPUTED_VALUE"""),"Steinhof")</f>
        <v>Steinhof</v>
      </c>
    </row>
    <row r="6178">
      <c r="A6178" t="str">
        <f>IFERROR(__xludf.DUMMYFUNCTION("""COMPUTED_VALUE"""),"SZ 10")</f>
        <v>SZ 10</v>
      </c>
      <c r="C6178" t="str">
        <f>IFERROR(__xludf.DUMMYFUNCTION("""COMPUTED_VALUE"""),"Steinhof")</f>
        <v>Steinhof</v>
      </c>
    </row>
    <row r="6179">
      <c r="A6179" t="str">
        <f>IFERROR(__xludf.DUMMYFUNCTION("""COMPUTED_VALUE"""),"SZ 50")</f>
        <v>SZ 50</v>
      </c>
      <c r="C6179" t="str">
        <f>IFERROR(__xludf.DUMMYFUNCTION("""COMPUTED_VALUE"""),"Steinhof")</f>
        <v>Steinhof</v>
      </c>
    </row>
    <row r="6180">
      <c r="A6180" t="str">
        <f>IFERROR(__xludf.DUMMYFUNCTION("""COMPUTED_VALUE"""),"T-092")</f>
        <v>T-092</v>
      </c>
      <c r="C6180" t="str">
        <f>IFERROR(__xludf.DUMMYFUNCTION("""COMPUTED_VALUE"""),"Steinhof")</f>
        <v>Steinhof</v>
      </c>
    </row>
    <row r="6181">
      <c r="A6181" t="str">
        <f>IFERROR(__xludf.DUMMYFUNCTION("""COMPUTED_VALUE"""),"T-093")</f>
        <v>T-093</v>
      </c>
      <c r="C6181" t="str">
        <f>IFERROR(__xludf.DUMMYFUNCTION("""COMPUTED_VALUE"""),"Steinhof")</f>
        <v>Steinhof</v>
      </c>
    </row>
    <row r="6182">
      <c r="A6182" t="str">
        <f>IFERROR(__xludf.DUMMYFUNCTION("""COMPUTED_VALUE"""),"T-134")</f>
        <v>T-134</v>
      </c>
      <c r="C6182" t="str">
        <f>IFERROR(__xludf.DUMMYFUNCTION("""COMPUTED_VALUE"""),"Steinhof")</f>
        <v>Steinhof</v>
      </c>
    </row>
    <row r="6183">
      <c r="A6183" t="str">
        <f>IFERROR(__xludf.DUMMYFUNCTION("""COMPUTED_VALUE"""),"T-135")</f>
        <v>T-135</v>
      </c>
      <c r="C6183" t="str">
        <f>IFERROR(__xludf.DUMMYFUNCTION("""COMPUTED_VALUE"""),"Steinhof")</f>
        <v>Steinhof</v>
      </c>
    </row>
    <row r="6184">
      <c r="A6184" t="str">
        <f>IFERROR(__xludf.DUMMYFUNCTION("""COMPUTED_VALUE"""),"T-136")</f>
        <v>T-136</v>
      </c>
      <c r="C6184" t="str">
        <f>IFERROR(__xludf.DUMMYFUNCTION("""COMPUTED_VALUE"""),"Steinhof")</f>
        <v>Steinhof</v>
      </c>
    </row>
    <row r="6185">
      <c r="A6185" t="str">
        <f>IFERROR(__xludf.DUMMYFUNCTION("""COMPUTED_VALUE"""),"T-137")</f>
        <v>T-137</v>
      </c>
      <c r="C6185" t="str">
        <f>IFERROR(__xludf.DUMMYFUNCTION("""COMPUTED_VALUE"""),"Steinhof")</f>
        <v>Steinhof</v>
      </c>
    </row>
    <row r="6186">
      <c r="A6186" t="str">
        <f>IFERROR(__xludf.DUMMYFUNCTION("""COMPUTED_VALUE"""),"T-138")</f>
        <v>T-138</v>
      </c>
      <c r="C6186" t="str">
        <f>IFERROR(__xludf.DUMMYFUNCTION("""COMPUTED_VALUE"""),"Steinhof")</f>
        <v>Steinhof</v>
      </c>
    </row>
    <row r="6187">
      <c r="A6187" t="str">
        <f>IFERROR(__xludf.DUMMYFUNCTION("""COMPUTED_VALUE"""),"T-139")</f>
        <v>T-139</v>
      </c>
      <c r="C6187" t="str">
        <f>IFERROR(__xludf.DUMMYFUNCTION("""COMPUTED_VALUE"""),"Steinhof")</f>
        <v>Steinhof</v>
      </c>
    </row>
    <row r="6188">
      <c r="A6188" t="str">
        <f>IFERROR(__xludf.DUMMYFUNCTION("""COMPUTED_VALUE"""),"T-146")</f>
        <v>T-146</v>
      </c>
      <c r="C6188" t="str">
        <f>IFERROR(__xludf.DUMMYFUNCTION("""COMPUTED_VALUE"""),"Steinhof")</f>
        <v>Steinhof</v>
      </c>
    </row>
    <row r="6189">
      <c r="A6189" t="str">
        <f>IFERROR(__xludf.DUMMYFUNCTION("""COMPUTED_VALUE"""),"T-153")</f>
        <v>T-153</v>
      </c>
      <c r="C6189" t="str">
        <f>IFERROR(__xludf.DUMMYFUNCTION("""COMPUTED_VALUE"""),"Steinhof")</f>
        <v>Steinhof</v>
      </c>
    </row>
    <row r="6190">
      <c r="A6190" t="str">
        <f>IFERROR(__xludf.DUMMYFUNCTION("""COMPUTED_VALUE"""),"T-154")</f>
        <v>T-154</v>
      </c>
      <c r="C6190" t="str">
        <f>IFERROR(__xludf.DUMMYFUNCTION("""COMPUTED_VALUE"""),"Steinhof")</f>
        <v>Steinhof</v>
      </c>
    </row>
    <row r="6191">
      <c r="A6191" t="str">
        <f>IFERROR(__xludf.DUMMYFUNCTION("""COMPUTED_VALUE"""),"T-155")</f>
        <v>T-155</v>
      </c>
      <c r="C6191" t="str">
        <f>IFERROR(__xludf.DUMMYFUNCTION("""COMPUTED_VALUE"""),"Steinhof")</f>
        <v>Steinhof</v>
      </c>
    </row>
    <row r="6192">
      <c r="A6192" t="str">
        <f>IFERROR(__xludf.DUMMYFUNCTION("""COMPUTED_VALUE"""),"T-183")</f>
        <v>T-183</v>
      </c>
      <c r="C6192" t="str">
        <f>IFERROR(__xludf.DUMMYFUNCTION("""COMPUTED_VALUE"""),"Steinhof")</f>
        <v>Steinhof</v>
      </c>
    </row>
    <row r="6193">
      <c r="A6193" t="str">
        <f>IFERROR(__xludf.DUMMYFUNCTION("""COMPUTED_VALUE"""),"T-183")</f>
        <v>T-183</v>
      </c>
      <c r="C6193" t="str">
        <f>IFERROR(__xludf.DUMMYFUNCTION("""COMPUTED_VALUE"""),"Steinhof")</f>
        <v>Steinhof</v>
      </c>
    </row>
    <row r="6194">
      <c r="A6194" t="str">
        <f>IFERROR(__xludf.DUMMYFUNCTION("""COMPUTED_VALUE"""),"T-183")</f>
        <v>T-183</v>
      </c>
      <c r="C6194" t="str">
        <f>IFERROR(__xludf.DUMMYFUNCTION("""COMPUTED_VALUE"""),"Steinhof")</f>
        <v>Steinhof</v>
      </c>
    </row>
    <row r="6195">
      <c r="A6195" t="str">
        <f>IFERROR(__xludf.DUMMYFUNCTION("""COMPUTED_VALUE"""),"T-183")</f>
        <v>T-183</v>
      </c>
      <c r="C6195" t="str">
        <f>IFERROR(__xludf.DUMMYFUNCTION("""COMPUTED_VALUE"""),"Steinhof")</f>
        <v>Steinhof</v>
      </c>
    </row>
    <row r="6196">
      <c r="A6196" t="str">
        <f>IFERROR(__xludf.DUMMYFUNCTION("""COMPUTED_VALUE"""),"T-184")</f>
        <v>T-184</v>
      </c>
      <c r="C6196" t="str">
        <f>IFERROR(__xludf.DUMMYFUNCTION("""COMPUTED_VALUE"""),"Steinhof")</f>
        <v>Steinhof</v>
      </c>
    </row>
    <row r="6197">
      <c r="A6197" t="str">
        <f>IFERROR(__xludf.DUMMYFUNCTION("""COMPUTED_VALUE"""),"T-184")</f>
        <v>T-184</v>
      </c>
      <c r="C6197" t="str">
        <f>IFERROR(__xludf.DUMMYFUNCTION("""COMPUTED_VALUE"""),"Steinhof")</f>
        <v>Steinhof</v>
      </c>
    </row>
    <row r="6198">
      <c r="A6198" t="str">
        <f>IFERROR(__xludf.DUMMYFUNCTION("""COMPUTED_VALUE"""),"T-184")</f>
        <v>T-184</v>
      </c>
      <c r="C6198" t="str">
        <f>IFERROR(__xludf.DUMMYFUNCTION("""COMPUTED_VALUE"""),"Steinhof")</f>
        <v>Steinhof</v>
      </c>
    </row>
    <row r="6199">
      <c r="A6199" t="str">
        <f>IFERROR(__xludf.DUMMYFUNCTION("""COMPUTED_VALUE"""),"T-184")</f>
        <v>T-184</v>
      </c>
      <c r="C6199" t="str">
        <f>IFERROR(__xludf.DUMMYFUNCTION("""COMPUTED_VALUE"""),"Steinhof")</f>
        <v>Steinhof</v>
      </c>
    </row>
    <row r="6200">
      <c r="A6200" t="str">
        <f>IFERROR(__xludf.DUMMYFUNCTION("""COMPUTED_VALUE"""),"T-196")</f>
        <v>T-196</v>
      </c>
      <c r="C6200" t="str">
        <f>IFERROR(__xludf.DUMMYFUNCTION("""COMPUTED_VALUE"""),"Steinhof")</f>
        <v>Steinhof</v>
      </c>
    </row>
    <row r="6201">
      <c r="A6201" t="str">
        <f>IFERROR(__xludf.DUMMYFUNCTION("""COMPUTED_VALUE"""),"T-197")</f>
        <v>T-197</v>
      </c>
      <c r="C6201" t="str">
        <f>IFERROR(__xludf.DUMMYFUNCTION("""COMPUTED_VALUE"""),"Steinhof")</f>
        <v>Steinhof</v>
      </c>
    </row>
    <row r="6202">
      <c r="A6202" t="str">
        <f>IFERROR(__xludf.DUMMYFUNCTION("""COMPUTED_VALUE"""),"T-198")</f>
        <v>T-198</v>
      </c>
      <c r="C6202" t="str">
        <f>IFERROR(__xludf.DUMMYFUNCTION("""COMPUTED_VALUE"""),"Steinhof")</f>
        <v>Steinhof</v>
      </c>
    </row>
    <row r="6203">
      <c r="A6203" t="str">
        <f>IFERROR(__xludf.DUMMYFUNCTION("""COMPUTED_VALUE"""),"T-208")</f>
        <v>T-208</v>
      </c>
      <c r="C6203" t="str">
        <f>IFERROR(__xludf.DUMMYFUNCTION("""COMPUTED_VALUE"""),"Steinhof")</f>
        <v>Steinhof</v>
      </c>
    </row>
    <row r="6204">
      <c r="A6204" t="str">
        <f>IFERROR(__xludf.DUMMYFUNCTION("""COMPUTED_VALUE"""),"T-209")</f>
        <v>T-209</v>
      </c>
      <c r="C6204" t="str">
        <f>IFERROR(__xludf.DUMMYFUNCTION("""COMPUTED_VALUE"""),"Steinhof")</f>
        <v>Steinhof</v>
      </c>
    </row>
    <row r="6205">
      <c r="A6205" t="str">
        <f>IFERROR(__xludf.DUMMYFUNCTION("""COMPUTED_VALUE"""),"Uchwyt gniazda - OPCJA")</f>
        <v>Uchwyt gniazda - OPCJA</v>
      </c>
      <c r="C6205" t="str">
        <f>IFERROR(__xludf.DUMMYFUNCTION("""COMPUTED_VALUE"""),"Steinhof")</f>
        <v>Steinhof</v>
      </c>
    </row>
    <row r="6206">
      <c r="A6206" t="str">
        <f>IFERROR(__xludf.DUMMYFUNCTION("""COMPUTED_VALUE"""),"V-020")</f>
        <v>V-020</v>
      </c>
      <c r="C6206" t="str">
        <f>IFERROR(__xludf.DUMMYFUNCTION("""COMPUTED_VALUE"""),"Steinhof")</f>
        <v>Steinhof</v>
      </c>
    </row>
    <row r="6207">
      <c r="A6207" t="str">
        <f>IFERROR(__xludf.DUMMYFUNCTION("""COMPUTED_VALUE"""),"V-021")</f>
        <v>V-021</v>
      </c>
      <c r="C6207" t="str">
        <f>IFERROR(__xludf.DUMMYFUNCTION("""COMPUTED_VALUE"""),"Steinhof")</f>
        <v>Steinhof</v>
      </c>
    </row>
    <row r="6208">
      <c r="A6208" t="str">
        <f>IFERROR(__xludf.DUMMYFUNCTION("""COMPUTED_VALUE"""),"V-028")</f>
        <v>V-028</v>
      </c>
      <c r="C6208" t="str">
        <f>IFERROR(__xludf.DUMMYFUNCTION("""COMPUTED_VALUE"""),"Steinhof")</f>
        <v>Steinhof</v>
      </c>
    </row>
    <row r="6209">
      <c r="A6209" t="str">
        <f>IFERROR(__xludf.DUMMYFUNCTION("""COMPUTED_VALUE"""),"V-028")</f>
        <v>V-028</v>
      </c>
      <c r="C6209" t="str">
        <f>IFERROR(__xludf.DUMMYFUNCTION("""COMPUTED_VALUE"""),"Steinhof")</f>
        <v>Steinhof</v>
      </c>
    </row>
    <row r="6210">
      <c r="A6210" t="str">
        <f>IFERROR(__xludf.DUMMYFUNCTION("""COMPUTED_VALUE"""),"V-029")</f>
        <v>V-029</v>
      </c>
      <c r="C6210" t="str">
        <f>IFERROR(__xludf.DUMMYFUNCTION("""COMPUTED_VALUE"""),"Steinhof")</f>
        <v>Steinhof</v>
      </c>
    </row>
    <row r="6211">
      <c r="A6211" t="str">
        <f>IFERROR(__xludf.DUMMYFUNCTION("""COMPUTED_VALUE"""),"V-029")</f>
        <v>V-029</v>
      </c>
      <c r="C6211" t="str">
        <f>IFERROR(__xludf.DUMMYFUNCTION("""COMPUTED_VALUE"""),"Steinhof")</f>
        <v>Steinhof</v>
      </c>
    </row>
    <row r="6212">
      <c r="A6212" t="str">
        <f>IFERROR(__xludf.DUMMYFUNCTION("""COMPUTED_VALUE"""),"V-032")</f>
        <v>V-032</v>
      </c>
      <c r="C6212" t="str">
        <f>IFERROR(__xludf.DUMMYFUNCTION("""COMPUTED_VALUE"""),"Steinhof")</f>
        <v>Steinhof</v>
      </c>
    </row>
    <row r="6213">
      <c r="A6213" t="str">
        <f>IFERROR(__xludf.DUMMYFUNCTION("""COMPUTED_VALUE"""),"V-032")</f>
        <v>V-032</v>
      </c>
      <c r="C6213" t="str">
        <f>IFERROR(__xludf.DUMMYFUNCTION("""COMPUTED_VALUE"""),"Steinhof")</f>
        <v>Steinhof</v>
      </c>
    </row>
    <row r="6214">
      <c r="A6214" t="str">
        <f>IFERROR(__xludf.DUMMYFUNCTION("""COMPUTED_VALUE"""),"V-032")</f>
        <v>V-032</v>
      </c>
      <c r="C6214" t="str">
        <f>IFERROR(__xludf.DUMMYFUNCTION("""COMPUTED_VALUE"""),"Steinhof")</f>
        <v>Steinhof</v>
      </c>
    </row>
    <row r="6215">
      <c r="A6215" t="str">
        <f>IFERROR(__xludf.DUMMYFUNCTION("""COMPUTED_VALUE"""),"V-032")</f>
        <v>V-032</v>
      </c>
      <c r="C6215" t="str">
        <f>IFERROR(__xludf.DUMMYFUNCTION("""COMPUTED_VALUE"""),"Steinhof")</f>
        <v>Steinhof</v>
      </c>
    </row>
    <row r="6216">
      <c r="A6216" t="str">
        <f>IFERROR(__xludf.DUMMYFUNCTION("""COMPUTED_VALUE"""),"V-033")</f>
        <v>V-033</v>
      </c>
      <c r="C6216" t="str">
        <f>IFERROR(__xludf.DUMMYFUNCTION("""COMPUTED_VALUE"""),"Steinhof")</f>
        <v>Steinhof</v>
      </c>
    </row>
    <row r="6217">
      <c r="A6217" t="str">
        <f>IFERROR(__xludf.DUMMYFUNCTION("""COMPUTED_VALUE"""),"V-036")</f>
        <v>V-036</v>
      </c>
      <c r="C6217" t="str">
        <f>IFERROR(__xludf.DUMMYFUNCTION("""COMPUTED_VALUE"""),"Steinhof")</f>
        <v>Steinhof</v>
      </c>
    </row>
    <row r="6218">
      <c r="A6218" t="str">
        <f>IFERROR(__xludf.DUMMYFUNCTION("""COMPUTED_VALUE"""),"V-037")</f>
        <v>V-037</v>
      </c>
      <c r="C6218" t="str">
        <f>IFERROR(__xludf.DUMMYFUNCTION("""COMPUTED_VALUE"""),"Steinhof")</f>
        <v>Steinhof</v>
      </c>
    </row>
    <row r="6219">
      <c r="A6219" t="str">
        <f>IFERROR(__xludf.DUMMYFUNCTION("""COMPUTED_VALUE"""),"V-037")</f>
        <v>V-037</v>
      </c>
      <c r="C6219" t="str">
        <f>IFERROR(__xludf.DUMMYFUNCTION("""COMPUTED_VALUE"""),"Steinhof")</f>
        <v>Steinhof</v>
      </c>
    </row>
    <row r="6220">
      <c r="A6220" t="str">
        <f>IFERROR(__xludf.DUMMYFUNCTION("""COMPUTED_VALUE"""),"V-043")</f>
        <v>V-043</v>
      </c>
      <c r="C6220" t="str">
        <f>IFERROR(__xludf.DUMMYFUNCTION("""COMPUTED_VALUE"""),"Steinhof")</f>
        <v>Steinhof</v>
      </c>
    </row>
    <row r="6221">
      <c r="A6221" t="str">
        <f>IFERROR(__xludf.DUMMYFUNCTION("""COMPUTED_VALUE"""),"V-043")</f>
        <v>V-043</v>
      </c>
      <c r="C6221" t="str">
        <f>IFERROR(__xludf.DUMMYFUNCTION("""COMPUTED_VALUE"""),"Steinhof")</f>
        <v>Steinhof</v>
      </c>
    </row>
    <row r="6222">
      <c r="A6222" t="str">
        <f>IFERROR(__xludf.DUMMYFUNCTION("""COMPUTED_VALUE"""),"V-049")</f>
        <v>V-049</v>
      </c>
      <c r="C6222" t="str">
        <f>IFERROR(__xludf.DUMMYFUNCTION("""COMPUTED_VALUE"""),"Steinhof")</f>
        <v>Steinhof</v>
      </c>
    </row>
    <row r="6223">
      <c r="A6223" t="str">
        <f>IFERROR(__xludf.DUMMYFUNCTION("""COMPUTED_VALUE"""),"V-049")</f>
        <v>V-049</v>
      </c>
      <c r="C6223" t="str">
        <f>IFERROR(__xludf.DUMMYFUNCTION("""COMPUTED_VALUE"""),"Steinhof")</f>
        <v>Steinhof</v>
      </c>
    </row>
    <row r="6224">
      <c r="A6224" t="str">
        <f>IFERROR(__xludf.DUMMYFUNCTION("""COMPUTED_VALUE"""),"V-049")</f>
        <v>V-049</v>
      </c>
      <c r="C6224" t="str">
        <f>IFERROR(__xludf.DUMMYFUNCTION("""COMPUTED_VALUE"""),"Steinhof")</f>
        <v>Steinhof</v>
      </c>
    </row>
    <row r="6225">
      <c r="A6225" t="str">
        <f>IFERROR(__xludf.DUMMYFUNCTION("""COMPUTED_VALUE"""),"V-050")</f>
        <v>V-050</v>
      </c>
      <c r="C6225" t="str">
        <f>IFERROR(__xludf.DUMMYFUNCTION("""COMPUTED_VALUE"""),"Steinhof")</f>
        <v>Steinhof</v>
      </c>
    </row>
    <row r="6226">
      <c r="A6226" t="str">
        <f>IFERROR(__xludf.DUMMYFUNCTION("""COMPUTED_VALUE"""),"V-050")</f>
        <v>V-050</v>
      </c>
      <c r="C6226" t="str">
        <f>IFERROR(__xludf.DUMMYFUNCTION("""COMPUTED_VALUE"""),"Steinhof")</f>
        <v>Steinhof</v>
      </c>
    </row>
    <row r="6227">
      <c r="A6227" t="str">
        <f>IFERROR(__xludf.DUMMYFUNCTION("""COMPUTED_VALUE"""),"V-054")</f>
        <v>V-054</v>
      </c>
      <c r="C6227" t="str">
        <f>IFERROR(__xludf.DUMMYFUNCTION("""COMPUTED_VALUE"""),"Steinhof")</f>
        <v>Steinhof</v>
      </c>
    </row>
    <row r="6228">
      <c r="A6228" t="str">
        <f>IFERROR(__xludf.DUMMYFUNCTION("""COMPUTED_VALUE"""),"V-060/1")</f>
        <v>V-060/1</v>
      </c>
      <c r="C6228" t="str">
        <f>IFERROR(__xludf.DUMMYFUNCTION("""COMPUTED_VALUE"""),"Steinhof")</f>
        <v>Steinhof</v>
      </c>
    </row>
    <row r="6229">
      <c r="A6229" t="str">
        <f>IFERROR(__xludf.DUMMYFUNCTION("""COMPUTED_VALUE"""),"V-060/1")</f>
        <v>V-060/1</v>
      </c>
      <c r="C6229" t="str">
        <f>IFERROR(__xludf.DUMMYFUNCTION("""COMPUTED_VALUE"""),"Steinhof")</f>
        <v>Steinhof</v>
      </c>
    </row>
    <row r="6230">
      <c r="A6230" t="str">
        <f>IFERROR(__xludf.DUMMYFUNCTION("""COMPUTED_VALUE"""),"V-060/1")</f>
        <v>V-060/1</v>
      </c>
      <c r="C6230" t="str">
        <f>IFERROR(__xludf.DUMMYFUNCTION("""COMPUTED_VALUE"""),"Steinhof")</f>
        <v>Steinhof</v>
      </c>
    </row>
    <row r="6231">
      <c r="A6231" t="str">
        <f>IFERROR(__xludf.DUMMYFUNCTION("""COMPUTED_VALUE"""),"V-060/1")</f>
        <v>V-060/1</v>
      </c>
      <c r="C6231" t="str">
        <f>IFERROR(__xludf.DUMMYFUNCTION("""COMPUTED_VALUE"""),"Steinhof")</f>
        <v>Steinhof</v>
      </c>
    </row>
    <row r="6232">
      <c r="A6232" t="str">
        <f>IFERROR(__xludf.DUMMYFUNCTION("""COMPUTED_VALUE"""),"V-060/1")</f>
        <v>V-060/1</v>
      </c>
      <c r="C6232" t="str">
        <f>IFERROR(__xludf.DUMMYFUNCTION("""COMPUTED_VALUE"""),"Steinhof")</f>
        <v>Steinhof</v>
      </c>
    </row>
    <row r="6233">
      <c r="A6233" t="str">
        <f>IFERROR(__xludf.DUMMYFUNCTION("""COMPUTED_VALUE"""),"V-060/1")</f>
        <v>V-060/1</v>
      </c>
      <c r="C6233" t="str">
        <f>IFERROR(__xludf.DUMMYFUNCTION("""COMPUTED_VALUE"""),"Steinhof")</f>
        <v>Steinhof</v>
      </c>
    </row>
    <row r="6234">
      <c r="A6234" t="str">
        <f>IFERROR(__xludf.DUMMYFUNCTION("""COMPUTED_VALUE"""),"V-060/1")</f>
        <v>V-060/1</v>
      </c>
      <c r="C6234" t="str">
        <f>IFERROR(__xludf.DUMMYFUNCTION("""COMPUTED_VALUE"""),"Steinhof")</f>
        <v>Steinhof</v>
      </c>
    </row>
    <row r="6235">
      <c r="A6235" t="str">
        <f>IFERROR(__xludf.DUMMYFUNCTION("""COMPUTED_VALUE"""),"V-060/1")</f>
        <v>V-060/1</v>
      </c>
      <c r="C6235" t="str">
        <f>IFERROR(__xludf.DUMMYFUNCTION("""COMPUTED_VALUE"""),"Steinhof")</f>
        <v>Steinhof</v>
      </c>
    </row>
    <row r="6236">
      <c r="A6236" t="str">
        <f>IFERROR(__xludf.DUMMYFUNCTION("""COMPUTED_VALUE"""),"V-060/1")</f>
        <v>V-060/1</v>
      </c>
      <c r="C6236" t="str">
        <f>IFERROR(__xludf.DUMMYFUNCTION("""COMPUTED_VALUE"""),"Steinhof")</f>
        <v>Steinhof</v>
      </c>
    </row>
    <row r="6237">
      <c r="A6237" t="str">
        <f>IFERROR(__xludf.DUMMYFUNCTION("""COMPUTED_VALUE"""),"V-060/1")</f>
        <v>V-060/1</v>
      </c>
      <c r="C6237" t="str">
        <f>IFERROR(__xludf.DUMMYFUNCTION("""COMPUTED_VALUE"""),"Steinhof")</f>
        <v>Steinhof</v>
      </c>
    </row>
    <row r="6238">
      <c r="A6238" t="str">
        <f>IFERROR(__xludf.DUMMYFUNCTION("""COMPUTED_VALUE"""),"V-060/1")</f>
        <v>V-060/1</v>
      </c>
      <c r="C6238" t="str">
        <f>IFERROR(__xludf.DUMMYFUNCTION("""COMPUTED_VALUE"""),"Steinhof")</f>
        <v>Steinhof</v>
      </c>
    </row>
    <row r="6239">
      <c r="A6239" t="str">
        <f>IFERROR(__xludf.DUMMYFUNCTION("""COMPUTED_VALUE"""),"V-060/1")</f>
        <v>V-060/1</v>
      </c>
      <c r="C6239" t="str">
        <f>IFERROR(__xludf.DUMMYFUNCTION("""COMPUTED_VALUE"""),"Steinhof")</f>
        <v>Steinhof</v>
      </c>
    </row>
    <row r="6240">
      <c r="A6240" t="str">
        <f>IFERROR(__xludf.DUMMYFUNCTION("""COMPUTED_VALUE"""),"V-064")</f>
        <v>V-064</v>
      </c>
      <c r="C6240" t="str">
        <f>IFERROR(__xludf.DUMMYFUNCTION("""COMPUTED_VALUE"""),"Steinhof")</f>
        <v>Steinhof</v>
      </c>
    </row>
    <row r="6241">
      <c r="A6241" t="str">
        <f>IFERROR(__xludf.DUMMYFUNCTION("""COMPUTED_VALUE"""),"V-065")</f>
        <v>V-065</v>
      </c>
      <c r="C6241" t="str">
        <f>IFERROR(__xludf.DUMMYFUNCTION("""COMPUTED_VALUE"""),"Steinhof")</f>
        <v>Steinhof</v>
      </c>
    </row>
    <row r="6242">
      <c r="A6242" t="str">
        <f>IFERROR(__xludf.DUMMYFUNCTION("""COMPUTED_VALUE"""),"V-066")</f>
        <v>V-066</v>
      </c>
      <c r="C6242" t="str">
        <f>IFERROR(__xludf.DUMMYFUNCTION("""COMPUTED_VALUE"""),"Steinhof")</f>
        <v>Steinhof</v>
      </c>
    </row>
    <row r="6243">
      <c r="A6243" t="str">
        <f>IFERROR(__xludf.DUMMYFUNCTION("""COMPUTED_VALUE"""),"V-067")</f>
        <v>V-067</v>
      </c>
      <c r="C6243" t="str">
        <f>IFERROR(__xludf.DUMMYFUNCTION("""COMPUTED_VALUE"""),"Steinhof")</f>
        <v>Steinhof</v>
      </c>
    </row>
    <row r="6244">
      <c r="A6244" t="str">
        <f>IFERROR(__xludf.DUMMYFUNCTION("""COMPUTED_VALUE"""),"V-068")</f>
        <v>V-068</v>
      </c>
      <c r="C6244" t="str">
        <f>IFERROR(__xludf.DUMMYFUNCTION("""COMPUTED_VALUE"""),"Steinhof")</f>
        <v>Steinhof</v>
      </c>
    </row>
    <row r="6245">
      <c r="A6245" t="str">
        <f>IFERROR(__xludf.DUMMYFUNCTION("""COMPUTED_VALUE"""),"V-069")</f>
        <v>V-069</v>
      </c>
      <c r="C6245" t="str">
        <f>IFERROR(__xludf.DUMMYFUNCTION("""COMPUTED_VALUE"""),"Steinhof")</f>
        <v>Steinhof</v>
      </c>
    </row>
    <row r="6246">
      <c r="A6246" t="str">
        <f>IFERROR(__xludf.DUMMYFUNCTION("""COMPUTED_VALUE"""),"V-072")</f>
        <v>V-072</v>
      </c>
      <c r="C6246" t="str">
        <f>IFERROR(__xludf.DUMMYFUNCTION("""COMPUTED_VALUE"""),"Steinhof")</f>
        <v>Steinhof</v>
      </c>
    </row>
    <row r="6247">
      <c r="A6247" t="str">
        <f>IFERROR(__xludf.DUMMYFUNCTION("""COMPUTED_VALUE"""),"V-072")</f>
        <v>V-072</v>
      </c>
      <c r="C6247" t="str">
        <f>IFERROR(__xludf.DUMMYFUNCTION("""COMPUTED_VALUE"""),"Steinhof")</f>
        <v>Steinhof</v>
      </c>
    </row>
    <row r="6248">
      <c r="A6248" t="str">
        <f>IFERROR(__xludf.DUMMYFUNCTION("""COMPUTED_VALUE"""),"V-074")</f>
        <v>V-074</v>
      </c>
      <c r="C6248" t="str">
        <f>IFERROR(__xludf.DUMMYFUNCTION("""COMPUTED_VALUE"""),"Steinhof")</f>
        <v>Steinhof</v>
      </c>
    </row>
    <row r="6249">
      <c r="A6249" t="str">
        <f>IFERROR(__xludf.DUMMYFUNCTION("""COMPUTED_VALUE"""),"V-075")</f>
        <v>V-075</v>
      </c>
      <c r="C6249" t="str">
        <f>IFERROR(__xludf.DUMMYFUNCTION("""COMPUTED_VALUE"""),"Steinhof")</f>
        <v>Steinhof</v>
      </c>
    </row>
    <row r="6250">
      <c r="A6250" t="str">
        <f>IFERROR(__xludf.DUMMYFUNCTION("""COMPUTED_VALUE"""),"V-096")</f>
        <v>V-096</v>
      </c>
      <c r="C6250" t="str">
        <f>IFERROR(__xludf.DUMMYFUNCTION("""COMPUTED_VALUE"""),"Steinhof")</f>
        <v>Steinhof</v>
      </c>
    </row>
    <row r="6251">
      <c r="A6251" t="str">
        <f>IFERROR(__xludf.DUMMYFUNCTION("""COMPUTED_VALUE"""),"V-097")</f>
        <v>V-097</v>
      </c>
      <c r="C6251" t="str">
        <f>IFERROR(__xludf.DUMMYFUNCTION("""COMPUTED_VALUE"""),"Steinhof")</f>
        <v>Steinhof</v>
      </c>
    </row>
    <row r="6252">
      <c r="A6252" t="str">
        <f>IFERROR(__xludf.DUMMYFUNCTION("""COMPUTED_VALUE"""),"V-098")</f>
        <v>V-098</v>
      </c>
      <c r="C6252" t="str">
        <f>IFERROR(__xludf.DUMMYFUNCTION("""COMPUTED_VALUE"""),"Steinhof")</f>
        <v>Steinhof</v>
      </c>
    </row>
    <row r="6253">
      <c r="A6253" t="str">
        <f>IFERROR(__xludf.DUMMYFUNCTION("""COMPUTED_VALUE"""),"V-098")</f>
        <v>V-098</v>
      </c>
      <c r="C6253" t="str">
        <f>IFERROR(__xludf.DUMMYFUNCTION("""COMPUTED_VALUE"""),"Steinhof")</f>
        <v>Steinhof</v>
      </c>
    </row>
    <row r="6254">
      <c r="A6254" t="str">
        <f>IFERROR(__xludf.DUMMYFUNCTION("""COMPUTED_VALUE"""),"V-104")</f>
        <v>V-104</v>
      </c>
      <c r="C6254" t="str">
        <f>IFERROR(__xludf.DUMMYFUNCTION("""COMPUTED_VALUE"""),"Steinhof")</f>
        <v>Steinhof</v>
      </c>
    </row>
    <row r="6255">
      <c r="A6255" t="str">
        <f>IFERROR(__xludf.DUMMYFUNCTION("""COMPUTED_VALUE"""),"V-104")</f>
        <v>V-104</v>
      </c>
      <c r="C6255" t="str">
        <f>IFERROR(__xludf.DUMMYFUNCTION("""COMPUTED_VALUE"""),"Steinhof")</f>
        <v>Steinhof</v>
      </c>
    </row>
    <row r="6256">
      <c r="A6256" t="str">
        <f>IFERROR(__xludf.DUMMYFUNCTION("""COMPUTED_VALUE"""),"V-107")</f>
        <v>V-107</v>
      </c>
      <c r="C6256" t="str">
        <f>IFERROR(__xludf.DUMMYFUNCTION("""COMPUTED_VALUE"""),"Steinhof")</f>
        <v>Steinhof</v>
      </c>
    </row>
    <row r="6257">
      <c r="A6257" t="str">
        <f>IFERROR(__xludf.DUMMYFUNCTION("""COMPUTED_VALUE"""),"V-107")</f>
        <v>V-107</v>
      </c>
      <c r="C6257" t="str">
        <f>IFERROR(__xludf.DUMMYFUNCTION("""COMPUTED_VALUE"""),"Steinhof")</f>
        <v>Steinhof</v>
      </c>
    </row>
    <row r="6258">
      <c r="A6258" t="str">
        <f>IFERROR(__xludf.DUMMYFUNCTION("""COMPUTED_VALUE"""),"V-108")</f>
        <v>V-108</v>
      </c>
      <c r="C6258" t="str">
        <f>IFERROR(__xludf.DUMMYFUNCTION("""COMPUTED_VALUE"""),"Steinhof")</f>
        <v>Steinhof</v>
      </c>
    </row>
    <row r="6259">
      <c r="A6259" t="str">
        <f>IFERROR(__xludf.DUMMYFUNCTION("""COMPUTED_VALUE"""),"V-108")</f>
        <v>V-108</v>
      </c>
      <c r="C6259" t="str">
        <f>IFERROR(__xludf.DUMMYFUNCTION("""COMPUTED_VALUE"""),"Steinhof")</f>
        <v>Steinhof</v>
      </c>
    </row>
    <row r="6260">
      <c r="A6260" t="str">
        <f>IFERROR(__xludf.DUMMYFUNCTION("""COMPUTED_VALUE"""),"V-112")</f>
        <v>V-112</v>
      </c>
      <c r="C6260" t="str">
        <f>IFERROR(__xludf.DUMMYFUNCTION("""COMPUTED_VALUE"""),"Steinhof")</f>
        <v>Steinhof</v>
      </c>
    </row>
    <row r="6261">
      <c r="A6261" t="str">
        <f>IFERROR(__xludf.DUMMYFUNCTION("""COMPUTED_VALUE"""),"V-113")</f>
        <v>V-113</v>
      </c>
      <c r="C6261" t="str">
        <f>IFERROR(__xludf.DUMMYFUNCTION("""COMPUTED_VALUE"""),"Steinhof")</f>
        <v>Steinhof</v>
      </c>
    </row>
    <row r="6262">
      <c r="A6262" t="str">
        <f>IFERROR(__xludf.DUMMYFUNCTION("""COMPUTED_VALUE"""),"V-114/1")</f>
        <v>V-114/1</v>
      </c>
      <c r="C6262" t="str">
        <f>IFERROR(__xludf.DUMMYFUNCTION("""COMPUTED_VALUE"""),"Steinhof")</f>
        <v>Steinhof</v>
      </c>
    </row>
    <row r="6263">
      <c r="A6263" t="str">
        <f>IFERROR(__xludf.DUMMYFUNCTION("""COMPUTED_VALUE"""),"V-114/1")</f>
        <v>V-114/1</v>
      </c>
      <c r="C6263" t="str">
        <f>IFERROR(__xludf.DUMMYFUNCTION("""COMPUTED_VALUE"""),"Steinhof")</f>
        <v>Steinhof</v>
      </c>
    </row>
    <row r="6264">
      <c r="A6264" t="str">
        <f>IFERROR(__xludf.DUMMYFUNCTION("""COMPUTED_VALUE"""),"V-115")</f>
        <v>V-115</v>
      </c>
      <c r="C6264" t="str">
        <f>IFERROR(__xludf.DUMMYFUNCTION("""COMPUTED_VALUE"""),"Steinhof")</f>
        <v>Steinhof</v>
      </c>
    </row>
    <row r="6265">
      <c r="A6265" t="str">
        <f>IFERROR(__xludf.DUMMYFUNCTION("""COMPUTED_VALUE"""),"V-115")</f>
        <v>V-115</v>
      </c>
      <c r="C6265" t="str">
        <f>IFERROR(__xludf.DUMMYFUNCTION("""COMPUTED_VALUE"""),"Steinhof")</f>
        <v>Steinhof</v>
      </c>
    </row>
    <row r="6266">
      <c r="A6266" t="str">
        <f>IFERROR(__xludf.DUMMYFUNCTION("""COMPUTED_VALUE"""),"V-115")</f>
        <v>V-115</v>
      </c>
      <c r="C6266" t="str">
        <f>IFERROR(__xludf.DUMMYFUNCTION("""COMPUTED_VALUE"""),"Steinhof")</f>
        <v>Steinhof</v>
      </c>
    </row>
    <row r="6267">
      <c r="A6267" t="str">
        <f>IFERROR(__xludf.DUMMYFUNCTION("""COMPUTED_VALUE"""),"V-115")</f>
        <v>V-115</v>
      </c>
      <c r="C6267" t="str">
        <f>IFERROR(__xludf.DUMMYFUNCTION("""COMPUTED_VALUE"""),"Steinhof")</f>
        <v>Steinhof</v>
      </c>
    </row>
    <row r="6268">
      <c r="A6268" t="str">
        <f>IFERROR(__xludf.DUMMYFUNCTION("""COMPUTED_VALUE"""),"V-116")</f>
        <v>V-116</v>
      </c>
      <c r="C6268" t="str">
        <f>IFERROR(__xludf.DUMMYFUNCTION("""COMPUTED_VALUE"""),"Steinhof")</f>
        <v>Steinhof</v>
      </c>
    </row>
    <row r="6269">
      <c r="A6269" t="str">
        <f>IFERROR(__xludf.DUMMYFUNCTION("""COMPUTED_VALUE"""),"V-116")</f>
        <v>V-116</v>
      </c>
      <c r="C6269" t="str">
        <f>IFERROR(__xludf.DUMMYFUNCTION("""COMPUTED_VALUE"""),"Steinhof")</f>
        <v>Steinhof</v>
      </c>
    </row>
    <row r="6270">
      <c r="A6270" t="str">
        <f>IFERROR(__xludf.DUMMYFUNCTION("""COMPUTED_VALUE"""),"V-116")</f>
        <v>V-116</v>
      </c>
      <c r="C6270" t="str">
        <f>IFERROR(__xludf.DUMMYFUNCTION("""COMPUTED_VALUE"""),"Steinhof")</f>
        <v>Steinhof</v>
      </c>
    </row>
    <row r="6271">
      <c r="A6271" t="str">
        <f>IFERROR(__xludf.DUMMYFUNCTION("""COMPUTED_VALUE"""),"V-116")</f>
        <v>V-116</v>
      </c>
      <c r="C6271" t="str">
        <f>IFERROR(__xludf.DUMMYFUNCTION("""COMPUTED_VALUE"""),"Steinhof")</f>
        <v>Steinhof</v>
      </c>
    </row>
    <row r="6272">
      <c r="A6272" t="str">
        <f>IFERROR(__xludf.DUMMYFUNCTION("""COMPUTED_VALUE"""),"V-119")</f>
        <v>V-119</v>
      </c>
      <c r="C6272" t="str">
        <f>IFERROR(__xludf.DUMMYFUNCTION("""COMPUTED_VALUE"""),"Steinhof")</f>
        <v>Steinhof</v>
      </c>
    </row>
    <row r="6273">
      <c r="A6273" t="str">
        <f>IFERROR(__xludf.DUMMYFUNCTION("""COMPUTED_VALUE"""),"V-119")</f>
        <v>V-119</v>
      </c>
      <c r="C6273" t="str">
        <f>IFERROR(__xludf.DUMMYFUNCTION("""COMPUTED_VALUE"""),"Steinhof")</f>
        <v>Steinhof</v>
      </c>
    </row>
    <row r="6274">
      <c r="A6274" t="str">
        <f>IFERROR(__xludf.DUMMYFUNCTION("""COMPUTED_VALUE"""),"V-119")</f>
        <v>V-119</v>
      </c>
      <c r="C6274" t="str">
        <f>IFERROR(__xludf.DUMMYFUNCTION("""COMPUTED_VALUE"""),"Steinhof")</f>
        <v>Steinhof</v>
      </c>
    </row>
    <row r="6275">
      <c r="A6275" t="str">
        <f>IFERROR(__xludf.DUMMYFUNCTION("""COMPUTED_VALUE"""),"V-122")</f>
        <v>V-122</v>
      </c>
      <c r="C6275" t="str">
        <f>IFERROR(__xludf.DUMMYFUNCTION("""COMPUTED_VALUE"""),"Steinhof")</f>
        <v>Steinhof</v>
      </c>
    </row>
    <row r="6276">
      <c r="A6276" t="str">
        <f>IFERROR(__xludf.DUMMYFUNCTION("""COMPUTED_VALUE"""),"V-122")</f>
        <v>V-122</v>
      </c>
      <c r="C6276" t="str">
        <f>IFERROR(__xludf.DUMMYFUNCTION("""COMPUTED_VALUE"""),"Steinhof")</f>
        <v>Steinhof</v>
      </c>
    </row>
    <row r="6277">
      <c r="A6277" t="str">
        <f>IFERROR(__xludf.DUMMYFUNCTION("""COMPUTED_VALUE"""),"V-123")</f>
        <v>V-123</v>
      </c>
      <c r="C6277" t="str">
        <f>IFERROR(__xludf.DUMMYFUNCTION("""COMPUTED_VALUE"""),"Steinhof")</f>
        <v>Steinhof</v>
      </c>
    </row>
    <row r="6278">
      <c r="A6278" t="str">
        <f>IFERROR(__xludf.DUMMYFUNCTION("""COMPUTED_VALUE"""),"V-124")</f>
        <v>V-124</v>
      </c>
      <c r="C6278" t="str">
        <f>IFERROR(__xludf.DUMMYFUNCTION("""COMPUTED_VALUE"""),"Steinhof")</f>
        <v>Steinhof</v>
      </c>
    </row>
    <row r="6279">
      <c r="A6279" t="str">
        <f>IFERROR(__xludf.DUMMYFUNCTION("""COMPUTED_VALUE"""),"V-124")</f>
        <v>V-124</v>
      </c>
      <c r="C6279" t="str">
        <f>IFERROR(__xludf.DUMMYFUNCTION("""COMPUTED_VALUE"""),"Steinhof")</f>
        <v>Steinhof</v>
      </c>
    </row>
    <row r="6280">
      <c r="A6280" t="str">
        <f>IFERROR(__xludf.DUMMYFUNCTION("""COMPUTED_VALUE"""),"V-125")</f>
        <v>V-125</v>
      </c>
      <c r="C6280" t="str">
        <f>IFERROR(__xludf.DUMMYFUNCTION("""COMPUTED_VALUE"""),"Steinhof")</f>
        <v>Steinhof</v>
      </c>
    </row>
    <row r="6281">
      <c r="A6281" t="str">
        <f>IFERROR(__xludf.DUMMYFUNCTION("""COMPUTED_VALUE"""),"V-127")</f>
        <v>V-127</v>
      </c>
      <c r="C6281" t="str">
        <f>IFERROR(__xludf.DUMMYFUNCTION("""COMPUTED_VALUE"""),"Steinhof")</f>
        <v>Steinhof</v>
      </c>
    </row>
    <row r="6282">
      <c r="A6282" t="str">
        <f>IFERROR(__xludf.DUMMYFUNCTION("""COMPUTED_VALUE"""),"V-129")</f>
        <v>V-129</v>
      </c>
      <c r="C6282" t="str">
        <f>IFERROR(__xludf.DUMMYFUNCTION("""COMPUTED_VALUE"""),"Steinhof")</f>
        <v>Steinhof</v>
      </c>
    </row>
    <row r="6283">
      <c r="A6283" t="str">
        <f>IFERROR(__xludf.DUMMYFUNCTION("""COMPUTED_VALUE"""),"V-131")</f>
        <v>V-131</v>
      </c>
      <c r="C6283" t="str">
        <f>IFERROR(__xludf.DUMMYFUNCTION("""COMPUTED_VALUE"""),"Steinhof")</f>
        <v>Steinhof</v>
      </c>
    </row>
    <row r="6284">
      <c r="A6284" t="str">
        <f>IFERROR(__xludf.DUMMYFUNCTION("""COMPUTED_VALUE"""),"V-131")</f>
        <v>V-131</v>
      </c>
      <c r="C6284" t="str">
        <f>IFERROR(__xludf.DUMMYFUNCTION("""COMPUTED_VALUE"""),"Steinhof")</f>
        <v>Steinhof</v>
      </c>
    </row>
    <row r="6285">
      <c r="A6285" t="str">
        <f>IFERROR(__xludf.DUMMYFUNCTION("""COMPUTED_VALUE"""),"V-131")</f>
        <v>V-131</v>
      </c>
      <c r="C6285" t="str">
        <f>IFERROR(__xludf.DUMMYFUNCTION("""COMPUTED_VALUE"""),"Steinhof")</f>
        <v>Steinhof</v>
      </c>
    </row>
    <row r="6286">
      <c r="A6286" t="str">
        <f>IFERROR(__xludf.DUMMYFUNCTION("""COMPUTED_VALUE"""),"V-132")</f>
        <v>V-132</v>
      </c>
      <c r="C6286" t="str">
        <f>IFERROR(__xludf.DUMMYFUNCTION("""COMPUTED_VALUE"""),"Steinhof")</f>
        <v>Steinhof</v>
      </c>
    </row>
    <row r="6287">
      <c r="A6287" t="str">
        <f>IFERROR(__xludf.DUMMYFUNCTION("""COMPUTED_VALUE"""),"V-133")</f>
        <v>V-133</v>
      </c>
      <c r="C6287" t="str">
        <f>IFERROR(__xludf.DUMMYFUNCTION("""COMPUTED_VALUE"""),"Steinhof")</f>
        <v>Steinhof</v>
      </c>
    </row>
    <row r="6288">
      <c r="A6288" t="str">
        <f>IFERROR(__xludf.DUMMYFUNCTION("""COMPUTED_VALUE"""),"V-140")</f>
        <v>V-140</v>
      </c>
      <c r="C6288" t="str">
        <f>IFERROR(__xludf.DUMMYFUNCTION("""COMPUTED_VALUE"""),"Steinhof")</f>
        <v>Steinhof</v>
      </c>
    </row>
    <row r="6289">
      <c r="A6289" t="str">
        <f>IFERROR(__xludf.DUMMYFUNCTION("""COMPUTED_VALUE"""),"V-140")</f>
        <v>V-140</v>
      </c>
      <c r="C6289" t="str">
        <f>IFERROR(__xludf.DUMMYFUNCTION("""COMPUTED_VALUE"""),"Steinhof")</f>
        <v>Steinhof</v>
      </c>
    </row>
    <row r="6290">
      <c r="A6290" t="str">
        <f>IFERROR(__xludf.DUMMYFUNCTION("""COMPUTED_VALUE"""),"V-143")</f>
        <v>V-143</v>
      </c>
      <c r="C6290" t="str">
        <f>IFERROR(__xludf.DUMMYFUNCTION("""COMPUTED_VALUE"""),"Steinhof")</f>
        <v>Steinhof</v>
      </c>
    </row>
    <row r="6291">
      <c r="A6291" t="str">
        <f>IFERROR(__xludf.DUMMYFUNCTION("""COMPUTED_VALUE"""),"V-143")</f>
        <v>V-143</v>
      </c>
      <c r="C6291" t="str">
        <f>IFERROR(__xludf.DUMMYFUNCTION("""COMPUTED_VALUE"""),"Steinhof")</f>
        <v>Steinhof</v>
      </c>
    </row>
    <row r="6292">
      <c r="A6292" t="str">
        <f>IFERROR(__xludf.DUMMYFUNCTION("""COMPUTED_VALUE"""),"V-143")</f>
        <v>V-143</v>
      </c>
      <c r="C6292" t="str">
        <f>IFERROR(__xludf.DUMMYFUNCTION("""COMPUTED_VALUE"""),"Steinhof")</f>
        <v>Steinhof</v>
      </c>
    </row>
    <row r="6293">
      <c r="A6293" t="str">
        <f>IFERROR(__xludf.DUMMYFUNCTION("""COMPUTED_VALUE"""),"V-144")</f>
        <v>V-144</v>
      </c>
      <c r="C6293" t="str">
        <f>IFERROR(__xludf.DUMMYFUNCTION("""COMPUTED_VALUE"""),"Steinhof")</f>
        <v>Steinhof</v>
      </c>
    </row>
    <row r="6294">
      <c r="A6294" t="str">
        <f>IFERROR(__xludf.DUMMYFUNCTION("""COMPUTED_VALUE"""),"V-144")</f>
        <v>V-144</v>
      </c>
      <c r="C6294" t="str">
        <f>IFERROR(__xludf.DUMMYFUNCTION("""COMPUTED_VALUE"""),"Steinhof")</f>
        <v>Steinhof</v>
      </c>
    </row>
    <row r="6295">
      <c r="A6295" t="str">
        <f>IFERROR(__xludf.DUMMYFUNCTION("""COMPUTED_VALUE"""),"V-144")</f>
        <v>V-144</v>
      </c>
      <c r="C6295" t="str">
        <f>IFERROR(__xludf.DUMMYFUNCTION("""COMPUTED_VALUE"""),"Steinhof")</f>
        <v>Steinhof</v>
      </c>
    </row>
    <row r="6296">
      <c r="A6296" t="str">
        <f>IFERROR(__xludf.DUMMYFUNCTION("""COMPUTED_VALUE"""),"V-145")</f>
        <v>V-145</v>
      </c>
      <c r="C6296" t="str">
        <f>IFERROR(__xludf.DUMMYFUNCTION("""COMPUTED_VALUE"""),"Steinhof")</f>
        <v>Steinhof</v>
      </c>
    </row>
    <row r="6297">
      <c r="A6297" t="str">
        <f>IFERROR(__xludf.DUMMYFUNCTION("""COMPUTED_VALUE"""),"V-145")</f>
        <v>V-145</v>
      </c>
      <c r="C6297" t="str">
        <f>IFERROR(__xludf.DUMMYFUNCTION("""COMPUTED_VALUE"""),"Steinhof")</f>
        <v>Steinhof</v>
      </c>
    </row>
    <row r="6298">
      <c r="A6298" t="str">
        <f>IFERROR(__xludf.DUMMYFUNCTION("""COMPUTED_VALUE"""),"V-147")</f>
        <v>V-147</v>
      </c>
      <c r="C6298" t="str">
        <f>IFERROR(__xludf.DUMMYFUNCTION("""COMPUTED_VALUE"""),"Steinhof")</f>
        <v>Steinhof</v>
      </c>
    </row>
    <row r="6299">
      <c r="A6299" t="str">
        <f>IFERROR(__xludf.DUMMYFUNCTION("""COMPUTED_VALUE"""),"V-147")</f>
        <v>V-147</v>
      </c>
      <c r="C6299" t="str">
        <f>IFERROR(__xludf.DUMMYFUNCTION("""COMPUTED_VALUE"""),"Steinhof")</f>
        <v>Steinhof</v>
      </c>
    </row>
    <row r="6300">
      <c r="A6300" t="str">
        <f>IFERROR(__xludf.DUMMYFUNCTION("""COMPUTED_VALUE"""),"V-148")</f>
        <v>V-148</v>
      </c>
      <c r="C6300" t="str">
        <f>IFERROR(__xludf.DUMMYFUNCTION("""COMPUTED_VALUE"""),"Steinhof")</f>
        <v>Steinhof</v>
      </c>
    </row>
    <row r="6301">
      <c r="A6301" t="str">
        <f>IFERROR(__xludf.DUMMYFUNCTION("""COMPUTED_VALUE"""),"V-148")</f>
        <v>V-148</v>
      </c>
      <c r="C6301" t="str">
        <f>IFERROR(__xludf.DUMMYFUNCTION("""COMPUTED_VALUE"""),"Steinhof")</f>
        <v>Steinhof</v>
      </c>
    </row>
    <row r="6302">
      <c r="A6302" t="str">
        <f>IFERROR(__xludf.DUMMYFUNCTION("""COMPUTED_VALUE"""),"V-148")</f>
        <v>V-148</v>
      </c>
      <c r="C6302" t="str">
        <f>IFERROR(__xludf.DUMMYFUNCTION("""COMPUTED_VALUE"""),"Steinhof")</f>
        <v>Steinhof</v>
      </c>
    </row>
    <row r="6303">
      <c r="A6303" t="str">
        <f>IFERROR(__xludf.DUMMYFUNCTION("""COMPUTED_VALUE"""),"V-148")</f>
        <v>V-148</v>
      </c>
      <c r="C6303" t="str">
        <f>IFERROR(__xludf.DUMMYFUNCTION("""COMPUTED_VALUE"""),"Steinhof")</f>
        <v>Steinhof</v>
      </c>
    </row>
    <row r="6304">
      <c r="A6304" t="str">
        <f>IFERROR(__xludf.DUMMYFUNCTION("""COMPUTED_VALUE"""),"V-148")</f>
        <v>V-148</v>
      </c>
      <c r="C6304" t="str">
        <f>IFERROR(__xludf.DUMMYFUNCTION("""COMPUTED_VALUE"""),"Steinhof")</f>
        <v>Steinhof</v>
      </c>
    </row>
    <row r="6305">
      <c r="A6305" t="str">
        <f>IFERROR(__xludf.DUMMYFUNCTION("""COMPUTED_VALUE"""),"V-149")</f>
        <v>V-149</v>
      </c>
      <c r="C6305" t="str">
        <f>IFERROR(__xludf.DUMMYFUNCTION("""COMPUTED_VALUE"""),"Steinhof")</f>
        <v>Steinhof</v>
      </c>
    </row>
    <row r="6306">
      <c r="A6306" t="str">
        <f>IFERROR(__xludf.DUMMYFUNCTION("""COMPUTED_VALUE"""),"V-149")</f>
        <v>V-149</v>
      </c>
      <c r="C6306" t="str">
        <f>IFERROR(__xludf.DUMMYFUNCTION("""COMPUTED_VALUE"""),"Steinhof")</f>
        <v>Steinhof</v>
      </c>
    </row>
    <row r="6307">
      <c r="A6307" t="str">
        <f>IFERROR(__xludf.DUMMYFUNCTION("""COMPUTED_VALUE"""),"V-149")</f>
        <v>V-149</v>
      </c>
      <c r="C6307" t="str">
        <f>IFERROR(__xludf.DUMMYFUNCTION("""COMPUTED_VALUE"""),"Steinhof")</f>
        <v>Steinhof</v>
      </c>
    </row>
    <row r="6308">
      <c r="A6308" t="str">
        <f>IFERROR(__xludf.DUMMYFUNCTION("""COMPUTED_VALUE"""),"V-149")</f>
        <v>V-149</v>
      </c>
      <c r="C6308" t="str">
        <f>IFERROR(__xludf.DUMMYFUNCTION("""COMPUTED_VALUE"""),"Steinhof")</f>
        <v>Steinhof</v>
      </c>
    </row>
    <row r="6309">
      <c r="A6309" t="str">
        <f>IFERROR(__xludf.DUMMYFUNCTION("""COMPUTED_VALUE"""),"V-149")</f>
        <v>V-149</v>
      </c>
      <c r="C6309" t="str">
        <f>IFERROR(__xludf.DUMMYFUNCTION("""COMPUTED_VALUE"""),"Steinhof")</f>
        <v>Steinhof</v>
      </c>
    </row>
    <row r="6310">
      <c r="A6310" t="str">
        <f>IFERROR(__xludf.DUMMYFUNCTION("""COMPUTED_VALUE"""),"V-150")</f>
        <v>V-150</v>
      </c>
      <c r="C6310" t="str">
        <f>IFERROR(__xludf.DUMMYFUNCTION("""COMPUTED_VALUE"""),"Steinhof")</f>
        <v>Steinhof</v>
      </c>
    </row>
    <row r="6311">
      <c r="A6311" t="str">
        <f>IFERROR(__xludf.DUMMYFUNCTION("""COMPUTED_VALUE"""),"V-151")</f>
        <v>V-151</v>
      </c>
      <c r="C6311" t="str">
        <f>IFERROR(__xludf.DUMMYFUNCTION("""COMPUTED_VALUE"""),"Steinhof")</f>
        <v>Steinhof</v>
      </c>
    </row>
    <row r="6312">
      <c r="A6312" t="str">
        <f>IFERROR(__xludf.DUMMYFUNCTION("""COMPUTED_VALUE"""),"V-152")</f>
        <v>V-152</v>
      </c>
      <c r="C6312" t="str">
        <f>IFERROR(__xludf.DUMMYFUNCTION("""COMPUTED_VALUE"""),"Steinhof")</f>
        <v>Steinhof</v>
      </c>
    </row>
    <row r="6313">
      <c r="A6313" t="str">
        <f>IFERROR(__xludf.DUMMYFUNCTION("""COMPUTED_VALUE"""),"V-153")</f>
        <v>V-153</v>
      </c>
      <c r="C6313" t="str">
        <f>IFERROR(__xludf.DUMMYFUNCTION("""COMPUTED_VALUE"""),"Steinhof")</f>
        <v>Steinhof</v>
      </c>
    </row>
    <row r="6314">
      <c r="A6314" t="str">
        <f>IFERROR(__xludf.DUMMYFUNCTION("""COMPUTED_VALUE"""),"V-154")</f>
        <v>V-154</v>
      </c>
      <c r="C6314" t="str">
        <f>IFERROR(__xludf.DUMMYFUNCTION("""COMPUTED_VALUE"""),"Steinhof")</f>
        <v>Steinhof</v>
      </c>
    </row>
    <row r="6315">
      <c r="A6315" t="str">
        <f>IFERROR(__xludf.DUMMYFUNCTION("""COMPUTED_VALUE"""),"V-155")</f>
        <v>V-155</v>
      </c>
      <c r="C6315" t="str">
        <f>IFERROR(__xludf.DUMMYFUNCTION("""COMPUTED_VALUE"""),"Steinhof")</f>
        <v>Steinhof</v>
      </c>
    </row>
    <row r="6316">
      <c r="A6316" t="str">
        <f>IFERROR(__xludf.DUMMYFUNCTION("""COMPUTED_VALUE"""),"V-158")</f>
        <v>V-158</v>
      </c>
      <c r="C6316" t="str">
        <f>IFERROR(__xludf.DUMMYFUNCTION("""COMPUTED_VALUE"""),"Steinhof")</f>
        <v>Steinhof</v>
      </c>
    </row>
    <row r="6317">
      <c r="A6317" t="str">
        <f>IFERROR(__xludf.DUMMYFUNCTION("""COMPUTED_VALUE"""),"V-158")</f>
        <v>V-158</v>
      </c>
      <c r="C6317" t="str">
        <f>IFERROR(__xludf.DUMMYFUNCTION("""COMPUTED_VALUE"""),"Steinhof")</f>
        <v>Steinhof</v>
      </c>
    </row>
    <row r="6318">
      <c r="A6318" t="str">
        <f>IFERROR(__xludf.DUMMYFUNCTION("""COMPUTED_VALUE"""),"V-159")</f>
        <v>V-159</v>
      </c>
      <c r="C6318" t="str">
        <f>IFERROR(__xludf.DUMMYFUNCTION("""COMPUTED_VALUE"""),"Steinhof")</f>
        <v>Steinhof</v>
      </c>
    </row>
    <row r="6319">
      <c r="A6319" t="str">
        <f>IFERROR(__xludf.DUMMYFUNCTION("""COMPUTED_VALUE"""),"V-159")</f>
        <v>V-159</v>
      </c>
      <c r="C6319" t="str">
        <f>IFERROR(__xludf.DUMMYFUNCTION("""COMPUTED_VALUE"""),"Steinhof")</f>
        <v>Steinhof</v>
      </c>
    </row>
    <row r="6320">
      <c r="A6320" t="str">
        <f>IFERROR(__xludf.DUMMYFUNCTION("""COMPUTED_VALUE"""),"V-160")</f>
        <v>V-160</v>
      </c>
      <c r="C6320" t="str">
        <f>IFERROR(__xludf.DUMMYFUNCTION("""COMPUTED_VALUE"""),"Steinhof")</f>
        <v>Steinhof</v>
      </c>
    </row>
    <row r="6321">
      <c r="A6321" t="str">
        <f>IFERROR(__xludf.DUMMYFUNCTION("""COMPUTED_VALUE"""),"V-160")</f>
        <v>V-160</v>
      </c>
      <c r="C6321" t="str">
        <f>IFERROR(__xludf.DUMMYFUNCTION("""COMPUTED_VALUE"""),"Steinhof")</f>
        <v>Steinhof</v>
      </c>
    </row>
    <row r="6322">
      <c r="A6322" t="str">
        <f>IFERROR(__xludf.DUMMYFUNCTION("""COMPUTED_VALUE"""),"V-160")</f>
        <v>V-160</v>
      </c>
      <c r="C6322" t="str">
        <f>IFERROR(__xludf.DUMMYFUNCTION("""COMPUTED_VALUE"""),"Steinhof")</f>
        <v>Steinhof</v>
      </c>
    </row>
    <row r="6323">
      <c r="A6323" t="str">
        <f>IFERROR(__xludf.DUMMYFUNCTION("""COMPUTED_VALUE"""),"V-161")</f>
        <v>V-161</v>
      </c>
      <c r="C6323" t="str">
        <f>IFERROR(__xludf.DUMMYFUNCTION("""COMPUTED_VALUE"""),"Steinhof")</f>
        <v>Steinhof</v>
      </c>
    </row>
    <row r="6324">
      <c r="A6324" t="str">
        <f>IFERROR(__xludf.DUMMYFUNCTION("""COMPUTED_VALUE"""),"V-161")</f>
        <v>V-161</v>
      </c>
      <c r="C6324" t="str">
        <f>IFERROR(__xludf.DUMMYFUNCTION("""COMPUTED_VALUE"""),"Steinhof")</f>
        <v>Steinhof</v>
      </c>
    </row>
    <row r="6325">
      <c r="A6325" t="str">
        <f>IFERROR(__xludf.DUMMYFUNCTION("""COMPUTED_VALUE"""),"V-161")</f>
        <v>V-161</v>
      </c>
      <c r="C6325" t="str">
        <f>IFERROR(__xludf.DUMMYFUNCTION("""COMPUTED_VALUE"""),"Steinhof")</f>
        <v>Steinhof</v>
      </c>
    </row>
    <row r="6326">
      <c r="A6326" t="str">
        <f>IFERROR(__xludf.DUMMYFUNCTION("""COMPUTED_VALUE"""),"V-162")</f>
        <v>V-162</v>
      </c>
      <c r="C6326" t="str">
        <f>IFERROR(__xludf.DUMMYFUNCTION("""COMPUTED_VALUE"""),"Steinhof")</f>
        <v>Steinhof</v>
      </c>
    </row>
    <row r="6327">
      <c r="A6327" t="str">
        <f>IFERROR(__xludf.DUMMYFUNCTION("""COMPUTED_VALUE"""),"V-163")</f>
        <v>V-163</v>
      </c>
      <c r="C6327" t="str">
        <f>IFERROR(__xludf.DUMMYFUNCTION("""COMPUTED_VALUE"""),"Steinhof")</f>
        <v>Steinhof</v>
      </c>
    </row>
    <row r="6328">
      <c r="A6328" t="str">
        <f>IFERROR(__xludf.DUMMYFUNCTION("""COMPUTED_VALUE"""),"V-276")</f>
        <v>V-276</v>
      </c>
      <c r="C6328" t="str">
        <f>IFERROR(__xludf.DUMMYFUNCTION("""COMPUTED_VALUE"""),"Steinhof")</f>
        <v>Steinhof</v>
      </c>
    </row>
    <row r="6329">
      <c r="A6329" t="str">
        <f>IFERROR(__xludf.DUMMYFUNCTION("""COMPUTED_VALUE"""),"V-277")</f>
        <v>V-277</v>
      </c>
      <c r="C6329" t="str">
        <f>IFERROR(__xludf.DUMMYFUNCTION("""COMPUTED_VALUE"""),"Steinhof")</f>
        <v>Steinhof</v>
      </c>
    </row>
    <row r="6330">
      <c r="A6330" t="str">
        <f>IFERROR(__xludf.DUMMYFUNCTION("""COMPUTED_VALUE"""),"V-280")</f>
        <v>V-280</v>
      </c>
      <c r="C6330" t="str">
        <f>IFERROR(__xludf.DUMMYFUNCTION("""COMPUTED_VALUE"""),"Steinhof")</f>
        <v>Steinhof</v>
      </c>
    </row>
    <row r="6331">
      <c r="A6331" t="str">
        <f>IFERROR(__xludf.DUMMYFUNCTION("""COMPUTED_VALUE"""),"V-281")</f>
        <v>V-281</v>
      </c>
      <c r="C6331" t="str">
        <f>IFERROR(__xludf.DUMMYFUNCTION("""COMPUTED_VALUE"""),"Steinhof")</f>
        <v>Steinhof</v>
      </c>
    </row>
    <row r="6332">
      <c r="A6332" t="str">
        <f>IFERROR(__xludf.DUMMYFUNCTION("""COMPUTED_VALUE"""),"V-282")</f>
        <v>V-282</v>
      </c>
      <c r="C6332" t="str">
        <f>IFERROR(__xludf.DUMMYFUNCTION("""COMPUTED_VALUE"""),"Steinhof")</f>
        <v>Steinhof</v>
      </c>
    </row>
    <row r="6333">
      <c r="A6333" t="str">
        <f>IFERROR(__xludf.DUMMYFUNCTION("""COMPUTED_VALUE"""),"V-282")</f>
        <v>V-282</v>
      </c>
      <c r="C6333" t="str">
        <f>IFERROR(__xludf.DUMMYFUNCTION("""COMPUTED_VALUE"""),"Steinhof")</f>
        <v>Steinhof</v>
      </c>
    </row>
    <row r="6334">
      <c r="A6334" t="str">
        <f>IFERROR(__xludf.DUMMYFUNCTION("""COMPUTED_VALUE"""),"V-283")</f>
        <v>V-283</v>
      </c>
      <c r="C6334" t="str">
        <f>IFERROR(__xludf.DUMMYFUNCTION("""COMPUTED_VALUE"""),"Steinhof")</f>
        <v>Steinhof</v>
      </c>
    </row>
    <row r="6335">
      <c r="A6335" t="str">
        <f>IFERROR(__xludf.DUMMYFUNCTION("""COMPUTED_VALUE"""),"V-283")</f>
        <v>V-283</v>
      </c>
      <c r="C6335" t="str">
        <f>IFERROR(__xludf.DUMMYFUNCTION("""COMPUTED_VALUE"""),"Steinhof")</f>
        <v>Steinhof</v>
      </c>
    </row>
    <row r="6336">
      <c r="A6336" t="str">
        <f>IFERROR(__xludf.DUMMYFUNCTION("""COMPUTED_VALUE"""),"V-284")</f>
        <v>V-284</v>
      </c>
      <c r="C6336" t="str">
        <f>IFERROR(__xludf.DUMMYFUNCTION("""COMPUTED_VALUE"""),"Steinhof")</f>
        <v>Steinhof</v>
      </c>
    </row>
    <row r="6337">
      <c r="A6337" t="str">
        <f>IFERROR(__xludf.DUMMYFUNCTION("""COMPUTED_VALUE"""),"V-284")</f>
        <v>V-284</v>
      </c>
      <c r="C6337" t="str">
        <f>IFERROR(__xludf.DUMMYFUNCTION("""COMPUTED_VALUE"""),"Steinhof")</f>
        <v>Steinhof</v>
      </c>
    </row>
    <row r="6338">
      <c r="A6338" t="str">
        <f>IFERROR(__xludf.DUMMYFUNCTION("""COMPUTED_VALUE"""),"V-284")</f>
        <v>V-284</v>
      </c>
      <c r="C6338" t="str">
        <f>IFERROR(__xludf.DUMMYFUNCTION("""COMPUTED_VALUE"""),"Steinhof")</f>
        <v>Steinhof</v>
      </c>
    </row>
    <row r="6339">
      <c r="A6339" t="str">
        <f>IFERROR(__xludf.DUMMYFUNCTION("""COMPUTED_VALUE"""),"V-285")</f>
        <v>V-285</v>
      </c>
      <c r="C6339" t="str">
        <f>IFERROR(__xludf.DUMMYFUNCTION("""COMPUTED_VALUE"""),"Steinhof")</f>
        <v>Steinhof</v>
      </c>
    </row>
    <row r="6340">
      <c r="A6340" t="str">
        <f>IFERROR(__xludf.DUMMYFUNCTION("""COMPUTED_VALUE"""),"V-285")</f>
        <v>V-285</v>
      </c>
      <c r="C6340" t="str">
        <f>IFERROR(__xludf.DUMMYFUNCTION("""COMPUTED_VALUE"""),"Steinhof")</f>
        <v>Steinhof</v>
      </c>
    </row>
    <row r="6341">
      <c r="A6341" t="str">
        <f>IFERROR(__xludf.DUMMYFUNCTION("""COMPUTED_VALUE"""),"V-285")</f>
        <v>V-285</v>
      </c>
      <c r="C6341" t="str">
        <f>IFERROR(__xludf.DUMMYFUNCTION("""COMPUTED_VALUE"""),"Steinhof")</f>
        <v>Steinhof</v>
      </c>
    </row>
    <row r="6342">
      <c r="A6342" t="str">
        <f>IFERROR(__xludf.DUMMYFUNCTION("""COMPUTED_VALUE"""),"V-286")</f>
        <v>V-286</v>
      </c>
      <c r="C6342" t="str">
        <f>IFERROR(__xludf.DUMMYFUNCTION("""COMPUTED_VALUE"""),"Steinhof")</f>
        <v>Steinhof</v>
      </c>
    </row>
    <row r="6343">
      <c r="A6343" t="str">
        <f>IFERROR(__xludf.DUMMYFUNCTION("""COMPUTED_VALUE"""),"V-286")</f>
        <v>V-286</v>
      </c>
      <c r="C6343" t="str">
        <f>IFERROR(__xludf.DUMMYFUNCTION("""COMPUTED_VALUE"""),"Steinhof")</f>
        <v>Steinhof</v>
      </c>
    </row>
    <row r="6344">
      <c r="A6344" t="str">
        <f>IFERROR(__xludf.DUMMYFUNCTION("""COMPUTED_VALUE"""),"V-287")</f>
        <v>V-287</v>
      </c>
      <c r="C6344" t="str">
        <f>IFERROR(__xludf.DUMMYFUNCTION("""COMPUTED_VALUE"""),"Steinhof")</f>
        <v>Steinhof</v>
      </c>
    </row>
    <row r="6345">
      <c r="A6345" t="str">
        <f>IFERROR(__xludf.DUMMYFUNCTION("""COMPUTED_VALUE"""),"V-287")</f>
        <v>V-287</v>
      </c>
      <c r="C6345" t="str">
        <f>IFERROR(__xludf.DUMMYFUNCTION("""COMPUTED_VALUE"""),"Steinhof")</f>
        <v>Steinhof</v>
      </c>
    </row>
    <row r="6346">
      <c r="A6346" t="str">
        <f>IFERROR(__xludf.DUMMYFUNCTION("""COMPUTED_VALUE"""),"V-288")</f>
        <v>V-288</v>
      </c>
      <c r="C6346" t="str">
        <f>IFERROR(__xludf.DUMMYFUNCTION("""COMPUTED_VALUE"""),"Steinhof")</f>
        <v>Steinhof</v>
      </c>
    </row>
    <row r="6347">
      <c r="A6347" t="str">
        <f>IFERROR(__xludf.DUMMYFUNCTION("""COMPUTED_VALUE"""),"V-288")</f>
        <v>V-288</v>
      </c>
      <c r="C6347" t="str">
        <f>IFERROR(__xludf.DUMMYFUNCTION("""COMPUTED_VALUE"""),"Steinhof")</f>
        <v>Steinhof</v>
      </c>
    </row>
    <row r="6348">
      <c r="A6348" t="str">
        <f>IFERROR(__xludf.DUMMYFUNCTION("""COMPUTED_VALUE"""),"V-289")</f>
        <v>V-289</v>
      </c>
      <c r="C6348" t="str">
        <f>IFERROR(__xludf.DUMMYFUNCTION("""COMPUTED_VALUE"""),"Steinhof")</f>
        <v>Steinhof</v>
      </c>
    </row>
    <row r="6349">
      <c r="A6349" t="str">
        <f>IFERROR(__xludf.DUMMYFUNCTION("""COMPUTED_VALUE"""),"V-289")</f>
        <v>V-289</v>
      </c>
      <c r="C6349" t="str">
        <f>IFERROR(__xludf.DUMMYFUNCTION("""COMPUTED_VALUE"""),"Steinhof")</f>
        <v>Steinhof</v>
      </c>
    </row>
    <row r="6350">
      <c r="A6350" t="str">
        <f>IFERROR(__xludf.DUMMYFUNCTION("""COMPUTED_VALUE"""),"V-292")</f>
        <v>V-292</v>
      </c>
      <c r="C6350" t="str">
        <f>IFERROR(__xludf.DUMMYFUNCTION("""COMPUTED_VALUE"""),"Steinhof")</f>
        <v>Steinhof</v>
      </c>
    </row>
    <row r="6351">
      <c r="A6351" t="str">
        <f>IFERROR(__xludf.DUMMYFUNCTION("""COMPUTED_VALUE"""),"V-292")</f>
        <v>V-292</v>
      </c>
      <c r="C6351" t="str">
        <f>IFERROR(__xludf.DUMMYFUNCTION("""COMPUTED_VALUE"""),"Steinhof")</f>
        <v>Steinhof</v>
      </c>
    </row>
    <row r="6352">
      <c r="A6352" t="str">
        <f>IFERROR(__xludf.DUMMYFUNCTION("""COMPUTED_VALUE"""),"V-293")</f>
        <v>V-293</v>
      </c>
      <c r="C6352" t="str">
        <f>IFERROR(__xludf.DUMMYFUNCTION("""COMPUTED_VALUE"""),"Steinhof")</f>
        <v>Steinhof</v>
      </c>
    </row>
    <row r="6353">
      <c r="A6353" t="str">
        <f>IFERROR(__xludf.DUMMYFUNCTION("""COMPUTED_VALUE"""),"V-293")</f>
        <v>V-293</v>
      </c>
      <c r="C6353" t="str">
        <f>IFERROR(__xludf.DUMMYFUNCTION("""COMPUTED_VALUE"""),"Steinhof")</f>
        <v>Steinhof</v>
      </c>
    </row>
    <row r="6354">
      <c r="A6354" t="str">
        <f>IFERROR(__xludf.DUMMYFUNCTION("""COMPUTED_VALUE"""),"V-294")</f>
        <v>V-294</v>
      </c>
      <c r="C6354" t="str">
        <f>IFERROR(__xludf.DUMMYFUNCTION("""COMPUTED_VALUE"""),"Steinhof")</f>
        <v>Steinhof</v>
      </c>
    </row>
    <row r="6355">
      <c r="A6355" t="str">
        <f>IFERROR(__xludf.DUMMYFUNCTION("""COMPUTED_VALUE"""),"V-294")</f>
        <v>V-294</v>
      </c>
      <c r="C6355" t="str">
        <f>IFERROR(__xludf.DUMMYFUNCTION("""COMPUTED_VALUE"""),"Steinhof")</f>
        <v>Steinhof</v>
      </c>
    </row>
    <row r="6356">
      <c r="A6356" t="str">
        <f>IFERROR(__xludf.DUMMYFUNCTION("""COMPUTED_VALUE"""),"V-295")</f>
        <v>V-295</v>
      </c>
      <c r="C6356" t="str">
        <f>IFERROR(__xludf.DUMMYFUNCTION("""COMPUTED_VALUE"""),"Steinhof")</f>
        <v>Steinhof</v>
      </c>
    </row>
    <row r="6357">
      <c r="A6357" t="str">
        <f>IFERROR(__xludf.DUMMYFUNCTION("""COMPUTED_VALUE"""),"V-295")</f>
        <v>V-295</v>
      </c>
      <c r="C6357" t="str">
        <f>IFERROR(__xludf.DUMMYFUNCTION("""COMPUTED_VALUE"""),"Steinhof")</f>
        <v>Steinhof</v>
      </c>
    </row>
    <row r="6358">
      <c r="A6358" t="str">
        <f>IFERROR(__xludf.DUMMYFUNCTION("""COMPUTED_VALUE"""),"V-296")</f>
        <v>V-296</v>
      </c>
      <c r="C6358" t="str">
        <f>IFERROR(__xludf.DUMMYFUNCTION("""COMPUTED_VALUE"""),"Steinhof")</f>
        <v>Steinhof</v>
      </c>
    </row>
    <row r="6359">
      <c r="A6359" t="str">
        <f>IFERROR(__xludf.DUMMYFUNCTION("""COMPUTED_VALUE"""),"V-296")</f>
        <v>V-296</v>
      </c>
      <c r="C6359" t="str">
        <f>IFERROR(__xludf.DUMMYFUNCTION("""COMPUTED_VALUE"""),"Steinhof")</f>
        <v>Steinhof</v>
      </c>
    </row>
    <row r="6360">
      <c r="A6360" t="str">
        <f>IFERROR(__xludf.DUMMYFUNCTION("""COMPUTED_VALUE"""),"V-296")</f>
        <v>V-296</v>
      </c>
      <c r="C6360" t="str">
        <f>IFERROR(__xludf.DUMMYFUNCTION("""COMPUTED_VALUE"""),"Steinhof")</f>
        <v>Steinhof</v>
      </c>
    </row>
    <row r="6361">
      <c r="A6361" t="str">
        <f>IFERROR(__xludf.DUMMYFUNCTION("""COMPUTED_VALUE"""),"V-296")</f>
        <v>V-296</v>
      </c>
      <c r="C6361" t="str">
        <f>IFERROR(__xludf.DUMMYFUNCTION("""COMPUTED_VALUE"""),"Steinhof")</f>
        <v>Steinhof</v>
      </c>
    </row>
    <row r="6362">
      <c r="A6362" t="str">
        <f>IFERROR(__xludf.DUMMYFUNCTION("""COMPUTED_VALUE"""),"V-297")</f>
        <v>V-297</v>
      </c>
      <c r="C6362" t="str">
        <f>IFERROR(__xludf.DUMMYFUNCTION("""COMPUTED_VALUE"""),"Steinhof")</f>
        <v>Steinhof</v>
      </c>
    </row>
    <row r="6363">
      <c r="A6363" t="str">
        <f>IFERROR(__xludf.DUMMYFUNCTION("""COMPUTED_VALUE"""),"V-297")</f>
        <v>V-297</v>
      </c>
      <c r="C6363" t="str">
        <f>IFERROR(__xludf.DUMMYFUNCTION("""COMPUTED_VALUE"""),"Steinhof")</f>
        <v>Steinhof</v>
      </c>
    </row>
    <row r="6364">
      <c r="A6364" t="str">
        <f>IFERROR(__xludf.DUMMYFUNCTION("""COMPUTED_VALUE"""),"V-297")</f>
        <v>V-297</v>
      </c>
      <c r="C6364" t="str">
        <f>IFERROR(__xludf.DUMMYFUNCTION("""COMPUTED_VALUE"""),"Steinhof")</f>
        <v>Steinhof</v>
      </c>
    </row>
    <row r="6365">
      <c r="A6365" t="str">
        <f>IFERROR(__xludf.DUMMYFUNCTION("""COMPUTED_VALUE"""),"V-297")</f>
        <v>V-297</v>
      </c>
      <c r="C6365" t="str">
        <f>IFERROR(__xludf.DUMMYFUNCTION("""COMPUTED_VALUE"""),"Steinhof")</f>
        <v>Steinhof</v>
      </c>
    </row>
    <row r="6366">
      <c r="A6366" t="str">
        <f>IFERROR(__xludf.DUMMYFUNCTION("""COMPUTED_VALUE"""),"V-298")</f>
        <v>V-298</v>
      </c>
      <c r="C6366" t="str">
        <f>IFERROR(__xludf.DUMMYFUNCTION("""COMPUTED_VALUE"""),"Steinhof")</f>
        <v>Steinhof</v>
      </c>
    </row>
    <row r="6367">
      <c r="A6367" t="str">
        <f>IFERROR(__xludf.DUMMYFUNCTION("""COMPUTED_VALUE"""),"V-298")</f>
        <v>V-298</v>
      </c>
      <c r="C6367" t="str">
        <f>IFERROR(__xludf.DUMMYFUNCTION("""COMPUTED_VALUE"""),"Steinhof")</f>
        <v>Steinhof</v>
      </c>
    </row>
    <row r="6368">
      <c r="A6368" t="str">
        <f>IFERROR(__xludf.DUMMYFUNCTION("""COMPUTED_VALUE"""),"V-299")</f>
        <v>V-299</v>
      </c>
      <c r="C6368" t="str">
        <f>IFERROR(__xludf.DUMMYFUNCTION("""COMPUTED_VALUE"""),"Steinhof")</f>
        <v>Steinhof</v>
      </c>
    </row>
    <row r="6369">
      <c r="A6369" t="str">
        <f>IFERROR(__xludf.DUMMYFUNCTION("""COMPUTED_VALUE"""),"V-299")</f>
        <v>V-299</v>
      </c>
      <c r="C6369" t="str">
        <f>IFERROR(__xludf.DUMMYFUNCTION("""COMPUTED_VALUE"""),"Steinhof")</f>
        <v>Steinhof</v>
      </c>
    </row>
    <row r="6370">
      <c r="A6370" t="str">
        <f>IFERROR(__xludf.DUMMYFUNCTION("""COMPUTED_VALUE"""),"V-300")</f>
        <v>V-300</v>
      </c>
      <c r="C6370" t="str">
        <f>IFERROR(__xludf.DUMMYFUNCTION("""COMPUTED_VALUE"""),"Steinhof")</f>
        <v>Steinhof</v>
      </c>
    </row>
    <row r="6371">
      <c r="A6371" t="str">
        <f>IFERROR(__xludf.DUMMYFUNCTION("""COMPUTED_VALUE"""),"V-302")</f>
        <v>V-302</v>
      </c>
      <c r="C6371" t="str">
        <f>IFERROR(__xludf.DUMMYFUNCTION("""COMPUTED_VALUE"""),"Steinhof")</f>
        <v>Steinhof</v>
      </c>
    </row>
    <row r="6372">
      <c r="A6372" t="str">
        <f>IFERROR(__xludf.DUMMYFUNCTION("""COMPUTED_VALUE"""),"V-303")</f>
        <v>V-303</v>
      </c>
      <c r="C6372" t="str">
        <f>IFERROR(__xludf.DUMMYFUNCTION("""COMPUTED_VALUE"""),"Steinhof")</f>
        <v>Steinhof</v>
      </c>
    </row>
    <row r="6373">
      <c r="A6373" t="str">
        <f>IFERROR(__xludf.DUMMYFUNCTION("""COMPUTED_VALUE"""),"V-303")</f>
        <v>V-303</v>
      </c>
      <c r="C6373" t="str">
        <f>IFERROR(__xludf.DUMMYFUNCTION("""COMPUTED_VALUE"""),"Steinhof")</f>
        <v>Steinhof</v>
      </c>
    </row>
    <row r="6374">
      <c r="A6374" t="str">
        <f>IFERROR(__xludf.DUMMYFUNCTION("""COMPUTED_VALUE"""),"V-304")</f>
        <v>V-304</v>
      </c>
      <c r="C6374" t="str">
        <f>IFERROR(__xludf.DUMMYFUNCTION("""COMPUTED_VALUE"""),"Steinhof")</f>
        <v>Steinhof</v>
      </c>
    </row>
    <row r="6375">
      <c r="A6375" t="str">
        <f>IFERROR(__xludf.DUMMYFUNCTION("""COMPUTED_VALUE"""),"V-304")</f>
        <v>V-304</v>
      </c>
      <c r="C6375" t="str">
        <f>IFERROR(__xludf.DUMMYFUNCTION("""COMPUTED_VALUE"""),"Steinhof")</f>
        <v>Steinhof</v>
      </c>
    </row>
    <row r="6376">
      <c r="A6376" t="str">
        <f>IFERROR(__xludf.DUMMYFUNCTION("""COMPUTED_VALUE"""),"V-305")</f>
        <v>V-305</v>
      </c>
      <c r="C6376" t="str">
        <f>IFERROR(__xludf.DUMMYFUNCTION("""COMPUTED_VALUE"""),"Steinhof")</f>
        <v>Steinhof</v>
      </c>
    </row>
    <row r="6377">
      <c r="A6377" t="str">
        <f>IFERROR(__xludf.DUMMYFUNCTION("""COMPUTED_VALUE"""),"V-306")</f>
        <v>V-306</v>
      </c>
      <c r="C6377" t="str">
        <f>IFERROR(__xludf.DUMMYFUNCTION("""COMPUTED_VALUE"""),"Steinhof")</f>
        <v>Steinhof</v>
      </c>
    </row>
    <row r="6378">
      <c r="A6378" t="str">
        <f>IFERROR(__xludf.DUMMYFUNCTION("""COMPUTED_VALUE"""),"V-307")</f>
        <v>V-307</v>
      </c>
      <c r="C6378" t="str">
        <f>IFERROR(__xludf.DUMMYFUNCTION("""COMPUTED_VALUE"""),"Steinhof")</f>
        <v>Steinhof</v>
      </c>
    </row>
    <row r="6379">
      <c r="A6379" t="str">
        <f>IFERROR(__xludf.DUMMYFUNCTION("""COMPUTED_VALUE"""),"V-308")</f>
        <v>V-308</v>
      </c>
      <c r="C6379" t="str">
        <f>IFERROR(__xludf.DUMMYFUNCTION("""COMPUTED_VALUE"""),"Steinhof")</f>
        <v>Steinhof</v>
      </c>
    </row>
    <row r="6380">
      <c r="A6380" t="str">
        <f>IFERROR(__xludf.DUMMYFUNCTION("""COMPUTED_VALUE"""),"V-308")</f>
        <v>V-308</v>
      </c>
      <c r="C6380" t="str">
        <f>IFERROR(__xludf.DUMMYFUNCTION("""COMPUTED_VALUE"""),"Steinhof")</f>
        <v>Steinhof</v>
      </c>
    </row>
    <row r="6381">
      <c r="A6381" t="str">
        <f>IFERROR(__xludf.DUMMYFUNCTION("""COMPUTED_VALUE"""),"V-309")</f>
        <v>V-309</v>
      </c>
      <c r="C6381" t="str">
        <f>IFERROR(__xludf.DUMMYFUNCTION("""COMPUTED_VALUE"""),"Steinhof")</f>
        <v>Steinhof</v>
      </c>
    </row>
    <row r="6382">
      <c r="A6382" t="str">
        <f>IFERROR(__xludf.DUMMYFUNCTION("""COMPUTED_VALUE"""),"V-309")</f>
        <v>V-309</v>
      </c>
      <c r="C6382" t="str">
        <f>IFERROR(__xludf.DUMMYFUNCTION("""COMPUTED_VALUE"""),"Steinhof")</f>
        <v>Steinhof</v>
      </c>
    </row>
    <row r="6383">
      <c r="A6383" t="str">
        <f>IFERROR(__xludf.DUMMYFUNCTION("""COMPUTED_VALUE"""),"V-310")</f>
        <v>V-310</v>
      </c>
      <c r="C6383" t="str">
        <f>IFERROR(__xludf.DUMMYFUNCTION("""COMPUTED_VALUE"""),"Steinhof")</f>
        <v>Steinhof</v>
      </c>
    </row>
    <row r="6384">
      <c r="A6384" t="str">
        <f>IFERROR(__xludf.DUMMYFUNCTION("""COMPUTED_VALUE"""),"V-310")</f>
        <v>V-310</v>
      </c>
      <c r="C6384" t="str">
        <f>IFERROR(__xludf.DUMMYFUNCTION("""COMPUTED_VALUE"""),"Steinhof")</f>
        <v>Steinhof</v>
      </c>
    </row>
    <row r="6385">
      <c r="A6385" t="str">
        <f>IFERROR(__xludf.DUMMYFUNCTION("""COMPUTED_VALUE"""),"V-311")</f>
        <v>V-311</v>
      </c>
      <c r="C6385" t="str">
        <f>IFERROR(__xludf.DUMMYFUNCTION("""COMPUTED_VALUE"""),"Steinhof")</f>
        <v>Steinhof</v>
      </c>
    </row>
    <row r="6386">
      <c r="A6386" t="str">
        <f>IFERROR(__xludf.DUMMYFUNCTION("""COMPUTED_VALUE"""),"V-311")</f>
        <v>V-311</v>
      </c>
      <c r="C6386" t="str">
        <f>IFERROR(__xludf.DUMMYFUNCTION("""COMPUTED_VALUE"""),"Steinhof")</f>
        <v>Steinhof</v>
      </c>
    </row>
    <row r="6387">
      <c r="A6387" t="str">
        <f>IFERROR(__xludf.DUMMYFUNCTION("""COMPUTED_VALUE"""),"V-312")</f>
        <v>V-312</v>
      </c>
      <c r="C6387" t="str">
        <f>IFERROR(__xludf.DUMMYFUNCTION("""COMPUTED_VALUE"""),"Steinhof")</f>
        <v>Steinhof</v>
      </c>
    </row>
    <row r="6388">
      <c r="A6388" t="str">
        <f>IFERROR(__xludf.DUMMYFUNCTION("""COMPUTED_VALUE"""),"V-312")</f>
        <v>V-312</v>
      </c>
      <c r="C6388" t="str">
        <f>IFERROR(__xludf.DUMMYFUNCTION("""COMPUTED_VALUE"""),"Steinhof")</f>
        <v>Steinhof</v>
      </c>
    </row>
    <row r="6389">
      <c r="A6389" t="str">
        <f>IFERROR(__xludf.DUMMYFUNCTION("""COMPUTED_VALUE"""),"V-313")</f>
        <v>V-313</v>
      </c>
      <c r="C6389" t="str">
        <f>IFERROR(__xludf.DUMMYFUNCTION("""COMPUTED_VALUE"""),"Steinhof")</f>
        <v>Steinhof</v>
      </c>
    </row>
    <row r="6390">
      <c r="A6390" t="str">
        <f>IFERROR(__xludf.DUMMYFUNCTION("""COMPUTED_VALUE"""),"V-314")</f>
        <v>V-314</v>
      </c>
      <c r="C6390" t="str">
        <f>IFERROR(__xludf.DUMMYFUNCTION("""COMPUTED_VALUE"""),"Steinhof")</f>
        <v>Steinhof</v>
      </c>
    </row>
    <row r="6391">
      <c r="A6391" t="str">
        <f>IFERROR(__xludf.DUMMYFUNCTION("""COMPUTED_VALUE"""),"V-315")</f>
        <v>V-315</v>
      </c>
      <c r="C6391" t="str">
        <f>IFERROR(__xludf.DUMMYFUNCTION("""COMPUTED_VALUE"""),"Steinhof")</f>
        <v>Steinhof</v>
      </c>
    </row>
    <row r="6392">
      <c r="A6392" t="str">
        <f>IFERROR(__xludf.DUMMYFUNCTION("""COMPUTED_VALUE"""),"V-316")</f>
        <v>V-316</v>
      </c>
      <c r="C6392" t="str">
        <f>IFERROR(__xludf.DUMMYFUNCTION("""COMPUTED_VALUE"""),"Steinhof")</f>
        <v>Steinhof</v>
      </c>
    </row>
    <row r="6393">
      <c r="A6393" t="str">
        <f>IFERROR(__xludf.DUMMYFUNCTION("""COMPUTED_VALUE"""),"V-317")</f>
        <v>V-317</v>
      </c>
      <c r="C6393" t="str">
        <f>IFERROR(__xludf.DUMMYFUNCTION("""COMPUTED_VALUE"""),"Steinhof")</f>
        <v>Steinhof</v>
      </c>
    </row>
    <row r="6394">
      <c r="A6394" t="str">
        <f>IFERROR(__xludf.DUMMYFUNCTION("""COMPUTED_VALUE"""),"V-318")</f>
        <v>V-318</v>
      </c>
      <c r="C6394" t="str">
        <f>IFERROR(__xludf.DUMMYFUNCTION("""COMPUTED_VALUE"""),"Steinhof")</f>
        <v>Steinhof</v>
      </c>
    </row>
    <row r="6395">
      <c r="A6395" t="str">
        <f>IFERROR(__xludf.DUMMYFUNCTION("""COMPUTED_VALUE"""),"V-319")</f>
        <v>V-319</v>
      </c>
      <c r="C6395" t="str">
        <f>IFERROR(__xludf.DUMMYFUNCTION("""COMPUTED_VALUE"""),"Steinhof")</f>
        <v>Steinhof</v>
      </c>
    </row>
    <row r="6396">
      <c r="A6396" t="str">
        <f>IFERROR(__xludf.DUMMYFUNCTION("""COMPUTED_VALUE"""),"V-320")</f>
        <v>V-320</v>
      </c>
      <c r="C6396" t="str">
        <f>IFERROR(__xludf.DUMMYFUNCTION("""COMPUTED_VALUE"""),"Steinhof")</f>
        <v>Steinhof</v>
      </c>
    </row>
    <row r="6397">
      <c r="A6397" t="str">
        <f>IFERROR(__xludf.DUMMYFUNCTION("""COMPUTED_VALUE"""),"V-321")</f>
        <v>V-321</v>
      </c>
      <c r="C6397" t="str">
        <f>IFERROR(__xludf.DUMMYFUNCTION("""COMPUTED_VALUE"""),"Steinhof")</f>
        <v>Steinhof</v>
      </c>
    </row>
    <row r="6398">
      <c r="A6398" t="str">
        <f>IFERROR(__xludf.DUMMYFUNCTION("""COMPUTED_VALUE"""),"WT-13")</f>
        <v>WT-13</v>
      </c>
      <c r="C6398" t="str">
        <f>IFERROR(__xludf.DUMMYFUNCTION("""COMPUTED_VALUE"""),"Steinhof")</f>
        <v>Steinhof</v>
      </c>
    </row>
    <row r="6399">
      <c r="A6399" t="str">
        <f>IFERROR(__xludf.DUMMYFUNCTION("""COMPUTED_VALUE"""),"WT-7")</f>
        <v>WT-7</v>
      </c>
      <c r="C6399" t="str">
        <f>IFERROR(__xludf.DUMMYFUNCTION("""COMPUTED_VALUE"""),"Steinhof")</f>
        <v>Steinhof</v>
      </c>
    </row>
    <row r="6400">
      <c r="A6400" t="str">
        <f>IFERROR(__xludf.DUMMYFUNCTION("""COMPUTED_VALUE"""),"WUD-05")</f>
        <v>WUD-05</v>
      </c>
      <c r="C6400" t="str">
        <f>IFERROR(__xludf.DUMMYFUNCTION("""COMPUTED_VALUE"""),"Steinhof")</f>
        <v>Steinhof</v>
      </c>
    </row>
    <row r="6401">
      <c r="A6401" t="str">
        <f>IFERROR(__xludf.DUMMYFUNCTION("""COMPUTED_VALUE"""),"WUD-07")</f>
        <v>WUD-07</v>
      </c>
      <c r="C6401" t="str">
        <f>IFERROR(__xludf.DUMMYFUNCTION("""COMPUTED_VALUE"""),"Steinhof")</f>
        <v>Steinhof</v>
      </c>
    </row>
    <row r="6402">
      <c r="A6402" t="str">
        <f>IFERROR(__xludf.DUMMYFUNCTION("""COMPUTED_VALUE"""),"WUK-01")</f>
        <v>WUK-01</v>
      </c>
      <c r="C6402" t="str">
        <f>IFERROR(__xludf.DUMMYFUNCTION("""COMPUTED_VALUE"""),"Steinhof")</f>
        <v>Steinhof</v>
      </c>
    </row>
    <row r="6403">
      <c r="A6403" t="str">
        <f>IFERROR(__xludf.DUMMYFUNCTION("""COMPUTED_VALUE"""),"Z-020")</f>
        <v>Z-020</v>
      </c>
      <c r="C6403" t="str">
        <f>IFERROR(__xludf.DUMMYFUNCTION("""COMPUTED_VALUE"""),"Steinhof")</f>
        <v>Steinhof</v>
      </c>
    </row>
    <row r="6404">
      <c r="A6404" t="str">
        <f>IFERROR(__xludf.DUMMYFUNCTION("""COMPUTED_VALUE"""),"ZK-1")</f>
        <v>ZK-1</v>
      </c>
      <c r="C6404" t="str">
        <f>IFERROR(__xludf.DUMMYFUNCTION("""COMPUTED_VALUE"""),"Steinhof")</f>
        <v>Steinhof</v>
      </c>
    </row>
    <row r="6405">
      <c r="A6405" t="str">
        <f>IFERROR(__xludf.DUMMYFUNCTION("""COMPUTED_VALUE"""),"ZK-2")</f>
        <v>ZK-2</v>
      </c>
      <c r="C6405" t="str">
        <f>IFERROR(__xludf.DUMMYFUNCTION("""COMPUTED_VALUE"""),"Steinhof")</f>
        <v>Steinhof</v>
      </c>
    </row>
    <row r="6406">
      <c r="A6406" t="str">
        <f>IFERROR(__xludf.DUMMYFUNCTION("""COMPUTED_VALUE"""),"ZK-4")</f>
        <v>ZK-4</v>
      </c>
      <c r="C6406" t="str">
        <f>IFERROR(__xludf.DUMMYFUNCTION("""COMPUTED_VALUE"""),"Steinhof")</f>
        <v>Steinhof</v>
      </c>
    </row>
    <row r="6407">
      <c r="A6407" t="str">
        <f>IFERROR(__xludf.DUMMYFUNCTION("""COMPUTED_VALUE"""),"ZK-5")</f>
        <v>ZK-5</v>
      </c>
      <c r="C6407" t="str">
        <f>IFERROR(__xludf.DUMMYFUNCTION("""COMPUTED_VALUE"""),"Steinhof")</f>
        <v>Steinhof</v>
      </c>
    </row>
    <row r="6408">
      <c r="A6408" t="str">
        <f>IFERROR(__xludf.DUMMYFUNCTION("""COMPUTED_VALUE"""),"ZK-6")</f>
        <v>ZK-6</v>
      </c>
      <c r="C6408" t="str">
        <f>IFERROR(__xludf.DUMMYFUNCTION("""COMPUTED_VALUE"""),"Steinhof")</f>
        <v>Steinhof</v>
      </c>
    </row>
    <row r="6409">
      <c r="A6409" t="str">
        <f>IFERROR(__xludf.DUMMYFUNCTION("""COMPUTED_VALUE"""),"ZK-6KL")</f>
        <v>ZK-6KL</v>
      </c>
      <c r="C6409" t="str">
        <f>IFERROR(__xludf.DUMMYFUNCTION("""COMPUTED_VALUE"""),"Steinhof")</f>
        <v>Steinhof</v>
      </c>
    </row>
    <row r="6410">
      <c r="A6410" t="str">
        <f>IFERROR(__xludf.DUMMYFUNCTION("""COMPUTED_VALUE"""),"ZK-7")</f>
        <v>ZK-7</v>
      </c>
      <c r="C6410" t="str">
        <f>IFERROR(__xludf.DUMMYFUNCTION("""COMPUTED_VALUE"""),"Steinhof")</f>
        <v>Steinhof</v>
      </c>
    </row>
    <row r="6411">
      <c r="A6411" t="str">
        <f>IFERROR(__xludf.DUMMYFUNCTION("""COMPUTED_VALUE"""),"ZSK-1300C")</f>
        <v>ZSK-1300C</v>
      </c>
      <c r="C6411" t="str">
        <f>IFERROR(__xludf.DUMMYFUNCTION("""COMPUTED_VALUE"""),"Steinhof")</f>
        <v>Steinhof</v>
      </c>
    </row>
    <row r="6412">
      <c r="A6412" t="str">
        <f>IFERROR(__xludf.DUMMYFUNCTION("""COMPUTED_VALUE"""),"ZSK-1300H")</f>
        <v>ZSK-1300H</v>
      </c>
      <c r="C6412" t="str">
        <f>IFERROR(__xludf.DUMMYFUNCTION("""COMPUTED_VALUE"""),"Steinhof")</f>
        <v>Steinhof</v>
      </c>
    </row>
    <row r="6413">
      <c r="A6413" t="str">
        <f>IFERROR(__xludf.DUMMYFUNCTION("""COMPUTED_VALUE"""),"ZSK-1700C")</f>
        <v>ZSK-1700C</v>
      </c>
      <c r="C6413" t="str">
        <f>IFERROR(__xludf.DUMMYFUNCTION("""COMPUTED_VALUE"""),"Steinhof")</f>
        <v>Steinhof</v>
      </c>
    </row>
    <row r="6414">
      <c r="A6414" t="str">
        <f>IFERROR(__xludf.DUMMYFUNCTION("""COMPUTED_VALUE"""),"ZSK-2000C")</f>
        <v>ZSK-2000C</v>
      </c>
      <c r="C6414" t="str">
        <f>IFERROR(__xludf.DUMMYFUNCTION("""COMPUTED_VALUE"""),"Steinhof")</f>
        <v>Steinhof</v>
      </c>
    </row>
    <row r="6415">
      <c r="A6415" t="str">
        <f>IFERROR(__xludf.DUMMYFUNCTION("""COMPUTED_VALUE"""),"ZSK-750C")</f>
        <v>ZSK-750C</v>
      </c>
      <c r="C6415" t="str">
        <f>IFERROR(__xludf.DUMMYFUNCTION("""COMPUTED_VALUE"""),"Steinhof")</f>
        <v>Steinhof</v>
      </c>
    </row>
    <row r="6416">
      <c r="A6416" t="str">
        <f>IFERROR(__xludf.DUMMYFUNCTION("""COMPUTED_VALUE"""),"ZSK-750H")</f>
        <v>ZSK-750H</v>
      </c>
      <c r="C6416" t="str">
        <f>IFERROR(__xludf.DUMMYFUNCTION("""COMPUTED_VALUE"""),"Steinhof")</f>
        <v>Steinhof</v>
      </c>
    </row>
    <row r="6417">
      <c r="A6417" t="str">
        <f>IFERROR(__xludf.DUMMYFUNCTION("""COMPUTED_VALUE"""),"306518600001")</f>
        <v>306518600001</v>
      </c>
      <c r="C6417" t="str">
        <f>IFERROR(__xludf.DUMMYFUNCTION("""COMPUTED_VALUE"""),"Westfalia/Witter")</f>
        <v>Westfalia/Witter</v>
      </c>
    </row>
    <row r="6418">
      <c r="A6418" t="str">
        <f>IFERROR(__xludf.DUMMYFUNCTION("""COMPUTED_VALUE"""),"AL10Q")</f>
        <v>AL10Q</v>
      </c>
      <c r="C6418" t="str">
        <f>IFERROR(__xludf.DUMMYFUNCTION("""COMPUTED_VALUE"""),"Westfalia/Witter")</f>
        <v>Westfalia/Witter</v>
      </c>
    </row>
    <row r="6419">
      <c r="A6419" t="str">
        <f>IFERROR(__xludf.DUMMYFUNCTION("""COMPUTED_VALUE"""),"AL10S")</f>
        <v>AL10S</v>
      </c>
      <c r="C6419" t="str">
        <f>IFERROR(__xludf.DUMMYFUNCTION("""COMPUTED_VALUE"""),"Westfalia/Witter")</f>
        <v>Westfalia/Witter</v>
      </c>
    </row>
    <row r="6420">
      <c r="A6420" t="str">
        <f>IFERROR(__xludf.DUMMYFUNCTION("""COMPUTED_VALUE"""),"AD62S")</f>
        <v>AD62S</v>
      </c>
      <c r="C6420" t="str">
        <f>IFERROR(__xludf.DUMMYFUNCTION("""COMPUTED_VALUE"""),"Westfalia/Witter")</f>
        <v>Westfalia/Witter</v>
      </c>
    </row>
    <row r="6421">
      <c r="A6421" t="str">
        <f>IFERROR(__xludf.DUMMYFUNCTION("""COMPUTED_VALUE"""),"305523600001")</f>
        <v>305523600001</v>
      </c>
      <c r="C6421" t="str">
        <f>IFERROR(__xludf.DUMMYFUNCTION("""COMPUTED_VALUE"""),"Westfalia/Witter")</f>
        <v>Westfalia/Witter</v>
      </c>
    </row>
    <row r="6422">
      <c r="A6422" t="str">
        <f>IFERROR(__xludf.DUMMYFUNCTION("""COMPUTED_VALUE"""),"305523600001")</f>
        <v>305523600001</v>
      </c>
      <c r="C6422" t="str">
        <f>IFERROR(__xludf.DUMMYFUNCTION("""COMPUTED_VALUE"""),"Westfalia/Witter")</f>
        <v>Westfalia/Witter</v>
      </c>
    </row>
    <row r="6423">
      <c r="A6423" t="str">
        <f>IFERROR(__xludf.DUMMYFUNCTION("""COMPUTED_VALUE"""),"305524600001")</f>
        <v>305524600001</v>
      </c>
      <c r="C6423" t="str">
        <f>IFERROR(__xludf.DUMMYFUNCTION("""COMPUTED_VALUE"""),"Westfalia/Witter")</f>
        <v>Westfalia/Witter</v>
      </c>
    </row>
    <row r="6424">
      <c r="A6424" t="str">
        <f>IFERROR(__xludf.DUMMYFUNCTION("""COMPUTED_VALUE"""),"305524600001")</f>
        <v>305524600001</v>
      </c>
      <c r="C6424" t="str">
        <f>IFERROR(__xludf.DUMMYFUNCTION("""COMPUTED_VALUE"""),"Westfalia/Witter")</f>
        <v>Westfalia/Witter</v>
      </c>
    </row>
    <row r="6425">
      <c r="A6425" t="str">
        <f>IFERROR(__xludf.DUMMYFUNCTION("""COMPUTED_VALUE"""),"305557600001")</f>
        <v>305557600001</v>
      </c>
      <c r="C6425" t="str">
        <f>IFERROR(__xludf.DUMMYFUNCTION("""COMPUTED_VALUE"""),"Westfalia/Witter")</f>
        <v>Westfalia/Witter</v>
      </c>
    </row>
    <row r="6426">
      <c r="A6426" t="str">
        <f>IFERROR(__xludf.DUMMYFUNCTION("""COMPUTED_VALUE"""),"305557600001")</f>
        <v>305557600001</v>
      </c>
      <c r="C6426" t="str">
        <f>IFERROR(__xludf.DUMMYFUNCTION("""COMPUTED_VALUE"""),"Westfalia/Witter")</f>
        <v>Westfalia/Witter</v>
      </c>
    </row>
    <row r="6427">
      <c r="A6427" t="str">
        <f>IFERROR(__xludf.DUMMYFUNCTION("""COMPUTED_VALUE"""),"305558600001")</f>
        <v>305558600001</v>
      </c>
      <c r="C6427" t="str">
        <f>IFERROR(__xludf.DUMMYFUNCTION("""COMPUTED_VALUE"""),"Westfalia/Witter")</f>
        <v>Westfalia/Witter</v>
      </c>
    </row>
    <row r="6428">
      <c r="A6428" t="str">
        <f>IFERROR(__xludf.DUMMYFUNCTION("""COMPUTED_VALUE"""),"305558600001")</f>
        <v>305558600001</v>
      </c>
      <c r="C6428" t="str">
        <f>IFERROR(__xludf.DUMMYFUNCTION("""COMPUTED_VALUE"""),"Westfalia/Witter")</f>
        <v>Westfalia/Witter</v>
      </c>
    </row>
    <row r="6429">
      <c r="A6429" t="str">
        <f>IFERROR(__xludf.DUMMYFUNCTION("""COMPUTED_VALUE"""),"AD62Q")</f>
        <v>AD62Q</v>
      </c>
      <c r="C6429" t="str">
        <f>IFERROR(__xludf.DUMMYFUNCTION("""COMPUTED_VALUE"""),"Westfalia/Witter")</f>
        <v>Westfalia/Witter</v>
      </c>
    </row>
    <row r="6430">
      <c r="A6430" t="str">
        <f>IFERROR(__xludf.DUMMYFUNCTION("""COMPUTED_VALUE"""),"322063600001")</f>
        <v>322063600001</v>
      </c>
      <c r="C6430" t="str">
        <f>IFERROR(__xludf.DUMMYFUNCTION("""COMPUTED_VALUE"""),"Westfalia/Witter")</f>
        <v>Westfalia/Witter</v>
      </c>
    </row>
    <row r="6431">
      <c r="A6431" t="str">
        <f>IFERROR(__xludf.DUMMYFUNCTION("""COMPUTED_VALUE"""),"322063600001")</f>
        <v>322063600001</v>
      </c>
      <c r="C6431" t="str">
        <f>IFERROR(__xludf.DUMMYFUNCTION("""COMPUTED_VALUE"""),"Westfalia/Witter")</f>
        <v>Westfalia/Witter</v>
      </c>
    </row>
    <row r="6432">
      <c r="A6432" t="str">
        <f>IFERROR(__xludf.DUMMYFUNCTION("""COMPUTED_VALUE"""),"322063600001")</f>
        <v>322063600001</v>
      </c>
      <c r="C6432" t="str">
        <f>IFERROR(__xludf.DUMMYFUNCTION("""COMPUTED_VALUE"""),"Westfalia/Witter")</f>
        <v>Westfalia/Witter</v>
      </c>
    </row>
    <row r="6433">
      <c r="A6433" t="str">
        <f>IFERROR(__xludf.DUMMYFUNCTION("""COMPUTED_VALUE"""),"322064600001")</f>
        <v>322064600001</v>
      </c>
      <c r="C6433" t="str">
        <f>IFERROR(__xludf.DUMMYFUNCTION("""COMPUTED_VALUE"""),"Westfalia/Witter")</f>
        <v>Westfalia/Witter</v>
      </c>
    </row>
    <row r="6434">
      <c r="A6434" t="str">
        <f>IFERROR(__xludf.DUMMYFUNCTION("""COMPUTED_VALUE"""),"322064600001")</f>
        <v>322064600001</v>
      </c>
      <c r="C6434" t="str">
        <f>IFERROR(__xludf.DUMMYFUNCTION("""COMPUTED_VALUE"""),"Westfalia/Witter")</f>
        <v>Westfalia/Witter</v>
      </c>
    </row>
    <row r="6435">
      <c r="A6435" t="str">
        <f>IFERROR(__xludf.DUMMYFUNCTION("""COMPUTED_VALUE"""),"322064600001")</f>
        <v>322064600001</v>
      </c>
      <c r="C6435" t="str">
        <f>IFERROR(__xludf.DUMMYFUNCTION("""COMPUTED_VALUE"""),"Westfalia/Witter")</f>
        <v>Westfalia/Witter</v>
      </c>
    </row>
    <row r="6436">
      <c r="A6436" t="str">
        <f>IFERROR(__xludf.DUMMYFUNCTION("""COMPUTED_VALUE"""),"322070600001")</f>
        <v>322070600001</v>
      </c>
      <c r="C6436" t="str">
        <f>IFERROR(__xludf.DUMMYFUNCTION("""COMPUTED_VALUE"""),"Westfalia/Witter")</f>
        <v>Westfalia/Witter</v>
      </c>
    </row>
    <row r="6437">
      <c r="A6437" t="str">
        <f>IFERROR(__xludf.DUMMYFUNCTION("""COMPUTED_VALUE"""),"322070600001")</f>
        <v>322070600001</v>
      </c>
      <c r="C6437" t="str">
        <f>IFERROR(__xludf.DUMMYFUNCTION("""COMPUTED_VALUE"""),"Westfalia/Witter")</f>
        <v>Westfalia/Witter</v>
      </c>
    </row>
    <row r="6438">
      <c r="A6438" t="str">
        <f>IFERROR(__xludf.DUMMYFUNCTION("""COMPUTED_VALUE"""),"322070600001")</f>
        <v>322070600001</v>
      </c>
      <c r="C6438" t="str">
        <f>IFERROR(__xludf.DUMMYFUNCTION("""COMPUTED_VALUE"""),"Westfalia/Witter")</f>
        <v>Westfalia/Witter</v>
      </c>
    </row>
    <row r="6439">
      <c r="A6439" t="str">
        <f>IFERROR(__xludf.DUMMYFUNCTION("""COMPUTED_VALUE"""),"322069600001")</f>
        <v>322069600001</v>
      </c>
      <c r="C6439" t="str">
        <f>IFERROR(__xludf.DUMMYFUNCTION("""COMPUTED_VALUE"""),"Westfalia/Witter")</f>
        <v>Westfalia/Witter</v>
      </c>
    </row>
    <row r="6440">
      <c r="A6440" t="str">
        <f>IFERROR(__xludf.DUMMYFUNCTION("""COMPUTED_VALUE"""),"322069600001")</f>
        <v>322069600001</v>
      </c>
      <c r="C6440" t="str">
        <f>IFERROR(__xludf.DUMMYFUNCTION("""COMPUTED_VALUE"""),"Westfalia/Witter")</f>
        <v>Westfalia/Witter</v>
      </c>
    </row>
    <row r="6441">
      <c r="A6441" t="str">
        <f>IFERROR(__xludf.DUMMYFUNCTION("""COMPUTED_VALUE"""),"322069600001")</f>
        <v>322069600001</v>
      </c>
      <c r="C6441" t="str">
        <f>IFERROR(__xludf.DUMMYFUNCTION("""COMPUTED_VALUE"""),"Westfalia/Witter")</f>
        <v>Westfalia/Witter</v>
      </c>
    </row>
    <row r="6442">
      <c r="A6442" t="str">
        <f>IFERROR(__xludf.DUMMYFUNCTION("""COMPUTED_VALUE"""),"VW90BQ")</f>
        <v>VW90BQ</v>
      </c>
      <c r="C6442" t="str">
        <f>IFERROR(__xludf.DUMMYFUNCTION("""COMPUTED_VALUE"""),"Westfalia/Witter")</f>
        <v>Westfalia/Witter</v>
      </c>
    </row>
    <row r="6443">
      <c r="A6443" t="str">
        <f>IFERROR(__xludf.DUMMYFUNCTION("""COMPUTED_VALUE"""),"VW90BQ")</f>
        <v>VW90BQ</v>
      </c>
      <c r="C6443" t="str">
        <f>IFERROR(__xludf.DUMMYFUNCTION("""COMPUTED_VALUE"""),"Westfalia/Witter")</f>
        <v>Westfalia/Witter</v>
      </c>
    </row>
    <row r="6444">
      <c r="A6444" t="str">
        <f>IFERROR(__xludf.DUMMYFUNCTION("""COMPUTED_VALUE"""),"VW90BQ")</f>
        <v>VW90BQ</v>
      </c>
      <c r="C6444" t="str">
        <f>IFERROR(__xludf.DUMMYFUNCTION("""COMPUTED_VALUE"""),"Westfalia/Witter")</f>
        <v>Westfalia/Witter</v>
      </c>
    </row>
    <row r="6445">
      <c r="A6445" t="str">
        <f>IFERROR(__xludf.DUMMYFUNCTION("""COMPUTED_VALUE"""),"VW90BS")</f>
        <v>VW90BS</v>
      </c>
      <c r="C6445" t="str">
        <f>IFERROR(__xludf.DUMMYFUNCTION("""COMPUTED_VALUE"""),"Westfalia/Witter")</f>
        <v>Westfalia/Witter</v>
      </c>
    </row>
    <row r="6446">
      <c r="A6446" t="str">
        <f>IFERROR(__xludf.DUMMYFUNCTION("""COMPUTED_VALUE"""),"VW90BS")</f>
        <v>VW90BS</v>
      </c>
      <c r="C6446" t="str">
        <f>IFERROR(__xludf.DUMMYFUNCTION("""COMPUTED_VALUE"""),"Westfalia/Witter")</f>
        <v>Westfalia/Witter</v>
      </c>
    </row>
    <row r="6447">
      <c r="A6447" t="str">
        <f>IFERROR(__xludf.DUMMYFUNCTION("""COMPUTED_VALUE"""),"VW90BS")</f>
        <v>VW90BS</v>
      </c>
      <c r="C6447" t="str">
        <f>IFERROR(__xludf.DUMMYFUNCTION("""COMPUTED_VALUE"""),"Westfalia/Witter")</f>
        <v>Westfalia/Witter</v>
      </c>
    </row>
    <row r="6448">
      <c r="A6448" t="str">
        <f>IFERROR(__xludf.DUMMYFUNCTION("""COMPUTED_VALUE"""),"VW96")</f>
        <v>VW96</v>
      </c>
      <c r="C6448" t="str">
        <f>IFERROR(__xludf.DUMMYFUNCTION("""COMPUTED_VALUE"""),"Westfalia/Witter")</f>
        <v>Westfalia/Witter</v>
      </c>
    </row>
    <row r="6449">
      <c r="A6449" t="str">
        <f>IFERROR(__xludf.DUMMYFUNCTION("""COMPUTED_VALUE"""),"VW96Q")</f>
        <v>VW96Q</v>
      </c>
      <c r="C6449" t="str">
        <f>IFERROR(__xludf.DUMMYFUNCTION("""COMPUTED_VALUE"""),"Westfalia/Witter")</f>
        <v>Westfalia/Witter</v>
      </c>
    </row>
    <row r="6450">
      <c r="A6450" t="str">
        <f>IFERROR(__xludf.DUMMYFUNCTION("""COMPUTED_VALUE"""),"VW96Q")</f>
        <v>VW96Q</v>
      </c>
      <c r="C6450" t="str">
        <f>IFERROR(__xludf.DUMMYFUNCTION("""COMPUTED_VALUE"""),"Westfalia/Witter")</f>
        <v>Westfalia/Witter</v>
      </c>
    </row>
    <row r="6451">
      <c r="A6451" t="str">
        <f>IFERROR(__xludf.DUMMYFUNCTION("""COMPUTED_VALUE"""),"VW96Q")</f>
        <v>VW96Q</v>
      </c>
      <c r="C6451" t="str">
        <f>IFERROR(__xludf.DUMMYFUNCTION("""COMPUTED_VALUE"""),"Westfalia/Witter")</f>
        <v>Westfalia/Witter</v>
      </c>
    </row>
    <row r="6452">
      <c r="A6452" t="str">
        <f>IFERROR(__xludf.DUMMYFUNCTION("""COMPUTED_VALUE"""),"303431600001")</f>
        <v>303431600001</v>
      </c>
      <c r="C6452" t="str">
        <f>IFERROR(__xludf.DUMMYFUNCTION("""COMPUTED_VALUE"""),"Westfalia/Witter")</f>
        <v>Westfalia/Witter</v>
      </c>
    </row>
    <row r="6453">
      <c r="A6453" t="str">
        <f>IFERROR(__xludf.DUMMYFUNCTION("""COMPUTED_VALUE"""),"303386600001")</f>
        <v>303386600001</v>
      </c>
      <c r="C6453" t="str">
        <f>IFERROR(__xludf.DUMMYFUNCTION("""COMPUTED_VALUE"""),"Westfalia/Witter")</f>
        <v>Westfalia/Witter</v>
      </c>
    </row>
    <row r="6454">
      <c r="A6454" t="str">
        <f>IFERROR(__xludf.DUMMYFUNCTION("""COMPUTED_VALUE"""),"303386600001")</f>
        <v>303386600001</v>
      </c>
      <c r="C6454" t="str">
        <f>IFERROR(__xludf.DUMMYFUNCTION("""COMPUTED_VALUE"""),"Westfalia/Witter")</f>
        <v>Westfalia/Witter</v>
      </c>
    </row>
    <row r="6455">
      <c r="A6455" t="str">
        <f>IFERROR(__xludf.DUMMYFUNCTION("""COMPUTED_VALUE"""),"303387600001")</f>
        <v>303387600001</v>
      </c>
      <c r="C6455" t="str">
        <f>IFERROR(__xludf.DUMMYFUNCTION("""COMPUTED_VALUE"""),"Westfalia/Witter")</f>
        <v>Westfalia/Witter</v>
      </c>
    </row>
    <row r="6456">
      <c r="A6456" t="str">
        <f>IFERROR(__xludf.DUMMYFUNCTION("""COMPUTED_VALUE"""),"303387600001")</f>
        <v>303387600001</v>
      </c>
      <c r="C6456" t="str">
        <f>IFERROR(__xludf.DUMMYFUNCTION("""COMPUTED_VALUE"""),"Westfalia/Witter")</f>
        <v>Westfalia/Witter</v>
      </c>
    </row>
    <row r="6457">
      <c r="A6457" t="str">
        <f>IFERROR(__xludf.DUMMYFUNCTION("""COMPUTED_VALUE"""),"BM51Q")</f>
        <v>BM51Q</v>
      </c>
      <c r="C6457" t="str">
        <f>IFERROR(__xludf.DUMMYFUNCTION("""COMPUTED_VALUE"""),"Westfalia/Witter")</f>
        <v>Westfalia/Witter</v>
      </c>
    </row>
    <row r="6458">
      <c r="A6458" t="str">
        <f>IFERROR(__xludf.DUMMYFUNCTION("""COMPUTED_VALUE"""),"BM51Q")</f>
        <v>BM51Q</v>
      </c>
      <c r="C6458" t="str">
        <f>IFERROR(__xludf.DUMMYFUNCTION("""COMPUTED_VALUE"""),"Westfalia/Witter")</f>
        <v>Westfalia/Witter</v>
      </c>
    </row>
    <row r="6459">
      <c r="A6459" t="str">
        <f>IFERROR(__xludf.DUMMYFUNCTION("""COMPUTED_VALUE"""),"BM51S")</f>
        <v>BM51S</v>
      </c>
      <c r="C6459" t="str">
        <f>IFERROR(__xludf.DUMMYFUNCTION("""COMPUTED_VALUE"""),"Westfalia/Witter")</f>
        <v>Westfalia/Witter</v>
      </c>
    </row>
    <row r="6460">
      <c r="A6460" t="str">
        <f>IFERROR(__xludf.DUMMYFUNCTION("""COMPUTED_VALUE"""),"BM51S")</f>
        <v>BM51S</v>
      </c>
      <c r="C6460" t="str">
        <f>IFERROR(__xludf.DUMMYFUNCTION("""COMPUTED_VALUE"""),"Westfalia/Witter")</f>
        <v>Westfalia/Witter</v>
      </c>
    </row>
    <row r="6461">
      <c r="A6461" t="str">
        <f>IFERROR(__xludf.DUMMYFUNCTION("""COMPUTED_VALUE"""),"BM46AQ")</f>
        <v>BM46AQ</v>
      </c>
      <c r="C6461" t="str">
        <f>IFERROR(__xludf.DUMMYFUNCTION("""COMPUTED_VALUE"""),"Westfalia/Witter")</f>
        <v>Westfalia/Witter</v>
      </c>
    </row>
    <row r="6462">
      <c r="A6462" t="str">
        <f>IFERROR(__xludf.DUMMYFUNCTION("""COMPUTED_VALUE"""),"BM46AQ")</f>
        <v>BM46AQ</v>
      </c>
      <c r="C6462" t="str">
        <f>IFERROR(__xludf.DUMMYFUNCTION("""COMPUTED_VALUE"""),"Westfalia/Witter")</f>
        <v>Westfalia/Witter</v>
      </c>
    </row>
    <row r="6463">
      <c r="A6463" t="str">
        <f>IFERROR(__xludf.DUMMYFUNCTION("""COMPUTED_VALUE"""),"BM46AS")</f>
        <v>BM46AS</v>
      </c>
      <c r="C6463" t="str">
        <f>IFERROR(__xludf.DUMMYFUNCTION("""COMPUTED_VALUE"""),"Westfalia/Witter")</f>
        <v>Westfalia/Witter</v>
      </c>
    </row>
    <row r="6464">
      <c r="A6464" t="str">
        <f>IFERROR(__xludf.DUMMYFUNCTION("""COMPUTED_VALUE"""),"BM46AS")</f>
        <v>BM46AS</v>
      </c>
      <c r="C6464" t="str">
        <f>IFERROR(__xludf.DUMMYFUNCTION("""COMPUTED_VALUE"""),"Westfalia/Witter")</f>
        <v>Westfalia/Witter</v>
      </c>
    </row>
    <row r="6465">
      <c r="A6465" t="str">
        <f>IFERROR(__xludf.DUMMYFUNCTION("""COMPUTED_VALUE"""),"BM48Q")</f>
        <v>BM48Q</v>
      </c>
      <c r="C6465" t="str">
        <f>IFERROR(__xludf.DUMMYFUNCTION("""COMPUTED_VALUE"""),"Westfalia/Witter")</f>
        <v>Westfalia/Witter</v>
      </c>
    </row>
    <row r="6466">
      <c r="A6466" t="str">
        <f>IFERROR(__xludf.DUMMYFUNCTION("""COMPUTED_VALUE"""),"BM48S")</f>
        <v>BM48S</v>
      </c>
      <c r="C6466" t="str">
        <f>IFERROR(__xludf.DUMMYFUNCTION("""COMPUTED_VALUE"""),"Westfalia/Witter")</f>
        <v>Westfalia/Witter</v>
      </c>
    </row>
    <row r="6467">
      <c r="A6467" t="str">
        <f>IFERROR(__xludf.DUMMYFUNCTION("""COMPUTED_VALUE"""),"BM36QF")</f>
        <v>BM36QF</v>
      </c>
      <c r="C6467" t="str">
        <f>IFERROR(__xludf.DUMMYFUNCTION("""COMPUTED_VALUE"""),"Westfalia/Witter")</f>
        <v>Westfalia/Witter</v>
      </c>
    </row>
    <row r="6468">
      <c r="A6468" t="str">
        <f>IFERROR(__xludf.DUMMYFUNCTION("""COMPUTED_VALUE"""),"BM47Q")</f>
        <v>BM47Q</v>
      </c>
      <c r="C6468" t="str">
        <f>IFERROR(__xludf.DUMMYFUNCTION("""COMPUTED_VALUE"""),"Westfalia/Witter")</f>
        <v>Westfalia/Witter</v>
      </c>
    </row>
    <row r="6469">
      <c r="A6469" t="str">
        <f>IFERROR(__xludf.DUMMYFUNCTION("""COMPUTED_VALUE"""),"BM47Q")</f>
        <v>BM47Q</v>
      </c>
      <c r="C6469" t="str">
        <f>IFERROR(__xludf.DUMMYFUNCTION("""COMPUTED_VALUE"""),"Westfalia/Witter")</f>
        <v>Westfalia/Witter</v>
      </c>
    </row>
    <row r="6470">
      <c r="A6470" t="str">
        <f>IFERROR(__xludf.DUMMYFUNCTION("""COMPUTED_VALUE"""),"303477600001")</f>
        <v>303477600001</v>
      </c>
      <c r="C6470" t="str">
        <f>IFERROR(__xludf.DUMMYFUNCTION("""COMPUTED_VALUE"""),"Westfalia/Witter")</f>
        <v>Westfalia/Witter</v>
      </c>
    </row>
    <row r="6471">
      <c r="A6471" t="str">
        <f>IFERROR(__xludf.DUMMYFUNCTION("""COMPUTED_VALUE"""),"303478600001")</f>
        <v>303478600001</v>
      </c>
      <c r="C6471" t="str">
        <f>IFERROR(__xludf.DUMMYFUNCTION("""COMPUTED_VALUE"""),"Westfalia/Witter")</f>
        <v>Westfalia/Witter</v>
      </c>
    </row>
    <row r="6472">
      <c r="A6472" t="str">
        <f>IFERROR(__xludf.DUMMYFUNCTION("""COMPUTED_VALUE"""),"303483600001")</f>
        <v>303483600001</v>
      </c>
      <c r="C6472" t="str">
        <f>IFERROR(__xludf.DUMMYFUNCTION("""COMPUTED_VALUE"""),"Westfalia/Witter")</f>
        <v>Westfalia/Witter</v>
      </c>
    </row>
    <row r="6473">
      <c r="A6473" t="str">
        <f>IFERROR(__xludf.DUMMYFUNCTION("""COMPUTED_VALUE"""),"BM49Q")</f>
        <v>BM49Q</v>
      </c>
      <c r="C6473" t="str">
        <f>IFERROR(__xludf.DUMMYFUNCTION("""COMPUTED_VALUE"""),"Westfalia/Witter")</f>
        <v>Westfalia/Witter</v>
      </c>
    </row>
    <row r="6474">
      <c r="A6474" t="str">
        <f>IFERROR(__xludf.DUMMYFUNCTION("""COMPUTED_VALUE"""),"303484600001")</f>
        <v>303484600001</v>
      </c>
      <c r="C6474" t="str">
        <f>IFERROR(__xludf.DUMMYFUNCTION("""COMPUTED_VALUE"""),"Westfalia/Witter")</f>
        <v>Westfalia/Witter</v>
      </c>
    </row>
    <row r="6475">
      <c r="A6475" t="str">
        <f>IFERROR(__xludf.DUMMYFUNCTION("""COMPUTED_VALUE"""),"303485600001")</f>
        <v>303485600001</v>
      </c>
      <c r="C6475" t="str">
        <f>IFERROR(__xludf.DUMMYFUNCTION("""COMPUTED_VALUE"""),"Westfalia/Witter")</f>
        <v>Westfalia/Witter</v>
      </c>
    </row>
    <row r="6476">
      <c r="A6476" t="str">
        <f>IFERROR(__xludf.DUMMYFUNCTION("""COMPUTED_VALUE"""),"342140600001")</f>
        <v>342140600001</v>
      </c>
      <c r="C6476" t="str">
        <f>IFERROR(__xludf.DUMMYFUNCTION("""COMPUTED_VALUE"""),"Westfalia/Witter")</f>
        <v>Westfalia/Witter</v>
      </c>
    </row>
    <row r="6477">
      <c r="A6477" t="str">
        <f>IFERROR(__xludf.DUMMYFUNCTION("""COMPUTED_VALUE"""),"342182600001")</f>
        <v>342182600001</v>
      </c>
      <c r="C6477" t="str">
        <f>IFERROR(__xludf.DUMMYFUNCTION("""COMPUTED_VALUE"""),"Westfalia/Witter")</f>
        <v>Westfalia/Witter</v>
      </c>
    </row>
    <row r="6478">
      <c r="A6478" t="str">
        <f>IFERROR(__xludf.DUMMYFUNCTION("""COMPUTED_VALUE"""),"342183600001")</f>
        <v>342183600001</v>
      </c>
      <c r="C6478" t="str">
        <f>IFERROR(__xludf.DUMMYFUNCTION("""COMPUTED_VALUE"""),"Westfalia/Witter")</f>
        <v>Westfalia/Witter</v>
      </c>
    </row>
    <row r="6479">
      <c r="A6479" t="str">
        <f>IFERROR(__xludf.DUMMYFUNCTION("""COMPUTED_VALUE"""),"314418600001")</f>
        <v>314418600001</v>
      </c>
      <c r="C6479" t="str">
        <f>IFERROR(__xludf.DUMMYFUNCTION("""COMPUTED_VALUE"""),"Westfalia/Witter")</f>
        <v>Westfalia/Witter</v>
      </c>
    </row>
    <row r="6480">
      <c r="A6480" t="str">
        <f>IFERROR(__xludf.DUMMYFUNCTION("""COMPUTED_VALUE"""),"349046600001")</f>
        <v>349046600001</v>
      </c>
      <c r="C6480" t="str">
        <f>IFERROR(__xludf.DUMMYFUNCTION("""COMPUTED_VALUE"""),"Westfalia/Witter")</f>
        <v>Westfalia/Witter</v>
      </c>
    </row>
    <row r="6481">
      <c r="A6481" t="str">
        <f>IFERROR(__xludf.DUMMYFUNCTION("""COMPUTED_VALUE"""),"342152600001")</f>
        <v>342152600001</v>
      </c>
      <c r="C6481" t="str">
        <f>IFERROR(__xludf.DUMMYFUNCTION("""COMPUTED_VALUE"""),"Westfalia/Witter")</f>
        <v>Westfalia/Witter</v>
      </c>
    </row>
    <row r="6482">
      <c r="A6482" t="str">
        <f>IFERROR(__xludf.DUMMYFUNCTION("""COMPUTED_VALUE"""),"342189600001")</f>
        <v>342189600001</v>
      </c>
      <c r="C6482" t="str">
        <f>IFERROR(__xludf.DUMMYFUNCTION("""COMPUTED_VALUE"""),"Westfalia/Witter")</f>
        <v>Westfalia/Witter</v>
      </c>
    </row>
    <row r="6483">
      <c r="A6483" t="str">
        <f>IFERROR(__xludf.DUMMYFUNCTION("""COMPUTED_VALUE"""),"342154600001")</f>
        <v>342154600001</v>
      </c>
      <c r="C6483" t="str">
        <f>IFERROR(__xludf.DUMMYFUNCTION("""COMPUTED_VALUE"""),"Westfalia/Witter")</f>
        <v>Westfalia/Witter</v>
      </c>
    </row>
    <row r="6484">
      <c r="A6484" t="str">
        <f>IFERROR(__xludf.DUMMYFUNCTION("""COMPUTED_VALUE"""),"304209600001")</f>
        <v>304209600001</v>
      </c>
      <c r="C6484" t="str">
        <f>IFERROR(__xludf.DUMMYFUNCTION("""COMPUTED_VALUE"""),"Westfalia/Witter")</f>
        <v>Westfalia/Witter</v>
      </c>
    </row>
    <row r="6485">
      <c r="A6485" t="str">
        <f>IFERROR(__xludf.DUMMYFUNCTION("""COMPUTED_VALUE"""),"304211600001")</f>
        <v>304211600001</v>
      </c>
      <c r="C6485" t="str">
        <f>IFERROR(__xludf.DUMMYFUNCTION("""COMPUTED_VALUE"""),"Westfalia/Witter")</f>
        <v>Westfalia/Witter</v>
      </c>
    </row>
    <row r="6486">
      <c r="A6486" t="str">
        <f>IFERROR(__xludf.DUMMYFUNCTION("""COMPUTED_VALUE"""),"304207600001")</f>
        <v>304207600001</v>
      </c>
      <c r="C6486" t="str">
        <f>IFERROR(__xludf.DUMMYFUNCTION("""COMPUTED_VALUE"""),"Westfalia/Witter")</f>
        <v>Westfalia/Witter</v>
      </c>
    </row>
    <row r="6487">
      <c r="A6487" t="str">
        <f>IFERROR(__xludf.DUMMYFUNCTION("""COMPUTED_VALUE"""),"304207600001")</f>
        <v>304207600001</v>
      </c>
      <c r="C6487" t="str">
        <f>IFERROR(__xludf.DUMMYFUNCTION("""COMPUTED_VALUE"""),"Westfalia/Witter")</f>
        <v>Westfalia/Witter</v>
      </c>
    </row>
    <row r="6488">
      <c r="A6488" t="str">
        <f>IFERROR(__xludf.DUMMYFUNCTION("""COMPUTED_VALUE"""),"304207600001")</f>
        <v>304207600001</v>
      </c>
      <c r="C6488" t="str">
        <f>IFERROR(__xludf.DUMMYFUNCTION("""COMPUTED_VALUE"""),"Westfalia/Witter")</f>
        <v>Westfalia/Witter</v>
      </c>
    </row>
    <row r="6489">
      <c r="A6489" t="str">
        <f>IFERROR(__xludf.DUMMYFUNCTION("""COMPUTED_VALUE"""),"304207600001")</f>
        <v>304207600001</v>
      </c>
      <c r="C6489" t="str">
        <f>IFERROR(__xludf.DUMMYFUNCTION("""COMPUTED_VALUE"""),"Westfalia/Witter")</f>
        <v>Westfalia/Witter</v>
      </c>
    </row>
    <row r="6490">
      <c r="A6490" t="str">
        <f>IFERROR(__xludf.DUMMYFUNCTION("""COMPUTED_VALUE"""),"304210600001")</f>
        <v>304210600001</v>
      </c>
      <c r="C6490" t="str">
        <f>IFERROR(__xludf.DUMMYFUNCTION("""COMPUTED_VALUE"""),"Westfalia/Witter")</f>
        <v>Westfalia/Witter</v>
      </c>
    </row>
    <row r="6491">
      <c r="A6491" t="str">
        <f>IFERROR(__xludf.DUMMYFUNCTION("""COMPUTED_VALUE"""),"304210600001")</f>
        <v>304210600001</v>
      </c>
      <c r="C6491" t="str">
        <f>IFERROR(__xludf.DUMMYFUNCTION("""COMPUTED_VALUE"""),"Westfalia/Witter")</f>
        <v>Westfalia/Witter</v>
      </c>
    </row>
    <row r="6492">
      <c r="A6492" t="str">
        <f>IFERROR(__xludf.DUMMYFUNCTION("""COMPUTED_VALUE"""),"304210600001")</f>
        <v>304210600001</v>
      </c>
      <c r="C6492" t="str">
        <f>IFERROR(__xludf.DUMMYFUNCTION("""COMPUTED_VALUE"""),"Westfalia/Witter")</f>
        <v>Westfalia/Witter</v>
      </c>
    </row>
    <row r="6493">
      <c r="A6493" t="str">
        <f>IFERROR(__xludf.DUMMYFUNCTION("""COMPUTED_VALUE"""),"304210600001")</f>
        <v>304210600001</v>
      </c>
      <c r="C6493" t="str">
        <f>IFERROR(__xludf.DUMMYFUNCTION("""COMPUTED_VALUE"""),"Westfalia/Witter")</f>
        <v>Westfalia/Witter</v>
      </c>
    </row>
    <row r="6494">
      <c r="A6494" t="str">
        <f>IFERROR(__xludf.DUMMYFUNCTION("""COMPUTED_VALUE"""),"304212600001")</f>
        <v>304212600001</v>
      </c>
      <c r="C6494" t="str">
        <f>IFERROR(__xludf.DUMMYFUNCTION("""COMPUTED_VALUE"""),"Westfalia/Witter")</f>
        <v>Westfalia/Witter</v>
      </c>
    </row>
    <row r="6495">
      <c r="A6495" t="str">
        <f>IFERROR(__xludf.DUMMYFUNCTION("""COMPUTED_VALUE"""),"304212600001")</f>
        <v>304212600001</v>
      </c>
      <c r="C6495" t="str">
        <f>IFERROR(__xludf.DUMMYFUNCTION("""COMPUTED_VALUE"""),"Westfalia/Witter")</f>
        <v>Westfalia/Witter</v>
      </c>
    </row>
    <row r="6496">
      <c r="A6496" t="str">
        <f>IFERROR(__xludf.DUMMYFUNCTION("""COMPUTED_VALUE"""),"304212600001")</f>
        <v>304212600001</v>
      </c>
      <c r="C6496" t="str">
        <f>IFERROR(__xludf.DUMMYFUNCTION("""COMPUTED_VALUE"""),"Westfalia/Witter")</f>
        <v>Westfalia/Witter</v>
      </c>
    </row>
    <row r="6497">
      <c r="A6497" t="str">
        <f>IFERROR(__xludf.DUMMYFUNCTION("""COMPUTED_VALUE"""),"304212600001")</f>
        <v>304212600001</v>
      </c>
      <c r="C6497" t="str">
        <f>IFERROR(__xludf.DUMMYFUNCTION("""COMPUTED_VALUE"""),"Westfalia/Witter")</f>
        <v>Westfalia/Witter</v>
      </c>
    </row>
    <row r="6498">
      <c r="A6498" t="str">
        <f>IFERROR(__xludf.DUMMYFUNCTION("""COMPUTED_VALUE"""),"315097600001")</f>
        <v>315097600001</v>
      </c>
      <c r="C6498" t="str">
        <f>IFERROR(__xludf.DUMMYFUNCTION("""COMPUTED_VALUE"""),"Westfalia/Witter")</f>
        <v>Westfalia/Witter</v>
      </c>
    </row>
    <row r="6499">
      <c r="A6499" t="str">
        <f>IFERROR(__xludf.DUMMYFUNCTION("""COMPUTED_VALUE"""),"335105600001")</f>
        <v>335105600001</v>
      </c>
      <c r="C6499" t="str">
        <f>IFERROR(__xludf.DUMMYFUNCTION("""COMPUTED_VALUE"""),"Westfalia/Witter")</f>
        <v>Westfalia/Witter</v>
      </c>
    </row>
    <row r="6500">
      <c r="A6500" t="str">
        <f>IFERROR(__xludf.DUMMYFUNCTION("""COMPUTED_VALUE"""),"335105600001")</f>
        <v>335105600001</v>
      </c>
      <c r="C6500" t="str">
        <f>IFERROR(__xludf.DUMMYFUNCTION("""COMPUTED_VALUE"""),"Westfalia/Witter")</f>
        <v>Westfalia/Witter</v>
      </c>
    </row>
    <row r="6501">
      <c r="A6501" t="str">
        <f>IFERROR(__xludf.DUMMYFUNCTION("""COMPUTED_VALUE"""),"335105600001")</f>
        <v>335105600001</v>
      </c>
      <c r="C6501" t="str">
        <f>IFERROR(__xludf.DUMMYFUNCTION("""COMPUTED_VALUE"""),"Westfalia/Witter")</f>
        <v>Westfalia/Witter</v>
      </c>
    </row>
    <row r="6502">
      <c r="A6502" t="str">
        <f>IFERROR(__xludf.DUMMYFUNCTION("""COMPUTED_VALUE"""),"335105600001")</f>
        <v>335105600001</v>
      </c>
      <c r="C6502" t="str">
        <f>IFERROR(__xludf.DUMMYFUNCTION("""COMPUTED_VALUE"""),"Westfalia/Witter")</f>
        <v>Westfalia/Witter</v>
      </c>
    </row>
    <row r="6503">
      <c r="A6503" t="str">
        <f>IFERROR(__xludf.DUMMYFUNCTION("""COMPUTED_VALUE"""),"TY191S")</f>
        <v>TY191S</v>
      </c>
      <c r="C6503" t="str">
        <f>IFERROR(__xludf.DUMMYFUNCTION("""COMPUTED_VALUE"""),"Westfalia/Witter")</f>
        <v>Westfalia/Witter</v>
      </c>
    </row>
    <row r="6504">
      <c r="A6504" t="str">
        <f>IFERROR(__xludf.DUMMYFUNCTION("""COMPUTED_VALUE"""),"TY191S")</f>
        <v>TY191S</v>
      </c>
      <c r="C6504" t="str">
        <f>IFERROR(__xludf.DUMMYFUNCTION("""COMPUTED_VALUE"""),"Westfalia/Witter")</f>
        <v>Westfalia/Witter</v>
      </c>
    </row>
    <row r="6505">
      <c r="A6505" t="str">
        <f>IFERROR(__xludf.DUMMYFUNCTION("""COMPUTED_VALUE"""),"TY191S")</f>
        <v>TY191S</v>
      </c>
      <c r="C6505" t="str">
        <f>IFERROR(__xludf.DUMMYFUNCTION("""COMPUTED_VALUE"""),"Westfalia/Witter")</f>
        <v>Westfalia/Witter</v>
      </c>
    </row>
    <row r="6506">
      <c r="A6506" t="str">
        <f>IFERROR(__xludf.DUMMYFUNCTION("""COMPUTED_VALUE"""),"TY191S")</f>
        <v>TY191S</v>
      </c>
      <c r="C6506" t="str">
        <f>IFERROR(__xludf.DUMMYFUNCTION("""COMPUTED_VALUE"""),"Westfalia/Witter")</f>
        <v>Westfalia/Witter</v>
      </c>
    </row>
    <row r="6507">
      <c r="A6507" t="str">
        <f>IFERROR(__xludf.DUMMYFUNCTION("""COMPUTED_VALUE"""),"335106600001")</f>
        <v>335106600001</v>
      </c>
      <c r="C6507" t="str">
        <f>IFERROR(__xludf.DUMMYFUNCTION("""COMPUTED_VALUE"""),"Westfalia/Witter")</f>
        <v>Westfalia/Witter</v>
      </c>
    </row>
    <row r="6508">
      <c r="A6508" t="str">
        <f>IFERROR(__xludf.DUMMYFUNCTION("""COMPUTED_VALUE"""),"335106600001")</f>
        <v>335106600001</v>
      </c>
      <c r="C6508" t="str">
        <f>IFERROR(__xludf.DUMMYFUNCTION("""COMPUTED_VALUE"""),"Westfalia/Witter")</f>
        <v>Westfalia/Witter</v>
      </c>
    </row>
    <row r="6509">
      <c r="A6509" t="str">
        <f>IFERROR(__xludf.DUMMYFUNCTION("""COMPUTED_VALUE"""),"335106600001")</f>
        <v>335106600001</v>
      </c>
      <c r="C6509" t="str">
        <f>IFERROR(__xludf.DUMMYFUNCTION("""COMPUTED_VALUE"""),"Westfalia/Witter")</f>
        <v>Westfalia/Witter</v>
      </c>
    </row>
    <row r="6510">
      <c r="A6510" t="str">
        <f>IFERROR(__xludf.DUMMYFUNCTION("""COMPUTED_VALUE"""),"335106600001")</f>
        <v>335106600001</v>
      </c>
      <c r="C6510" t="str">
        <f>IFERROR(__xludf.DUMMYFUNCTION("""COMPUTED_VALUE"""),"Westfalia/Witter")</f>
        <v>Westfalia/Witter</v>
      </c>
    </row>
    <row r="6511">
      <c r="A6511" t="str">
        <f>IFERROR(__xludf.DUMMYFUNCTION("""COMPUTED_VALUE"""),"TY191Q")</f>
        <v>TY191Q</v>
      </c>
      <c r="C6511" t="str">
        <f>IFERROR(__xludf.DUMMYFUNCTION("""COMPUTED_VALUE"""),"Westfalia/Witter")</f>
        <v>Westfalia/Witter</v>
      </c>
    </row>
    <row r="6512">
      <c r="A6512" t="str">
        <f>IFERROR(__xludf.DUMMYFUNCTION("""COMPUTED_VALUE"""),"TY191Q")</f>
        <v>TY191Q</v>
      </c>
      <c r="C6512" t="str">
        <f>IFERROR(__xludf.DUMMYFUNCTION("""COMPUTED_VALUE"""),"Westfalia/Witter")</f>
        <v>Westfalia/Witter</v>
      </c>
    </row>
    <row r="6513">
      <c r="A6513" t="str">
        <f>IFERROR(__xludf.DUMMYFUNCTION("""COMPUTED_VALUE"""),"TY191Q")</f>
        <v>TY191Q</v>
      </c>
      <c r="C6513" t="str">
        <f>IFERROR(__xludf.DUMMYFUNCTION("""COMPUTED_VALUE"""),"Westfalia/Witter")</f>
        <v>Westfalia/Witter</v>
      </c>
    </row>
    <row r="6514">
      <c r="A6514" t="str">
        <f>IFERROR(__xludf.DUMMYFUNCTION("""COMPUTED_VALUE"""),"TY191Q")</f>
        <v>TY191Q</v>
      </c>
      <c r="C6514" t="str">
        <f>IFERROR(__xludf.DUMMYFUNCTION("""COMPUTED_VALUE"""),"Westfalia/Witter")</f>
        <v>Westfalia/Witter</v>
      </c>
    </row>
    <row r="6515">
      <c r="A6515" t="str">
        <f>IFERROR(__xludf.DUMMYFUNCTION("""COMPUTED_VALUE"""),"316321600001")</f>
        <v>316321600001</v>
      </c>
      <c r="C6515" t="str">
        <f>IFERROR(__xludf.DUMMYFUNCTION("""COMPUTED_VALUE"""),"Westfalia/Witter")</f>
        <v>Westfalia/Witter</v>
      </c>
    </row>
    <row r="6516">
      <c r="A6516" t="str">
        <f>IFERROR(__xludf.DUMMYFUNCTION("""COMPUTED_VALUE"""),"316285600001")</f>
        <v>316285600001</v>
      </c>
      <c r="C6516" t="str">
        <f>IFERROR(__xludf.DUMMYFUNCTION("""COMPUTED_VALUE"""),"Westfalia/Witter")</f>
        <v>Westfalia/Witter</v>
      </c>
    </row>
    <row r="6517">
      <c r="A6517" t="str">
        <f>IFERROR(__xludf.DUMMYFUNCTION("""COMPUTED_VALUE"""),"306395600001")</f>
        <v>306395600001</v>
      </c>
      <c r="C6517" t="str">
        <f>IFERROR(__xludf.DUMMYFUNCTION("""COMPUTED_VALUE"""),"Westfalia/Witter")</f>
        <v>Westfalia/Witter</v>
      </c>
    </row>
    <row r="6518">
      <c r="A6518" t="str">
        <f>IFERROR(__xludf.DUMMYFUNCTION("""COMPUTED_VALUE"""),"342128600001")</f>
        <v>342128600001</v>
      </c>
      <c r="C6518" t="str">
        <f>IFERROR(__xludf.DUMMYFUNCTION("""COMPUTED_VALUE"""),"Westfalia/Witter")</f>
        <v>Westfalia/Witter</v>
      </c>
    </row>
    <row r="6519">
      <c r="A6519" t="str">
        <f>IFERROR(__xludf.DUMMYFUNCTION("""COMPUTED_VALUE"""),"342128600001")</f>
        <v>342128600001</v>
      </c>
      <c r="C6519" t="str">
        <f>IFERROR(__xludf.DUMMYFUNCTION("""COMPUTED_VALUE"""),"Westfalia/Witter")</f>
        <v>Westfalia/Witter</v>
      </c>
    </row>
    <row r="6520">
      <c r="A6520" t="str">
        <f>IFERROR(__xludf.DUMMYFUNCTION("""COMPUTED_VALUE"""),"342158600001")</f>
        <v>342158600001</v>
      </c>
      <c r="C6520" t="str">
        <f>IFERROR(__xludf.DUMMYFUNCTION("""COMPUTED_VALUE"""),"Westfalia/Witter")</f>
        <v>Westfalia/Witter</v>
      </c>
    </row>
    <row r="6521">
      <c r="A6521" t="str">
        <f>IFERROR(__xludf.DUMMYFUNCTION("""COMPUTED_VALUE"""),"342159600001")</f>
        <v>342159600001</v>
      </c>
      <c r="C6521" t="str">
        <f>IFERROR(__xludf.DUMMYFUNCTION("""COMPUTED_VALUE"""),"Westfalia/Witter")</f>
        <v>Westfalia/Witter</v>
      </c>
    </row>
    <row r="6522">
      <c r="A6522" t="str">
        <f>IFERROR(__xludf.DUMMYFUNCTION("""COMPUTED_VALUE"""),"342142600001")</f>
        <v>342142600001</v>
      </c>
      <c r="C6522" t="str">
        <f>IFERROR(__xludf.DUMMYFUNCTION("""COMPUTED_VALUE"""),"Westfalia/Witter")</f>
        <v>Westfalia/Witter</v>
      </c>
    </row>
    <row r="6523">
      <c r="A6523" t="str">
        <f>IFERROR(__xludf.DUMMYFUNCTION("""COMPUTED_VALUE"""),"FT81Q")</f>
        <v>FT81Q</v>
      </c>
      <c r="C6523" t="str">
        <f>IFERROR(__xludf.DUMMYFUNCTION("""COMPUTED_VALUE"""),"Westfalia/Witter")</f>
        <v>Westfalia/Witter</v>
      </c>
    </row>
    <row r="6524">
      <c r="A6524" t="str">
        <f>IFERROR(__xludf.DUMMYFUNCTION("""COMPUTED_VALUE"""),"06.8514")</f>
        <v>06.8514</v>
      </c>
      <c r="C6524" t="str">
        <f>IFERROR(__xludf.DUMMYFUNCTION("""COMPUTED_VALUE"""),"Westfalia/Witter")</f>
        <v>Westfalia/Witter</v>
      </c>
    </row>
    <row r="6525">
      <c r="A6525" t="str">
        <f>IFERROR(__xludf.DUMMYFUNCTION("""COMPUTED_VALUE"""),"306448600001")</f>
        <v>306448600001</v>
      </c>
      <c r="C6525" t="str">
        <f>IFERROR(__xludf.DUMMYFUNCTION("""COMPUTED_VALUE"""),"Westfalia/Witter")</f>
        <v>Westfalia/Witter</v>
      </c>
    </row>
    <row r="6526">
      <c r="A6526" t="str">
        <f>IFERROR(__xludf.DUMMYFUNCTION("""COMPUTED_VALUE"""),"F183Q")</f>
        <v>F183Q</v>
      </c>
      <c r="C6526" t="str">
        <f>IFERROR(__xludf.DUMMYFUNCTION("""COMPUTED_VALUE"""),"Westfalia/Witter")</f>
        <v>Westfalia/Witter</v>
      </c>
    </row>
    <row r="6527">
      <c r="A6527" t="str">
        <f>IFERROR(__xludf.DUMMYFUNCTION("""COMPUTED_VALUE"""),"F183S")</f>
        <v>F183S</v>
      </c>
      <c r="C6527" t="str">
        <f>IFERROR(__xludf.DUMMYFUNCTION("""COMPUTED_VALUE"""),"Westfalia/Witter")</f>
        <v>Westfalia/Witter</v>
      </c>
    </row>
    <row r="6528">
      <c r="A6528" t="str">
        <f>IFERROR(__xludf.DUMMYFUNCTION("""COMPUTED_VALUE"""),"F181AQ")</f>
        <v>F181AQ</v>
      </c>
      <c r="C6528" t="str">
        <f>IFERROR(__xludf.DUMMYFUNCTION("""COMPUTED_VALUE"""),"Westfalia/Witter")</f>
        <v>Westfalia/Witter</v>
      </c>
    </row>
    <row r="6529">
      <c r="A6529" t="str">
        <f>IFERROR(__xludf.DUMMYFUNCTION("""COMPUTED_VALUE"""),"F181AQ")</f>
        <v>F181AQ</v>
      </c>
      <c r="C6529" t="str">
        <f>IFERROR(__xludf.DUMMYFUNCTION("""COMPUTED_VALUE"""),"Westfalia/Witter")</f>
        <v>Westfalia/Witter</v>
      </c>
    </row>
    <row r="6530">
      <c r="A6530" t="str">
        <f>IFERROR(__xludf.DUMMYFUNCTION("""COMPUTED_VALUE"""),"F181AS")</f>
        <v>F181AS</v>
      </c>
      <c r="C6530" t="str">
        <f>IFERROR(__xludf.DUMMYFUNCTION("""COMPUTED_VALUE"""),"Westfalia/Witter")</f>
        <v>Westfalia/Witter</v>
      </c>
    </row>
    <row r="6531">
      <c r="A6531" t="str">
        <f>IFERROR(__xludf.DUMMYFUNCTION("""COMPUTED_VALUE"""),"F181AS")</f>
        <v>F181AS</v>
      </c>
      <c r="C6531" t="str">
        <f>IFERROR(__xludf.DUMMYFUNCTION("""COMPUTED_VALUE"""),"Westfalia/Witter")</f>
        <v>Westfalia/Witter</v>
      </c>
    </row>
    <row r="6532">
      <c r="A6532" t="str">
        <f>IFERROR(__xludf.DUMMYFUNCTION("""COMPUTED_VALUE"""),"F182Q")</f>
        <v>F182Q</v>
      </c>
      <c r="C6532" t="str">
        <f>IFERROR(__xludf.DUMMYFUNCTION("""COMPUTED_VALUE"""),"Westfalia/Witter")</f>
        <v>Westfalia/Witter</v>
      </c>
    </row>
    <row r="6533">
      <c r="A6533" t="str">
        <f>IFERROR(__xludf.DUMMYFUNCTION("""COMPUTED_VALUE"""),"F182Q")</f>
        <v>F182Q</v>
      </c>
      <c r="C6533" t="str">
        <f>IFERROR(__xludf.DUMMYFUNCTION("""COMPUTED_VALUE"""),"Westfalia/Witter")</f>
        <v>Westfalia/Witter</v>
      </c>
    </row>
    <row r="6534">
      <c r="A6534" t="str">
        <f>IFERROR(__xludf.DUMMYFUNCTION("""COMPUTED_VALUE"""),"F182S")</f>
        <v>F182S</v>
      </c>
      <c r="C6534" t="str">
        <f>IFERROR(__xludf.DUMMYFUNCTION("""COMPUTED_VALUE"""),"Westfalia/Witter")</f>
        <v>Westfalia/Witter</v>
      </c>
    </row>
    <row r="6535">
      <c r="A6535" t="str">
        <f>IFERROR(__xludf.DUMMYFUNCTION("""COMPUTED_VALUE"""),"F182S")</f>
        <v>F182S</v>
      </c>
      <c r="C6535" t="str">
        <f>IFERROR(__xludf.DUMMYFUNCTION("""COMPUTED_VALUE"""),"Westfalia/Witter")</f>
        <v>Westfalia/Witter</v>
      </c>
    </row>
    <row r="6536">
      <c r="A6536" t="str">
        <f>IFERROR(__xludf.DUMMYFUNCTION("""COMPUTED_VALUE"""),"307356600001")</f>
        <v>307356600001</v>
      </c>
      <c r="C6536" t="str">
        <f>IFERROR(__xludf.DUMMYFUNCTION("""COMPUTED_VALUE"""),"Westfalia/Witter")</f>
        <v>Westfalia/Witter</v>
      </c>
    </row>
    <row r="6537">
      <c r="A6537" t="str">
        <f>IFERROR(__xludf.DUMMYFUNCTION("""COMPUTED_VALUE"""),"307336600001")</f>
        <v>307336600001</v>
      </c>
      <c r="C6537" t="str">
        <f>IFERROR(__xludf.DUMMYFUNCTION("""COMPUTED_VALUE"""),"Westfalia/Witter")</f>
        <v>Westfalia/Witter</v>
      </c>
    </row>
    <row r="6538">
      <c r="A6538" t="str">
        <f>IFERROR(__xludf.DUMMYFUNCTION("""COMPUTED_VALUE"""),"307611600001")</f>
        <v>307611600001</v>
      </c>
      <c r="C6538" t="str">
        <f>IFERROR(__xludf.DUMMYFUNCTION("""COMPUTED_VALUE"""),"Westfalia/Witter")</f>
        <v>Westfalia/Witter</v>
      </c>
    </row>
    <row r="6539">
      <c r="A6539" t="str">
        <f>IFERROR(__xludf.DUMMYFUNCTION("""COMPUTED_VALUE"""),"307630600001")</f>
        <v>307630600001</v>
      </c>
      <c r="C6539" t="str">
        <f>IFERROR(__xludf.DUMMYFUNCTION("""COMPUTED_VALUE"""),"Westfalia/Witter")</f>
        <v>Westfalia/Witter</v>
      </c>
    </row>
    <row r="6540">
      <c r="A6540" t="str">
        <f>IFERROR(__xludf.DUMMYFUNCTION("""COMPUTED_VALUE"""),"F184")</f>
        <v>F184</v>
      </c>
      <c r="C6540" t="str">
        <f>IFERROR(__xludf.DUMMYFUNCTION("""COMPUTED_VALUE"""),"Westfalia/Witter")</f>
        <v>Westfalia/Witter</v>
      </c>
    </row>
    <row r="6541">
      <c r="A6541" t="str">
        <f>IFERROR(__xludf.DUMMYFUNCTION("""COMPUTED_VALUE"""),"F184Q")</f>
        <v>F184Q</v>
      </c>
      <c r="C6541" t="str">
        <f>IFERROR(__xludf.DUMMYFUNCTION("""COMPUTED_VALUE"""),"Westfalia/Witter")</f>
        <v>Westfalia/Witter</v>
      </c>
    </row>
    <row r="6542">
      <c r="A6542" t="str">
        <f>IFERROR(__xludf.DUMMYFUNCTION("""COMPUTED_VALUE"""),"F184S")</f>
        <v>F184S</v>
      </c>
      <c r="C6542" t="str">
        <f>IFERROR(__xludf.DUMMYFUNCTION("""COMPUTED_VALUE"""),"Westfalia/Witter")</f>
        <v>Westfalia/Witter</v>
      </c>
    </row>
    <row r="6543">
      <c r="A6543" t="str">
        <f>IFERROR(__xludf.DUMMYFUNCTION("""COMPUTED_VALUE"""),"338065600001")</f>
        <v>338065600001</v>
      </c>
      <c r="C6543" t="str">
        <f>IFERROR(__xludf.DUMMYFUNCTION("""COMPUTED_VALUE"""),"Westfalia/Witter")</f>
        <v>Westfalia/Witter</v>
      </c>
    </row>
    <row r="6544">
      <c r="A6544" t="str">
        <f>IFERROR(__xludf.DUMMYFUNCTION("""COMPUTED_VALUE"""),"338065600001")</f>
        <v>338065600001</v>
      </c>
      <c r="C6544" t="str">
        <f>IFERROR(__xludf.DUMMYFUNCTION("""COMPUTED_VALUE"""),"Westfalia/Witter")</f>
        <v>Westfalia/Witter</v>
      </c>
    </row>
    <row r="6545">
      <c r="A6545" t="str">
        <f>IFERROR(__xludf.DUMMYFUNCTION("""COMPUTED_VALUE"""),"338074600001")</f>
        <v>338074600001</v>
      </c>
      <c r="C6545" t="str">
        <f>IFERROR(__xludf.DUMMYFUNCTION("""COMPUTED_VALUE"""),"Westfalia/Witter")</f>
        <v>Westfalia/Witter</v>
      </c>
    </row>
    <row r="6546">
      <c r="A6546" t="str">
        <f>IFERROR(__xludf.DUMMYFUNCTION("""COMPUTED_VALUE"""),"338086600001")</f>
        <v>338086600001</v>
      </c>
      <c r="C6546" t="str">
        <f>IFERROR(__xludf.DUMMYFUNCTION("""COMPUTED_VALUE"""),"Westfalia/Witter")</f>
        <v>Westfalia/Witter</v>
      </c>
    </row>
    <row r="6547">
      <c r="A6547" t="str">
        <f>IFERROR(__xludf.DUMMYFUNCTION("""COMPUTED_VALUE"""),"HN74Q")</f>
        <v>HN74Q</v>
      </c>
      <c r="C6547" t="str">
        <f>IFERROR(__xludf.DUMMYFUNCTION("""COMPUTED_VALUE"""),"Westfalia/Witter")</f>
        <v>Westfalia/Witter</v>
      </c>
    </row>
    <row r="6548">
      <c r="A6548" t="str">
        <f>IFERROR(__xludf.DUMMYFUNCTION("""COMPUTED_VALUE"""),"HN74S")</f>
        <v>HN74S</v>
      </c>
      <c r="C6548" t="str">
        <f>IFERROR(__xludf.DUMMYFUNCTION("""COMPUTED_VALUE"""),"Westfalia/Witter")</f>
        <v>Westfalia/Witter</v>
      </c>
    </row>
    <row r="6549">
      <c r="A6549" t="str">
        <f>IFERROR(__xludf.DUMMYFUNCTION("""COMPUTED_VALUE"""),"338075600001")</f>
        <v>338075600001</v>
      </c>
      <c r="C6549" t="str">
        <f>IFERROR(__xludf.DUMMYFUNCTION("""COMPUTED_VALUE"""),"Westfalia/Witter")</f>
        <v>Westfalia/Witter</v>
      </c>
    </row>
    <row r="6550">
      <c r="A6550" t="str">
        <f>IFERROR(__xludf.DUMMYFUNCTION("""COMPUTED_VALUE"""),"346111600001")</f>
        <v>346111600001</v>
      </c>
      <c r="C6550" t="str">
        <f>IFERROR(__xludf.DUMMYFUNCTION("""COMPUTED_VALUE"""),"Westfalia/Witter")</f>
        <v>Westfalia/Witter</v>
      </c>
    </row>
    <row r="6551">
      <c r="A6551" t="str">
        <f>IFERROR(__xludf.DUMMYFUNCTION("""COMPUTED_VALUE"""),"346111600001")</f>
        <v>346111600001</v>
      </c>
      <c r="C6551" t="str">
        <f>IFERROR(__xludf.DUMMYFUNCTION("""COMPUTED_VALUE"""),"Westfalia/Witter")</f>
        <v>Westfalia/Witter</v>
      </c>
    </row>
    <row r="6552">
      <c r="A6552" t="str">
        <f>IFERROR(__xludf.DUMMYFUNCTION("""COMPUTED_VALUE"""),"346112600001")</f>
        <v>346112600001</v>
      </c>
      <c r="C6552" t="str">
        <f>IFERROR(__xludf.DUMMYFUNCTION("""COMPUTED_VALUE"""),"Westfalia/Witter")</f>
        <v>Westfalia/Witter</v>
      </c>
    </row>
    <row r="6553">
      <c r="A6553" t="str">
        <f>IFERROR(__xludf.DUMMYFUNCTION("""COMPUTED_VALUE"""),"346112600001")</f>
        <v>346112600001</v>
      </c>
      <c r="C6553" t="str">
        <f>IFERROR(__xludf.DUMMYFUNCTION("""COMPUTED_VALUE"""),"Westfalia/Witter")</f>
        <v>Westfalia/Witter</v>
      </c>
    </row>
    <row r="6554">
      <c r="A6554" t="str">
        <f>IFERROR(__xludf.DUMMYFUNCTION("""COMPUTED_VALUE"""),"HY66AQ")</f>
        <v>HY66AQ</v>
      </c>
      <c r="C6554" t="str">
        <f>IFERROR(__xludf.DUMMYFUNCTION("""COMPUTED_VALUE"""),"Westfalia/Witter")</f>
        <v>Westfalia/Witter</v>
      </c>
    </row>
    <row r="6555">
      <c r="A6555" t="str">
        <f>IFERROR(__xludf.DUMMYFUNCTION("""COMPUTED_VALUE"""),"HY66AQ")</f>
        <v>HY66AQ</v>
      </c>
      <c r="C6555" t="str">
        <f>IFERROR(__xludf.DUMMYFUNCTION("""COMPUTED_VALUE"""),"Westfalia/Witter")</f>
        <v>Westfalia/Witter</v>
      </c>
    </row>
    <row r="6556">
      <c r="A6556" t="str">
        <f>IFERROR(__xludf.DUMMYFUNCTION("""COMPUTED_VALUE"""),"HY66AS")</f>
        <v>HY66AS</v>
      </c>
      <c r="C6556" t="str">
        <f>IFERROR(__xludf.DUMMYFUNCTION("""COMPUTED_VALUE"""),"Westfalia/Witter")</f>
        <v>Westfalia/Witter</v>
      </c>
    </row>
    <row r="6557">
      <c r="A6557" t="str">
        <f>IFERROR(__xludf.DUMMYFUNCTION("""COMPUTED_VALUE"""),"HY66AS")</f>
        <v>HY66AS</v>
      </c>
      <c r="C6557" t="str">
        <f>IFERROR(__xludf.DUMMYFUNCTION("""COMPUTED_VALUE"""),"Westfalia/Witter")</f>
        <v>Westfalia/Witter</v>
      </c>
    </row>
    <row r="6558">
      <c r="A6558" t="str">
        <f>IFERROR(__xludf.DUMMYFUNCTION("""COMPUTED_VALUE"""),"345028600001")</f>
        <v>345028600001</v>
      </c>
      <c r="C6558" t="str">
        <f>IFERROR(__xludf.DUMMYFUNCTION("""COMPUTED_VALUE"""),"Westfalia/Witter")</f>
        <v>Westfalia/Witter</v>
      </c>
    </row>
    <row r="6559">
      <c r="A6559" t="str">
        <f>IFERROR(__xludf.DUMMYFUNCTION("""COMPUTED_VALUE"""),"345028600001")</f>
        <v>345028600001</v>
      </c>
      <c r="C6559" t="str">
        <f>IFERROR(__xludf.DUMMYFUNCTION("""COMPUTED_VALUE"""),"Westfalia/Witter")</f>
        <v>Westfalia/Witter</v>
      </c>
    </row>
    <row r="6560">
      <c r="A6560" t="str">
        <f>IFERROR(__xludf.DUMMYFUNCTION("""COMPUTED_VALUE"""),"345028600001")</f>
        <v>345028600001</v>
      </c>
      <c r="C6560" t="str">
        <f>IFERROR(__xludf.DUMMYFUNCTION("""COMPUTED_VALUE"""),"Westfalia/Witter")</f>
        <v>Westfalia/Witter</v>
      </c>
    </row>
    <row r="6561">
      <c r="A6561" t="str">
        <f>IFERROR(__xludf.DUMMYFUNCTION("""COMPUTED_VALUE"""),"HY69Q")</f>
        <v>HY69Q</v>
      </c>
      <c r="C6561" t="str">
        <f>IFERROR(__xludf.DUMMYFUNCTION("""COMPUTED_VALUE"""),"Westfalia/Witter")</f>
        <v>Westfalia/Witter</v>
      </c>
    </row>
    <row r="6562">
      <c r="A6562" t="str">
        <f>IFERROR(__xludf.DUMMYFUNCTION("""COMPUTED_VALUE"""),"346126600001")</f>
        <v>346126600001</v>
      </c>
      <c r="C6562" t="str">
        <f>IFERROR(__xludf.DUMMYFUNCTION("""COMPUTED_VALUE"""),"Westfalia/Witter")</f>
        <v>Westfalia/Witter</v>
      </c>
    </row>
    <row r="6563">
      <c r="A6563" t="str">
        <f>IFERROR(__xludf.DUMMYFUNCTION("""COMPUTED_VALUE"""),"HY70Q")</f>
        <v>HY70Q</v>
      </c>
      <c r="C6563" t="str">
        <f>IFERROR(__xludf.DUMMYFUNCTION("""COMPUTED_VALUE"""),"Westfalia/Witter")</f>
        <v>Westfalia/Witter</v>
      </c>
    </row>
    <row r="6564">
      <c r="A6564" t="str">
        <f>IFERROR(__xludf.DUMMYFUNCTION("""COMPUTED_VALUE"""),"HY70S")</f>
        <v>HY70S</v>
      </c>
      <c r="C6564" t="str">
        <f>IFERROR(__xludf.DUMMYFUNCTION("""COMPUTED_VALUE"""),"Westfalia/Witter")</f>
        <v>Westfalia/Witter</v>
      </c>
    </row>
    <row r="6565">
      <c r="A6565" t="str">
        <f>IFERROR(__xludf.DUMMYFUNCTION("""COMPUTED_VALUE"""),"342170600001")</f>
        <v>342170600001</v>
      </c>
      <c r="C6565" t="str">
        <f>IFERROR(__xludf.DUMMYFUNCTION("""COMPUTED_VALUE"""),"Westfalia/Witter")</f>
        <v>Westfalia/Witter</v>
      </c>
    </row>
    <row r="6566">
      <c r="A6566" t="str">
        <f>IFERROR(__xludf.DUMMYFUNCTION("""COMPUTED_VALUE"""),"J20Q")</f>
        <v>J20Q</v>
      </c>
      <c r="C6566" t="str">
        <f>IFERROR(__xludf.DUMMYFUNCTION("""COMPUTED_VALUE"""),"Westfalia/Witter")</f>
        <v>Westfalia/Witter</v>
      </c>
    </row>
    <row r="6567">
      <c r="A6567" t="str">
        <f>IFERROR(__xludf.DUMMYFUNCTION("""COMPUTED_VALUE"""),"J20S")</f>
        <v>J20S</v>
      </c>
      <c r="C6567" t="str">
        <f>IFERROR(__xludf.DUMMYFUNCTION("""COMPUTED_VALUE"""),"Westfalia/Witter")</f>
        <v>Westfalia/Witter</v>
      </c>
    </row>
    <row r="6568">
      <c r="A6568" t="str">
        <f>IFERROR(__xludf.DUMMYFUNCTION("""COMPUTED_VALUE"""),"323178600001")</f>
        <v>323178600001</v>
      </c>
      <c r="C6568" t="str">
        <f>IFERROR(__xludf.DUMMYFUNCTION("""COMPUTED_VALUE"""),"Westfalia/Witter")</f>
        <v>Westfalia/Witter</v>
      </c>
    </row>
    <row r="6569">
      <c r="A6569" t="str">
        <f>IFERROR(__xludf.DUMMYFUNCTION("""COMPUTED_VALUE"""),"323179600001")</f>
        <v>323179600001</v>
      </c>
      <c r="C6569" t="str">
        <f>IFERROR(__xludf.DUMMYFUNCTION("""COMPUTED_VALUE"""),"Westfalia/Witter")</f>
        <v>Westfalia/Witter</v>
      </c>
    </row>
    <row r="6570">
      <c r="A6570" t="str">
        <f>IFERROR(__xludf.DUMMYFUNCTION("""COMPUTED_VALUE"""),"J19Q")</f>
        <v>J19Q</v>
      </c>
      <c r="C6570" t="str">
        <f>IFERROR(__xludf.DUMMYFUNCTION("""COMPUTED_VALUE"""),"Westfalia/Witter")</f>
        <v>Westfalia/Witter</v>
      </c>
    </row>
    <row r="6571">
      <c r="A6571" t="str">
        <f>IFERROR(__xludf.DUMMYFUNCTION("""COMPUTED_VALUE"""),"J19S")</f>
        <v>J19S</v>
      </c>
      <c r="C6571" t="str">
        <f>IFERROR(__xludf.DUMMYFUNCTION("""COMPUTED_VALUE"""),"Westfalia/Witter")</f>
        <v>Westfalia/Witter</v>
      </c>
    </row>
    <row r="6572">
      <c r="A6572" t="str">
        <f>IFERROR(__xludf.DUMMYFUNCTION("""COMPUTED_VALUE"""),"323149600001")</f>
        <v>323149600001</v>
      </c>
      <c r="C6572" t="str">
        <f>IFERROR(__xludf.DUMMYFUNCTION("""COMPUTED_VALUE"""),"Westfalia/Witter")</f>
        <v>Westfalia/Witter</v>
      </c>
    </row>
    <row r="6573">
      <c r="A6573" t="str">
        <f>IFERROR(__xludf.DUMMYFUNCTION("""COMPUTED_VALUE"""),"323150600001")</f>
        <v>323150600001</v>
      </c>
      <c r="C6573" t="str">
        <f>IFERROR(__xludf.DUMMYFUNCTION("""COMPUTED_VALUE"""),"Westfalia/Witter")</f>
        <v>Westfalia/Witter</v>
      </c>
    </row>
    <row r="6574">
      <c r="A6574" t="str">
        <f>IFERROR(__xludf.DUMMYFUNCTION("""COMPUTED_VALUE"""),"306434600001")</f>
        <v>306434600001</v>
      </c>
      <c r="C6574" t="str">
        <f>IFERROR(__xludf.DUMMYFUNCTION("""COMPUTED_VALUE"""),"Westfalia/Witter")</f>
        <v>Westfalia/Witter</v>
      </c>
    </row>
    <row r="6575">
      <c r="A6575" t="str">
        <f>IFERROR(__xludf.DUMMYFUNCTION("""COMPUTED_VALUE"""),"306435600001")</f>
        <v>306435600001</v>
      </c>
      <c r="C6575" t="str">
        <f>IFERROR(__xludf.DUMMYFUNCTION("""COMPUTED_VALUE"""),"Westfalia/Witter")</f>
        <v>Westfalia/Witter</v>
      </c>
    </row>
    <row r="6576">
      <c r="A6576" t="str">
        <f>IFERROR(__xludf.DUMMYFUNCTION("""COMPUTED_VALUE"""),"306491600001")</f>
        <v>306491600001</v>
      </c>
      <c r="C6576" t="str">
        <f>IFERROR(__xludf.DUMMYFUNCTION("""COMPUTED_VALUE"""),"Westfalia/Witter")</f>
        <v>Westfalia/Witter</v>
      </c>
    </row>
    <row r="6577">
      <c r="A6577" t="str">
        <f>IFERROR(__xludf.DUMMYFUNCTION("""COMPUTED_VALUE"""),"306491600001")</f>
        <v>306491600001</v>
      </c>
      <c r="C6577" t="str">
        <f>IFERROR(__xludf.DUMMYFUNCTION("""COMPUTED_VALUE"""),"Westfalia/Witter")</f>
        <v>Westfalia/Witter</v>
      </c>
    </row>
    <row r="6578">
      <c r="A6578" t="str">
        <f>IFERROR(__xludf.DUMMYFUNCTION("""COMPUTED_VALUE"""),"306491600001")</f>
        <v>306491600001</v>
      </c>
      <c r="C6578" t="str">
        <f>IFERROR(__xludf.DUMMYFUNCTION("""COMPUTED_VALUE"""),"Westfalia/Witter")</f>
        <v>Westfalia/Witter</v>
      </c>
    </row>
    <row r="6579">
      <c r="A6579" t="str">
        <f>IFERROR(__xludf.DUMMYFUNCTION("""COMPUTED_VALUE"""),"306491600001")</f>
        <v>306491600001</v>
      </c>
      <c r="C6579" t="str">
        <f>IFERROR(__xludf.DUMMYFUNCTION("""COMPUTED_VALUE"""),"Westfalia/Witter")</f>
        <v>Westfalia/Witter</v>
      </c>
    </row>
    <row r="6580">
      <c r="A6580" t="str">
        <f>IFERROR(__xludf.DUMMYFUNCTION("""COMPUTED_VALUE"""),"306491600001")</f>
        <v>306491600001</v>
      </c>
      <c r="C6580" t="str">
        <f>IFERROR(__xludf.DUMMYFUNCTION("""COMPUTED_VALUE"""),"Westfalia/Witter")</f>
        <v>Westfalia/Witter</v>
      </c>
    </row>
    <row r="6581">
      <c r="A6581" t="str">
        <f>IFERROR(__xludf.DUMMYFUNCTION("""COMPUTED_VALUE"""),"306492600001")</f>
        <v>306492600001</v>
      </c>
      <c r="C6581" t="str">
        <f>IFERROR(__xludf.DUMMYFUNCTION("""COMPUTED_VALUE"""),"Westfalia/Witter")</f>
        <v>Westfalia/Witter</v>
      </c>
    </row>
    <row r="6582">
      <c r="A6582" t="str">
        <f>IFERROR(__xludf.DUMMYFUNCTION("""COMPUTED_VALUE"""),"306492600001")</f>
        <v>306492600001</v>
      </c>
      <c r="C6582" t="str">
        <f>IFERROR(__xludf.DUMMYFUNCTION("""COMPUTED_VALUE"""),"Westfalia/Witter")</f>
        <v>Westfalia/Witter</v>
      </c>
    </row>
    <row r="6583">
      <c r="A6583" t="str">
        <f>IFERROR(__xludf.DUMMYFUNCTION("""COMPUTED_VALUE"""),"306492600001")</f>
        <v>306492600001</v>
      </c>
      <c r="C6583" t="str">
        <f>IFERROR(__xludf.DUMMYFUNCTION("""COMPUTED_VALUE"""),"Westfalia/Witter")</f>
        <v>Westfalia/Witter</v>
      </c>
    </row>
    <row r="6584">
      <c r="A6584" t="str">
        <f>IFERROR(__xludf.DUMMYFUNCTION("""COMPUTED_VALUE"""),"306490600001")</f>
        <v>306490600001</v>
      </c>
      <c r="C6584" t="str">
        <f>IFERROR(__xludf.DUMMYFUNCTION("""COMPUTED_VALUE"""),"Westfalia/Witter")</f>
        <v>Westfalia/Witter</v>
      </c>
    </row>
    <row r="6585">
      <c r="A6585" t="str">
        <f>IFERROR(__xludf.DUMMYFUNCTION("""COMPUTED_VALUE"""),"306490600001")</f>
        <v>306490600001</v>
      </c>
      <c r="C6585" t="str">
        <f>IFERROR(__xludf.DUMMYFUNCTION("""COMPUTED_VALUE"""),"Westfalia/Witter")</f>
        <v>Westfalia/Witter</v>
      </c>
    </row>
    <row r="6586">
      <c r="A6586" t="str">
        <f>IFERROR(__xludf.DUMMYFUNCTION("""COMPUTED_VALUE"""),"306490600001")</f>
        <v>306490600001</v>
      </c>
      <c r="C6586" t="str">
        <f>IFERROR(__xludf.DUMMYFUNCTION("""COMPUTED_VALUE"""),"Westfalia/Witter")</f>
        <v>Westfalia/Witter</v>
      </c>
    </row>
    <row r="6587">
      <c r="A6587" t="str">
        <f>IFERROR(__xludf.DUMMYFUNCTION("""COMPUTED_VALUE"""),"306490600001")</f>
        <v>306490600001</v>
      </c>
      <c r="C6587" t="str">
        <f>IFERROR(__xludf.DUMMYFUNCTION("""COMPUTED_VALUE"""),"Westfalia/Witter")</f>
        <v>Westfalia/Witter</v>
      </c>
    </row>
    <row r="6588">
      <c r="A6588" t="str">
        <f>IFERROR(__xludf.DUMMYFUNCTION("""COMPUTED_VALUE"""),"306490600001")</f>
        <v>306490600001</v>
      </c>
      <c r="C6588" t="str">
        <f>IFERROR(__xludf.DUMMYFUNCTION("""COMPUTED_VALUE"""),"Westfalia/Witter")</f>
        <v>Westfalia/Witter</v>
      </c>
    </row>
    <row r="6589">
      <c r="A6589" t="str">
        <f>IFERROR(__xludf.DUMMYFUNCTION("""COMPUTED_VALUE"""),"345054600001")</f>
        <v>345054600001</v>
      </c>
      <c r="C6589" t="str">
        <f>IFERROR(__xludf.DUMMYFUNCTION("""COMPUTED_VALUE"""),"Westfalia/Witter")</f>
        <v>Westfalia/Witter</v>
      </c>
    </row>
    <row r="6590">
      <c r="A6590" t="str">
        <f>IFERROR(__xludf.DUMMYFUNCTION("""COMPUTED_VALUE"""),"345146600001")</f>
        <v>345146600001</v>
      </c>
      <c r="C6590" t="str">
        <f>IFERROR(__xludf.DUMMYFUNCTION("""COMPUTED_VALUE"""),"Westfalia/Witter")</f>
        <v>Westfalia/Witter</v>
      </c>
    </row>
    <row r="6591">
      <c r="A6591" t="str">
        <f>IFERROR(__xludf.DUMMYFUNCTION("""COMPUTED_VALUE"""),"345147600001")</f>
        <v>345147600001</v>
      </c>
      <c r="C6591" t="str">
        <f>IFERROR(__xludf.DUMMYFUNCTION("""COMPUTED_VALUE"""),"Westfalia/Witter")</f>
        <v>Westfalia/Witter</v>
      </c>
    </row>
    <row r="6592">
      <c r="A6592" t="str">
        <f>IFERROR(__xludf.DUMMYFUNCTION("""COMPUTED_VALUE"""),"KA50S")</f>
        <v>KA50S</v>
      </c>
      <c r="C6592" t="str">
        <f>IFERROR(__xludf.DUMMYFUNCTION("""COMPUTED_VALUE"""),"Westfalia/Witter")</f>
        <v>Westfalia/Witter</v>
      </c>
    </row>
    <row r="6593">
      <c r="A6593" t="str">
        <f>IFERROR(__xludf.DUMMYFUNCTION("""COMPUTED_VALUE"""),"KA50Q")</f>
        <v>KA50Q</v>
      </c>
      <c r="C6593" t="str">
        <f>IFERROR(__xludf.DUMMYFUNCTION("""COMPUTED_VALUE"""),"Westfalia/Witter")</f>
        <v>Westfalia/Witter</v>
      </c>
    </row>
    <row r="6594">
      <c r="A6594" t="str">
        <f>IFERROR(__xludf.DUMMYFUNCTION("""COMPUTED_VALUE"""),"KA47Q")</f>
        <v>KA47Q</v>
      </c>
      <c r="C6594" t="str">
        <f>IFERROR(__xludf.DUMMYFUNCTION("""COMPUTED_VALUE"""),"Westfalia/Witter")</f>
        <v>Westfalia/Witter</v>
      </c>
    </row>
    <row r="6595">
      <c r="A6595" t="str">
        <f>IFERROR(__xludf.DUMMYFUNCTION("""COMPUTED_VALUE"""),"KA49Q")</f>
        <v>KA49Q</v>
      </c>
      <c r="C6595" t="str">
        <f>IFERROR(__xludf.DUMMYFUNCTION("""COMPUTED_VALUE"""),"Westfalia/Witter")</f>
        <v>Westfalia/Witter</v>
      </c>
    </row>
    <row r="6596">
      <c r="A6596" t="str">
        <f>IFERROR(__xludf.DUMMYFUNCTION("""COMPUTED_VALUE"""),"KA49S")</f>
        <v>KA49S</v>
      </c>
      <c r="C6596" t="str">
        <f>IFERROR(__xludf.DUMMYFUNCTION("""COMPUTED_VALUE"""),"Westfalia/Witter")</f>
        <v>Westfalia/Witter</v>
      </c>
    </row>
    <row r="6597">
      <c r="A6597" t="str">
        <f>IFERROR(__xludf.DUMMYFUNCTION("""COMPUTED_VALUE"""),"345144600001")</f>
        <v>345144600001</v>
      </c>
      <c r="C6597" t="str">
        <f>IFERROR(__xludf.DUMMYFUNCTION("""COMPUTED_VALUE"""),"Westfalia/Witter")</f>
        <v>Westfalia/Witter</v>
      </c>
    </row>
    <row r="6598">
      <c r="A6598" t="str">
        <f>IFERROR(__xludf.DUMMYFUNCTION("""COMPUTED_VALUE"""),"345145600001")</f>
        <v>345145600001</v>
      </c>
      <c r="C6598" t="str">
        <f>IFERROR(__xludf.DUMMYFUNCTION("""COMPUTED_VALUE"""),"Westfalia/Witter")</f>
        <v>Westfalia/Witter</v>
      </c>
    </row>
    <row r="6599">
      <c r="A6599" t="str">
        <f>IFERROR(__xludf.DUMMYFUNCTION("""COMPUTED_VALUE"""),"345116600001")</f>
        <v>345116600001</v>
      </c>
      <c r="C6599" t="str">
        <f>IFERROR(__xludf.DUMMYFUNCTION("""COMPUTED_VALUE"""),"Westfalia/Witter")</f>
        <v>Westfalia/Witter</v>
      </c>
    </row>
    <row r="6600">
      <c r="A6600" t="str">
        <f>IFERROR(__xludf.DUMMYFUNCTION("""COMPUTED_VALUE"""),"KA46Q")</f>
        <v>KA46Q</v>
      </c>
      <c r="C6600" t="str">
        <f>IFERROR(__xludf.DUMMYFUNCTION("""COMPUTED_VALUE"""),"Westfalia/Witter")</f>
        <v>Westfalia/Witter</v>
      </c>
    </row>
    <row r="6601">
      <c r="A6601" t="str">
        <f>IFERROR(__xludf.DUMMYFUNCTION("""COMPUTED_VALUE"""),"345082600001")</f>
        <v>345082600001</v>
      </c>
      <c r="C6601" t="str">
        <f>IFERROR(__xludf.DUMMYFUNCTION("""COMPUTED_VALUE"""),"Westfalia/Witter")</f>
        <v>Westfalia/Witter</v>
      </c>
    </row>
    <row r="6602">
      <c r="A6602" t="str">
        <f>IFERROR(__xludf.DUMMYFUNCTION("""COMPUTED_VALUE"""),"KA44AQ")</f>
        <v>KA44AQ</v>
      </c>
      <c r="C6602" t="str">
        <f>IFERROR(__xludf.DUMMYFUNCTION("""COMPUTED_VALUE"""),"Westfalia/Witter")</f>
        <v>Westfalia/Witter</v>
      </c>
    </row>
    <row r="6603">
      <c r="A6603" t="str">
        <f>IFERROR(__xludf.DUMMYFUNCTION("""COMPUTED_VALUE"""),"KA44AS")</f>
        <v>KA44AS</v>
      </c>
      <c r="C6603" t="str">
        <f>IFERROR(__xludf.DUMMYFUNCTION("""COMPUTED_VALUE"""),"Westfalia/Witter")</f>
        <v>Westfalia/Witter</v>
      </c>
    </row>
    <row r="6604">
      <c r="A6604" t="str">
        <f>IFERROR(__xludf.DUMMYFUNCTION("""COMPUTED_VALUE"""),"345078600001")</f>
        <v>345078600001</v>
      </c>
      <c r="C6604" t="str">
        <f>IFERROR(__xludf.DUMMYFUNCTION("""COMPUTED_VALUE"""),"Westfalia/Witter")</f>
        <v>Westfalia/Witter</v>
      </c>
    </row>
    <row r="6605">
      <c r="A6605" t="str">
        <f>IFERROR(__xludf.DUMMYFUNCTION("""COMPUTED_VALUE"""),"345080600001")</f>
        <v>345080600001</v>
      </c>
      <c r="C6605" t="str">
        <f>IFERROR(__xludf.DUMMYFUNCTION("""COMPUTED_VALUE"""),"Westfalia/Witter")</f>
        <v>Westfalia/Witter</v>
      </c>
    </row>
    <row r="6606">
      <c r="A6606" t="str">
        <f>IFERROR(__xludf.DUMMYFUNCTION("""COMPUTED_VALUE"""),"KA51Q")</f>
        <v>KA51Q</v>
      </c>
      <c r="C6606" t="str">
        <f>IFERROR(__xludf.DUMMYFUNCTION("""COMPUTED_VALUE"""),"Westfalia/Witter")</f>
        <v>Westfalia/Witter</v>
      </c>
    </row>
    <row r="6607">
      <c r="A6607" t="str">
        <f>IFERROR(__xludf.DUMMYFUNCTION("""COMPUTED_VALUE"""),"KA51S")</f>
        <v>KA51S</v>
      </c>
      <c r="C6607" t="str">
        <f>IFERROR(__xludf.DUMMYFUNCTION("""COMPUTED_VALUE"""),"Westfalia/Witter")</f>
        <v>Westfalia/Witter</v>
      </c>
    </row>
    <row r="6608">
      <c r="A6608" t="str">
        <f>IFERROR(__xludf.DUMMYFUNCTION("""COMPUTED_VALUE"""),"345151600001")</f>
        <v>345151600001</v>
      </c>
      <c r="C6608" t="str">
        <f>IFERROR(__xludf.DUMMYFUNCTION("""COMPUTED_VALUE"""),"Westfalia/Witter")</f>
        <v>Westfalia/Witter</v>
      </c>
    </row>
    <row r="6609">
      <c r="A6609" t="str">
        <f>IFERROR(__xludf.DUMMYFUNCTION("""COMPUTED_VALUE"""),"345152600001")</f>
        <v>345152600001</v>
      </c>
      <c r="C6609" t="str">
        <f>IFERROR(__xludf.DUMMYFUNCTION("""COMPUTED_VALUE"""),"Westfalia/Witter")</f>
        <v>Westfalia/Witter</v>
      </c>
    </row>
    <row r="6610">
      <c r="A6610" t="str">
        <f>IFERROR(__xludf.DUMMYFUNCTION("""COMPUTED_VALUE"""),"KA45Q")</f>
        <v>KA45Q</v>
      </c>
      <c r="C6610" t="str">
        <f>IFERROR(__xludf.DUMMYFUNCTION("""COMPUTED_VALUE"""),"Westfalia/Witter")</f>
        <v>Westfalia/Witter</v>
      </c>
    </row>
    <row r="6611">
      <c r="A6611" t="str">
        <f>IFERROR(__xludf.DUMMYFUNCTION("""COMPUTED_VALUE"""),"345020600001")</f>
        <v>345020600001</v>
      </c>
      <c r="C6611" t="str">
        <f>IFERROR(__xludf.DUMMYFUNCTION("""COMPUTED_VALUE"""),"Westfalia/Witter")</f>
        <v>Westfalia/Witter</v>
      </c>
    </row>
    <row r="6612">
      <c r="A6612" t="str">
        <f>IFERROR(__xludf.DUMMYFUNCTION("""COMPUTED_VALUE"""),"345109600001")</f>
        <v>345109600001</v>
      </c>
      <c r="C6612" t="str">
        <f>IFERROR(__xludf.DUMMYFUNCTION("""COMPUTED_VALUE"""),"Westfalia/Witter")</f>
        <v>Westfalia/Witter</v>
      </c>
    </row>
    <row r="6613">
      <c r="A6613" t="str">
        <f>IFERROR(__xludf.DUMMYFUNCTION("""COMPUTED_VALUE"""),"345110600001")</f>
        <v>345110600001</v>
      </c>
      <c r="C6613" t="str">
        <f>IFERROR(__xludf.DUMMYFUNCTION("""COMPUTED_VALUE"""),"Westfalia/Witter")</f>
        <v>Westfalia/Witter</v>
      </c>
    </row>
    <row r="6614">
      <c r="A6614" t="str">
        <f>IFERROR(__xludf.DUMMYFUNCTION("""COMPUTED_VALUE"""),"345060600001")</f>
        <v>345060600001</v>
      </c>
      <c r="C6614" t="str">
        <f>IFERROR(__xludf.DUMMYFUNCTION("""COMPUTED_VALUE"""),"Westfalia/Witter")</f>
        <v>Westfalia/Witter</v>
      </c>
    </row>
    <row r="6615">
      <c r="A6615" t="str">
        <f>IFERROR(__xludf.DUMMYFUNCTION("""COMPUTED_VALUE"""),"345119600001")</f>
        <v>345119600001</v>
      </c>
      <c r="C6615" t="str">
        <f>IFERROR(__xludf.DUMMYFUNCTION("""COMPUTED_VALUE"""),"Westfalia/Witter")</f>
        <v>Westfalia/Witter</v>
      </c>
    </row>
    <row r="6616">
      <c r="A6616" t="str">
        <f>IFERROR(__xludf.DUMMYFUNCTION("""COMPUTED_VALUE"""),"345128600001")</f>
        <v>345128600001</v>
      </c>
      <c r="C6616" t="str">
        <f>IFERROR(__xludf.DUMMYFUNCTION("""COMPUTED_VALUE"""),"Westfalia/Witter")</f>
        <v>Westfalia/Witter</v>
      </c>
    </row>
    <row r="6617">
      <c r="A6617" t="str">
        <f>IFERROR(__xludf.DUMMYFUNCTION("""COMPUTED_VALUE"""),"KA24AQ")</f>
        <v>KA24AQ</v>
      </c>
      <c r="C6617" t="str">
        <f>IFERROR(__xludf.DUMMYFUNCTION("""COMPUTED_VALUE"""),"Westfalia/Witter")</f>
        <v>Westfalia/Witter</v>
      </c>
    </row>
    <row r="6618">
      <c r="A6618" t="str">
        <f>IFERROR(__xludf.DUMMYFUNCTION("""COMPUTED_VALUE"""),"KA24AQ")</f>
        <v>KA24AQ</v>
      </c>
      <c r="C6618" t="str">
        <f>IFERROR(__xludf.DUMMYFUNCTION("""COMPUTED_VALUE"""),"Westfalia/Witter")</f>
        <v>Westfalia/Witter</v>
      </c>
    </row>
    <row r="6619">
      <c r="A6619" t="str">
        <f>IFERROR(__xludf.DUMMYFUNCTION("""COMPUTED_VALUE"""),"345140600001")</f>
        <v>345140600001</v>
      </c>
      <c r="C6619" t="str">
        <f>IFERROR(__xludf.DUMMYFUNCTION("""COMPUTED_VALUE"""),"Westfalia/Witter")</f>
        <v>Westfalia/Witter</v>
      </c>
    </row>
    <row r="6620">
      <c r="A6620" t="str">
        <f>IFERROR(__xludf.DUMMYFUNCTION("""COMPUTED_VALUE"""),"345140600001")</f>
        <v>345140600001</v>
      </c>
      <c r="C6620" t="str">
        <f>IFERROR(__xludf.DUMMYFUNCTION("""COMPUTED_VALUE"""),"Westfalia/Witter")</f>
        <v>Westfalia/Witter</v>
      </c>
    </row>
    <row r="6621">
      <c r="A6621" t="str">
        <f>IFERROR(__xludf.DUMMYFUNCTION("""COMPUTED_VALUE"""),"345141600001")</f>
        <v>345141600001</v>
      </c>
      <c r="C6621" t="str">
        <f>IFERROR(__xludf.DUMMYFUNCTION("""COMPUTED_VALUE"""),"Westfalia/Witter")</f>
        <v>Westfalia/Witter</v>
      </c>
    </row>
    <row r="6622">
      <c r="A6622" t="str">
        <f>IFERROR(__xludf.DUMMYFUNCTION("""COMPUTED_VALUE"""),"345141600001")</f>
        <v>345141600001</v>
      </c>
      <c r="C6622" t="str">
        <f>IFERROR(__xludf.DUMMYFUNCTION("""COMPUTED_VALUE"""),"Westfalia/Witter")</f>
        <v>Westfalia/Witter</v>
      </c>
    </row>
    <row r="6623">
      <c r="A6623" t="str">
        <f>IFERROR(__xludf.DUMMYFUNCTION("""COMPUTED_VALUE"""),"KA48Q")</f>
        <v>KA48Q</v>
      </c>
      <c r="C6623" t="str">
        <f>IFERROR(__xludf.DUMMYFUNCTION("""COMPUTED_VALUE"""),"Westfalia/Witter")</f>
        <v>Westfalia/Witter</v>
      </c>
    </row>
    <row r="6624">
      <c r="A6624" t="str">
        <f>IFERROR(__xludf.DUMMYFUNCTION("""COMPUTED_VALUE"""),"KA48Q")</f>
        <v>KA48Q</v>
      </c>
      <c r="C6624" t="str">
        <f>IFERROR(__xludf.DUMMYFUNCTION("""COMPUTED_VALUE"""),"Westfalia/Witter")</f>
        <v>Westfalia/Witter</v>
      </c>
    </row>
    <row r="6625">
      <c r="A6625" t="str">
        <f>IFERROR(__xludf.DUMMYFUNCTION("""COMPUTED_VALUE"""),"KA48S")</f>
        <v>KA48S</v>
      </c>
      <c r="C6625" t="str">
        <f>IFERROR(__xludf.DUMMYFUNCTION("""COMPUTED_VALUE"""),"Westfalia/Witter")</f>
        <v>Westfalia/Witter</v>
      </c>
    </row>
    <row r="6626">
      <c r="A6626" t="str">
        <f>IFERROR(__xludf.DUMMYFUNCTION("""COMPUTED_VALUE"""),"KA48S")</f>
        <v>KA48S</v>
      </c>
      <c r="C6626" t="str">
        <f>IFERROR(__xludf.DUMMYFUNCTION("""COMPUTED_VALUE"""),"Westfalia/Witter")</f>
        <v>Westfalia/Witter</v>
      </c>
    </row>
    <row r="6627">
      <c r="A6627" t="str">
        <f>IFERROR(__xludf.DUMMYFUNCTION("""COMPUTED_VALUE"""),"345139600001")</f>
        <v>345139600001</v>
      </c>
      <c r="C6627" t="str">
        <f>IFERROR(__xludf.DUMMYFUNCTION("""COMPUTED_VALUE"""),"Westfalia/Witter")</f>
        <v>Westfalia/Witter</v>
      </c>
    </row>
    <row r="6628">
      <c r="A6628" t="str">
        <f>IFERROR(__xludf.DUMMYFUNCTION("""COMPUTED_VALUE"""),"KA47S")</f>
        <v>KA47S</v>
      </c>
      <c r="C6628" t="str">
        <f>IFERROR(__xludf.DUMMYFUNCTION("""COMPUTED_VALUE"""),"Westfalia/Witter")</f>
        <v>Westfalia/Witter</v>
      </c>
    </row>
    <row r="6629">
      <c r="A6629" t="str">
        <f>IFERROR(__xludf.DUMMYFUNCTION("""COMPUTED_VALUE"""),"R54Q")</f>
        <v>R54Q</v>
      </c>
      <c r="C6629" t="str">
        <f>IFERROR(__xludf.DUMMYFUNCTION("""COMPUTED_VALUE"""),"Westfalia/Witter")</f>
        <v>Westfalia/Witter</v>
      </c>
    </row>
    <row r="6630">
      <c r="A6630" t="str">
        <f>IFERROR(__xludf.DUMMYFUNCTION("""COMPUTED_VALUE"""),"323181600001")</f>
        <v>323181600001</v>
      </c>
      <c r="C6630" t="str">
        <f>IFERROR(__xludf.DUMMYFUNCTION("""COMPUTED_VALUE"""),"Westfalia/Witter")</f>
        <v>Westfalia/Witter</v>
      </c>
    </row>
    <row r="6631">
      <c r="A6631" t="str">
        <f>IFERROR(__xludf.DUMMYFUNCTION("""COMPUTED_VALUE"""),"323189600001")</f>
        <v>323189600001</v>
      </c>
      <c r="C6631" t="str">
        <f>IFERROR(__xludf.DUMMYFUNCTION("""COMPUTED_VALUE"""),"Westfalia/Witter")</f>
        <v>Westfalia/Witter</v>
      </c>
    </row>
    <row r="6632">
      <c r="A6632" t="str">
        <f>IFERROR(__xludf.DUMMYFUNCTION("""COMPUTED_VALUE"""),"323190600001")</f>
        <v>323190600001</v>
      </c>
      <c r="C6632" t="str">
        <f>IFERROR(__xludf.DUMMYFUNCTION("""COMPUTED_VALUE"""),"Westfalia/Witter")</f>
        <v>Westfalia/Witter</v>
      </c>
    </row>
    <row r="6633">
      <c r="A6633" t="str">
        <f>IFERROR(__xludf.DUMMYFUNCTION("""COMPUTED_VALUE"""),"335467600001")</f>
        <v>335467600001</v>
      </c>
      <c r="C6633" t="str">
        <f>IFERROR(__xludf.DUMMYFUNCTION("""COMPUTED_VALUE"""),"Westfalia/Witter")</f>
        <v>Westfalia/Witter</v>
      </c>
    </row>
    <row r="6634">
      <c r="A6634" t="str">
        <f>IFERROR(__xludf.DUMMYFUNCTION("""COMPUTED_VALUE"""),"MZ60Q")</f>
        <v>MZ60Q</v>
      </c>
      <c r="C6634" t="str">
        <f>IFERROR(__xludf.DUMMYFUNCTION("""COMPUTED_VALUE"""),"Westfalia/Witter")</f>
        <v>Westfalia/Witter</v>
      </c>
    </row>
    <row r="6635">
      <c r="A6635" t="str">
        <f>IFERROR(__xludf.DUMMYFUNCTION("""COMPUTED_VALUE"""),"MZ60S")</f>
        <v>MZ60S</v>
      </c>
      <c r="C6635" t="str">
        <f>IFERROR(__xludf.DUMMYFUNCTION("""COMPUTED_VALUE"""),"Westfalia/Witter")</f>
        <v>Westfalia/Witter</v>
      </c>
    </row>
    <row r="6636">
      <c r="A6636" t="str">
        <f>IFERROR(__xludf.DUMMYFUNCTION("""COMPUTED_VALUE"""),"343060600001")</f>
        <v>343060600001</v>
      </c>
      <c r="C6636" t="str">
        <f>IFERROR(__xludf.DUMMYFUNCTION("""COMPUTED_VALUE"""),"Westfalia/Witter")</f>
        <v>Westfalia/Witter</v>
      </c>
    </row>
    <row r="6637">
      <c r="A6637" t="str">
        <f>IFERROR(__xludf.DUMMYFUNCTION("""COMPUTED_VALUE"""),"MZ56S")</f>
        <v>MZ56S</v>
      </c>
      <c r="C6637" t="str">
        <f>IFERROR(__xludf.DUMMYFUNCTION("""COMPUTED_VALUE"""),"Westfalia/Witter")</f>
        <v>Westfalia/Witter</v>
      </c>
    </row>
    <row r="6638">
      <c r="A6638" t="str">
        <f>IFERROR(__xludf.DUMMYFUNCTION("""COMPUTED_VALUE"""),"MZ56S")</f>
        <v>MZ56S</v>
      </c>
      <c r="C6638" t="str">
        <f>IFERROR(__xludf.DUMMYFUNCTION("""COMPUTED_VALUE"""),"Westfalia/Witter")</f>
        <v>Westfalia/Witter</v>
      </c>
    </row>
    <row r="6639">
      <c r="A6639" t="str">
        <f>IFERROR(__xludf.DUMMYFUNCTION("""COMPUTED_VALUE"""),"MZ56Q")</f>
        <v>MZ56Q</v>
      </c>
      <c r="C6639" t="str">
        <f>IFERROR(__xludf.DUMMYFUNCTION("""COMPUTED_VALUE"""),"Westfalia/Witter")</f>
        <v>Westfalia/Witter</v>
      </c>
    </row>
    <row r="6640">
      <c r="A6640" t="str">
        <f>IFERROR(__xludf.DUMMYFUNCTION("""COMPUTED_VALUE"""),"MZ56Q")</f>
        <v>MZ56Q</v>
      </c>
      <c r="C6640" t="str">
        <f>IFERROR(__xludf.DUMMYFUNCTION("""COMPUTED_VALUE"""),"Westfalia/Witter")</f>
        <v>Westfalia/Witter</v>
      </c>
    </row>
    <row r="6641">
      <c r="A6641" t="str">
        <f>IFERROR(__xludf.DUMMYFUNCTION("""COMPUTED_VALUE"""),"343100600001")</f>
        <v>343100600001</v>
      </c>
      <c r="C6641" t="str">
        <f>IFERROR(__xludf.DUMMYFUNCTION("""COMPUTED_VALUE"""),"Westfalia/Witter")</f>
        <v>Westfalia/Witter</v>
      </c>
    </row>
    <row r="6642">
      <c r="A6642" t="str">
        <f>IFERROR(__xludf.DUMMYFUNCTION("""COMPUTED_VALUE"""),"343101600001")</f>
        <v>343101600001</v>
      </c>
      <c r="C6642" t="str">
        <f>IFERROR(__xludf.DUMMYFUNCTION("""COMPUTED_VALUE"""),"Westfalia/Witter")</f>
        <v>Westfalia/Witter</v>
      </c>
    </row>
    <row r="6643">
      <c r="A6643" t="str">
        <f>IFERROR(__xludf.DUMMYFUNCTION("""COMPUTED_VALUE"""),"MZ57AQ")</f>
        <v>MZ57AQ</v>
      </c>
      <c r="C6643" t="str">
        <f>IFERROR(__xludf.DUMMYFUNCTION("""COMPUTED_VALUE"""),"Westfalia/Witter")</f>
        <v>Westfalia/Witter</v>
      </c>
    </row>
    <row r="6644">
      <c r="A6644" t="str">
        <f>IFERROR(__xludf.DUMMYFUNCTION("""COMPUTED_VALUE"""),"MZ57AQ")</f>
        <v>MZ57AQ</v>
      </c>
      <c r="C6644" t="str">
        <f>IFERROR(__xludf.DUMMYFUNCTION("""COMPUTED_VALUE"""),"Westfalia/Witter")</f>
        <v>Westfalia/Witter</v>
      </c>
    </row>
    <row r="6645">
      <c r="A6645" t="str">
        <f>IFERROR(__xludf.DUMMYFUNCTION("""COMPUTED_VALUE"""),"MZ57Q")</f>
        <v>MZ57Q</v>
      </c>
      <c r="C6645" t="str">
        <f>IFERROR(__xludf.DUMMYFUNCTION("""COMPUTED_VALUE"""),"Westfalia/Witter")</f>
        <v>Westfalia/Witter</v>
      </c>
    </row>
    <row r="6646">
      <c r="A6646" t="str">
        <f>IFERROR(__xludf.DUMMYFUNCTION("""COMPUTED_VALUE"""),"MZ57Q")</f>
        <v>MZ57Q</v>
      </c>
      <c r="C6646" t="str">
        <f>IFERROR(__xludf.DUMMYFUNCTION("""COMPUTED_VALUE"""),"Westfalia/Witter")</f>
        <v>Westfalia/Witter</v>
      </c>
    </row>
    <row r="6647">
      <c r="A6647" t="str">
        <f>IFERROR(__xludf.DUMMYFUNCTION("""COMPUTED_VALUE"""),"MZ57AS")</f>
        <v>MZ57AS</v>
      </c>
      <c r="C6647" t="str">
        <f>IFERROR(__xludf.DUMMYFUNCTION("""COMPUTED_VALUE"""),"Westfalia/Witter")</f>
        <v>Westfalia/Witter</v>
      </c>
    </row>
    <row r="6648">
      <c r="A6648" t="str">
        <f>IFERROR(__xludf.DUMMYFUNCTION("""COMPUTED_VALUE"""),"MZ57AS")</f>
        <v>MZ57AS</v>
      </c>
      <c r="C6648" t="str">
        <f>IFERROR(__xludf.DUMMYFUNCTION("""COMPUTED_VALUE"""),"Westfalia/Witter")</f>
        <v>Westfalia/Witter</v>
      </c>
    </row>
    <row r="6649">
      <c r="A6649" t="str">
        <f>IFERROR(__xludf.DUMMYFUNCTION("""COMPUTED_VALUE"""),"MZ57S")</f>
        <v>MZ57S</v>
      </c>
      <c r="C6649" t="str">
        <f>IFERROR(__xludf.DUMMYFUNCTION("""COMPUTED_VALUE"""),"Westfalia/Witter")</f>
        <v>Westfalia/Witter</v>
      </c>
    </row>
    <row r="6650">
      <c r="A6650" t="str">
        <f>IFERROR(__xludf.DUMMYFUNCTION("""COMPUTED_VALUE"""),"MZ57S")</f>
        <v>MZ57S</v>
      </c>
      <c r="C6650" t="str">
        <f>IFERROR(__xludf.DUMMYFUNCTION("""COMPUTED_VALUE"""),"Westfalia/Witter")</f>
        <v>Westfalia/Witter</v>
      </c>
    </row>
    <row r="6651">
      <c r="A6651" t="str">
        <f>IFERROR(__xludf.DUMMYFUNCTION("""COMPUTED_VALUE"""),"MR58AQ")</f>
        <v>MR58AQ</v>
      </c>
      <c r="C6651" t="str">
        <f>IFERROR(__xludf.DUMMYFUNCTION("""COMPUTED_VALUE"""),"Westfalia/Witter")</f>
        <v>Westfalia/Witter</v>
      </c>
    </row>
    <row r="6652">
      <c r="A6652" t="str">
        <f>IFERROR(__xludf.DUMMYFUNCTION("""COMPUTED_VALUE"""),"MR58AS")</f>
        <v>MR58AS</v>
      </c>
      <c r="C6652" t="str">
        <f>IFERROR(__xludf.DUMMYFUNCTION("""COMPUTED_VALUE"""),"Westfalia/Witter")</f>
        <v>Westfalia/Witter</v>
      </c>
    </row>
    <row r="6653">
      <c r="A6653" t="str">
        <f>IFERROR(__xludf.DUMMYFUNCTION("""COMPUTED_VALUE"""),"313420600001")</f>
        <v>313420600001</v>
      </c>
      <c r="C6653" t="str">
        <f>IFERROR(__xludf.DUMMYFUNCTION("""COMPUTED_VALUE"""),"Westfalia/Witter")</f>
        <v>Westfalia/Witter</v>
      </c>
    </row>
    <row r="6654">
      <c r="A6654" t="str">
        <f>IFERROR(__xludf.DUMMYFUNCTION("""COMPUTED_VALUE"""),"313420600001")</f>
        <v>313420600001</v>
      </c>
      <c r="C6654" t="str">
        <f>IFERROR(__xludf.DUMMYFUNCTION("""COMPUTED_VALUE"""),"Westfalia/Witter")</f>
        <v>Westfalia/Witter</v>
      </c>
    </row>
    <row r="6655">
      <c r="A6655" t="str">
        <f>IFERROR(__xludf.DUMMYFUNCTION("""COMPUTED_VALUE"""),"313420600001")</f>
        <v>313420600001</v>
      </c>
      <c r="C6655" t="str">
        <f>IFERROR(__xludf.DUMMYFUNCTION("""COMPUTED_VALUE"""),"Westfalia/Witter")</f>
        <v>Westfalia/Witter</v>
      </c>
    </row>
    <row r="6656">
      <c r="A6656" t="str">
        <f>IFERROR(__xludf.DUMMYFUNCTION("""COMPUTED_VALUE"""),"313556600001")</f>
        <v>313556600001</v>
      </c>
      <c r="C6656" t="str">
        <f>IFERROR(__xludf.DUMMYFUNCTION("""COMPUTED_VALUE"""),"Westfalia/Witter")</f>
        <v>Westfalia/Witter</v>
      </c>
    </row>
    <row r="6657">
      <c r="A6657" t="str">
        <f>IFERROR(__xludf.DUMMYFUNCTION("""COMPUTED_VALUE"""),"313556600001")</f>
        <v>313556600001</v>
      </c>
      <c r="C6657" t="str">
        <f>IFERROR(__xludf.DUMMYFUNCTION("""COMPUTED_VALUE"""),"Westfalia/Witter")</f>
        <v>Westfalia/Witter</v>
      </c>
    </row>
    <row r="6658">
      <c r="A6658" t="str">
        <f>IFERROR(__xludf.DUMMYFUNCTION("""COMPUTED_VALUE"""),"313641600001")</f>
        <v>313641600001</v>
      </c>
      <c r="C6658" t="str">
        <f>IFERROR(__xludf.DUMMYFUNCTION("""COMPUTED_VALUE"""),"Westfalia/Witter")</f>
        <v>Westfalia/Witter</v>
      </c>
    </row>
    <row r="6659">
      <c r="A6659" t="str">
        <f>IFERROR(__xludf.DUMMYFUNCTION("""COMPUTED_VALUE"""),"313661600001")</f>
        <v>313661600001</v>
      </c>
      <c r="C6659" t="str">
        <f>IFERROR(__xludf.DUMMYFUNCTION("""COMPUTED_VALUE"""),"Westfalia/Witter")</f>
        <v>Westfalia/Witter</v>
      </c>
    </row>
    <row r="6660">
      <c r="A6660" t="str">
        <f>IFERROR(__xludf.DUMMYFUNCTION("""COMPUTED_VALUE"""),"313662600001")</f>
        <v>313662600001</v>
      </c>
      <c r="C6660" t="str">
        <f>IFERROR(__xludf.DUMMYFUNCTION("""COMPUTED_VALUE"""),"Westfalia/Witter")</f>
        <v>Westfalia/Witter</v>
      </c>
    </row>
    <row r="6661">
      <c r="A6661" t="str">
        <f>IFERROR(__xludf.DUMMYFUNCTION("""COMPUTED_VALUE"""),"MR69R")</f>
        <v>MR69R</v>
      </c>
      <c r="C6661" t="str">
        <f>IFERROR(__xludf.DUMMYFUNCTION("""COMPUTED_VALUE"""),"Westfalia/Witter")</f>
        <v>Westfalia/Witter</v>
      </c>
    </row>
    <row r="6662">
      <c r="A6662" t="str">
        <f>IFERROR(__xludf.DUMMYFUNCTION("""COMPUTED_VALUE"""),"MR69R")</f>
        <v>MR69R</v>
      </c>
      <c r="C6662" t="str">
        <f>IFERROR(__xludf.DUMMYFUNCTION("""COMPUTED_VALUE"""),"Westfalia/Witter")</f>
        <v>Westfalia/Witter</v>
      </c>
    </row>
    <row r="6663">
      <c r="A6663" t="str">
        <f>IFERROR(__xludf.DUMMYFUNCTION("""COMPUTED_VALUE"""),"CL127Q")</f>
        <v>CL127Q</v>
      </c>
      <c r="C6663" t="str">
        <f>IFERROR(__xludf.DUMMYFUNCTION("""COMPUTED_VALUE"""),"Westfalia/Witter")</f>
        <v>Westfalia/Witter</v>
      </c>
    </row>
    <row r="6664">
      <c r="A6664" t="str">
        <f>IFERROR(__xludf.DUMMYFUNCTION("""COMPUTED_VALUE"""),"CL127S")</f>
        <v>CL127S</v>
      </c>
      <c r="C6664" t="str">
        <f>IFERROR(__xludf.DUMMYFUNCTION("""COMPUTED_VALUE"""),"Westfalia/Witter")</f>
        <v>Westfalia/Witter</v>
      </c>
    </row>
    <row r="6665">
      <c r="A6665" t="str">
        <f>IFERROR(__xludf.DUMMYFUNCTION("""COMPUTED_VALUE"""),"CL129B")</f>
        <v>CL129B</v>
      </c>
      <c r="C6665" t="str">
        <f>IFERROR(__xludf.DUMMYFUNCTION("""COMPUTED_VALUE"""),"Westfalia/Witter")</f>
        <v>Westfalia/Witter</v>
      </c>
    </row>
    <row r="6666">
      <c r="A6666" t="str">
        <f>IFERROR(__xludf.DUMMYFUNCTION("""COMPUTED_VALUE"""),"340090600001")</f>
        <v>340090600001</v>
      </c>
      <c r="C6666" t="str">
        <f>IFERROR(__xludf.DUMMYFUNCTION("""COMPUTED_VALUE"""),"Westfalia/Witter")</f>
        <v>Westfalia/Witter</v>
      </c>
    </row>
    <row r="6667">
      <c r="A6667" t="str">
        <f>IFERROR(__xludf.DUMMYFUNCTION("""COMPUTED_VALUE"""),"CL128")</f>
        <v>CL128</v>
      </c>
      <c r="C6667" t="str">
        <f>IFERROR(__xludf.DUMMYFUNCTION("""COMPUTED_VALUE"""),"Westfalia/Witter")</f>
        <v>Westfalia/Witter</v>
      </c>
    </row>
    <row r="6668">
      <c r="A6668" t="str">
        <f>IFERROR(__xludf.DUMMYFUNCTION("""COMPUTED_VALUE"""),"332295600001")</f>
        <v>332295600001</v>
      </c>
      <c r="C6668" t="str">
        <f>IFERROR(__xludf.DUMMYFUNCTION("""COMPUTED_VALUE"""),"Westfalia/Witter")</f>
        <v>Westfalia/Witter</v>
      </c>
    </row>
    <row r="6669">
      <c r="A6669" t="str">
        <f>IFERROR(__xludf.DUMMYFUNCTION("""COMPUTED_VALUE"""),"332353600001")</f>
        <v>332353600001</v>
      </c>
      <c r="C6669" t="str">
        <f>IFERROR(__xludf.DUMMYFUNCTION("""COMPUTED_VALUE"""),"Westfalia/Witter")</f>
        <v>Westfalia/Witter</v>
      </c>
    </row>
    <row r="6670">
      <c r="A6670" t="str">
        <f>IFERROR(__xludf.DUMMYFUNCTION("""COMPUTED_VALUE"""),"332353600001")</f>
        <v>332353600001</v>
      </c>
      <c r="C6670" t="str">
        <f>IFERROR(__xludf.DUMMYFUNCTION("""COMPUTED_VALUE"""),"Westfalia/Witter")</f>
        <v>Westfalia/Witter</v>
      </c>
    </row>
    <row r="6671">
      <c r="A6671" t="str">
        <f>IFERROR(__xludf.DUMMYFUNCTION("""COMPUTED_VALUE"""),"332353600001")</f>
        <v>332353600001</v>
      </c>
      <c r="C6671" t="str">
        <f>IFERROR(__xludf.DUMMYFUNCTION("""COMPUTED_VALUE"""),"Westfalia/Witter")</f>
        <v>Westfalia/Witter</v>
      </c>
    </row>
    <row r="6672">
      <c r="A6672" t="str">
        <f>IFERROR(__xludf.DUMMYFUNCTION("""COMPUTED_VALUE"""),"332264600001")</f>
        <v>332264600001</v>
      </c>
      <c r="C6672" t="str">
        <f>IFERROR(__xludf.DUMMYFUNCTION("""COMPUTED_VALUE"""),"Westfalia/Witter")</f>
        <v>Westfalia/Witter</v>
      </c>
    </row>
    <row r="6673">
      <c r="A6673" t="str">
        <f>IFERROR(__xludf.DUMMYFUNCTION("""COMPUTED_VALUE"""),"332301600001")</f>
        <v>332301600001</v>
      </c>
      <c r="C6673" t="str">
        <f>IFERROR(__xludf.DUMMYFUNCTION("""COMPUTED_VALUE"""),"Westfalia/Witter")</f>
        <v>Westfalia/Witter</v>
      </c>
    </row>
    <row r="6674">
      <c r="A6674" t="str">
        <f>IFERROR(__xludf.DUMMYFUNCTION("""COMPUTED_VALUE"""),"332347600001")</f>
        <v>332347600001</v>
      </c>
      <c r="C6674" t="str">
        <f>IFERROR(__xludf.DUMMYFUNCTION("""COMPUTED_VALUE"""),"Westfalia/Witter")</f>
        <v>Westfalia/Witter</v>
      </c>
    </row>
    <row r="6675">
      <c r="A6675" t="str">
        <f>IFERROR(__xludf.DUMMYFUNCTION("""COMPUTED_VALUE"""),"DT152")</f>
        <v>DT152</v>
      </c>
      <c r="C6675" t="str">
        <f>IFERROR(__xludf.DUMMYFUNCTION("""COMPUTED_VALUE"""),"Westfalia/Witter")</f>
        <v>Westfalia/Witter</v>
      </c>
    </row>
    <row r="6676">
      <c r="A6676" t="str">
        <f>IFERROR(__xludf.DUMMYFUNCTION("""COMPUTED_VALUE"""),"DT152Q")</f>
        <v>DT152Q</v>
      </c>
      <c r="C6676" t="str">
        <f>IFERROR(__xludf.DUMMYFUNCTION("""COMPUTED_VALUE"""),"Westfalia/Witter")</f>
        <v>Westfalia/Witter</v>
      </c>
    </row>
    <row r="6677">
      <c r="A6677" t="str">
        <f>IFERROR(__xludf.DUMMYFUNCTION("""COMPUTED_VALUE"""),"DT152S")</f>
        <v>DT152S</v>
      </c>
      <c r="C6677" t="str">
        <f>IFERROR(__xludf.DUMMYFUNCTION("""COMPUTED_VALUE"""),"Westfalia/Witter")</f>
        <v>Westfalia/Witter</v>
      </c>
    </row>
    <row r="6678">
      <c r="A6678" t="str">
        <f>IFERROR(__xludf.DUMMYFUNCTION("""COMPUTED_VALUE"""),"314310600001")</f>
        <v>314310600001</v>
      </c>
      <c r="C6678" t="str">
        <f>IFERROR(__xludf.DUMMYFUNCTION("""COMPUTED_VALUE"""),"Westfalia/Witter")</f>
        <v>Westfalia/Witter</v>
      </c>
    </row>
    <row r="6679">
      <c r="A6679" t="str">
        <f>IFERROR(__xludf.DUMMYFUNCTION("""COMPUTED_VALUE"""),"314412600001")</f>
        <v>314412600001</v>
      </c>
      <c r="C6679" t="str">
        <f>IFERROR(__xludf.DUMMYFUNCTION("""COMPUTED_VALUE"""),"Westfalia/Witter")</f>
        <v>Westfalia/Witter</v>
      </c>
    </row>
    <row r="6680">
      <c r="A6680" t="str">
        <f>IFERROR(__xludf.DUMMYFUNCTION("""COMPUTED_VALUE"""),"G124Q")</f>
        <v>G124Q</v>
      </c>
      <c r="C6680" t="str">
        <f>IFERROR(__xludf.DUMMYFUNCTION("""COMPUTED_VALUE"""),"Westfalia/Witter")</f>
        <v>Westfalia/Witter</v>
      </c>
    </row>
    <row r="6681">
      <c r="A6681" t="str">
        <f>IFERROR(__xludf.DUMMYFUNCTION("""COMPUTED_VALUE"""),"G124S")</f>
        <v>G124S</v>
      </c>
      <c r="C6681" t="str">
        <f>IFERROR(__xludf.DUMMYFUNCTION("""COMPUTED_VALUE"""),"Westfalia/Witter")</f>
        <v>Westfalia/Witter</v>
      </c>
    </row>
    <row r="6682">
      <c r="A6682" t="str">
        <f>IFERROR(__xludf.DUMMYFUNCTION("""COMPUTED_VALUE"""),"G125S")</f>
        <v>G125S</v>
      </c>
      <c r="C6682" t="str">
        <f>IFERROR(__xludf.DUMMYFUNCTION("""COMPUTED_VALUE"""),"Westfalia/Witter")</f>
        <v>Westfalia/Witter</v>
      </c>
    </row>
    <row r="6683">
      <c r="A6683" t="str">
        <f>IFERROR(__xludf.DUMMYFUNCTION("""COMPUTED_VALUE"""),"G125Q")</f>
        <v>G125Q</v>
      </c>
      <c r="C6683" t="str">
        <f>IFERROR(__xludf.DUMMYFUNCTION("""COMPUTED_VALUE"""),"Westfalia/Witter")</f>
        <v>Westfalia/Witter</v>
      </c>
    </row>
    <row r="6684">
      <c r="A6684" t="str">
        <f>IFERROR(__xludf.DUMMYFUNCTION("""COMPUTED_VALUE"""),"G127Q")</f>
        <v>G127Q</v>
      </c>
      <c r="C6684" t="str">
        <f>IFERROR(__xludf.DUMMYFUNCTION("""COMPUTED_VALUE"""),"Westfalia/Witter")</f>
        <v>Westfalia/Witter</v>
      </c>
    </row>
    <row r="6685">
      <c r="A6685" t="str">
        <f>IFERROR(__xludf.DUMMYFUNCTION("""COMPUTED_VALUE"""),"G127S")</f>
        <v>G127S</v>
      </c>
      <c r="C6685" t="str">
        <f>IFERROR(__xludf.DUMMYFUNCTION("""COMPUTED_VALUE"""),"Westfalia/Witter")</f>
        <v>Westfalia/Witter</v>
      </c>
    </row>
    <row r="6686">
      <c r="A6686" t="str">
        <f>IFERROR(__xludf.DUMMYFUNCTION("""COMPUTED_VALUE"""),"314556600001")</f>
        <v>314556600001</v>
      </c>
      <c r="C6686" t="str">
        <f>IFERROR(__xludf.DUMMYFUNCTION("""COMPUTED_VALUE"""),"Westfalia/Witter")</f>
        <v>Westfalia/Witter</v>
      </c>
    </row>
    <row r="6687">
      <c r="A6687" t="str">
        <f>IFERROR(__xludf.DUMMYFUNCTION("""COMPUTED_VALUE"""),"314204600001")</f>
        <v>314204600001</v>
      </c>
      <c r="C6687" t="str">
        <f>IFERROR(__xludf.DUMMYFUNCTION("""COMPUTED_VALUE"""),"Westfalia/Witter")</f>
        <v>Westfalia/Witter</v>
      </c>
    </row>
    <row r="6688">
      <c r="A6688" t="str">
        <f>IFERROR(__xludf.DUMMYFUNCTION("""COMPUTED_VALUE"""),"315246600001")</f>
        <v>315246600001</v>
      </c>
      <c r="C6688" t="str">
        <f>IFERROR(__xludf.DUMMYFUNCTION("""COMPUTED_VALUE"""),"Westfalia/Witter")</f>
        <v>Westfalia/Witter</v>
      </c>
    </row>
    <row r="6689">
      <c r="A6689" t="str">
        <f>IFERROR(__xludf.DUMMYFUNCTION("""COMPUTED_VALUE"""),"PG62Q")</f>
        <v>PG62Q</v>
      </c>
      <c r="C6689" t="str">
        <f>IFERROR(__xludf.DUMMYFUNCTION("""COMPUTED_VALUE"""),"Westfalia/Witter")</f>
        <v>Westfalia/Witter</v>
      </c>
    </row>
    <row r="6690">
      <c r="A6690" t="str">
        <f>IFERROR(__xludf.DUMMYFUNCTION("""COMPUTED_VALUE"""),"315261600001")</f>
        <v>315261600001</v>
      </c>
      <c r="C6690" t="str">
        <f>IFERROR(__xludf.DUMMYFUNCTION("""COMPUTED_VALUE"""),"Westfalia/Witter")</f>
        <v>Westfalia/Witter</v>
      </c>
    </row>
    <row r="6691">
      <c r="A6691" t="str">
        <f>IFERROR(__xludf.DUMMYFUNCTION("""COMPUTED_VALUE"""),"315262600001")</f>
        <v>315262600001</v>
      </c>
      <c r="C6691" t="str">
        <f>IFERROR(__xludf.DUMMYFUNCTION("""COMPUTED_VALUE"""),"Westfalia/Witter")</f>
        <v>Westfalia/Witter</v>
      </c>
    </row>
    <row r="6692">
      <c r="A6692" t="str">
        <f>IFERROR(__xludf.DUMMYFUNCTION("""COMPUTED_VALUE"""),"315169600001")</f>
        <v>315169600001</v>
      </c>
      <c r="C6692" t="str">
        <f>IFERROR(__xludf.DUMMYFUNCTION("""COMPUTED_VALUE"""),"Westfalia/Witter")</f>
        <v>Westfalia/Witter</v>
      </c>
    </row>
    <row r="6693">
      <c r="A6693" t="str">
        <f>IFERROR(__xludf.DUMMYFUNCTION("""COMPUTED_VALUE"""),"315201600001")</f>
        <v>315201600001</v>
      </c>
      <c r="C6693" t="str">
        <f>IFERROR(__xludf.DUMMYFUNCTION("""COMPUTED_VALUE"""),"Westfalia/Witter")</f>
        <v>Westfalia/Witter</v>
      </c>
    </row>
    <row r="6694">
      <c r="A6694" t="str">
        <f>IFERROR(__xludf.DUMMYFUNCTION("""COMPUTED_VALUE"""),"R57Q")</f>
        <v>R57Q</v>
      </c>
      <c r="C6694" t="str">
        <f>IFERROR(__xludf.DUMMYFUNCTION("""COMPUTED_VALUE"""),"Westfalia/Witter")</f>
        <v>Westfalia/Witter</v>
      </c>
    </row>
    <row r="6695">
      <c r="A6695" t="str">
        <f>IFERROR(__xludf.DUMMYFUNCTION("""COMPUTED_VALUE"""),"R57S")</f>
        <v>R57S</v>
      </c>
      <c r="C6695" t="str">
        <f>IFERROR(__xludf.DUMMYFUNCTION("""COMPUTED_VALUE"""),"Westfalia/Witter")</f>
        <v>Westfalia/Witter</v>
      </c>
    </row>
    <row r="6696">
      <c r="A6696" t="str">
        <f>IFERROR(__xludf.DUMMYFUNCTION("""COMPUTED_VALUE"""),"R57")</f>
        <v>R57</v>
      </c>
      <c r="C6696" t="str">
        <f>IFERROR(__xludf.DUMMYFUNCTION("""COMPUTED_VALUE"""),"Westfalia/Witter")</f>
        <v>Westfalia/Witter</v>
      </c>
    </row>
    <row r="6697">
      <c r="A6697" t="str">
        <f>IFERROR(__xludf.DUMMYFUNCTION("""COMPUTED_VALUE"""),"323170600001")</f>
        <v>323170600001</v>
      </c>
      <c r="C6697" t="str">
        <f>IFERROR(__xludf.DUMMYFUNCTION("""COMPUTED_VALUE"""),"Westfalia/Witter")</f>
        <v>Westfalia/Witter</v>
      </c>
    </row>
    <row r="6698">
      <c r="A6698" t="str">
        <f>IFERROR(__xludf.DUMMYFUNCTION("""COMPUTED_VALUE"""),"323171600001")</f>
        <v>323171600001</v>
      </c>
      <c r="C6698" t="str">
        <f>IFERROR(__xludf.DUMMYFUNCTION("""COMPUTED_VALUE"""),"Westfalia/Witter")</f>
        <v>Westfalia/Witter</v>
      </c>
    </row>
    <row r="6699">
      <c r="A6699" t="str">
        <f>IFERROR(__xludf.DUMMYFUNCTION("""COMPUTED_VALUE"""),"R55Q")</f>
        <v>R55Q</v>
      </c>
      <c r="C6699" t="str">
        <f>IFERROR(__xludf.DUMMYFUNCTION("""COMPUTED_VALUE"""),"Westfalia/Witter")</f>
        <v>Westfalia/Witter</v>
      </c>
    </row>
    <row r="6700">
      <c r="A6700" t="str">
        <f>IFERROR(__xludf.DUMMYFUNCTION("""COMPUTED_VALUE"""),"R55S")</f>
        <v>R55S</v>
      </c>
      <c r="C6700" t="str">
        <f>IFERROR(__xludf.DUMMYFUNCTION("""COMPUTED_VALUE"""),"Westfalia/Witter")</f>
        <v>Westfalia/Witter</v>
      </c>
    </row>
    <row r="6701">
      <c r="A6701" t="str">
        <f>IFERROR(__xludf.DUMMYFUNCTION("""COMPUTED_VALUE"""),"R55")</f>
        <v>R55</v>
      </c>
      <c r="C6701" t="str">
        <f>IFERROR(__xludf.DUMMYFUNCTION("""COMPUTED_VALUE"""),"Westfalia/Witter")</f>
        <v>Westfalia/Witter</v>
      </c>
    </row>
    <row r="6702">
      <c r="A6702" t="str">
        <f>IFERROR(__xludf.DUMMYFUNCTION("""COMPUTED_VALUE"""),"316273600001")</f>
        <v>316273600001</v>
      </c>
      <c r="C6702" t="str">
        <f>IFERROR(__xludf.DUMMYFUNCTION("""COMPUTED_VALUE"""),"Westfalia/Witter")</f>
        <v>Westfalia/Witter</v>
      </c>
    </row>
    <row r="6703">
      <c r="A6703" t="str">
        <f>IFERROR(__xludf.DUMMYFUNCTION("""COMPUTED_VALUE"""),"316273600001")</f>
        <v>316273600001</v>
      </c>
      <c r="C6703" t="str">
        <f>IFERROR(__xludf.DUMMYFUNCTION("""COMPUTED_VALUE"""),"Westfalia/Witter")</f>
        <v>Westfalia/Witter</v>
      </c>
    </row>
    <row r="6704">
      <c r="A6704" t="str">
        <f>IFERROR(__xludf.DUMMYFUNCTION("""COMPUTED_VALUE"""),"316471600001")</f>
        <v>316471600001</v>
      </c>
      <c r="C6704" t="str">
        <f>IFERROR(__xludf.DUMMYFUNCTION("""COMPUTED_VALUE"""),"Westfalia/Witter")</f>
        <v>Westfalia/Witter</v>
      </c>
    </row>
    <row r="6705">
      <c r="A6705" t="str">
        <f>IFERROR(__xludf.DUMMYFUNCTION("""COMPUTED_VALUE"""),"316472600001")</f>
        <v>316472600001</v>
      </c>
      <c r="C6705" t="str">
        <f>IFERROR(__xludf.DUMMYFUNCTION("""COMPUTED_VALUE"""),"Westfalia/Witter")</f>
        <v>Westfalia/Witter</v>
      </c>
    </row>
    <row r="6706">
      <c r="A6706" t="str">
        <f>IFERROR(__xludf.DUMMYFUNCTION("""COMPUTED_VALUE"""),"RN119Q")</f>
        <v>RN119Q</v>
      </c>
      <c r="C6706" t="str">
        <f>IFERROR(__xludf.DUMMYFUNCTION("""COMPUTED_VALUE"""),"Westfalia/Witter")</f>
        <v>Westfalia/Witter</v>
      </c>
    </row>
    <row r="6707">
      <c r="A6707" t="str">
        <f>IFERROR(__xludf.DUMMYFUNCTION("""COMPUTED_VALUE"""),"RN119S")</f>
        <v>RN119S</v>
      </c>
      <c r="C6707" t="str">
        <f>IFERROR(__xludf.DUMMYFUNCTION("""COMPUTED_VALUE"""),"Westfalia/Witter")</f>
        <v>Westfalia/Witter</v>
      </c>
    </row>
    <row r="6708">
      <c r="A6708" t="str">
        <f>IFERROR(__xludf.DUMMYFUNCTION("""COMPUTED_VALUE"""),"RN118Q")</f>
        <v>RN118Q</v>
      </c>
      <c r="C6708" t="str">
        <f>IFERROR(__xludf.DUMMYFUNCTION("""COMPUTED_VALUE"""),"Westfalia/Witter")</f>
        <v>Westfalia/Witter</v>
      </c>
    </row>
    <row r="6709">
      <c r="A6709" t="str">
        <f>IFERROR(__xludf.DUMMYFUNCTION("""COMPUTED_VALUE"""),"RN118S")</f>
        <v>RN118S</v>
      </c>
      <c r="C6709" t="str">
        <f>IFERROR(__xludf.DUMMYFUNCTION("""COMPUTED_VALUE"""),"Westfalia/Witter")</f>
        <v>Westfalia/Witter</v>
      </c>
    </row>
    <row r="6710">
      <c r="A6710" t="str">
        <f>IFERROR(__xludf.DUMMYFUNCTION("""COMPUTED_VALUE"""),"RN116Q")</f>
        <v>RN116Q</v>
      </c>
      <c r="C6710" t="str">
        <f>IFERROR(__xludf.DUMMYFUNCTION("""COMPUTED_VALUE"""),"Westfalia/Witter")</f>
        <v>Westfalia/Witter</v>
      </c>
    </row>
    <row r="6711">
      <c r="A6711" t="str">
        <f>IFERROR(__xludf.DUMMYFUNCTION("""COMPUTED_VALUE"""),"RN117Q")</f>
        <v>RN117Q</v>
      </c>
      <c r="C6711" t="str">
        <f>IFERROR(__xludf.DUMMYFUNCTION("""COMPUTED_VALUE"""),"Westfalia/Witter")</f>
        <v>Westfalia/Witter</v>
      </c>
    </row>
    <row r="6712">
      <c r="A6712" t="str">
        <f>IFERROR(__xludf.DUMMYFUNCTION("""COMPUTED_VALUE"""),"RN117S")</f>
        <v>RN117S</v>
      </c>
      <c r="C6712" t="str">
        <f>IFERROR(__xludf.DUMMYFUNCTION("""COMPUTED_VALUE"""),"Westfalia/Witter")</f>
        <v>Westfalia/Witter</v>
      </c>
    </row>
    <row r="6713">
      <c r="A6713" t="str">
        <f>IFERROR(__xludf.DUMMYFUNCTION("""COMPUTED_VALUE"""),"316367600001")</f>
        <v>316367600001</v>
      </c>
      <c r="C6713" t="str">
        <f>IFERROR(__xludf.DUMMYFUNCTION("""COMPUTED_VALUE"""),"Westfalia/Witter")</f>
        <v>Westfalia/Witter</v>
      </c>
    </row>
    <row r="6714">
      <c r="A6714" t="str">
        <f>IFERROR(__xludf.DUMMYFUNCTION("""COMPUTED_VALUE"""),"316368600001")</f>
        <v>316368600001</v>
      </c>
      <c r="C6714" t="str">
        <f>IFERROR(__xludf.DUMMYFUNCTION("""COMPUTED_VALUE"""),"Westfalia/Witter")</f>
        <v>Westfalia/Witter</v>
      </c>
    </row>
    <row r="6715">
      <c r="A6715" t="str">
        <f>IFERROR(__xludf.DUMMYFUNCTION("""COMPUTED_VALUE"""),"RN115Q")</f>
        <v>RN115Q</v>
      </c>
      <c r="C6715" t="str">
        <f>IFERROR(__xludf.DUMMYFUNCTION("""COMPUTED_VALUE"""),"Westfalia/Witter")</f>
        <v>Westfalia/Witter</v>
      </c>
    </row>
    <row r="6716">
      <c r="A6716" t="str">
        <f>IFERROR(__xludf.DUMMYFUNCTION("""COMPUTED_VALUE"""),"RN115Q")</f>
        <v>RN115Q</v>
      </c>
      <c r="C6716" t="str">
        <f>IFERROR(__xludf.DUMMYFUNCTION("""COMPUTED_VALUE"""),"Westfalia/Witter")</f>
        <v>Westfalia/Witter</v>
      </c>
    </row>
    <row r="6717">
      <c r="A6717" t="str">
        <f>IFERROR(__xludf.DUMMYFUNCTION("""COMPUTED_VALUE"""),"RN115S")</f>
        <v>RN115S</v>
      </c>
      <c r="C6717" t="str">
        <f>IFERROR(__xludf.DUMMYFUNCTION("""COMPUTED_VALUE"""),"Westfalia/Witter")</f>
        <v>Westfalia/Witter</v>
      </c>
    </row>
    <row r="6718">
      <c r="A6718" t="str">
        <f>IFERROR(__xludf.DUMMYFUNCTION("""COMPUTED_VALUE"""),"RN115S")</f>
        <v>RN115S</v>
      </c>
      <c r="C6718" t="str">
        <f>IFERROR(__xludf.DUMMYFUNCTION("""COMPUTED_VALUE"""),"Westfalia/Witter")</f>
        <v>Westfalia/Witter</v>
      </c>
    </row>
    <row r="6719">
      <c r="A6719" t="str">
        <f>IFERROR(__xludf.DUMMYFUNCTION("""COMPUTED_VALUE"""),"324047600001")</f>
        <v>324047600001</v>
      </c>
      <c r="C6719" t="str">
        <f>IFERROR(__xludf.DUMMYFUNCTION("""COMPUTED_VALUE"""),"Westfalia/Witter")</f>
        <v>Westfalia/Witter</v>
      </c>
    </row>
    <row r="6720">
      <c r="A6720" t="str">
        <f>IFERROR(__xludf.DUMMYFUNCTION("""COMPUTED_VALUE"""),"324047600001")</f>
        <v>324047600001</v>
      </c>
      <c r="C6720" t="str">
        <f>IFERROR(__xludf.DUMMYFUNCTION("""COMPUTED_VALUE"""),"Westfalia/Witter")</f>
        <v>Westfalia/Witter</v>
      </c>
    </row>
    <row r="6721">
      <c r="A6721" t="str">
        <f>IFERROR(__xludf.DUMMYFUNCTION("""COMPUTED_VALUE"""),"324058600001")</f>
        <v>324058600001</v>
      </c>
      <c r="C6721" t="str">
        <f>IFERROR(__xludf.DUMMYFUNCTION("""COMPUTED_VALUE"""),"Westfalia/Witter")</f>
        <v>Westfalia/Witter</v>
      </c>
    </row>
    <row r="6722">
      <c r="A6722" t="str">
        <f>IFERROR(__xludf.DUMMYFUNCTION("""COMPUTED_VALUE"""),"324058600001")</f>
        <v>324058600001</v>
      </c>
      <c r="C6722" t="str">
        <f>IFERROR(__xludf.DUMMYFUNCTION("""COMPUTED_VALUE"""),"Westfalia/Witter")</f>
        <v>Westfalia/Witter</v>
      </c>
    </row>
    <row r="6723">
      <c r="A6723" t="str">
        <f>IFERROR(__xludf.DUMMYFUNCTION("""COMPUTED_VALUE"""),"324058600001")</f>
        <v>324058600001</v>
      </c>
      <c r="C6723" t="str">
        <f>IFERROR(__xludf.DUMMYFUNCTION("""COMPUTED_VALUE"""),"Westfalia/Witter")</f>
        <v>Westfalia/Witter</v>
      </c>
    </row>
    <row r="6724">
      <c r="A6724" t="str">
        <f>IFERROR(__xludf.DUMMYFUNCTION("""COMPUTED_VALUE"""),"324039600001")</f>
        <v>324039600001</v>
      </c>
      <c r="C6724" t="str">
        <f>IFERROR(__xludf.DUMMYFUNCTION("""COMPUTED_VALUE"""),"Westfalia/Witter")</f>
        <v>Westfalia/Witter</v>
      </c>
    </row>
    <row r="6725">
      <c r="A6725" t="str">
        <f>IFERROR(__xludf.DUMMYFUNCTION("""COMPUTED_VALUE"""),"324045600001")</f>
        <v>324045600001</v>
      </c>
      <c r="C6725" t="str">
        <f>IFERROR(__xludf.DUMMYFUNCTION("""COMPUTED_VALUE"""),"Westfalia/Witter")</f>
        <v>Westfalia/Witter</v>
      </c>
    </row>
    <row r="6726">
      <c r="A6726" t="str">
        <f>IFERROR(__xludf.DUMMYFUNCTION("""COMPUTED_VALUE"""),"324046600001")</f>
        <v>324046600001</v>
      </c>
      <c r="C6726" t="str">
        <f>IFERROR(__xludf.DUMMYFUNCTION("""COMPUTED_VALUE"""),"Westfalia/Witter")</f>
        <v>Westfalia/Witter</v>
      </c>
    </row>
    <row r="6727">
      <c r="A6727" t="str">
        <f>IFERROR(__xludf.DUMMYFUNCTION("""COMPUTED_VALUE"""),"344081600001")</f>
        <v>344081600001</v>
      </c>
      <c r="C6727" t="str">
        <f>IFERROR(__xludf.DUMMYFUNCTION("""COMPUTED_VALUE"""),"Westfalia/Witter")</f>
        <v>Westfalia/Witter</v>
      </c>
    </row>
    <row r="6728">
      <c r="A6728" t="str">
        <f>IFERROR(__xludf.DUMMYFUNCTION("""COMPUTED_VALUE"""),"SA25Q")</f>
        <v>SA25Q</v>
      </c>
      <c r="C6728" t="str">
        <f>IFERROR(__xludf.DUMMYFUNCTION("""COMPUTED_VALUE"""),"Westfalia/Witter")</f>
        <v>Westfalia/Witter</v>
      </c>
    </row>
    <row r="6729">
      <c r="A6729" t="str">
        <f>IFERROR(__xludf.DUMMYFUNCTION("""COMPUTED_VALUE"""),"SA25S")</f>
        <v>SA25S</v>
      </c>
      <c r="C6729" t="str">
        <f>IFERROR(__xludf.DUMMYFUNCTION("""COMPUTED_VALUE"""),"Westfalia/Witter")</f>
        <v>Westfalia/Witter</v>
      </c>
    </row>
    <row r="6730">
      <c r="A6730" t="str">
        <f>IFERROR(__xludf.DUMMYFUNCTION("""COMPUTED_VALUE"""),"SA23Q")</f>
        <v>SA23Q</v>
      </c>
      <c r="C6730" t="str">
        <f>IFERROR(__xludf.DUMMYFUNCTION("""COMPUTED_VALUE"""),"Westfalia/Witter")</f>
        <v>Westfalia/Witter</v>
      </c>
    </row>
    <row r="6731">
      <c r="A6731" t="str">
        <f>IFERROR(__xludf.DUMMYFUNCTION("""COMPUTED_VALUE"""),"SA23S")</f>
        <v>SA23S</v>
      </c>
      <c r="C6731" t="str">
        <f>IFERROR(__xludf.DUMMYFUNCTION("""COMPUTED_VALUE"""),"Westfalia/Witter")</f>
        <v>Westfalia/Witter</v>
      </c>
    </row>
    <row r="6732">
      <c r="A6732" t="str">
        <f>IFERROR(__xludf.DUMMYFUNCTION("""COMPUTED_VALUE"""),"SA24AQ")</f>
        <v>SA24AQ</v>
      </c>
      <c r="C6732" t="str">
        <f>IFERROR(__xludf.DUMMYFUNCTION("""COMPUTED_VALUE"""),"Westfalia/Witter")</f>
        <v>Westfalia/Witter</v>
      </c>
    </row>
    <row r="6733">
      <c r="A6733" t="str">
        <f>IFERROR(__xludf.DUMMYFUNCTION("""COMPUTED_VALUE"""),"SA24AQ")</f>
        <v>SA24AQ</v>
      </c>
      <c r="C6733" t="str">
        <f>IFERROR(__xludf.DUMMYFUNCTION("""COMPUTED_VALUE"""),"Westfalia/Witter")</f>
        <v>Westfalia/Witter</v>
      </c>
    </row>
    <row r="6734">
      <c r="A6734" t="str">
        <f>IFERROR(__xludf.DUMMYFUNCTION("""COMPUTED_VALUE"""),"SA24AS")</f>
        <v>SA24AS</v>
      </c>
      <c r="C6734" t="str">
        <f>IFERROR(__xludf.DUMMYFUNCTION("""COMPUTED_VALUE"""),"Westfalia/Witter")</f>
        <v>Westfalia/Witter</v>
      </c>
    </row>
    <row r="6735">
      <c r="A6735" t="str">
        <f>IFERROR(__xludf.DUMMYFUNCTION("""COMPUTED_VALUE"""),"SA24AS")</f>
        <v>SA24AS</v>
      </c>
      <c r="C6735" t="str">
        <f>IFERROR(__xludf.DUMMYFUNCTION("""COMPUTED_VALUE"""),"Westfalia/Witter")</f>
        <v>Westfalia/Witter</v>
      </c>
    </row>
    <row r="6736">
      <c r="A6736" t="str">
        <f>IFERROR(__xludf.DUMMYFUNCTION("""COMPUTED_VALUE"""),"317168600001")</f>
        <v>317168600001</v>
      </c>
      <c r="C6736" t="str">
        <f>IFERROR(__xludf.DUMMYFUNCTION("""COMPUTED_VALUE"""),"Westfalia/Witter")</f>
        <v>Westfalia/Witter</v>
      </c>
    </row>
    <row r="6737">
      <c r="A6737" t="str">
        <f>IFERROR(__xludf.DUMMYFUNCTION("""COMPUTED_VALUE"""),"SK32Q")</f>
        <v>SK32Q</v>
      </c>
      <c r="C6737" t="str">
        <f>IFERROR(__xludf.DUMMYFUNCTION("""COMPUTED_VALUE"""),"Westfalia/Witter")</f>
        <v>Westfalia/Witter</v>
      </c>
    </row>
    <row r="6738">
      <c r="A6738" t="str">
        <f>IFERROR(__xludf.DUMMYFUNCTION("""COMPUTED_VALUE"""),"SK32S")</f>
        <v>SK32S</v>
      </c>
      <c r="C6738" t="str">
        <f>IFERROR(__xludf.DUMMYFUNCTION("""COMPUTED_VALUE"""),"Westfalia/Witter")</f>
        <v>Westfalia/Witter</v>
      </c>
    </row>
    <row r="6739">
      <c r="A6739" t="str">
        <f>IFERROR(__xludf.DUMMYFUNCTION("""COMPUTED_VALUE"""),"SY18")</f>
        <v>SY18</v>
      </c>
      <c r="C6739" t="str">
        <f>IFERROR(__xludf.DUMMYFUNCTION("""COMPUTED_VALUE"""),"Westfalia/Witter")</f>
        <v>Westfalia/Witter</v>
      </c>
    </row>
    <row r="6740">
      <c r="A6740" t="str">
        <f>IFERROR(__xludf.DUMMYFUNCTION("""COMPUTED_VALUE"""),"SY17Q")</f>
        <v>SY17Q</v>
      </c>
      <c r="C6740" t="str">
        <f>IFERROR(__xludf.DUMMYFUNCTION("""COMPUTED_VALUE"""),"Westfalia/Witter")</f>
        <v>Westfalia/Witter</v>
      </c>
    </row>
    <row r="6741">
      <c r="A6741" t="str">
        <f>IFERROR(__xludf.DUMMYFUNCTION("""COMPUTED_VALUE"""),"348083600001")</f>
        <v>348083600001</v>
      </c>
      <c r="C6741" t="str">
        <f>IFERROR(__xludf.DUMMYFUNCTION("""COMPUTED_VALUE"""),"Westfalia/Witter")</f>
        <v>Westfalia/Witter</v>
      </c>
    </row>
    <row r="6742">
      <c r="A6742" t="str">
        <f>IFERROR(__xludf.DUMMYFUNCTION("""COMPUTED_VALUE"""),"348084600001")</f>
        <v>348084600001</v>
      </c>
      <c r="C6742" t="str">
        <f>IFERROR(__xludf.DUMMYFUNCTION("""COMPUTED_VALUE"""),"Westfalia/Witter")</f>
        <v>Westfalia/Witter</v>
      </c>
    </row>
    <row r="6743">
      <c r="A6743" t="str">
        <f>IFERROR(__xludf.DUMMYFUNCTION("""COMPUTED_VALUE"""),"SU38S/N")</f>
        <v>SU38S/N</v>
      </c>
      <c r="C6743" t="str">
        <f>IFERROR(__xludf.DUMMYFUNCTION("""COMPUTED_VALUE"""),"Westfalia/Witter")</f>
        <v>Westfalia/Witter</v>
      </c>
    </row>
    <row r="6744">
      <c r="A6744" t="str">
        <f>IFERROR(__xludf.DUMMYFUNCTION("""COMPUTED_VALUE"""),"SU44Q")</f>
        <v>SU44Q</v>
      </c>
      <c r="C6744" t="str">
        <f>IFERROR(__xludf.DUMMYFUNCTION("""COMPUTED_VALUE"""),"Westfalia/Witter")</f>
        <v>Westfalia/Witter</v>
      </c>
    </row>
    <row r="6745">
      <c r="A6745" t="str">
        <f>IFERROR(__xludf.DUMMYFUNCTION("""COMPUTED_VALUE"""),"SU44S")</f>
        <v>SU44S</v>
      </c>
      <c r="C6745" t="str">
        <f>IFERROR(__xludf.DUMMYFUNCTION("""COMPUTED_VALUE"""),"Westfalia/Witter")</f>
        <v>Westfalia/Witter</v>
      </c>
    </row>
    <row r="6746">
      <c r="A6746" t="str">
        <f>IFERROR(__xludf.DUMMYFUNCTION("""COMPUTED_VALUE"""),"348080600001")</f>
        <v>348080600001</v>
      </c>
      <c r="C6746" t="str">
        <f>IFERROR(__xludf.DUMMYFUNCTION("""COMPUTED_VALUE"""),"Westfalia/Witter")</f>
        <v>Westfalia/Witter</v>
      </c>
    </row>
    <row r="6747">
      <c r="A6747" t="str">
        <f>IFERROR(__xludf.DUMMYFUNCTION("""COMPUTED_VALUE"""),"348078600001")</f>
        <v>348078600001</v>
      </c>
      <c r="C6747" t="str">
        <f>IFERROR(__xludf.DUMMYFUNCTION("""COMPUTED_VALUE"""),"Westfalia/Witter")</f>
        <v>Westfalia/Witter</v>
      </c>
    </row>
    <row r="6748">
      <c r="A6748" t="str">
        <f>IFERROR(__xludf.DUMMYFUNCTION("""COMPUTED_VALUE"""),"SZ24Q")</f>
        <v>SZ24Q</v>
      </c>
      <c r="C6748" t="str">
        <f>IFERROR(__xludf.DUMMYFUNCTION("""COMPUTED_VALUE"""),"Westfalia/Witter")</f>
        <v>Westfalia/Witter</v>
      </c>
    </row>
    <row r="6749">
      <c r="A6749" t="str">
        <f>IFERROR(__xludf.DUMMYFUNCTION("""COMPUTED_VALUE"""),"SZ24S")</f>
        <v>SZ24S</v>
      </c>
      <c r="C6749" t="str">
        <f>IFERROR(__xludf.DUMMYFUNCTION("""COMPUTED_VALUE"""),"Westfalia/Witter")</f>
        <v>Westfalia/Witter</v>
      </c>
    </row>
    <row r="6750">
      <c r="A6750" t="str">
        <f>IFERROR(__xludf.DUMMYFUNCTION("""COMPUTED_VALUE"""),"SZ25")</f>
        <v>SZ25</v>
      </c>
      <c r="C6750" t="str">
        <f>IFERROR(__xludf.DUMMYFUNCTION("""COMPUTED_VALUE"""),"Westfalia/Witter")</f>
        <v>Westfalia/Witter</v>
      </c>
    </row>
    <row r="6751">
      <c r="A6751" t="str">
        <f>IFERROR(__xludf.DUMMYFUNCTION("""COMPUTED_VALUE"""),"341018600001")</f>
        <v>341018600001</v>
      </c>
      <c r="C6751" t="str">
        <f>IFERROR(__xludf.DUMMYFUNCTION("""COMPUTED_VALUE"""),"Westfalia/Witter")</f>
        <v>Westfalia/Witter</v>
      </c>
    </row>
    <row r="6752">
      <c r="A6752" t="str">
        <f>IFERROR(__xludf.DUMMYFUNCTION("""COMPUTED_VALUE"""),"SZ22Q")</f>
        <v>SZ22Q</v>
      </c>
      <c r="C6752" t="str">
        <f>IFERROR(__xludf.DUMMYFUNCTION("""COMPUTED_VALUE"""),"Westfalia/Witter")</f>
        <v>Westfalia/Witter</v>
      </c>
    </row>
    <row r="6753">
      <c r="A6753" t="str">
        <f>IFERROR(__xludf.DUMMYFUNCTION("""COMPUTED_VALUE"""),"SZ22S")</f>
        <v>SZ22S</v>
      </c>
      <c r="C6753" t="str">
        <f>IFERROR(__xludf.DUMMYFUNCTION("""COMPUTED_VALUE"""),"Westfalia/Witter")</f>
        <v>Westfalia/Witter</v>
      </c>
    </row>
    <row r="6754">
      <c r="A6754" t="str">
        <f>IFERROR(__xludf.DUMMYFUNCTION("""COMPUTED_VALUE"""),"341066600001")</f>
        <v>341066600001</v>
      </c>
      <c r="C6754" t="str">
        <f>IFERROR(__xludf.DUMMYFUNCTION("""COMPUTED_VALUE"""),"Westfalia/Witter")</f>
        <v>Westfalia/Witter</v>
      </c>
    </row>
    <row r="6755">
      <c r="A6755" t="str">
        <f>IFERROR(__xludf.DUMMYFUNCTION("""COMPUTED_VALUE"""),"335512600001")</f>
        <v>335512600001</v>
      </c>
      <c r="C6755" t="str">
        <f>IFERROR(__xludf.DUMMYFUNCTION("""COMPUTED_VALUE"""),"Westfalia/Witter")</f>
        <v>Westfalia/Witter</v>
      </c>
    </row>
    <row r="6756">
      <c r="A6756" t="str">
        <f>IFERROR(__xludf.DUMMYFUNCTION("""COMPUTED_VALUE"""),"335513600001")</f>
        <v>335513600001</v>
      </c>
      <c r="C6756" t="str">
        <f>IFERROR(__xludf.DUMMYFUNCTION("""COMPUTED_VALUE"""),"Westfalia/Witter")</f>
        <v>Westfalia/Witter</v>
      </c>
    </row>
    <row r="6757">
      <c r="A6757" t="str">
        <f>IFERROR(__xludf.DUMMYFUNCTION("""COMPUTED_VALUE"""),"TY194Q")</f>
        <v>TY194Q</v>
      </c>
      <c r="C6757" t="str">
        <f>IFERROR(__xludf.DUMMYFUNCTION("""COMPUTED_VALUE"""),"Westfalia/Witter")</f>
        <v>Westfalia/Witter</v>
      </c>
    </row>
    <row r="6758">
      <c r="A6758" t="str">
        <f>IFERROR(__xludf.DUMMYFUNCTION("""COMPUTED_VALUE"""),"TY194S")</f>
        <v>TY194S</v>
      </c>
      <c r="C6758" t="str">
        <f>IFERROR(__xludf.DUMMYFUNCTION("""COMPUTED_VALUE"""),"Westfalia/Witter")</f>
        <v>Westfalia/Witter</v>
      </c>
    </row>
    <row r="6759">
      <c r="A6759" t="str">
        <f>IFERROR(__xludf.DUMMYFUNCTION("""COMPUTED_VALUE"""),"TY183A")</f>
        <v>TY183A</v>
      </c>
      <c r="C6759" t="str">
        <f>IFERROR(__xludf.DUMMYFUNCTION("""COMPUTED_VALUE"""),"Westfalia/Witter")</f>
        <v>Westfalia/Witter</v>
      </c>
    </row>
    <row r="6760">
      <c r="A6760" t="str">
        <f>IFERROR(__xludf.DUMMYFUNCTION("""COMPUTED_VALUE"""),"TY86A")</f>
        <v>TY86A</v>
      </c>
      <c r="C6760" t="str">
        <f>IFERROR(__xludf.DUMMYFUNCTION("""COMPUTED_VALUE"""),"Westfalia/Witter")</f>
        <v>Westfalia/Witter</v>
      </c>
    </row>
    <row r="6761">
      <c r="A6761" t="str">
        <f>IFERROR(__xludf.DUMMYFUNCTION("""COMPUTED_VALUE"""),"335510600001")</f>
        <v>335510600001</v>
      </c>
      <c r="C6761" t="str">
        <f>IFERROR(__xludf.DUMMYFUNCTION("""COMPUTED_VALUE"""),"Westfalia/Witter")</f>
        <v>Westfalia/Witter</v>
      </c>
    </row>
    <row r="6762">
      <c r="A6762" t="str">
        <f>IFERROR(__xludf.DUMMYFUNCTION("""COMPUTED_VALUE"""),"335511600001")</f>
        <v>335511600001</v>
      </c>
      <c r="C6762" t="str">
        <f>IFERROR(__xludf.DUMMYFUNCTION("""COMPUTED_VALUE"""),"Westfalia/Witter")</f>
        <v>Westfalia/Witter</v>
      </c>
    </row>
    <row r="6763">
      <c r="A6763" t="str">
        <f>IFERROR(__xludf.DUMMYFUNCTION("""COMPUTED_VALUE"""),"335450600001")</f>
        <v>335450600001</v>
      </c>
      <c r="C6763" t="str">
        <f>IFERROR(__xludf.DUMMYFUNCTION("""COMPUTED_VALUE"""),"Westfalia/Witter")</f>
        <v>Westfalia/Witter</v>
      </c>
    </row>
    <row r="6764">
      <c r="A6764" t="str">
        <f>IFERROR(__xludf.DUMMYFUNCTION("""COMPUTED_VALUE"""),"335382600001")</f>
        <v>335382600001</v>
      </c>
      <c r="C6764" t="str">
        <f>IFERROR(__xludf.DUMMYFUNCTION("""COMPUTED_VALUE"""),"Westfalia/Witter")</f>
        <v>Westfalia/Witter</v>
      </c>
    </row>
    <row r="6765">
      <c r="A6765" t="str">
        <f>IFERROR(__xludf.DUMMYFUNCTION("""COMPUTED_VALUE"""),"320093600001")</f>
        <v>320093600001</v>
      </c>
      <c r="C6765" t="str">
        <f>IFERROR(__xludf.DUMMYFUNCTION("""COMPUTED_VALUE"""),"Westfalia/Witter")</f>
        <v>Westfalia/Witter</v>
      </c>
    </row>
    <row r="6766">
      <c r="A6766" t="str">
        <f>IFERROR(__xludf.DUMMYFUNCTION("""COMPUTED_VALUE"""),"320093600001")</f>
        <v>320093600001</v>
      </c>
      <c r="C6766" t="str">
        <f>IFERROR(__xludf.DUMMYFUNCTION("""COMPUTED_VALUE"""),"Westfalia/Witter")</f>
        <v>Westfalia/Witter</v>
      </c>
    </row>
    <row r="6767">
      <c r="A6767" t="str">
        <f>IFERROR(__xludf.DUMMYFUNCTION("""COMPUTED_VALUE"""),"320093600001")</f>
        <v>320093600001</v>
      </c>
      <c r="C6767" t="str">
        <f>IFERROR(__xludf.DUMMYFUNCTION("""COMPUTED_VALUE"""),"Westfalia/Witter")</f>
        <v>Westfalia/Witter</v>
      </c>
    </row>
    <row r="6768">
      <c r="A6768" t="str">
        <f>IFERROR(__xludf.DUMMYFUNCTION("""COMPUTED_VALUE"""),"320093600001")</f>
        <v>320093600001</v>
      </c>
      <c r="C6768" t="str">
        <f>IFERROR(__xludf.DUMMYFUNCTION("""COMPUTED_VALUE"""),"Westfalia/Witter")</f>
        <v>Westfalia/Witter</v>
      </c>
    </row>
    <row r="6769">
      <c r="A6769" t="str">
        <f>IFERROR(__xludf.DUMMYFUNCTION("""COMPUTED_VALUE"""),"VL54Q")</f>
        <v>VL54Q</v>
      </c>
      <c r="C6769" t="str">
        <f>IFERROR(__xludf.DUMMYFUNCTION("""COMPUTED_VALUE"""),"Westfalia/Witter")</f>
        <v>Westfalia/Witter</v>
      </c>
    </row>
    <row r="6770">
      <c r="A6770" t="str">
        <f>IFERROR(__xludf.DUMMYFUNCTION("""COMPUTED_VALUE"""),"VL54Q")</f>
        <v>VL54Q</v>
      </c>
      <c r="C6770" t="str">
        <f>IFERROR(__xludf.DUMMYFUNCTION("""COMPUTED_VALUE"""),"Westfalia/Witter")</f>
        <v>Westfalia/Witter</v>
      </c>
    </row>
    <row r="6771">
      <c r="A6771" t="str">
        <f>IFERROR(__xludf.DUMMYFUNCTION("""COMPUTED_VALUE"""),"VL54S")</f>
        <v>VL54S</v>
      </c>
      <c r="C6771" t="str">
        <f>IFERROR(__xludf.DUMMYFUNCTION("""COMPUTED_VALUE"""),"Westfalia/Witter")</f>
        <v>Westfalia/Witter</v>
      </c>
    </row>
    <row r="6772">
      <c r="A6772" t="str">
        <f>IFERROR(__xludf.DUMMYFUNCTION("""COMPUTED_VALUE"""),"VL54S")</f>
        <v>VL54S</v>
      </c>
      <c r="C6772" t="str">
        <f>IFERROR(__xludf.DUMMYFUNCTION("""COMPUTED_VALUE"""),"Westfalia/Witter")</f>
        <v>Westfalia/Witter</v>
      </c>
    </row>
    <row r="6773">
      <c r="A6773" t="str">
        <f>IFERROR(__xludf.DUMMYFUNCTION("""COMPUTED_VALUE"""),"320173600001")</f>
        <v>320173600001</v>
      </c>
      <c r="C6773" t="str">
        <f>IFERROR(__xludf.DUMMYFUNCTION("""COMPUTED_VALUE"""),"Westfalia/Witter")</f>
        <v>Westfalia/Witter</v>
      </c>
    </row>
    <row r="6774">
      <c r="A6774" t="str">
        <f>IFERROR(__xludf.DUMMYFUNCTION("""COMPUTED_VALUE"""),"320174600001")</f>
        <v>320174600001</v>
      </c>
      <c r="C6774" t="str">
        <f>IFERROR(__xludf.DUMMYFUNCTION("""COMPUTED_VALUE"""),"Westfalia/Witter")</f>
        <v>Westfalia/Witter</v>
      </c>
    </row>
    <row r="6775">
      <c r="A6775" t="str">
        <f>IFERROR(__xludf.DUMMYFUNCTION("""COMPUTED_VALUE"""),"320181600001")</f>
        <v>320181600001</v>
      </c>
      <c r="C6775" t="str">
        <f>IFERROR(__xludf.DUMMYFUNCTION("""COMPUTED_VALUE"""),"Westfalia/Witter")</f>
        <v>Westfalia/Witter</v>
      </c>
    </row>
    <row r="6776">
      <c r="A6776" t="str">
        <f>IFERROR(__xludf.DUMMYFUNCTION("""COMPUTED_VALUE"""),"320182600001")</f>
        <v>320182600001</v>
      </c>
      <c r="C6776" t="str">
        <f>IFERROR(__xludf.DUMMYFUNCTION("""COMPUTED_VALUE"""),"Westfalia/Witter")</f>
        <v>Westfalia/Witter</v>
      </c>
    </row>
    <row r="6777">
      <c r="A6777" t="str">
        <f>IFERROR(__xludf.DUMMYFUNCTION("""COMPUTED_VALUE"""),"VL58Q")</f>
        <v>VL58Q</v>
      </c>
      <c r="C6777" t="str">
        <f>IFERROR(__xludf.DUMMYFUNCTION("""COMPUTED_VALUE"""),"Westfalia/Witter")</f>
        <v>Westfalia/Witter</v>
      </c>
    </row>
    <row r="6778">
      <c r="A6778" t="str">
        <f>IFERROR(__xludf.DUMMYFUNCTION("""COMPUTED_VALUE"""),"VL58S")</f>
        <v>VL58S</v>
      </c>
      <c r="C6778" t="str">
        <f>IFERROR(__xludf.DUMMYFUNCTION("""COMPUTED_VALUE"""),"Westfalia/Witter")</f>
        <v>Westfalia/Witter</v>
      </c>
    </row>
    <row r="6779">
      <c r="A6779" t="str">
        <f>IFERROR(__xludf.DUMMYFUNCTION("""COMPUTED_VALUE"""),"VL59Q")</f>
        <v>VL59Q</v>
      </c>
      <c r="C6779" t="str">
        <f>IFERROR(__xludf.DUMMYFUNCTION("""COMPUTED_VALUE"""),"Westfalia/Witter")</f>
        <v>Westfalia/Witter</v>
      </c>
    </row>
    <row r="6780">
      <c r="A6780" t="str">
        <f>IFERROR(__xludf.DUMMYFUNCTION("""COMPUTED_VALUE"""),"VL59S")</f>
        <v>VL59S</v>
      </c>
      <c r="C6780" t="str">
        <f>IFERROR(__xludf.DUMMYFUNCTION("""COMPUTED_VALUE"""),"Westfalia/Witter")</f>
        <v>Westfalia/Witter</v>
      </c>
    </row>
    <row r="6781">
      <c r="A6781" t="str">
        <f>IFERROR(__xludf.DUMMYFUNCTION("""COMPUTED_VALUE"""),"320118600001")</f>
        <v>320118600001</v>
      </c>
      <c r="C6781" t="str">
        <f>IFERROR(__xludf.DUMMYFUNCTION("""COMPUTED_VALUE"""),"Westfalia/Witter")</f>
        <v>Westfalia/Witter</v>
      </c>
    </row>
    <row r="6782">
      <c r="A6782" t="str">
        <f>IFERROR(__xludf.DUMMYFUNCTION("""COMPUTED_VALUE"""),"320092600001")</f>
        <v>320092600001</v>
      </c>
      <c r="C6782" t="str">
        <f>IFERROR(__xludf.DUMMYFUNCTION("""COMPUTED_VALUE"""),"Westfalia/Witter")</f>
        <v>Westfalia/Witter</v>
      </c>
    </row>
    <row r="6783">
      <c r="A6783" t="str">
        <f>IFERROR(__xludf.DUMMYFUNCTION("""COMPUTED_VALUE"""),"320095600001")</f>
        <v>320095600001</v>
      </c>
      <c r="C6783" t="str">
        <f>IFERROR(__xludf.DUMMYFUNCTION("""COMPUTED_VALUE"""),"Westfalia/Witter")</f>
        <v>Westfalia/Witter</v>
      </c>
    </row>
    <row r="6784">
      <c r="A6784" t="str">
        <f>IFERROR(__xludf.DUMMYFUNCTION("""COMPUTED_VALUE"""),"320166600001")</f>
        <v>320166600001</v>
      </c>
      <c r="C6784" t="str">
        <f>IFERROR(__xludf.DUMMYFUNCTION("""COMPUTED_VALUE"""),"Westfalia/Witter")</f>
        <v>Westfalia/Witter</v>
      </c>
    </row>
    <row r="6785">
      <c r="A6785" t="str">
        <f>IFERROR(__xludf.DUMMYFUNCTION("""COMPUTED_VALUE"""),"320167600001")</f>
        <v>320167600001</v>
      </c>
      <c r="C6785" t="str">
        <f>IFERROR(__xludf.DUMMYFUNCTION("""COMPUTED_VALUE"""),"Westfalia/Witter")</f>
        <v>Westfalia/Witter</v>
      </c>
    </row>
    <row r="6786">
      <c r="A6786" t="str">
        <f>IFERROR(__xludf.DUMMYFUNCTION("""COMPUTED_VALUE"""),"VL55Q")</f>
        <v>VL55Q</v>
      </c>
      <c r="C6786" t="str">
        <f>IFERROR(__xludf.DUMMYFUNCTION("""COMPUTED_VALUE"""),"Westfalia/Witter")</f>
        <v>Westfalia/Witter</v>
      </c>
    </row>
    <row r="6787">
      <c r="A6787" t="str">
        <f>IFERROR(__xludf.DUMMYFUNCTION("""COMPUTED_VALUE"""),"VL55S")</f>
        <v>VL55S</v>
      </c>
      <c r="C6787" t="str">
        <f>IFERROR(__xludf.DUMMYFUNCTION("""COMPUTED_VALUE"""),"Westfalia/Witter")</f>
        <v>Westfalia/Witter</v>
      </c>
    </row>
    <row r="6788">
      <c r="A6788" t="str">
        <f>IFERROR(__xludf.DUMMYFUNCTION("""COMPUTED_VALUE"""),"VL56Q")</f>
        <v>VL56Q</v>
      </c>
      <c r="C6788" t="str">
        <f>IFERROR(__xludf.DUMMYFUNCTION("""COMPUTED_VALUE"""),"Westfalia/Witter")</f>
        <v>Westfalia/Witter</v>
      </c>
    </row>
    <row r="6789">
      <c r="A6789" t="str">
        <f>IFERROR(__xludf.DUMMYFUNCTION("""COMPUTED_VALUE"""),"VL56S")</f>
        <v>VL56S</v>
      </c>
      <c r="C6789" t="str">
        <f>IFERROR(__xludf.DUMMYFUNCTION("""COMPUTED_VALUE"""),"Westfalia/Witter")</f>
        <v>Westfalia/Witter</v>
      </c>
    </row>
    <row r="6790">
      <c r="A6790" t="str">
        <f>IFERROR(__xludf.DUMMYFUNCTION("""COMPUTED_VALUE"""),"VL57Q")</f>
        <v>VL57Q</v>
      </c>
      <c r="C6790" t="str">
        <f>IFERROR(__xludf.DUMMYFUNCTION("""COMPUTED_VALUE"""),"Westfalia/Witter")</f>
        <v>Westfalia/Witter</v>
      </c>
    </row>
    <row r="6791">
      <c r="A6791" t="str">
        <f>IFERROR(__xludf.DUMMYFUNCTION("""COMPUTED_VALUE"""),"VL57S")</f>
        <v>VL57S</v>
      </c>
      <c r="C6791" t="str">
        <f>IFERROR(__xludf.DUMMYFUNCTION("""COMPUTED_VALUE"""),"Westfalia/Witter")</f>
        <v>Westfalia/Witter</v>
      </c>
    </row>
    <row r="6792">
      <c r="A6792" t="str">
        <f>IFERROR(__xludf.DUMMYFUNCTION("""COMPUTED_VALUE"""),"320119600001")</f>
        <v>320119600001</v>
      </c>
      <c r="C6792" t="str">
        <f>IFERROR(__xludf.DUMMYFUNCTION("""COMPUTED_VALUE"""),"Westfalia/Witter")</f>
        <v>Westfalia/Witter</v>
      </c>
    </row>
    <row r="6793">
      <c r="A6793" t="str">
        <f>IFERROR(__xludf.DUMMYFUNCTION("""COMPUTED_VALUE"""),"VW72B")</f>
        <v>VW72B</v>
      </c>
      <c r="C6793" t="str">
        <f>IFERROR(__xludf.DUMMYFUNCTION("""COMPUTED_VALUE"""),"Westfalia/Witter")</f>
        <v>Westfalia/Witter</v>
      </c>
    </row>
    <row r="6794">
      <c r="A6794" t="str">
        <f>IFERROR(__xludf.DUMMYFUNCTION("""COMPUTED_VALUE"""),"VW85S")</f>
        <v>VW85S</v>
      </c>
      <c r="C6794" t="str">
        <f>IFERROR(__xludf.DUMMYFUNCTION("""COMPUTED_VALUE"""),"Westfalia/Witter")</f>
        <v>Westfalia/Witter</v>
      </c>
    </row>
    <row r="6795">
      <c r="A6795" t="str">
        <f>IFERROR(__xludf.DUMMYFUNCTION("""COMPUTED_VALUE"""),"321837600001")</f>
        <v>321837600001</v>
      </c>
      <c r="C6795" t="str">
        <f>IFERROR(__xludf.DUMMYFUNCTION("""COMPUTED_VALUE"""),"Westfalia/Witter")</f>
        <v>Westfalia/Witter</v>
      </c>
    </row>
    <row r="6796">
      <c r="A6796" t="str">
        <f>IFERROR(__xludf.DUMMYFUNCTION("""COMPUTED_VALUE"""),"VW94")</f>
        <v>VW94</v>
      </c>
      <c r="C6796" t="str">
        <f>IFERROR(__xludf.DUMMYFUNCTION("""COMPUTED_VALUE"""),"Westfalia/Witter")</f>
        <v>Westfalia/Witter</v>
      </c>
    </row>
    <row r="6797">
      <c r="A6797" t="str">
        <f>IFERROR(__xludf.DUMMYFUNCTION("""COMPUTED_VALUE"""),"VW90AS")</f>
        <v>VW90AS</v>
      </c>
      <c r="C6797" t="str">
        <f>IFERROR(__xludf.DUMMYFUNCTION("""COMPUTED_VALUE"""),"Westfalia/Witter")</f>
        <v>Westfalia/Witter</v>
      </c>
    </row>
    <row r="6798">
      <c r="A6798" t="str">
        <f>IFERROR(__xludf.DUMMYFUNCTION("""COMPUTED_VALUE"""),"11.4134")</f>
        <v>11.4134</v>
      </c>
      <c r="C6798" t="str">
        <f>IFERROR(__xludf.DUMMYFUNCTION("""COMPUTED_VALUE"""),"Westfalia/Witter")</f>
        <v>Westfalia/Witter</v>
      </c>
    </row>
    <row r="6799">
      <c r="A6799" t="str">
        <f>IFERROR(__xludf.DUMMYFUNCTION("""COMPUTED_VALUE"""),"344102600001")</f>
        <v>344102600001</v>
      </c>
      <c r="C6799" t="str">
        <f>IFERROR(__xludf.DUMMYFUNCTION("""COMPUTED_VALUE"""),"Westfalia/Witter")</f>
        <v>Westfalia/Witter</v>
      </c>
    </row>
    <row r="6800">
      <c r="A6800" t="str">
        <f>IFERROR(__xludf.DUMMYFUNCTION("""COMPUTED_VALUE"""),"344102600001")</f>
        <v>344102600001</v>
      </c>
      <c r="C6800" t="str">
        <f>IFERROR(__xludf.DUMMYFUNCTION("""COMPUTED_VALUE"""),"Westfalia/Witter")</f>
        <v>Westfalia/Witter</v>
      </c>
    </row>
    <row r="6801">
      <c r="A6801" t="str">
        <f>IFERROR(__xludf.DUMMYFUNCTION("""COMPUTED_VALUE"""),"VW52CQ")</f>
        <v>VW52CQ</v>
      </c>
      <c r="C6801" t="str">
        <f>IFERROR(__xludf.DUMMYFUNCTION("""COMPUTED_VALUE"""),"Westfalia/Witter")</f>
        <v>Westfalia/Witter</v>
      </c>
    </row>
    <row r="6802">
      <c r="A6802" t="str">
        <f>IFERROR(__xludf.DUMMYFUNCTION("""COMPUTED_VALUE"""),"VW52CS")</f>
        <v>VW52CS</v>
      </c>
      <c r="C6802" t="str">
        <f>IFERROR(__xludf.DUMMYFUNCTION("""COMPUTED_VALUE"""),"Westfalia/Witter")</f>
        <v>Westfalia/Witter</v>
      </c>
    </row>
    <row r="6803">
      <c r="A6803">
        <f>IFERROR(__xludf.DUMMYFUNCTION("""COMPUTED_VALUE"""),3.05571600001E11)</f>
        <v>305571600001</v>
      </c>
      <c r="C6803" t="str">
        <f>IFERROR(__xludf.DUMMYFUNCTION("""COMPUTED_VALUE"""),"Westfalia/Witter")</f>
        <v>Westfalia/Witter</v>
      </c>
    </row>
    <row r="6804">
      <c r="A6804" t="str">
        <f>IFERROR(__xludf.DUMMYFUNCTION("""COMPUTED_VALUE"""),"A-053")</f>
        <v>A-053</v>
      </c>
      <c r="C6804" t="str">
        <f>IFERROR(__xludf.DUMMYFUNCTION("""COMPUTED_VALUE"""),"Steinhof")</f>
        <v>Steinhof</v>
      </c>
    </row>
    <row r="6805">
      <c r="A6805" t="str">
        <f>IFERROR(__xludf.DUMMYFUNCTION("""COMPUTED_VALUE"""),"A-053")</f>
        <v>A-053</v>
      </c>
      <c r="C6805" t="str">
        <f>IFERROR(__xludf.DUMMYFUNCTION("""COMPUTED_VALUE"""),"Steinhof")</f>
        <v>Steinhof</v>
      </c>
    </row>
    <row r="6806">
      <c r="A6806" t="str">
        <f>IFERROR(__xludf.DUMMYFUNCTION("""COMPUTED_VALUE"""),"A-054")</f>
        <v>A-054</v>
      </c>
      <c r="C6806" t="str">
        <f>IFERROR(__xludf.DUMMYFUNCTION("""COMPUTED_VALUE"""),"Steinhof")</f>
        <v>Steinhof</v>
      </c>
    </row>
    <row r="6807">
      <c r="A6807" t="str">
        <f>IFERROR(__xludf.DUMMYFUNCTION("""COMPUTED_VALUE"""),"A-054")</f>
        <v>A-054</v>
      </c>
      <c r="C6807" t="str">
        <f>IFERROR(__xludf.DUMMYFUNCTION("""COMPUTED_VALUE"""),"Steinhof")</f>
        <v>Steinhof</v>
      </c>
    </row>
    <row r="6808">
      <c r="A6808" t="str">
        <f>IFERROR(__xludf.DUMMYFUNCTION("""COMPUTED_VALUE"""),"A-066")</f>
        <v>A-066</v>
      </c>
      <c r="C6808" t="str">
        <f>IFERROR(__xludf.DUMMYFUNCTION("""COMPUTED_VALUE"""),"Steinhof")</f>
        <v>Steinhof</v>
      </c>
    </row>
    <row r="6809">
      <c r="A6809" t="str">
        <f>IFERROR(__xludf.DUMMYFUNCTION("""COMPUTED_VALUE"""),"A-067")</f>
        <v>A-067</v>
      </c>
      <c r="C6809" t="str">
        <f>IFERROR(__xludf.DUMMYFUNCTION("""COMPUTED_VALUE"""),"Steinhof")</f>
        <v>Steinhof</v>
      </c>
    </row>
    <row r="6810">
      <c r="A6810" t="str">
        <f>IFERROR(__xludf.DUMMYFUNCTION("""COMPUTED_VALUE"""),"AKCES-SMP-2PE 4PE")</f>
        <v>AKCES-SMP-2PE 4PE</v>
      </c>
      <c r="C6810" t="str">
        <f>IFERROR(__xludf.DUMMYFUNCTION("""COMPUTED_VALUE"""),"Steinhof")</f>
        <v>Steinhof</v>
      </c>
    </row>
    <row r="6811">
      <c r="A6811" t="str">
        <f>IFERROR(__xludf.DUMMYFUNCTION("""COMPUTED_VALUE"""),"AS-13/7")</f>
        <v>AS-13/7</v>
      </c>
      <c r="C6811" t="str">
        <f>IFERROR(__xludf.DUMMYFUNCTION("""COMPUTED_VALUE"""),"Steinhof")</f>
        <v>Steinhof</v>
      </c>
    </row>
    <row r="6812">
      <c r="A6812" t="str">
        <f>IFERROR(__xludf.DUMMYFUNCTION("""COMPUTED_VALUE"""),"AS-7/13")</f>
        <v>AS-7/13</v>
      </c>
      <c r="C6812" t="str">
        <f>IFERROR(__xludf.DUMMYFUNCTION("""COMPUTED_VALUE"""),"Steinhof")</f>
        <v>Steinhof</v>
      </c>
    </row>
    <row r="6813">
      <c r="A6813" t="str">
        <f>IFERROR(__xludf.DUMMYFUNCTION("""COMPUTED_VALUE"""),"B-045")</f>
        <v>B-045</v>
      </c>
      <c r="C6813" t="str">
        <f>IFERROR(__xludf.DUMMYFUNCTION("""COMPUTED_VALUE"""),"Steinhof")</f>
        <v>Steinhof</v>
      </c>
    </row>
    <row r="6814">
      <c r="A6814" t="str">
        <f>IFERROR(__xludf.DUMMYFUNCTION("""COMPUTED_VALUE"""),"B-045")</f>
        <v>B-045</v>
      </c>
      <c r="C6814" t="str">
        <f>IFERROR(__xludf.DUMMYFUNCTION("""COMPUTED_VALUE"""),"Steinhof")</f>
        <v>Steinhof</v>
      </c>
    </row>
    <row r="6815">
      <c r="A6815" t="str">
        <f>IFERROR(__xludf.DUMMYFUNCTION("""COMPUTED_VALUE"""),"B-045")</f>
        <v>B-045</v>
      </c>
      <c r="C6815" t="str">
        <f>IFERROR(__xludf.DUMMYFUNCTION("""COMPUTED_VALUE"""),"Steinhof")</f>
        <v>Steinhof</v>
      </c>
    </row>
    <row r="6816">
      <c r="A6816" t="str">
        <f>IFERROR(__xludf.DUMMYFUNCTION("""COMPUTED_VALUE"""),"B-045")</f>
        <v>B-045</v>
      </c>
      <c r="C6816" t="str">
        <f>IFERROR(__xludf.DUMMYFUNCTION("""COMPUTED_VALUE"""),"Steinhof")</f>
        <v>Steinhof</v>
      </c>
    </row>
    <row r="6817">
      <c r="A6817" t="str">
        <f>IFERROR(__xludf.DUMMYFUNCTION("""COMPUTED_VALUE"""),"B-045")</f>
        <v>B-045</v>
      </c>
      <c r="C6817" t="str">
        <f>IFERROR(__xludf.DUMMYFUNCTION("""COMPUTED_VALUE"""),"Steinhof")</f>
        <v>Steinhof</v>
      </c>
    </row>
    <row r="6818">
      <c r="A6818" t="str">
        <f>IFERROR(__xludf.DUMMYFUNCTION("""COMPUTED_VALUE"""),"B-046")</f>
        <v>B-046</v>
      </c>
      <c r="C6818" t="str">
        <f>IFERROR(__xludf.DUMMYFUNCTION("""COMPUTED_VALUE"""),"Steinhof")</f>
        <v>Steinhof</v>
      </c>
    </row>
    <row r="6819">
      <c r="A6819" t="str">
        <f>IFERROR(__xludf.DUMMYFUNCTION("""COMPUTED_VALUE"""),"B-046")</f>
        <v>B-046</v>
      </c>
      <c r="C6819" t="str">
        <f>IFERROR(__xludf.DUMMYFUNCTION("""COMPUTED_VALUE"""),"Steinhof")</f>
        <v>Steinhof</v>
      </c>
    </row>
    <row r="6820">
      <c r="A6820" t="str">
        <f>IFERROR(__xludf.DUMMYFUNCTION("""COMPUTED_VALUE"""),"B-046")</f>
        <v>B-046</v>
      </c>
      <c r="C6820" t="str">
        <f>IFERROR(__xludf.DUMMYFUNCTION("""COMPUTED_VALUE"""),"Steinhof")</f>
        <v>Steinhof</v>
      </c>
    </row>
    <row r="6821">
      <c r="A6821" t="str">
        <f>IFERROR(__xludf.DUMMYFUNCTION("""COMPUTED_VALUE"""),"B-046")</f>
        <v>B-046</v>
      </c>
      <c r="C6821" t="str">
        <f>IFERROR(__xludf.DUMMYFUNCTION("""COMPUTED_VALUE"""),"Steinhof")</f>
        <v>Steinhof</v>
      </c>
    </row>
    <row r="6822">
      <c r="A6822" t="str">
        <f>IFERROR(__xludf.DUMMYFUNCTION("""COMPUTED_VALUE"""),"B-046")</f>
        <v>B-046</v>
      </c>
      <c r="C6822" t="str">
        <f>IFERROR(__xludf.DUMMYFUNCTION("""COMPUTED_VALUE"""),"Steinhof")</f>
        <v>Steinhof</v>
      </c>
    </row>
    <row r="6823">
      <c r="A6823" t="str">
        <f>IFERROR(__xludf.DUMMYFUNCTION("""COMPUTED_VALUE"""),"B-060")</f>
        <v>B-060</v>
      </c>
      <c r="C6823" t="str">
        <f>IFERROR(__xludf.DUMMYFUNCTION("""COMPUTED_VALUE"""),"Steinhof")</f>
        <v>Steinhof</v>
      </c>
    </row>
    <row r="6824">
      <c r="A6824" t="str">
        <f>IFERROR(__xludf.DUMMYFUNCTION("""COMPUTED_VALUE"""),"B-061")</f>
        <v>B-061</v>
      </c>
      <c r="C6824" t="str">
        <f>IFERROR(__xludf.DUMMYFUNCTION("""COMPUTED_VALUE"""),"Steinhof")</f>
        <v>Steinhof</v>
      </c>
    </row>
    <row r="6825">
      <c r="A6825" t="str">
        <f>IFERROR(__xludf.DUMMYFUNCTION("""COMPUTED_VALUE"""),"C-021")</f>
        <v>C-021</v>
      </c>
      <c r="C6825" t="str">
        <f>IFERROR(__xludf.DUMMYFUNCTION("""COMPUTED_VALUE"""),"Steinhof")</f>
        <v>Steinhof</v>
      </c>
    </row>
    <row r="6826">
      <c r="A6826" t="str">
        <f>IFERROR(__xludf.DUMMYFUNCTION("""COMPUTED_VALUE"""),"C-021")</f>
        <v>C-021</v>
      </c>
      <c r="C6826" t="str">
        <f>IFERROR(__xludf.DUMMYFUNCTION("""COMPUTED_VALUE"""),"Steinhof")</f>
        <v>Steinhof</v>
      </c>
    </row>
    <row r="6827">
      <c r="A6827" t="str">
        <f>IFERROR(__xludf.DUMMYFUNCTION("""COMPUTED_VALUE"""),"C-021")</f>
        <v>C-021</v>
      </c>
      <c r="C6827" t="str">
        <f>IFERROR(__xludf.DUMMYFUNCTION("""COMPUTED_VALUE"""),"Steinhof")</f>
        <v>Steinhof</v>
      </c>
    </row>
    <row r="6828">
      <c r="A6828" t="str">
        <f>IFERROR(__xludf.DUMMYFUNCTION("""COMPUTED_VALUE"""),"C-021")</f>
        <v>C-021</v>
      </c>
      <c r="C6828" t="str">
        <f>IFERROR(__xludf.DUMMYFUNCTION("""COMPUTED_VALUE"""),"Steinhof")</f>
        <v>Steinhof</v>
      </c>
    </row>
    <row r="6829">
      <c r="A6829" t="str">
        <f>IFERROR(__xludf.DUMMYFUNCTION("""COMPUTED_VALUE"""),"C-022/1")</f>
        <v>C-022/1</v>
      </c>
      <c r="C6829" t="str">
        <f>IFERROR(__xludf.DUMMYFUNCTION("""COMPUTED_VALUE"""),"Steinhof")</f>
        <v>Steinhof</v>
      </c>
    </row>
    <row r="6830">
      <c r="A6830" t="str">
        <f>IFERROR(__xludf.DUMMYFUNCTION("""COMPUTED_VALUE"""),"C-022/1")</f>
        <v>C-022/1</v>
      </c>
      <c r="C6830" t="str">
        <f>IFERROR(__xludf.DUMMYFUNCTION("""COMPUTED_VALUE"""),"Steinhof")</f>
        <v>Steinhof</v>
      </c>
    </row>
    <row r="6831">
      <c r="A6831" t="str">
        <f>IFERROR(__xludf.DUMMYFUNCTION("""COMPUTED_VALUE"""),"C-022/1")</f>
        <v>C-022/1</v>
      </c>
      <c r="C6831" t="str">
        <f>IFERROR(__xludf.DUMMYFUNCTION("""COMPUTED_VALUE"""),"Steinhof")</f>
        <v>Steinhof</v>
      </c>
    </row>
    <row r="6832">
      <c r="A6832" t="str">
        <f>IFERROR(__xludf.DUMMYFUNCTION("""COMPUTED_VALUE"""),"C-022/1")</f>
        <v>C-022/1</v>
      </c>
      <c r="C6832" t="str">
        <f>IFERROR(__xludf.DUMMYFUNCTION("""COMPUTED_VALUE"""),"Steinhof")</f>
        <v>Steinhof</v>
      </c>
    </row>
    <row r="6833">
      <c r="A6833" t="str">
        <f>IFERROR(__xludf.DUMMYFUNCTION("""COMPUTED_VALUE"""),"C-200/1")</f>
        <v>C-200/1</v>
      </c>
      <c r="C6833" t="str">
        <f>IFERROR(__xludf.DUMMYFUNCTION("""COMPUTED_VALUE"""),"Steinhof")</f>
        <v>Steinhof</v>
      </c>
    </row>
    <row r="6834">
      <c r="A6834" t="str">
        <f>IFERROR(__xludf.DUMMYFUNCTION("""COMPUTED_VALUE"""),"C-253")</f>
        <v>C-253</v>
      </c>
      <c r="C6834" t="str">
        <f>IFERROR(__xludf.DUMMYFUNCTION("""COMPUTED_VALUE"""),"Steinhof")</f>
        <v>Steinhof</v>
      </c>
    </row>
    <row r="6835">
      <c r="A6835" t="str">
        <f>IFERROR(__xludf.DUMMYFUNCTION("""COMPUTED_VALUE"""),"C-255")</f>
        <v>C-255</v>
      </c>
      <c r="C6835" t="str">
        <f>IFERROR(__xludf.DUMMYFUNCTION("""COMPUTED_VALUE"""),"Steinhof")</f>
        <v>Steinhof</v>
      </c>
    </row>
    <row r="6836">
      <c r="A6836" t="str">
        <f>IFERROR(__xludf.DUMMYFUNCTION("""COMPUTED_VALUE"""),"D-012")</f>
        <v>D-012</v>
      </c>
      <c r="C6836" t="str">
        <f>IFERROR(__xludf.DUMMYFUNCTION("""COMPUTED_VALUE"""),"Steinhof")</f>
        <v>Steinhof</v>
      </c>
    </row>
    <row r="6837">
      <c r="A6837" t="str">
        <f>IFERROR(__xludf.DUMMYFUNCTION("""COMPUTED_VALUE"""),"D-120")</f>
        <v>D-120</v>
      </c>
      <c r="C6837" t="str">
        <f>IFERROR(__xludf.DUMMYFUNCTION("""COMPUTED_VALUE"""),"Steinhof")</f>
        <v>Steinhof</v>
      </c>
    </row>
    <row r="6838">
      <c r="A6838" t="str">
        <f>IFERROR(__xludf.DUMMYFUNCTION("""COMPUTED_VALUE"""),"D-151")</f>
        <v>D-151</v>
      </c>
      <c r="C6838" t="str">
        <f>IFERROR(__xludf.DUMMYFUNCTION("""COMPUTED_VALUE"""),"Steinhof")</f>
        <v>Steinhof</v>
      </c>
    </row>
    <row r="6839">
      <c r="A6839" t="str">
        <f>IFERROR(__xludf.DUMMYFUNCTION("""COMPUTED_VALUE"""),"D-300")</f>
        <v>D-300</v>
      </c>
      <c r="C6839" t="str">
        <f>IFERROR(__xludf.DUMMYFUNCTION("""COMPUTED_VALUE"""),"Steinhof")</f>
        <v>Steinhof</v>
      </c>
    </row>
    <row r="6840">
      <c r="A6840" t="str">
        <f>IFERROR(__xludf.DUMMYFUNCTION("""COMPUTED_VALUE"""),"D-300")</f>
        <v>D-300</v>
      </c>
      <c r="C6840" t="str">
        <f>IFERROR(__xludf.DUMMYFUNCTION("""COMPUTED_VALUE"""),"Steinhof")</f>
        <v>Steinhof</v>
      </c>
    </row>
    <row r="6841">
      <c r="A6841" t="str">
        <f>IFERROR(__xludf.DUMMYFUNCTION("""COMPUTED_VALUE"""),"F-043")</f>
        <v>F-043</v>
      </c>
      <c r="C6841" t="str">
        <f>IFERROR(__xludf.DUMMYFUNCTION("""COMPUTED_VALUE"""),"Steinhof")</f>
        <v>Steinhof</v>
      </c>
    </row>
    <row r="6842">
      <c r="A6842" t="str">
        <f>IFERROR(__xludf.DUMMYFUNCTION("""COMPUTED_VALUE"""),"F-043")</f>
        <v>F-043</v>
      </c>
      <c r="C6842" t="str">
        <f>IFERROR(__xludf.DUMMYFUNCTION("""COMPUTED_VALUE"""),"Steinhof")</f>
        <v>Steinhof</v>
      </c>
    </row>
    <row r="6843">
      <c r="A6843" t="str">
        <f>IFERROR(__xludf.DUMMYFUNCTION("""COMPUTED_VALUE"""),"F-126")</f>
        <v>F-126</v>
      </c>
      <c r="C6843" t="str">
        <f>IFERROR(__xludf.DUMMYFUNCTION("""COMPUTED_VALUE"""),"Steinhof")</f>
        <v>Steinhof</v>
      </c>
    </row>
    <row r="6844">
      <c r="A6844" t="str">
        <f>IFERROR(__xludf.DUMMYFUNCTION("""COMPUTED_VALUE"""),"F-126")</f>
        <v>F-126</v>
      </c>
      <c r="C6844" t="str">
        <f>IFERROR(__xludf.DUMMYFUNCTION("""COMPUTED_VALUE"""),"Steinhof")</f>
        <v>Steinhof</v>
      </c>
    </row>
    <row r="6845">
      <c r="A6845" t="str">
        <f>IFERROR(__xludf.DUMMYFUNCTION("""COMPUTED_VALUE"""),"F-154")</f>
        <v>F-154</v>
      </c>
      <c r="C6845" t="str">
        <f>IFERROR(__xludf.DUMMYFUNCTION("""COMPUTED_VALUE"""),"Steinhof")</f>
        <v>Steinhof</v>
      </c>
    </row>
    <row r="6846">
      <c r="A6846" t="str">
        <f>IFERROR(__xludf.DUMMYFUNCTION("""COMPUTED_VALUE"""),"F-155")</f>
        <v>F-155</v>
      </c>
      <c r="C6846" t="str">
        <f>IFERROR(__xludf.DUMMYFUNCTION("""COMPUTED_VALUE"""),"Steinhof")</f>
        <v>Steinhof</v>
      </c>
    </row>
    <row r="6847">
      <c r="A6847" t="str">
        <f>IFERROR(__xludf.DUMMYFUNCTION("""COMPUTED_VALUE"""),"F-156")</f>
        <v>F-156</v>
      </c>
      <c r="C6847" t="str">
        <f>IFERROR(__xludf.DUMMYFUNCTION("""COMPUTED_VALUE"""),"Steinhof")</f>
        <v>Steinhof</v>
      </c>
    </row>
    <row r="6848">
      <c r="A6848" t="str">
        <f>IFERROR(__xludf.DUMMYFUNCTION("""COMPUTED_VALUE"""),"F-157")</f>
        <v>F-157</v>
      </c>
      <c r="C6848" t="str">
        <f>IFERROR(__xludf.DUMMYFUNCTION("""COMPUTED_VALUE"""),"Steinhof")</f>
        <v>Steinhof</v>
      </c>
    </row>
    <row r="6849">
      <c r="A6849" t="str">
        <f>IFERROR(__xludf.DUMMYFUNCTION("""COMPUTED_VALUE"""),"F-202")</f>
        <v>F-202</v>
      </c>
      <c r="C6849" t="str">
        <f>IFERROR(__xludf.DUMMYFUNCTION("""COMPUTED_VALUE"""),"Steinhof")</f>
        <v>Steinhof</v>
      </c>
    </row>
    <row r="6850">
      <c r="A6850" t="str">
        <f>IFERROR(__xludf.DUMMYFUNCTION("""COMPUTED_VALUE"""),"GN-13")</f>
        <v>GN-13</v>
      </c>
      <c r="C6850" t="str">
        <f>IFERROR(__xludf.DUMMYFUNCTION("""COMPUTED_VALUE"""),"Steinhof")</f>
        <v>Steinhof</v>
      </c>
    </row>
    <row r="6851">
      <c r="A6851" t="str">
        <f>IFERROR(__xludf.DUMMYFUNCTION("""COMPUTED_VALUE"""),"GN-7")</f>
        <v>GN-7</v>
      </c>
      <c r="C6851" t="str">
        <f>IFERROR(__xludf.DUMMYFUNCTION("""COMPUTED_VALUE"""),"Steinhof")</f>
        <v>Steinhof</v>
      </c>
    </row>
    <row r="6852">
      <c r="A6852" t="str">
        <f>IFERROR(__xludf.DUMMYFUNCTION("""COMPUTED_VALUE"""),"H-030")</f>
        <v>H-030</v>
      </c>
      <c r="C6852" t="str">
        <f>IFERROR(__xludf.DUMMYFUNCTION("""COMPUTED_VALUE"""),"Steinhof")</f>
        <v>Steinhof</v>
      </c>
    </row>
    <row r="6853">
      <c r="A6853" t="str">
        <f>IFERROR(__xludf.DUMMYFUNCTION("""COMPUTED_VALUE"""),"H-030")</f>
        <v>H-030</v>
      </c>
      <c r="C6853" t="str">
        <f>IFERROR(__xludf.DUMMYFUNCTION("""COMPUTED_VALUE"""),"Steinhof")</f>
        <v>Steinhof</v>
      </c>
    </row>
    <row r="6854">
      <c r="A6854" t="str">
        <f>IFERROR(__xludf.DUMMYFUNCTION("""COMPUTED_VALUE"""),"H-030")</f>
        <v>H-030</v>
      </c>
      <c r="C6854" t="str">
        <f>IFERROR(__xludf.DUMMYFUNCTION("""COMPUTED_VALUE"""),"Steinhof")</f>
        <v>Steinhof</v>
      </c>
    </row>
    <row r="6855">
      <c r="A6855" t="str">
        <f>IFERROR(__xludf.DUMMYFUNCTION("""COMPUTED_VALUE"""),"H-042")</f>
        <v>H-042</v>
      </c>
      <c r="C6855" t="str">
        <f>IFERROR(__xludf.DUMMYFUNCTION("""COMPUTED_VALUE"""),"Steinhof")</f>
        <v>Steinhof</v>
      </c>
    </row>
    <row r="6856">
      <c r="A6856" t="str">
        <f>IFERROR(__xludf.DUMMYFUNCTION("""COMPUTED_VALUE"""),"H-044")</f>
        <v>H-044</v>
      </c>
      <c r="C6856" t="str">
        <f>IFERROR(__xludf.DUMMYFUNCTION("""COMPUTED_VALUE"""),"Steinhof")</f>
        <v>Steinhof</v>
      </c>
    </row>
    <row r="6857">
      <c r="A6857" t="str">
        <f>IFERROR(__xludf.DUMMYFUNCTION("""COMPUTED_VALUE"""),"H-045")</f>
        <v>H-045</v>
      </c>
      <c r="C6857" t="str">
        <f>IFERROR(__xludf.DUMMYFUNCTION("""COMPUTED_VALUE"""),"Steinhof")</f>
        <v>Steinhof</v>
      </c>
    </row>
    <row r="6858">
      <c r="A6858" t="str">
        <f>IFERROR(__xludf.DUMMYFUNCTION("""COMPUTED_VALUE"""),"H-052")</f>
        <v>H-052</v>
      </c>
      <c r="C6858" t="str">
        <f>IFERROR(__xludf.DUMMYFUNCTION("""COMPUTED_VALUE"""),"Steinhof")</f>
        <v>Steinhof</v>
      </c>
    </row>
    <row r="6859">
      <c r="A6859" t="str">
        <f>IFERROR(__xludf.DUMMYFUNCTION("""COMPUTED_VALUE"""),"H-053")</f>
        <v>H-053</v>
      </c>
      <c r="C6859" t="str">
        <f>IFERROR(__xludf.DUMMYFUNCTION("""COMPUTED_VALUE"""),"Steinhof")</f>
        <v>Steinhof</v>
      </c>
    </row>
    <row r="6860">
      <c r="A6860" t="str">
        <f>IFERROR(__xludf.DUMMYFUNCTION("""COMPUTED_VALUE"""),"H-236")</f>
        <v>H-236</v>
      </c>
      <c r="C6860" t="str">
        <f>IFERROR(__xludf.DUMMYFUNCTION("""COMPUTED_VALUE"""),"Steinhof")</f>
        <v>Steinhof</v>
      </c>
    </row>
    <row r="6861">
      <c r="A6861" t="str">
        <f>IFERROR(__xludf.DUMMYFUNCTION("""COMPUTED_VALUE"""),"H-253")</f>
        <v>H-253</v>
      </c>
      <c r="C6861" t="str">
        <f>IFERROR(__xludf.DUMMYFUNCTION("""COMPUTED_VALUE"""),"Steinhof")</f>
        <v>Steinhof</v>
      </c>
    </row>
    <row r="6862">
      <c r="A6862" t="str">
        <f>IFERROR(__xludf.DUMMYFUNCTION("""COMPUTED_VALUE"""),"H-254")</f>
        <v>H-254</v>
      </c>
      <c r="C6862" t="str">
        <f>IFERROR(__xludf.DUMMYFUNCTION("""COMPUTED_VALUE"""),"Steinhof")</f>
        <v>Steinhof</v>
      </c>
    </row>
    <row r="6863">
      <c r="A6863" t="str">
        <f>IFERROR(__xludf.DUMMYFUNCTION("""COMPUTED_VALUE"""),"H-258")</f>
        <v>H-258</v>
      </c>
      <c r="C6863" t="str">
        <f>IFERROR(__xludf.DUMMYFUNCTION("""COMPUTED_VALUE"""),"Steinhof")</f>
        <v>Steinhof</v>
      </c>
    </row>
    <row r="6864">
      <c r="A6864" t="str">
        <f>IFERROR(__xludf.DUMMYFUNCTION("""COMPUTED_VALUE"""),"H-261")</f>
        <v>H-261</v>
      </c>
      <c r="C6864" t="str">
        <f>IFERROR(__xludf.DUMMYFUNCTION("""COMPUTED_VALUE"""),"Steinhof")</f>
        <v>Steinhof</v>
      </c>
    </row>
    <row r="6865">
      <c r="A6865" t="str">
        <f>IFERROR(__xludf.DUMMYFUNCTION("""COMPUTED_VALUE"""),"H-262")</f>
        <v>H-262</v>
      </c>
      <c r="C6865" t="str">
        <f>IFERROR(__xludf.DUMMYFUNCTION("""COMPUTED_VALUE"""),"Steinhof")</f>
        <v>Steinhof</v>
      </c>
    </row>
    <row r="6866">
      <c r="A6866" t="str">
        <f>IFERROR(__xludf.DUMMYFUNCTION("""COMPUTED_VALUE"""),"I-012")</f>
        <v>I-012</v>
      </c>
      <c r="C6866" t="str">
        <f>IFERROR(__xludf.DUMMYFUNCTION("""COMPUTED_VALUE"""),"Steinhof")</f>
        <v>Steinhof</v>
      </c>
    </row>
    <row r="6867">
      <c r="A6867" t="str">
        <f>IFERROR(__xludf.DUMMYFUNCTION("""COMPUTED_VALUE"""),"I-012")</f>
        <v>I-012</v>
      </c>
      <c r="C6867" t="str">
        <f>IFERROR(__xludf.DUMMYFUNCTION("""COMPUTED_VALUE"""),"Steinhof")</f>
        <v>Steinhof</v>
      </c>
    </row>
    <row r="6868">
      <c r="A6868" t="str">
        <f>IFERROR(__xludf.DUMMYFUNCTION("""COMPUTED_VALUE"""),"I-026")</f>
        <v>I-026</v>
      </c>
      <c r="C6868" t="str">
        <f>IFERROR(__xludf.DUMMYFUNCTION("""COMPUTED_VALUE"""),"Steinhof")</f>
        <v>Steinhof</v>
      </c>
    </row>
    <row r="6869">
      <c r="A6869" t="str">
        <f>IFERROR(__xludf.DUMMYFUNCTION("""COMPUTED_VALUE"""),"I-026")</f>
        <v>I-026</v>
      </c>
      <c r="C6869" t="str">
        <f>IFERROR(__xludf.DUMMYFUNCTION("""COMPUTED_VALUE"""),"Steinhof")</f>
        <v>Steinhof</v>
      </c>
    </row>
    <row r="6870">
      <c r="A6870" t="str">
        <f>IFERROR(__xludf.DUMMYFUNCTION("""COMPUTED_VALUE"""),"I-030")</f>
        <v>I-030</v>
      </c>
      <c r="C6870" t="str">
        <f>IFERROR(__xludf.DUMMYFUNCTION("""COMPUTED_VALUE"""),"Steinhof")</f>
        <v>Steinhof</v>
      </c>
    </row>
    <row r="6871">
      <c r="A6871" t="str">
        <f>IFERROR(__xludf.DUMMYFUNCTION("""COMPUTED_VALUE"""),"J-061")</f>
        <v>J-061</v>
      </c>
      <c r="C6871" t="str">
        <f>IFERROR(__xludf.DUMMYFUNCTION("""COMPUTED_VALUE"""),"Steinhof")</f>
        <v>Steinhof</v>
      </c>
    </row>
    <row r="6872">
      <c r="A6872" t="str">
        <f>IFERROR(__xludf.DUMMYFUNCTION("""COMPUTED_VALUE"""),"J-063")</f>
        <v>J-063</v>
      </c>
      <c r="C6872" t="str">
        <f>IFERROR(__xludf.DUMMYFUNCTION("""COMPUTED_VALUE"""),"Steinhof")</f>
        <v>Steinhof</v>
      </c>
    </row>
    <row r="6873">
      <c r="A6873" t="str">
        <f>IFERROR(__xludf.DUMMYFUNCTION("""COMPUTED_VALUE"""),"K-001")</f>
        <v>K-001</v>
      </c>
      <c r="C6873" t="str">
        <f>IFERROR(__xludf.DUMMYFUNCTION("""COMPUTED_VALUE"""),"Steinhof")</f>
        <v>Steinhof</v>
      </c>
    </row>
    <row r="6874">
      <c r="A6874" t="str">
        <f>IFERROR(__xludf.DUMMYFUNCTION("""COMPUTED_VALUE"""),"K-001")</f>
        <v>K-001</v>
      </c>
      <c r="C6874" t="str">
        <f>IFERROR(__xludf.DUMMYFUNCTION("""COMPUTED_VALUE"""),"Steinhof")</f>
        <v>Steinhof</v>
      </c>
    </row>
    <row r="6875">
      <c r="A6875" t="str">
        <f>IFERROR(__xludf.DUMMYFUNCTION("""COMPUTED_VALUE"""),"K-001")</f>
        <v>K-001</v>
      </c>
      <c r="C6875" t="str">
        <f>IFERROR(__xludf.DUMMYFUNCTION("""COMPUTED_VALUE"""),"Steinhof")</f>
        <v>Steinhof</v>
      </c>
    </row>
    <row r="6876">
      <c r="A6876" t="str">
        <f>IFERROR(__xludf.DUMMYFUNCTION("""COMPUTED_VALUE"""),"K-058")</f>
        <v>K-058</v>
      </c>
      <c r="C6876" t="str">
        <f>IFERROR(__xludf.DUMMYFUNCTION("""COMPUTED_VALUE"""),"Steinhof")</f>
        <v>Steinhof</v>
      </c>
    </row>
    <row r="6877">
      <c r="A6877" t="str">
        <f>IFERROR(__xludf.DUMMYFUNCTION("""COMPUTED_VALUE"""),"L-100/1")</f>
        <v>L-100/1</v>
      </c>
      <c r="C6877" t="str">
        <f>IFERROR(__xludf.DUMMYFUNCTION("""COMPUTED_VALUE"""),"Steinhof")</f>
        <v>Steinhof</v>
      </c>
    </row>
    <row r="6878">
      <c r="A6878" t="str">
        <f>IFERROR(__xludf.DUMMYFUNCTION("""COMPUTED_VALUE"""),"L-100/1")</f>
        <v>L-100/1</v>
      </c>
      <c r="C6878" t="str">
        <f>IFERROR(__xludf.DUMMYFUNCTION("""COMPUTED_VALUE"""),"Steinhof")</f>
        <v>Steinhof</v>
      </c>
    </row>
    <row r="6879">
      <c r="A6879" t="str">
        <f>IFERROR(__xludf.DUMMYFUNCTION("""COMPUTED_VALUE"""),"L-101")</f>
        <v>L-101</v>
      </c>
      <c r="C6879" t="str">
        <f>IFERROR(__xludf.DUMMYFUNCTION("""COMPUTED_VALUE"""),"Steinhof")</f>
        <v>Steinhof</v>
      </c>
    </row>
    <row r="6880">
      <c r="A6880" t="str">
        <f>IFERROR(__xludf.DUMMYFUNCTION("""COMPUTED_VALUE"""),"L-101")</f>
        <v>L-101</v>
      </c>
      <c r="C6880" t="str">
        <f>IFERROR(__xludf.DUMMYFUNCTION("""COMPUTED_VALUE"""),"Steinhof")</f>
        <v>Steinhof</v>
      </c>
    </row>
    <row r="6881">
      <c r="A6881" t="str">
        <f>IFERROR(__xludf.DUMMYFUNCTION("""COMPUTED_VALUE"""),"L-109")</f>
        <v>L-109</v>
      </c>
      <c r="C6881" t="str">
        <f>IFERROR(__xludf.DUMMYFUNCTION("""COMPUTED_VALUE"""),"Steinhof")</f>
        <v>Steinhof</v>
      </c>
    </row>
    <row r="6882">
      <c r="A6882" t="str">
        <f>IFERROR(__xludf.DUMMYFUNCTION("""COMPUTED_VALUE"""),"L-109")</f>
        <v>L-109</v>
      </c>
      <c r="C6882" t="str">
        <f>IFERROR(__xludf.DUMMYFUNCTION("""COMPUTED_VALUE"""),"Steinhof")</f>
        <v>Steinhof</v>
      </c>
    </row>
    <row r="6883">
      <c r="A6883" t="str">
        <f>IFERROR(__xludf.DUMMYFUNCTION("""COMPUTED_VALUE"""),"L-110")</f>
        <v>L-110</v>
      </c>
      <c r="C6883" t="str">
        <f>IFERROR(__xludf.DUMMYFUNCTION("""COMPUTED_VALUE"""),"Steinhof")</f>
        <v>Steinhof</v>
      </c>
    </row>
    <row r="6884">
      <c r="A6884" t="str">
        <f>IFERROR(__xludf.DUMMYFUNCTION("""COMPUTED_VALUE"""),"L-110")</f>
        <v>L-110</v>
      </c>
      <c r="C6884" t="str">
        <f>IFERROR(__xludf.DUMMYFUNCTION("""COMPUTED_VALUE"""),"Steinhof")</f>
        <v>Steinhof</v>
      </c>
    </row>
    <row r="6885">
      <c r="A6885" t="str">
        <f>IFERROR(__xludf.DUMMYFUNCTION("""COMPUTED_VALUE"""),"L-111")</f>
        <v>L-111</v>
      </c>
      <c r="C6885" t="str">
        <f>IFERROR(__xludf.DUMMYFUNCTION("""COMPUTED_VALUE"""),"Steinhof")</f>
        <v>Steinhof</v>
      </c>
    </row>
    <row r="6886">
      <c r="A6886" t="str">
        <f>IFERROR(__xludf.DUMMYFUNCTION("""COMPUTED_VALUE"""),"L-111")</f>
        <v>L-111</v>
      </c>
      <c r="C6886" t="str">
        <f>IFERROR(__xludf.DUMMYFUNCTION("""COMPUTED_VALUE"""),"Steinhof")</f>
        <v>Steinhof</v>
      </c>
    </row>
    <row r="6887">
      <c r="A6887" t="str">
        <f>IFERROR(__xludf.DUMMYFUNCTION("""COMPUTED_VALUE"""),"L-163")</f>
        <v>L-163</v>
      </c>
      <c r="C6887" t="str">
        <f>IFERROR(__xludf.DUMMYFUNCTION("""COMPUTED_VALUE"""),"Steinhof")</f>
        <v>Steinhof</v>
      </c>
    </row>
    <row r="6888">
      <c r="A6888" t="str">
        <f>IFERROR(__xludf.DUMMYFUNCTION("""COMPUTED_VALUE"""),"L-163")</f>
        <v>L-163</v>
      </c>
      <c r="C6888" t="str">
        <f>IFERROR(__xludf.DUMMYFUNCTION("""COMPUTED_VALUE"""),"Steinhof")</f>
        <v>Steinhof</v>
      </c>
    </row>
    <row r="6889">
      <c r="A6889" t="str">
        <f>IFERROR(__xludf.DUMMYFUNCTION("""COMPUTED_VALUE"""),"L-164")</f>
        <v>L-164</v>
      </c>
      <c r="C6889" t="str">
        <f>IFERROR(__xludf.DUMMYFUNCTION("""COMPUTED_VALUE"""),"Steinhof")</f>
        <v>Steinhof</v>
      </c>
    </row>
    <row r="6890">
      <c r="A6890" t="str">
        <f>IFERROR(__xludf.DUMMYFUNCTION("""COMPUTED_VALUE"""),"L-164")</f>
        <v>L-164</v>
      </c>
      <c r="C6890" t="str">
        <f>IFERROR(__xludf.DUMMYFUNCTION("""COMPUTED_VALUE"""),"Steinhof")</f>
        <v>Steinhof</v>
      </c>
    </row>
    <row r="6891">
      <c r="A6891" t="str">
        <f>IFERROR(__xludf.DUMMYFUNCTION("""COMPUTED_VALUE"""),"M-011")</f>
        <v>M-011</v>
      </c>
      <c r="C6891" t="str">
        <f>IFERROR(__xludf.DUMMYFUNCTION("""COMPUTED_VALUE"""),"Steinhof")</f>
        <v>Steinhof</v>
      </c>
    </row>
    <row r="6892">
      <c r="A6892" t="str">
        <f>IFERROR(__xludf.DUMMYFUNCTION("""COMPUTED_VALUE"""),"M-013")</f>
        <v>M-013</v>
      </c>
      <c r="C6892" t="str">
        <f>IFERROR(__xludf.DUMMYFUNCTION("""COMPUTED_VALUE"""),"Steinhof")</f>
        <v>Steinhof</v>
      </c>
    </row>
    <row r="6893">
      <c r="A6893" t="str">
        <f>IFERROR(__xludf.DUMMYFUNCTION("""COMPUTED_VALUE"""),"M-017")</f>
        <v>M-017</v>
      </c>
      <c r="C6893" t="str">
        <f>IFERROR(__xludf.DUMMYFUNCTION("""COMPUTED_VALUE"""),"Steinhof")</f>
        <v>Steinhof</v>
      </c>
    </row>
    <row r="6894">
      <c r="A6894" t="str">
        <f>IFERROR(__xludf.DUMMYFUNCTION("""COMPUTED_VALUE"""),"M-102")</f>
        <v>M-102</v>
      </c>
      <c r="C6894" t="str">
        <f>IFERROR(__xludf.DUMMYFUNCTION("""COMPUTED_VALUE"""),"Steinhof")</f>
        <v>Steinhof</v>
      </c>
    </row>
    <row r="6895">
      <c r="A6895" t="str">
        <f>IFERROR(__xludf.DUMMYFUNCTION("""COMPUTED_VALUE"""),"M-102")</f>
        <v>M-102</v>
      </c>
      <c r="C6895" t="str">
        <f>IFERROR(__xludf.DUMMYFUNCTION("""COMPUTED_VALUE"""),"Steinhof")</f>
        <v>Steinhof</v>
      </c>
    </row>
    <row r="6896">
      <c r="A6896" t="str">
        <f>IFERROR(__xludf.DUMMYFUNCTION("""COMPUTED_VALUE"""),"M-110")</f>
        <v>M-110</v>
      </c>
      <c r="C6896" t="str">
        <f>IFERROR(__xludf.DUMMYFUNCTION("""COMPUTED_VALUE"""),"Steinhof")</f>
        <v>Steinhof</v>
      </c>
    </row>
    <row r="6897">
      <c r="A6897" t="str">
        <f>IFERROR(__xludf.DUMMYFUNCTION("""COMPUTED_VALUE"""),"M-152")</f>
        <v>M-152</v>
      </c>
      <c r="C6897" t="str">
        <f>IFERROR(__xludf.DUMMYFUNCTION("""COMPUTED_VALUE"""),"Steinhof")</f>
        <v>Steinhof</v>
      </c>
    </row>
    <row r="6898">
      <c r="A6898" t="str">
        <f>IFERROR(__xludf.DUMMYFUNCTION("""COMPUTED_VALUE"""),"M-195")</f>
        <v>M-195</v>
      </c>
      <c r="C6898" t="str">
        <f>IFERROR(__xludf.DUMMYFUNCTION("""COMPUTED_VALUE"""),"Steinhof")</f>
        <v>Steinhof</v>
      </c>
    </row>
    <row r="6899">
      <c r="A6899" t="str">
        <f>IFERROR(__xludf.DUMMYFUNCTION("""COMPUTED_VALUE"""),"M-222")</f>
        <v>M-222</v>
      </c>
      <c r="C6899" t="str">
        <f>IFERROR(__xludf.DUMMYFUNCTION("""COMPUTED_VALUE"""),"Steinhof")</f>
        <v>Steinhof</v>
      </c>
    </row>
    <row r="6900">
      <c r="A6900" t="str">
        <f>IFERROR(__xludf.DUMMYFUNCTION("""COMPUTED_VALUE"""),"M-222")</f>
        <v>M-222</v>
      </c>
      <c r="C6900" t="str">
        <f>IFERROR(__xludf.DUMMYFUNCTION("""COMPUTED_VALUE"""),"Steinhof")</f>
        <v>Steinhof</v>
      </c>
    </row>
    <row r="6901">
      <c r="A6901" t="str">
        <f>IFERROR(__xludf.DUMMYFUNCTION("""COMPUTED_VALUE"""),"M-300/1")</f>
        <v>M-300/1</v>
      </c>
      <c r="C6901" t="str">
        <f>IFERROR(__xludf.DUMMYFUNCTION("""COMPUTED_VALUE"""),"Steinhof")</f>
        <v>Steinhof</v>
      </c>
    </row>
    <row r="6902">
      <c r="A6902" t="str">
        <f>IFERROR(__xludf.DUMMYFUNCTION("""COMPUTED_VALUE"""),"M-300/1")</f>
        <v>M-300/1</v>
      </c>
      <c r="C6902" t="str">
        <f>IFERROR(__xludf.DUMMYFUNCTION("""COMPUTED_VALUE"""),"Steinhof")</f>
        <v>Steinhof</v>
      </c>
    </row>
    <row r="6903">
      <c r="A6903" t="str">
        <f>IFERROR(__xludf.DUMMYFUNCTION("""COMPUTED_VALUE"""),"M-302")</f>
        <v>M-302</v>
      </c>
      <c r="C6903" t="str">
        <f>IFERROR(__xludf.DUMMYFUNCTION("""COMPUTED_VALUE"""),"Steinhof")</f>
        <v>Steinhof</v>
      </c>
    </row>
    <row r="6904">
      <c r="A6904" t="str">
        <f>IFERROR(__xludf.DUMMYFUNCTION("""COMPUTED_VALUE"""),"M-302")</f>
        <v>M-302</v>
      </c>
      <c r="C6904" t="str">
        <f>IFERROR(__xludf.DUMMYFUNCTION("""COMPUTED_VALUE"""),"Steinhof")</f>
        <v>Steinhof</v>
      </c>
    </row>
    <row r="6905">
      <c r="A6905" t="str">
        <f>IFERROR(__xludf.DUMMYFUNCTION("""COMPUTED_VALUE"""),"N-010")</f>
        <v>N-010</v>
      </c>
      <c r="C6905" t="str">
        <f>IFERROR(__xludf.DUMMYFUNCTION("""COMPUTED_VALUE"""),"Steinhof")</f>
        <v>Steinhof</v>
      </c>
    </row>
    <row r="6906">
      <c r="A6906" t="str">
        <f>IFERROR(__xludf.DUMMYFUNCTION("""COMPUTED_VALUE"""),"N-012")</f>
        <v>N-012</v>
      </c>
      <c r="C6906" t="str">
        <f>IFERROR(__xludf.DUMMYFUNCTION("""COMPUTED_VALUE"""),"Steinhof")</f>
        <v>Steinhof</v>
      </c>
    </row>
    <row r="6907">
      <c r="A6907" t="str">
        <f>IFERROR(__xludf.DUMMYFUNCTION("""COMPUTED_VALUE"""),"N-014")</f>
        <v>N-014</v>
      </c>
      <c r="C6907" t="str">
        <f>IFERROR(__xludf.DUMMYFUNCTION("""COMPUTED_VALUE"""),"Steinhof")</f>
        <v>Steinhof</v>
      </c>
    </row>
    <row r="6908">
      <c r="A6908" t="str">
        <f>IFERROR(__xludf.DUMMYFUNCTION("""COMPUTED_VALUE"""),"O-130")</f>
        <v>O-130</v>
      </c>
      <c r="C6908" t="str">
        <f>IFERROR(__xludf.DUMMYFUNCTION("""COMPUTED_VALUE"""),"Steinhof")</f>
        <v>Steinhof</v>
      </c>
    </row>
    <row r="6909">
      <c r="A6909" t="str">
        <f>IFERROR(__xludf.DUMMYFUNCTION("""COMPUTED_VALUE"""),"O-222")</f>
        <v>O-222</v>
      </c>
      <c r="C6909" t="str">
        <f>IFERROR(__xludf.DUMMYFUNCTION("""COMPUTED_VALUE"""),"Steinhof")</f>
        <v>Steinhof</v>
      </c>
    </row>
    <row r="6910">
      <c r="A6910" t="str">
        <f>IFERROR(__xludf.DUMMYFUNCTION("""COMPUTED_VALUE"""),"P-027")</f>
        <v>P-027</v>
      </c>
      <c r="C6910" t="str">
        <f>IFERROR(__xludf.DUMMYFUNCTION("""COMPUTED_VALUE"""),"Steinhof")</f>
        <v>Steinhof</v>
      </c>
    </row>
    <row r="6911">
      <c r="A6911" t="str">
        <f>IFERROR(__xludf.DUMMYFUNCTION("""COMPUTED_VALUE"""),"P-028")</f>
        <v>P-028</v>
      </c>
      <c r="C6911" t="str">
        <f>IFERROR(__xludf.DUMMYFUNCTION("""COMPUTED_VALUE"""),"Steinhof")</f>
        <v>Steinhof</v>
      </c>
    </row>
    <row r="6912">
      <c r="A6912" t="str">
        <f>IFERROR(__xludf.DUMMYFUNCTION("""COMPUTED_VALUE"""),"P-062")</f>
        <v>P-062</v>
      </c>
      <c r="C6912" t="str">
        <f>IFERROR(__xludf.DUMMYFUNCTION("""COMPUTED_VALUE"""),"Steinhof")</f>
        <v>Steinhof</v>
      </c>
    </row>
    <row r="6913">
      <c r="A6913" t="str">
        <f>IFERROR(__xludf.DUMMYFUNCTION("""COMPUTED_VALUE"""),"P-063")</f>
        <v>P-063</v>
      </c>
      <c r="C6913" t="str">
        <f>IFERROR(__xludf.DUMMYFUNCTION("""COMPUTED_VALUE"""),"Steinhof")</f>
        <v>Steinhof</v>
      </c>
    </row>
    <row r="6914">
      <c r="A6914" t="str">
        <f>IFERROR(__xludf.DUMMYFUNCTION("""COMPUTED_VALUE"""),"R-016")</f>
        <v>R-016</v>
      </c>
      <c r="C6914" t="str">
        <f>IFERROR(__xludf.DUMMYFUNCTION("""COMPUTED_VALUE"""),"Steinhof")</f>
        <v>Steinhof</v>
      </c>
    </row>
    <row r="6915">
      <c r="A6915" t="str">
        <f>IFERROR(__xludf.DUMMYFUNCTION("""COMPUTED_VALUE"""),"R-017")</f>
        <v>R-017</v>
      </c>
      <c r="C6915" t="str">
        <f>IFERROR(__xludf.DUMMYFUNCTION("""COMPUTED_VALUE"""),"Steinhof")</f>
        <v>Steinhof</v>
      </c>
    </row>
    <row r="6916">
      <c r="A6916" t="str">
        <f>IFERROR(__xludf.DUMMYFUNCTION("""COMPUTED_VALUE"""),"R-022")</f>
        <v>R-022</v>
      </c>
      <c r="C6916" t="str">
        <f>IFERROR(__xludf.DUMMYFUNCTION("""COMPUTED_VALUE"""),"Steinhof")</f>
        <v>Steinhof</v>
      </c>
    </row>
    <row r="6917">
      <c r="A6917" t="str">
        <f>IFERROR(__xludf.DUMMYFUNCTION("""COMPUTED_VALUE"""),"R-022")</f>
        <v>R-022</v>
      </c>
      <c r="C6917" t="str">
        <f>IFERROR(__xludf.DUMMYFUNCTION("""COMPUTED_VALUE"""),"Steinhof")</f>
        <v>Steinhof</v>
      </c>
    </row>
    <row r="6918">
      <c r="A6918" t="str">
        <f>IFERROR(__xludf.DUMMYFUNCTION("""COMPUTED_VALUE"""),"R-024")</f>
        <v>R-024</v>
      </c>
      <c r="C6918" t="str">
        <f>IFERROR(__xludf.DUMMYFUNCTION("""COMPUTED_VALUE"""),"Steinhof")</f>
        <v>Steinhof</v>
      </c>
    </row>
    <row r="6919">
      <c r="A6919" t="str">
        <f>IFERROR(__xludf.DUMMYFUNCTION("""COMPUTED_VALUE"""),"R-025")</f>
        <v>R-025</v>
      </c>
      <c r="C6919" t="str">
        <f>IFERROR(__xludf.DUMMYFUNCTION("""COMPUTED_VALUE"""),"Steinhof")</f>
        <v>Steinhof</v>
      </c>
    </row>
    <row r="6920">
      <c r="A6920" t="str">
        <f>IFERROR(__xludf.DUMMYFUNCTION("""COMPUTED_VALUE"""),"R-043")</f>
        <v>R-043</v>
      </c>
      <c r="C6920" t="str">
        <f>IFERROR(__xludf.DUMMYFUNCTION("""COMPUTED_VALUE"""),"Steinhof")</f>
        <v>Steinhof</v>
      </c>
    </row>
    <row r="6921">
      <c r="A6921" t="str">
        <f>IFERROR(__xludf.DUMMYFUNCTION("""COMPUTED_VALUE"""),"R-044")</f>
        <v>R-044</v>
      </c>
      <c r="C6921" t="str">
        <f>IFERROR(__xludf.DUMMYFUNCTION("""COMPUTED_VALUE"""),"Steinhof")</f>
        <v>Steinhof</v>
      </c>
    </row>
    <row r="6922">
      <c r="A6922" t="str">
        <f>IFERROR(__xludf.DUMMYFUNCTION("""COMPUTED_VALUE"""),"R-060")</f>
        <v>R-060</v>
      </c>
      <c r="C6922" t="str">
        <f>IFERROR(__xludf.DUMMYFUNCTION("""COMPUTED_VALUE"""),"Steinhof")</f>
        <v>Steinhof</v>
      </c>
    </row>
    <row r="6923">
      <c r="A6923" t="str">
        <f>IFERROR(__xludf.DUMMYFUNCTION("""COMPUTED_VALUE"""),"R-060")</f>
        <v>R-060</v>
      </c>
      <c r="C6923" t="str">
        <f>IFERROR(__xludf.DUMMYFUNCTION("""COMPUTED_VALUE"""),"Steinhof")</f>
        <v>Steinhof</v>
      </c>
    </row>
    <row r="6924">
      <c r="A6924" t="str">
        <f>IFERROR(__xludf.DUMMYFUNCTION("""COMPUTED_VALUE"""),"R-061")</f>
        <v>R-061</v>
      </c>
      <c r="C6924" t="str">
        <f>IFERROR(__xludf.DUMMYFUNCTION("""COMPUTED_VALUE"""),"Steinhof")</f>
        <v>Steinhof</v>
      </c>
    </row>
    <row r="6925">
      <c r="A6925" t="str">
        <f>IFERROR(__xludf.DUMMYFUNCTION("""COMPUTED_VALUE"""),"R-061")</f>
        <v>R-061</v>
      </c>
      <c r="C6925" t="str">
        <f>IFERROR(__xludf.DUMMYFUNCTION("""COMPUTED_VALUE"""),"Steinhof")</f>
        <v>Steinhof</v>
      </c>
    </row>
    <row r="6926">
      <c r="A6926" t="str">
        <f>IFERROR(__xludf.DUMMYFUNCTION("""COMPUTED_VALUE"""),"R-116")</f>
        <v>R-116</v>
      </c>
      <c r="C6926" t="str">
        <f>IFERROR(__xludf.DUMMYFUNCTION("""COMPUTED_VALUE"""),"Steinhof")</f>
        <v>Steinhof</v>
      </c>
    </row>
    <row r="6927">
      <c r="A6927" t="str">
        <f>IFERROR(__xludf.DUMMYFUNCTION("""COMPUTED_VALUE"""),"R-117")</f>
        <v>R-117</v>
      </c>
      <c r="C6927" t="str">
        <f>IFERROR(__xludf.DUMMYFUNCTION("""COMPUTED_VALUE"""),"Steinhof")</f>
        <v>Steinhof</v>
      </c>
    </row>
    <row r="6928">
      <c r="A6928" t="str">
        <f>IFERROR(__xludf.DUMMYFUNCTION("""COMPUTED_VALUE"""),"R-121")</f>
        <v>R-121</v>
      </c>
      <c r="C6928" t="str">
        <f>IFERROR(__xludf.DUMMYFUNCTION("""COMPUTED_VALUE"""),"Steinhof")</f>
        <v>Steinhof</v>
      </c>
    </row>
    <row r="6929">
      <c r="A6929" t="str">
        <f>IFERROR(__xludf.DUMMYFUNCTION("""COMPUTED_VALUE"""),"R-122")</f>
        <v>R-122</v>
      </c>
      <c r="C6929" t="str">
        <f>IFERROR(__xludf.DUMMYFUNCTION("""COMPUTED_VALUE"""),"Steinhof")</f>
        <v>Steinhof</v>
      </c>
    </row>
    <row r="6930">
      <c r="A6930" t="str">
        <f>IFERROR(__xludf.DUMMYFUNCTION("""COMPUTED_VALUE"""),"S-018")</f>
        <v>S-018</v>
      </c>
      <c r="C6930" t="str">
        <f>IFERROR(__xludf.DUMMYFUNCTION("""COMPUTED_VALUE"""),"Steinhof")</f>
        <v>Steinhof</v>
      </c>
    </row>
    <row r="6931">
      <c r="A6931" t="str">
        <f>IFERROR(__xludf.DUMMYFUNCTION("""COMPUTED_VALUE"""),"S-018")</f>
        <v>S-018</v>
      </c>
      <c r="C6931" t="str">
        <f>IFERROR(__xludf.DUMMYFUNCTION("""COMPUTED_VALUE"""),"Steinhof")</f>
        <v>Steinhof</v>
      </c>
    </row>
    <row r="6932">
      <c r="A6932" t="str">
        <f>IFERROR(__xludf.DUMMYFUNCTION("""COMPUTED_VALUE"""),"S-019")</f>
        <v>S-019</v>
      </c>
      <c r="C6932" t="str">
        <f>IFERROR(__xludf.DUMMYFUNCTION("""COMPUTED_VALUE"""),"Steinhof")</f>
        <v>Steinhof</v>
      </c>
    </row>
    <row r="6933">
      <c r="A6933" t="str">
        <f>IFERROR(__xludf.DUMMYFUNCTION("""COMPUTED_VALUE"""),"S-019")</f>
        <v>S-019</v>
      </c>
      <c r="C6933" t="str">
        <f>IFERROR(__xludf.DUMMYFUNCTION("""COMPUTED_VALUE"""),"Steinhof")</f>
        <v>Steinhof</v>
      </c>
    </row>
    <row r="6934">
      <c r="A6934" t="str">
        <f>IFERROR(__xludf.DUMMYFUNCTION("""COMPUTED_VALUE"""),"S-190")</f>
        <v>S-190</v>
      </c>
      <c r="C6934" t="str">
        <f>IFERROR(__xludf.DUMMYFUNCTION("""COMPUTED_VALUE"""),"Steinhof")</f>
        <v>Steinhof</v>
      </c>
    </row>
    <row r="6935">
      <c r="A6935" t="str">
        <f>IFERROR(__xludf.DUMMYFUNCTION("""COMPUTED_VALUE"""),"S-190")</f>
        <v>S-190</v>
      </c>
      <c r="C6935" t="str">
        <f>IFERROR(__xludf.DUMMYFUNCTION("""COMPUTED_VALUE"""),"Steinhof")</f>
        <v>Steinhof</v>
      </c>
    </row>
    <row r="6936">
      <c r="A6936" t="str">
        <f>IFERROR(__xludf.DUMMYFUNCTION("""COMPUTED_VALUE"""),"S-274")</f>
        <v>S-274</v>
      </c>
      <c r="C6936" t="str">
        <f>IFERROR(__xludf.DUMMYFUNCTION("""COMPUTED_VALUE"""),"Steinhof")</f>
        <v>Steinhof</v>
      </c>
    </row>
    <row r="6937">
      <c r="A6937" t="str">
        <f>IFERROR(__xludf.DUMMYFUNCTION("""COMPUTED_VALUE"""),"S-274")</f>
        <v>S-274</v>
      </c>
      <c r="C6937" t="str">
        <f>IFERROR(__xludf.DUMMYFUNCTION("""COMPUTED_VALUE"""),"Steinhof")</f>
        <v>Steinhof</v>
      </c>
    </row>
    <row r="6938">
      <c r="A6938" t="str">
        <f>IFERROR(__xludf.DUMMYFUNCTION("""COMPUTED_VALUE"""),"S-274")</f>
        <v>S-274</v>
      </c>
      <c r="C6938" t="str">
        <f>IFERROR(__xludf.DUMMYFUNCTION("""COMPUTED_VALUE"""),"Steinhof")</f>
        <v>Steinhof</v>
      </c>
    </row>
    <row r="6939">
      <c r="A6939" t="str">
        <f>IFERROR(__xludf.DUMMYFUNCTION("""COMPUTED_VALUE"""),"S-274")</f>
        <v>S-274</v>
      </c>
      <c r="C6939" t="str">
        <f>IFERROR(__xludf.DUMMYFUNCTION("""COMPUTED_VALUE"""),"Steinhof")</f>
        <v>Steinhof</v>
      </c>
    </row>
    <row r="6940">
      <c r="A6940" t="str">
        <f>IFERROR(__xludf.DUMMYFUNCTION("""COMPUTED_VALUE"""),"S-274")</f>
        <v>S-274</v>
      </c>
      <c r="C6940" t="str">
        <f>IFERROR(__xludf.DUMMYFUNCTION("""COMPUTED_VALUE"""),"Steinhof")</f>
        <v>Steinhof</v>
      </c>
    </row>
    <row r="6941">
      <c r="A6941" t="str">
        <f>IFERROR(__xludf.DUMMYFUNCTION("""COMPUTED_VALUE"""),"S-279")</f>
        <v>S-279</v>
      </c>
      <c r="C6941" t="str">
        <f>IFERROR(__xludf.DUMMYFUNCTION("""COMPUTED_VALUE"""),"Steinhof")</f>
        <v>Steinhof</v>
      </c>
    </row>
    <row r="6942">
      <c r="A6942" t="str">
        <f>IFERROR(__xludf.DUMMYFUNCTION("""COMPUTED_VALUE"""),"S-291")</f>
        <v>S-291</v>
      </c>
      <c r="C6942" t="str">
        <f>IFERROR(__xludf.DUMMYFUNCTION("""COMPUTED_VALUE"""),"Steinhof")</f>
        <v>Steinhof</v>
      </c>
    </row>
    <row r="6943">
      <c r="A6943" t="str">
        <f>IFERROR(__xludf.DUMMYFUNCTION("""COMPUTED_VALUE"""),"S-292")</f>
        <v>S-292</v>
      </c>
      <c r="C6943" t="str">
        <f>IFERROR(__xludf.DUMMYFUNCTION("""COMPUTED_VALUE"""),"Steinhof")</f>
        <v>Steinhof</v>
      </c>
    </row>
    <row r="6944">
      <c r="A6944" t="str">
        <f>IFERROR(__xludf.DUMMYFUNCTION("""COMPUTED_VALUE"""),"S-368")</f>
        <v>S-368</v>
      </c>
      <c r="C6944" t="str">
        <f>IFERROR(__xludf.DUMMYFUNCTION("""COMPUTED_VALUE"""),"Steinhof")</f>
        <v>Steinhof</v>
      </c>
    </row>
    <row r="6945">
      <c r="A6945" t="str">
        <f>IFERROR(__xludf.DUMMYFUNCTION("""COMPUTED_VALUE"""),"S-369")</f>
        <v>S-369</v>
      </c>
      <c r="C6945" t="str">
        <f>IFERROR(__xludf.DUMMYFUNCTION("""COMPUTED_VALUE"""),"Steinhof")</f>
        <v>Steinhof</v>
      </c>
    </row>
    <row r="6946">
      <c r="A6946" t="str">
        <f>IFERROR(__xludf.DUMMYFUNCTION("""COMPUTED_VALUE"""),"S-374")</f>
        <v>S-374</v>
      </c>
      <c r="C6946" t="str">
        <f>IFERROR(__xludf.DUMMYFUNCTION("""COMPUTED_VALUE"""),"Steinhof")</f>
        <v>Steinhof</v>
      </c>
    </row>
    <row r="6947">
      <c r="A6947" t="str">
        <f>IFERROR(__xludf.DUMMYFUNCTION("""COMPUTED_VALUE"""),"S-374")</f>
        <v>S-374</v>
      </c>
      <c r="C6947" t="str">
        <f>IFERROR(__xludf.DUMMYFUNCTION("""COMPUTED_VALUE"""),"Steinhof")</f>
        <v>Steinhof</v>
      </c>
    </row>
    <row r="6948">
      <c r="A6948" t="str">
        <f>IFERROR(__xludf.DUMMYFUNCTION("""COMPUTED_VALUE"""),"S-375")</f>
        <v>S-375</v>
      </c>
      <c r="C6948" t="str">
        <f>IFERROR(__xludf.DUMMYFUNCTION("""COMPUTED_VALUE"""),"Steinhof")</f>
        <v>Steinhof</v>
      </c>
    </row>
    <row r="6949">
      <c r="A6949" t="str">
        <f>IFERROR(__xludf.DUMMYFUNCTION("""COMPUTED_VALUE"""),"S-375")</f>
        <v>S-375</v>
      </c>
      <c r="C6949" t="str">
        <f>IFERROR(__xludf.DUMMYFUNCTION("""COMPUTED_VALUE"""),"Steinhof")</f>
        <v>Steinhof</v>
      </c>
    </row>
    <row r="6950">
      <c r="A6950" t="str">
        <f>IFERROR(__xludf.DUMMYFUNCTION("""COMPUTED_VALUE"""),"S-389")</f>
        <v>S-389</v>
      </c>
      <c r="C6950" t="str">
        <f>IFERROR(__xludf.DUMMYFUNCTION("""COMPUTED_VALUE"""),"Steinhof")</f>
        <v>Steinhof</v>
      </c>
    </row>
    <row r="6951">
      <c r="A6951" t="str">
        <f>IFERROR(__xludf.DUMMYFUNCTION("""COMPUTED_VALUE"""),"S-389")</f>
        <v>S-389</v>
      </c>
      <c r="C6951" t="str">
        <f>IFERROR(__xludf.DUMMYFUNCTION("""COMPUTED_VALUE"""),"Steinhof")</f>
        <v>Steinhof</v>
      </c>
    </row>
    <row r="6952">
      <c r="A6952" t="str">
        <f>IFERROR(__xludf.DUMMYFUNCTION("""COMPUTED_VALUE"""),"S-390")</f>
        <v>S-390</v>
      </c>
      <c r="C6952" t="str">
        <f>IFERROR(__xludf.DUMMYFUNCTION("""COMPUTED_VALUE"""),"Steinhof")</f>
        <v>Steinhof</v>
      </c>
    </row>
    <row r="6953">
      <c r="A6953" t="str">
        <f>IFERROR(__xludf.DUMMYFUNCTION("""COMPUTED_VALUE"""),"S-390")</f>
        <v>S-390</v>
      </c>
      <c r="C6953" t="str">
        <f>IFERROR(__xludf.DUMMYFUNCTION("""COMPUTED_VALUE"""),"Steinhof")</f>
        <v>Steinhof</v>
      </c>
    </row>
    <row r="6954">
      <c r="A6954" t="str">
        <f>IFERROR(__xludf.DUMMYFUNCTION("""COMPUTED_VALUE"""),"S-407")</f>
        <v>S-407</v>
      </c>
      <c r="C6954" t="str">
        <f>IFERROR(__xludf.DUMMYFUNCTION("""COMPUTED_VALUE"""),"Steinhof")</f>
        <v>Steinhof</v>
      </c>
    </row>
    <row r="6955">
      <c r="A6955" t="str">
        <f>IFERROR(__xludf.DUMMYFUNCTION("""COMPUTED_VALUE"""),"S-407")</f>
        <v>S-407</v>
      </c>
      <c r="C6955" t="str">
        <f>IFERROR(__xludf.DUMMYFUNCTION("""COMPUTED_VALUE"""),"Steinhof")</f>
        <v>Steinhof</v>
      </c>
    </row>
    <row r="6956">
      <c r="A6956" t="str">
        <f>IFERROR(__xludf.DUMMYFUNCTION("""COMPUTED_VALUE"""),"S-453/W7")</f>
        <v>S-453/W7</v>
      </c>
      <c r="C6956" t="str">
        <f>IFERROR(__xludf.DUMMYFUNCTION("""COMPUTED_VALUE"""),"Steinhof")</f>
        <v>Steinhof</v>
      </c>
    </row>
    <row r="6957">
      <c r="A6957" t="str">
        <f>IFERROR(__xludf.DUMMYFUNCTION("""COMPUTED_VALUE"""),"S-465")</f>
        <v>S-465</v>
      </c>
      <c r="C6957" t="str">
        <f>IFERROR(__xludf.DUMMYFUNCTION("""COMPUTED_VALUE"""),"Steinhof")</f>
        <v>Steinhof</v>
      </c>
    </row>
    <row r="6958">
      <c r="A6958" t="str">
        <f>IFERROR(__xludf.DUMMYFUNCTION("""COMPUTED_VALUE"""),"SMB-02")</f>
        <v>SMB-02</v>
      </c>
      <c r="C6958" t="str">
        <f>IFERROR(__xludf.DUMMYFUNCTION("""COMPUTED_VALUE"""),"Steinhof")</f>
        <v>Steinhof</v>
      </c>
    </row>
    <row r="6959">
      <c r="A6959" t="str">
        <f>IFERROR(__xludf.DUMMYFUNCTION("""COMPUTED_VALUE"""),"SMB-04")</f>
        <v>SMB-04</v>
      </c>
      <c r="C6959" t="str">
        <f>IFERROR(__xludf.DUMMYFUNCTION("""COMPUTED_VALUE"""),"Steinhof")</f>
        <v>Steinhof</v>
      </c>
    </row>
    <row r="6960">
      <c r="A6960" t="str">
        <f>IFERROR(__xludf.DUMMYFUNCTION("""COMPUTED_VALUE"""),"SMB-05")</f>
        <v>SMB-05</v>
      </c>
      <c r="C6960" t="str">
        <f>IFERROR(__xludf.DUMMYFUNCTION("""COMPUTED_VALUE"""),"Steinhof")</f>
        <v>Steinhof</v>
      </c>
    </row>
    <row r="6961">
      <c r="A6961" t="str">
        <f>IFERROR(__xludf.DUMMYFUNCTION("""COMPUTED_VALUE"""),"SMB-13")</f>
        <v>SMB-13</v>
      </c>
      <c r="C6961" t="str">
        <f>IFERROR(__xludf.DUMMYFUNCTION("""COMPUTED_VALUE"""),"Steinhof")</f>
        <v>Steinhof</v>
      </c>
    </row>
    <row r="6962">
      <c r="A6962" t="str">
        <f>IFERROR(__xludf.DUMMYFUNCTION("""COMPUTED_VALUE"""),"SMB-14")</f>
        <v>SMB-14</v>
      </c>
      <c r="C6962" t="str">
        <f>IFERROR(__xludf.DUMMYFUNCTION("""COMPUTED_VALUE"""),"Steinhof")</f>
        <v>Steinhof</v>
      </c>
    </row>
    <row r="6963">
      <c r="A6963" t="str">
        <f>IFERROR(__xludf.DUMMYFUNCTION("""COMPUTED_VALUE"""),"SMB-15")</f>
        <v>SMB-15</v>
      </c>
      <c r="C6963" t="str">
        <f>IFERROR(__xludf.DUMMYFUNCTION("""COMPUTED_VALUE"""),"Steinhof")</f>
        <v>Steinhof</v>
      </c>
    </row>
    <row r="6964">
      <c r="A6964" t="str">
        <f>IFERROR(__xludf.DUMMYFUNCTION("""COMPUTED_VALUE"""),"SMB-AKCESORIA")</f>
        <v>SMB-AKCESORIA</v>
      </c>
      <c r="C6964" t="str">
        <f>IFERROR(__xludf.DUMMYFUNCTION("""COMPUTED_VALUE"""),"Steinhof")</f>
        <v>Steinhof</v>
      </c>
    </row>
    <row r="6965">
      <c r="A6965" t="str">
        <f>IFERROR(__xludf.DUMMYFUNCTION("""COMPUTED_VALUE"""),"SMB-AKCESORIA 5")</f>
        <v>SMB-AKCESORIA 5</v>
      </c>
      <c r="C6965" t="str">
        <f>IFERROR(__xludf.DUMMYFUNCTION("""COMPUTED_VALUE"""),"Steinhof")</f>
        <v>Steinhof</v>
      </c>
    </row>
    <row r="6966">
      <c r="A6966" t="str">
        <f>IFERROR(__xludf.DUMMYFUNCTION("""COMPUTED_VALUE"""),"SMB-R01")</f>
        <v>SMB-R01</v>
      </c>
      <c r="C6966" t="str">
        <f>IFERROR(__xludf.DUMMYFUNCTION("""COMPUTED_VALUE"""),"Steinhof")</f>
        <v>Steinhof</v>
      </c>
    </row>
    <row r="6967">
      <c r="A6967" t="str">
        <f>IFERROR(__xludf.DUMMYFUNCTION("""COMPUTED_VALUE"""),"SMB-T01")</f>
        <v>SMB-T01</v>
      </c>
      <c r="C6967" t="str">
        <f>IFERROR(__xludf.DUMMYFUNCTION("""COMPUTED_VALUE"""),"Steinhof")</f>
        <v>Steinhof</v>
      </c>
    </row>
    <row r="6968">
      <c r="A6968" t="str">
        <f>IFERROR(__xludf.DUMMYFUNCTION("""COMPUTED_VALUE"""),"SMB-U01")</f>
        <v>SMB-U01</v>
      </c>
      <c r="C6968" t="str">
        <f>IFERROR(__xludf.DUMMYFUNCTION("""COMPUTED_VALUE"""),"Steinhof")</f>
        <v>Steinhof</v>
      </c>
    </row>
    <row r="6969">
      <c r="A6969" t="str">
        <f>IFERROR(__xludf.DUMMYFUNCTION("""COMPUTED_VALUE"""),"SMB-W01")</f>
        <v>SMB-W01</v>
      </c>
      <c r="C6969" t="str">
        <f>IFERROR(__xludf.DUMMYFUNCTION("""COMPUTED_VALUE"""),"Steinhof")</f>
        <v>Steinhof</v>
      </c>
    </row>
    <row r="6970">
      <c r="A6970" t="str">
        <f>IFERROR(__xludf.DUMMYFUNCTION("""COMPUTED_VALUE"""),"SMP-4P-EXT")</f>
        <v>SMP-4P-EXT</v>
      </c>
      <c r="C6970" t="str">
        <f>IFERROR(__xludf.DUMMYFUNCTION("""COMPUTED_VALUE"""),"Steinhof")</f>
        <v>Steinhof</v>
      </c>
    </row>
    <row r="6971">
      <c r="A6971" t="str">
        <f>IFERROR(__xludf.DUMMYFUNCTION("""COMPUTED_VALUE"""),"SMP-4PE+")</f>
        <v>SMP-4PE+</v>
      </c>
      <c r="C6971" t="str">
        <f>IFERROR(__xludf.DUMMYFUNCTION("""COMPUTED_VALUE"""),"Steinhof")</f>
        <v>Steinhof</v>
      </c>
    </row>
    <row r="6972">
      <c r="A6972" t="str">
        <f>IFERROR(__xludf.DUMMYFUNCTION("""COMPUTED_VALUE"""),"T-094")</f>
        <v>T-094</v>
      </c>
      <c r="C6972" t="str">
        <f>IFERROR(__xludf.DUMMYFUNCTION("""COMPUTED_VALUE"""),"Steinhof")</f>
        <v>Steinhof</v>
      </c>
    </row>
    <row r="6973">
      <c r="A6973" t="str">
        <f>IFERROR(__xludf.DUMMYFUNCTION("""COMPUTED_VALUE"""),"T-095")</f>
        <v>T-095</v>
      </c>
      <c r="C6973" t="str">
        <f>IFERROR(__xludf.DUMMYFUNCTION("""COMPUTED_VALUE"""),"Steinhof")</f>
        <v>Steinhof</v>
      </c>
    </row>
    <row r="6974">
      <c r="A6974" t="str">
        <f>IFERROR(__xludf.DUMMYFUNCTION("""COMPUTED_VALUE"""),"T-097")</f>
        <v>T-097</v>
      </c>
      <c r="C6974" t="str">
        <f>IFERROR(__xludf.DUMMYFUNCTION("""COMPUTED_VALUE"""),"Steinhof")</f>
        <v>Steinhof</v>
      </c>
    </row>
    <row r="6975">
      <c r="A6975" t="str">
        <f>IFERROR(__xludf.DUMMYFUNCTION("""COMPUTED_VALUE"""),"T-097")</f>
        <v>T-097</v>
      </c>
      <c r="C6975" t="str">
        <f>IFERROR(__xludf.DUMMYFUNCTION("""COMPUTED_VALUE"""),"Steinhof")</f>
        <v>Steinhof</v>
      </c>
    </row>
    <row r="6976">
      <c r="A6976" t="str">
        <f>IFERROR(__xludf.DUMMYFUNCTION("""COMPUTED_VALUE"""),"T-097")</f>
        <v>T-097</v>
      </c>
      <c r="C6976" t="str">
        <f>IFERROR(__xludf.DUMMYFUNCTION("""COMPUTED_VALUE"""),"Steinhof")</f>
        <v>Steinhof</v>
      </c>
    </row>
    <row r="6977">
      <c r="A6977" t="str">
        <f>IFERROR(__xludf.DUMMYFUNCTION("""COMPUTED_VALUE"""),"T-098")</f>
        <v>T-098</v>
      </c>
      <c r="C6977" t="str">
        <f>IFERROR(__xludf.DUMMYFUNCTION("""COMPUTED_VALUE"""),"Steinhof")</f>
        <v>Steinhof</v>
      </c>
    </row>
    <row r="6978">
      <c r="A6978" t="str">
        <f>IFERROR(__xludf.DUMMYFUNCTION("""COMPUTED_VALUE"""),"T-099")</f>
        <v>T-099</v>
      </c>
      <c r="C6978" t="str">
        <f>IFERROR(__xludf.DUMMYFUNCTION("""COMPUTED_VALUE"""),"Steinhof")</f>
        <v>Steinhof</v>
      </c>
    </row>
    <row r="6979">
      <c r="A6979" t="str">
        <f>IFERROR(__xludf.DUMMYFUNCTION("""COMPUTED_VALUE"""),"T-105")</f>
        <v>T-105</v>
      </c>
      <c r="C6979" t="str">
        <f>IFERROR(__xludf.DUMMYFUNCTION("""COMPUTED_VALUE"""),"Steinhof")</f>
        <v>Steinhof</v>
      </c>
    </row>
    <row r="6980">
      <c r="A6980" t="str">
        <f>IFERROR(__xludf.DUMMYFUNCTION("""COMPUTED_VALUE"""),"T-128")</f>
        <v>T-128</v>
      </c>
      <c r="C6980" t="str">
        <f>IFERROR(__xludf.DUMMYFUNCTION("""COMPUTED_VALUE"""),"Steinhof")</f>
        <v>Steinhof</v>
      </c>
    </row>
    <row r="6981">
      <c r="A6981" t="str">
        <f>IFERROR(__xludf.DUMMYFUNCTION("""COMPUTED_VALUE"""),"T-129")</f>
        <v>T-129</v>
      </c>
      <c r="C6981" t="str">
        <f>IFERROR(__xludf.DUMMYFUNCTION("""COMPUTED_VALUE"""),"Steinhof")</f>
        <v>Steinhof</v>
      </c>
    </row>
    <row r="6982">
      <c r="A6982" t="str">
        <f>IFERROR(__xludf.DUMMYFUNCTION("""COMPUTED_VALUE"""),"T-151")</f>
        <v>T-151</v>
      </c>
      <c r="C6982" t="str">
        <f>IFERROR(__xludf.DUMMYFUNCTION("""COMPUTED_VALUE"""),"Steinhof")</f>
        <v>Steinhof</v>
      </c>
    </row>
    <row r="6983">
      <c r="A6983" t="str">
        <f>IFERROR(__xludf.DUMMYFUNCTION("""COMPUTED_VALUE"""),"T-152")</f>
        <v>T-152</v>
      </c>
      <c r="C6983" t="str">
        <f>IFERROR(__xludf.DUMMYFUNCTION("""COMPUTED_VALUE"""),"Steinhof")</f>
        <v>Steinhof</v>
      </c>
    </row>
    <row r="6984">
      <c r="A6984" t="str">
        <f>IFERROR(__xludf.DUMMYFUNCTION("""COMPUTED_VALUE"""),"T-183")</f>
        <v>T-183</v>
      </c>
      <c r="C6984" t="str">
        <f>IFERROR(__xludf.DUMMYFUNCTION("""COMPUTED_VALUE"""),"Steinhof")</f>
        <v>Steinhof</v>
      </c>
    </row>
    <row r="6985">
      <c r="A6985" t="str">
        <f>IFERROR(__xludf.DUMMYFUNCTION("""COMPUTED_VALUE"""),"T-184")</f>
        <v>T-184</v>
      </c>
      <c r="C6985" t="str">
        <f>IFERROR(__xludf.DUMMYFUNCTION("""COMPUTED_VALUE"""),"Steinhof")</f>
        <v>Steinhof</v>
      </c>
    </row>
    <row r="6986">
      <c r="A6986" t="str">
        <f>IFERROR(__xludf.DUMMYFUNCTION("""COMPUTED_VALUE"""),"T-196")</f>
        <v>T-196</v>
      </c>
      <c r="C6986" t="str">
        <f>IFERROR(__xludf.DUMMYFUNCTION("""COMPUTED_VALUE"""),"Steinhof")</f>
        <v>Steinhof</v>
      </c>
    </row>
    <row r="6987">
      <c r="A6987" t="str">
        <f>IFERROR(__xludf.DUMMYFUNCTION("""COMPUTED_VALUE"""),"V-050")</f>
        <v>V-050</v>
      </c>
      <c r="C6987" t="str">
        <f>IFERROR(__xludf.DUMMYFUNCTION("""COMPUTED_VALUE"""),"Steinhof")</f>
        <v>Steinhof</v>
      </c>
    </row>
    <row r="6988">
      <c r="A6988" t="str">
        <f>IFERROR(__xludf.DUMMYFUNCTION("""COMPUTED_VALUE"""),"V-050")</f>
        <v>V-050</v>
      </c>
      <c r="C6988" t="str">
        <f>IFERROR(__xludf.DUMMYFUNCTION("""COMPUTED_VALUE"""),"Steinhof")</f>
        <v>Steinhof</v>
      </c>
    </row>
    <row r="6989">
      <c r="A6989" t="str">
        <f>IFERROR(__xludf.DUMMYFUNCTION("""COMPUTED_VALUE"""),"V-123")</f>
        <v>V-123</v>
      </c>
      <c r="C6989" t="str">
        <f>IFERROR(__xludf.DUMMYFUNCTION("""COMPUTED_VALUE"""),"Steinhof")</f>
        <v>Steinhof</v>
      </c>
    </row>
    <row r="6990">
      <c r="A6990" t="str">
        <f>IFERROR(__xludf.DUMMYFUNCTION("""COMPUTED_VALUE"""),"V-154")</f>
        <v>V-154</v>
      </c>
      <c r="C6990" t="str">
        <f>IFERROR(__xludf.DUMMYFUNCTION("""COMPUTED_VALUE"""),"Steinhof")</f>
        <v>Steinhof</v>
      </c>
    </row>
    <row r="6991">
      <c r="A6991" t="str">
        <f>IFERROR(__xludf.DUMMYFUNCTION("""COMPUTED_VALUE"""),"V-155")</f>
        <v>V-155</v>
      </c>
      <c r="C6991" t="str">
        <f>IFERROR(__xludf.DUMMYFUNCTION("""COMPUTED_VALUE"""),"Steinhof")</f>
        <v>Steinhof</v>
      </c>
    </row>
    <row r="6992">
      <c r="A6992" t="str">
        <f>IFERROR(__xludf.DUMMYFUNCTION("""COMPUTED_VALUE"""),"V-296")</f>
        <v>V-296</v>
      </c>
      <c r="C6992" t="str">
        <f>IFERROR(__xludf.DUMMYFUNCTION("""COMPUTED_VALUE"""),"Steinhof")</f>
        <v>Steinhof</v>
      </c>
    </row>
    <row r="6993">
      <c r="A6993" t="str">
        <f>IFERROR(__xludf.DUMMYFUNCTION("""COMPUTED_VALUE"""),"V-296")</f>
        <v>V-296</v>
      </c>
      <c r="C6993" t="str">
        <f>IFERROR(__xludf.DUMMYFUNCTION("""COMPUTED_VALUE"""),"Steinhof")</f>
        <v>Steinhof</v>
      </c>
    </row>
    <row r="6994">
      <c r="A6994" t="str">
        <f>IFERROR(__xludf.DUMMYFUNCTION("""COMPUTED_VALUE"""),"V-296")</f>
        <v>V-296</v>
      </c>
      <c r="C6994" t="str">
        <f>IFERROR(__xludf.DUMMYFUNCTION("""COMPUTED_VALUE"""),"Steinhof")</f>
        <v>Steinhof</v>
      </c>
    </row>
    <row r="6995">
      <c r="A6995" t="str">
        <f>IFERROR(__xludf.DUMMYFUNCTION("""COMPUTED_VALUE"""),"V-296")</f>
        <v>V-296</v>
      </c>
      <c r="C6995" t="str">
        <f>IFERROR(__xludf.DUMMYFUNCTION("""COMPUTED_VALUE"""),"Steinhof")</f>
        <v>Steinhof</v>
      </c>
    </row>
    <row r="6996">
      <c r="A6996" t="str">
        <f>IFERROR(__xludf.DUMMYFUNCTION("""COMPUTED_VALUE"""),"V-310")</f>
        <v>V-310</v>
      </c>
      <c r="C6996" t="str">
        <f>IFERROR(__xludf.DUMMYFUNCTION("""COMPUTED_VALUE"""),"Steinhof")</f>
        <v>Steinhof</v>
      </c>
    </row>
    <row r="6997">
      <c r="A6997" t="str">
        <f>IFERROR(__xludf.DUMMYFUNCTION("""COMPUTED_VALUE"""),"V-310")</f>
        <v>V-310</v>
      </c>
      <c r="C6997" t="str">
        <f>IFERROR(__xludf.DUMMYFUNCTION("""COMPUTED_VALUE"""),"Steinhof")</f>
        <v>Steinhof</v>
      </c>
    </row>
    <row r="6998">
      <c r="A6998" t="str">
        <f>IFERROR(__xludf.DUMMYFUNCTION("""COMPUTED_VALUE"""),"V-311")</f>
        <v>V-311</v>
      </c>
      <c r="C6998" t="str">
        <f>IFERROR(__xludf.DUMMYFUNCTION("""COMPUTED_VALUE"""),"Steinhof")</f>
        <v>Steinhof</v>
      </c>
    </row>
    <row r="6999">
      <c r="A6999" t="str">
        <f>IFERROR(__xludf.DUMMYFUNCTION("""COMPUTED_VALUE"""),"V-311")</f>
        <v>V-311</v>
      </c>
      <c r="C6999" t="str">
        <f>IFERROR(__xludf.DUMMYFUNCTION("""COMPUTED_VALUE"""),"Steinhof")</f>
        <v>Steinhof</v>
      </c>
    </row>
    <row r="7000">
      <c r="A7000" t="str">
        <f>IFERROR(__xludf.DUMMYFUNCTION("""COMPUTED_VALUE"""),"WT-13")</f>
        <v>WT-13</v>
      </c>
      <c r="C7000" t="str">
        <f>IFERROR(__xludf.DUMMYFUNCTION("""COMPUTED_VALUE"""),"Steinhof")</f>
        <v>Steinhof</v>
      </c>
    </row>
    <row r="7001">
      <c r="A7001" t="str">
        <f>IFERROR(__xludf.DUMMYFUNCTION("""COMPUTED_VALUE"""),"WT-7")</f>
        <v>WT-7</v>
      </c>
      <c r="C7001" t="str">
        <f>IFERROR(__xludf.DUMMYFUNCTION("""COMPUTED_VALUE"""),"Steinhof")</f>
        <v>Steinhof</v>
      </c>
    </row>
    <row r="7002">
      <c r="A7002" t="str">
        <f>IFERROR(__xludf.DUMMYFUNCTION("""COMPUTED_VALUE"""),"WUD-05")</f>
        <v>WUD-05</v>
      </c>
      <c r="C7002" t="str">
        <f>IFERROR(__xludf.DUMMYFUNCTION("""COMPUTED_VALUE"""),"Steinhof")</f>
        <v>Steinhof</v>
      </c>
    </row>
    <row r="7003">
      <c r="A7003" t="str">
        <f>IFERROR(__xludf.DUMMYFUNCTION("""COMPUTED_VALUE"""),"ZK-1")</f>
        <v>ZK-1</v>
      </c>
      <c r="C7003" t="str">
        <f>IFERROR(__xludf.DUMMYFUNCTION("""COMPUTED_VALUE"""),"Steinhof")</f>
        <v>Steinhof</v>
      </c>
    </row>
    <row r="7004">
      <c r="A7004" t="str">
        <f>IFERROR(__xludf.DUMMYFUNCTION("""COMPUTED_VALUE"""),"ZK-2")</f>
        <v>ZK-2</v>
      </c>
      <c r="C7004" t="str">
        <f>IFERROR(__xludf.DUMMYFUNCTION("""COMPUTED_VALUE"""),"Steinhof")</f>
        <v>Steinhof</v>
      </c>
    </row>
    <row r="7005">
      <c r="A7005" t="str">
        <f>IFERROR(__xludf.DUMMYFUNCTION("""COMPUTED_VALUE"""),"ZK-4")</f>
        <v>ZK-4</v>
      </c>
      <c r="C7005" t="str">
        <f>IFERROR(__xludf.DUMMYFUNCTION("""COMPUTED_VALUE"""),"Steinhof")</f>
        <v>Steinhof</v>
      </c>
    </row>
    <row r="7006">
      <c r="A7006" t="str">
        <f>IFERROR(__xludf.DUMMYFUNCTION("""COMPUTED_VALUE"""),"ZK-7")</f>
        <v>ZK-7</v>
      </c>
      <c r="C7006" t="str">
        <f>IFERROR(__xludf.DUMMYFUNCTION("""COMPUTED_VALUE"""),"Steinhof")</f>
        <v>Steinhof</v>
      </c>
    </row>
    <row r="7007">
      <c r="A7007" t="str">
        <f>IFERROR(__xludf.DUMMYFUNCTION("""COMPUTED_VALUE"""),"AL33")</f>
        <v>AL33</v>
      </c>
      <c r="B7007" s="226" t="str">
        <f>IFERROR(__xludf.DUMMYFUNCTION("""COMPUTED_VALUE"""),"00001")</f>
        <v>00001</v>
      </c>
      <c r="C7007" t="str">
        <f>IFERROR(__xludf.DUMMYFUNCTION("""COMPUTED_VALUE"""),"Autohak")</f>
        <v>Autohak</v>
      </c>
    </row>
    <row r="7008">
      <c r="A7008" t="str">
        <f>IFERROR(__xludf.DUMMYFUNCTION("""COMPUTED_VALUE"""),"AL33A")</f>
        <v>AL33A</v>
      </c>
      <c r="B7008" s="226" t="str">
        <f>IFERROR(__xludf.DUMMYFUNCTION("""COMPUTED_VALUE"""),"00803")</f>
        <v>00803</v>
      </c>
      <c r="C7008" t="str">
        <f>IFERROR(__xludf.DUMMYFUNCTION("""COMPUTED_VALUE"""),"Autohak")</f>
        <v>Autohak</v>
      </c>
    </row>
    <row r="7009">
      <c r="A7009" t="str">
        <f>IFERROR(__xludf.DUMMYFUNCTION("""COMPUTED_VALUE"""),"AL32")</f>
        <v>AL32</v>
      </c>
      <c r="B7009" s="226" t="str">
        <f>IFERROR(__xludf.DUMMYFUNCTION("""COMPUTED_VALUE"""),"00018")</f>
        <v>00018</v>
      </c>
      <c r="C7009" t="str">
        <f>IFERROR(__xludf.DUMMYFUNCTION("""COMPUTED_VALUE"""),"Autohak")</f>
        <v>Autohak</v>
      </c>
    </row>
    <row r="7010">
      <c r="A7010" t="str">
        <f>IFERROR(__xludf.DUMMYFUNCTION("""COMPUTED_VALUE"""),"AL32A")</f>
        <v>AL32A</v>
      </c>
      <c r="B7010" s="226" t="str">
        <f>IFERROR(__xludf.DUMMYFUNCTION("""COMPUTED_VALUE"""),"00810")</f>
        <v>00810</v>
      </c>
      <c r="C7010" t="str">
        <f>IFERROR(__xludf.DUMMYFUNCTION("""COMPUTED_VALUE"""),"Autohak")</f>
        <v>Autohak</v>
      </c>
    </row>
    <row r="7011">
      <c r="A7011" t="str">
        <f>IFERROR(__xludf.DUMMYFUNCTION("""COMPUTED_VALUE"""),"AL37")</f>
        <v>AL37</v>
      </c>
      <c r="B7011" s="226" t="str">
        <f>IFERROR(__xludf.DUMMYFUNCTION("""COMPUTED_VALUE"""),"00025")</f>
        <v>00025</v>
      </c>
      <c r="C7011" t="str">
        <f>IFERROR(__xludf.DUMMYFUNCTION("""COMPUTED_VALUE"""),"Autohak")</f>
        <v>Autohak</v>
      </c>
    </row>
    <row r="7012">
      <c r="A7012" t="str">
        <f>IFERROR(__xludf.DUMMYFUNCTION("""COMPUTED_VALUE"""),"AL37A")</f>
        <v>AL37A</v>
      </c>
      <c r="B7012" s="226" t="str">
        <f>IFERROR(__xludf.DUMMYFUNCTION("""COMPUTED_VALUE"""),"00827")</f>
        <v>00827</v>
      </c>
      <c r="C7012" t="str">
        <f>IFERROR(__xludf.DUMMYFUNCTION("""COMPUTED_VALUE"""),"Autohak")</f>
        <v>Autohak</v>
      </c>
    </row>
    <row r="7013">
      <c r="A7013" t="str">
        <f>IFERROR(__xludf.DUMMYFUNCTION("""COMPUTED_VALUE"""),"AL34")</f>
        <v>AL34</v>
      </c>
      <c r="B7013" s="226" t="str">
        <f>IFERROR(__xludf.DUMMYFUNCTION("""COMPUTED_VALUE"""),"00049")</f>
        <v>00049</v>
      </c>
      <c r="C7013" t="str">
        <f>IFERROR(__xludf.DUMMYFUNCTION("""COMPUTED_VALUE"""),"Autohak")</f>
        <v>Autohak</v>
      </c>
    </row>
    <row r="7014">
      <c r="A7014" t="str">
        <f>IFERROR(__xludf.DUMMYFUNCTION("""COMPUTED_VALUE"""),"AL34A")</f>
        <v>AL34A</v>
      </c>
      <c r="B7014" s="226" t="str">
        <f>IFERROR(__xludf.DUMMYFUNCTION("""COMPUTED_VALUE"""),"00841")</f>
        <v>00841</v>
      </c>
      <c r="C7014" t="str">
        <f>IFERROR(__xludf.DUMMYFUNCTION("""COMPUTED_VALUE"""),"Autohak")</f>
        <v>Autohak</v>
      </c>
    </row>
    <row r="7015">
      <c r="A7015" t="str">
        <f>IFERROR(__xludf.DUMMYFUNCTION("""COMPUTED_VALUE"""),"AL34")</f>
        <v>AL34</v>
      </c>
      <c r="B7015" s="226" t="str">
        <f>IFERROR(__xludf.DUMMYFUNCTION("""COMPUTED_VALUE"""),"00049")</f>
        <v>00049</v>
      </c>
      <c r="C7015" t="str">
        <f>IFERROR(__xludf.DUMMYFUNCTION("""COMPUTED_VALUE"""),"Autohak")</f>
        <v>Autohak</v>
      </c>
    </row>
    <row r="7016">
      <c r="A7016" t="str">
        <f>IFERROR(__xludf.DUMMYFUNCTION("""COMPUTED_VALUE"""),"AL34A")</f>
        <v>AL34A</v>
      </c>
      <c r="B7016" s="226" t="str">
        <f>IFERROR(__xludf.DUMMYFUNCTION("""COMPUTED_VALUE"""),"00841")</f>
        <v>00841</v>
      </c>
      <c r="C7016" t="str">
        <f>IFERROR(__xludf.DUMMYFUNCTION("""COMPUTED_VALUE"""),"Autohak")</f>
        <v>Autohak</v>
      </c>
    </row>
    <row r="7017">
      <c r="A7017" t="str">
        <f>IFERROR(__xludf.DUMMYFUNCTION("""COMPUTED_VALUE"""),"ALX34")</f>
        <v>ALX34</v>
      </c>
      <c r="B7017" s="226" t="str">
        <f>IFERROR(__xludf.DUMMYFUNCTION("""COMPUTED_VALUE"""),"00087")</f>
        <v>00087</v>
      </c>
      <c r="C7017" t="str">
        <f>IFERROR(__xludf.DUMMYFUNCTION("""COMPUTED_VALUE"""),"Autohak")</f>
        <v>Autohak</v>
      </c>
    </row>
    <row r="7018">
      <c r="A7018" t="str">
        <f>IFERROR(__xludf.DUMMYFUNCTION("""COMPUTED_VALUE"""),"ALX34A")</f>
        <v>ALX34A</v>
      </c>
      <c r="B7018" s="226" t="str">
        <f>IFERROR(__xludf.DUMMYFUNCTION("""COMPUTED_VALUE"""),"00902")</f>
        <v>00902</v>
      </c>
      <c r="C7018" t="str">
        <f>IFERROR(__xludf.DUMMYFUNCTION("""COMPUTED_VALUE"""),"Autohak")</f>
        <v>Autohak</v>
      </c>
    </row>
    <row r="7019">
      <c r="A7019" t="str">
        <f>IFERROR(__xludf.DUMMYFUNCTION("""COMPUTED_VALUE"""),"AL38")</f>
        <v>AL38</v>
      </c>
      <c r="B7019" s="226" t="str">
        <f>IFERROR(__xludf.DUMMYFUNCTION("""COMPUTED_VALUE"""),"00056")</f>
        <v>00056</v>
      </c>
      <c r="C7019" t="str">
        <f>IFERROR(__xludf.DUMMYFUNCTION("""COMPUTED_VALUE"""),"Autohak")</f>
        <v>Autohak</v>
      </c>
    </row>
    <row r="7020">
      <c r="A7020" t="str">
        <f>IFERROR(__xludf.DUMMYFUNCTION("""COMPUTED_VALUE"""),"AL38A")</f>
        <v>AL38A</v>
      </c>
      <c r="B7020" s="226" t="str">
        <f>IFERROR(__xludf.DUMMYFUNCTION("""COMPUTED_VALUE"""),"00858")</f>
        <v>00858</v>
      </c>
      <c r="C7020" t="str">
        <f>IFERROR(__xludf.DUMMYFUNCTION("""COMPUTED_VALUE"""),"Autohak")</f>
        <v>Autohak</v>
      </c>
    </row>
    <row r="7021">
      <c r="A7021" t="str">
        <f>IFERROR(__xludf.DUMMYFUNCTION("""COMPUTED_VALUE"""),"AL38")</f>
        <v>AL38</v>
      </c>
      <c r="B7021" s="226" t="str">
        <f>IFERROR(__xludf.DUMMYFUNCTION("""COMPUTED_VALUE"""),"00056")</f>
        <v>00056</v>
      </c>
      <c r="C7021" t="str">
        <f>IFERROR(__xludf.DUMMYFUNCTION("""COMPUTED_VALUE"""),"Autohak")</f>
        <v>Autohak</v>
      </c>
    </row>
    <row r="7022">
      <c r="A7022" t="str">
        <f>IFERROR(__xludf.DUMMYFUNCTION("""COMPUTED_VALUE"""),"AL38A")</f>
        <v>AL38A</v>
      </c>
      <c r="B7022" s="226" t="str">
        <f>IFERROR(__xludf.DUMMYFUNCTION("""COMPUTED_VALUE"""),"00858")</f>
        <v>00858</v>
      </c>
      <c r="C7022" t="str">
        <f>IFERROR(__xludf.DUMMYFUNCTION("""COMPUTED_VALUE"""),"Autohak")</f>
        <v>Autohak</v>
      </c>
    </row>
    <row r="7023">
      <c r="A7023" t="str">
        <f>IFERROR(__xludf.DUMMYFUNCTION("""COMPUTED_VALUE"""),"AL42")</f>
        <v>AL42</v>
      </c>
      <c r="B7023" s="226" t="str">
        <f>IFERROR(__xludf.DUMMYFUNCTION("""COMPUTED_VALUE"""),"00100")</f>
        <v>00100</v>
      </c>
      <c r="C7023" t="str">
        <f>IFERROR(__xludf.DUMMYFUNCTION("""COMPUTED_VALUE"""),"Autohak")</f>
        <v>Autohak</v>
      </c>
    </row>
    <row r="7024">
      <c r="A7024" t="str">
        <f>IFERROR(__xludf.DUMMYFUNCTION("""COMPUTED_VALUE"""),"AL42A")</f>
        <v>AL42A</v>
      </c>
      <c r="B7024" s="226" t="str">
        <f>IFERROR(__xludf.DUMMYFUNCTION("""COMPUTED_VALUE"""),"00933")</f>
        <v>00933</v>
      </c>
      <c r="C7024" t="str">
        <f>IFERROR(__xludf.DUMMYFUNCTION("""COMPUTED_VALUE"""),"Autohak")</f>
        <v>Autohak</v>
      </c>
    </row>
    <row r="7025">
      <c r="A7025" t="str">
        <f>IFERROR(__xludf.DUMMYFUNCTION("""COMPUTED_VALUE"""),"AL42V")</f>
        <v>AL42V</v>
      </c>
      <c r="B7025" s="226" t="str">
        <f>IFERROR(__xludf.DUMMYFUNCTION("""COMPUTED_VALUE"""),"00940")</f>
        <v>00940</v>
      </c>
      <c r="C7025" t="str">
        <f>IFERROR(__xludf.DUMMYFUNCTION("""COMPUTED_VALUE"""),"Autohak")</f>
        <v>Autohak</v>
      </c>
    </row>
    <row r="7026">
      <c r="A7026" t="str">
        <f>IFERROR(__xludf.DUMMYFUNCTION("""COMPUTED_VALUE"""),"AL39")</f>
        <v>AL39</v>
      </c>
      <c r="B7026" s="226" t="str">
        <f>IFERROR(__xludf.DUMMYFUNCTION("""COMPUTED_VALUE"""),"00063")</f>
        <v>00063</v>
      </c>
      <c r="C7026" t="str">
        <f>IFERROR(__xludf.DUMMYFUNCTION("""COMPUTED_VALUE"""),"Autohak")</f>
        <v>Autohak</v>
      </c>
    </row>
    <row r="7027">
      <c r="A7027" t="str">
        <f>IFERROR(__xludf.DUMMYFUNCTION("""COMPUTED_VALUE"""),"AL39A")</f>
        <v>AL39A</v>
      </c>
      <c r="B7027" s="226" t="str">
        <f>IFERROR(__xludf.DUMMYFUNCTION("""COMPUTED_VALUE"""),"00865")</f>
        <v>00865</v>
      </c>
      <c r="C7027" t="str">
        <f>IFERROR(__xludf.DUMMYFUNCTION("""COMPUTED_VALUE"""),"Autohak")</f>
        <v>Autohak</v>
      </c>
    </row>
    <row r="7028">
      <c r="A7028" t="str">
        <f>IFERROR(__xludf.DUMMYFUNCTION("""COMPUTED_VALUE"""),"AL39V")</f>
        <v>AL39V</v>
      </c>
      <c r="B7028" s="226" t="str">
        <f>IFERROR(__xludf.DUMMYFUNCTION("""COMPUTED_VALUE"""),"00872")</f>
        <v>00872</v>
      </c>
      <c r="C7028" t="str">
        <f>IFERROR(__xludf.DUMMYFUNCTION("""COMPUTED_VALUE"""),"Autohak")</f>
        <v>Autohak</v>
      </c>
    </row>
    <row r="7029">
      <c r="A7029" t="str">
        <f>IFERROR(__xludf.DUMMYFUNCTION("""COMPUTED_VALUE"""),"AL40")</f>
        <v>AL40</v>
      </c>
      <c r="B7029" s="226" t="str">
        <f>IFERROR(__xludf.DUMMYFUNCTION("""COMPUTED_VALUE"""),"00070")</f>
        <v>00070</v>
      </c>
      <c r="C7029" t="str">
        <f>IFERROR(__xludf.DUMMYFUNCTION("""COMPUTED_VALUE"""),"Autohak")</f>
        <v>Autohak</v>
      </c>
    </row>
    <row r="7030">
      <c r="A7030" t="str">
        <f>IFERROR(__xludf.DUMMYFUNCTION("""COMPUTED_VALUE"""),"AL40A")</f>
        <v>AL40A</v>
      </c>
      <c r="B7030" s="226" t="str">
        <f>IFERROR(__xludf.DUMMYFUNCTION("""COMPUTED_VALUE"""),"00889")</f>
        <v>00889</v>
      </c>
      <c r="C7030" t="str">
        <f>IFERROR(__xludf.DUMMYFUNCTION("""COMPUTED_VALUE"""),"Autohak")</f>
        <v>Autohak</v>
      </c>
    </row>
    <row r="7031">
      <c r="A7031" t="str">
        <f>IFERROR(__xludf.DUMMYFUNCTION("""COMPUTED_VALUE"""),"AL40V")</f>
        <v>AL40V</v>
      </c>
      <c r="B7031" s="226" t="str">
        <f>IFERROR(__xludf.DUMMYFUNCTION("""COMPUTED_VALUE"""),"00896")</f>
        <v>00896</v>
      </c>
      <c r="C7031" t="str">
        <f>IFERROR(__xludf.DUMMYFUNCTION("""COMPUTED_VALUE"""),"Autohak")</f>
        <v>Autohak</v>
      </c>
    </row>
    <row r="7032">
      <c r="A7032" t="str">
        <f>IFERROR(__xludf.DUMMYFUNCTION("""COMPUTED_VALUE"""),"AL41")</f>
        <v>AL41</v>
      </c>
      <c r="B7032" s="226" t="str">
        <f>IFERROR(__xludf.DUMMYFUNCTION("""COMPUTED_VALUE"""),"00094")</f>
        <v>00094</v>
      </c>
      <c r="C7032" t="str">
        <f>IFERROR(__xludf.DUMMYFUNCTION("""COMPUTED_VALUE"""),"Autohak")</f>
        <v>Autohak</v>
      </c>
    </row>
    <row r="7033">
      <c r="A7033" t="str">
        <f>IFERROR(__xludf.DUMMYFUNCTION("""COMPUTED_VALUE"""),"AL41A")</f>
        <v>AL41A</v>
      </c>
      <c r="B7033" s="226" t="str">
        <f>IFERROR(__xludf.DUMMYFUNCTION("""COMPUTED_VALUE"""),"00919")</f>
        <v>00919</v>
      </c>
      <c r="C7033" t="str">
        <f>IFERROR(__xludf.DUMMYFUNCTION("""COMPUTED_VALUE"""),"Autohak")</f>
        <v>Autohak</v>
      </c>
    </row>
    <row r="7034">
      <c r="A7034" t="str">
        <f>IFERROR(__xludf.DUMMYFUNCTION("""COMPUTED_VALUE"""),"AL41V")</f>
        <v>AL41V</v>
      </c>
      <c r="B7034" s="226" t="str">
        <f>IFERROR(__xludf.DUMMYFUNCTION("""COMPUTED_VALUE"""),"00926")</f>
        <v>00926</v>
      </c>
      <c r="C7034" t="str">
        <f>IFERROR(__xludf.DUMMYFUNCTION("""COMPUTED_VALUE"""),"Autohak")</f>
        <v>Autohak</v>
      </c>
    </row>
    <row r="7035">
      <c r="A7035" t="str">
        <f>IFERROR(__xludf.DUMMYFUNCTION("""COMPUTED_VALUE"""),"A16")</f>
        <v>A16</v>
      </c>
      <c r="B7035" s="226" t="str">
        <f>IFERROR(__xludf.DUMMYFUNCTION("""COMPUTED_VALUE"""),"01039")</f>
        <v>01039</v>
      </c>
      <c r="C7035" t="str">
        <f>IFERROR(__xludf.DUMMYFUNCTION("""COMPUTED_VALUE"""),"Autohak")</f>
        <v>Autohak</v>
      </c>
    </row>
    <row r="7036">
      <c r="A7036" t="str">
        <f>IFERROR(__xludf.DUMMYFUNCTION("""COMPUTED_VALUE"""),"A03")</f>
        <v>A03</v>
      </c>
      <c r="B7036" s="226" t="str">
        <f>IFERROR(__xludf.DUMMYFUNCTION("""COMPUTED_VALUE"""),"01046")</f>
        <v>01046</v>
      </c>
      <c r="C7036" t="str">
        <f>IFERROR(__xludf.DUMMYFUNCTION("""COMPUTED_VALUE"""),"Autohak")</f>
        <v>Autohak</v>
      </c>
    </row>
    <row r="7037">
      <c r="A7037" t="str">
        <f>IFERROR(__xludf.DUMMYFUNCTION("""COMPUTED_VALUE"""),"A03A")</f>
        <v>A03A</v>
      </c>
      <c r="B7037" s="226" t="str">
        <f>IFERROR(__xludf.DUMMYFUNCTION("""COMPUTED_VALUE"""),"02548")</f>
        <v>02548</v>
      </c>
      <c r="C7037" t="str">
        <f>IFERROR(__xludf.DUMMYFUNCTION("""COMPUTED_VALUE"""),"Autohak")</f>
        <v>Autohak</v>
      </c>
    </row>
    <row r="7038">
      <c r="A7038" t="str">
        <f>IFERROR(__xludf.DUMMYFUNCTION("""COMPUTED_VALUE"""),"A03")</f>
        <v>A03</v>
      </c>
      <c r="B7038" s="226" t="str">
        <f>IFERROR(__xludf.DUMMYFUNCTION("""COMPUTED_VALUE"""),"01046")</f>
        <v>01046</v>
      </c>
      <c r="C7038" t="str">
        <f>IFERROR(__xludf.DUMMYFUNCTION("""COMPUTED_VALUE"""),"Autohak")</f>
        <v>Autohak</v>
      </c>
    </row>
    <row r="7039">
      <c r="A7039" t="str">
        <f>IFERROR(__xludf.DUMMYFUNCTION("""COMPUTED_VALUE"""),"A03A")</f>
        <v>A03A</v>
      </c>
      <c r="B7039" s="226" t="str">
        <f>IFERROR(__xludf.DUMMYFUNCTION("""COMPUTED_VALUE"""),"02548")</f>
        <v>02548</v>
      </c>
      <c r="C7039" t="str">
        <f>IFERROR(__xludf.DUMMYFUNCTION("""COMPUTED_VALUE"""),"Autohak")</f>
        <v>Autohak</v>
      </c>
    </row>
    <row r="7040">
      <c r="A7040" t="str">
        <f>IFERROR(__xludf.DUMMYFUNCTION("""COMPUTED_VALUE"""),"A05")</f>
        <v>A05</v>
      </c>
      <c r="B7040" s="226" t="str">
        <f>IFERROR(__xludf.DUMMYFUNCTION("""COMPUTED_VALUE"""),"01060")</f>
        <v>01060</v>
      </c>
      <c r="C7040" t="str">
        <f>IFERROR(__xludf.DUMMYFUNCTION("""COMPUTED_VALUE"""),"Autohak")</f>
        <v>Autohak</v>
      </c>
    </row>
    <row r="7041">
      <c r="A7041" t="str">
        <f>IFERROR(__xludf.DUMMYFUNCTION("""COMPUTED_VALUE"""),"A05A")</f>
        <v>A05A</v>
      </c>
      <c r="B7041" s="226" t="str">
        <f>IFERROR(__xludf.DUMMYFUNCTION("""COMPUTED_VALUE"""),"02562")</f>
        <v>02562</v>
      </c>
      <c r="C7041" t="str">
        <f>IFERROR(__xludf.DUMMYFUNCTION("""COMPUTED_VALUE"""),"Autohak")</f>
        <v>Autohak</v>
      </c>
    </row>
    <row r="7042">
      <c r="A7042" t="str">
        <f>IFERROR(__xludf.DUMMYFUNCTION("""COMPUTED_VALUE"""),"A05")</f>
        <v>A05</v>
      </c>
      <c r="B7042" s="226" t="str">
        <f>IFERROR(__xludf.DUMMYFUNCTION("""COMPUTED_VALUE"""),"01060")</f>
        <v>01060</v>
      </c>
      <c r="C7042" t="str">
        <f>IFERROR(__xludf.DUMMYFUNCTION("""COMPUTED_VALUE"""),"Autohak")</f>
        <v>Autohak</v>
      </c>
    </row>
    <row r="7043">
      <c r="A7043" t="str">
        <f>IFERROR(__xludf.DUMMYFUNCTION("""COMPUTED_VALUE"""),"A05A")</f>
        <v>A05A</v>
      </c>
      <c r="B7043" s="226" t="str">
        <f>IFERROR(__xludf.DUMMYFUNCTION("""COMPUTED_VALUE"""),"02562")</f>
        <v>02562</v>
      </c>
      <c r="C7043" t="str">
        <f>IFERROR(__xludf.DUMMYFUNCTION("""COMPUTED_VALUE"""),"Autohak")</f>
        <v>Autohak</v>
      </c>
    </row>
    <row r="7044">
      <c r="A7044" t="str">
        <f>IFERROR(__xludf.DUMMYFUNCTION("""COMPUTED_VALUE"""),"K52")</f>
        <v>K52</v>
      </c>
      <c r="B7044" s="226" t="str">
        <f>IFERROR(__xludf.DUMMYFUNCTION("""COMPUTED_VALUE"""),"69398")</f>
        <v>69398</v>
      </c>
      <c r="C7044" t="str">
        <f>IFERROR(__xludf.DUMMYFUNCTION("""COMPUTED_VALUE"""),"Autohak")</f>
        <v>Autohak</v>
      </c>
    </row>
    <row r="7045">
      <c r="A7045" t="str">
        <f>IFERROR(__xludf.DUMMYFUNCTION("""COMPUTED_VALUE"""),"K52A")</f>
        <v>K52A</v>
      </c>
      <c r="B7045" s="226" t="str">
        <f>IFERROR(__xludf.DUMMYFUNCTION("""COMPUTED_VALUE"""),"72398")</f>
        <v>72398</v>
      </c>
      <c r="C7045" t="str">
        <f>IFERROR(__xludf.DUMMYFUNCTION("""COMPUTED_VALUE"""),"Autohak")</f>
        <v>Autohak</v>
      </c>
    </row>
    <row r="7046">
      <c r="A7046" t="str">
        <f>IFERROR(__xludf.DUMMYFUNCTION("""COMPUTED_VALUE"""),"K52V")</f>
        <v>K52V</v>
      </c>
      <c r="B7046" s="226" t="str">
        <f>IFERROR(__xludf.DUMMYFUNCTION("""COMPUTED_VALUE"""),"72787")</f>
        <v>72787</v>
      </c>
      <c r="C7046" t="str">
        <f>IFERROR(__xludf.DUMMYFUNCTION("""COMPUTED_VALUE"""),"Autohak")</f>
        <v>Autohak</v>
      </c>
    </row>
    <row r="7047">
      <c r="A7047" t="str">
        <f>IFERROR(__xludf.DUMMYFUNCTION("""COMPUTED_VALUE"""),"H07")</f>
        <v>H07</v>
      </c>
      <c r="B7047" s="226" t="str">
        <f>IFERROR(__xludf.DUMMYFUNCTION("""COMPUTED_VALUE"""),"55087")</f>
        <v>55087</v>
      </c>
      <c r="C7047" t="str">
        <f>IFERROR(__xludf.DUMMYFUNCTION("""COMPUTED_VALUE"""),"Autohak")</f>
        <v>Autohak</v>
      </c>
    </row>
    <row r="7048">
      <c r="A7048" t="str">
        <f>IFERROR(__xludf.DUMMYFUNCTION("""COMPUTED_VALUE"""),"H07A")</f>
        <v>H07A</v>
      </c>
      <c r="B7048" s="226" t="str">
        <f>IFERROR(__xludf.DUMMYFUNCTION("""COMPUTED_VALUE"""),"58088")</f>
        <v>58088</v>
      </c>
      <c r="C7048" t="str">
        <f>IFERROR(__xludf.DUMMYFUNCTION("""COMPUTED_VALUE"""),"Autohak")</f>
        <v>Autohak</v>
      </c>
    </row>
    <row r="7049">
      <c r="A7049" t="str">
        <f>IFERROR(__xludf.DUMMYFUNCTION("""COMPUTED_VALUE"""),"H07V")</f>
        <v>H07V</v>
      </c>
      <c r="B7049" s="226" t="str">
        <f>IFERROR(__xludf.DUMMYFUNCTION("""COMPUTED_VALUE"""),"58996")</f>
        <v>58996</v>
      </c>
      <c r="C7049" t="str">
        <f>IFERROR(__xludf.DUMMYFUNCTION("""COMPUTED_VALUE"""),"Autohak")</f>
        <v>Autohak</v>
      </c>
    </row>
    <row r="7050">
      <c r="A7050" t="str">
        <f>IFERROR(__xludf.DUMMYFUNCTION("""COMPUTED_VALUE"""),"K44")</f>
        <v>K44</v>
      </c>
      <c r="B7050" s="226" t="str">
        <f>IFERROR(__xludf.DUMMYFUNCTION("""COMPUTED_VALUE"""),"69077")</f>
        <v>69077</v>
      </c>
      <c r="C7050" t="str">
        <f>IFERROR(__xludf.DUMMYFUNCTION("""COMPUTED_VALUE"""),"Autohak")</f>
        <v>Autohak</v>
      </c>
    </row>
    <row r="7051">
      <c r="A7051" t="str">
        <f>IFERROR(__xludf.DUMMYFUNCTION("""COMPUTED_VALUE"""),"K44A")</f>
        <v>K44A</v>
      </c>
      <c r="B7051" s="226" t="str">
        <f>IFERROR(__xludf.DUMMYFUNCTION("""COMPUTED_VALUE"""),"72077")</f>
        <v>72077</v>
      </c>
      <c r="C7051" t="str">
        <f>IFERROR(__xludf.DUMMYFUNCTION("""COMPUTED_VALUE"""),"Autohak")</f>
        <v>Autohak</v>
      </c>
    </row>
    <row r="7052">
      <c r="A7052" t="str">
        <f>IFERROR(__xludf.DUMMYFUNCTION("""COMPUTED_VALUE"""),"K44V")</f>
        <v>K44V</v>
      </c>
      <c r="B7052" s="226" t="str">
        <f>IFERROR(__xludf.DUMMYFUNCTION("""COMPUTED_VALUE"""),"72985")</f>
        <v>72985</v>
      </c>
      <c r="C7052" t="str">
        <f>IFERROR(__xludf.DUMMYFUNCTION("""COMPUTED_VALUE"""),"Autohak")</f>
        <v>Autohak</v>
      </c>
    </row>
    <row r="7053">
      <c r="A7053" t="str">
        <f>IFERROR(__xludf.DUMMYFUNCTION("""COMPUTED_VALUE"""),"A24")</f>
        <v>A24</v>
      </c>
      <c r="B7053" s="226" t="str">
        <f>IFERROR(__xludf.DUMMYFUNCTION("""COMPUTED_VALUE"""),"01152")</f>
        <v>01152</v>
      </c>
      <c r="C7053" t="str">
        <f>IFERROR(__xludf.DUMMYFUNCTION("""COMPUTED_VALUE"""),"Autohak")</f>
        <v>Autohak</v>
      </c>
    </row>
    <row r="7054">
      <c r="A7054" t="str">
        <f>IFERROR(__xludf.DUMMYFUNCTION("""COMPUTED_VALUE"""),"A24A")</f>
        <v>A24A</v>
      </c>
      <c r="B7054" s="226" t="str">
        <f>IFERROR(__xludf.DUMMYFUNCTION("""COMPUTED_VALUE"""),"02654")</f>
        <v>02654</v>
      </c>
      <c r="C7054" t="str">
        <f>IFERROR(__xludf.DUMMYFUNCTION("""COMPUTED_VALUE"""),"Autohak")</f>
        <v>Autohak</v>
      </c>
    </row>
    <row r="7055">
      <c r="A7055" t="str">
        <f>IFERROR(__xludf.DUMMYFUNCTION("""COMPUTED_VALUE"""),"A33")</f>
        <v>A33</v>
      </c>
      <c r="B7055" s="226" t="str">
        <f>IFERROR(__xludf.DUMMYFUNCTION("""COMPUTED_VALUE"""),"01244")</f>
        <v>01244</v>
      </c>
      <c r="C7055" t="str">
        <f>IFERROR(__xludf.DUMMYFUNCTION("""COMPUTED_VALUE"""),"Autohak")</f>
        <v>Autohak</v>
      </c>
    </row>
    <row r="7056">
      <c r="A7056" t="str">
        <f>IFERROR(__xludf.DUMMYFUNCTION("""COMPUTED_VALUE"""),"A33A")</f>
        <v>A33A</v>
      </c>
      <c r="B7056" s="226" t="str">
        <f>IFERROR(__xludf.DUMMYFUNCTION("""COMPUTED_VALUE"""),"02722")</f>
        <v>02722</v>
      </c>
      <c r="C7056" t="str">
        <f>IFERROR(__xludf.DUMMYFUNCTION("""COMPUTED_VALUE"""),"Autohak")</f>
        <v>Autohak</v>
      </c>
    </row>
    <row r="7057">
      <c r="A7057" t="str">
        <f>IFERROR(__xludf.DUMMYFUNCTION("""COMPUTED_VALUE"""),"A33V")</f>
        <v>A33V</v>
      </c>
      <c r="B7057" s="226" t="str">
        <f>IFERROR(__xludf.DUMMYFUNCTION("""COMPUTED_VALUE"""),"02869")</f>
        <v>02869</v>
      </c>
      <c r="C7057" t="str">
        <f>IFERROR(__xludf.DUMMYFUNCTION("""COMPUTED_VALUE"""),"Autohak")</f>
        <v>Autohak</v>
      </c>
    </row>
    <row r="7058">
      <c r="A7058" t="str">
        <f>IFERROR(__xludf.DUMMYFUNCTION("""COMPUTED_VALUE"""),"A33")</f>
        <v>A33</v>
      </c>
      <c r="B7058" s="226" t="str">
        <f>IFERROR(__xludf.DUMMYFUNCTION("""COMPUTED_VALUE"""),"01244")</f>
        <v>01244</v>
      </c>
      <c r="C7058" t="str">
        <f>IFERROR(__xludf.DUMMYFUNCTION("""COMPUTED_VALUE"""),"Autohak")</f>
        <v>Autohak</v>
      </c>
    </row>
    <row r="7059">
      <c r="A7059" t="str">
        <f>IFERROR(__xludf.DUMMYFUNCTION("""COMPUTED_VALUE"""),"A33A")</f>
        <v>A33A</v>
      </c>
      <c r="B7059" s="226" t="str">
        <f>IFERROR(__xludf.DUMMYFUNCTION("""COMPUTED_VALUE"""),"02722")</f>
        <v>02722</v>
      </c>
      <c r="C7059" t="str">
        <f>IFERROR(__xludf.DUMMYFUNCTION("""COMPUTED_VALUE"""),"Autohak")</f>
        <v>Autohak</v>
      </c>
    </row>
    <row r="7060">
      <c r="A7060" t="str">
        <f>IFERROR(__xludf.DUMMYFUNCTION("""COMPUTED_VALUE"""),"A33V")</f>
        <v>A33V</v>
      </c>
      <c r="B7060" s="226" t="str">
        <f>IFERROR(__xludf.DUMMYFUNCTION("""COMPUTED_VALUE"""),"02869")</f>
        <v>02869</v>
      </c>
      <c r="C7060" t="str">
        <f>IFERROR(__xludf.DUMMYFUNCTION("""COMPUTED_VALUE"""),"Autohak")</f>
        <v>Autohak</v>
      </c>
    </row>
    <row r="7061">
      <c r="A7061" t="str">
        <f>IFERROR(__xludf.DUMMYFUNCTION("""COMPUTED_VALUE"""),"A22")</f>
        <v>A22</v>
      </c>
      <c r="B7061" s="226" t="str">
        <f>IFERROR(__xludf.DUMMYFUNCTION("""COMPUTED_VALUE"""),"01138")</f>
        <v>01138</v>
      </c>
      <c r="C7061" t="str">
        <f>IFERROR(__xludf.DUMMYFUNCTION("""COMPUTED_VALUE"""),"Autohak")</f>
        <v>Autohak</v>
      </c>
    </row>
    <row r="7062">
      <c r="A7062" t="str">
        <f>IFERROR(__xludf.DUMMYFUNCTION("""COMPUTED_VALUE"""),"A22A")</f>
        <v>A22A</v>
      </c>
      <c r="B7062" s="226" t="str">
        <f>IFERROR(__xludf.DUMMYFUNCTION("""COMPUTED_VALUE"""),"02630")</f>
        <v>02630</v>
      </c>
      <c r="C7062" t="str">
        <f>IFERROR(__xludf.DUMMYFUNCTION("""COMPUTED_VALUE"""),"Autohak")</f>
        <v>Autohak</v>
      </c>
    </row>
    <row r="7063">
      <c r="A7063" t="str">
        <f>IFERROR(__xludf.DUMMYFUNCTION("""COMPUTED_VALUE"""),"A24")</f>
        <v>A24</v>
      </c>
      <c r="B7063" s="226" t="str">
        <f>IFERROR(__xludf.DUMMYFUNCTION("""COMPUTED_VALUE"""),"01152")</f>
        <v>01152</v>
      </c>
      <c r="C7063" t="str">
        <f>IFERROR(__xludf.DUMMYFUNCTION("""COMPUTED_VALUE"""),"Autohak")</f>
        <v>Autohak</v>
      </c>
    </row>
    <row r="7064">
      <c r="A7064" t="str">
        <f>IFERROR(__xludf.DUMMYFUNCTION("""COMPUTED_VALUE"""),"A24A")</f>
        <v>A24A</v>
      </c>
      <c r="B7064" s="226" t="str">
        <f>IFERROR(__xludf.DUMMYFUNCTION("""COMPUTED_VALUE"""),"02654")</f>
        <v>02654</v>
      </c>
      <c r="C7064" t="str">
        <f>IFERROR(__xludf.DUMMYFUNCTION("""COMPUTED_VALUE"""),"Autohak")</f>
        <v>Autohak</v>
      </c>
    </row>
    <row r="7065">
      <c r="A7065" t="str">
        <f>IFERROR(__xludf.DUMMYFUNCTION("""COMPUTED_VALUE"""),"A33")</f>
        <v>A33</v>
      </c>
      <c r="B7065" s="226" t="str">
        <f>IFERROR(__xludf.DUMMYFUNCTION("""COMPUTED_VALUE"""),"01244")</f>
        <v>01244</v>
      </c>
      <c r="C7065" t="str">
        <f>IFERROR(__xludf.DUMMYFUNCTION("""COMPUTED_VALUE"""),"Autohak")</f>
        <v>Autohak</v>
      </c>
    </row>
    <row r="7066">
      <c r="A7066" t="str">
        <f>IFERROR(__xludf.DUMMYFUNCTION("""COMPUTED_VALUE"""),"A33A")</f>
        <v>A33A</v>
      </c>
      <c r="B7066" s="226" t="str">
        <f>IFERROR(__xludf.DUMMYFUNCTION("""COMPUTED_VALUE"""),"02722")</f>
        <v>02722</v>
      </c>
      <c r="C7066" t="str">
        <f>IFERROR(__xludf.DUMMYFUNCTION("""COMPUTED_VALUE"""),"Autohak")</f>
        <v>Autohak</v>
      </c>
    </row>
    <row r="7067">
      <c r="A7067" t="str">
        <f>IFERROR(__xludf.DUMMYFUNCTION("""COMPUTED_VALUE"""),"A33V")</f>
        <v>A33V</v>
      </c>
      <c r="B7067" s="226" t="str">
        <f>IFERROR(__xludf.DUMMYFUNCTION("""COMPUTED_VALUE"""),"02869")</f>
        <v>02869</v>
      </c>
      <c r="C7067" t="str">
        <f>IFERROR(__xludf.DUMMYFUNCTION("""COMPUTED_VALUE"""),"Autohak")</f>
        <v>Autohak</v>
      </c>
    </row>
    <row r="7068">
      <c r="A7068" t="str">
        <f>IFERROR(__xludf.DUMMYFUNCTION("""COMPUTED_VALUE"""),"A08")</f>
        <v>A08</v>
      </c>
      <c r="B7068" s="226" t="str">
        <f>IFERROR(__xludf.DUMMYFUNCTION("""COMPUTED_VALUE"""),"01077")</f>
        <v>01077</v>
      </c>
      <c r="C7068" t="str">
        <f>IFERROR(__xludf.DUMMYFUNCTION("""COMPUTED_VALUE"""),"Autohak")</f>
        <v>Autohak</v>
      </c>
    </row>
    <row r="7069">
      <c r="A7069" t="str">
        <f>IFERROR(__xludf.DUMMYFUNCTION("""COMPUTED_VALUE"""),"A08A")</f>
        <v>A08A</v>
      </c>
      <c r="B7069" s="226" t="str">
        <f>IFERROR(__xludf.DUMMYFUNCTION("""COMPUTED_VALUE"""),"02579")</f>
        <v>02579</v>
      </c>
      <c r="C7069" t="str">
        <f>IFERROR(__xludf.DUMMYFUNCTION("""COMPUTED_VALUE"""),"Autohak")</f>
        <v>Autohak</v>
      </c>
    </row>
    <row r="7070">
      <c r="A7070" t="str">
        <f>IFERROR(__xludf.DUMMYFUNCTION("""COMPUTED_VALUE"""),"A18")</f>
        <v>A18</v>
      </c>
      <c r="B7070" s="226" t="str">
        <f>IFERROR(__xludf.DUMMYFUNCTION("""COMPUTED_VALUE"""),"01084")</f>
        <v>01084</v>
      </c>
      <c r="C7070" t="str">
        <f>IFERROR(__xludf.DUMMYFUNCTION("""COMPUTED_VALUE"""),"Autohak")</f>
        <v>Autohak</v>
      </c>
    </row>
    <row r="7071">
      <c r="A7071" t="str">
        <f>IFERROR(__xludf.DUMMYFUNCTION("""COMPUTED_VALUE"""),"A18A")</f>
        <v>A18A</v>
      </c>
      <c r="B7071" s="226" t="str">
        <f>IFERROR(__xludf.DUMMYFUNCTION("""COMPUTED_VALUE"""),"02586")</f>
        <v>02586</v>
      </c>
      <c r="C7071" t="str">
        <f>IFERROR(__xludf.DUMMYFUNCTION("""COMPUTED_VALUE"""),"Autohak")</f>
        <v>Autohak</v>
      </c>
    </row>
    <row r="7072">
      <c r="A7072" t="str">
        <f>IFERROR(__xludf.DUMMYFUNCTION("""COMPUTED_VALUE"""),"A18V")</f>
        <v>A18V</v>
      </c>
      <c r="B7072" s="226" t="str">
        <f>IFERROR(__xludf.DUMMYFUNCTION("""COMPUTED_VALUE"""),"02999")</f>
        <v>02999</v>
      </c>
      <c r="C7072" t="str">
        <f>IFERROR(__xludf.DUMMYFUNCTION("""COMPUTED_VALUE"""),"Autohak")</f>
        <v>Autohak</v>
      </c>
    </row>
    <row r="7073">
      <c r="A7073" t="str">
        <f>IFERROR(__xludf.DUMMYFUNCTION("""COMPUTED_VALUE"""),"A18")</f>
        <v>A18</v>
      </c>
      <c r="B7073" s="226" t="str">
        <f>IFERROR(__xludf.DUMMYFUNCTION("""COMPUTED_VALUE"""),"01084")</f>
        <v>01084</v>
      </c>
      <c r="C7073" t="str">
        <f>IFERROR(__xludf.DUMMYFUNCTION("""COMPUTED_VALUE"""),"Autohak")</f>
        <v>Autohak</v>
      </c>
    </row>
    <row r="7074">
      <c r="A7074" t="str">
        <f>IFERROR(__xludf.DUMMYFUNCTION("""COMPUTED_VALUE"""),"A18A")</f>
        <v>A18A</v>
      </c>
      <c r="B7074" s="226" t="str">
        <f>IFERROR(__xludf.DUMMYFUNCTION("""COMPUTED_VALUE"""),"02586")</f>
        <v>02586</v>
      </c>
      <c r="C7074" t="str">
        <f>IFERROR(__xludf.DUMMYFUNCTION("""COMPUTED_VALUE"""),"Autohak")</f>
        <v>Autohak</v>
      </c>
    </row>
    <row r="7075">
      <c r="A7075" t="str">
        <f>IFERROR(__xludf.DUMMYFUNCTION("""COMPUTED_VALUE"""),"A18V")</f>
        <v>A18V</v>
      </c>
      <c r="B7075" s="226" t="str">
        <f>IFERROR(__xludf.DUMMYFUNCTION("""COMPUTED_VALUE"""),"02999")</f>
        <v>02999</v>
      </c>
      <c r="C7075" t="str">
        <f>IFERROR(__xludf.DUMMYFUNCTION("""COMPUTED_VALUE"""),"Autohak")</f>
        <v>Autohak</v>
      </c>
    </row>
    <row r="7076">
      <c r="A7076" t="str">
        <f>IFERROR(__xludf.DUMMYFUNCTION("""COMPUTED_VALUE"""),"A23")</f>
        <v>A23</v>
      </c>
      <c r="B7076" s="226" t="str">
        <f>IFERROR(__xludf.DUMMYFUNCTION("""COMPUTED_VALUE"""),"01145")</f>
        <v>01145</v>
      </c>
      <c r="C7076" t="str">
        <f>IFERROR(__xludf.DUMMYFUNCTION("""COMPUTED_VALUE"""),"Autohak")</f>
        <v>Autohak</v>
      </c>
    </row>
    <row r="7077">
      <c r="A7077" t="str">
        <f>IFERROR(__xludf.DUMMYFUNCTION("""COMPUTED_VALUE"""),"A23A")</f>
        <v>A23A</v>
      </c>
      <c r="B7077" s="226" t="str">
        <f>IFERROR(__xludf.DUMMYFUNCTION("""COMPUTED_VALUE"""),"02647")</f>
        <v>02647</v>
      </c>
      <c r="C7077" t="str">
        <f>IFERROR(__xludf.DUMMYFUNCTION("""COMPUTED_VALUE"""),"Autohak")</f>
        <v>Autohak</v>
      </c>
    </row>
    <row r="7078">
      <c r="A7078" t="str">
        <f>IFERROR(__xludf.DUMMYFUNCTION("""COMPUTED_VALUE"""),"A23V")</f>
        <v>A23V</v>
      </c>
      <c r="B7078" s="226" t="str">
        <f>IFERROR(__xludf.DUMMYFUNCTION("""COMPUTED_VALUE"""),"02913")</f>
        <v>02913</v>
      </c>
      <c r="C7078" t="str">
        <f>IFERROR(__xludf.DUMMYFUNCTION("""COMPUTED_VALUE"""),"Autohak")</f>
        <v>Autohak</v>
      </c>
    </row>
    <row r="7079">
      <c r="A7079" t="str">
        <f>IFERROR(__xludf.DUMMYFUNCTION("""COMPUTED_VALUE"""),"A35")</f>
        <v>A35</v>
      </c>
      <c r="B7079" s="226" t="str">
        <f>IFERROR(__xludf.DUMMYFUNCTION("""COMPUTED_VALUE"""),"01275")</f>
        <v>01275</v>
      </c>
      <c r="C7079" t="str">
        <f>IFERROR(__xludf.DUMMYFUNCTION("""COMPUTED_VALUE"""),"Autohak")</f>
        <v>Autohak</v>
      </c>
    </row>
    <row r="7080">
      <c r="A7080" t="str">
        <f>IFERROR(__xludf.DUMMYFUNCTION("""COMPUTED_VALUE"""),"A35A")</f>
        <v>A35A</v>
      </c>
      <c r="B7080" s="226" t="str">
        <f>IFERROR(__xludf.DUMMYFUNCTION("""COMPUTED_VALUE"""),"02746")</f>
        <v>02746</v>
      </c>
      <c r="C7080" t="str">
        <f>IFERROR(__xludf.DUMMYFUNCTION("""COMPUTED_VALUE"""),"Autohak")</f>
        <v>Autohak</v>
      </c>
    </row>
    <row r="7081">
      <c r="A7081" t="str">
        <f>IFERROR(__xludf.DUMMYFUNCTION("""COMPUTED_VALUE"""),"A35V")</f>
        <v>A35V</v>
      </c>
      <c r="B7081" s="226" t="str">
        <f>IFERROR(__xludf.DUMMYFUNCTION("""COMPUTED_VALUE"""),"02845")</f>
        <v>02845</v>
      </c>
      <c r="C7081" t="str">
        <f>IFERROR(__xludf.DUMMYFUNCTION("""COMPUTED_VALUE"""),"Autohak")</f>
        <v>Autohak</v>
      </c>
    </row>
    <row r="7082">
      <c r="A7082" t="str">
        <f>IFERROR(__xludf.DUMMYFUNCTION("""COMPUTED_VALUE"""),"A34")</f>
        <v>A34</v>
      </c>
      <c r="B7082" s="226" t="str">
        <f>IFERROR(__xludf.DUMMYFUNCTION("""COMPUTED_VALUE"""),"01268")</f>
        <v>01268</v>
      </c>
      <c r="C7082" t="str">
        <f>IFERROR(__xludf.DUMMYFUNCTION("""COMPUTED_VALUE"""),"Autohak")</f>
        <v>Autohak</v>
      </c>
    </row>
    <row r="7083">
      <c r="A7083" t="str">
        <f>IFERROR(__xludf.DUMMYFUNCTION("""COMPUTED_VALUE"""),"A34A")</f>
        <v>A34A</v>
      </c>
      <c r="B7083" s="226" t="str">
        <f>IFERROR(__xludf.DUMMYFUNCTION("""COMPUTED_VALUE"""),"02739")</f>
        <v>02739</v>
      </c>
      <c r="C7083" t="str">
        <f>IFERROR(__xludf.DUMMYFUNCTION("""COMPUTED_VALUE"""),"Autohak")</f>
        <v>Autohak</v>
      </c>
    </row>
    <row r="7084">
      <c r="A7084" t="str">
        <f>IFERROR(__xludf.DUMMYFUNCTION("""COMPUTED_VALUE"""),"A34V")</f>
        <v>A34V</v>
      </c>
      <c r="B7084" s="226" t="str">
        <f>IFERROR(__xludf.DUMMYFUNCTION("""COMPUTED_VALUE"""),"02852")</f>
        <v>02852</v>
      </c>
      <c r="C7084" t="str">
        <f>IFERROR(__xludf.DUMMYFUNCTION("""COMPUTED_VALUE"""),"Autohak")</f>
        <v>Autohak</v>
      </c>
    </row>
    <row r="7085">
      <c r="A7085" t="str">
        <f>IFERROR(__xludf.DUMMYFUNCTION("""COMPUTED_VALUE"""),"A08")</f>
        <v>A08</v>
      </c>
      <c r="B7085" s="226" t="str">
        <f>IFERROR(__xludf.DUMMYFUNCTION("""COMPUTED_VALUE"""),"01077")</f>
        <v>01077</v>
      </c>
      <c r="C7085" t="str">
        <f>IFERROR(__xludf.DUMMYFUNCTION("""COMPUTED_VALUE"""),"Autohak")</f>
        <v>Autohak</v>
      </c>
    </row>
    <row r="7086">
      <c r="A7086" t="str">
        <f>IFERROR(__xludf.DUMMYFUNCTION("""COMPUTED_VALUE"""),"A08A")</f>
        <v>A08A</v>
      </c>
      <c r="B7086" s="226" t="str">
        <f>IFERROR(__xludf.DUMMYFUNCTION("""COMPUTED_VALUE"""),"02579")</f>
        <v>02579</v>
      </c>
      <c r="C7086" t="str">
        <f>IFERROR(__xludf.DUMMYFUNCTION("""COMPUTED_VALUE"""),"Autohak")</f>
        <v>Autohak</v>
      </c>
    </row>
    <row r="7087">
      <c r="A7087" t="str">
        <f>IFERROR(__xludf.DUMMYFUNCTION("""COMPUTED_VALUE"""),"A18")</f>
        <v>A18</v>
      </c>
      <c r="B7087" s="226" t="str">
        <f>IFERROR(__xludf.DUMMYFUNCTION("""COMPUTED_VALUE"""),"01084")</f>
        <v>01084</v>
      </c>
      <c r="C7087" t="str">
        <f>IFERROR(__xludf.DUMMYFUNCTION("""COMPUTED_VALUE"""),"Autohak")</f>
        <v>Autohak</v>
      </c>
    </row>
    <row r="7088">
      <c r="A7088" t="str">
        <f>IFERROR(__xludf.DUMMYFUNCTION("""COMPUTED_VALUE"""),"A18A")</f>
        <v>A18A</v>
      </c>
      <c r="B7088" s="226" t="str">
        <f>IFERROR(__xludf.DUMMYFUNCTION("""COMPUTED_VALUE"""),"02586")</f>
        <v>02586</v>
      </c>
      <c r="C7088" t="str">
        <f>IFERROR(__xludf.DUMMYFUNCTION("""COMPUTED_VALUE"""),"Autohak")</f>
        <v>Autohak</v>
      </c>
    </row>
    <row r="7089">
      <c r="A7089" t="str">
        <f>IFERROR(__xludf.DUMMYFUNCTION("""COMPUTED_VALUE"""),"A18V")</f>
        <v>A18V</v>
      </c>
      <c r="B7089" s="226" t="str">
        <f>IFERROR(__xludf.DUMMYFUNCTION("""COMPUTED_VALUE"""),"02999")</f>
        <v>02999</v>
      </c>
      <c r="C7089" t="str">
        <f>IFERROR(__xludf.DUMMYFUNCTION("""COMPUTED_VALUE"""),"Autohak")</f>
        <v>Autohak</v>
      </c>
    </row>
    <row r="7090">
      <c r="A7090" t="str">
        <f>IFERROR(__xludf.DUMMYFUNCTION("""COMPUTED_VALUE"""),"A18")</f>
        <v>A18</v>
      </c>
      <c r="B7090" s="226" t="str">
        <f>IFERROR(__xludf.DUMMYFUNCTION("""COMPUTED_VALUE"""),"01084")</f>
        <v>01084</v>
      </c>
      <c r="C7090" t="str">
        <f>IFERROR(__xludf.DUMMYFUNCTION("""COMPUTED_VALUE"""),"Autohak")</f>
        <v>Autohak</v>
      </c>
    </row>
    <row r="7091">
      <c r="A7091" t="str">
        <f>IFERROR(__xludf.DUMMYFUNCTION("""COMPUTED_VALUE"""),"A18A")</f>
        <v>A18A</v>
      </c>
      <c r="B7091" s="226" t="str">
        <f>IFERROR(__xludf.DUMMYFUNCTION("""COMPUTED_VALUE"""),"02586")</f>
        <v>02586</v>
      </c>
      <c r="C7091" t="str">
        <f>IFERROR(__xludf.DUMMYFUNCTION("""COMPUTED_VALUE"""),"Autohak")</f>
        <v>Autohak</v>
      </c>
    </row>
    <row r="7092">
      <c r="A7092" t="str">
        <f>IFERROR(__xludf.DUMMYFUNCTION("""COMPUTED_VALUE"""),"A18V")</f>
        <v>A18V</v>
      </c>
      <c r="B7092" s="226" t="str">
        <f>IFERROR(__xludf.DUMMYFUNCTION("""COMPUTED_VALUE"""),"02999")</f>
        <v>02999</v>
      </c>
      <c r="C7092" t="str">
        <f>IFERROR(__xludf.DUMMYFUNCTION("""COMPUTED_VALUE"""),"Autohak")</f>
        <v>Autohak</v>
      </c>
    </row>
    <row r="7093">
      <c r="A7093" t="str">
        <f>IFERROR(__xludf.DUMMYFUNCTION("""COMPUTED_VALUE"""),"A23")</f>
        <v>A23</v>
      </c>
      <c r="B7093" s="226" t="str">
        <f>IFERROR(__xludf.DUMMYFUNCTION("""COMPUTED_VALUE"""),"01145")</f>
        <v>01145</v>
      </c>
      <c r="C7093" t="str">
        <f>IFERROR(__xludf.DUMMYFUNCTION("""COMPUTED_VALUE"""),"Autohak")</f>
        <v>Autohak</v>
      </c>
    </row>
    <row r="7094">
      <c r="A7094" t="str">
        <f>IFERROR(__xludf.DUMMYFUNCTION("""COMPUTED_VALUE"""),"A23A")</f>
        <v>A23A</v>
      </c>
      <c r="B7094" s="226" t="str">
        <f>IFERROR(__xludf.DUMMYFUNCTION("""COMPUTED_VALUE"""),"02647")</f>
        <v>02647</v>
      </c>
      <c r="C7094" t="str">
        <f>IFERROR(__xludf.DUMMYFUNCTION("""COMPUTED_VALUE"""),"Autohak")</f>
        <v>Autohak</v>
      </c>
    </row>
    <row r="7095">
      <c r="A7095" t="str">
        <f>IFERROR(__xludf.DUMMYFUNCTION("""COMPUTED_VALUE"""),"A23V")</f>
        <v>A23V</v>
      </c>
      <c r="B7095" s="226" t="str">
        <f>IFERROR(__xludf.DUMMYFUNCTION("""COMPUTED_VALUE"""),"02913")</f>
        <v>02913</v>
      </c>
      <c r="C7095" t="str">
        <f>IFERROR(__xludf.DUMMYFUNCTION("""COMPUTED_VALUE"""),"Autohak")</f>
        <v>Autohak</v>
      </c>
    </row>
    <row r="7096">
      <c r="A7096" t="str">
        <f>IFERROR(__xludf.DUMMYFUNCTION("""COMPUTED_VALUE"""),"A35")</f>
        <v>A35</v>
      </c>
      <c r="B7096" s="226" t="str">
        <f>IFERROR(__xludf.DUMMYFUNCTION("""COMPUTED_VALUE"""),"01275")</f>
        <v>01275</v>
      </c>
      <c r="C7096" t="str">
        <f>IFERROR(__xludf.DUMMYFUNCTION("""COMPUTED_VALUE"""),"Autohak")</f>
        <v>Autohak</v>
      </c>
    </row>
    <row r="7097">
      <c r="A7097" t="str">
        <f>IFERROR(__xludf.DUMMYFUNCTION("""COMPUTED_VALUE"""),"A35A")</f>
        <v>A35A</v>
      </c>
      <c r="B7097" s="226" t="str">
        <f>IFERROR(__xludf.DUMMYFUNCTION("""COMPUTED_VALUE"""),"02746")</f>
        <v>02746</v>
      </c>
      <c r="C7097" t="str">
        <f>IFERROR(__xludf.DUMMYFUNCTION("""COMPUTED_VALUE"""),"Autohak")</f>
        <v>Autohak</v>
      </c>
    </row>
    <row r="7098">
      <c r="A7098" t="str">
        <f>IFERROR(__xludf.DUMMYFUNCTION("""COMPUTED_VALUE"""),"A35V")</f>
        <v>A35V</v>
      </c>
      <c r="B7098" s="226" t="str">
        <f>IFERROR(__xludf.DUMMYFUNCTION("""COMPUTED_VALUE"""),"02845")</f>
        <v>02845</v>
      </c>
      <c r="C7098" t="str">
        <f>IFERROR(__xludf.DUMMYFUNCTION("""COMPUTED_VALUE"""),"Autohak")</f>
        <v>Autohak</v>
      </c>
    </row>
    <row r="7099">
      <c r="A7099" t="str">
        <f>IFERROR(__xludf.DUMMYFUNCTION("""COMPUTED_VALUE"""),"A34")</f>
        <v>A34</v>
      </c>
      <c r="B7099" s="226" t="str">
        <f>IFERROR(__xludf.DUMMYFUNCTION("""COMPUTED_VALUE"""),"01268")</f>
        <v>01268</v>
      </c>
      <c r="C7099" t="str">
        <f>IFERROR(__xludf.DUMMYFUNCTION("""COMPUTED_VALUE"""),"Autohak")</f>
        <v>Autohak</v>
      </c>
    </row>
    <row r="7100">
      <c r="A7100" t="str">
        <f>IFERROR(__xludf.DUMMYFUNCTION("""COMPUTED_VALUE"""),"A34A")</f>
        <v>A34A</v>
      </c>
      <c r="B7100" s="226" t="str">
        <f>IFERROR(__xludf.DUMMYFUNCTION("""COMPUTED_VALUE"""),"02739")</f>
        <v>02739</v>
      </c>
      <c r="C7100" t="str">
        <f>IFERROR(__xludf.DUMMYFUNCTION("""COMPUTED_VALUE"""),"Autohak")</f>
        <v>Autohak</v>
      </c>
    </row>
    <row r="7101">
      <c r="A7101" t="str">
        <f>IFERROR(__xludf.DUMMYFUNCTION("""COMPUTED_VALUE"""),"A34V")</f>
        <v>A34V</v>
      </c>
      <c r="B7101" s="226" t="str">
        <f>IFERROR(__xludf.DUMMYFUNCTION("""COMPUTED_VALUE"""),"02852")</f>
        <v>02852</v>
      </c>
      <c r="C7101" t="str">
        <f>IFERROR(__xludf.DUMMYFUNCTION("""COMPUTED_VALUE"""),"Autohak")</f>
        <v>Autohak</v>
      </c>
    </row>
    <row r="7102">
      <c r="A7102" t="str">
        <f>IFERROR(__xludf.DUMMYFUNCTION("""COMPUTED_VALUE"""),"A23")</f>
        <v>A23</v>
      </c>
      <c r="B7102" s="226" t="str">
        <f>IFERROR(__xludf.DUMMYFUNCTION("""COMPUTED_VALUE"""),"01145")</f>
        <v>01145</v>
      </c>
      <c r="C7102" t="str">
        <f>IFERROR(__xludf.DUMMYFUNCTION("""COMPUTED_VALUE"""),"Autohak")</f>
        <v>Autohak</v>
      </c>
    </row>
    <row r="7103">
      <c r="A7103" t="str">
        <f>IFERROR(__xludf.DUMMYFUNCTION("""COMPUTED_VALUE"""),"A23A")</f>
        <v>A23A</v>
      </c>
      <c r="B7103" s="226" t="str">
        <f>IFERROR(__xludf.DUMMYFUNCTION("""COMPUTED_VALUE"""),"02647")</f>
        <v>02647</v>
      </c>
      <c r="C7103" t="str">
        <f>IFERROR(__xludf.DUMMYFUNCTION("""COMPUTED_VALUE"""),"Autohak")</f>
        <v>Autohak</v>
      </c>
    </row>
    <row r="7104">
      <c r="A7104" t="str">
        <f>IFERROR(__xludf.DUMMYFUNCTION("""COMPUTED_VALUE"""),"A23V")</f>
        <v>A23V</v>
      </c>
      <c r="B7104" s="226" t="str">
        <f>IFERROR(__xludf.DUMMYFUNCTION("""COMPUTED_VALUE"""),"02913")</f>
        <v>02913</v>
      </c>
      <c r="C7104" t="str">
        <f>IFERROR(__xludf.DUMMYFUNCTION("""COMPUTED_VALUE"""),"Autohak")</f>
        <v>Autohak</v>
      </c>
    </row>
    <row r="7105">
      <c r="A7105" t="str">
        <f>IFERROR(__xludf.DUMMYFUNCTION("""COMPUTED_VALUE"""),"A05")</f>
        <v>A05</v>
      </c>
      <c r="B7105" s="226" t="str">
        <f>IFERROR(__xludf.DUMMYFUNCTION("""COMPUTED_VALUE"""),"01060")</f>
        <v>01060</v>
      </c>
      <c r="C7105" t="str">
        <f>IFERROR(__xludf.DUMMYFUNCTION("""COMPUTED_VALUE"""),"Autohak")</f>
        <v>Autohak</v>
      </c>
    </row>
    <row r="7106">
      <c r="A7106" t="str">
        <f>IFERROR(__xludf.DUMMYFUNCTION("""COMPUTED_VALUE"""),"A05A")</f>
        <v>A05A</v>
      </c>
      <c r="B7106" s="226" t="str">
        <f>IFERROR(__xludf.DUMMYFUNCTION("""COMPUTED_VALUE"""),"02562")</f>
        <v>02562</v>
      </c>
      <c r="C7106" t="str">
        <f>IFERROR(__xludf.DUMMYFUNCTION("""COMPUTED_VALUE"""),"Autohak")</f>
        <v>Autohak</v>
      </c>
    </row>
    <row r="7107">
      <c r="A7107" t="str">
        <f>IFERROR(__xludf.DUMMYFUNCTION("""COMPUTED_VALUE"""),"A19")</f>
        <v>A19</v>
      </c>
      <c r="B7107" s="226" t="str">
        <f>IFERROR(__xludf.DUMMYFUNCTION("""COMPUTED_VALUE"""),"01091")</f>
        <v>01091</v>
      </c>
      <c r="C7107" t="str">
        <f>IFERROR(__xludf.DUMMYFUNCTION("""COMPUTED_VALUE"""),"Autohak")</f>
        <v>Autohak</v>
      </c>
    </row>
    <row r="7108">
      <c r="A7108" t="str">
        <f>IFERROR(__xludf.DUMMYFUNCTION("""COMPUTED_VALUE"""),"A19A")</f>
        <v>A19A</v>
      </c>
      <c r="B7108" s="226" t="str">
        <f>IFERROR(__xludf.DUMMYFUNCTION("""COMPUTED_VALUE"""),"02593")</f>
        <v>02593</v>
      </c>
      <c r="C7108" t="str">
        <f>IFERROR(__xludf.DUMMYFUNCTION("""COMPUTED_VALUE"""),"Autohak")</f>
        <v>Autohak</v>
      </c>
    </row>
    <row r="7109">
      <c r="A7109" t="str">
        <f>IFERROR(__xludf.DUMMYFUNCTION("""COMPUTED_VALUE"""),"A19V")</f>
        <v>A19V</v>
      </c>
      <c r="B7109" s="226" t="str">
        <f>IFERROR(__xludf.DUMMYFUNCTION("""COMPUTED_VALUE"""),"02982")</f>
        <v>02982</v>
      </c>
      <c r="C7109" t="str">
        <f>IFERROR(__xludf.DUMMYFUNCTION("""COMPUTED_VALUE"""),"Autohak")</f>
        <v>Autohak</v>
      </c>
    </row>
    <row r="7110">
      <c r="A7110" t="str">
        <f>IFERROR(__xludf.DUMMYFUNCTION("""COMPUTED_VALUE"""),"A21")</f>
        <v>A21</v>
      </c>
      <c r="B7110" s="226" t="str">
        <f>IFERROR(__xludf.DUMMYFUNCTION("""COMPUTED_VALUE"""),"01121")</f>
        <v>01121</v>
      </c>
      <c r="C7110" t="str">
        <f>IFERROR(__xludf.DUMMYFUNCTION("""COMPUTED_VALUE"""),"Autohak")</f>
        <v>Autohak</v>
      </c>
    </row>
    <row r="7111">
      <c r="A7111" t="str">
        <f>IFERROR(__xludf.DUMMYFUNCTION("""COMPUTED_VALUE"""),"A21A")</f>
        <v>A21A</v>
      </c>
      <c r="B7111" s="226" t="str">
        <f>IFERROR(__xludf.DUMMYFUNCTION("""COMPUTED_VALUE"""),"02623")</f>
        <v>02623</v>
      </c>
      <c r="C7111" t="str">
        <f>IFERROR(__xludf.DUMMYFUNCTION("""COMPUTED_VALUE"""),"Autohak")</f>
        <v>Autohak</v>
      </c>
    </row>
    <row r="7112">
      <c r="A7112" t="str">
        <f>IFERROR(__xludf.DUMMYFUNCTION("""COMPUTED_VALUE"""),"A21V")</f>
        <v>A21V</v>
      </c>
      <c r="B7112" s="226" t="str">
        <f>IFERROR(__xludf.DUMMYFUNCTION("""COMPUTED_VALUE"""),"02975")</f>
        <v>02975</v>
      </c>
      <c r="C7112" t="str">
        <f>IFERROR(__xludf.DUMMYFUNCTION("""COMPUTED_VALUE"""),"Autohak")</f>
        <v>Autohak</v>
      </c>
    </row>
    <row r="7113">
      <c r="A7113" t="str">
        <f>IFERROR(__xludf.DUMMYFUNCTION("""COMPUTED_VALUE"""),"A30")</f>
        <v>A30</v>
      </c>
      <c r="B7113" s="226" t="str">
        <f>IFERROR(__xludf.DUMMYFUNCTION("""COMPUTED_VALUE"""),"01213")</f>
        <v>01213</v>
      </c>
      <c r="C7113" t="str">
        <f>IFERROR(__xludf.DUMMYFUNCTION("""COMPUTED_VALUE"""),"Autohak")</f>
        <v>Autohak</v>
      </c>
    </row>
    <row r="7114">
      <c r="A7114" t="str">
        <f>IFERROR(__xludf.DUMMYFUNCTION("""COMPUTED_VALUE"""),"A30A")</f>
        <v>A30A</v>
      </c>
      <c r="B7114" s="226" t="str">
        <f>IFERROR(__xludf.DUMMYFUNCTION("""COMPUTED_VALUE"""),"02708")</f>
        <v>02708</v>
      </c>
      <c r="C7114" t="str">
        <f>IFERROR(__xludf.DUMMYFUNCTION("""COMPUTED_VALUE"""),"Autohak")</f>
        <v>Autohak</v>
      </c>
    </row>
    <row r="7115">
      <c r="A7115" t="str">
        <f>IFERROR(__xludf.DUMMYFUNCTION("""COMPUTED_VALUE"""),"A30V")</f>
        <v>A30V</v>
      </c>
      <c r="B7115" s="226" t="str">
        <f>IFERROR(__xludf.DUMMYFUNCTION("""COMPUTED_VALUE"""),"02890")</f>
        <v>02890</v>
      </c>
      <c r="C7115" t="str">
        <f>IFERROR(__xludf.DUMMYFUNCTION("""COMPUTED_VALUE"""),"Autohak")</f>
        <v>Autohak</v>
      </c>
    </row>
    <row r="7116">
      <c r="A7116" t="str">
        <f>IFERROR(__xludf.DUMMYFUNCTION("""COMPUTED_VALUE"""),"A30")</f>
        <v>A30</v>
      </c>
      <c r="B7116" s="226" t="str">
        <f>IFERROR(__xludf.DUMMYFUNCTION("""COMPUTED_VALUE"""),"01213")</f>
        <v>01213</v>
      </c>
      <c r="C7116" t="str">
        <f>IFERROR(__xludf.DUMMYFUNCTION("""COMPUTED_VALUE"""),"Autohak")</f>
        <v>Autohak</v>
      </c>
    </row>
    <row r="7117">
      <c r="A7117" t="str">
        <f>IFERROR(__xludf.DUMMYFUNCTION("""COMPUTED_VALUE"""),"A30A")</f>
        <v>A30A</v>
      </c>
      <c r="B7117" s="226" t="str">
        <f>IFERROR(__xludf.DUMMYFUNCTION("""COMPUTED_VALUE"""),"02708")</f>
        <v>02708</v>
      </c>
      <c r="C7117" t="str">
        <f>IFERROR(__xludf.DUMMYFUNCTION("""COMPUTED_VALUE"""),"Autohak")</f>
        <v>Autohak</v>
      </c>
    </row>
    <row r="7118">
      <c r="A7118" t="str">
        <f>IFERROR(__xludf.DUMMYFUNCTION("""COMPUTED_VALUE"""),"A30V")</f>
        <v>A30V</v>
      </c>
      <c r="B7118" s="226" t="str">
        <f>IFERROR(__xludf.DUMMYFUNCTION("""COMPUTED_VALUE"""),"02890")</f>
        <v>02890</v>
      </c>
      <c r="C7118" t="str">
        <f>IFERROR(__xludf.DUMMYFUNCTION("""COMPUTED_VALUE"""),"Autohak")</f>
        <v>Autohak</v>
      </c>
    </row>
    <row r="7119">
      <c r="A7119" t="str">
        <f>IFERROR(__xludf.DUMMYFUNCTION("""COMPUTED_VALUE"""),"A05")</f>
        <v>A05</v>
      </c>
      <c r="B7119" s="226" t="str">
        <f>IFERROR(__xludf.DUMMYFUNCTION("""COMPUTED_VALUE"""),"01060")</f>
        <v>01060</v>
      </c>
      <c r="C7119" t="str">
        <f>IFERROR(__xludf.DUMMYFUNCTION("""COMPUTED_VALUE"""),"Autohak")</f>
        <v>Autohak</v>
      </c>
    </row>
    <row r="7120">
      <c r="A7120" t="str">
        <f>IFERROR(__xludf.DUMMYFUNCTION("""COMPUTED_VALUE"""),"A05A")</f>
        <v>A05A</v>
      </c>
      <c r="B7120" s="226" t="str">
        <f>IFERROR(__xludf.DUMMYFUNCTION("""COMPUTED_VALUE"""),"02562")</f>
        <v>02562</v>
      </c>
      <c r="C7120" t="str">
        <f>IFERROR(__xludf.DUMMYFUNCTION("""COMPUTED_VALUE"""),"Autohak")</f>
        <v>Autohak</v>
      </c>
    </row>
    <row r="7121">
      <c r="A7121" t="str">
        <f>IFERROR(__xludf.DUMMYFUNCTION("""COMPUTED_VALUE"""),"A19")</f>
        <v>A19</v>
      </c>
      <c r="B7121" s="226" t="str">
        <f>IFERROR(__xludf.DUMMYFUNCTION("""COMPUTED_VALUE"""),"01091")</f>
        <v>01091</v>
      </c>
      <c r="C7121" t="str">
        <f>IFERROR(__xludf.DUMMYFUNCTION("""COMPUTED_VALUE"""),"Autohak")</f>
        <v>Autohak</v>
      </c>
    </row>
    <row r="7122">
      <c r="A7122" t="str">
        <f>IFERROR(__xludf.DUMMYFUNCTION("""COMPUTED_VALUE"""),"A19A")</f>
        <v>A19A</v>
      </c>
      <c r="B7122" s="226" t="str">
        <f>IFERROR(__xludf.DUMMYFUNCTION("""COMPUTED_VALUE"""),"02593")</f>
        <v>02593</v>
      </c>
      <c r="C7122" t="str">
        <f>IFERROR(__xludf.DUMMYFUNCTION("""COMPUTED_VALUE"""),"Autohak")</f>
        <v>Autohak</v>
      </c>
    </row>
    <row r="7123">
      <c r="A7123" t="str">
        <f>IFERROR(__xludf.DUMMYFUNCTION("""COMPUTED_VALUE"""),"A19V")</f>
        <v>A19V</v>
      </c>
      <c r="B7123" s="226" t="str">
        <f>IFERROR(__xludf.DUMMYFUNCTION("""COMPUTED_VALUE"""),"02982")</f>
        <v>02982</v>
      </c>
      <c r="C7123" t="str">
        <f>IFERROR(__xludf.DUMMYFUNCTION("""COMPUTED_VALUE"""),"Autohak")</f>
        <v>Autohak</v>
      </c>
    </row>
    <row r="7124">
      <c r="A7124" t="str">
        <f>IFERROR(__xludf.DUMMYFUNCTION("""COMPUTED_VALUE"""),"A21")</f>
        <v>A21</v>
      </c>
      <c r="B7124" s="226" t="str">
        <f>IFERROR(__xludf.DUMMYFUNCTION("""COMPUTED_VALUE"""),"01121")</f>
        <v>01121</v>
      </c>
      <c r="C7124" t="str">
        <f>IFERROR(__xludf.DUMMYFUNCTION("""COMPUTED_VALUE"""),"Autohak")</f>
        <v>Autohak</v>
      </c>
    </row>
    <row r="7125">
      <c r="A7125" t="str">
        <f>IFERROR(__xludf.DUMMYFUNCTION("""COMPUTED_VALUE"""),"A21A")</f>
        <v>A21A</v>
      </c>
      <c r="B7125" s="226" t="str">
        <f>IFERROR(__xludf.DUMMYFUNCTION("""COMPUTED_VALUE"""),"02623")</f>
        <v>02623</v>
      </c>
      <c r="C7125" t="str">
        <f>IFERROR(__xludf.DUMMYFUNCTION("""COMPUTED_VALUE"""),"Autohak")</f>
        <v>Autohak</v>
      </c>
    </row>
    <row r="7126">
      <c r="A7126" t="str">
        <f>IFERROR(__xludf.DUMMYFUNCTION("""COMPUTED_VALUE"""),"A21V")</f>
        <v>A21V</v>
      </c>
      <c r="B7126" s="226" t="str">
        <f>IFERROR(__xludf.DUMMYFUNCTION("""COMPUTED_VALUE"""),"02975")</f>
        <v>02975</v>
      </c>
      <c r="C7126" t="str">
        <f>IFERROR(__xludf.DUMMYFUNCTION("""COMPUTED_VALUE"""),"Autohak")</f>
        <v>Autohak</v>
      </c>
    </row>
    <row r="7127">
      <c r="A7127" t="str">
        <f>IFERROR(__xludf.DUMMYFUNCTION("""COMPUTED_VALUE"""),"A30")</f>
        <v>A30</v>
      </c>
      <c r="B7127" s="226" t="str">
        <f>IFERROR(__xludf.DUMMYFUNCTION("""COMPUTED_VALUE"""),"01213")</f>
        <v>01213</v>
      </c>
      <c r="C7127" t="str">
        <f>IFERROR(__xludf.DUMMYFUNCTION("""COMPUTED_VALUE"""),"Autohak")</f>
        <v>Autohak</v>
      </c>
    </row>
    <row r="7128">
      <c r="A7128" t="str">
        <f>IFERROR(__xludf.DUMMYFUNCTION("""COMPUTED_VALUE"""),"A30A")</f>
        <v>A30A</v>
      </c>
      <c r="B7128" s="226" t="str">
        <f>IFERROR(__xludf.DUMMYFUNCTION("""COMPUTED_VALUE"""),"02708")</f>
        <v>02708</v>
      </c>
      <c r="C7128" t="str">
        <f>IFERROR(__xludf.DUMMYFUNCTION("""COMPUTED_VALUE"""),"Autohak")</f>
        <v>Autohak</v>
      </c>
    </row>
    <row r="7129">
      <c r="A7129" t="str">
        <f>IFERROR(__xludf.DUMMYFUNCTION("""COMPUTED_VALUE"""),"A30V")</f>
        <v>A30V</v>
      </c>
      <c r="B7129" s="226" t="str">
        <f>IFERROR(__xludf.DUMMYFUNCTION("""COMPUTED_VALUE"""),"02890")</f>
        <v>02890</v>
      </c>
      <c r="C7129" t="str">
        <f>IFERROR(__xludf.DUMMYFUNCTION("""COMPUTED_VALUE"""),"Autohak")</f>
        <v>Autohak</v>
      </c>
    </row>
    <row r="7130">
      <c r="A7130" t="str">
        <f>IFERROR(__xludf.DUMMYFUNCTION("""COMPUTED_VALUE"""),"A30")</f>
        <v>A30</v>
      </c>
      <c r="B7130" s="226" t="str">
        <f>IFERROR(__xludf.DUMMYFUNCTION("""COMPUTED_VALUE"""),"01213")</f>
        <v>01213</v>
      </c>
      <c r="C7130" t="str">
        <f>IFERROR(__xludf.DUMMYFUNCTION("""COMPUTED_VALUE"""),"Autohak")</f>
        <v>Autohak</v>
      </c>
    </row>
    <row r="7131">
      <c r="A7131" t="str">
        <f>IFERROR(__xludf.DUMMYFUNCTION("""COMPUTED_VALUE"""),"A30A")</f>
        <v>A30A</v>
      </c>
      <c r="B7131" s="226" t="str">
        <f>IFERROR(__xludf.DUMMYFUNCTION("""COMPUTED_VALUE"""),"02708")</f>
        <v>02708</v>
      </c>
      <c r="C7131" t="str">
        <f>IFERROR(__xludf.DUMMYFUNCTION("""COMPUTED_VALUE"""),"Autohak")</f>
        <v>Autohak</v>
      </c>
    </row>
    <row r="7132">
      <c r="A7132" t="str">
        <f>IFERROR(__xludf.DUMMYFUNCTION("""COMPUTED_VALUE"""),"A30V")</f>
        <v>A30V</v>
      </c>
      <c r="B7132" s="226" t="str">
        <f>IFERROR(__xludf.DUMMYFUNCTION("""COMPUTED_VALUE"""),"02890")</f>
        <v>02890</v>
      </c>
      <c r="C7132" t="str">
        <f>IFERROR(__xludf.DUMMYFUNCTION("""COMPUTED_VALUE"""),"Autohak")</f>
        <v>Autohak</v>
      </c>
    </row>
    <row r="7133">
      <c r="A7133" t="str">
        <f>IFERROR(__xludf.DUMMYFUNCTION("""COMPUTED_VALUE"""),"A20")</f>
        <v>A20</v>
      </c>
      <c r="B7133" s="226" t="str">
        <f>IFERROR(__xludf.DUMMYFUNCTION("""COMPUTED_VALUE"""),"01107")</f>
        <v>01107</v>
      </c>
      <c r="C7133" t="str">
        <f>IFERROR(__xludf.DUMMYFUNCTION("""COMPUTED_VALUE"""),"Autohak")</f>
        <v>Autohak</v>
      </c>
    </row>
    <row r="7134">
      <c r="A7134" t="str">
        <f>IFERROR(__xludf.DUMMYFUNCTION("""COMPUTED_VALUE"""),"A20A")</f>
        <v>A20A</v>
      </c>
      <c r="B7134" s="226" t="str">
        <f>IFERROR(__xludf.DUMMYFUNCTION("""COMPUTED_VALUE"""),"02609")</f>
        <v>02609</v>
      </c>
      <c r="C7134" t="str">
        <f>IFERROR(__xludf.DUMMYFUNCTION("""COMPUTED_VALUE"""),"Autohak")</f>
        <v>Autohak</v>
      </c>
    </row>
    <row r="7135">
      <c r="A7135" t="str">
        <f>IFERROR(__xludf.DUMMYFUNCTION("""COMPUTED_VALUE"""),"A20V")</f>
        <v>A20V</v>
      </c>
      <c r="B7135" s="226" t="str">
        <f>IFERROR(__xludf.DUMMYFUNCTION("""COMPUTED_VALUE"""),"02937")</f>
        <v>02937</v>
      </c>
      <c r="C7135" t="str">
        <f>IFERROR(__xludf.DUMMYFUNCTION("""COMPUTED_VALUE"""),"Autohak")</f>
        <v>Autohak</v>
      </c>
    </row>
    <row r="7136">
      <c r="A7136" t="str">
        <f>IFERROR(__xludf.DUMMYFUNCTION("""COMPUTED_VALUE"""),"A28")</f>
        <v>A28</v>
      </c>
      <c r="B7136" s="226" t="str">
        <f>IFERROR(__xludf.DUMMYFUNCTION("""COMPUTED_VALUE"""),"01190")</f>
        <v>01190</v>
      </c>
      <c r="C7136" t="str">
        <f>IFERROR(__xludf.DUMMYFUNCTION("""COMPUTED_VALUE"""),"Autohak")</f>
        <v>Autohak</v>
      </c>
    </row>
    <row r="7137">
      <c r="A7137" t="str">
        <f>IFERROR(__xludf.DUMMYFUNCTION("""COMPUTED_VALUE"""),"A28A")</f>
        <v>A28A</v>
      </c>
      <c r="B7137" s="226" t="str">
        <f>IFERROR(__xludf.DUMMYFUNCTION("""COMPUTED_VALUE"""),"02685")</f>
        <v>02685</v>
      </c>
      <c r="C7137" t="str">
        <f>IFERROR(__xludf.DUMMYFUNCTION("""COMPUTED_VALUE"""),"Autohak")</f>
        <v>Autohak</v>
      </c>
    </row>
    <row r="7138">
      <c r="A7138" t="str">
        <f>IFERROR(__xludf.DUMMYFUNCTION("""COMPUTED_VALUE"""),"A28V")</f>
        <v>A28V</v>
      </c>
      <c r="B7138" s="226" t="str">
        <f>IFERROR(__xludf.DUMMYFUNCTION("""COMPUTED_VALUE"""),"02944")</f>
        <v>02944</v>
      </c>
      <c r="C7138" t="str">
        <f>IFERROR(__xludf.DUMMYFUNCTION("""COMPUTED_VALUE"""),"Autohak")</f>
        <v>Autohak</v>
      </c>
    </row>
    <row r="7139">
      <c r="A7139" t="str">
        <f>IFERROR(__xludf.DUMMYFUNCTION("""COMPUTED_VALUE"""),"A30")</f>
        <v>A30</v>
      </c>
      <c r="B7139" s="226" t="str">
        <f>IFERROR(__xludf.DUMMYFUNCTION("""COMPUTED_VALUE"""),"01213")</f>
        <v>01213</v>
      </c>
      <c r="C7139" t="str">
        <f>IFERROR(__xludf.DUMMYFUNCTION("""COMPUTED_VALUE"""),"Autohak")</f>
        <v>Autohak</v>
      </c>
    </row>
    <row r="7140">
      <c r="A7140" t="str">
        <f>IFERROR(__xludf.DUMMYFUNCTION("""COMPUTED_VALUE"""),"A30A")</f>
        <v>A30A</v>
      </c>
      <c r="B7140" s="226" t="str">
        <f>IFERROR(__xludf.DUMMYFUNCTION("""COMPUTED_VALUE"""),"02708")</f>
        <v>02708</v>
      </c>
      <c r="C7140" t="str">
        <f>IFERROR(__xludf.DUMMYFUNCTION("""COMPUTED_VALUE"""),"Autohak")</f>
        <v>Autohak</v>
      </c>
    </row>
    <row r="7141">
      <c r="A7141" t="str">
        <f>IFERROR(__xludf.DUMMYFUNCTION("""COMPUTED_VALUE"""),"A30V")</f>
        <v>A30V</v>
      </c>
      <c r="B7141" s="226" t="str">
        <f>IFERROR(__xludf.DUMMYFUNCTION("""COMPUTED_VALUE"""),"02890")</f>
        <v>02890</v>
      </c>
      <c r="C7141" t="str">
        <f>IFERROR(__xludf.DUMMYFUNCTION("""COMPUTED_VALUE"""),"Autohak")</f>
        <v>Autohak</v>
      </c>
    </row>
    <row r="7142">
      <c r="A7142" t="str">
        <f>IFERROR(__xludf.DUMMYFUNCTION("""COMPUTED_VALUE"""),"A30")</f>
        <v>A30</v>
      </c>
      <c r="B7142" s="226" t="str">
        <f>IFERROR(__xludf.DUMMYFUNCTION("""COMPUTED_VALUE"""),"01213")</f>
        <v>01213</v>
      </c>
      <c r="C7142" t="str">
        <f>IFERROR(__xludf.DUMMYFUNCTION("""COMPUTED_VALUE"""),"Autohak")</f>
        <v>Autohak</v>
      </c>
    </row>
    <row r="7143">
      <c r="A7143" t="str">
        <f>IFERROR(__xludf.DUMMYFUNCTION("""COMPUTED_VALUE"""),"A30A")</f>
        <v>A30A</v>
      </c>
      <c r="B7143" s="226" t="str">
        <f>IFERROR(__xludf.DUMMYFUNCTION("""COMPUTED_VALUE"""),"02708")</f>
        <v>02708</v>
      </c>
      <c r="C7143" t="str">
        <f>IFERROR(__xludf.DUMMYFUNCTION("""COMPUTED_VALUE"""),"Autohak")</f>
        <v>Autohak</v>
      </c>
    </row>
    <row r="7144">
      <c r="A7144" t="str">
        <f>IFERROR(__xludf.DUMMYFUNCTION("""COMPUTED_VALUE"""),"A30V")</f>
        <v>A30V</v>
      </c>
      <c r="B7144" s="226" t="str">
        <f>IFERROR(__xludf.DUMMYFUNCTION("""COMPUTED_VALUE"""),"02890")</f>
        <v>02890</v>
      </c>
      <c r="C7144" t="str">
        <f>IFERROR(__xludf.DUMMYFUNCTION("""COMPUTED_VALUE"""),"Autohak")</f>
        <v>Autohak</v>
      </c>
    </row>
    <row r="7145">
      <c r="A7145" t="str">
        <f>IFERROR(__xludf.DUMMYFUNCTION("""COMPUTED_VALUE"""),"A17")</f>
        <v>A17</v>
      </c>
      <c r="B7145" s="226" t="str">
        <f>IFERROR(__xludf.DUMMYFUNCTION("""COMPUTED_VALUE"""),"01114")</f>
        <v>01114</v>
      </c>
      <c r="C7145" t="str">
        <f>IFERROR(__xludf.DUMMYFUNCTION("""COMPUTED_VALUE"""),"Autohak")</f>
        <v>Autohak</v>
      </c>
    </row>
    <row r="7146">
      <c r="A7146" t="str">
        <f>IFERROR(__xludf.DUMMYFUNCTION("""COMPUTED_VALUE"""),"A17A")</f>
        <v>A17A</v>
      </c>
      <c r="B7146" s="226" t="str">
        <f>IFERROR(__xludf.DUMMYFUNCTION("""COMPUTED_VALUE"""),"02616")</f>
        <v>02616</v>
      </c>
      <c r="C7146" t="str">
        <f>IFERROR(__xludf.DUMMYFUNCTION("""COMPUTED_VALUE"""),"Autohak")</f>
        <v>Autohak</v>
      </c>
    </row>
    <row r="7147">
      <c r="A7147" t="str">
        <f>IFERROR(__xludf.DUMMYFUNCTION("""COMPUTED_VALUE"""),"A27")</f>
        <v>A27</v>
      </c>
      <c r="B7147" s="226" t="str">
        <f>IFERROR(__xludf.DUMMYFUNCTION("""COMPUTED_VALUE"""),"01183")</f>
        <v>01183</v>
      </c>
      <c r="C7147" t="str">
        <f>IFERROR(__xludf.DUMMYFUNCTION("""COMPUTED_VALUE"""),"Autohak")</f>
        <v>Autohak</v>
      </c>
    </row>
    <row r="7148">
      <c r="A7148" t="str">
        <f>IFERROR(__xludf.DUMMYFUNCTION("""COMPUTED_VALUE"""),"A27A")</f>
        <v>A27A</v>
      </c>
      <c r="B7148" s="226" t="str">
        <f>IFERROR(__xludf.DUMMYFUNCTION("""COMPUTED_VALUE"""),"02678")</f>
        <v>02678</v>
      </c>
      <c r="C7148" t="str">
        <f>IFERROR(__xludf.DUMMYFUNCTION("""COMPUTED_VALUE"""),"Autohak")</f>
        <v>Autohak</v>
      </c>
    </row>
    <row r="7149">
      <c r="A7149" t="str">
        <f>IFERROR(__xludf.DUMMYFUNCTION("""COMPUTED_VALUE"""),"A27V")</f>
        <v>A27V</v>
      </c>
      <c r="B7149" s="226" t="str">
        <f>IFERROR(__xludf.DUMMYFUNCTION("""COMPUTED_VALUE"""),"02951")</f>
        <v>02951</v>
      </c>
      <c r="C7149" t="str">
        <f>IFERROR(__xludf.DUMMYFUNCTION("""COMPUTED_VALUE"""),"Autohak")</f>
        <v>Autohak</v>
      </c>
    </row>
    <row r="7150">
      <c r="A7150" t="str">
        <f>IFERROR(__xludf.DUMMYFUNCTION("""COMPUTED_VALUE"""),"A29")</f>
        <v>A29</v>
      </c>
      <c r="B7150" s="226" t="str">
        <f>IFERROR(__xludf.DUMMYFUNCTION("""COMPUTED_VALUE"""),"01206")</f>
        <v>01206</v>
      </c>
      <c r="C7150" t="str">
        <f>IFERROR(__xludf.DUMMYFUNCTION("""COMPUTED_VALUE"""),"Autohak")</f>
        <v>Autohak</v>
      </c>
    </row>
    <row r="7151">
      <c r="A7151" t="str">
        <f>IFERROR(__xludf.DUMMYFUNCTION("""COMPUTED_VALUE"""),"A29A")</f>
        <v>A29A</v>
      </c>
      <c r="B7151" s="226" t="str">
        <f>IFERROR(__xludf.DUMMYFUNCTION("""COMPUTED_VALUE"""),"02692")</f>
        <v>02692</v>
      </c>
      <c r="C7151" t="str">
        <f>IFERROR(__xludf.DUMMYFUNCTION("""COMPUTED_VALUE"""),"Autohak")</f>
        <v>Autohak</v>
      </c>
    </row>
    <row r="7152">
      <c r="A7152" t="str">
        <f>IFERROR(__xludf.DUMMYFUNCTION("""COMPUTED_VALUE"""),"A29V")</f>
        <v>A29V</v>
      </c>
      <c r="B7152" s="226" t="str">
        <f>IFERROR(__xludf.DUMMYFUNCTION("""COMPUTED_VALUE"""),"02906")</f>
        <v>02906</v>
      </c>
      <c r="C7152" t="str">
        <f>IFERROR(__xludf.DUMMYFUNCTION("""COMPUTED_VALUE"""),"Autohak")</f>
        <v>Autohak</v>
      </c>
    </row>
    <row r="7153">
      <c r="A7153" t="str">
        <f>IFERROR(__xludf.DUMMYFUNCTION("""COMPUTED_VALUE"""),"A36")</f>
        <v>A36</v>
      </c>
      <c r="B7153" s="226" t="str">
        <f>IFERROR(__xludf.DUMMYFUNCTION("""COMPUTED_VALUE"""),"01282")</f>
        <v>01282</v>
      </c>
      <c r="C7153" t="str">
        <f>IFERROR(__xludf.DUMMYFUNCTION("""COMPUTED_VALUE"""),"Autohak")</f>
        <v>Autohak</v>
      </c>
    </row>
    <row r="7154">
      <c r="A7154" t="str">
        <f>IFERROR(__xludf.DUMMYFUNCTION("""COMPUTED_VALUE"""),"A36A")</f>
        <v>A36A</v>
      </c>
      <c r="B7154" s="226" t="str">
        <f>IFERROR(__xludf.DUMMYFUNCTION("""COMPUTED_VALUE"""),"02753")</f>
        <v>02753</v>
      </c>
      <c r="C7154" t="str">
        <f>IFERROR(__xludf.DUMMYFUNCTION("""COMPUTED_VALUE"""),"Autohak")</f>
        <v>Autohak</v>
      </c>
    </row>
    <row r="7155">
      <c r="A7155" t="str">
        <f>IFERROR(__xludf.DUMMYFUNCTION("""COMPUTED_VALUE"""),"A36V")</f>
        <v>A36V</v>
      </c>
      <c r="B7155" s="226" t="str">
        <f>IFERROR(__xludf.DUMMYFUNCTION("""COMPUTED_VALUE"""),"02838")</f>
        <v>02838</v>
      </c>
      <c r="C7155" t="str">
        <f>IFERROR(__xludf.DUMMYFUNCTION("""COMPUTED_VALUE"""),"Autohak")</f>
        <v>Autohak</v>
      </c>
    </row>
    <row r="7156">
      <c r="A7156" t="str">
        <f>IFERROR(__xludf.DUMMYFUNCTION("""COMPUTED_VALUE"""),"A31")</f>
        <v>A31</v>
      </c>
      <c r="B7156" s="226" t="str">
        <f>IFERROR(__xludf.DUMMYFUNCTION("""COMPUTED_VALUE"""),"01220")</f>
        <v>01220</v>
      </c>
      <c r="C7156" t="str">
        <f>IFERROR(__xludf.DUMMYFUNCTION("""COMPUTED_VALUE"""),"Autohak")</f>
        <v>Autohak</v>
      </c>
    </row>
    <row r="7157">
      <c r="A7157" t="str">
        <f>IFERROR(__xludf.DUMMYFUNCTION("""COMPUTED_VALUE"""),"A31A")</f>
        <v>A31A</v>
      </c>
      <c r="B7157" s="226" t="str">
        <f>IFERROR(__xludf.DUMMYFUNCTION("""COMPUTED_VALUE"""),"02715")</f>
        <v>02715</v>
      </c>
      <c r="C7157" t="str">
        <f>IFERROR(__xludf.DUMMYFUNCTION("""COMPUTED_VALUE"""),"Autohak")</f>
        <v>Autohak</v>
      </c>
    </row>
    <row r="7158">
      <c r="A7158" t="str">
        <f>IFERROR(__xludf.DUMMYFUNCTION("""COMPUTED_VALUE"""),"A31V")</f>
        <v>A31V</v>
      </c>
      <c r="B7158" s="226" t="str">
        <f>IFERROR(__xludf.DUMMYFUNCTION("""COMPUTED_VALUE"""),"02883")</f>
        <v>02883</v>
      </c>
      <c r="C7158" t="str">
        <f>IFERROR(__xludf.DUMMYFUNCTION("""COMPUTED_VALUE"""),"Autohak")</f>
        <v>Autohak</v>
      </c>
    </row>
    <row r="7159">
      <c r="A7159" t="str">
        <f>IFERROR(__xludf.DUMMYFUNCTION("""COMPUTED_VALUE"""),"A26")</f>
        <v>A26</v>
      </c>
      <c r="B7159" s="226" t="str">
        <f>IFERROR(__xludf.DUMMYFUNCTION("""COMPUTED_VALUE"""),"01176")</f>
        <v>01176</v>
      </c>
      <c r="C7159" t="str">
        <f>IFERROR(__xludf.DUMMYFUNCTION("""COMPUTED_VALUE"""),"Autohak")</f>
        <v>Autohak</v>
      </c>
    </row>
    <row r="7160">
      <c r="A7160" t="str">
        <f>IFERROR(__xludf.DUMMYFUNCTION("""COMPUTED_VALUE"""),"A26A")</f>
        <v>A26A</v>
      </c>
      <c r="B7160" s="226" t="str">
        <f>IFERROR(__xludf.DUMMYFUNCTION("""COMPUTED_VALUE"""),"02661")</f>
        <v>02661</v>
      </c>
      <c r="C7160" t="str">
        <f>IFERROR(__xludf.DUMMYFUNCTION("""COMPUTED_VALUE"""),"Autohak")</f>
        <v>Autohak</v>
      </c>
    </row>
    <row r="7161">
      <c r="A7161" t="str">
        <f>IFERROR(__xludf.DUMMYFUNCTION("""COMPUTED_VALUE"""),"A26V")</f>
        <v>A26V</v>
      </c>
      <c r="B7161" s="226" t="str">
        <f>IFERROR(__xludf.DUMMYFUNCTION("""COMPUTED_VALUE"""),"02920")</f>
        <v>02920</v>
      </c>
      <c r="C7161" t="str">
        <f>IFERROR(__xludf.DUMMYFUNCTION("""COMPUTED_VALUE"""),"Autohak")</f>
        <v>Autohak</v>
      </c>
    </row>
    <row r="7162">
      <c r="A7162" t="str">
        <f>IFERROR(__xludf.DUMMYFUNCTION("""COMPUTED_VALUE"""),"A37")</f>
        <v>A37</v>
      </c>
      <c r="B7162" s="226" t="str">
        <f>IFERROR(__xludf.DUMMYFUNCTION("""COMPUTED_VALUE"""),"01299")</f>
        <v>01299</v>
      </c>
      <c r="C7162" t="str">
        <f>IFERROR(__xludf.DUMMYFUNCTION("""COMPUTED_VALUE"""),"Autohak")</f>
        <v>Autohak</v>
      </c>
    </row>
    <row r="7163">
      <c r="A7163" t="str">
        <f>IFERROR(__xludf.DUMMYFUNCTION("""COMPUTED_VALUE"""),"A37A")</f>
        <v>A37A</v>
      </c>
      <c r="B7163" s="226" t="str">
        <f>IFERROR(__xludf.DUMMYFUNCTION("""COMPUTED_VALUE"""),"02760")</f>
        <v>02760</v>
      </c>
      <c r="C7163" t="str">
        <f>IFERROR(__xludf.DUMMYFUNCTION("""COMPUTED_VALUE"""),"Autohak")</f>
        <v>Autohak</v>
      </c>
    </row>
    <row r="7164">
      <c r="A7164" t="str">
        <f>IFERROR(__xludf.DUMMYFUNCTION("""COMPUTED_VALUE"""),"A37V")</f>
        <v>A37V</v>
      </c>
      <c r="B7164" s="226" t="str">
        <f>IFERROR(__xludf.DUMMYFUNCTION("""COMPUTED_VALUE"""),"02821")</f>
        <v>02821</v>
      </c>
      <c r="C7164" t="str">
        <f>IFERROR(__xludf.DUMMYFUNCTION("""COMPUTED_VALUE"""),"Autohak")</f>
        <v>Autohak</v>
      </c>
    </row>
    <row r="7165">
      <c r="A7165" t="str">
        <f>IFERROR(__xludf.DUMMYFUNCTION("""COMPUTED_VALUE"""),"A25")</f>
        <v>A25</v>
      </c>
      <c r="B7165" s="226" t="str">
        <f>IFERROR(__xludf.DUMMYFUNCTION("""COMPUTED_VALUE"""),"01169")</f>
        <v>01169</v>
      </c>
      <c r="C7165" t="str">
        <f>IFERROR(__xludf.DUMMYFUNCTION("""COMPUTED_VALUE"""),"Autohak")</f>
        <v>Autohak</v>
      </c>
    </row>
    <row r="7166">
      <c r="A7166" t="str">
        <f>IFERROR(__xludf.DUMMYFUNCTION("""COMPUTED_VALUE"""),"A25V")</f>
        <v>A25V</v>
      </c>
      <c r="B7166" s="226" t="str">
        <f>IFERROR(__xludf.DUMMYFUNCTION("""COMPUTED_VALUE"""),"02968")</f>
        <v>02968</v>
      </c>
      <c r="C7166" t="str">
        <f>IFERROR(__xludf.DUMMYFUNCTION("""COMPUTED_VALUE"""),"Autohak")</f>
        <v>Autohak</v>
      </c>
    </row>
    <row r="7167">
      <c r="A7167" t="str">
        <f>IFERROR(__xludf.DUMMYFUNCTION("""COMPUTED_VALUE"""),"A32")</f>
        <v>A32</v>
      </c>
      <c r="B7167" s="226" t="str">
        <f>IFERROR(__xludf.DUMMYFUNCTION("""COMPUTED_VALUE"""),"01237")</f>
        <v>01237</v>
      </c>
      <c r="C7167" t="str">
        <f>IFERROR(__xludf.DUMMYFUNCTION("""COMPUTED_VALUE"""),"Autohak")</f>
        <v>Autohak</v>
      </c>
    </row>
    <row r="7168">
      <c r="A7168" t="str">
        <f>IFERROR(__xludf.DUMMYFUNCTION("""COMPUTED_VALUE"""),"A32V")</f>
        <v>A32V</v>
      </c>
      <c r="B7168" s="226" t="str">
        <f>IFERROR(__xludf.DUMMYFUNCTION("""COMPUTED_VALUE"""),"02876")</f>
        <v>02876</v>
      </c>
      <c r="C7168" t="str">
        <f>IFERROR(__xludf.DUMMYFUNCTION("""COMPUTED_VALUE"""),"Autohak")</f>
        <v>Autohak</v>
      </c>
    </row>
    <row r="7169">
      <c r="A7169" t="str">
        <f>IFERROR(__xludf.DUMMYFUNCTION("""COMPUTED_VALUE"""),"AV01")</f>
        <v>AV01</v>
      </c>
      <c r="B7169" s="226" t="str">
        <f>IFERROR(__xludf.DUMMYFUNCTION("""COMPUTED_VALUE"""),"55186")</f>
        <v>55186</v>
      </c>
      <c r="C7169" t="str">
        <f>IFERROR(__xludf.DUMMYFUNCTION("""COMPUTED_VALUE"""),"Autohak")</f>
        <v>Autohak</v>
      </c>
    </row>
    <row r="7170">
      <c r="A7170" t="str">
        <f>IFERROR(__xludf.DUMMYFUNCTION("""COMPUTED_VALUE"""),"B11")</f>
        <v>B11</v>
      </c>
      <c r="B7170" s="226" t="str">
        <f>IFERROR(__xludf.DUMMYFUNCTION("""COMPUTED_VALUE"""),"03101")</f>
        <v>03101</v>
      </c>
      <c r="C7170" t="str">
        <f>IFERROR(__xludf.DUMMYFUNCTION("""COMPUTED_VALUE"""),"Autohak")</f>
        <v>Autohak</v>
      </c>
    </row>
    <row r="7171">
      <c r="A7171" t="str">
        <f>IFERROR(__xludf.DUMMYFUNCTION("""COMPUTED_VALUE"""),"B11A")</f>
        <v>B11A</v>
      </c>
      <c r="B7171" s="226" t="str">
        <f>IFERROR(__xludf.DUMMYFUNCTION("""COMPUTED_VALUE"""),"04108")</f>
        <v>04108</v>
      </c>
      <c r="C7171" t="str">
        <f>IFERROR(__xludf.DUMMYFUNCTION("""COMPUTED_VALUE"""),"Autohak")</f>
        <v>Autohak</v>
      </c>
    </row>
    <row r="7172">
      <c r="A7172" t="str">
        <f>IFERROR(__xludf.DUMMYFUNCTION("""COMPUTED_VALUE"""),"B11V")</f>
        <v>B11V</v>
      </c>
      <c r="B7172" s="226" t="str">
        <f>IFERROR(__xludf.DUMMYFUNCTION("""COMPUTED_VALUE"""),"04986")</f>
        <v>04986</v>
      </c>
      <c r="C7172" t="str">
        <f>IFERROR(__xludf.DUMMYFUNCTION("""COMPUTED_VALUE"""),"Autohak")</f>
        <v>Autohak</v>
      </c>
    </row>
    <row r="7173">
      <c r="A7173" t="str">
        <f>IFERROR(__xludf.DUMMYFUNCTION("""COMPUTED_VALUE"""),"B25")</f>
        <v>B25</v>
      </c>
      <c r="B7173" s="226" t="str">
        <f>IFERROR(__xludf.DUMMYFUNCTION("""COMPUTED_VALUE"""),"03217")</f>
        <v>03217</v>
      </c>
      <c r="C7173" t="str">
        <f>IFERROR(__xludf.DUMMYFUNCTION("""COMPUTED_VALUE"""),"Autohak")</f>
        <v>Autohak</v>
      </c>
    </row>
    <row r="7174">
      <c r="A7174" t="str">
        <f>IFERROR(__xludf.DUMMYFUNCTION("""COMPUTED_VALUE"""),"B25A")</f>
        <v>B25A</v>
      </c>
      <c r="B7174" s="226" t="str">
        <f>IFERROR(__xludf.DUMMYFUNCTION("""COMPUTED_VALUE"""),"04207")</f>
        <v>04207</v>
      </c>
      <c r="C7174" t="str">
        <f>IFERROR(__xludf.DUMMYFUNCTION("""COMPUTED_VALUE"""),"Autohak")</f>
        <v>Autohak</v>
      </c>
    </row>
    <row r="7175">
      <c r="A7175" t="str">
        <f>IFERROR(__xludf.DUMMYFUNCTION("""COMPUTED_VALUE"""),"B25V")</f>
        <v>B25V</v>
      </c>
      <c r="B7175" s="226" t="str">
        <f>IFERROR(__xludf.DUMMYFUNCTION("""COMPUTED_VALUE"""),"04863")</f>
        <v>04863</v>
      </c>
      <c r="C7175" t="str">
        <f>IFERROR(__xludf.DUMMYFUNCTION("""COMPUTED_VALUE"""),"Autohak")</f>
        <v>Autohak</v>
      </c>
    </row>
    <row r="7176">
      <c r="A7176" t="str">
        <f>IFERROR(__xludf.DUMMYFUNCTION("""COMPUTED_VALUE"""),"B25")</f>
        <v>B25</v>
      </c>
      <c r="B7176" s="226" t="str">
        <f>IFERROR(__xludf.DUMMYFUNCTION("""COMPUTED_VALUE"""),"03217")</f>
        <v>03217</v>
      </c>
      <c r="C7176" t="str">
        <f>IFERROR(__xludf.DUMMYFUNCTION("""COMPUTED_VALUE"""),"Autohak")</f>
        <v>Autohak</v>
      </c>
    </row>
    <row r="7177">
      <c r="A7177" t="str">
        <f>IFERROR(__xludf.DUMMYFUNCTION("""COMPUTED_VALUE"""),"B25A")</f>
        <v>B25A</v>
      </c>
      <c r="B7177" s="226" t="str">
        <f>IFERROR(__xludf.DUMMYFUNCTION("""COMPUTED_VALUE"""),"04207")</f>
        <v>04207</v>
      </c>
      <c r="C7177" t="str">
        <f>IFERROR(__xludf.DUMMYFUNCTION("""COMPUTED_VALUE"""),"Autohak")</f>
        <v>Autohak</v>
      </c>
    </row>
    <row r="7178">
      <c r="A7178" t="str">
        <f>IFERROR(__xludf.DUMMYFUNCTION("""COMPUTED_VALUE"""),"B25V")</f>
        <v>B25V</v>
      </c>
      <c r="B7178" s="226" t="str">
        <f>IFERROR(__xludf.DUMMYFUNCTION("""COMPUTED_VALUE"""),"04863")</f>
        <v>04863</v>
      </c>
      <c r="C7178" t="str">
        <f>IFERROR(__xludf.DUMMYFUNCTION("""COMPUTED_VALUE"""),"Autohak")</f>
        <v>Autohak</v>
      </c>
    </row>
    <row r="7179">
      <c r="A7179" t="str">
        <f>IFERROR(__xludf.DUMMYFUNCTION("""COMPUTED_VALUE"""),"B27")</f>
        <v>B27</v>
      </c>
      <c r="B7179" s="226" t="str">
        <f>IFERROR(__xludf.DUMMYFUNCTION("""COMPUTED_VALUE"""),"03248")</f>
        <v>03248</v>
      </c>
      <c r="C7179" t="str">
        <f>IFERROR(__xludf.DUMMYFUNCTION("""COMPUTED_VALUE"""),"Autohak")</f>
        <v>Autohak</v>
      </c>
    </row>
    <row r="7180">
      <c r="A7180" t="str">
        <f>IFERROR(__xludf.DUMMYFUNCTION("""COMPUTED_VALUE"""),"B27A")</f>
        <v>B27A</v>
      </c>
      <c r="B7180" s="226" t="str">
        <f>IFERROR(__xludf.DUMMYFUNCTION("""COMPUTED_VALUE"""),"04245")</f>
        <v>04245</v>
      </c>
      <c r="C7180" t="str">
        <f>IFERROR(__xludf.DUMMYFUNCTION("""COMPUTED_VALUE"""),"Autohak")</f>
        <v>Autohak</v>
      </c>
    </row>
    <row r="7181">
      <c r="A7181" t="str">
        <f>IFERROR(__xludf.DUMMYFUNCTION("""COMPUTED_VALUE"""),"B27V")</f>
        <v>B27V</v>
      </c>
      <c r="B7181" s="226" t="str">
        <f>IFERROR(__xludf.DUMMYFUNCTION("""COMPUTED_VALUE"""),"04832")</f>
        <v>04832</v>
      </c>
      <c r="C7181" t="str">
        <f>IFERROR(__xludf.DUMMYFUNCTION("""COMPUTED_VALUE"""),"Autohak")</f>
        <v>Autohak</v>
      </c>
    </row>
    <row r="7182">
      <c r="A7182" t="str">
        <f>IFERROR(__xludf.DUMMYFUNCTION("""COMPUTED_VALUE"""),"B27")</f>
        <v>B27</v>
      </c>
      <c r="B7182" s="226" t="str">
        <f>IFERROR(__xludf.DUMMYFUNCTION("""COMPUTED_VALUE"""),"03248")</f>
        <v>03248</v>
      </c>
      <c r="C7182" t="str">
        <f>IFERROR(__xludf.DUMMYFUNCTION("""COMPUTED_VALUE"""),"Autohak")</f>
        <v>Autohak</v>
      </c>
    </row>
    <row r="7183">
      <c r="A7183" t="str">
        <f>IFERROR(__xludf.DUMMYFUNCTION("""COMPUTED_VALUE"""),"B27A")</f>
        <v>B27A</v>
      </c>
      <c r="B7183" s="226" t="str">
        <f>IFERROR(__xludf.DUMMYFUNCTION("""COMPUTED_VALUE"""),"04245")</f>
        <v>04245</v>
      </c>
      <c r="C7183" t="str">
        <f>IFERROR(__xludf.DUMMYFUNCTION("""COMPUTED_VALUE"""),"Autohak")</f>
        <v>Autohak</v>
      </c>
    </row>
    <row r="7184">
      <c r="A7184" t="str">
        <f>IFERROR(__xludf.DUMMYFUNCTION("""COMPUTED_VALUE"""),"B27V")</f>
        <v>B27V</v>
      </c>
      <c r="B7184" s="226" t="str">
        <f>IFERROR(__xludf.DUMMYFUNCTION("""COMPUTED_VALUE"""),"04832")</f>
        <v>04832</v>
      </c>
      <c r="C7184" t="str">
        <f>IFERROR(__xludf.DUMMYFUNCTION("""COMPUTED_VALUE"""),"Autohak")</f>
        <v>Autohak</v>
      </c>
    </row>
    <row r="7185">
      <c r="A7185" t="str">
        <f>IFERROR(__xludf.DUMMYFUNCTION("""COMPUTED_VALUE"""),"B01")</f>
        <v>B01</v>
      </c>
      <c r="B7185" s="226" t="str">
        <f>IFERROR(__xludf.DUMMYFUNCTION("""COMPUTED_VALUE"""),"03002")</f>
        <v>03002</v>
      </c>
      <c r="C7185" t="str">
        <f>IFERROR(__xludf.DUMMYFUNCTION("""COMPUTED_VALUE"""),"Autohak")</f>
        <v>Autohak</v>
      </c>
    </row>
    <row r="7186">
      <c r="A7186" t="str">
        <f>IFERROR(__xludf.DUMMYFUNCTION("""COMPUTED_VALUE"""),"B01A")</f>
        <v>B01A</v>
      </c>
      <c r="B7186" s="226" t="str">
        <f>IFERROR(__xludf.DUMMYFUNCTION("""COMPUTED_VALUE"""),"04009")</f>
        <v>04009</v>
      </c>
      <c r="C7186" t="str">
        <f>IFERROR(__xludf.DUMMYFUNCTION("""COMPUTED_VALUE"""),"Autohak")</f>
        <v>Autohak</v>
      </c>
    </row>
    <row r="7187">
      <c r="A7187" t="str">
        <f>IFERROR(__xludf.DUMMYFUNCTION("""COMPUTED_VALUE"""),"B02")</f>
        <v>B02</v>
      </c>
      <c r="B7187" s="226" t="str">
        <f>IFERROR(__xludf.DUMMYFUNCTION("""COMPUTED_VALUE"""),"03019")</f>
        <v>03019</v>
      </c>
      <c r="C7187" t="str">
        <f>IFERROR(__xludf.DUMMYFUNCTION("""COMPUTED_VALUE"""),"Autohak")</f>
        <v>Autohak</v>
      </c>
    </row>
    <row r="7188">
      <c r="A7188" t="str">
        <f>IFERROR(__xludf.DUMMYFUNCTION("""COMPUTED_VALUE"""),"B02A")</f>
        <v>B02A</v>
      </c>
      <c r="B7188" s="226" t="str">
        <f>IFERROR(__xludf.DUMMYFUNCTION("""COMPUTED_VALUE"""),"04016")</f>
        <v>04016</v>
      </c>
      <c r="C7188" t="str">
        <f>IFERROR(__xludf.DUMMYFUNCTION("""COMPUTED_VALUE"""),"Autohak")</f>
        <v>Autohak</v>
      </c>
    </row>
    <row r="7189">
      <c r="A7189" t="str">
        <f>IFERROR(__xludf.DUMMYFUNCTION("""COMPUTED_VALUE"""),"B06")</f>
        <v>B06</v>
      </c>
      <c r="B7189" s="226" t="str">
        <f>IFERROR(__xludf.DUMMYFUNCTION("""COMPUTED_VALUE"""),"03026")</f>
        <v>03026</v>
      </c>
      <c r="C7189" t="str">
        <f>IFERROR(__xludf.DUMMYFUNCTION("""COMPUTED_VALUE"""),"Autohak")</f>
        <v>Autohak</v>
      </c>
    </row>
    <row r="7190">
      <c r="A7190" t="str">
        <f>IFERROR(__xludf.DUMMYFUNCTION("""COMPUTED_VALUE"""),"B06A")</f>
        <v>B06A</v>
      </c>
      <c r="B7190" s="226" t="str">
        <f>IFERROR(__xludf.DUMMYFUNCTION("""COMPUTED_VALUE"""),"04023")</f>
        <v>04023</v>
      </c>
      <c r="C7190" t="str">
        <f>IFERROR(__xludf.DUMMYFUNCTION("""COMPUTED_VALUE"""),"Autohak")</f>
        <v>Autohak</v>
      </c>
    </row>
    <row r="7191">
      <c r="A7191" t="str">
        <f>IFERROR(__xludf.DUMMYFUNCTION("""COMPUTED_VALUE"""),"B06V")</f>
        <v>B06V</v>
      </c>
      <c r="B7191" s="226" t="str">
        <f>IFERROR(__xludf.DUMMYFUNCTION("""COMPUTED_VALUE"""),"04993")</f>
        <v>04993</v>
      </c>
      <c r="C7191" t="str">
        <f>IFERROR(__xludf.DUMMYFUNCTION("""COMPUTED_VALUE"""),"Autohak")</f>
        <v>Autohak</v>
      </c>
    </row>
    <row r="7192">
      <c r="A7192" t="str">
        <f>IFERROR(__xludf.DUMMYFUNCTION("""COMPUTED_VALUE"""),"B11")</f>
        <v>B11</v>
      </c>
      <c r="B7192" s="226" t="str">
        <f>IFERROR(__xludf.DUMMYFUNCTION("""COMPUTED_VALUE"""),"03101")</f>
        <v>03101</v>
      </c>
      <c r="C7192" t="str">
        <f>IFERROR(__xludf.DUMMYFUNCTION("""COMPUTED_VALUE"""),"Autohak")</f>
        <v>Autohak</v>
      </c>
    </row>
    <row r="7193">
      <c r="A7193" t="str">
        <f>IFERROR(__xludf.DUMMYFUNCTION("""COMPUTED_VALUE"""),"B11A")</f>
        <v>B11A</v>
      </c>
      <c r="B7193" s="226" t="str">
        <f>IFERROR(__xludf.DUMMYFUNCTION("""COMPUTED_VALUE"""),"04108")</f>
        <v>04108</v>
      </c>
      <c r="C7193" t="str">
        <f>IFERROR(__xludf.DUMMYFUNCTION("""COMPUTED_VALUE"""),"Autohak")</f>
        <v>Autohak</v>
      </c>
    </row>
    <row r="7194">
      <c r="A7194" t="str">
        <f>IFERROR(__xludf.DUMMYFUNCTION("""COMPUTED_VALUE"""),"B11V")</f>
        <v>B11V</v>
      </c>
      <c r="B7194" s="226" t="str">
        <f>IFERROR(__xludf.DUMMYFUNCTION("""COMPUTED_VALUE"""),"04986")</f>
        <v>04986</v>
      </c>
      <c r="C7194" t="str">
        <f>IFERROR(__xludf.DUMMYFUNCTION("""COMPUTED_VALUE"""),"Autohak")</f>
        <v>Autohak</v>
      </c>
    </row>
    <row r="7195">
      <c r="A7195" t="str">
        <f>IFERROR(__xludf.DUMMYFUNCTION("""COMPUTED_VALUE"""),"B20")</f>
        <v>B20</v>
      </c>
      <c r="B7195" s="226" t="str">
        <f>IFERROR(__xludf.DUMMYFUNCTION("""COMPUTED_VALUE"""),"03033")</f>
        <v>03033</v>
      </c>
      <c r="C7195" t="str">
        <f>IFERROR(__xludf.DUMMYFUNCTION("""COMPUTED_VALUE"""),"Autohak")</f>
        <v>Autohak</v>
      </c>
    </row>
    <row r="7196">
      <c r="A7196" t="str">
        <f>IFERROR(__xludf.DUMMYFUNCTION("""COMPUTED_VALUE"""),"B20A")</f>
        <v>B20A</v>
      </c>
      <c r="B7196" s="226" t="str">
        <f>IFERROR(__xludf.DUMMYFUNCTION("""COMPUTED_VALUE"""),"04214")</f>
        <v>04214</v>
      </c>
      <c r="C7196" t="str">
        <f>IFERROR(__xludf.DUMMYFUNCTION("""COMPUTED_VALUE"""),"Autohak")</f>
        <v>Autohak</v>
      </c>
    </row>
    <row r="7197">
      <c r="A7197" t="str">
        <f>IFERROR(__xludf.DUMMYFUNCTION("""COMPUTED_VALUE"""),"B20V")</f>
        <v>B20V</v>
      </c>
      <c r="B7197" s="226" t="str">
        <f>IFERROR(__xludf.DUMMYFUNCTION("""COMPUTED_VALUE"""),"04894")</f>
        <v>04894</v>
      </c>
      <c r="C7197" t="str">
        <f>IFERROR(__xludf.DUMMYFUNCTION("""COMPUTED_VALUE"""),"Autohak")</f>
        <v>Autohak</v>
      </c>
    </row>
    <row r="7198">
      <c r="A7198" t="str">
        <f>IFERROR(__xludf.DUMMYFUNCTION("""COMPUTED_VALUE"""),"B20")</f>
        <v>B20</v>
      </c>
      <c r="B7198" s="226" t="str">
        <f>IFERROR(__xludf.DUMMYFUNCTION("""COMPUTED_VALUE"""),"03033")</f>
        <v>03033</v>
      </c>
      <c r="C7198" t="str">
        <f>IFERROR(__xludf.DUMMYFUNCTION("""COMPUTED_VALUE"""),"Autohak")</f>
        <v>Autohak</v>
      </c>
    </row>
    <row r="7199">
      <c r="A7199" t="str">
        <f>IFERROR(__xludf.DUMMYFUNCTION("""COMPUTED_VALUE"""),"B20A")</f>
        <v>B20A</v>
      </c>
      <c r="B7199" s="226" t="str">
        <f>IFERROR(__xludf.DUMMYFUNCTION("""COMPUTED_VALUE"""),"04214")</f>
        <v>04214</v>
      </c>
      <c r="C7199" t="str">
        <f>IFERROR(__xludf.DUMMYFUNCTION("""COMPUTED_VALUE"""),"Autohak")</f>
        <v>Autohak</v>
      </c>
    </row>
    <row r="7200">
      <c r="A7200" t="str">
        <f>IFERROR(__xludf.DUMMYFUNCTION("""COMPUTED_VALUE"""),"B20V")</f>
        <v>B20V</v>
      </c>
      <c r="B7200" s="226" t="str">
        <f>IFERROR(__xludf.DUMMYFUNCTION("""COMPUTED_VALUE"""),"04894")</f>
        <v>04894</v>
      </c>
      <c r="C7200" t="str">
        <f>IFERROR(__xludf.DUMMYFUNCTION("""COMPUTED_VALUE"""),"Autohak")</f>
        <v>Autohak</v>
      </c>
    </row>
    <row r="7201">
      <c r="A7201" t="str">
        <f>IFERROR(__xludf.DUMMYFUNCTION("""COMPUTED_VALUE"""),"B30")</f>
        <v>B30</v>
      </c>
      <c r="B7201" s="226" t="str">
        <f>IFERROR(__xludf.DUMMYFUNCTION("""COMPUTED_VALUE"""),"03262")</f>
        <v>03262</v>
      </c>
      <c r="C7201" t="str">
        <f>IFERROR(__xludf.DUMMYFUNCTION("""COMPUTED_VALUE"""),"Autohak")</f>
        <v>Autohak</v>
      </c>
    </row>
    <row r="7202">
      <c r="A7202" t="str">
        <f>IFERROR(__xludf.DUMMYFUNCTION("""COMPUTED_VALUE"""),"B30A")</f>
        <v>B30A</v>
      </c>
      <c r="B7202" s="226" t="str">
        <f>IFERROR(__xludf.DUMMYFUNCTION("""COMPUTED_VALUE"""),"04269")</f>
        <v>04269</v>
      </c>
      <c r="C7202" t="str">
        <f>IFERROR(__xludf.DUMMYFUNCTION("""COMPUTED_VALUE"""),"Autohak")</f>
        <v>Autohak</v>
      </c>
    </row>
    <row r="7203">
      <c r="A7203" t="str">
        <f>IFERROR(__xludf.DUMMYFUNCTION("""COMPUTED_VALUE"""),"B30V")</f>
        <v>B30V</v>
      </c>
      <c r="B7203" s="226" t="str">
        <f>IFERROR(__xludf.DUMMYFUNCTION("""COMPUTED_VALUE"""),"04801")</f>
        <v>04801</v>
      </c>
      <c r="C7203" t="str">
        <f>IFERROR(__xludf.DUMMYFUNCTION("""COMPUTED_VALUE"""),"Autohak")</f>
        <v>Autohak</v>
      </c>
    </row>
    <row r="7204">
      <c r="A7204" t="str">
        <f>IFERROR(__xludf.DUMMYFUNCTION("""COMPUTED_VALUE"""),"B22")</f>
        <v>B22</v>
      </c>
      <c r="B7204" s="226" t="str">
        <f>IFERROR(__xludf.DUMMYFUNCTION("""COMPUTED_VALUE"""),"03170")</f>
        <v>03170</v>
      </c>
      <c r="C7204" t="str">
        <f>IFERROR(__xludf.DUMMYFUNCTION("""COMPUTED_VALUE"""),"Autohak")</f>
        <v>Autohak</v>
      </c>
    </row>
    <row r="7205">
      <c r="A7205" t="str">
        <f>IFERROR(__xludf.DUMMYFUNCTION("""COMPUTED_VALUE"""),"B22A")</f>
        <v>B22A</v>
      </c>
      <c r="B7205" s="226" t="str">
        <f>IFERROR(__xludf.DUMMYFUNCTION("""COMPUTED_VALUE"""),"04177")</f>
        <v>04177</v>
      </c>
      <c r="C7205" t="str">
        <f>IFERROR(__xludf.DUMMYFUNCTION("""COMPUTED_VALUE"""),"Autohak")</f>
        <v>Autohak</v>
      </c>
    </row>
    <row r="7206">
      <c r="A7206" t="str">
        <f>IFERROR(__xludf.DUMMYFUNCTION("""COMPUTED_VALUE"""),"B06")</f>
        <v>B06</v>
      </c>
      <c r="B7206" s="226" t="str">
        <f>IFERROR(__xludf.DUMMYFUNCTION("""COMPUTED_VALUE"""),"03026")</f>
        <v>03026</v>
      </c>
      <c r="C7206" t="str">
        <f>IFERROR(__xludf.DUMMYFUNCTION("""COMPUTED_VALUE"""),"Autohak")</f>
        <v>Autohak</v>
      </c>
    </row>
    <row r="7207">
      <c r="A7207" t="str">
        <f>IFERROR(__xludf.DUMMYFUNCTION("""COMPUTED_VALUE"""),"B06A")</f>
        <v>B06A</v>
      </c>
      <c r="B7207" s="226" t="str">
        <f>IFERROR(__xludf.DUMMYFUNCTION("""COMPUTED_VALUE"""),"04023")</f>
        <v>04023</v>
      </c>
      <c r="C7207" t="str">
        <f>IFERROR(__xludf.DUMMYFUNCTION("""COMPUTED_VALUE"""),"Autohak")</f>
        <v>Autohak</v>
      </c>
    </row>
    <row r="7208">
      <c r="A7208" t="str">
        <f>IFERROR(__xludf.DUMMYFUNCTION("""COMPUTED_VALUE"""),"B06V")</f>
        <v>B06V</v>
      </c>
      <c r="B7208" s="226" t="str">
        <f>IFERROR(__xludf.DUMMYFUNCTION("""COMPUTED_VALUE"""),"04993")</f>
        <v>04993</v>
      </c>
      <c r="C7208" t="str">
        <f>IFERROR(__xludf.DUMMYFUNCTION("""COMPUTED_VALUE"""),"Autohak")</f>
        <v>Autohak</v>
      </c>
    </row>
    <row r="7209">
      <c r="A7209" t="str">
        <f>IFERROR(__xludf.DUMMYFUNCTION("""COMPUTED_VALUE"""),"B01")</f>
        <v>B01</v>
      </c>
      <c r="B7209" s="226" t="str">
        <f>IFERROR(__xludf.DUMMYFUNCTION("""COMPUTED_VALUE"""),"03002")</f>
        <v>03002</v>
      </c>
      <c r="C7209" t="str">
        <f>IFERROR(__xludf.DUMMYFUNCTION("""COMPUTED_VALUE"""),"Autohak")</f>
        <v>Autohak</v>
      </c>
    </row>
    <row r="7210">
      <c r="A7210" t="str">
        <f>IFERROR(__xludf.DUMMYFUNCTION("""COMPUTED_VALUE"""),"B01A")</f>
        <v>B01A</v>
      </c>
      <c r="B7210" s="226" t="str">
        <f>IFERROR(__xludf.DUMMYFUNCTION("""COMPUTED_VALUE"""),"04009")</f>
        <v>04009</v>
      </c>
      <c r="C7210" t="str">
        <f>IFERROR(__xludf.DUMMYFUNCTION("""COMPUTED_VALUE"""),"Autohak")</f>
        <v>Autohak</v>
      </c>
    </row>
    <row r="7211">
      <c r="A7211" t="str">
        <f>IFERROR(__xludf.DUMMYFUNCTION("""COMPUTED_VALUE"""),"B02")</f>
        <v>B02</v>
      </c>
      <c r="B7211" s="226" t="str">
        <f>IFERROR(__xludf.DUMMYFUNCTION("""COMPUTED_VALUE"""),"03019")</f>
        <v>03019</v>
      </c>
      <c r="C7211" t="str">
        <f>IFERROR(__xludf.DUMMYFUNCTION("""COMPUTED_VALUE"""),"Autohak")</f>
        <v>Autohak</v>
      </c>
    </row>
    <row r="7212">
      <c r="A7212" t="str">
        <f>IFERROR(__xludf.DUMMYFUNCTION("""COMPUTED_VALUE"""),"B02A")</f>
        <v>B02A</v>
      </c>
      <c r="B7212" s="226" t="str">
        <f>IFERROR(__xludf.DUMMYFUNCTION("""COMPUTED_VALUE"""),"04016")</f>
        <v>04016</v>
      </c>
      <c r="C7212" t="str">
        <f>IFERROR(__xludf.DUMMYFUNCTION("""COMPUTED_VALUE"""),"Autohak")</f>
        <v>Autohak</v>
      </c>
    </row>
    <row r="7213">
      <c r="A7213" t="str">
        <f>IFERROR(__xludf.DUMMYFUNCTION("""COMPUTED_VALUE"""),"B06")</f>
        <v>B06</v>
      </c>
      <c r="B7213" s="226" t="str">
        <f>IFERROR(__xludf.DUMMYFUNCTION("""COMPUTED_VALUE"""),"03026")</f>
        <v>03026</v>
      </c>
      <c r="C7213" t="str">
        <f>IFERROR(__xludf.DUMMYFUNCTION("""COMPUTED_VALUE"""),"Autohak")</f>
        <v>Autohak</v>
      </c>
    </row>
    <row r="7214">
      <c r="A7214" t="str">
        <f>IFERROR(__xludf.DUMMYFUNCTION("""COMPUTED_VALUE"""),"B06A")</f>
        <v>B06A</v>
      </c>
      <c r="B7214" s="226" t="str">
        <f>IFERROR(__xludf.DUMMYFUNCTION("""COMPUTED_VALUE"""),"04023")</f>
        <v>04023</v>
      </c>
      <c r="C7214" t="str">
        <f>IFERROR(__xludf.DUMMYFUNCTION("""COMPUTED_VALUE"""),"Autohak")</f>
        <v>Autohak</v>
      </c>
    </row>
    <row r="7215">
      <c r="A7215" t="str">
        <f>IFERROR(__xludf.DUMMYFUNCTION("""COMPUTED_VALUE"""),"B06V")</f>
        <v>B06V</v>
      </c>
      <c r="B7215" s="226" t="str">
        <f>IFERROR(__xludf.DUMMYFUNCTION("""COMPUTED_VALUE"""),"04993")</f>
        <v>04993</v>
      </c>
      <c r="C7215" t="str">
        <f>IFERROR(__xludf.DUMMYFUNCTION("""COMPUTED_VALUE"""),"Autohak")</f>
        <v>Autohak</v>
      </c>
    </row>
    <row r="7216">
      <c r="A7216" t="str">
        <f>IFERROR(__xludf.DUMMYFUNCTION("""COMPUTED_VALUE"""),"B11")</f>
        <v>B11</v>
      </c>
      <c r="B7216" s="226" t="str">
        <f>IFERROR(__xludf.DUMMYFUNCTION("""COMPUTED_VALUE"""),"03101")</f>
        <v>03101</v>
      </c>
      <c r="C7216" t="str">
        <f>IFERROR(__xludf.DUMMYFUNCTION("""COMPUTED_VALUE"""),"Autohak")</f>
        <v>Autohak</v>
      </c>
    </row>
    <row r="7217">
      <c r="A7217" t="str">
        <f>IFERROR(__xludf.DUMMYFUNCTION("""COMPUTED_VALUE"""),"B11A")</f>
        <v>B11A</v>
      </c>
      <c r="B7217" s="226" t="str">
        <f>IFERROR(__xludf.DUMMYFUNCTION("""COMPUTED_VALUE"""),"04108")</f>
        <v>04108</v>
      </c>
      <c r="C7217" t="str">
        <f>IFERROR(__xludf.DUMMYFUNCTION("""COMPUTED_VALUE"""),"Autohak")</f>
        <v>Autohak</v>
      </c>
    </row>
    <row r="7218">
      <c r="A7218" t="str">
        <f>IFERROR(__xludf.DUMMYFUNCTION("""COMPUTED_VALUE"""),"B11V")</f>
        <v>B11V</v>
      </c>
      <c r="B7218" s="226" t="str">
        <f>IFERROR(__xludf.DUMMYFUNCTION("""COMPUTED_VALUE"""),"04986")</f>
        <v>04986</v>
      </c>
      <c r="C7218" t="str">
        <f>IFERROR(__xludf.DUMMYFUNCTION("""COMPUTED_VALUE"""),"Autohak")</f>
        <v>Autohak</v>
      </c>
    </row>
    <row r="7219">
      <c r="A7219" t="str">
        <f>IFERROR(__xludf.DUMMYFUNCTION("""COMPUTED_VALUE"""),"B20")</f>
        <v>B20</v>
      </c>
      <c r="B7219" s="226" t="str">
        <f>IFERROR(__xludf.DUMMYFUNCTION("""COMPUTED_VALUE"""),"03033")</f>
        <v>03033</v>
      </c>
      <c r="C7219" t="str">
        <f>IFERROR(__xludf.DUMMYFUNCTION("""COMPUTED_VALUE"""),"Autohak")</f>
        <v>Autohak</v>
      </c>
    </row>
    <row r="7220">
      <c r="A7220" t="str">
        <f>IFERROR(__xludf.DUMMYFUNCTION("""COMPUTED_VALUE"""),"B20A")</f>
        <v>B20A</v>
      </c>
      <c r="B7220" s="226" t="str">
        <f>IFERROR(__xludf.DUMMYFUNCTION("""COMPUTED_VALUE"""),"04214")</f>
        <v>04214</v>
      </c>
      <c r="C7220" t="str">
        <f>IFERROR(__xludf.DUMMYFUNCTION("""COMPUTED_VALUE"""),"Autohak")</f>
        <v>Autohak</v>
      </c>
    </row>
    <row r="7221">
      <c r="A7221" t="str">
        <f>IFERROR(__xludf.DUMMYFUNCTION("""COMPUTED_VALUE"""),"B20V")</f>
        <v>B20V</v>
      </c>
      <c r="B7221" s="226" t="str">
        <f>IFERROR(__xludf.DUMMYFUNCTION("""COMPUTED_VALUE"""),"04894")</f>
        <v>04894</v>
      </c>
      <c r="C7221" t="str">
        <f>IFERROR(__xludf.DUMMYFUNCTION("""COMPUTED_VALUE"""),"Autohak")</f>
        <v>Autohak</v>
      </c>
    </row>
    <row r="7222">
      <c r="A7222" t="str">
        <f>IFERROR(__xludf.DUMMYFUNCTION("""COMPUTED_VALUE"""),"B20")</f>
        <v>B20</v>
      </c>
      <c r="B7222" s="226" t="str">
        <f>IFERROR(__xludf.DUMMYFUNCTION("""COMPUTED_VALUE"""),"03033")</f>
        <v>03033</v>
      </c>
      <c r="C7222" t="str">
        <f>IFERROR(__xludf.DUMMYFUNCTION("""COMPUTED_VALUE"""),"Autohak")</f>
        <v>Autohak</v>
      </c>
    </row>
    <row r="7223">
      <c r="A7223" t="str">
        <f>IFERROR(__xludf.DUMMYFUNCTION("""COMPUTED_VALUE"""),"B20A")</f>
        <v>B20A</v>
      </c>
      <c r="B7223" s="226" t="str">
        <f>IFERROR(__xludf.DUMMYFUNCTION("""COMPUTED_VALUE"""),"04214")</f>
        <v>04214</v>
      </c>
      <c r="C7223" t="str">
        <f>IFERROR(__xludf.DUMMYFUNCTION("""COMPUTED_VALUE"""),"Autohak")</f>
        <v>Autohak</v>
      </c>
    </row>
    <row r="7224">
      <c r="A7224" t="str">
        <f>IFERROR(__xludf.DUMMYFUNCTION("""COMPUTED_VALUE"""),"B20V")</f>
        <v>B20V</v>
      </c>
      <c r="B7224" s="226" t="str">
        <f>IFERROR(__xludf.DUMMYFUNCTION("""COMPUTED_VALUE"""),"04894")</f>
        <v>04894</v>
      </c>
      <c r="C7224" t="str">
        <f>IFERROR(__xludf.DUMMYFUNCTION("""COMPUTED_VALUE"""),"Autohak")</f>
        <v>Autohak</v>
      </c>
    </row>
    <row r="7225">
      <c r="A7225" t="str">
        <f>IFERROR(__xludf.DUMMYFUNCTION("""COMPUTED_VALUE"""),"B26")</f>
        <v>B26</v>
      </c>
      <c r="B7225" s="226" t="str">
        <f>IFERROR(__xludf.DUMMYFUNCTION("""COMPUTED_VALUE"""),"03224")</f>
        <v>03224</v>
      </c>
      <c r="C7225" t="str">
        <f>IFERROR(__xludf.DUMMYFUNCTION("""COMPUTED_VALUE"""),"Autohak")</f>
        <v>Autohak</v>
      </c>
    </row>
    <row r="7226">
      <c r="A7226" t="str">
        <f>IFERROR(__xludf.DUMMYFUNCTION("""COMPUTED_VALUE"""),"B26A")</f>
        <v>B26A</v>
      </c>
      <c r="B7226" s="226" t="str">
        <f>IFERROR(__xludf.DUMMYFUNCTION("""COMPUTED_VALUE"""),"04221")</f>
        <v>04221</v>
      </c>
      <c r="C7226" t="str">
        <f>IFERROR(__xludf.DUMMYFUNCTION("""COMPUTED_VALUE"""),"Autohak")</f>
        <v>Autohak</v>
      </c>
    </row>
    <row r="7227">
      <c r="A7227" t="str">
        <f>IFERROR(__xludf.DUMMYFUNCTION("""COMPUTED_VALUE"""),"B26V")</f>
        <v>B26V</v>
      </c>
      <c r="B7227" s="226" t="str">
        <f>IFERROR(__xludf.DUMMYFUNCTION("""COMPUTED_VALUE"""),"04849")</f>
        <v>04849</v>
      </c>
      <c r="C7227" t="str">
        <f>IFERROR(__xludf.DUMMYFUNCTION("""COMPUTED_VALUE"""),"Autohak")</f>
        <v>Autohak</v>
      </c>
    </row>
    <row r="7228">
      <c r="A7228" t="str">
        <f>IFERROR(__xludf.DUMMYFUNCTION("""COMPUTED_VALUE"""),"B26")</f>
        <v>B26</v>
      </c>
      <c r="B7228" s="226" t="str">
        <f>IFERROR(__xludf.DUMMYFUNCTION("""COMPUTED_VALUE"""),"03224")</f>
        <v>03224</v>
      </c>
      <c r="C7228" t="str">
        <f>IFERROR(__xludf.DUMMYFUNCTION("""COMPUTED_VALUE"""),"Autohak")</f>
        <v>Autohak</v>
      </c>
    </row>
    <row r="7229">
      <c r="A7229" t="str">
        <f>IFERROR(__xludf.DUMMYFUNCTION("""COMPUTED_VALUE"""),"B26A")</f>
        <v>B26A</v>
      </c>
      <c r="B7229" s="226" t="str">
        <f>IFERROR(__xludf.DUMMYFUNCTION("""COMPUTED_VALUE"""),"04221")</f>
        <v>04221</v>
      </c>
      <c r="C7229" t="str">
        <f>IFERROR(__xludf.DUMMYFUNCTION("""COMPUTED_VALUE"""),"Autohak")</f>
        <v>Autohak</v>
      </c>
    </row>
    <row r="7230">
      <c r="A7230" t="str">
        <f>IFERROR(__xludf.DUMMYFUNCTION("""COMPUTED_VALUE"""),"B26V")</f>
        <v>B26V</v>
      </c>
      <c r="B7230" s="226" t="str">
        <f>IFERROR(__xludf.DUMMYFUNCTION("""COMPUTED_VALUE"""),"04849")</f>
        <v>04849</v>
      </c>
      <c r="C7230" t="str">
        <f>IFERROR(__xludf.DUMMYFUNCTION("""COMPUTED_VALUE"""),"Autohak")</f>
        <v>Autohak</v>
      </c>
    </row>
    <row r="7231">
      <c r="A7231" t="str">
        <f>IFERROR(__xludf.DUMMYFUNCTION("""COMPUTED_VALUE"""),"B04")</f>
        <v>B04</v>
      </c>
      <c r="B7231" s="226" t="str">
        <f>IFERROR(__xludf.DUMMYFUNCTION("""COMPUTED_VALUE"""),"03040")</f>
        <v>03040</v>
      </c>
      <c r="C7231" t="str">
        <f>IFERROR(__xludf.DUMMYFUNCTION("""COMPUTED_VALUE"""),"Autohak")</f>
        <v>Autohak</v>
      </c>
    </row>
    <row r="7232">
      <c r="A7232" t="str">
        <f>IFERROR(__xludf.DUMMYFUNCTION("""COMPUTED_VALUE"""),"B04A")</f>
        <v>B04A</v>
      </c>
      <c r="B7232" s="226" t="str">
        <f>IFERROR(__xludf.DUMMYFUNCTION("""COMPUTED_VALUE"""),"04047")</f>
        <v>04047</v>
      </c>
      <c r="C7232" t="str">
        <f>IFERROR(__xludf.DUMMYFUNCTION("""COMPUTED_VALUE"""),"Autohak")</f>
        <v>Autohak</v>
      </c>
    </row>
    <row r="7233">
      <c r="A7233" t="str">
        <f>IFERROR(__xludf.DUMMYFUNCTION("""COMPUTED_VALUE"""),"B08")</f>
        <v>B08</v>
      </c>
      <c r="B7233" s="226" t="str">
        <f>IFERROR(__xludf.DUMMYFUNCTION("""COMPUTED_VALUE"""),"03057")</f>
        <v>03057</v>
      </c>
      <c r="C7233" t="str">
        <f>IFERROR(__xludf.DUMMYFUNCTION("""COMPUTED_VALUE"""),"Autohak")</f>
        <v>Autohak</v>
      </c>
    </row>
    <row r="7234">
      <c r="A7234" t="str">
        <f>IFERROR(__xludf.DUMMYFUNCTION("""COMPUTED_VALUE"""),"B08A")</f>
        <v>B08A</v>
      </c>
      <c r="B7234" s="226" t="str">
        <f>IFERROR(__xludf.DUMMYFUNCTION("""COMPUTED_VALUE"""),"04054")</f>
        <v>04054</v>
      </c>
      <c r="C7234" t="str">
        <f>IFERROR(__xludf.DUMMYFUNCTION("""COMPUTED_VALUE"""),"Autohak")</f>
        <v>Autohak</v>
      </c>
    </row>
    <row r="7235">
      <c r="A7235" t="str">
        <f>IFERROR(__xludf.DUMMYFUNCTION("""COMPUTED_VALUE"""),"B08")</f>
        <v>B08</v>
      </c>
      <c r="B7235" s="226" t="str">
        <f>IFERROR(__xludf.DUMMYFUNCTION("""COMPUTED_VALUE"""),"03057")</f>
        <v>03057</v>
      </c>
      <c r="C7235" t="str">
        <f>IFERROR(__xludf.DUMMYFUNCTION("""COMPUTED_VALUE"""),"Autohak")</f>
        <v>Autohak</v>
      </c>
    </row>
    <row r="7236">
      <c r="A7236" t="str">
        <f>IFERROR(__xludf.DUMMYFUNCTION("""COMPUTED_VALUE"""),"B08A")</f>
        <v>B08A</v>
      </c>
      <c r="B7236" s="226" t="str">
        <f>IFERROR(__xludf.DUMMYFUNCTION("""COMPUTED_VALUE"""),"04054")</f>
        <v>04054</v>
      </c>
      <c r="C7236" t="str">
        <f>IFERROR(__xludf.DUMMYFUNCTION("""COMPUTED_VALUE"""),"Autohak")</f>
        <v>Autohak</v>
      </c>
    </row>
    <row r="7237">
      <c r="A7237" t="str">
        <f>IFERROR(__xludf.DUMMYFUNCTION("""COMPUTED_VALUE"""),"B12")</f>
        <v>B12</v>
      </c>
      <c r="B7237" s="226" t="str">
        <f>IFERROR(__xludf.DUMMYFUNCTION("""COMPUTED_VALUE"""),"03118")</f>
        <v>03118</v>
      </c>
      <c r="C7237" t="str">
        <f>IFERROR(__xludf.DUMMYFUNCTION("""COMPUTED_VALUE"""),"Autohak")</f>
        <v>Autohak</v>
      </c>
    </row>
    <row r="7238">
      <c r="A7238" t="str">
        <f>IFERROR(__xludf.DUMMYFUNCTION("""COMPUTED_VALUE"""),"B12A")</f>
        <v>B12A</v>
      </c>
      <c r="B7238" s="226" t="str">
        <f>IFERROR(__xludf.DUMMYFUNCTION("""COMPUTED_VALUE"""),"04115")</f>
        <v>04115</v>
      </c>
      <c r="C7238" t="str">
        <f>IFERROR(__xludf.DUMMYFUNCTION("""COMPUTED_VALUE"""),"Autohak")</f>
        <v>Autohak</v>
      </c>
    </row>
    <row r="7239">
      <c r="A7239" t="str">
        <f>IFERROR(__xludf.DUMMYFUNCTION("""COMPUTED_VALUE"""),"B12V")</f>
        <v>B12V</v>
      </c>
      <c r="B7239" s="226" t="str">
        <f>IFERROR(__xludf.DUMMYFUNCTION("""COMPUTED_VALUE"""),"04962")</f>
        <v>04962</v>
      </c>
      <c r="C7239" t="str">
        <f>IFERROR(__xludf.DUMMYFUNCTION("""COMPUTED_VALUE"""),"Autohak")</f>
        <v>Autohak</v>
      </c>
    </row>
    <row r="7240">
      <c r="A7240" t="str">
        <f>IFERROR(__xludf.DUMMYFUNCTION("""COMPUTED_VALUE"""),"B18")</f>
        <v>B18</v>
      </c>
      <c r="B7240" s="226" t="str">
        <f>IFERROR(__xludf.DUMMYFUNCTION("""COMPUTED_VALUE"""),"03187")</f>
        <v>03187</v>
      </c>
      <c r="C7240" t="str">
        <f>IFERROR(__xludf.DUMMYFUNCTION("""COMPUTED_VALUE"""),"Autohak")</f>
        <v>Autohak</v>
      </c>
    </row>
    <row r="7241">
      <c r="A7241" t="str">
        <f>IFERROR(__xludf.DUMMYFUNCTION("""COMPUTED_VALUE"""),"B18A")</f>
        <v>B18A</v>
      </c>
      <c r="B7241" s="226" t="str">
        <f>IFERROR(__xludf.DUMMYFUNCTION("""COMPUTED_VALUE"""),"04184")</f>
        <v>04184</v>
      </c>
      <c r="C7241" t="str">
        <f>IFERROR(__xludf.DUMMYFUNCTION("""COMPUTED_VALUE"""),"Autohak")</f>
        <v>Autohak</v>
      </c>
    </row>
    <row r="7242">
      <c r="A7242" t="str">
        <f>IFERROR(__xludf.DUMMYFUNCTION("""COMPUTED_VALUE"""),"B18V")</f>
        <v>B18V</v>
      </c>
      <c r="B7242" s="226" t="str">
        <f>IFERROR(__xludf.DUMMYFUNCTION("""COMPUTED_VALUE"""),"04917")</f>
        <v>04917</v>
      </c>
      <c r="C7242" t="str">
        <f>IFERROR(__xludf.DUMMYFUNCTION("""COMPUTED_VALUE"""),"Autohak")</f>
        <v>Autohak</v>
      </c>
    </row>
    <row r="7243">
      <c r="A7243" t="str">
        <f>IFERROR(__xludf.DUMMYFUNCTION("""COMPUTED_VALUE"""),"B18")</f>
        <v>B18</v>
      </c>
      <c r="B7243" s="226" t="str">
        <f>IFERROR(__xludf.DUMMYFUNCTION("""COMPUTED_VALUE"""),"03187")</f>
        <v>03187</v>
      </c>
      <c r="C7243" t="str">
        <f>IFERROR(__xludf.DUMMYFUNCTION("""COMPUTED_VALUE"""),"Autohak")</f>
        <v>Autohak</v>
      </c>
    </row>
    <row r="7244">
      <c r="A7244" t="str">
        <f>IFERROR(__xludf.DUMMYFUNCTION("""COMPUTED_VALUE"""),"B18A")</f>
        <v>B18A</v>
      </c>
      <c r="B7244" s="226" t="str">
        <f>IFERROR(__xludf.DUMMYFUNCTION("""COMPUTED_VALUE"""),"04184")</f>
        <v>04184</v>
      </c>
      <c r="C7244" t="str">
        <f>IFERROR(__xludf.DUMMYFUNCTION("""COMPUTED_VALUE"""),"Autohak")</f>
        <v>Autohak</v>
      </c>
    </row>
    <row r="7245">
      <c r="A7245" t="str">
        <f>IFERROR(__xludf.DUMMYFUNCTION("""COMPUTED_VALUE"""),"B18V")</f>
        <v>B18V</v>
      </c>
      <c r="B7245" s="226" t="str">
        <f>IFERROR(__xludf.DUMMYFUNCTION("""COMPUTED_VALUE"""),"04917")</f>
        <v>04917</v>
      </c>
      <c r="C7245" t="str">
        <f>IFERROR(__xludf.DUMMYFUNCTION("""COMPUTED_VALUE"""),"Autohak")</f>
        <v>Autohak</v>
      </c>
    </row>
    <row r="7246">
      <c r="A7246" t="str">
        <f>IFERROR(__xludf.DUMMYFUNCTION("""COMPUTED_VALUE"""),"B04")</f>
        <v>B04</v>
      </c>
      <c r="B7246" s="226" t="str">
        <f>IFERROR(__xludf.DUMMYFUNCTION("""COMPUTED_VALUE"""),"03040")</f>
        <v>03040</v>
      </c>
      <c r="C7246" t="str">
        <f>IFERROR(__xludf.DUMMYFUNCTION("""COMPUTED_VALUE"""),"Autohak")</f>
        <v>Autohak</v>
      </c>
    </row>
    <row r="7247">
      <c r="A7247" t="str">
        <f>IFERROR(__xludf.DUMMYFUNCTION("""COMPUTED_VALUE"""),"B04A")</f>
        <v>B04A</v>
      </c>
      <c r="B7247" s="226" t="str">
        <f>IFERROR(__xludf.DUMMYFUNCTION("""COMPUTED_VALUE"""),"04047")</f>
        <v>04047</v>
      </c>
      <c r="C7247" t="str">
        <f>IFERROR(__xludf.DUMMYFUNCTION("""COMPUTED_VALUE"""),"Autohak")</f>
        <v>Autohak</v>
      </c>
    </row>
    <row r="7248">
      <c r="A7248" t="str">
        <f>IFERROR(__xludf.DUMMYFUNCTION("""COMPUTED_VALUE"""),"B09")</f>
        <v>B09</v>
      </c>
      <c r="B7248" s="226" t="str">
        <f>IFERROR(__xludf.DUMMYFUNCTION("""COMPUTED_VALUE"""),"03088")</f>
        <v>03088</v>
      </c>
      <c r="C7248" t="str">
        <f>IFERROR(__xludf.DUMMYFUNCTION("""COMPUTED_VALUE"""),"Autohak")</f>
        <v>Autohak</v>
      </c>
    </row>
    <row r="7249">
      <c r="A7249" t="str">
        <f>IFERROR(__xludf.DUMMYFUNCTION("""COMPUTED_VALUE"""),"B12")</f>
        <v>B12</v>
      </c>
      <c r="B7249" s="226" t="str">
        <f>IFERROR(__xludf.DUMMYFUNCTION("""COMPUTED_VALUE"""),"03118")</f>
        <v>03118</v>
      </c>
      <c r="C7249" t="str">
        <f>IFERROR(__xludf.DUMMYFUNCTION("""COMPUTED_VALUE"""),"Autohak")</f>
        <v>Autohak</v>
      </c>
    </row>
    <row r="7250">
      <c r="A7250" t="str">
        <f>IFERROR(__xludf.DUMMYFUNCTION("""COMPUTED_VALUE"""),"B12A")</f>
        <v>B12A</v>
      </c>
      <c r="B7250" s="226" t="str">
        <f>IFERROR(__xludf.DUMMYFUNCTION("""COMPUTED_VALUE"""),"04115")</f>
        <v>04115</v>
      </c>
      <c r="C7250" t="str">
        <f>IFERROR(__xludf.DUMMYFUNCTION("""COMPUTED_VALUE"""),"Autohak")</f>
        <v>Autohak</v>
      </c>
    </row>
    <row r="7251">
      <c r="A7251" t="str">
        <f>IFERROR(__xludf.DUMMYFUNCTION("""COMPUTED_VALUE"""),"B12V")</f>
        <v>B12V</v>
      </c>
      <c r="B7251" s="226" t="str">
        <f>IFERROR(__xludf.DUMMYFUNCTION("""COMPUTED_VALUE"""),"04962")</f>
        <v>04962</v>
      </c>
      <c r="C7251" t="str">
        <f>IFERROR(__xludf.DUMMYFUNCTION("""COMPUTED_VALUE"""),"Autohak")</f>
        <v>Autohak</v>
      </c>
    </row>
    <row r="7252">
      <c r="A7252" t="str">
        <f>IFERROR(__xludf.DUMMYFUNCTION("""COMPUTED_VALUE"""),"B18")</f>
        <v>B18</v>
      </c>
      <c r="B7252" s="226" t="str">
        <f>IFERROR(__xludf.DUMMYFUNCTION("""COMPUTED_VALUE"""),"03187")</f>
        <v>03187</v>
      </c>
      <c r="C7252" t="str">
        <f>IFERROR(__xludf.DUMMYFUNCTION("""COMPUTED_VALUE"""),"Autohak")</f>
        <v>Autohak</v>
      </c>
    </row>
    <row r="7253">
      <c r="A7253" t="str">
        <f>IFERROR(__xludf.DUMMYFUNCTION("""COMPUTED_VALUE"""),"B18A")</f>
        <v>B18A</v>
      </c>
      <c r="B7253" s="226" t="str">
        <f>IFERROR(__xludf.DUMMYFUNCTION("""COMPUTED_VALUE"""),"04184")</f>
        <v>04184</v>
      </c>
      <c r="C7253" t="str">
        <f>IFERROR(__xludf.DUMMYFUNCTION("""COMPUTED_VALUE"""),"Autohak")</f>
        <v>Autohak</v>
      </c>
    </row>
    <row r="7254">
      <c r="A7254" t="str">
        <f>IFERROR(__xludf.DUMMYFUNCTION("""COMPUTED_VALUE"""),"B18V")</f>
        <v>B18V</v>
      </c>
      <c r="B7254" s="226" t="str">
        <f>IFERROR(__xludf.DUMMYFUNCTION("""COMPUTED_VALUE"""),"04917")</f>
        <v>04917</v>
      </c>
      <c r="C7254" t="str">
        <f>IFERROR(__xludf.DUMMYFUNCTION("""COMPUTED_VALUE"""),"Autohak")</f>
        <v>Autohak</v>
      </c>
    </row>
    <row r="7255">
      <c r="A7255" t="str">
        <f>IFERROR(__xludf.DUMMYFUNCTION("""COMPUTED_VALUE"""),"B18")</f>
        <v>B18</v>
      </c>
      <c r="B7255" s="226" t="str">
        <f>IFERROR(__xludf.DUMMYFUNCTION("""COMPUTED_VALUE"""),"03187")</f>
        <v>03187</v>
      </c>
      <c r="C7255" t="str">
        <f>IFERROR(__xludf.DUMMYFUNCTION("""COMPUTED_VALUE"""),"Autohak")</f>
        <v>Autohak</v>
      </c>
    </row>
    <row r="7256">
      <c r="A7256" t="str">
        <f>IFERROR(__xludf.DUMMYFUNCTION("""COMPUTED_VALUE"""),"B18A")</f>
        <v>B18A</v>
      </c>
      <c r="B7256" s="226" t="str">
        <f>IFERROR(__xludf.DUMMYFUNCTION("""COMPUTED_VALUE"""),"04184")</f>
        <v>04184</v>
      </c>
      <c r="C7256" t="str">
        <f>IFERROR(__xludf.DUMMYFUNCTION("""COMPUTED_VALUE"""),"Autohak")</f>
        <v>Autohak</v>
      </c>
    </row>
    <row r="7257">
      <c r="A7257" t="str">
        <f>IFERROR(__xludf.DUMMYFUNCTION("""COMPUTED_VALUE"""),"B18V")</f>
        <v>B18V</v>
      </c>
      <c r="B7257" s="226" t="str">
        <f>IFERROR(__xludf.DUMMYFUNCTION("""COMPUTED_VALUE"""),"04917")</f>
        <v>04917</v>
      </c>
      <c r="C7257" t="str">
        <f>IFERROR(__xludf.DUMMYFUNCTION("""COMPUTED_VALUE"""),"Autohak")</f>
        <v>Autohak</v>
      </c>
    </row>
    <row r="7258">
      <c r="A7258" t="str">
        <f>IFERROR(__xludf.DUMMYFUNCTION("""COMPUTED_VALUE"""),"B21V")</f>
        <v>B21V</v>
      </c>
      <c r="B7258" s="226" t="str">
        <f>IFERROR(__xludf.DUMMYFUNCTION("""COMPUTED_VALUE"""),"04887")</f>
        <v>04887</v>
      </c>
      <c r="C7258" t="str">
        <f>IFERROR(__xludf.DUMMYFUNCTION("""COMPUTED_VALUE"""),"Autohak")</f>
        <v>Autohak</v>
      </c>
    </row>
    <row r="7259">
      <c r="A7259" t="str">
        <f>IFERROR(__xludf.DUMMYFUNCTION("""COMPUTED_VALUE"""),"B21V")</f>
        <v>B21V</v>
      </c>
      <c r="B7259" s="226" t="str">
        <f>IFERROR(__xludf.DUMMYFUNCTION("""COMPUTED_VALUE"""),"04887")</f>
        <v>04887</v>
      </c>
      <c r="C7259" t="str">
        <f>IFERROR(__xludf.DUMMYFUNCTION("""COMPUTED_VALUE"""),"Autohak")</f>
        <v>Autohak</v>
      </c>
    </row>
    <row r="7260">
      <c r="A7260" t="str">
        <f>IFERROR(__xludf.DUMMYFUNCTION("""COMPUTED_VALUE"""),"B28V")</f>
        <v>B28V</v>
      </c>
      <c r="B7260" s="226" t="str">
        <f>IFERROR(__xludf.DUMMYFUNCTION("""COMPUTED_VALUE"""),"04825")</f>
        <v>04825</v>
      </c>
      <c r="C7260" t="str">
        <f>IFERROR(__xludf.DUMMYFUNCTION("""COMPUTED_VALUE"""),"Autohak")</f>
        <v>Autohak</v>
      </c>
    </row>
    <row r="7261">
      <c r="A7261" t="str">
        <f>IFERROR(__xludf.DUMMYFUNCTION("""COMPUTED_VALUE"""),"B05")</f>
        <v>B05</v>
      </c>
      <c r="B7261" s="226" t="str">
        <f>IFERROR(__xludf.DUMMYFUNCTION("""COMPUTED_VALUE"""),"03064")</f>
        <v>03064</v>
      </c>
      <c r="C7261" t="str">
        <f>IFERROR(__xludf.DUMMYFUNCTION("""COMPUTED_VALUE"""),"Autohak")</f>
        <v>Autohak</v>
      </c>
    </row>
    <row r="7262">
      <c r="A7262" t="str">
        <f>IFERROR(__xludf.DUMMYFUNCTION("""COMPUTED_VALUE"""),"B05A")</f>
        <v>B05A</v>
      </c>
      <c r="B7262" s="226" t="str">
        <f>IFERROR(__xludf.DUMMYFUNCTION("""COMPUTED_VALUE"""),"04061")</f>
        <v>04061</v>
      </c>
      <c r="C7262" t="str">
        <f>IFERROR(__xludf.DUMMYFUNCTION("""COMPUTED_VALUE"""),"Autohak")</f>
        <v>Autohak</v>
      </c>
    </row>
    <row r="7263">
      <c r="A7263" t="str">
        <f>IFERROR(__xludf.DUMMYFUNCTION("""COMPUTED_VALUE"""),"B07")</f>
        <v>B07</v>
      </c>
      <c r="B7263" s="226" t="str">
        <f>IFERROR(__xludf.DUMMYFUNCTION("""COMPUTED_VALUE"""),"03071")</f>
        <v>03071</v>
      </c>
      <c r="C7263" t="str">
        <f>IFERROR(__xludf.DUMMYFUNCTION("""COMPUTED_VALUE"""),"Autohak")</f>
        <v>Autohak</v>
      </c>
    </row>
    <row r="7264">
      <c r="A7264" t="str">
        <f>IFERROR(__xludf.DUMMYFUNCTION("""COMPUTED_VALUE"""),"B17")</f>
        <v>B17</v>
      </c>
      <c r="B7264" s="226" t="str">
        <f>IFERROR(__xludf.DUMMYFUNCTION("""COMPUTED_VALUE"""),"03163")</f>
        <v>03163</v>
      </c>
      <c r="C7264" t="str">
        <f>IFERROR(__xludf.DUMMYFUNCTION("""COMPUTED_VALUE"""),"Autohak")</f>
        <v>Autohak</v>
      </c>
    </row>
    <row r="7265">
      <c r="A7265" t="str">
        <f>IFERROR(__xludf.DUMMYFUNCTION("""COMPUTED_VALUE"""),"B17A")</f>
        <v>B17A</v>
      </c>
      <c r="B7265" s="226" t="str">
        <f>IFERROR(__xludf.DUMMYFUNCTION("""COMPUTED_VALUE"""),"04160")</f>
        <v>04160</v>
      </c>
      <c r="C7265" t="str">
        <f>IFERROR(__xludf.DUMMYFUNCTION("""COMPUTED_VALUE"""),"Autohak")</f>
        <v>Autohak</v>
      </c>
    </row>
    <row r="7266">
      <c r="A7266" t="str">
        <f>IFERROR(__xludf.DUMMYFUNCTION("""COMPUTED_VALUE"""),"B17V")</f>
        <v>B17V</v>
      </c>
      <c r="B7266" s="226" t="str">
        <f>IFERROR(__xludf.DUMMYFUNCTION("""COMPUTED_VALUE"""),"04924")</f>
        <v>04924</v>
      </c>
      <c r="C7266" t="str">
        <f>IFERROR(__xludf.DUMMYFUNCTION("""COMPUTED_VALUE"""),"Autohak")</f>
        <v>Autohak</v>
      </c>
    </row>
    <row r="7267">
      <c r="A7267" t="str">
        <f>IFERROR(__xludf.DUMMYFUNCTION("""COMPUTED_VALUE"""),"B24")</f>
        <v>B24</v>
      </c>
      <c r="B7267" s="226" t="str">
        <f>IFERROR(__xludf.DUMMYFUNCTION("""COMPUTED_VALUE"""),"03200")</f>
        <v>03200</v>
      </c>
      <c r="C7267" t="str">
        <f>IFERROR(__xludf.DUMMYFUNCTION("""COMPUTED_VALUE"""),"Autohak")</f>
        <v>Autohak</v>
      </c>
    </row>
    <row r="7268">
      <c r="A7268" t="str">
        <f>IFERROR(__xludf.DUMMYFUNCTION("""COMPUTED_VALUE"""),"B24A")</f>
        <v>B24A</v>
      </c>
      <c r="B7268" s="226" t="str">
        <f>IFERROR(__xludf.DUMMYFUNCTION("""COMPUTED_VALUE"""),"04191")</f>
        <v>04191</v>
      </c>
      <c r="C7268" t="str">
        <f>IFERROR(__xludf.DUMMYFUNCTION("""COMPUTED_VALUE"""),"Autohak")</f>
        <v>Autohak</v>
      </c>
    </row>
    <row r="7269">
      <c r="A7269" t="str">
        <f>IFERROR(__xludf.DUMMYFUNCTION("""COMPUTED_VALUE"""),"B24V")</f>
        <v>B24V</v>
      </c>
      <c r="B7269" s="226" t="str">
        <f>IFERROR(__xludf.DUMMYFUNCTION("""COMPUTED_VALUE"""),"04870")</f>
        <v>04870</v>
      </c>
      <c r="C7269" t="str">
        <f>IFERROR(__xludf.DUMMYFUNCTION("""COMPUTED_VALUE"""),"Autohak")</f>
        <v>Autohak</v>
      </c>
    </row>
    <row r="7270">
      <c r="A7270" t="str">
        <f>IFERROR(__xludf.DUMMYFUNCTION("""COMPUTED_VALUE"""),"B24")</f>
        <v>B24</v>
      </c>
      <c r="B7270" s="226" t="str">
        <f>IFERROR(__xludf.DUMMYFUNCTION("""COMPUTED_VALUE"""),"03200")</f>
        <v>03200</v>
      </c>
      <c r="C7270" t="str">
        <f>IFERROR(__xludf.DUMMYFUNCTION("""COMPUTED_VALUE"""),"Autohak")</f>
        <v>Autohak</v>
      </c>
    </row>
    <row r="7271">
      <c r="A7271" t="str">
        <f>IFERROR(__xludf.DUMMYFUNCTION("""COMPUTED_VALUE"""),"B24A")</f>
        <v>B24A</v>
      </c>
      <c r="B7271" s="226" t="str">
        <f>IFERROR(__xludf.DUMMYFUNCTION("""COMPUTED_VALUE"""),"04191")</f>
        <v>04191</v>
      </c>
      <c r="C7271" t="str">
        <f>IFERROR(__xludf.DUMMYFUNCTION("""COMPUTED_VALUE"""),"Autohak")</f>
        <v>Autohak</v>
      </c>
    </row>
    <row r="7272">
      <c r="A7272" t="str">
        <f>IFERROR(__xludf.DUMMYFUNCTION("""COMPUTED_VALUE"""),"B24V")</f>
        <v>B24V</v>
      </c>
      <c r="B7272" s="226" t="str">
        <f>IFERROR(__xludf.DUMMYFUNCTION("""COMPUTED_VALUE"""),"04870")</f>
        <v>04870</v>
      </c>
      <c r="C7272" t="str">
        <f>IFERROR(__xludf.DUMMYFUNCTION("""COMPUTED_VALUE"""),"Autohak")</f>
        <v>Autohak</v>
      </c>
    </row>
    <row r="7273">
      <c r="A7273" t="str">
        <f>IFERROR(__xludf.DUMMYFUNCTION("""COMPUTED_VALUE"""),"B15")</f>
        <v>B15</v>
      </c>
      <c r="B7273" s="226" t="str">
        <f>IFERROR(__xludf.DUMMYFUNCTION("""COMPUTED_VALUE"""),"03149")</f>
        <v>03149</v>
      </c>
      <c r="C7273" t="str">
        <f>IFERROR(__xludf.DUMMYFUNCTION("""COMPUTED_VALUE"""),"Autohak")</f>
        <v>Autohak</v>
      </c>
    </row>
    <row r="7274">
      <c r="A7274" t="str">
        <f>IFERROR(__xludf.DUMMYFUNCTION("""COMPUTED_VALUE"""),"B15A")</f>
        <v>B15A</v>
      </c>
      <c r="B7274" s="226" t="str">
        <f>IFERROR(__xludf.DUMMYFUNCTION("""COMPUTED_VALUE"""),"04146")</f>
        <v>04146</v>
      </c>
      <c r="C7274" t="str">
        <f>IFERROR(__xludf.DUMMYFUNCTION("""COMPUTED_VALUE"""),"Autohak")</f>
        <v>Autohak</v>
      </c>
    </row>
    <row r="7275">
      <c r="A7275" t="str">
        <f>IFERROR(__xludf.DUMMYFUNCTION("""COMPUTED_VALUE"""),"B15V")</f>
        <v>B15V</v>
      </c>
      <c r="B7275" s="226" t="str">
        <f>IFERROR(__xludf.DUMMYFUNCTION("""COMPUTED_VALUE"""),"04948")</f>
        <v>04948</v>
      </c>
      <c r="C7275" t="str">
        <f>IFERROR(__xludf.DUMMYFUNCTION("""COMPUTED_VALUE"""),"Autohak")</f>
        <v>Autohak</v>
      </c>
    </row>
    <row r="7276">
      <c r="A7276" t="str">
        <f>IFERROR(__xludf.DUMMYFUNCTION("""COMPUTED_VALUE"""),"B29")</f>
        <v>B29</v>
      </c>
      <c r="B7276" s="226" t="str">
        <f>IFERROR(__xludf.DUMMYFUNCTION("""COMPUTED_VALUE"""),"03255")</f>
        <v>03255</v>
      </c>
      <c r="C7276" t="str">
        <f>IFERROR(__xludf.DUMMYFUNCTION("""COMPUTED_VALUE"""),"Autohak")</f>
        <v>Autohak</v>
      </c>
    </row>
    <row r="7277">
      <c r="A7277" t="str">
        <f>IFERROR(__xludf.DUMMYFUNCTION("""COMPUTED_VALUE"""),"B29A")</f>
        <v>B29A</v>
      </c>
      <c r="B7277" s="226" t="str">
        <f>IFERROR(__xludf.DUMMYFUNCTION("""COMPUTED_VALUE"""),"04252")</f>
        <v>04252</v>
      </c>
      <c r="C7277" t="str">
        <f>IFERROR(__xludf.DUMMYFUNCTION("""COMPUTED_VALUE"""),"Autohak")</f>
        <v>Autohak</v>
      </c>
    </row>
    <row r="7278">
      <c r="A7278" t="str">
        <f>IFERROR(__xludf.DUMMYFUNCTION("""COMPUTED_VALUE"""),"B29V")</f>
        <v>B29V</v>
      </c>
      <c r="B7278" s="226" t="str">
        <f>IFERROR(__xludf.DUMMYFUNCTION("""COMPUTED_VALUE"""),"04818")</f>
        <v>04818</v>
      </c>
      <c r="C7278" t="str">
        <f>IFERROR(__xludf.DUMMYFUNCTION("""COMPUTED_VALUE"""),"Autohak")</f>
        <v>Autohak</v>
      </c>
    </row>
    <row r="7279">
      <c r="A7279" t="str">
        <f>IFERROR(__xludf.DUMMYFUNCTION("""COMPUTED_VALUE"""),"B13")</f>
        <v>B13</v>
      </c>
      <c r="B7279" s="226" t="str">
        <f>IFERROR(__xludf.DUMMYFUNCTION("""COMPUTED_VALUE"""),"03125")</f>
        <v>03125</v>
      </c>
      <c r="C7279" t="str">
        <f>IFERROR(__xludf.DUMMYFUNCTION("""COMPUTED_VALUE"""),"Autohak")</f>
        <v>Autohak</v>
      </c>
    </row>
    <row r="7280">
      <c r="A7280" t="str">
        <f>IFERROR(__xludf.DUMMYFUNCTION("""COMPUTED_VALUE"""),"B13A")</f>
        <v>B13A</v>
      </c>
      <c r="B7280" s="226" t="str">
        <f>IFERROR(__xludf.DUMMYFUNCTION("""COMPUTED_VALUE"""),"04122")</f>
        <v>04122</v>
      </c>
      <c r="C7280" t="str">
        <f>IFERROR(__xludf.DUMMYFUNCTION("""COMPUTED_VALUE"""),"Autohak")</f>
        <v>Autohak</v>
      </c>
    </row>
    <row r="7281">
      <c r="A7281" t="str">
        <f>IFERROR(__xludf.DUMMYFUNCTION("""COMPUTED_VALUE"""),"B13V")</f>
        <v>B13V</v>
      </c>
      <c r="B7281" s="226" t="str">
        <f>IFERROR(__xludf.DUMMYFUNCTION("""COMPUTED_VALUE"""),"04979")</f>
        <v>04979</v>
      </c>
      <c r="C7281" t="str">
        <f>IFERROR(__xludf.DUMMYFUNCTION("""COMPUTED_VALUE"""),"Autohak")</f>
        <v>Autohak</v>
      </c>
    </row>
    <row r="7282">
      <c r="A7282" t="str">
        <f>IFERROR(__xludf.DUMMYFUNCTION("""COMPUTED_VALUE"""),"B16")</f>
        <v>B16</v>
      </c>
      <c r="B7282" s="226" t="str">
        <f>IFERROR(__xludf.DUMMYFUNCTION("""COMPUTED_VALUE"""),"03156")</f>
        <v>03156</v>
      </c>
      <c r="C7282" t="str">
        <f>IFERROR(__xludf.DUMMYFUNCTION("""COMPUTED_VALUE"""),"Autohak")</f>
        <v>Autohak</v>
      </c>
    </row>
    <row r="7283">
      <c r="A7283" t="str">
        <f>IFERROR(__xludf.DUMMYFUNCTION("""COMPUTED_VALUE"""),"B16A")</f>
        <v>B16A</v>
      </c>
      <c r="B7283" s="226" t="str">
        <f>IFERROR(__xludf.DUMMYFUNCTION("""COMPUTED_VALUE"""),"04153")</f>
        <v>04153</v>
      </c>
      <c r="C7283" t="str">
        <f>IFERROR(__xludf.DUMMYFUNCTION("""COMPUTED_VALUE"""),"Autohak")</f>
        <v>Autohak</v>
      </c>
    </row>
    <row r="7284">
      <c r="A7284" t="str">
        <f>IFERROR(__xludf.DUMMYFUNCTION("""COMPUTED_VALUE"""),"B16V")</f>
        <v>B16V</v>
      </c>
      <c r="B7284" s="226" t="str">
        <f>IFERROR(__xludf.DUMMYFUNCTION("""COMPUTED_VALUE"""),"04856")</f>
        <v>04856</v>
      </c>
      <c r="C7284" t="str">
        <f>IFERROR(__xludf.DUMMYFUNCTION("""COMPUTED_VALUE"""),"Autohak")</f>
        <v>Autohak</v>
      </c>
    </row>
    <row r="7285">
      <c r="A7285" t="str">
        <f>IFERROR(__xludf.DUMMYFUNCTION("""COMPUTED_VALUE"""),"B16")</f>
        <v>B16</v>
      </c>
      <c r="B7285" s="226" t="str">
        <f>IFERROR(__xludf.DUMMYFUNCTION("""COMPUTED_VALUE"""),"03156")</f>
        <v>03156</v>
      </c>
      <c r="C7285" t="str">
        <f>IFERROR(__xludf.DUMMYFUNCTION("""COMPUTED_VALUE"""),"Autohak")</f>
        <v>Autohak</v>
      </c>
    </row>
    <row r="7286">
      <c r="A7286" t="str">
        <f>IFERROR(__xludf.DUMMYFUNCTION("""COMPUTED_VALUE"""),"B16A")</f>
        <v>B16A</v>
      </c>
      <c r="B7286" s="226" t="str">
        <f>IFERROR(__xludf.DUMMYFUNCTION("""COMPUTED_VALUE"""),"04153")</f>
        <v>04153</v>
      </c>
      <c r="C7286" t="str">
        <f>IFERROR(__xludf.DUMMYFUNCTION("""COMPUTED_VALUE"""),"Autohak")</f>
        <v>Autohak</v>
      </c>
    </row>
    <row r="7287">
      <c r="A7287" t="str">
        <f>IFERROR(__xludf.DUMMYFUNCTION("""COMPUTED_VALUE"""),"B16V")</f>
        <v>B16V</v>
      </c>
      <c r="B7287" s="226" t="str">
        <f>IFERROR(__xludf.DUMMYFUNCTION("""COMPUTED_VALUE"""),"04856")</f>
        <v>04856</v>
      </c>
      <c r="C7287" t="str">
        <f>IFERROR(__xludf.DUMMYFUNCTION("""COMPUTED_VALUE"""),"Autohak")</f>
        <v>Autohak</v>
      </c>
    </row>
    <row r="7288">
      <c r="A7288" t="str">
        <f>IFERROR(__xludf.DUMMYFUNCTION("""COMPUTED_VALUE"""),"B14")</f>
        <v>B14</v>
      </c>
      <c r="B7288" s="226" t="str">
        <f>IFERROR(__xludf.DUMMYFUNCTION("""COMPUTED_VALUE"""),"03132")</f>
        <v>03132</v>
      </c>
      <c r="C7288" t="str">
        <f>IFERROR(__xludf.DUMMYFUNCTION("""COMPUTED_VALUE"""),"Autohak")</f>
        <v>Autohak</v>
      </c>
    </row>
    <row r="7289">
      <c r="A7289" t="str">
        <f>IFERROR(__xludf.DUMMYFUNCTION("""COMPUTED_VALUE"""),"B14A")</f>
        <v>B14A</v>
      </c>
      <c r="B7289" s="226" t="str">
        <f>IFERROR(__xludf.DUMMYFUNCTION("""COMPUTED_VALUE"""),"04139")</f>
        <v>04139</v>
      </c>
      <c r="C7289" t="str">
        <f>IFERROR(__xludf.DUMMYFUNCTION("""COMPUTED_VALUE"""),"Autohak")</f>
        <v>Autohak</v>
      </c>
    </row>
    <row r="7290">
      <c r="A7290" t="str">
        <f>IFERROR(__xludf.DUMMYFUNCTION("""COMPUTED_VALUE"""),"B14V")</f>
        <v>B14V</v>
      </c>
      <c r="B7290" s="226" t="str">
        <f>IFERROR(__xludf.DUMMYFUNCTION("""COMPUTED_VALUE"""),"04955")</f>
        <v>04955</v>
      </c>
      <c r="C7290" t="str">
        <f>IFERROR(__xludf.DUMMYFUNCTION("""COMPUTED_VALUE"""),"Autohak")</f>
        <v>Autohak</v>
      </c>
    </row>
    <row r="7291">
      <c r="A7291" t="str">
        <f>IFERROR(__xludf.DUMMYFUNCTION("""COMPUTED_VALUE"""),"B10")</f>
        <v>B10</v>
      </c>
      <c r="B7291" s="226" t="str">
        <f>IFERROR(__xludf.DUMMYFUNCTION("""COMPUTED_VALUE"""),"03095")</f>
        <v>03095</v>
      </c>
      <c r="C7291" t="str">
        <f>IFERROR(__xludf.DUMMYFUNCTION("""COMPUTED_VALUE"""),"Autohak")</f>
        <v>Autohak</v>
      </c>
    </row>
    <row r="7292">
      <c r="A7292" t="str">
        <f>IFERROR(__xludf.DUMMYFUNCTION("""COMPUTED_VALUE"""),"B10A")</f>
        <v>B10A</v>
      </c>
      <c r="B7292" s="226" t="str">
        <f>IFERROR(__xludf.DUMMYFUNCTION("""COMPUTED_VALUE"""),"04092")</f>
        <v>04092</v>
      </c>
      <c r="C7292" t="str">
        <f>IFERROR(__xludf.DUMMYFUNCTION("""COMPUTED_VALUE"""),"Autohak")</f>
        <v>Autohak</v>
      </c>
    </row>
    <row r="7293">
      <c r="A7293" t="str">
        <f>IFERROR(__xludf.DUMMYFUNCTION("""COMPUTED_VALUE"""),"B10V")</f>
        <v>B10V</v>
      </c>
      <c r="B7293" s="226" t="str">
        <f>IFERROR(__xludf.DUMMYFUNCTION("""COMPUTED_VALUE"""),"04931")</f>
        <v>04931</v>
      </c>
      <c r="C7293" t="str">
        <f>IFERROR(__xludf.DUMMYFUNCTION("""COMPUTED_VALUE"""),"Autohak")</f>
        <v>Autohak</v>
      </c>
    </row>
    <row r="7294">
      <c r="A7294" t="str">
        <f>IFERROR(__xludf.DUMMYFUNCTION("""COMPUTED_VALUE"""),"B10")</f>
        <v>B10</v>
      </c>
      <c r="B7294" s="226" t="str">
        <f>IFERROR(__xludf.DUMMYFUNCTION("""COMPUTED_VALUE"""),"03095")</f>
        <v>03095</v>
      </c>
      <c r="C7294" t="str">
        <f>IFERROR(__xludf.DUMMYFUNCTION("""COMPUTED_VALUE"""),"Autohak")</f>
        <v>Autohak</v>
      </c>
    </row>
    <row r="7295">
      <c r="A7295" t="str">
        <f>IFERROR(__xludf.DUMMYFUNCTION("""COMPUTED_VALUE"""),"B10A")</f>
        <v>B10A</v>
      </c>
      <c r="B7295" s="226" t="str">
        <f>IFERROR(__xludf.DUMMYFUNCTION("""COMPUTED_VALUE"""),"04092")</f>
        <v>04092</v>
      </c>
      <c r="C7295" t="str">
        <f>IFERROR(__xludf.DUMMYFUNCTION("""COMPUTED_VALUE"""),"Autohak")</f>
        <v>Autohak</v>
      </c>
    </row>
    <row r="7296">
      <c r="A7296" t="str">
        <f>IFERROR(__xludf.DUMMYFUNCTION("""COMPUTED_VALUE"""),"B10V")</f>
        <v>B10V</v>
      </c>
      <c r="B7296" s="226" t="str">
        <f>IFERROR(__xludf.DUMMYFUNCTION("""COMPUTED_VALUE"""),"04931")</f>
        <v>04931</v>
      </c>
      <c r="C7296" t="str">
        <f>IFERROR(__xludf.DUMMYFUNCTION("""COMPUTED_VALUE"""),"Autohak")</f>
        <v>Autohak</v>
      </c>
    </row>
    <row r="7297">
      <c r="A7297" t="str">
        <f>IFERROR(__xludf.DUMMYFUNCTION("""COMPUTED_VALUE"""),"B19")</f>
        <v>B19</v>
      </c>
      <c r="B7297" s="226" t="str">
        <f>IFERROR(__xludf.DUMMYFUNCTION("""COMPUTED_VALUE"""),"03231")</f>
        <v>03231</v>
      </c>
      <c r="C7297" t="str">
        <f>IFERROR(__xludf.DUMMYFUNCTION("""COMPUTED_VALUE"""),"Autohak")</f>
        <v>Autohak</v>
      </c>
    </row>
    <row r="7298">
      <c r="A7298" t="str">
        <f>IFERROR(__xludf.DUMMYFUNCTION("""COMPUTED_VALUE"""),"B19A")</f>
        <v>B19A</v>
      </c>
      <c r="B7298" s="226" t="str">
        <f>IFERROR(__xludf.DUMMYFUNCTION("""COMPUTED_VALUE"""),"04238")</f>
        <v>04238</v>
      </c>
      <c r="C7298" t="str">
        <f>IFERROR(__xludf.DUMMYFUNCTION("""COMPUTED_VALUE"""),"Autohak")</f>
        <v>Autohak</v>
      </c>
    </row>
    <row r="7299">
      <c r="A7299" t="str">
        <f>IFERROR(__xludf.DUMMYFUNCTION("""COMPUTED_VALUE"""),"B19V")</f>
        <v>B19V</v>
      </c>
      <c r="B7299" s="226" t="str">
        <f>IFERROR(__xludf.DUMMYFUNCTION("""COMPUTED_VALUE"""),"04900")</f>
        <v>04900</v>
      </c>
      <c r="C7299" t="str">
        <f>IFERROR(__xludf.DUMMYFUNCTION("""COMPUTED_VALUE"""),"Autohak")</f>
        <v>Autohak</v>
      </c>
    </row>
    <row r="7300">
      <c r="A7300" t="str">
        <f>IFERROR(__xludf.DUMMYFUNCTION("""COMPUTED_VALUE"""),"X22")</f>
        <v>X22</v>
      </c>
      <c r="B7300" s="226" t="str">
        <f>IFERROR(__xludf.DUMMYFUNCTION("""COMPUTED_VALUE"""),"05051")</f>
        <v>05051</v>
      </c>
      <c r="C7300" t="str">
        <f>IFERROR(__xludf.DUMMYFUNCTION("""COMPUTED_VALUE"""),"Autohak")</f>
        <v>Autohak</v>
      </c>
    </row>
    <row r="7301">
      <c r="A7301" t="str">
        <f>IFERROR(__xludf.DUMMYFUNCTION("""COMPUTED_VALUE"""),"X22A")</f>
        <v>X22A</v>
      </c>
      <c r="B7301" s="226" t="str">
        <f>IFERROR(__xludf.DUMMYFUNCTION("""COMPUTED_VALUE"""),"06058")</f>
        <v>06058</v>
      </c>
      <c r="C7301" t="str">
        <f>IFERROR(__xludf.DUMMYFUNCTION("""COMPUTED_VALUE"""),"Autohak")</f>
        <v>Autohak</v>
      </c>
    </row>
    <row r="7302">
      <c r="A7302" t="str">
        <f>IFERROR(__xludf.DUMMYFUNCTION("""COMPUTED_VALUE"""),"X25")</f>
        <v>X25</v>
      </c>
      <c r="B7302" s="226" t="str">
        <f>IFERROR(__xludf.DUMMYFUNCTION("""COMPUTED_VALUE"""),"05082")</f>
        <v>05082</v>
      </c>
      <c r="C7302" t="str">
        <f>IFERROR(__xludf.DUMMYFUNCTION("""COMPUTED_VALUE"""),"Autohak")</f>
        <v>Autohak</v>
      </c>
    </row>
    <row r="7303">
      <c r="A7303" t="str">
        <f>IFERROR(__xludf.DUMMYFUNCTION("""COMPUTED_VALUE"""),"X25A")</f>
        <v>X25A</v>
      </c>
      <c r="B7303" s="226" t="str">
        <f>IFERROR(__xludf.DUMMYFUNCTION("""COMPUTED_VALUE"""),"06089")</f>
        <v>06089</v>
      </c>
      <c r="C7303" t="str">
        <f>IFERROR(__xludf.DUMMYFUNCTION("""COMPUTED_VALUE"""),"Autohak")</f>
        <v>Autohak</v>
      </c>
    </row>
    <row r="7304">
      <c r="A7304" t="str">
        <f>IFERROR(__xludf.DUMMYFUNCTION("""COMPUTED_VALUE"""),"X21")</f>
        <v>X21</v>
      </c>
      <c r="B7304" s="226" t="str">
        <f>IFERROR(__xludf.DUMMYFUNCTION("""COMPUTED_VALUE"""),"05044")</f>
        <v>05044</v>
      </c>
      <c r="C7304" t="str">
        <f>IFERROR(__xludf.DUMMYFUNCTION("""COMPUTED_VALUE"""),"Autohak")</f>
        <v>Autohak</v>
      </c>
    </row>
    <row r="7305">
      <c r="A7305" t="str">
        <f>IFERROR(__xludf.DUMMYFUNCTION("""COMPUTED_VALUE"""),"X21A")</f>
        <v>X21A</v>
      </c>
      <c r="B7305" s="226" t="str">
        <f>IFERROR(__xludf.DUMMYFUNCTION("""COMPUTED_VALUE"""),"06041")</f>
        <v>06041</v>
      </c>
      <c r="C7305" t="str">
        <f>IFERROR(__xludf.DUMMYFUNCTION("""COMPUTED_VALUE"""),"Autohak")</f>
        <v>Autohak</v>
      </c>
    </row>
    <row r="7306">
      <c r="A7306" t="str">
        <f>IFERROR(__xludf.DUMMYFUNCTION("""COMPUTED_VALUE"""),"X20")</f>
        <v>X20</v>
      </c>
      <c r="B7306" s="226" t="str">
        <f>IFERROR(__xludf.DUMMYFUNCTION("""COMPUTED_VALUE"""),"05037")</f>
        <v>05037</v>
      </c>
      <c r="C7306" t="str">
        <f>IFERROR(__xludf.DUMMYFUNCTION("""COMPUTED_VALUE"""),"Autohak")</f>
        <v>Autohak</v>
      </c>
    </row>
    <row r="7307">
      <c r="A7307" t="str">
        <f>IFERROR(__xludf.DUMMYFUNCTION("""COMPUTED_VALUE"""),"X20A")</f>
        <v>X20A</v>
      </c>
      <c r="B7307" s="226" t="str">
        <f>IFERROR(__xludf.DUMMYFUNCTION("""COMPUTED_VALUE"""),"06034")</f>
        <v>06034</v>
      </c>
      <c r="C7307" t="str">
        <f>IFERROR(__xludf.DUMMYFUNCTION("""COMPUTED_VALUE"""),"Autohak")</f>
        <v>Autohak</v>
      </c>
    </row>
    <row r="7308">
      <c r="A7308" t="str">
        <f>IFERROR(__xludf.DUMMYFUNCTION("""COMPUTED_VALUE"""),"X20")</f>
        <v>X20</v>
      </c>
      <c r="B7308" s="226" t="str">
        <f>IFERROR(__xludf.DUMMYFUNCTION("""COMPUTED_VALUE"""),"05037")</f>
        <v>05037</v>
      </c>
      <c r="C7308" t="str">
        <f>IFERROR(__xludf.DUMMYFUNCTION("""COMPUTED_VALUE"""),"Autohak")</f>
        <v>Autohak</v>
      </c>
    </row>
    <row r="7309">
      <c r="A7309" t="str">
        <f>IFERROR(__xludf.DUMMYFUNCTION("""COMPUTED_VALUE"""),"X20A")</f>
        <v>X20A</v>
      </c>
      <c r="B7309" s="226" t="str">
        <f>IFERROR(__xludf.DUMMYFUNCTION("""COMPUTED_VALUE"""),"06034")</f>
        <v>06034</v>
      </c>
      <c r="C7309" t="str">
        <f>IFERROR(__xludf.DUMMYFUNCTION("""COMPUTED_VALUE"""),"Autohak")</f>
        <v>Autohak</v>
      </c>
    </row>
    <row r="7310">
      <c r="A7310" t="str">
        <f>IFERROR(__xludf.DUMMYFUNCTION("""COMPUTED_VALUE"""),"X23")</f>
        <v>X23</v>
      </c>
      <c r="B7310" s="226" t="str">
        <f>IFERROR(__xludf.DUMMYFUNCTION("""COMPUTED_VALUE"""),"05068")</f>
        <v>05068</v>
      </c>
      <c r="C7310" t="str">
        <f>IFERROR(__xludf.DUMMYFUNCTION("""COMPUTED_VALUE"""),"Autohak")</f>
        <v>Autohak</v>
      </c>
    </row>
    <row r="7311">
      <c r="A7311" t="str">
        <f>IFERROR(__xludf.DUMMYFUNCTION("""COMPUTED_VALUE"""),"X23A")</f>
        <v>X23A</v>
      </c>
      <c r="B7311" s="226" t="str">
        <f>IFERROR(__xludf.DUMMYFUNCTION("""COMPUTED_VALUE"""),"06065")</f>
        <v>06065</v>
      </c>
      <c r="C7311" t="str">
        <f>IFERROR(__xludf.DUMMYFUNCTION("""COMPUTED_VALUE"""),"Autohak")</f>
        <v>Autohak</v>
      </c>
    </row>
    <row r="7312">
      <c r="A7312" t="str">
        <f>IFERROR(__xludf.DUMMYFUNCTION("""COMPUTED_VALUE"""),"X23V")</f>
        <v>X23V</v>
      </c>
      <c r="B7312" s="226" t="str">
        <f>IFERROR(__xludf.DUMMYFUNCTION("""COMPUTED_VALUE"""),"06980")</f>
        <v>06980</v>
      </c>
      <c r="C7312" t="str">
        <f>IFERROR(__xludf.DUMMYFUNCTION("""COMPUTED_VALUE"""),"Autohak")</f>
        <v>Autohak</v>
      </c>
    </row>
    <row r="7313">
      <c r="A7313" t="str">
        <f>IFERROR(__xludf.DUMMYFUNCTION("""COMPUTED_VALUE"""),"X26")</f>
        <v>X26</v>
      </c>
      <c r="B7313" s="226" t="str">
        <f>IFERROR(__xludf.DUMMYFUNCTION("""COMPUTED_VALUE"""),"05099")</f>
        <v>05099</v>
      </c>
      <c r="C7313" t="str">
        <f>IFERROR(__xludf.DUMMYFUNCTION("""COMPUTED_VALUE"""),"Autohak")</f>
        <v>Autohak</v>
      </c>
    </row>
    <row r="7314">
      <c r="A7314" t="str">
        <f>IFERROR(__xludf.DUMMYFUNCTION("""COMPUTED_VALUE"""),"X26A")</f>
        <v>X26A</v>
      </c>
      <c r="B7314" s="226" t="str">
        <f>IFERROR(__xludf.DUMMYFUNCTION("""COMPUTED_VALUE"""),"06096")</f>
        <v>06096</v>
      </c>
      <c r="C7314" t="str">
        <f>IFERROR(__xludf.DUMMYFUNCTION("""COMPUTED_VALUE"""),"Autohak")</f>
        <v>Autohak</v>
      </c>
    </row>
    <row r="7315">
      <c r="A7315" t="str">
        <f>IFERROR(__xludf.DUMMYFUNCTION("""COMPUTED_VALUE"""),"X26V")</f>
        <v>X26V</v>
      </c>
      <c r="B7315" s="226" t="str">
        <f>IFERROR(__xludf.DUMMYFUNCTION("""COMPUTED_VALUE"""),"06997")</f>
        <v>06997</v>
      </c>
      <c r="C7315" t="str">
        <f>IFERROR(__xludf.DUMMYFUNCTION("""COMPUTED_VALUE"""),"Autohak")</f>
        <v>Autohak</v>
      </c>
    </row>
    <row r="7316">
      <c r="A7316" t="str">
        <f>IFERROR(__xludf.DUMMYFUNCTION("""COMPUTED_VALUE"""),"X19")</f>
        <v>X19</v>
      </c>
      <c r="B7316" s="226" t="str">
        <f>IFERROR(__xludf.DUMMYFUNCTION("""COMPUTED_VALUE"""),"05006")</f>
        <v>05006</v>
      </c>
      <c r="C7316" t="str">
        <f>IFERROR(__xludf.DUMMYFUNCTION("""COMPUTED_VALUE"""),"Autohak")</f>
        <v>Autohak</v>
      </c>
    </row>
    <row r="7317">
      <c r="A7317" t="str">
        <f>IFERROR(__xludf.DUMMYFUNCTION("""COMPUTED_VALUE"""),"X19A")</f>
        <v>X19A</v>
      </c>
      <c r="B7317" s="226" t="str">
        <f>IFERROR(__xludf.DUMMYFUNCTION("""COMPUTED_VALUE"""),"06003")</f>
        <v>06003</v>
      </c>
      <c r="C7317" t="str">
        <f>IFERROR(__xludf.DUMMYFUNCTION("""COMPUTED_VALUE"""),"Autohak")</f>
        <v>Autohak</v>
      </c>
    </row>
    <row r="7318">
      <c r="A7318" t="str">
        <f>IFERROR(__xludf.DUMMYFUNCTION("""COMPUTED_VALUE"""),"X17")</f>
        <v>X17</v>
      </c>
      <c r="B7318" s="226" t="str">
        <f>IFERROR(__xludf.DUMMYFUNCTION("""COMPUTED_VALUE"""),"05013")</f>
        <v>05013</v>
      </c>
      <c r="C7318" t="str">
        <f>IFERROR(__xludf.DUMMYFUNCTION("""COMPUTED_VALUE"""),"Autohak")</f>
        <v>Autohak</v>
      </c>
    </row>
    <row r="7319">
      <c r="A7319" t="str">
        <f>IFERROR(__xludf.DUMMYFUNCTION("""COMPUTED_VALUE"""),"X17A")</f>
        <v>X17A</v>
      </c>
      <c r="B7319" s="226" t="str">
        <f>IFERROR(__xludf.DUMMYFUNCTION("""COMPUTED_VALUE"""),"06010")</f>
        <v>06010</v>
      </c>
      <c r="C7319" t="str">
        <f>IFERROR(__xludf.DUMMYFUNCTION("""COMPUTED_VALUE"""),"Autohak")</f>
        <v>Autohak</v>
      </c>
    </row>
    <row r="7320">
      <c r="A7320" t="str">
        <f>IFERROR(__xludf.DUMMYFUNCTION("""COMPUTED_VALUE"""),"X18")</f>
        <v>X18</v>
      </c>
      <c r="B7320" s="226" t="str">
        <f>IFERROR(__xludf.DUMMYFUNCTION("""COMPUTED_VALUE"""),"05020")</f>
        <v>05020</v>
      </c>
      <c r="C7320" t="str">
        <f>IFERROR(__xludf.DUMMYFUNCTION("""COMPUTED_VALUE"""),"Autohak")</f>
        <v>Autohak</v>
      </c>
    </row>
    <row r="7321">
      <c r="A7321" t="str">
        <f>IFERROR(__xludf.DUMMYFUNCTION("""COMPUTED_VALUE"""),"X18A")</f>
        <v>X18A</v>
      </c>
      <c r="B7321" s="226" t="str">
        <f>IFERROR(__xludf.DUMMYFUNCTION("""COMPUTED_VALUE"""),"06027")</f>
        <v>06027</v>
      </c>
      <c r="C7321" t="str">
        <f>IFERROR(__xludf.DUMMYFUNCTION("""COMPUTED_VALUE"""),"Autohak")</f>
        <v>Autohak</v>
      </c>
    </row>
    <row r="7322">
      <c r="A7322" t="str">
        <f>IFERROR(__xludf.DUMMYFUNCTION("""COMPUTED_VALUE"""),"X24")</f>
        <v>X24</v>
      </c>
      <c r="B7322" s="226" t="str">
        <f>IFERROR(__xludf.DUMMYFUNCTION("""COMPUTED_VALUE"""),"05075")</f>
        <v>05075</v>
      </c>
      <c r="C7322" t="str">
        <f>IFERROR(__xludf.DUMMYFUNCTION("""COMPUTED_VALUE"""),"Autohak")</f>
        <v>Autohak</v>
      </c>
    </row>
    <row r="7323">
      <c r="A7323" t="str">
        <f>IFERROR(__xludf.DUMMYFUNCTION("""COMPUTED_VALUE"""),"X24A")</f>
        <v>X24A</v>
      </c>
      <c r="B7323" s="226" t="str">
        <f>IFERROR(__xludf.DUMMYFUNCTION("""COMPUTED_VALUE"""),"06072")</f>
        <v>06072</v>
      </c>
      <c r="C7323" t="str">
        <f>IFERROR(__xludf.DUMMYFUNCTION("""COMPUTED_VALUE"""),"Autohak")</f>
        <v>Autohak</v>
      </c>
    </row>
    <row r="7324">
      <c r="A7324" t="str">
        <f>IFERROR(__xludf.DUMMYFUNCTION("""COMPUTED_VALUE"""),"E49")</f>
        <v>E49</v>
      </c>
      <c r="B7324" s="226" t="str">
        <f>IFERROR(__xludf.DUMMYFUNCTION("""COMPUTED_VALUE"""),"40403")</f>
        <v>40403</v>
      </c>
      <c r="C7324" t="str">
        <f>IFERROR(__xludf.DUMMYFUNCTION("""COMPUTED_VALUE"""),"Autohak")</f>
        <v>Autohak</v>
      </c>
    </row>
    <row r="7325">
      <c r="A7325" t="str">
        <f>IFERROR(__xludf.DUMMYFUNCTION("""COMPUTED_VALUE"""),"E49A")</f>
        <v>E49A</v>
      </c>
      <c r="B7325" s="226" t="str">
        <f>IFERROR(__xludf.DUMMYFUNCTION("""COMPUTED_VALUE"""),"43404")</f>
        <v>43404</v>
      </c>
      <c r="C7325" t="str">
        <f>IFERROR(__xludf.DUMMYFUNCTION("""COMPUTED_VALUE"""),"Autohak")</f>
        <v>Autohak</v>
      </c>
    </row>
    <row r="7326">
      <c r="A7326" t="str">
        <f>IFERROR(__xludf.DUMMYFUNCTION("""COMPUTED_VALUE"""),"E58")</f>
        <v>E58</v>
      </c>
      <c r="B7326" s="226" t="str">
        <f>IFERROR(__xludf.DUMMYFUNCTION("""COMPUTED_VALUE"""),"40496")</f>
        <v>40496</v>
      </c>
      <c r="C7326" t="str">
        <f>IFERROR(__xludf.DUMMYFUNCTION("""COMPUTED_VALUE"""),"Autohak")</f>
        <v>Autohak</v>
      </c>
    </row>
    <row r="7327">
      <c r="A7327" t="str">
        <f>IFERROR(__xludf.DUMMYFUNCTION("""COMPUTED_VALUE"""),"E58A")</f>
        <v>E58A</v>
      </c>
      <c r="B7327" s="226" t="str">
        <f>IFERROR(__xludf.DUMMYFUNCTION("""COMPUTED_VALUE"""),"43497")</f>
        <v>43497</v>
      </c>
      <c r="C7327" t="str">
        <f>IFERROR(__xludf.DUMMYFUNCTION("""COMPUTED_VALUE"""),"Autohak")</f>
        <v>Autohak</v>
      </c>
    </row>
    <row r="7328">
      <c r="A7328" t="str">
        <f>IFERROR(__xludf.DUMMYFUNCTION("""COMPUTED_VALUE"""),"E58V")</f>
        <v>E58V</v>
      </c>
      <c r="B7328" s="226" t="str">
        <f>IFERROR(__xludf.DUMMYFUNCTION("""COMPUTED_VALUE"""),"43947")</f>
        <v>43947</v>
      </c>
      <c r="C7328" t="str">
        <f>IFERROR(__xludf.DUMMYFUNCTION("""COMPUTED_VALUE"""),"Autohak")</f>
        <v>Autohak</v>
      </c>
    </row>
    <row r="7329">
      <c r="A7329" t="str">
        <f>IFERROR(__xludf.DUMMYFUNCTION("""COMPUTED_VALUE"""),"X14")</f>
        <v>X14</v>
      </c>
      <c r="B7329" s="226" t="str">
        <f>IFERROR(__xludf.DUMMYFUNCTION("""COMPUTED_VALUE"""),"10284")</f>
        <v>10284</v>
      </c>
      <c r="C7329" t="str">
        <f>IFERROR(__xludf.DUMMYFUNCTION("""COMPUTED_VALUE"""),"Autohak")</f>
        <v>Autohak</v>
      </c>
    </row>
    <row r="7330">
      <c r="A7330" t="str">
        <f>IFERROR(__xludf.DUMMYFUNCTION("""COMPUTED_VALUE"""),"X14A")</f>
        <v>X14A</v>
      </c>
      <c r="B7330" s="226" t="str">
        <f>IFERROR(__xludf.DUMMYFUNCTION("""COMPUTED_VALUE"""),"11281")</f>
        <v>11281</v>
      </c>
      <c r="C7330" t="str">
        <f>IFERROR(__xludf.DUMMYFUNCTION("""COMPUTED_VALUE"""),"Autohak")</f>
        <v>Autohak</v>
      </c>
    </row>
    <row r="7331">
      <c r="A7331" t="str">
        <f>IFERROR(__xludf.DUMMYFUNCTION("""COMPUTED_VALUE"""),"CH49")</f>
        <v>CH49</v>
      </c>
      <c r="B7331" s="226" t="str">
        <f>IFERROR(__xludf.DUMMYFUNCTION("""COMPUTED_VALUE"""),"07055")</f>
        <v>07055</v>
      </c>
      <c r="C7331" t="str">
        <f>IFERROR(__xludf.DUMMYFUNCTION("""COMPUTED_VALUE"""),"Autohak")</f>
        <v>Autohak</v>
      </c>
    </row>
    <row r="7332">
      <c r="A7332" t="str">
        <f>IFERROR(__xludf.DUMMYFUNCTION("""COMPUTED_VALUE"""),"CH49A")</f>
        <v>CH49A</v>
      </c>
      <c r="B7332" s="226" t="str">
        <f>IFERROR(__xludf.DUMMYFUNCTION("""COMPUTED_VALUE"""),"07857")</f>
        <v>07857</v>
      </c>
      <c r="C7332" t="str">
        <f>IFERROR(__xludf.DUMMYFUNCTION("""COMPUTED_VALUE"""),"Autohak")</f>
        <v>Autohak</v>
      </c>
    </row>
    <row r="7333">
      <c r="A7333" t="str">
        <f>IFERROR(__xludf.DUMMYFUNCTION("""COMPUTED_VALUE"""),"CH49")</f>
        <v>CH49</v>
      </c>
      <c r="B7333" s="226" t="str">
        <f>IFERROR(__xludf.DUMMYFUNCTION("""COMPUTED_VALUE"""),"07055")</f>
        <v>07055</v>
      </c>
      <c r="C7333" t="str">
        <f>IFERROR(__xludf.DUMMYFUNCTION("""COMPUTED_VALUE"""),"Autohak")</f>
        <v>Autohak</v>
      </c>
    </row>
    <row r="7334">
      <c r="A7334" t="str">
        <f>IFERROR(__xludf.DUMMYFUNCTION("""COMPUTED_VALUE"""),"CH49A")</f>
        <v>CH49A</v>
      </c>
      <c r="B7334" s="226" t="str">
        <f>IFERROR(__xludf.DUMMYFUNCTION("""COMPUTED_VALUE"""),"07857")</f>
        <v>07857</v>
      </c>
      <c r="C7334" t="str">
        <f>IFERROR(__xludf.DUMMYFUNCTION("""COMPUTED_VALUE"""),"Autohak")</f>
        <v>Autohak</v>
      </c>
    </row>
    <row r="7335">
      <c r="A7335" t="str">
        <f>IFERROR(__xludf.DUMMYFUNCTION("""COMPUTED_VALUE"""),"CH50")</f>
        <v>CH50</v>
      </c>
      <c r="B7335" s="226" t="str">
        <f>IFERROR(__xludf.DUMMYFUNCTION("""COMPUTED_VALUE"""),"07062")</f>
        <v>07062</v>
      </c>
      <c r="C7335" t="str">
        <f>IFERROR(__xludf.DUMMYFUNCTION("""COMPUTED_VALUE"""),"Autohak")</f>
        <v>Autohak</v>
      </c>
    </row>
    <row r="7336">
      <c r="A7336" t="str">
        <f>IFERROR(__xludf.DUMMYFUNCTION("""COMPUTED_VALUE"""),"CH50A")</f>
        <v>CH50A</v>
      </c>
      <c r="B7336" s="226" t="str">
        <f>IFERROR(__xludf.DUMMYFUNCTION("""COMPUTED_VALUE"""),"07864")</f>
        <v>07864</v>
      </c>
      <c r="C7336" t="str">
        <f>IFERROR(__xludf.DUMMYFUNCTION("""COMPUTED_VALUE"""),"Autohak")</f>
        <v>Autohak</v>
      </c>
    </row>
    <row r="7337">
      <c r="A7337" t="str">
        <f>IFERROR(__xludf.DUMMYFUNCTION("""COMPUTED_VALUE"""),"CH52")</f>
        <v>CH52</v>
      </c>
      <c r="B7337" s="226" t="str">
        <f>IFERROR(__xludf.DUMMYFUNCTION("""COMPUTED_VALUE"""),"07086")</f>
        <v>07086</v>
      </c>
      <c r="C7337" t="str">
        <f>IFERROR(__xludf.DUMMYFUNCTION("""COMPUTED_VALUE"""),"Autohak")</f>
        <v>Autohak</v>
      </c>
    </row>
    <row r="7338">
      <c r="A7338" t="str">
        <f>IFERROR(__xludf.DUMMYFUNCTION("""COMPUTED_VALUE"""),"CH52A")</f>
        <v>CH52A</v>
      </c>
      <c r="B7338" s="226" t="str">
        <f>IFERROR(__xludf.DUMMYFUNCTION("""COMPUTED_VALUE"""),"07888")</f>
        <v>07888</v>
      </c>
      <c r="C7338" t="str">
        <f>IFERROR(__xludf.DUMMYFUNCTION("""COMPUTED_VALUE"""),"Autohak")</f>
        <v>Autohak</v>
      </c>
    </row>
    <row r="7339">
      <c r="A7339" t="str">
        <f>IFERROR(__xludf.DUMMYFUNCTION("""COMPUTED_VALUE"""),"CH47")</f>
        <v>CH47</v>
      </c>
      <c r="B7339" s="226" t="str">
        <f>IFERROR(__xludf.DUMMYFUNCTION("""COMPUTED_VALUE"""),"07000")</f>
        <v>07000</v>
      </c>
      <c r="C7339" t="str">
        <f>IFERROR(__xludf.DUMMYFUNCTION("""COMPUTED_VALUE"""),"Autohak")</f>
        <v>Autohak</v>
      </c>
    </row>
    <row r="7340">
      <c r="A7340" t="str">
        <f>IFERROR(__xludf.DUMMYFUNCTION("""COMPUTED_VALUE"""),"CH30")</f>
        <v>CH30</v>
      </c>
      <c r="B7340" s="226" t="str">
        <f>IFERROR(__xludf.DUMMYFUNCTION("""COMPUTED_VALUE"""),"07017")</f>
        <v>07017</v>
      </c>
      <c r="C7340" t="str">
        <f>IFERROR(__xludf.DUMMYFUNCTION("""COMPUTED_VALUE"""),"Autohak")</f>
        <v>Autohak</v>
      </c>
    </row>
    <row r="7341">
      <c r="A7341" t="str">
        <f>IFERROR(__xludf.DUMMYFUNCTION("""COMPUTED_VALUE"""),"CH30A")</f>
        <v>CH30A</v>
      </c>
      <c r="B7341" s="226" t="str">
        <f>IFERROR(__xludf.DUMMYFUNCTION("""COMPUTED_VALUE"""),"07819")</f>
        <v>07819</v>
      </c>
      <c r="C7341" t="str">
        <f>IFERROR(__xludf.DUMMYFUNCTION("""COMPUTED_VALUE"""),"Autohak")</f>
        <v>Autohak</v>
      </c>
    </row>
    <row r="7342">
      <c r="A7342" t="str">
        <f>IFERROR(__xludf.DUMMYFUNCTION("""COMPUTED_VALUE"""),"CH45")</f>
        <v>CH45</v>
      </c>
      <c r="B7342" s="226" t="str">
        <f>IFERROR(__xludf.DUMMYFUNCTION("""COMPUTED_VALUE"""),"07024")</f>
        <v>07024</v>
      </c>
      <c r="C7342" t="str">
        <f>IFERROR(__xludf.DUMMYFUNCTION("""COMPUTED_VALUE"""),"Autohak")</f>
        <v>Autohak</v>
      </c>
    </row>
    <row r="7343">
      <c r="A7343" t="str">
        <f>IFERROR(__xludf.DUMMYFUNCTION("""COMPUTED_VALUE"""),"CH45A")</f>
        <v>CH45A</v>
      </c>
      <c r="B7343" s="226" t="str">
        <f>IFERROR(__xludf.DUMMYFUNCTION("""COMPUTED_VALUE"""),"07826")</f>
        <v>07826</v>
      </c>
      <c r="C7343" t="str">
        <f>IFERROR(__xludf.DUMMYFUNCTION("""COMPUTED_VALUE"""),"Autohak")</f>
        <v>Autohak</v>
      </c>
    </row>
    <row r="7344">
      <c r="A7344" t="str">
        <f>IFERROR(__xludf.DUMMYFUNCTION("""COMPUTED_VALUE"""),"CH48")</f>
        <v>CH48</v>
      </c>
      <c r="B7344" s="226" t="str">
        <f>IFERROR(__xludf.DUMMYFUNCTION("""COMPUTED_VALUE"""),"07048")</f>
        <v>07048</v>
      </c>
      <c r="C7344" t="str">
        <f>IFERROR(__xludf.DUMMYFUNCTION("""COMPUTED_VALUE"""),"Autohak")</f>
        <v>Autohak</v>
      </c>
    </row>
    <row r="7345">
      <c r="A7345" t="str">
        <f>IFERROR(__xludf.DUMMYFUNCTION("""COMPUTED_VALUE"""),"CH48A")</f>
        <v>CH48A</v>
      </c>
      <c r="B7345" s="226" t="str">
        <f>IFERROR(__xludf.DUMMYFUNCTION("""COMPUTED_VALUE"""),"07840")</f>
        <v>07840</v>
      </c>
      <c r="C7345" t="str">
        <f>IFERROR(__xludf.DUMMYFUNCTION("""COMPUTED_VALUE"""),"Autohak")</f>
        <v>Autohak</v>
      </c>
    </row>
    <row r="7346">
      <c r="A7346" t="str">
        <f>IFERROR(__xludf.DUMMYFUNCTION("""COMPUTED_VALUE"""),"CH48V")</f>
        <v>CH48V</v>
      </c>
      <c r="B7346" s="226" t="str">
        <f>IFERROR(__xludf.DUMMYFUNCTION("""COMPUTED_VALUE"""),"07994")</f>
        <v>07994</v>
      </c>
      <c r="C7346" t="str">
        <f>IFERROR(__xludf.DUMMYFUNCTION("""COMPUTED_VALUE"""),"Autohak")</f>
        <v>Autohak</v>
      </c>
    </row>
    <row r="7347">
      <c r="A7347" t="str">
        <f>IFERROR(__xludf.DUMMYFUNCTION("""COMPUTED_VALUE"""),"CH48")</f>
        <v>CH48</v>
      </c>
      <c r="B7347" s="226" t="str">
        <f>IFERROR(__xludf.DUMMYFUNCTION("""COMPUTED_VALUE"""),"07048")</f>
        <v>07048</v>
      </c>
      <c r="C7347" t="str">
        <f>IFERROR(__xludf.DUMMYFUNCTION("""COMPUTED_VALUE"""),"Autohak")</f>
        <v>Autohak</v>
      </c>
    </row>
    <row r="7348">
      <c r="A7348" t="str">
        <f>IFERROR(__xludf.DUMMYFUNCTION("""COMPUTED_VALUE"""),"CH48A")</f>
        <v>CH48A</v>
      </c>
      <c r="B7348" s="226" t="str">
        <f>IFERROR(__xludf.DUMMYFUNCTION("""COMPUTED_VALUE"""),"07840")</f>
        <v>07840</v>
      </c>
      <c r="C7348" t="str">
        <f>IFERROR(__xludf.DUMMYFUNCTION("""COMPUTED_VALUE"""),"Autohak")</f>
        <v>Autohak</v>
      </c>
    </row>
    <row r="7349">
      <c r="A7349" t="str">
        <f>IFERROR(__xludf.DUMMYFUNCTION("""COMPUTED_VALUE"""),"CH48V")</f>
        <v>CH48V</v>
      </c>
      <c r="B7349" s="226" t="str">
        <f>IFERROR(__xludf.DUMMYFUNCTION("""COMPUTED_VALUE"""),"07994")</f>
        <v>07994</v>
      </c>
      <c r="C7349" t="str">
        <f>IFERROR(__xludf.DUMMYFUNCTION("""COMPUTED_VALUE"""),"Autohak")</f>
        <v>Autohak</v>
      </c>
    </row>
    <row r="7350">
      <c r="A7350" t="str">
        <f>IFERROR(__xludf.DUMMYFUNCTION("""COMPUTED_VALUE"""),"P01")</f>
        <v>P01</v>
      </c>
      <c r="B7350" s="226" t="str">
        <f>IFERROR(__xludf.DUMMYFUNCTION("""COMPUTED_VALUE"""),"08007")</f>
        <v>08007</v>
      </c>
      <c r="C7350" t="str">
        <f>IFERROR(__xludf.DUMMYFUNCTION("""COMPUTED_VALUE"""),"Autohak")</f>
        <v>Autohak</v>
      </c>
    </row>
    <row r="7351">
      <c r="A7351" t="str">
        <f>IFERROR(__xludf.DUMMYFUNCTION("""COMPUTED_VALUE"""),"P42")</f>
        <v>P42</v>
      </c>
      <c r="B7351" s="226" t="str">
        <f>IFERROR(__xludf.DUMMYFUNCTION("""COMPUTED_VALUE"""),"08298")</f>
        <v>08298</v>
      </c>
      <c r="C7351" t="str">
        <f>IFERROR(__xludf.DUMMYFUNCTION("""COMPUTED_VALUE"""),"Autohak")</f>
        <v>Autohak</v>
      </c>
    </row>
    <row r="7352">
      <c r="A7352" t="str">
        <f>IFERROR(__xludf.DUMMYFUNCTION("""COMPUTED_VALUE"""),"P42A")</f>
        <v>P42A</v>
      </c>
      <c r="B7352" s="226" t="str">
        <f>IFERROR(__xludf.DUMMYFUNCTION("""COMPUTED_VALUE"""),"09295")</f>
        <v>09295</v>
      </c>
      <c r="C7352" t="str">
        <f>IFERROR(__xludf.DUMMYFUNCTION("""COMPUTED_VALUE"""),"Autohak")</f>
        <v>Autohak</v>
      </c>
    </row>
    <row r="7353">
      <c r="A7353" t="str">
        <f>IFERROR(__xludf.DUMMYFUNCTION("""COMPUTED_VALUE"""),"P42")</f>
        <v>P42</v>
      </c>
      <c r="B7353" s="226" t="str">
        <f>IFERROR(__xludf.DUMMYFUNCTION("""COMPUTED_VALUE"""),"08298")</f>
        <v>08298</v>
      </c>
      <c r="C7353" t="str">
        <f>IFERROR(__xludf.DUMMYFUNCTION("""COMPUTED_VALUE"""),"Autohak")</f>
        <v>Autohak</v>
      </c>
    </row>
    <row r="7354">
      <c r="A7354" t="str">
        <f>IFERROR(__xludf.DUMMYFUNCTION("""COMPUTED_VALUE"""),"P42A")</f>
        <v>P42A</v>
      </c>
      <c r="B7354" s="226" t="str">
        <f>IFERROR(__xludf.DUMMYFUNCTION("""COMPUTED_VALUE"""),"09295")</f>
        <v>09295</v>
      </c>
      <c r="C7354" t="str">
        <f>IFERROR(__xludf.DUMMYFUNCTION("""COMPUTED_VALUE"""),"Autohak")</f>
        <v>Autohak</v>
      </c>
    </row>
    <row r="7355">
      <c r="A7355" t="str">
        <f>IFERROR(__xludf.DUMMYFUNCTION("""COMPUTED_VALUE"""),"P25")</f>
        <v>P25</v>
      </c>
      <c r="B7355" s="226" t="str">
        <f>IFERROR(__xludf.DUMMYFUNCTION("""COMPUTED_VALUE"""),"08052")</f>
        <v>08052</v>
      </c>
      <c r="C7355" t="str">
        <f>IFERROR(__xludf.DUMMYFUNCTION("""COMPUTED_VALUE"""),"Autohak")</f>
        <v>Autohak</v>
      </c>
    </row>
    <row r="7356">
      <c r="A7356" t="str">
        <f>IFERROR(__xludf.DUMMYFUNCTION("""COMPUTED_VALUE"""),"P25A")</f>
        <v>P25A</v>
      </c>
      <c r="B7356" s="226" t="str">
        <f>IFERROR(__xludf.DUMMYFUNCTION("""COMPUTED_VALUE"""),"09059")</f>
        <v>09059</v>
      </c>
      <c r="C7356" t="str">
        <f>IFERROR(__xludf.DUMMYFUNCTION("""COMPUTED_VALUE"""),"Autohak")</f>
        <v>Autohak</v>
      </c>
    </row>
    <row r="7357">
      <c r="A7357" t="str">
        <f>IFERROR(__xludf.DUMMYFUNCTION("""COMPUTED_VALUE"""),"P25")</f>
        <v>P25</v>
      </c>
      <c r="B7357" s="226" t="str">
        <f>IFERROR(__xludf.DUMMYFUNCTION("""COMPUTED_VALUE"""),"08052")</f>
        <v>08052</v>
      </c>
      <c r="C7357" t="str">
        <f>IFERROR(__xludf.DUMMYFUNCTION("""COMPUTED_VALUE"""),"Autohak")</f>
        <v>Autohak</v>
      </c>
    </row>
    <row r="7358">
      <c r="A7358" t="str">
        <f>IFERROR(__xludf.DUMMYFUNCTION("""COMPUTED_VALUE"""),"P25A")</f>
        <v>P25A</v>
      </c>
      <c r="B7358" s="226" t="str">
        <f>IFERROR(__xludf.DUMMYFUNCTION("""COMPUTED_VALUE"""),"09059")</f>
        <v>09059</v>
      </c>
      <c r="C7358" t="str">
        <f>IFERROR(__xludf.DUMMYFUNCTION("""COMPUTED_VALUE"""),"Autohak")</f>
        <v>Autohak</v>
      </c>
    </row>
    <row r="7359">
      <c r="A7359" t="str">
        <f>IFERROR(__xludf.DUMMYFUNCTION("""COMPUTED_VALUE"""),"P34")</f>
        <v>P34</v>
      </c>
      <c r="B7359" s="226" t="str">
        <f>IFERROR(__xludf.DUMMYFUNCTION("""COMPUTED_VALUE"""),"08212")</f>
        <v>08212</v>
      </c>
      <c r="C7359" t="str">
        <f>IFERROR(__xludf.DUMMYFUNCTION("""COMPUTED_VALUE"""),"Autohak")</f>
        <v>Autohak</v>
      </c>
    </row>
    <row r="7360">
      <c r="A7360" t="str">
        <f>IFERROR(__xludf.DUMMYFUNCTION("""COMPUTED_VALUE"""),"P34A")</f>
        <v>P34A</v>
      </c>
      <c r="B7360" s="226" t="str">
        <f>IFERROR(__xludf.DUMMYFUNCTION("""COMPUTED_VALUE"""),"09219")</f>
        <v>09219</v>
      </c>
      <c r="C7360" t="str">
        <f>IFERROR(__xludf.DUMMYFUNCTION("""COMPUTED_VALUE"""),"Autohak")</f>
        <v>Autohak</v>
      </c>
    </row>
    <row r="7361">
      <c r="A7361" t="str">
        <f>IFERROR(__xludf.DUMMYFUNCTION("""COMPUTED_VALUE"""),"P34V")</f>
        <v>P34V</v>
      </c>
      <c r="B7361" s="226" t="str">
        <f>IFERROR(__xludf.DUMMYFUNCTION("""COMPUTED_VALUE"""),"09981")</f>
        <v>09981</v>
      </c>
      <c r="C7361" t="str">
        <f>IFERROR(__xludf.DUMMYFUNCTION("""COMPUTED_VALUE"""),"Autohak")</f>
        <v>Autohak</v>
      </c>
    </row>
    <row r="7362">
      <c r="A7362" t="str">
        <f>IFERROR(__xludf.DUMMYFUNCTION("""COMPUTED_VALUE"""),"F41")</f>
        <v>F41</v>
      </c>
      <c r="B7362" s="226" t="str">
        <f>IFERROR(__xludf.DUMMYFUNCTION("""COMPUTED_VALUE"""),"44326")</f>
        <v>44326</v>
      </c>
      <c r="C7362" t="str">
        <f>IFERROR(__xludf.DUMMYFUNCTION("""COMPUTED_VALUE"""),"Autohak")</f>
        <v>Autohak</v>
      </c>
    </row>
    <row r="7363">
      <c r="A7363" t="str">
        <f>IFERROR(__xludf.DUMMYFUNCTION("""COMPUTED_VALUE"""),"F41A")</f>
        <v>F41A</v>
      </c>
      <c r="B7363" s="226" t="str">
        <f>IFERROR(__xludf.DUMMYFUNCTION("""COMPUTED_VALUE"""),"46320")</f>
        <v>46320</v>
      </c>
      <c r="C7363" t="str">
        <f>IFERROR(__xludf.DUMMYFUNCTION("""COMPUTED_VALUE"""),"Autohak")</f>
        <v>Autohak</v>
      </c>
    </row>
    <row r="7364">
      <c r="A7364" t="str">
        <f>IFERROR(__xludf.DUMMYFUNCTION("""COMPUTED_VALUE"""),"F41V")</f>
        <v>F41V</v>
      </c>
      <c r="B7364" s="226" t="str">
        <f>IFERROR(__xludf.DUMMYFUNCTION("""COMPUTED_VALUE"""),"46924")</f>
        <v>46924</v>
      </c>
      <c r="C7364" t="str">
        <f>IFERROR(__xludf.DUMMYFUNCTION("""COMPUTED_VALUE"""),"Autohak")</f>
        <v>Autohak</v>
      </c>
    </row>
    <row r="7365">
      <c r="A7365" t="str">
        <f>IFERROR(__xludf.DUMMYFUNCTION("""COMPUTED_VALUE"""),"P45")</f>
        <v>P45</v>
      </c>
      <c r="B7365" s="226" t="str">
        <f>IFERROR(__xludf.DUMMYFUNCTION("""COMPUTED_VALUE"""),"08328")</f>
        <v>08328</v>
      </c>
      <c r="C7365" t="str">
        <f>IFERROR(__xludf.DUMMYFUNCTION("""COMPUTED_VALUE"""),"Autohak")</f>
        <v>Autohak</v>
      </c>
    </row>
    <row r="7366">
      <c r="A7366" t="str">
        <f>IFERROR(__xludf.DUMMYFUNCTION("""COMPUTED_VALUE"""),"P45A")</f>
        <v>P45A</v>
      </c>
      <c r="B7366" s="226" t="str">
        <f>IFERROR(__xludf.DUMMYFUNCTION("""COMPUTED_VALUE"""),"09325")</f>
        <v>09325</v>
      </c>
      <c r="C7366" t="str">
        <f>IFERROR(__xludf.DUMMYFUNCTION("""COMPUTED_VALUE"""),"Autohak")</f>
        <v>Autohak</v>
      </c>
    </row>
    <row r="7367">
      <c r="A7367" t="str">
        <f>IFERROR(__xludf.DUMMYFUNCTION("""COMPUTED_VALUE"""),"P45V")</f>
        <v>P45V</v>
      </c>
      <c r="B7367" s="226" t="str">
        <f>IFERROR(__xludf.DUMMYFUNCTION("""COMPUTED_VALUE"""),"09882")</f>
        <v>09882</v>
      </c>
      <c r="C7367" t="str">
        <f>IFERROR(__xludf.DUMMYFUNCTION("""COMPUTED_VALUE"""),"Autohak")</f>
        <v>Autohak</v>
      </c>
    </row>
    <row r="7368">
      <c r="A7368" t="str">
        <f>IFERROR(__xludf.DUMMYFUNCTION("""COMPUTED_VALUE"""),"P32")</f>
        <v>P32</v>
      </c>
      <c r="B7368" s="226" t="str">
        <f>IFERROR(__xludf.DUMMYFUNCTION("""COMPUTED_VALUE"""),"08199")</f>
        <v>08199</v>
      </c>
      <c r="C7368" t="str">
        <f>IFERROR(__xludf.DUMMYFUNCTION("""COMPUTED_VALUE"""),"Autohak")</f>
        <v>Autohak</v>
      </c>
    </row>
    <row r="7369">
      <c r="A7369" t="str">
        <f>IFERROR(__xludf.DUMMYFUNCTION("""COMPUTED_VALUE"""),"P32A")</f>
        <v>P32A</v>
      </c>
      <c r="B7369" s="226" t="str">
        <f>IFERROR(__xludf.DUMMYFUNCTION("""COMPUTED_VALUE"""),"09196")</f>
        <v>09196</v>
      </c>
      <c r="C7369" t="str">
        <f>IFERROR(__xludf.DUMMYFUNCTION("""COMPUTED_VALUE"""),"Autohak")</f>
        <v>Autohak</v>
      </c>
    </row>
    <row r="7370">
      <c r="A7370" t="str">
        <f>IFERROR(__xludf.DUMMYFUNCTION("""COMPUTED_VALUE"""),"P32V")</f>
        <v>P32V</v>
      </c>
      <c r="B7370" s="226" t="str">
        <f>IFERROR(__xludf.DUMMYFUNCTION("""COMPUTED_VALUE"""),"09998")</f>
        <v>09998</v>
      </c>
      <c r="C7370" t="str">
        <f>IFERROR(__xludf.DUMMYFUNCTION("""COMPUTED_VALUE"""),"Autohak")</f>
        <v>Autohak</v>
      </c>
    </row>
    <row r="7371">
      <c r="A7371" t="str">
        <f>IFERROR(__xludf.DUMMYFUNCTION("""COMPUTED_VALUE"""),"P26")</f>
        <v>P26</v>
      </c>
      <c r="B7371" s="226" t="str">
        <f>IFERROR(__xludf.DUMMYFUNCTION("""COMPUTED_VALUE"""),"08069")</f>
        <v>08069</v>
      </c>
      <c r="C7371" t="str">
        <f>IFERROR(__xludf.DUMMYFUNCTION("""COMPUTED_VALUE"""),"Autohak")</f>
        <v>Autohak</v>
      </c>
    </row>
    <row r="7372">
      <c r="A7372" t="str">
        <f>IFERROR(__xludf.DUMMYFUNCTION("""COMPUTED_VALUE"""),"P26A")</f>
        <v>P26A</v>
      </c>
      <c r="B7372" s="226" t="str">
        <f>IFERROR(__xludf.DUMMYFUNCTION("""COMPUTED_VALUE"""),"09066")</f>
        <v>09066</v>
      </c>
      <c r="C7372" t="str">
        <f>IFERROR(__xludf.DUMMYFUNCTION("""COMPUTED_VALUE"""),"Autohak")</f>
        <v>Autohak</v>
      </c>
    </row>
    <row r="7373">
      <c r="A7373" t="str">
        <f>IFERROR(__xludf.DUMMYFUNCTION("""COMPUTED_VALUE"""),"P36")</f>
        <v>P36</v>
      </c>
      <c r="B7373" s="226" t="str">
        <f>IFERROR(__xludf.DUMMYFUNCTION("""COMPUTED_VALUE"""),"08236")</f>
        <v>08236</v>
      </c>
      <c r="C7373" t="str">
        <f>IFERROR(__xludf.DUMMYFUNCTION("""COMPUTED_VALUE"""),"Autohak")</f>
        <v>Autohak</v>
      </c>
    </row>
    <row r="7374">
      <c r="A7374" t="str">
        <f>IFERROR(__xludf.DUMMYFUNCTION("""COMPUTED_VALUE"""),"P36A")</f>
        <v>P36A</v>
      </c>
      <c r="B7374" s="226" t="str">
        <f>IFERROR(__xludf.DUMMYFUNCTION("""COMPUTED_VALUE"""),"09233")</f>
        <v>09233</v>
      </c>
      <c r="C7374" t="str">
        <f>IFERROR(__xludf.DUMMYFUNCTION("""COMPUTED_VALUE"""),"Autohak")</f>
        <v>Autohak</v>
      </c>
    </row>
    <row r="7375">
      <c r="A7375" t="str">
        <f>IFERROR(__xludf.DUMMYFUNCTION("""COMPUTED_VALUE"""),"P36V")</f>
        <v>P36V</v>
      </c>
      <c r="B7375" s="226" t="str">
        <f>IFERROR(__xludf.DUMMYFUNCTION("""COMPUTED_VALUE"""),"09950")</f>
        <v>09950</v>
      </c>
      <c r="C7375" t="str">
        <f>IFERROR(__xludf.DUMMYFUNCTION("""COMPUTED_VALUE"""),"Autohak")</f>
        <v>Autohak</v>
      </c>
    </row>
    <row r="7376">
      <c r="A7376" t="str">
        <f>IFERROR(__xludf.DUMMYFUNCTION("""COMPUTED_VALUE"""),"Z43")</f>
        <v>Z43</v>
      </c>
      <c r="B7376" s="226" t="str">
        <f>IFERROR(__xludf.DUMMYFUNCTION("""COMPUTED_VALUE"""),"35263")</f>
        <v>35263</v>
      </c>
      <c r="C7376" t="str">
        <f>IFERROR(__xludf.DUMMYFUNCTION("""COMPUTED_VALUE"""),"Autohak")</f>
        <v>Autohak</v>
      </c>
    </row>
    <row r="7377">
      <c r="A7377" t="str">
        <f>IFERROR(__xludf.DUMMYFUNCTION("""COMPUTED_VALUE"""),"Z43A")</f>
        <v>Z43A</v>
      </c>
      <c r="B7377" s="226" t="str">
        <f>IFERROR(__xludf.DUMMYFUNCTION("""COMPUTED_VALUE"""),"37250")</f>
        <v>37250</v>
      </c>
      <c r="C7377" t="str">
        <f>IFERROR(__xludf.DUMMYFUNCTION("""COMPUTED_VALUE"""),"Autohak")</f>
        <v>Autohak</v>
      </c>
    </row>
    <row r="7378">
      <c r="A7378" t="str">
        <f>IFERROR(__xludf.DUMMYFUNCTION("""COMPUTED_VALUE"""),"Z43V")</f>
        <v>Z43V</v>
      </c>
      <c r="B7378" s="226" t="str">
        <f>IFERROR(__xludf.DUMMYFUNCTION("""COMPUTED_VALUE"""),"37984")</f>
        <v>37984</v>
      </c>
      <c r="C7378" t="str">
        <f>IFERROR(__xludf.DUMMYFUNCTION("""COMPUTED_VALUE"""),"Autohak")</f>
        <v>Autohak</v>
      </c>
    </row>
    <row r="7379">
      <c r="A7379" t="str">
        <f>IFERROR(__xludf.DUMMYFUNCTION("""COMPUTED_VALUE"""),"P39")</f>
        <v>P39</v>
      </c>
      <c r="B7379" s="226" t="str">
        <f>IFERROR(__xludf.DUMMYFUNCTION("""COMPUTED_VALUE"""),"08267")</f>
        <v>08267</v>
      </c>
      <c r="C7379" t="str">
        <f>IFERROR(__xludf.DUMMYFUNCTION("""COMPUTED_VALUE"""),"Autohak")</f>
        <v>Autohak</v>
      </c>
    </row>
    <row r="7380">
      <c r="A7380" t="str">
        <f>IFERROR(__xludf.DUMMYFUNCTION("""COMPUTED_VALUE"""),"P39A")</f>
        <v>P39A</v>
      </c>
      <c r="B7380" s="226" t="str">
        <f>IFERROR(__xludf.DUMMYFUNCTION("""COMPUTED_VALUE"""),"09264")</f>
        <v>09264</v>
      </c>
      <c r="C7380" t="str">
        <f>IFERROR(__xludf.DUMMYFUNCTION("""COMPUTED_VALUE"""),"Autohak")</f>
        <v>Autohak</v>
      </c>
    </row>
    <row r="7381">
      <c r="A7381" t="str">
        <f>IFERROR(__xludf.DUMMYFUNCTION("""COMPUTED_VALUE"""),"P39V")</f>
        <v>P39V</v>
      </c>
      <c r="B7381" s="226" t="str">
        <f>IFERROR(__xludf.DUMMYFUNCTION("""COMPUTED_VALUE"""),"09936")</f>
        <v>09936</v>
      </c>
      <c r="C7381" t="str">
        <f>IFERROR(__xludf.DUMMYFUNCTION("""COMPUTED_VALUE"""),"Autohak")</f>
        <v>Autohak</v>
      </c>
    </row>
    <row r="7382">
      <c r="A7382" t="str">
        <f>IFERROR(__xludf.DUMMYFUNCTION("""COMPUTED_VALUE"""),"P39")</f>
        <v>P39</v>
      </c>
      <c r="B7382" s="226" t="str">
        <f>IFERROR(__xludf.DUMMYFUNCTION("""COMPUTED_VALUE"""),"08267")</f>
        <v>08267</v>
      </c>
      <c r="C7382" t="str">
        <f>IFERROR(__xludf.DUMMYFUNCTION("""COMPUTED_VALUE"""),"Autohak")</f>
        <v>Autohak</v>
      </c>
    </row>
    <row r="7383">
      <c r="A7383" t="str">
        <f>IFERROR(__xludf.DUMMYFUNCTION("""COMPUTED_VALUE"""),"P39A")</f>
        <v>P39A</v>
      </c>
      <c r="B7383" s="226" t="str">
        <f>IFERROR(__xludf.DUMMYFUNCTION("""COMPUTED_VALUE"""),"09264")</f>
        <v>09264</v>
      </c>
      <c r="C7383" t="str">
        <f>IFERROR(__xludf.DUMMYFUNCTION("""COMPUTED_VALUE"""),"Autohak")</f>
        <v>Autohak</v>
      </c>
    </row>
    <row r="7384">
      <c r="A7384" t="str">
        <f>IFERROR(__xludf.DUMMYFUNCTION("""COMPUTED_VALUE"""),"P39V")</f>
        <v>P39V</v>
      </c>
      <c r="B7384" s="226" t="str">
        <f>IFERROR(__xludf.DUMMYFUNCTION("""COMPUTED_VALUE"""),"09936")</f>
        <v>09936</v>
      </c>
      <c r="C7384" t="str">
        <f>IFERROR(__xludf.DUMMYFUNCTION("""COMPUTED_VALUE"""),"Autohak")</f>
        <v>Autohak</v>
      </c>
    </row>
    <row r="7385">
      <c r="A7385" t="str">
        <f>IFERROR(__xludf.DUMMYFUNCTION("""COMPUTED_VALUE"""),"P31")</f>
        <v>P31</v>
      </c>
      <c r="B7385" s="226" t="str">
        <f>IFERROR(__xludf.DUMMYFUNCTION("""COMPUTED_VALUE"""),"08182")</f>
        <v>08182</v>
      </c>
      <c r="C7385" t="str">
        <f>IFERROR(__xludf.DUMMYFUNCTION("""COMPUTED_VALUE"""),"Autohak")</f>
        <v>Autohak</v>
      </c>
    </row>
    <row r="7386">
      <c r="A7386" t="str">
        <f>IFERROR(__xludf.DUMMYFUNCTION("""COMPUTED_VALUE"""),"P31A")</f>
        <v>P31A</v>
      </c>
      <c r="B7386" s="226" t="str">
        <f>IFERROR(__xludf.DUMMYFUNCTION("""COMPUTED_VALUE"""),"09189")</f>
        <v>09189</v>
      </c>
      <c r="C7386" t="str">
        <f>IFERROR(__xludf.DUMMYFUNCTION("""COMPUTED_VALUE"""),"Autohak")</f>
        <v>Autohak</v>
      </c>
    </row>
    <row r="7387">
      <c r="A7387" t="str">
        <f>IFERROR(__xludf.DUMMYFUNCTION("""COMPUTED_VALUE"""),"P38")</f>
        <v>P38</v>
      </c>
      <c r="B7387" s="226" t="str">
        <f>IFERROR(__xludf.DUMMYFUNCTION("""COMPUTED_VALUE"""),"08250")</f>
        <v>08250</v>
      </c>
      <c r="C7387" t="str">
        <f>IFERROR(__xludf.DUMMYFUNCTION("""COMPUTED_VALUE"""),"Autohak")</f>
        <v>Autohak</v>
      </c>
    </row>
    <row r="7388">
      <c r="A7388" t="str">
        <f>IFERROR(__xludf.DUMMYFUNCTION("""COMPUTED_VALUE"""),"P38A")</f>
        <v>P38A</v>
      </c>
      <c r="B7388" s="226" t="str">
        <f>IFERROR(__xludf.DUMMYFUNCTION("""COMPUTED_VALUE"""),"09257")</f>
        <v>09257</v>
      </c>
      <c r="C7388" t="str">
        <f>IFERROR(__xludf.DUMMYFUNCTION("""COMPUTED_VALUE"""),"Autohak")</f>
        <v>Autohak</v>
      </c>
    </row>
    <row r="7389">
      <c r="A7389" t="str">
        <f>IFERROR(__xludf.DUMMYFUNCTION("""COMPUTED_VALUE"""),"P38V")</f>
        <v>P38V</v>
      </c>
      <c r="B7389" s="226" t="str">
        <f>IFERROR(__xludf.DUMMYFUNCTION("""COMPUTED_VALUE"""),"09943")</f>
        <v>09943</v>
      </c>
      <c r="C7389" t="str">
        <f>IFERROR(__xludf.DUMMYFUNCTION("""COMPUTED_VALUE"""),"Autohak")</f>
        <v>Autohak</v>
      </c>
    </row>
    <row r="7390">
      <c r="A7390" t="str">
        <f>IFERROR(__xludf.DUMMYFUNCTION("""COMPUTED_VALUE"""),"P38")</f>
        <v>P38</v>
      </c>
      <c r="B7390" s="226" t="str">
        <f>IFERROR(__xludf.DUMMYFUNCTION("""COMPUTED_VALUE"""),"08250")</f>
        <v>08250</v>
      </c>
      <c r="C7390" t="str">
        <f>IFERROR(__xludf.DUMMYFUNCTION("""COMPUTED_VALUE"""),"Autohak")</f>
        <v>Autohak</v>
      </c>
    </row>
    <row r="7391">
      <c r="A7391" t="str">
        <f>IFERROR(__xludf.DUMMYFUNCTION("""COMPUTED_VALUE"""),"P38A")</f>
        <v>P38A</v>
      </c>
      <c r="B7391" s="226" t="str">
        <f>IFERROR(__xludf.DUMMYFUNCTION("""COMPUTED_VALUE"""),"09257")</f>
        <v>09257</v>
      </c>
      <c r="C7391" t="str">
        <f>IFERROR(__xludf.DUMMYFUNCTION("""COMPUTED_VALUE"""),"Autohak")</f>
        <v>Autohak</v>
      </c>
    </row>
    <row r="7392">
      <c r="A7392" t="str">
        <f>IFERROR(__xludf.DUMMYFUNCTION("""COMPUTED_VALUE"""),"P38V")</f>
        <v>P38V</v>
      </c>
      <c r="B7392" s="226" t="str">
        <f>IFERROR(__xludf.DUMMYFUNCTION("""COMPUTED_VALUE"""),"09943")</f>
        <v>09943</v>
      </c>
      <c r="C7392" t="str">
        <f>IFERROR(__xludf.DUMMYFUNCTION("""COMPUTED_VALUE"""),"Autohak")</f>
        <v>Autohak</v>
      </c>
    </row>
    <row r="7393">
      <c r="A7393" t="str">
        <f>IFERROR(__xludf.DUMMYFUNCTION("""COMPUTED_VALUE"""),"P31")</f>
        <v>P31</v>
      </c>
      <c r="B7393" s="226" t="str">
        <f>IFERROR(__xludf.DUMMYFUNCTION("""COMPUTED_VALUE"""),"08182")</f>
        <v>08182</v>
      </c>
      <c r="C7393" t="str">
        <f>IFERROR(__xludf.DUMMYFUNCTION("""COMPUTED_VALUE"""),"Autohak")</f>
        <v>Autohak</v>
      </c>
    </row>
    <row r="7394">
      <c r="A7394" t="str">
        <f>IFERROR(__xludf.DUMMYFUNCTION("""COMPUTED_VALUE"""),"P31A")</f>
        <v>P31A</v>
      </c>
      <c r="B7394" s="226" t="str">
        <f>IFERROR(__xludf.DUMMYFUNCTION("""COMPUTED_VALUE"""),"09189")</f>
        <v>09189</v>
      </c>
      <c r="C7394" t="str">
        <f>IFERROR(__xludf.DUMMYFUNCTION("""COMPUTED_VALUE"""),"Autohak")</f>
        <v>Autohak</v>
      </c>
    </row>
    <row r="7395">
      <c r="A7395" t="str">
        <f>IFERROR(__xludf.DUMMYFUNCTION("""COMPUTED_VALUE"""),"P38")</f>
        <v>P38</v>
      </c>
      <c r="B7395" s="226" t="str">
        <f>IFERROR(__xludf.DUMMYFUNCTION("""COMPUTED_VALUE"""),"08250")</f>
        <v>08250</v>
      </c>
      <c r="C7395" t="str">
        <f>IFERROR(__xludf.DUMMYFUNCTION("""COMPUTED_VALUE"""),"Autohak")</f>
        <v>Autohak</v>
      </c>
    </row>
    <row r="7396">
      <c r="A7396" t="str">
        <f>IFERROR(__xludf.DUMMYFUNCTION("""COMPUTED_VALUE"""),"P38A")</f>
        <v>P38A</v>
      </c>
      <c r="B7396" s="226" t="str">
        <f>IFERROR(__xludf.DUMMYFUNCTION("""COMPUTED_VALUE"""),"09257")</f>
        <v>09257</v>
      </c>
      <c r="C7396" t="str">
        <f>IFERROR(__xludf.DUMMYFUNCTION("""COMPUTED_VALUE"""),"Autohak")</f>
        <v>Autohak</v>
      </c>
    </row>
    <row r="7397">
      <c r="A7397" t="str">
        <f>IFERROR(__xludf.DUMMYFUNCTION("""COMPUTED_VALUE"""),"P38V")</f>
        <v>P38V</v>
      </c>
      <c r="B7397" s="226" t="str">
        <f>IFERROR(__xludf.DUMMYFUNCTION("""COMPUTED_VALUE"""),"09943")</f>
        <v>09943</v>
      </c>
      <c r="C7397" t="str">
        <f>IFERROR(__xludf.DUMMYFUNCTION("""COMPUTED_VALUE"""),"Autohak")</f>
        <v>Autohak</v>
      </c>
    </row>
    <row r="7398">
      <c r="A7398" t="str">
        <f>IFERROR(__xludf.DUMMYFUNCTION("""COMPUTED_VALUE"""),"P38")</f>
        <v>P38</v>
      </c>
      <c r="B7398" s="226" t="str">
        <f>IFERROR(__xludf.DUMMYFUNCTION("""COMPUTED_VALUE"""),"08250")</f>
        <v>08250</v>
      </c>
      <c r="C7398" t="str">
        <f>IFERROR(__xludf.DUMMYFUNCTION("""COMPUTED_VALUE"""),"Autohak")</f>
        <v>Autohak</v>
      </c>
    </row>
    <row r="7399">
      <c r="A7399" t="str">
        <f>IFERROR(__xludf.DUMMYFUNCTION("""COMPUTED_VALUE"""),"P38A")</f>
        <v>P38A</v>
      </c>
      <c r="B7399" s="226" t="str">
        <f>IFERROR(__xludf.DUMMYFUNCTION("""COMPUTED_VALUE"""),"09257")</f>
        <v>09257</v>
      </c>
      <c r="C7399" t="str">
        <f>IFERROR(__xludf.DUMMYFUNCTION("""COMPUTED_VALUE"""),"Autohak")</f>
        <v>Autohak</v>
      </c>
    </row>
    <row r="7400">
      <c r="A7400" t="str">
        <f>IFERROR(__xludf.DUMMYFUNCTION("""COMPUTED_VALUE"""),"P38V")</f>
        <v>P38V</v>
      </c>
      <c r="B7400" s="226" t="str">
        <f>IFERROR(__xludf.DUMMYFUNCTION("""COMPUTED_VALUE"""),"09943")</f>
        <v>09943</v>
      </c>
      <c r="C7400" t="str">
        <f>IFERROR(__xludf.DUMMYFUNCTION("""COMPUTED_VALUE"""),"Autohak")</f>
        <v>Autohak</v>
      </c>
    </row>
    <row r="7401">
      <c r="A7401" t="str">
        <f>IFERROR(__xludf.DUMMYFUNCTION("""COMPUTED_VALUE"""),"P24")</f>
        <v>P24</v>
      </c>
      <c r="B7401" s="226" t="str">
        <f>IFERROR(__xludf.DUMMYFUNCTION("""COMPUTED_VALUE"""),"08076")</f>
        <v>08076</v>
      </c>
      <c r="C7401" t="str">
        <f>IFERROR(__xludf.DUMMYFUNCTION("""COMPUTED_VALUE"""),"Autohak")</f>
        <v>Autohak</v>
      </c>
    </row>
    <row r="7402">
      <c r="A7402" t="str">
        <f>IFERROR(__xludf.DUMMYFUNCTION("""COMPUTED_VALUE"""),"P24A")</f>
        <v>P24A</v>
      </c>
      <c r="B7402" s="226" t="str">
        <f>IFERROR(__xludf.DUMMYFUNCTION("""COMPUTED_VALUE"""),"09073")</f>
        <v>09073</v>
      </c>
      <c r="C7402" t="str">
        <f>IFERROR(__xludf.DUMMYFUNCTION("""COMPUTED_VALUE"""),"Autohak")</f>
        <v>Autohak</v>
      </c>
    </row>
    <row r="7403">
      <c r="A7403" t="str">
        <f>IFERROR(__xludf.DUMMYFUNCTION("""COMPUTED_VALUE"""),"P27")</f>
        <v>P27</v>
      </c>
      <c r="B7403" s="226" t="str">
        <f>IFERROR(__xludf.DUMMYFUNCTION("""COMPUTED_VALUE"""),"08090")</f>
        <v>08090</v>
      </c>
      <c r="C7403" t="str">
        <f>IFERROR(__xludf.DUMMYFUNCTION("""COMPUTED_VALUE"""),"Autohak")</f>
        <v>Autohak</v>
      </c>
    </row>
    <row r="7404">
      <c r="A7404" t="str">
        <f>IFERROR(__xludf.DUMMYFUNCTION("""COMPUTED_VALUE"""),"P27A")</f>
        <v>P27A</v>
      </c>
      <c r="B7404" s="226" t="str">
        <f>IFERROR(__xludf.DUMMYFUNCTION("""COMPUTED_VALUE"""),"09097")</f>
        <v>09097</v>
      </c>
      <c r="C7404" t="str">
        <f>IFERROR(__xludf.DUMMYFUNCTION("""COMPUTED_VALUE"""),"Autohak")</f>
        <v>Autohak</v>
      </c>
    </row>
    <row r="7405">
      <c r="A7405" t="str">
        <f>IFERROR(__xludf.DUMMYFUNCTION("""COMPUTED_VALUE"""),"P23")</f>
        <v>P23</v>
      </c>
      <c r="B7405" s="226" t="str">
        <f>IFERROR(__xludf.DUMMYFUNCTION("""COMPUTED_VALUE"""),"08083")</f>
        <v>08083</v>
      </c>
      <c r="C7405" t="str">
        <f>IFERROR(__xludf.DUMMYFUNCTION("""COMPUTED_VALUE"""),"Autohak")</f>
        <v>Autohak</v>
      </c>
    </row>
    <row r="7406">
      <c r="A7406" t="str">
        <f>IFERROR(__xludf.DUMMYFUNCTION("""COMPUTED_VALUE"""),"P23A")</f>
        <v>P23A</v>
      </c>
      <c r="B7406" s="226" t="str">
        <f>IFERROR(__xludf.DUMMYFUNCTION("""COMPUTED_VALUE"""),"09080")</f>
        <v>09080</v>
      </c>
      <c r="C7406" t="str">
        <f>IFERROR(__xludf.DUMMYFUNCTION("""COMPUTED_VALUE"""),"Autohak")</f>
        <v>Autohak</v>
      </c>
    </row>
    <row r="7407">
      <c r="A7407" t="str">
        <f>IFERROR(__xludf.DUMMYFUNCTION("""COMPUTED_VALUE"""),"P30")</f>
        <v>P30</v>
      </c>
      <c r="B7407" s="226" t="str">
        <f>IFERROR(__xludf.DUMMYFUNCTION("""COMPUTED_VALUE"""),"08106")</f>
        <v>08106</v>
      </c>
      <c r="C7407" t="str">
        <f>IFERROR(__xludf.DUMMYFUNCTION("""COMPUTED_VALUE"""),"Autohak")</f>
        <v>Autohak</v>
      </c>
    </row>
    <row r="7408">
      <c r="A7408" t="str">
        <f>IFERROR(__xludf.DUMMYFUNCTION("""COMPUTED_VALUE"""),"P30A")</f>
        <v>P30A</v>
      </c>
      <c r="B7408" s="226" t="str">
        <f>IFERROR(__xludf.DUMMYFUNCTION("""COMPUTED_VALUE"""),"09103")</f>
        <v>09103</v>
      </c>
      <c r="C7408" t="str">
        <f>IFERROR(__xludf.DUMMYFUNCTION("""COMPUTED_VALUE"""),"Autohak")</f>
        <v>Autohak</v>
      </c>
    </row>
    <row r="7409">
      <c r="A7409" t="str">
        <f>IFERROR(__xludf.DUMMYFUNCTION("""COMPUTED_VALUE"""),"P35")</f>
        <v>P35</v>
      </c>
      <c r="B7409" s="226" t="str">
        <f>IFERROR(__xludf.DUMMYFUNCTION("""COMPUTED_VALUE"""),"08229")</f>
        <v>08229</v>
      </c>
      <c r="C7409" t="str">
        <f>IFERROR(__xludf.DUMMYFUNCTION("""COMPUTED_VALUE"""),"Autohak")</f>
        <v>Autohak</v>
      </c>
    </row>
    <row r="7410">
      <c r="A7410" t="str">
        <f>IFERROR(__xludf.DUMMYFUNCTION("""COMPUTED_VALUE"""),"P35A")</f>
        <v>P35A</v>
      </c>
      <c r="B7410" s="226" t="str">
        <f>IFERROR(__xludf.DUMMYFUNCTION("""COMPUTED_VALUE"""),"09226")</f>
        <v>09226</v>
      </c>
      <c r="C7410" t="str">
        <f>IFERROR(__xludf.DUMMYFUNCTION("""COMPUTED_VALUE"""),"Autohak")</f>
        <v>Autohak</v>
      </c>
    </row>
    <row r="7411">
      <c r="A7411" t="str">
        <f>IFERROR(__xludf.DUMMYFUNCTION("""COMPUTED_VALUE"""),"P35V")</f>
        <v>P35V</v>
      </c>
      <c r="B7411" s="226" t="str">
        <f>IFERROR(__xludf.DUMMYFUNCTION("""COMPUTED_VALUE"""),"09967")</f>
        <v>09967</v>
      </c>
      <c r="C7411" t="str">
        <f>IFERROR(__xludf.DUMMYFUNCTION("""COMPUTED_VALUE"""),"Autohak")</f>
        <v>Autohak</v>
      </c>
    </row>
    <row r="7412">
      <c r="A7412" t="str">
        <f>IFERROR(__xludf.DUMMYFUNCTION("""COMPUTED_VALUE"""),"P33")</f>
        <v>P33</v>
      </c>
      <c r="B7412" s="226" t="str">
        <f>IFERROR(__xludf.DUMMYFUNCTION("""COMPUTED_VALUE"""),"08205")</f>
        <v>08205</v>
      </c>
      <c r="C7412" t="str">
        <f>IFERROR(__xludf.DUMMYFUNCTION("""COMPUTED_VALUE"""),"Autohak")</f>
        <v>Autohak</v>
      </c>
    </row>
    <row r="7413">
      <c r="A7413" t="str">
        <f>IFERROR(__xludf.DUMMYFUNCTION("""COMPUTED_VALUE"""),"P33A")</f>
        <v>P33A</v>
      </c>
      <c r="B7413" s="226" t="str">
        <f>IFERROR(__xludf.DUMMYFUNCTION("""COMPUTED_VALUE"""),"09202")</f>
        <v>09202</v>
      </c>
      <c r="C7413" t="str">
        <f>IFERROR(__xludf.DUMMYFUNCTION("""COMPUTED_VALUE"""),"Autohak")</f>
        <v>Autohak</v>
      </c>
    </row>
    <row r="7414">
      <c r="A7414" t="str">
        <f>IFERROR(__xludf.DUMMYFUNCTION("""COMPUTED_VALUE"""),"P33V")</f>
        <v>P33V</v>
      </c>
      <c r="B7414" s="226" t="str">
        <f>IFERROR(__xludf.DUMMYFUNCTION("""COMPUTED_VALUE"""),"09974")</f>
        <v>09974</v>
      </c>
      <c r="C7414" t="str">
        <f>IFERROR(__xludf.DUMMYFUNCTION("""COMPUTED_VALUE"""),"Autohak")</f>
        <v>Autohak</v>
      </c>
    </row>
    <row r="7415">
      <c r="A7415" t="str">
        <f>IFERROR(__xludf.DUMMYFUNCTION("""COMPUTED_VALUE"""),"F26")</f>
        <v>F26</v>
      </c>
      <c r="B7415" s="226" t="str">
        <f>IFERROR(__xludf.DUMMYFUNCTION("""COMPUTED_VALUE"""),"44197")</f>
        <v>44197</v>
      </c>
      <c r="C7415" t="str">
        <f>IFERROR(__xludf.DUMMYFUNCTION("""COMPUTED_VALUE"""),"Autohak")</f>
        <v>Autohak</v>
      </c>
    </row>
    <row r="7416">
      <c r="A7416" t="str">
        <f>IFERROR(__xludf.DUMMYFUNCTION("""COMPUTED_VALUE"""),"F26A")</f>
        <v>F26A</v>
      </c>
      <c r="B7416" s="226" t="str">
        <f>IFERROR(__xludf.DUMMYFUNCTION("""COMPUTED_VALUE"""),"46191")</f>
        <v>46191</v>
      </c>
      <c r="C7416" t="str">
        <f>IFERROR(__xludf.DUMMYFUNCTION("""COMPUTED_VALUE"""),"Autohak")</f>
        <v>Autohak</v>
      </c>
    </row>
    <row r="7417">
      <c r="A7417" t="str">
        <f>IFERROR(__xludf.DUMMYFUNCTION("""COMPUTED_VALUE"""),"F26")</f>
        <v>F26</v>
      </c>
      <c r="B7417" s="226" t="str">
        <f>IFERROR(__xludf.DUMMYFUNCTION("""COMPUTED_VALUE"""),"44197")</f>
        <v>44197</v>
      </c>
      <c r="C7417" t="str">
        <f>IFERROR(__xludf.DUMMYFUNCTION("""COMPUTED_VALUE"""),"Autohak")</f>
        <v>Autohak</v>
      </c>
    </row>
    <row r="7418">
      <c r="A7418" t="str">
        <f>IFERROR(__xludf.DUMMYFUNCTION("""COMPUTED_VALUE"""),"F26A")</f>
        <v>F26A</v>
      </c>
      <c r="B7418" s="226" t="str">
        <f>IFERROR(__xludf.DUMMYFUNCTION("""COMPUTED_VALUE"""),"46191")</f>
        <v>46191</v>
      </c>
      <c r="C7418" t="str">
        <f>IFERROR(__xludf.DUMMYFUNCTION("""COMPUTED_VALUE"""),"Autohak")</f>
        <v>Autohak</v>
      </c>
    </row>
    <row r="7419">
      <c r="A7419" t="str">
        <f>IFERROR(__xludf.DUMMYFUNCTION("""COMPUTED_VALUE"""),"P06")</f>
        <v>P06</v>
      </c>
      <c r="B7419" s="226" t="str">
        <f>IFERROR(__xludf.DUMMYFUNCTION("""COMPUTED_VALUE"""),"08113")</f>
        <v>08113</v>
      </c>
      <c r="C7419" t="str">
        <f>IFERROR(__xludf.DUMMYFUNCTION("""COMPUTED_VALUE"""),"Autohak")</f>
        <v>Autohak</v>
      </c>
    </row>
    <row r="7420">
      <c r="A7420" t="str">
        <f>IFERROR(__xludf.DUMMYFUNCTION("""COMPUTED_VALUE"""),"F13")</f>
        <v>F13</v>
      </c>
      <c r="B7420" s="226" t="str">
        <f>IFERROR(__xludf.DUMMYFUNCTION("""COMPUTED_VALUE"""),"44203")</f>
        <v>44203</v>
      </c>
      <c r="C7420" t="str">
        <f>IFERROR(__xludf.DUMMYFUNCTION("""COMPUTED_VALUE"""),"Autohak")</f>
        <v>Autohak</v>
      </c>
    </row>
    <row r="7421">
      <c r="A7421" t="str">
        <f>IFERROR(__xludf.DUMMYFUNCTION("""COMPUTED_VALUE"""),"F13A")</f>
        <v>F13A</v>
      </c>
      <c r="B7421" s="226" t="str">
        <f>IFERROR(__xludf.DUMMYFUNCTION("""COMPUTED_VALUE"""),"46207")</f>
        <v>46207</v>
      </c>
      <c r="C7421" t="str">
        <f>IFERROR(__xludf.DUMMYFUNCTION("""COMPUTED_VALUE"""),"Autohak")</f>
        <v>Autohak</v>
      </c>
    </row>
    <row r="7422">
      <c r="A7422" t="str">
        <f>IFERROR(__xludf.DUMMYFUNCTION("""COMPUTED_VALUE"""),"F13")</f>
        <v>F13</v>
      </c>
      <c r="B7422" s="226" t="str">
        <f>IFERROR(__xludf.DUMMYFUNCTION("""COMPUTED_VALUE"""),"44203")</f>
        <v>44203</v>
      </c>
      <c r="C7422" t="str">
        <f>IFERROR(__xludf.DUMMYFUNCTION("""COMPUTED_VALUE"""),"Autohak")</f>
        <v>Autohak</v>
      </c>
    </row>
    <row r="7423">
      <c r="A7423" t="str">
        <f>IFERROR(__xludf.DUMMYFUNCTION("""COMPUTED_VALUE"""),"F13A")</f>
        <v>F13A</v>
      </c>
      <c r="B7423" s="226" t="str">
        <f>IFERROR(__xludf.DUMMYFUNCTION("""COMPUTED_VALUE"""),"46207")</f>
        <v>46207</v>
      </c>
      <c r="C7423" t="str">
        <f>IFERROR(__xludf.DUMMYFUNCTION("""COMPUTED_VALUE"""),"Autohak")</f>
        <v>Autohak</v>
      </c>
    </row>
    <row r="7424">
      <c r="A7424" t="str">
        <f>IFERROR(__xludf.DUMMYFUNCTION("""COMPUTED_VALUE"""),"F31")</f>
        <v>F31</v>
      </c>
      <c r="B7424" s="226" t="str">
        <f>IFERROR(__xludf.DUMMYFUNCTION("""COMPUTED_VALUE"""),"44227")</f>
        <v>44227</v>
      </c>
      <c r="C7424" t="str">
        <f>IFERROR(__xludf.DUMMYFUNCTION("""COMPUTED_VALUE"""),"Autohak")</f>
        <v>Autohak</v>
      </c>
    </row>
    <row r="7425">
      <c r="A7425" t="str">
        <f>IFERROR(__xludf.DUMMYFUNCTION("""COMPUTED_VALUE"""),"F31A")</f>
        <v>F31A</v>
      </c>
      <c r="B7425" s="226" t="str">
        <f>IFERROR(__xludf.DUMMYFUNCTION("""COMPUTED_VALUE"""),"46221")</f>
        <v>46221</v>
      </c>
      <c r="C7425" t="str">
        <f>IFERROR(__xludf.DUMMYFUNCTION("""COMPUTED_VALUE"""),"Autohak")</f>
        <v>Autohak</v>
      </c>
    </row>
    <row r="7426">
      <c r="A7426" t="str">
        <f>IFERROR(__xludf.DUMMYFUNCTION("""COMPUTED_VALUE"""),"F31V")</f>
        <v>F31V</v>
      </c>
      <c r="B7426" s="226" t="str">
        <f>IFERROR(__xludf.DUMMYFUNCTION("""COMPUTED_VALUE"""),"46993")</f>
        <v>46993</v>
      </c>
      <c r="C7426" t="str">
        <f>IFERROR(__xludf.DUMMYFUNCTION("""COMPUTED_VALUE"""),"Autohak")</f>
        <v>Autohak</v>
      </c>
    </row>
    <row r="7427">
      <c r="A7427" t="str">
        <f>IFERROR(__xludf.DUMMYFUNCTION("""COMPUTED_VALUE"""),"F38")</f>
        <v>F38</v>
      </c>
      <c r="B7427" s="226" t="str">
        <f>IFERROR(__xludf.DUMMYFUNCTION("""COMPUTED_VALUE"""),"44296")</f>
        <v>44296</v>
      </c>
      <c r="C7427" t="str">
        <f>IFERROR(__xludf.DUMMYFUNCTION("""COMPUTED_VALUE"""),"Autohak")</f>
        <v>Autohak</v>
      </c>
    </row>
    <row r="7428">
      <c r="A7428" t="str">
        <f>IFERROR(__xludf.DUMMYFUNCTION("""COMPUTED_VALUE"""),"F38A")</f>
        <v>F38A</v>
      </c>
      <c r="B7428" s="226" t="str">
        <f>IFERROR(__xludf.DUMMYFUNCTION("""COMPUTED_VALUE"""),"46290")</f>
        <v>46290</v>
      </c>
      <c r="C7428" t="str">
        <f>IFERROR(__xludf.DUMMYFUNCTION("""COMPUTED_VALUE"""),"Autohak")</f>
        <v>Autohak</v>
      </c>
    </row>
    <row r="7429">
      <c r="A7429" t="str">
        <f>IFERROR(__xludf.DUMMYFUNCTION("""COMPUTED_VALUE"""),"F38V")</f>
        <v>F38V</v>
      </c>
      <c r="B7429" s="226" t="str">
        <f>IFERROR(__xludf.DUMMYFUNCTION("""COMPUTED_VALUE"""),"46955")</f>
        <v>46955</v>
      </c>
      <c r="C7429" t="str">
        <f>IFERROR(__xludf.DUMMYFUNCTION("""COMPUTED_VALUE"""),"Autohak")</f>
        <v>Autohak</v>
      </c>
    </row>
    <row r="7430">
      <c r="A7430" t="str">
        <f>IFERROR(__xludf.DUMMYFUNCTION("""COMPUTED_VALUE"""),"F31")</f>
        <v>F31</v>
      </c>
      <c r="B7430" s="226" t="str">
        <f>IFERROR(__xludf.DUMMYFUNCTION("""COMPUTED_VALUE"""),"44227")</f>
        <v>44227</v>
      </c>
      <c r="C7430" t="str">
        <f>IFERROR(__xludf.DUMMYFUNCTION("""COMPUTED_VALUE"""),"Autohak")</f>
        <v>Autohak</v>
      </c>
    </row>
    <row r="7431">
      <c r="A7431" t="str">
        <f>IFERROR(__xludf.DUMMYFUNCTION("""COMPUTED_VALUE"""),"F31A")</f>
        <v>F31A</v>
      </c>
      <c r="B7431" s="226" t="str">
        <f>IFERROR(__xludf.DUMMYFUNCTION("""COMPUTED_VALUE"""),"46221")</f>
        <v>46221</v>
      </c>
      <c r="C7431" t="str">
        <f>IFERROR(__xludf.DUMMYFUNCTION("""COMPUTED_VALUE"""),"Autohak")</f>
        <v>Autohak</v>
      </c>
    </row>
    <row r="7432">
      <c r="A7432" t="str">
        <f>IFERROR(__xludf.DUMMYFUNCTION("""COMPUTED_VALUE"""),"F31V")</f>
        <v>F31V</v>
      </c>
      <c r="B7432" s="226" t="str">
        <f>IFERROR(__xludf.DUMMYFUNCTION("""COMPUTED_VALUE"""),"46993")</f>
        <v>46993</v>
      </c>
      <c r="C7432" t="str">
        <f>IFERROR(__xludf.DUMMYFUNCTION("""COMPUTED_VALUE"""),"Autohak")</f>
        <v>Autohak</v>
      </c>
    </row>
    <row r="7433">
      <c r="A7433" t="str">
        <f>IFERROR(__xludf.DUMMYFUNCTION("""COMPUTED_VALUE"""),"F50")</f>
        <v>F50</v>
      </c>
      <c r="B7433" s="226" t="str">
        <f>IFERROR(__xludf.DUMMYFUNCTION("""COMPUTED_VALUE"""),"444401")</f>
        <v>444401</v>
      </c>
      <c r="C7433" t="str">
        <f>IFERROR(__xludf.DUMMYFUNCTION("""COMPUTED_VALUE"""),"Autohak")</f>
        <v>Autohak</v>
      </c>
    </row>
    <row r="7434">
      <c r="A7434" t="str">
        <f>IFERROR(__xludf.DUMMYFUNCTION("""COMPUTED_VALUE"""),"F50A")</f>
        <v>F50A</v>
      </c>
      <c r="B7434" s="226" t="str">
        <f>IFERROR(__xludf.DUMMYFUNCTION("""COMPUTED_VALUE"""),"46412")</f>
        <v>46412</v>
      </c>
      <c r="C7434" t="str">
        <f>IFERROR(__xludf.DUMMYFUNCTION("""COMPUTED_VALUE"""),"Autohak")</f>
        <v>Autohak</v>
      </c>
    </row>
    <row r="7435">
      <c r="A7435" t="str">
        <f>IFERROR(__xludf.DUMMYFUNCTION("""COMPUTED_VALUE"""),"F50V")</f>
        <v>F50V</v>
      </c>
      <c r="B7435" s="226" t="str">
        <f>IFERROR(__xludf.DUMMYFUNCTION("""COMPUTED_VALUE"""),"46825")</f>
        <v>46825</v>
      </c>
      <c r="C7435" t="str">
        <f>IFERROR(__xludf.DUMMYFUNCTION("""COMPUTED_VALUE"""),"Autohak")</f>
        <v>Autohak</v>
      </c>
    </row>
    <row r="7436">
      <c r="A7436" t="str">
        <f>IFERROR(__xludf.DUMMYFUNCTION("""COMPUTED_VALUE"""),"Z38")</f>
        <v>Z38</v>
      </c>
      <c r="B7436" s="226" t="str">
        <f>IFERROR(__xludf.DUMMYFUNCTION("""COMPUTED_VALUE"""),"35218")</f>
        <v>35218</v>
      </c>
      <c r="C7436" t="str">
        <f>IFERROR(__xludf.DUMMYFUNCTION("""COMPUTED_VALUE"""),"Autohak")</f>
        <v>Autohak</v>
      </c>
    </row>
    <row r="7437">
      <c r="A7437" t="str">
        <f>IFERROR(__xludf.DUMMYFUNCTION("""COMPUTED_VALUE"""),"Z38A")</f>
        <v>Z38A</v>
      </c>
      <c r="B7437" s="226" t="str">
        <f>IFERROR(__xludf.DUMMYFUNCTION("""COMPUTED_VALUE"""),"37212")</f>
        <v>37212</v>
      </c>
      <c r="C7437" t="str">
        <f>IFERROR(__xludf.DUMMYFUNCTION("""COMPUTED_VALUE"""),"Autohak")</f>
        <v>Autohak</v>
      </c>
    </row>
    <row r="7438">
      <c r="A7438" t="str">
        <f>IFERROR(__xludf.DUMMYFUNCTION("""COMPUTED_VALUE"""),"P37")</f>
        <v>P37</v>
      </c>
      <c r="B7438" s="226" t="str">
        <f>IFERROR(__xludf.DUMMYFUNCTION("""COMPUTED_VALUE"""),"08243")</f>
        <v>08243</v>
      </c>
      <c r="C7438" t="str">
        <f>IFERROR(__xludf.DUMMYFUNCTION("""COMPUTED_VALUE"""),"Autohak")</f>
        <v>Autohak</v>
      </c>
    </row>
    <row r="7439">
      <c r="A7439" t="str">
        <f>IFERROR(__xludf.DUMMYFUNCTION("""COMPUTED_VALUE"""),"P37A")</f>
        <v>P37A</v>
      </c>
      <c r="B7439" s="226" t="str">
        <f>IFERROR(__xludf.DUMMYFUNCTION("""COMPUTED_VALUE"""),"09240")</f>
        <v>09240</v>
      </c>
      <c r="C7439" t="str">
        <f>IFERROR(__xludf.DUMMYFUNCTION("""COMPUTED_VALUE"""),"Autohak")</f>
        <v>Autohak</v>
      </c>
    </row>
    <row r="7440">
      <c r="A7440" t="str">
        <f>IFERROR(__xludf.DUMMYFUNCTION("""COMPUTED_VALUE"""),"P41")</f>
        <v>P41</v>
      </c>
      <c r="B7440" s="226" t="str">
        <f>IFERROR(__xludf.DUMMYFUNCTION("""COMPUTED_VALUE"""),"08281")</f>
        <v>08281</v>
      </c>
      <c r="C7440" t="str">
        <f>IFERROR(__xludf.DUMMYFUNCTION("""COMPUTED_VALUE"""),"Autohak")</f>
        <v>Autohak</v>
      </c>
    </row>
    <row r="7441">
      <c r="A7441" t="str">
        <f>IFERROR(__xludf.DUMMYFUNCTION("""COMPUTED_VALUE"""),"P41A")</f>
        <v>P41A</v>
      </c>
      <c r="B7441" s="226" t="str">
        <f>IFERROR(__xludf.DUMMYFUNCTION("""COMPUTED_VALUE"""),"09288")</f>
        <v>09288</v>
      </c>
      <c r="C7441" t="str">
        <f>IFERROR(__xludf.DUMMYFUNCTION("""COMPUTED_VALUE"""),"Autohak")</f>
        <v>Autohak</v>
      </c>
    </row>
    <row r="7442">
      <c r="A7442" t="str">
        <f>IFERROR(__xludf.DUMMYFUNCTION("""COMPUTED_VALUE"""),"P41V")</f>
        <v>P41V</v>
      </c>
      <c r="B7442" s="226" t="str">
        <f>IFERROR(__xludf.DUMMYFUNCTION("""COMPUTED_VALUE"""),"09912")</f>
        <v>09912</v>
      </c>
      <c r="C7442" t="str">
        <f>IFERROR(__xludf.DUMMYFUNCTION("""COMPUTED_VALUE"""),"Autohak")</f>
        <v>Autohak</v>
      </c>
    </row>
    <row r="7443">
      <c r="A7443" t="str">
        <f>IFERROR(__xludf.DUMMYFUNCTION("""COMPUTED_VALUE"""),"P40")</f>
        <v>P40</v>
      </c>
      <c r="B7443" s="226" t="str">
        <f>IFERROR(__xludf.DUMMYFUNCTION("""COMPUTED_VALUE"""),"08274")</f>
        <v>08274</v>
      </c>
      <c r="C7443" t="str">
        <f>IFERROR(__xludf.DUMMYFUNCTION("""COMPUTED_VALUE"""),"Autohak")</f>
        <v>Autohak</v>
      </c>
    </row>
    <row r="7444">
      <c r="A7444" t="str">
        <f>IFERROR(__xludf.DUMMYFUNCTION("""COMPUTED_VALUE"""),"P40A")</f>
        <v>P40A</v>
      </c>
      <c r="B7444" s="226" t="str">
        <f>IFERROR(__xludf.DUMMYFUNCTION("""COMPUTED_VALUE"""),"09271")</f>
        <v>09271</v>
      </c>
      <c r="C7444" t="str">
        <f>IFERROR(__xludf.DUMMYFUNCTION("""COMPUTED_VALUE"""),"Autohak")</f>
        <v>Autohak</v>
      </c>
    </row>
    <row r="7445">
      <c r="A7445" t="str">
        <f>IFERROR(__xludf.DUMMYFUNCTION("""COMPUTED_VALUE"""),"P40V")</f>
        <v>P40V</v>
      </c>
      <c r="B7445" s="226" t="str">
        <f>IFERROR(__xludf.DUMMYFUNCTION("""COMPUTED_VALUE"""),"09929")</f>
        <v>09929</v>
      </c>
      <c r="C7445" t="str">
        <f>IFERROR(__xludf.DUMMYFUNCTION("""COMPUTED_VALUE"""),"Autohak")</f>
        <v>Autohak</v>
      </c>
    </row>
    <row r="7446">
      <c r="A7446" t="str">
        <f>IFERROR(__xludf.DUMMYFUNCTION("""COMPUTED_VALUE"""),"P43")</f>
        <v>P43</v>
      </c>
      <c r="B7446" s="226" t="str">
        <f>IFERROR(__xludf.DUMMYFUNCTION("""COMPUTED_VALUE"""),"08304")</f>
        <v>08304</v>
      </c>
      <c r="C7446" t="str">
        <f>IFERROR(__xludf.DUMMYFUNCTION("""COMPUTED_VALUE"""),"Autohak")</f>
        <v>Autohak</v>
      </c>
    </row>
    <row r="7447">
      <c r="A7447" t="str">
        <f>IFERROR(__xludf.DUMMYFUNCTION("""COMPUTED_VALUE"""),"P43A")</f>
        <v>P43A</v>
      </c>
      <c r="B7447" s="226" t="str">
        <f>IFERROR(__xludf.DUMMYFUNCTION("""COMPUTED_VALUE"""),"09301")</f>
        <v>09301</v>
      </c>
      <c r="C7447" t="str">
        <f>IFERROR(__xludf.DUMMYFUNCTION("""COMPUTED_VALUE"""),"Autohak")</f>
        <v>Autohak</v>
      </c>
    </row>
    <row r="7448">
      <c r="A7448" t="str">
        <f>IFERROR(__xludf.DUMMYFUNCTION("""COMPUTED_VALUE"""),"P43V")</f>
        <v>P43V</v>
      </c>
      <c r="B7448" s="226" t="str">
        <f>IFERROR(__xludf.DUMMYFUNCTION("""COMPUTED_VALUE"""),"09905")</f>
        <v>09905</v>
      </c>
      <c r="C7448" t="str">
        <f>IFERROR(__xludf.DUMMYFUNCTION("""COMPUTED_VALUE"""),"Autohak")</f>
        <v>Autohak</v>
      </c>
    </row>
    <row r="7449">
      <c r="A7449" t="str">
        <f>IFERROR(__xludf.DUMMYFUNCTION("""COMPUTED_VALUE"""),"R17")</f>
        <v>R17</v>
      </c>
      <c r="B7449" s="226" t="str">
        <f>IFERROR(__xludf.DUMMYFUNCTION("""COMPUTED_VALUE"""),"13230")</f>
        <v>13230</v>
      </c>
      <c r="C7449" t="str">
        <f>IFERROR(__xludf.DUMMYFUNCTION("""COMPUTED_VALUE"""),"Autohak")</f>
        <v>Autohak</v>
      </c>
    </row>
    <row r="7450">
      <c r="A7450" t="str">
        <f>IFERROR(__xludf.DUMMYFUNCTION("""COMPUTED_VALUE"""),"R17A")</f>
        <v>R17A</v>
      </c>
      <c r="B7450" s="226" t="str">
        <f>IFERROR(__xludf.DUMMYFUNCTION("""COMPUTED_VALUE"""),"16231")</f>
        <v>16231</v>
      </c>
      <c r="C7450" t="str">
        <f>IFERROR(__xludf.DUMMYFUNCTION("""COMPUTED_VALUE"""),"Autohak")</f>
        <v>Autohak</v>
      </c>
    </row>
    <row r="7451">
      <c r="A7451" t="str">
        <f>IFERROR(__xludf.DUMMYFUNCTION("""COMPUTED_VALUE"""),"R08")</f>
        <v>R08</v>
      </c>
      <c r="B7451" s="226" t="str">
        <f>IFERROR(__xludf.DUMMYFUNCTION("""COMPUTED_VALUE"""),"13094")</f>
        <v>13094</v>
      </c>
      <c r="C7451" t="str">
        <f>IFERROR(__xludf.DUMMYFUNCTION("""COMPUTED_VALUE"""),"Autohak")</f>
        <v>Autohak</v>
      </c>
    </row>
    <row r="7452">
      <c r="A7452" t="str">
        <f>IFERROR(__xludf.DUMMYFUNCTION("""COMPUTED_VALUE"""),"R24")</f>
        <v>R24</v>
      </c>
      <c r="B7452" s="226" t="str">
        <f>IFERROR(__xludf.DUMMYFUNCTION("""COMPUTED_VALUE"""),"13100")</f>
        <v>13100</v>
      </c>
      <c r="C7452" t="str">
        <f>IFERROR(__xludf.DUMMYFUNCTION("""COMPUTED_VALUE"""),"Autohak")</f>
        <v>Autohak</v>
      </c>
    </row>
    <row r="7453">
      <c r="A7453" t="str">
        <f>IFERROR(__xludf.DUMMYFUNCTION("""COMPUTED_VALUE"""),"R39")</f>
        <v>R39</v>
      </c>
      <c r="B7453" s="226" t="str">
        <f>IFERROR(__xludf.DUMMYFUNCTION("""COMPUTED_VALUE"""),"13353")</f>
        <v>13353</v>
      </c>
      <c r="C7453" t="str">
        <f>IFERROR(__xludf.DUMMYFUNCTION("""COMPUTED_VALUE"""),"Autohak")</f>
        <v>Autohak</v>
      </c>
    </row>
    <row r="7454">
      <c r="A7454" t="str">
        <f>IFERROR(__xludf.DUMMYFUNCTION("""COMPUTED_VALUE"""),"R39A")</f>
        <v>R39A</v>
      </c>
      <c r="B7454" s="226" t="str">
        <f>IFERROR(__xludf.DUMMYFUNCTION("""COMPUTED_VALUE"""),"16354")</f>
        <v>16354</v>
      </c>
      <c r="C7454" t="str">
        <f>IFERROR(__xludf.DUMMYFUNCTION("""COMPUTED_VALUE"""),"Autohak")</f>
        <v>Autohak</v>
      </c>
    </row>
    <row r="7455">
      <c r="A7455" t="str">
        <f>IFERROR(__xludf.DUMMYFUNCTION("""COMPUTED_VALUE"""),"R60")</f>
        <v>R60</v>
      </c>
      <c r="B7455" s="226" t="str">
        <f>IFERROR(__xludf.DUMMYFUNCTION("""COMPUTED_VALUE"""),"13575")</f>
        <v>13575</v>
      </c>
      <c r="C7455" t="str">
        <f>IFERROR(__xludf.DUMMYFUNCTION("""COMPUTED_VALUE"""),"Autohak")</f>
        <v>Autohak</v>
      </c>
    </row>
    <row r="7456">
      <c r="A7456" t="str">
        <f>IFERROR(__xludf.DUMMYFUNCTION("""COMPUTED_VALUE"""),"R39")</f>
        <v>R39</v>
      </c>
      <c r="B7456" s="226" t="str">
        <f>IFERROR(__xludf.DUMMYFUNCTION("""COMPUTED_VALUE"""),"13353")</f>
        <v>13353</v>
      </c>
      <c r="C7456" t="str">
        <f>IFERROR(__xludf.DUMMYFUNCTION("""COMPUTED_VALUE"""),"Autohak")</f>
        <v>Autohak</v>
      </c>
    </row>
    <row r="7457">
      <c r="A7457" t="str">
        <f>IFERROR(__xludf.DUMMYFUNCTION("""COMPUTED_VALUE"""),"R39A")</f>
        <v>R39A</v>
      </c>
      <c r="B7457" s="226" t="str">
        <f>IFERROR(__xludf.DUMMYFUNCTION("""COMPUTED_VALUE"""),"16354")</f>
        <v>16354</v>
      </c>
      <c r="C7457" t="str">
        <f>IFERROR(__xludf.DUMMYFUNCTION("""COMPUTED_VALUE"""),"Autohak")</f>
        <v>Autohak</v>
      </c>
    </row>
    <row r="7458">
      <c r="A7458" t="str">
        <f>IFERROR(__xludf.DUMMYFUNCTION("""COMPUTED_VALUE"""),"R60")</f>
        <v>R60</v>
      </c>
      <c r="B7458" s="226" t="str">
        <f>IFERROR(__xludf.DUMMYFUNCTION("""COMPUTED_VALUE"""),"13575")</f>
        <v>13575</v>
      </c>
      <c r="C7458" t="str">
        <f>IFERROR(__xludf.DUMMYFUNCTION("""COMPUTED_VALUE"""),"Autohak")</f>
        <v>Autohak</v>
      </c>
    </row>
    <row r="7459">
      <c r="A7459" t="str">
        <f>IFERROR(__xludf.DUMMYFUNCTION("""COMPUTED_VALUE"""),"R39")</f>
        <v>R39</v>
      </c>
      <c r="B7459" s="226" t="str">
        <f>IFERROR(__xludf.DUMMYFUNCTION("""COMPUTED_VALUE"""),"13353")</f>
        <v>13353</v>
      </c>
      <c r="C7459" t="str">
        <f>IFERROR(__xludf.DUMMYFUNCTION("""COMPUTED_VALUE"""),"Autohak")</f>
        <v>Autohak</v>
      </c>
    </row>
    <row r="7460">
      <c r="A7460" t="str">
        <f>IFERROR(__xludf.DUMMYFUNCTION("""COMPUTED_VALUE"""),"R39A")</f>
        <v>R39A</v>
      </c>
      <c r="B7460" s="226" t="str">
        <f>IFERROR(__xludf.DUMMYFUNCTION("""COMPUTED_VALUE"""),"16354")</f>
        <v>16354</v>
      </c>
      <c r="C7460" t="str">
        <f>IFERROR(__xludf.DUMMYFUNCTION("""COMPUTED_VALUE"""),"Autohak")</f>
        <v>Autohak</v>
      </c>
    </row>
    <row r="7461">
      <c r="A7461" t="str">
        <f>IFERROR(__xludf.DUMMYFUNCTION("""COMPUTED_VALUE"""),"R60")</f>
        <v>R60</v>
      </c>
      <c r="B7461" s="226" t="str">
        <f>IFERROR(__xludf.DUMMYFUNCTION("""COMPUTED_VALUE"""),"13575")</f>
        <v>13575</v>
      </c>
      <c r="C7461" t="str">
        <f>IFERROR(__xludf.DUMMYFUNCTION("""COMPUTED_VALUE"""),"Autohak")</f>
        <v>Autohak</v>
      </c>
    </row>
    <row r="7462">
      <c r="A7462" t="str">
        <f>IFERROR(__xludf.DUMMYFUNCTION("""COMPUTED_VALUE"""),"R39")</f>
        <v>R39</v>
      </c>
      <c r="B7462" s="226" t="str">
        <f>IFERROR(__xludf.DUMMYFUNCTION("""COMPUTED_VALUE"""),"13353")</f>
        <v>13353</v>
      </c>
      <c r="C7462" t="str">
        <f>IFERROR(__xludf.DUMMYFUNCTION("""COMPUTED_VALUE"""),"Autohak")</f>
        <v>Autohak</v>
      </c>
    </row>
    <row r="7463">
      <c r="A7463" t="str">
        <f>IFERROR(__xludf.DUMMYFUNCTION("""COMPUTED_VALUE"""),"R39A")</f>
        <v>R39A</v>
      </c>
      <c r="B7463" s="226" t="str">
        <f>IFERROR(__xludf.DUMMYFUNCTION("""COMPUTED_VALUE"""),"16354")</f>
        <v>16354</v>
      </c>
      <c r="C7463" t="str">
        <f>IFERROR(__xludf.DUMMYFUNCTION("""COMPUTED_VALUE"""),"Autohak")</f>
        <v>Autohak</v>
      </c>
    </row>
    <row r="7464">
      <c r="A7464" t="str">
        <f>IFERROR(__xludf.DUMMYFUNCTION("""COMPUTED_VALUE"""),"R60")</f>
        <v>R60</v>
      </c>
      <c r="B7464" s="226" t="str">
        <f>IFERROR(__xludf.DUMMYFUNCTION("""COMPUTED_VALUE"""),"13575")</f>
        <v>13575</v>
      </c>
      <c r="C7464" t="str">
        <f>IFERROR(__xludf.DUMMYFUNCTION("""COMPUTED_VALUE"""),"Autohak")</f>
        <v>Autohak</v>
      </c>
    </row>
    <row r="7465">
      <c r="A7465" t="str">
        <f>IFERROR(__xludf.DUMMYFUNCTION("""COMPUTED_VALUE"""),"R41")</f>
        <v>R41</v>
      </c>
      <c r="B7465" s="226" t="str">
        <f>IFERROR(__xludf.DUMMYFUNCTION("""COMPUTED_VALUE"""),"13377")</f>
        <v>13377</v>
      </c>
      <c r="C7465" t="str">
        <f>IFERROR(__xludf.DUMMYFUNCTION("""COMPUTED_VALUE"""),"Autohak")</f>
        <v>Autohak</v>
      </c>
    </row>
    <row r="7466">
      <c r="A7466" t="str">
        <f>IFERROR(__xludf.DUMMYFUNCTION("""COMPUTED_VALUE"""),"R42")</f>
        <v>R42</v>
      </c>
      <c r="B7466" s="226" t="str">
        <f>IFERROR(__xludf.DUMMYFUNCTION("""COMPUTED_VALUE"""),"13384")</f>
        <v>13384</v>
      </c>
      <c r="C7466" t="str">
        <f>IFERROR(__xludf.DUMMYFUNCTION("""COMPUTED_VALUE"""),"Autohak")</f>
        <v>Autohak</v>
      </c>
    </row>
    <row r="7467">
      <c r="A7467" t="str">
        <f>IFERROR(__xludf.DUMMYFUNCTION("""COMPUTED_VALUE"""),"R42A")</f>
        <v>R42A</v>
      </c>
      <c r="B7467" s="226" t="str">
        <f>IFERROR(__xludf.DUMMYFUNCTION("""COMPUTED_VALUE"""),"16385")</f>
        <v>16385</v>
      </c>
      <c r="C7467" t="str">
        <f>IFERROR(__xludf.DUMMYFUNCTION("""COMPUTED_VALUE"""),"Autohak")</f>
        <v>Autohak</v>
      </c>
    </row>
    <row r="7468">
      <c r="A7468" t="str">
        <f>IFERROR(__xludf.DUMMYFUNCTION("""COMPUTED_VALUE"""),"R61")</f>
        <v>R61</v>
      </c>
      <c r="B7468" s="226" t="str">
        <f>IFERROR(__xludf.DUMMYFUNCTION("""COMPUTED_VALUE"""),"13582")</f>
        <v>13582</v>
      </c>
      <c r="C7468" t="str">
        <f>IFERROR(__xludf.DUMMYFUNCTION("""COMPUTED_VALUE"""),"Autohak")</f>
        <v>Autohak</v>
      </c>
    </row>
    <row r="7469">
      <c r="A7469" t="str">
        <f>IFERROR(__xludf.DUMMYFUNCTION("""COMPUTED_VALUE"""),"R42")</f>
        <v>R42</v>
      </c>
      <c r="B7469" s="226" t="str">
        <f>IFERROR(__xludf.DUMMYFUNCTION("""COMPUTED_VALUE"""),"13384")</f>
        <v>13384</v>
      </c>
      <c r="C7469" t="str">
        <f>IFERROR(__xludf.DUMMYFUNCTION("""COMPUTED_VALUE"""),"Autohak")</f>
        <v>Autohak</v>
      </c>
    </row>
    <row r="7470">
      <c r="A7470" t="str">
        <f>IFERROR(__xludf.DUMMYFUNCTION("""COMPUTED_VALUE"""),"R42A")</f>
        <v>R42A</v>
      </c>
      <c r="B7470" s="226" t="str">
        <f>IFERROR(__xludf.DUMMYFUNCTION("""COMPUTED_VALUE"""),"16385")</f>
        <v>16385</v>
      </c>
      <c r="C7470" t="str">
        <f>IFERROR(__xludf.DUMMYFUNCTION("""COMPUTED_VALUE"""),"Autohak")</f>
        <v>Autohak</v>
      </c>
    </row>
    <row r="7471">
      <c r="A7471" t="str">
        <f>IFERROR(__xludf.DUMMYFUNCTION("""COMPUTED_VALUE"""),"R61")</f>
        <v>R61</v>
      </c>
      <c r="B7471" s="226" t="str">
        <f>IFERROR(__xludf.DUMMYFUNCTION("""COMPUTED_VALUE"""),"13582")</f>
        <v>13582</v>
      </c>
      <c r="C7471" t="str">
        <f>IFERROR(__xludf.DUMMYFUNCTION("""COMPUTED_VALUE"""),"Autohak")</f>
        <v>Autohak</v>
      </c>
    </row>
    <row r="7472">
      <c r="A7472" t="str">
        <f>IFERROR(__xludf.DUMMYFUNCTION("""COMPUTED_VALUE"""),"R42")</f>
        <v>R42</v>
      </c>
      <c r="B7472" s="226" t="str">
        <f>IFERROR(__xludf.DUMMYFUNCTION("""COMPUTED_VALUE"""),"13384")</f>
        <v>13384</v>
      </c>
      <c r="C7472" t="str">
        <f>IFERROR(__xludf.DUMMYFUNCTION("""COMPUTED_VALUE"""),"Autohak")</f>
        <v>Autohak</v>
      </c>
    </row>
    <row r="7473">
      <c r="A7473" t="str">
        <f>IFERROR(__xludf.DUMMYFUNCTION("""COMPUTED_VALUE"""),"R42A")</f>
        <v>R42A</v>
      </c>
      <c r="B7473" s="226" t="str">
        <f>IFERROR(__xludf.DUMMYFUNCTION("""COMPUTED_VALUE"""),"16385")</f>
        <v>16385</v>
      </c>
      <c r="C7473" t="str">
        <f>IFERROR(__xludf.DUMMYFUNCTION("""COMPUTED_VALUE"""),"Autohak")</f>
        <v>Autohak</v>
      </c>
    </row>
    <row r="7474">
      <c r="A7474" t="str">
        <f>IFERROR(__xludf.DUMMYFUNCTION("""COMPUTED_VALUE"""),"R61")</f>
        <v>R61</v>
      </c>
      <c r="B7474" s="226" t="str">
        <f>IFERROR(__xludf.DUMMYFUNCTION("""COMPUTED_VALUE"""),"13582")</f>
        <v>13582</v>
      </c>
      <c r="C7474" t="str">
        <f>IFERROR(__xludf.DUMMYFUNCTION("""COMPUTED_VALUE"""),"Autohak")</f>
        <v>Autohak</v>
      </c>
    </row>
    <row r="7475">
      <c r="A7475" t="str">
        <f>IFERROR(__xludf.DUMMYFUNCTION("""COMPUTED_VALUE"""),"R42")</f>
        <v>R42</v>
      </c>
      <c r="B7475" s="226" t="str">
        <f>IFERROR(__xludf.DUMMYFUNCTION("""COMPUTED_VALUE"""),"13384")</f>
        <v>13384</v>
      </c>
      <c r="C7475" t="str">
        <f>IFERROR(__xludf.DUMMYFUNCTION("""COMPUTED_VALUE"""),"Autohak")</f>
        <v>Autohak</v>
      </c>
    </row>
    <row r="7476">
      <c r="A7476" t="str">
        <f>IFERROR(__xludf.DUMMYFUNCTION("""COMPUTED_VALUE"""),"R42A")</f>
        <v>R42A</v>
      </c>
      <c r="B7476" s="226" t="str">
        <f>IFERROR(__xludf.DUMMYFUNCTION("""COMPUTED_VALUE"""),"16385")</f>
        <v>16385</v>
      </c>
      <c r="C7476" t="str">
        <f>IFERROR(__xludf.DUMMYFUNCTION("""COMPUTED_VALUE"""),"Autohak")</f>
        <v>Autohak</v>
      </c>
    </row>
    <row r="7477">
      <c r="A7477" t="str">
        <f>IFERROR(__xludf.DUMMYFUNCTION("""COMPUTED_VALUE"""),"R61")</f>
        <v>R61</v>
      </c>
      <c r="B7477" s="226" t="str">
        <f>IFERROR(__xludf.DUMMYFUNCTION("""COMPUTED_VALUE"""),"13582")</f>
        <v>13582</v>
      </c>
      <c r="C7477" t="str">
        <f>IFERROR(__xludf.DUMMYFUNCTION("""COMPUTED_VALUE"""),"Autohak")</f>
        <v>Autohak</v>
      </c>
    </row>
    <row r="7478">
      <c r="A7478" t="str">
        <f>IFERROR(__xludf.DUMMYFUNCTION("""COMPUTED_VALUE"""),"R46")</f>
        <v>R46</v>
      </c>
      <c r="B7478" s="226" t="str">
        <f>IFERROR(__xludf.DUMMYFUNCTION("""COMPUTED_VALUE"""),"13421")</f>
        <v>13421</v>
      </c>
      <c r="C7478" t="str">
        <f>IFERROR(__xludf.DUMMYFUNCTION("""COMPUTED_VALUE"""),"Autohak")</f>
        <v>Autohak</v>
      </c>
    </row>
    <row r="7479">
      <c r="A7479" t="str">
        <f>IFERROR(__xludf.DUMMYFUNCTION("""COMPUTED_VALUE"""),"R17")</f>
        <v>R17</v>
      </c>
      <c r="B7479" s="226" t="str">
        <f>IFERROR(__xludf.DUMMYFUNCTION("""COMPUTED_VALUE"""),"13230")</f>
        <v>13230</v>
      </c>
      <c r="C7479" t="str">
        <f>IFERROR(__xludf.DUMMYFUNCTION("""COMPUTED_VALUE"""),"Autohak")</f>
        <v>Autohak</v>
      </c>
    </row>
    <row r="7480">
      <c r="A7480" t="str">
        <f>IFERROR(__xludf.DUMMYFUNCTION("""COMPUTED_VALUE"""),"R17A")</f>
        <v>R17A</v>
      </c>
      <c r="B7480" s="226" t="str">
        <f>IFERROR(__xludf.DUMMYFUNCTION("""COMPUTED_VALUE"""),"16231")</f>
        <v>16231</v>
      </c>
      <c r="C7480" t="str">
        <f>IFERROR(__xludf.DUMMYFUNCTION("""COMPUTED_VALUE"""),"Autohak")</f>
        <v>Autohak</v>
      </c>
    </row>
    <row r="7481">
      <c r="A7481" t="str">
        <f>IFERROR(__xludf.DUMMYFUNCTION("""COMPUTED_VALUE"""),"R40")</f>
        <v>R40</v>
      </c>
      <c r="B7481" s="226" t="str">
        <f>IFERROR(__xludf.DUMMYFUNCTION("""COMPUTED_VALUE"""),"13360")</f>
        <v>13360</v>
      </c>
      <c r="C7481" t="str">
        <f>IFERROR(__xludf.DUMMYFUNCTION("""COMPUTED_VALUE"""),"Autohak")</f>
        <v>Autohak</v>
      </c>
    </row>
    <row r="7482">
      <c r="A7482" t="str">
        <f>IFERROR(__xludf.DUMMYFUNCTION("""COMPUTED_VALUE"""),"R40A")</f>
        <v>R40A</v>
      </c>
      <c r="B7482" s="226" t="str">
        <f>IFERROR(__xludf.DUMMYFUNCTION("""COMPUTED_VALUE"""),"16361")</f>
        <v>16361</v>
      </c>
      <c r="C7482" t="str">
        <f>IFERROR(__xludf.DUMMYFUNCTION("""COMPUTED_VALUE"""),"Autohak")</f>
        <v>Autohak</v>
      </c>
    </row>
    <row r="7483">
      <c r="A7483" t="str">
        <f>IFERROR(__xludf.DUMMYFUNCTION("""COMPUTED_VALUE"""),"P44")</f>
        <v>P44</v>
      </c>
      <c r="B7483" s="226" t="str">
        <f>IFERROR(__xludf.DUMMYFUNCTION("""COMPUTED_VALUE"""),"08311")</f>
        <v>08311</v>
      </c>
      <c r="C7483" t="str">
        <f>IFERROR(__xludf.DUMMYFUNCTION("""COMPUTED_VALUE"""),"Autohak")</f>
        <v>Autohak</v>
      </c>
    </row>
    <row r="7484">
      <c r="A7484" t="str">
        <f>IFERROR(__xludf.DUMMYFUNCTION("""COMPUTED_VALUE"""),"P44A")</f>
        <v>P44A</v>
      </c>
      <c r="B7484" s="226" t="str">
        <f>IFERROR(__xludf.DUMMYFUNCTION("""COMPUTED_VALUE"""),"09318")</f>
        <v>09318</v>
      </c>
      <c r="C7484" t="str">
        <f>IFERROR(__xludf.DUMMYFUNCTION("""COMPUTED_VALUE"""),"Autohak")</f>
        <v>Autohak</v>
      </c>
    </row>
    <row r="7485">
      <c r="A7485" t="str">
        <f>IFERROR(__xludf.DUMMYFUNCTION("""COMPUTED_VALUE"""),"P44V")</f>
        <v>P44V</v>
      </c>
      <c r="B7485" s="226" t="str">
        <f>IFERROR(__xludf.DUMMYFUNCTION("""COMPUTED_VALUE"""),"09899")</f>
        <v>09899</v>
      </c>
      <c r="C7485" t="str">
        <f>IFERROR(__xludf.DUMMYFUNCTION("""COMPUTED_VALUE"""),"Autohak")</f>
        <v>Autohak</v>
      </c>
    </row>
    <row r="7486">
      <c r="A7486" t="str">
        <f>IFERROR(__xludf.DUMMYFUNCTION("""COMPUTED_VALUE"""),"P44")</f>
        <v>P44</v>
      </c>
      <c r="B7486" s="226" t="str">
        <f>IFERROR(__xludf.DUMMYFUNCTION("""COMPUTED_VALUE"""),"08311")</f>
        <v>08311</v>
      </c>
      <c r="C7486" t="str">
        <f>IFERROR(__xludf.DUMMYFUNCTION("""COMPUTED_VALUE"""),"Autohak")</f>
        <v>Autohak</v>
      </c>
    </row>
    <row r="7487">
      <c r="A7487" t="str">
        <f>IFERROR(__xludf.DUMMYFUNCTION("""COMPUTED_VALUE"""),"P44A")</f>
        <v>P44A</v>
      </c>
      <c r="B7487" s="226" t="str">
        <f>IFERROR(__xludf.DUMMYFUNCTION("""COMPUTED_VALUE"""),"09318")</f>
        <v>09318</v>
      </c>
      <c r="C7487" t="str">
        <f>IFERROR(__xludf.DUMMYFUNCTION("""COMPUTED_VALUE"""),"Autohak")</f>
        <v>Autohak</v>
      </c>
    </row>
    <row r="7488">
      <c r="A7488" t="str">
        <f>IFERROR(__xludf.DUMMYFUNCTION("""COMPUTED_VALUE"""),"P44V")</f>
        <v>P44V</v>
      </c>
      <c r="B7488" s="226" t="str">
        <f>IFERROR(__xludf.DUMMYFUNCTION("""COMPUTED_VALUE"""),"09899")</f>
        <v>09899</v>
      </c>
      <c r="C7488" t="str">
        <f>IFERROR(__xludf.DUMMYFUNCTION("""COMPUTED_VALUE"""),"Autohak")</f>
        <v>Autohak</v>
      </c>
    </row>
    <row r="7489">
      <c r="A7489" t="str">
        <f>IFERROR(__xludf.DUMMYFUNCTION("""COMPUTED_VALUE"""),"F32")</f>
        <v>F32</v>
      </c>
      <c r="B7489" s="226" t="str">
        <f>IFERROR(__xludf.DUMMYFUNCTION("""COMPUTED_VALUE"""),"44234")</f>
        <v>44234</v>
      </c>
      <c r="C7489" t="str">
        <f>IFERROR(__xludf.DUMMYFUNCTION("""COMPUTED_VALUE"""),"Autohak")</f>
        <v>Autohak</v>
      </c>
    </row>
    <row r="7490">
      <c r="A7490" t="str">
        <f>IFERROR(__xludf.DUMMYFUNCTION("""COMPUTED_VALUE"""),"F32A")</f>
        <v>F32A</v>
      </c>
      <c r="B7490" s="226" t="str">
        <f>IFERROR(__xludf.DUMMYFUNCTION("""COMPUTED_VALUE"""),"46238")</f>
        <v>46238</v>
      </c>
      <c r="C7490" t="str">
        <f>IFERROR(__xludf.DUMMYFUNCTION("""COMPUTED_VALUE"""),"Autohak")</f>
        <v>Autohak</v>
      </c>
    </row>
    <row r="7491">
      <c r="A7491" t="str">
        <f>IFERROR(__xludf.DUMMYFUNCTION("""COMPUTED_VALUE"""),"F32")</f>
        <v>F32</v>
      </c>
      <c r="B7491" s="226" t="str">
        <f>IFERROR(__xludf.DUMMYFUNCTION("""COMPUTED_VALUE"""),"44234")</f>
        <v>44234</v>
      </c>
      <c r="C7491" t="str">
        <f>IFERROR(__xludf.DUMMYFUNCTION("""COMPUTED_VALUE"""),"Autohak")</f>
        <v>Autohak</v>
      </c>
    </row>
    <row r="7492">
      <c r="A7492" t="str">
        <f>IFERROR(__xludf.DUMMYFUNCTION("""COMPUTED_VALUE"""),"F32A")</f>
        <v>F32A</v>
      </c>
      <c r="B7492" s="226" t="str">
        <f>IFERROR(__xludf.DUMMYFUNCTION("""COMPUTED_VALUE"""),"46238")</f>
        <v>46238</v>
      </c>
      <c r="C7492" t="str">
        <f>IFERROR(__xludf.DUMMYFUNCTION("""COMPUTED_VALUE"""),"Autohak")</f>
        <v>Autohak</v>
      </c>
    </row>
    <row r="7493">
      <c r="A7493" t="str">
        <f>IFERROR(__xludf.DUMMYFUNCTION("""COMPUTED_VALUE"""),"P09")</f>
        <v>P09</v>
      </c>
      <c r="B7493" s="226" t="str">
        <f>IFERROR(__xludf.DUMMYFUNCTION("""COMPUTED_VALUE"""),"08120")</f>
        <v>08120</v>
      </c>
      <c r="C7493" t="str">
        <f>IFERROR(__xludf.DUMMYFUNCTION("""COMPUTED_VALUE"""),"Autohak")</f>
        <v>Autohak</v>
      </c>
    </row>
    <row r="7494">
      <c r="A7494" t="str">
        <f>IFERROR(__xludf.DUMMYFUNCTION("""COMPUTED_VALUE"""),"P09A")</f>
        <v>P09A</v>
      </c>
      <c r="B7494" s="226" t="str">
        <f>IFERROR(__xludf.DUMMYFUNCTION("""COMPUTED_VALUE"""),"09127")</f>
        <v>09127</v>
      </c>
      <c r="C7494" t="str">
        <f>IFERROR(__xludf.DUMMYFUNCTION("""COMPUTED_VALUE"""),"Autohak")</f>
        <v>Autohak</v>
      </c>
    </row>
    <row r="7495">
      <c r="A7495" t="str">
        <f>IFERROR(__xludf.DUMMYFUNCTION("""COMPUTED_VALUE"""),"P22")</f>
        <v>P22</v>
      </c>
      <c r="B7495" s="226" t="str">
        <f>IFERROR(__xludf.DUMMYFUNCTION("""COMPUTED_VALUE"""),"08137")</f>
        <v>08137</v>
      </c>
      <c r="C7495" t="str">
        <f>IFERROR(__xludf.DUMMYFUNCTION("""COMPUTED_VALUE"""),"Autohak")</f>
        <v>Autohak</v>
      </c>
    </row>
    <row r="7496">
      <c r="A7496" t="str">
        <f>IFERROR(__xludf.DUMMYFUNCTION("""COMPUTED_VALUE"""),"P22A")</f>
        <v>P22A</v>
      </c>
      <c r="B7496" s="226" t="str">
        <f>IFERROR(__xludf.DUMMYFUNCTION("""COMPUTED_VALUE"""),"09134")</f>
        <v>09134</v>
      </c>
      <c r="C7496" t="str">
        <f>IFERROR(__xludf.DUMMYFUNCTION("""COMPUTED_VALUE"""),"Autohak")</f>
        <v>Autohak</v>
      </c>
    </row>
    <row r="7497">
      <c r="A7497" t="str">
        <f>IFERROR(__xludf.DUMMYFUNCTION("""COMPUTED_VALUE"""),"P17")</f>
        <v>P17</v>
      </c>
      <c r="B7497" s="226" t="str">
        <f>IFERROR(__xludf.DUMMYFUNCTION("""COMPUTED_VALUE"""),"08144")</f>
        <v>08144</v>
      </c>
      <c r="C7497" t="str">
        <f>IFERROR(__xludf.DUMMYFUNCTION("""COMPUTED_VALUE"""),"Autohak")</f>
        <v>Autohak</v>
      </c>
    </row>
    <row r="7498">
      <c r="A7498" t="str">
        <f>IFERROR(__xludf.DUMMYFUNCTION("""COMPUTED_VALUE"""),"P17A")</f>
        <v>P17A</v>
      </c>
      <c r="B7498" s="226" t="str">
        <f>IFERROR(__xludf.DUMMYFUNCTION("""COMPUTED_VALUE"""),"09141")</f>
        <v>09141</v>
      </c>
      <c r="C7498" t="str">
        <f>IFERROR(__xludf.DUMMYFUNCTION("""COMPUTED_VALUE"""),"Autohak")</f>
        <v>Autohak</v>
      </c>
    </row>
    <row r="7499">
      <c r="A7499" t="str">
        <f>IFERROR(__xludf.DUMMYFUNCTION("""COMPUTED_VALUE"""),"P07")</f>
        <v>P07</v>
      </c>
      <c r="B7499" s="226" t="str">
        <f>IFERROR(__xludf.DUMMYFUNCTION("""COMPUTED_VALUE"""),"08038")</f>
        <v>08038</v>
      </c>
      <c r="C7499" t="str">
        <f>IFERROR(__xludf.DUMMYFUNCTION("""COMPUTED_VALUE"""),"Autohak")</f>
        <v>Autohak</v>
      </c>
    </row>
    <row r="7500">
      <c r="A7500" t="str">
        <f>IFERROR(__xludf.DUMMYFUNCTION("""COMPUTED_VALUE"""),"P10")</f>
        <v>P10</v>
      </c>
      <c r="B7500" s="226" t="str">
        <f>IFERROR(__xludf.DUMMYFUNCTION("""COMPUTED_VALUE"""),"08151")</f>
        <v>08151</v>
      </c>
      <c r="C7500" t="str">
        <f>IFERROR(__xludf.DUMMYFUNCTION("""COMPUTED_VALUE"""),"Autohak")</f>
        <v>Autohak</v>
      </c>
    </row>
    <row r="7501">
      <c r="A7501" t="str">
        <f>IFERROR(__xludf.DUMMYFUNCTION("""COMPUTED_VALUE"""),"P10A")</f>
        <v>P10A</v>
      </c>
      <c r="B7501" s="226" t="str">
        <f>IFERROR(__xludf.DUMMYFUNCTION("""COMPUTED_VALUE"""),"09158")</f>
        <v>09158</v>
      </c>
      <c r="C7501" t="str">
        <f>IFERROR(__xludf.DUMMYFUNCTION("""COMPUTED_VALUE"""),"Autohak")</f>
        <v>Autohak</v>
      </c>
    </row>
    <row r="7502">
      <c r="A7502" t="str">
        <f>IFERROR(__xludf.DUMMYFUNCTION("""COMPUTED_VALUE"""),"P14")</f>
        <v>P14</v>
      </c>
      <c r="B7502" s="226" t="str">
        <f>IFERROR(__xludf.DUMMYFUNCTION("""COMPUTED_VALUE"""),"08168")</f>
        <v>08168</v>
      </c>
      <c r="C7502" t="str">
        <f>IFERROR(__xludf.DUMMYFUNCTION("""COMPUTED_VALUE"""),"Autohak")</f>
        <v>Autohak</v>
      </c>
    </row>
    <row r="7503">
      <c r="A7503" t="str">
        <f>IFERROR(__xludf.DUMMYFUNCTION("""COMPUTED_VALUE"""),"P14A")</f>
        <v>P14A</v>
      </c>
      <c r="B7503" s="226" t="str">
        <f>IFERROR(__xludf.DUMMYFUNCTION("""COMPUTED_VALUE"""),"09165")</f>
        <v>09165</v>
      </c>
      <c r="C7503" t="str">
        <f>IFERROR(__xludf.DUMMYFUNCTION("""COMPUTED_VALUE"""),"Autohak")</f>
        <v>Autohak</v>
      </c>
    </row>
    <row r="7504">
      <c r="A7504" t="str">
        <f>IFERROR(__xludf.DUMMYFUNCTION("""COMPUTED_VALUE"""),"P12")</f>
        <v>P12</v>
      </c>
      <c r="B7504" s="226" t="str">
        <f>IFERROR(__xludf.DUMMYFUNCTION("""COMPUTED_VALUE"""),"08175")</f>
        <v>08175</v>
      </c>
      <c r="C7504" t="str">
        <f>IFERROR(__xludf.DUMMYFUNCTION("""COMPUTED_VALUE"""),"Autohak")</f>
        <v>Autohak</v>
      </c>
    </row>
    <row r="7505">
      <c r="A7505" t="str">
        <f>IFERROR(__xludf.DUMMYFUNCTION("""COMPUTED_VALUE"""),"P12A")</f>
        <v>P12A</v>
      </c>
      <c r="B7505" s="226" t="str">
        <f>IFERROR(__xludf.DUMMYFUNCTION("""COMPUTED_VALUE"""),"09172")</f>
        <v>09172</v>
      </c>
      <c r="C7505" t="str">
        <f>IFERROR(__xludf.DUMMYFUNCTION("""COMPUTED_VALUE"""),"Autohak")</f>
        <v>Autohak</v>
      </c>
    </row>
    <row r="7506">
      <c r="A7506" t="str">
        <f>IFERROR(__xludf.DUMMYFUNCTION("""COMPUTED_VALUE"""),"P03")</f>
        <v>P03</v>
      </c>
      <c r="B7506" s="226" t="str">
        <f>IFERROR(__xludf.DUMMYFUNCTION("""COMPUTED_VALUE"""),"08045")</f>
        <v>08045</v>
      </c>
      <c r="C7506" t="str">
        <f>IFERROR(__xludf.DUMMYFUNCTION("""COMPUTED_VALUE"""),"Autohak")</f>
        <v>Autohak</v>
      </c>
    </row>
    <row r="7507">
      <c r="A7507" t="str">
        <f>IFERROR(__xludf.DUMMYFUNCTION("""COMPUTED_VALUE"""),"P03A")</f>
        <v>P03A</v>
      </c>
      <c r="B7507" s="226" t="str">
        <f>IFERROR(__xludf.DUMMYFUNCTION("""COMPUTED_VALUE"""),"09042")</f>
        <v>09042</v>
      </c>
      <c r="C7507" t="str">
        <f>IFERROR(__xludf.DUMMYFUNCTION("""COMPUTED_VALUE"""),"Autohak")</f>
        <v>Autohak</v>
      </c>
    </row>
    <row r="7508">
      <c r="A7508" t="str">
        <f>IFERROR(__xludf.DUMMYFUNCTION("""COMPUTED_VALUE"""),"G73")</f>
        <v>G73</v>
      </c>
      <c r="B7508" s="226" t="str">
        <f>IFERROR(__xludf.DUMMYFUNCTION("""COMPUTED_VALUE"""),"49574")</f>
        <v>49574</v>
      </c>
      <c r="C7508" t="str">
        <f>IFERROR(__xludf.DUMMYFUNCTION("""COMPUTED_VALUE"""),"Autohak")</f>
        <v>Autohak</v>
      </c>
    </row>
    <row r="7509">
      <c r="A7509" t="str">
        <f>IFERROR(__xludf.DUMMYFUNCTION("""COMPUTED_VALUE"""),"G73A")</f>
        <v>G73A</v>
      </c>
      <c r="B7509" s="226" t="str">
        <f>IFERROR(__xludf.DUMMYFUNCTION("""COMPUTED_VALUE"""),"52536")</f>
        <v>52536</v>
      </c>
      <c r="C7509" t="str">
        <f>IFERROR(__xludf.DUMMYFUNCTION("""COMPUTED_VALUE"""),"Autohak")</f>
        <v>Autohak</v>
      </c>
    </row>
    <row r="7510">
      <c r="A7510" t="str">
        <f>IFERROR(__xludf.DUMMYFUNCTION("""COMPUTED_VALUE"""),"G73V")</f>
        <v>G73V</v>
      </c>
      <c r="B7510" s="226" t="str">
        <f>IFERROR(__xludf.DUMMYFUNCTION("""COMPUTED_VALUE"""),"51959")</f>
        <v>51959</v>
      </c>
      <c r="C7510" t="str">
        <f>IFERROR(__xludf.DUMMYFUNCTION("""COMPUTED_VALUE"""),"Autohak")</f>
        <v>Autohak</v>
      </c>
    </row>
    <row r="7511">
      <c r="A7511" t="str">
        <f>IFERROR(__xludf.DUMMYFUNCTION("""COMPUTED_VALUE"""),"G73")</f>
        <v>G73</v>
      </c>
      <c r="B7511" s="226" t="str">
        <f>IFERROR(__xludf.DUMMYFUNCTION("""COMPUTED_VALUE"""),"49574")</f>
        <v>49574</v>
      </c>
      <c r="C7511" t="str">
        <f>IFERROR(__xludf.DUMMYFUNCTION("""COMPUTED_VALUE"""),"Autohak")</f>
        <v>Autohak</v>
      </c>
    </row>
    <row r="7512">
      <c r="A7512" t="str">
        <f>IFERROR(__xludf.DUMMYFUNCTION("""COMPUTED_VALUE"""),"G73A")</f>
        <v>G73A</v>
      </c>
      <c r="B7512" s="226" t="str">
        <f>IFERROR(__xludf.DUMMYFUNCTION("""COMPUTED_VALUE"""),"52536")</f>
        <v>52536</v>
      </c>
      <c r="C7512" t="str">
        <f>IFERROR(__xludf.DUMMYFUNCTION("""COMPUTED_VALUE"""),"Autohak")</f>
        <v>Autohak</v>
      </c>
    </row>
    <row r="7513">
      <c r="A7513" t="str">
        <f>IFERROR(__xludf.DUMMYFUNCTION("""COMPUTED_VALUE"""),"G73V")</f>
        <v>G73V</v>
      </c>
      <c r="B7513" s="226" t="str">
        <f>IFERROR(__xludf.DUMMYFUNCTION("""COMPUTED_VALUE"""),"51959")</f>
        <v>51959</v>
      </c>
      <c r="C7513" t="str">
        <f>IFERROR(__xludf.DUMMYFUNCTION("""COMPUTED_VALUE"""),"Autohak")</f>
        <v>Autohak</v>
      </c>
    </row>
    <row r="7514">
      <c r="A7514" t="str">
        <f>IFERROR(__xludf.DUMMYFUNCTION("""COMPUTED_VALUE"""),"G62")</f>
        <v>G62</v>
      </c>
      <c r="B7514" s="226" t="str">
        <f>IFERROR(__xludf.DUMMYFUNCTION("""COMPUTED_VALUE"""),"49468")</f>
        <v>49468</v>
      </c>
      <c r="C7514" t="str">
        <f>IFERROR(__xludf.DUMMYFUNCTION("""COMPUTED_VALUE"""),"Autohak")</f>
        <v>Autohak</v>
      </c>
    </row>
    <row r="7515">
      <c r="A7515" t="str">
        <f>IFERROR(__xludf.DUMMYFUNCTION("""COMPUTED_VALUE"""),"G62A")</f>
        <v>G62A</v>
      </c>
      <c r="B7515" s="226" t="str">
        <f>IFERROR(__xludf.DUMMYFUNCTION("""COMPUTED_VALUE"""),"52468")</f>
        <v>52468</v>
      </c>
      <c r="C7515" t="str">
        <f>IFERROR(__xludf.DUMMYFUNCTION("""COMPUTED_VALUE"""),"Autohak")</f>
        <v>Autohak</v>
      </c>
    </row>
    <row r="7516">
      <c r="A7516" t="str">
        <f>IFERROR(__xludf.DUMMYFUNCTION("""COMPUTED_VALUE"""),"G62V")</f>
        <v>G62V</v>
      </c>
      <c r="B7516" s="226" t="str">
        <f>IFERROR(__xludf.DUMMYFUNCTION("""COMPUTED_VALUE"""),"52963")</f>
        <v>52963</v>
      </c>
      <c r="C7516" t="str">
        <f>IFERROR(__xludf.DUMMYFUNCTION("""COMPUTED_VALUE"""),"Autohak")</f>
        <v>Autohak</v>
      </c>
    </row>
    <row r="7517">
      <c r="A7517" t="str">
        <f>IFERROR(__xludf.DUMMYFUNCTION("""COMPUTED_VALUE"""),"G80")</f>
        <v>G80</v>
      </c>
      <c r="B7517" s="226" t="str">
        <f>IFERROR(__xludf.DUMMYFUNCTION("""COMPUTED_VALUE"""),"49642")</f>
        <v>49642</v>
      </c>
      <c r="C7517" t="str">
        <f>IFERROR(__xludf.DUMMYFUNCTION("""COMPUTED_VALUE"""),"Autohak")</f>
        <v>Autohak</v>
      </c>
    </row>
    <row r="7518">
      <c r="A7518" t="str">
        <f>IFERROR(__xludf.DUMMYFUNCTION("""COMPUTED_VALUE"""),"G80A")</f>
        <v>G80A</v>
      </c>
      <c r="B7518" s="226" t="str">
        <f>IFERROR(__xludf.DUMMYFUNCTION("""COMPUTED_VALUE"""),"52604")</f>
        <v>52604</v>
      </c>
      <c r="C7518" t="str">
        <f>IFERROR(__xludf.DUMMYFUNCTION("""COMPUTED_VALUE"""),"Autohak")</f>
        <v>Autohak</v>
      </c>
    </row>
    <row r="7519">
      <c r="A7519" t="str">
        <f>IFERROR(__xludf.DUMMYFUNCTION("""COMPUTED_VALUE"""),"G80V")</f>
        <v>G80V</v>
      </c>
      <c r="B7519" s="226" t="str">
        <f>IFERROR(__xludf.DUMMYFUNCTION("""COMPUTED_VALUE"""),"52888")</f>
        <v>52888</v>
      </c>
      <c r="C7519" t="str">
        <f>IFERROR(__xludf.DUMMYFUNCTION("""COMPUTED_VALUE"""),"Autohak")</f>
        <v>Autohak</v>
      </c>
    </row>
    <row r="7520">
      <c r="A7520" t="str">
        <f>IFERROR(__xludf.DUMMYFUNCTION("""COMPUTED_VALUE"""),"G80")</f>
        <v>G80</v>
      </c>
      <c r="B7520" s="226" t="str">
        <f>IFERROR(__xludf.DUMMYFUNCTION("""COMPUTED_VALUE"""),"49642")</f>
        <v>49642</v>
      </c>
      <c r="C7520" t="str">
        <f>IFERROR(__xludf.DUMMYFUNCTION("""COMPUTED_VALUE"""),"Autohak")</f>
        <v>Autohak</v>
      </c>
    </row>
    <row r="7521">
      <c r="A7521" t="str">
        <f>IFERROR(__xludf.DUMMYFUNCTION("""COMPUTED_VALUE"""),"G80A")</f>
        <v>G80A</v>
      </c>
      <c r="B7521" s="226" t="str">
        <f>IFERROR(__xludf.DUMMYFUNCTION("""COMPUTED_VALUE"""),"52604")</f>
        <v>52604</v>
      </c>
      <c r="C7521" t="str">
        <f>IFERROR(__xludf.DUMMYFUNCTION("""COMPUTED_VALUE"""),"Autohak")</f>
        <v>Autohak</v>
      </c>
    </row>
    <row r="7522">
      <c r="A7522" t="str">
        <f>IFERROR(__xludf.DUMMYFUNCTION("""COMPUTED_VALUE"""),"G80V")</f>
        <v>G80V</v>
      </c>
      <c r="B7522" s="226" t="str">
        <f>IFERROR(__xludf.DUMMYFUNCTION("""COMPUTED_VALUE"""),"52888")</f>
        <v>52888</v>
      </c>
      <c r="C7522" t="str">
        <f>IFERROR(__xludf.DUMMYFUNCTION("""COMPUTED_VALUE"""),"Autohak")</f>
        <v>Autohak</v>
      </c>
    </row>
    <row r="7523">
      <c r="A7523" t="str">
        <f>IFERROR(__xludf.DUMMYFUNCTION("""COMPUTED_VALUE"""),"G95")</f>
        <v>G95</v>
      </c>
      <c r="B7523" s="226" t="str">
        <f>IFERROR(__xludf.DUMMYFUNCTION("""COMPUTED_VALUE"""),"49819")</f>
        <v>49819</v>
      </c>
      <c r="C7523" t="str">
        <f>IFERROR(__xludf.DUMMYFUNCTION("""COMPUTED_VALUE"""),"Autohak")</f>
        <v>Autohak</v>
      </c>
    </row>
    <row r="7524">
      <c r="A7524" t="str">
        <f>IFERROR(__xludf.DUMMYFUNCTION("""COMPUTED_VALUE"""),"G95A")</f>
        <v>G95A</v>
      </c>
      <c r="B7524" s="226" t="str">
        <f>IFERROR(__xludf.DUMMYFUNCTION("""COMPUTED_VALUE"""),"51034")</f>
        <v>51034</v>
      </c>
      <c r="C7524" t="str">
        <f>IFERROR(__xludf.DUMMYFUNCTION("""COMPUTED_VALUE"""),"Autohak")</f>
        <v>Autohak</v>
      </c>
    </row>
    <row r="7525">
      <c r="A7525" t="str">
        <f>IFERROR(__xludf.DUMMYFUNCTION("""COMPUTED_VALUE"""),"G95V")</f>
        <v>G95V</v>
      </c>
      <c r="B7525" s="226" t="str">
        <f>IFERROR(__xludf.DUMMYFUNCTION("""COMPUTED_VALUE"""),"51980")</f>
        <v>51980</v>
      </c>
      <c r="C7525" t="str">
        <f>IFERROR(__xludf.DUMMYFUNCTION("""COMPUTED_VALUE"""),"Autohak")</f>
        <v>Autohak</v>
      </c>
    </row>
    <row r="7526">
      <c r="A7526" t="str">
        <f>IFERROR(__xludf.DUMMYFUNCTION("""COMPUTED_VALUE"""),"G72")</f>
        <v>G72</v>
      </c>
      <c r="B7526" s="226" t="str">
        <f>IFERROR(__xludf.DUMMYFUNCTION("""COMPUTED_VALUE"""),"49567")</f>
        <v>49567</v>
      </c>
      <c r="C7526" t="str">
        <f>IFERROR(__xludf.DUMMYFUNCTION("""COMPUTED_VALUE"""),"Autohak")</f>
        <v>Autohak</v>
      </c>
    </row>
    <row r="7527">
      <c r="A7527" t="str">
        <f>IFERROR(__xludf.DUMMYFUNCTION("""COMPUTED_VALUE"""),"G72A")</f>
        <v>G72A</v>
      </c>
      <c r="B7527" s="226" t="str">
        <f>IFERROR(__xludf.DUMMYFUNCTION("""COMPUTED_VALUE"""),"52529")</f>
        <v>52529</v>
      </c>
      <c r="C7527" t="str">
        <f>IFERROR(__xludf.DUMMYFUNCTION("""COMPUTED_VALUE"""),"Autohak")</f>
        <v>Autohak</v>
      </c>
    </row>
    <row r="7528">
      <c r="A7528" t="str">
        <f>IFERROR(__xludf.DUMMYFUNCTION("""COMPUTED_VALUE"""),"G72V")</f>
        <v>G72V</v>
      </c>
      <c r="B7528" s="226" t="str">
        <f>IFERROR(__xludf.DUMMYFUNCTION("""COMPUTED_VALUE"""),"52901")</f>
        <v>52901</v>
      </c>
      <c r="C7528" t="str">
        <f>IFERROR(__xludf.DUMMYFUNCTION("""COMPUTED_VALUE"""),"Autohak")</f>
        <v>Autohak</v>
      </c>
    </row>
    <row r="7529">
      <c r="A7529" t="str">
        <f>IFERROR(__xludf.DUMMYFUNCTION("""COMPUTED_VALUE"""),"G47")</f>
        <v>G47</v>
      </c>
      <c r="B7529" s="226" t="str">
        <f>IFERROR(__xludf.DUMMYFUNCTION("""COMPUTED_VALUE"""),"49314")</f>
        <v>49314</v>
      </c>
      <c r="C7529" t="str">
        <f>IFERROR(__xludf.DUMMYFUNCTION("""COMPUTED_VALUE"""),"Autohak")</f>
        <v>Autohak</v>
      </c>
    </row>
    <row r="7530">
      <c r="A7530" t="str">
        <f>IFERROR(__xludf.DUMMYFUNCTION("""COMPUTED_VALUE"""),"G47A")</f>
        <v>G47A</v>
      </c>
      <c r="B7530" s="226" t="str">
        <f>IFERROR(__xludf.DUMMYFUNCTION("""COMPUTED_VALUE"""),"52314")</f>
        <v>52314</v>
      </c>
      <c r="C7530" t="str">
        <f>IFERROR(__xludf.DUMMYFUNCTION("""COMPUTED_VALUE"""),"Autohak")</f>
        <v>Autohak</v>
      </c>
    </row>
    <row r="7531">
      <c r="A7531" t="str">
        <f>IFERROR(__xludf.DUMMYFUNCTION("""COMPUTED_VALUE"""),"G47")</f>
        <v>G47</v>
      </c>
      <c r="B7531" s="226" t="str">
        <f>IFERROR(__xludf.DUMMYFUNCTION("""COMPUTED_VALUE"""),"49314")</f>
        <v>49314</v>
      </c>
      <c r="C7531" t="str">
        <f>IFERROR(__xludf.DUMMYFUNCTION("""COMPUTED_VALUE"""),"Autohak")</f>
        <v>Autohak</v>
      </c>
    </row>
    <row r="7532">
      <c r="A7532" t="str">
        <f>IFERROR(__xludf.DUMMYFUNCTION("""COMPUTED_VALUE"""),"G47A")</f>
        <v>G47A</v>
      </c>
      <c r="B7532" s="226" t="str">
        <f>IFERROR(__xludf.DUMMYFUNCTION("""COMPUTED_VALUE"""),"52314")</f>
        <v>52314</v>
      </c>
      <c r="C7532" t="str">
        <f>IFERROR(__xludf.DUMMYFUNCTION("""COMPUTED_VALUE"""),"Autohak")</f>
        <v>Autohak</v>
      </c>
    </row>
    <row r="7533">
      <c r="A7533" t="str">
        <f>IFERROR(__xludf.DUMMYFUNCTION("""COMPUTED_VALUE"""),"G78")</f>
        <v>G78</v>
      </c>
      <c r="B7533" s="226" t="str">
        <f>IFERROR(__xludf.DUMMYFUNCTION("""COMPUTED_VALUE"""),"49628")</f>
        <v>49628</v>
      </c>
      <c r="C7533" t="str">
        <f>IFERROR(__xludf.DUMMYFUNCTION("""COMPUTED_VALUE"""),"Autohak")</f>
        <v>Autohak</v>
      </c>
    </row>
    <row r="7534">
      <c r="A7534" t="str">
        <f>IFERROR(__xludf.DUMMYFUNCTION("""COMPUTED_VALUE"""),"G78A")</f>
        <v>G78A</v>
      </c>
      <c r="B7534" s="226" t="str">
        <f>IFERROR(__xludf.DUMMYFUNCTION("""COMPUTED_VALUE"""),"52581")</f>
        <v>52581</v>
      </c>
      <c r="C7534" t="str">
        <f>IFERROR(__xludf.DUMMYFUNCTION("""COMPUTED_VALUE"""),"Autohak")</f>
        <v>Autohak</v>
      </c>
    </row>
    <row r="7535">
      <c r="A7535" t="str">
        <f>IFERROR(__xludf.DUMMYFUNCTION("""COMPUTED_VALUE"""),"G78")</f>
        <v>G78</v>
      </c>
      <c r="B7535" s="226" t="str">
        <f>IFERROR(__xludf.DUMMYFUNCTION("""COMPUTED_VALUE"""),"49628")</f>
        <v>49628</v>
      </c>
      <c r="C7535" t="str">
        <f>IFERROR(__xludf.DUMMYFUNCTION("""COMPUTED_VALUE"""),"Autohak")</f>
        <v>Autohak</v>
      </c>
    </row>
    <row r="7536">
      <c r="A7536" t="str">
        <f>IFERROR(__xludf.DUMMYFUNCTION("""COMPUTED_VALUE"""),"G78A")</f>
        <v>G78A</v>
      </c>
      <c r="B7536" s="226" t="str">
        <f>IFERROR(__xludf.DUMMYFUNCTION("""COMPUTED_VALUE"""),"52581")</f>
        <v>52581</v>
      </c>
      <c r="C7536" t="str">
        <f>IFERROR(__xludf.DUMMYFUNCTION("""COMPUTED_VALUE"""),"Autohak")</f>
        <v>Autohak</v>
      </c>
    </row>
    <row r="7537">
      <c r="A7537" t="str">
        <f>IFERROR(__xludf.DUMMYFUNCTION("""COMPUTED_VALUE"""),"G51")</f>
        <v>G51</v>
      </c>
      <c r="B7537" s="226" t="str">
        <f>IFERROR(__xludf.DUMMYFUNCTION("""COMPUTED_VALUE"""),"49352")</f>
        <v>49352</v>
      </c>
      <c r="C7537" t="str">
        <f>IFERROR(__xludf.DUMMYFUNCTION("""COMPUTED_VALUE"""),"Autohak")</f>
        <v>Autohak</v>
      </c>
    </row>
    <row r="7538">
      <c r="A7538" t="str">
        <f>IFERROR(__xludf.DUMMYFUNCTION("""COMPUTED_VALUE"""),"G51A")</f>
        <v>G51A</v>
      </c>
      <c r="B7538" s="226" t="str">
        <f>IFERROR(__xludf.DUMMYFUNCTION("""COMPUTED_VALUE"""),"52352")</f>
        <v>52352</v>
      </c>
      <c r="C7538" t="str">
        <f>IFERROR(__xludf.DUMMYFUNCTION("""COMPUTED_VALUE"""),"Autohak")</f>
        <v>Autohak</v>
      </c>
    </row>
    <row r="7539">
      <c r="A7539" t="str">
        <f>IFERROR(__xludf.DUMMYFUNCTION("""COMPUTED_VALUE"""),"G81")</f>
        <v>G81</v>
      </c>
      <c r="B7539" s="226" t="str">
        <f>IFERROR(__xludf.DUMMYFUNCTION("""COMPUTED_VALUE"""),"49659")</f>
        <v>49659</v>
      </c>
      <c r="C7539" t="str">
        <f>IFERROR(__xludf.DUMMYFUNCTION("""COMPUTED_VALUE"""),"Autohak")</f>
        <v>Autohak</v>
      </c>
    </row>
    <row r="7540">
      <c r="A7540" t="str">
        <f>IFERROR(__xludf.DUMMYFUNCTION("""COMPUTED_VALUE"""),"G81A")</f>
        <v>G81A</v>
      </c>
      <c r="B7540" s="226" t="str">
        <f>IFERROR(__xludf.DUMMYFUNCTION("""COMPUTED_VALUE"""),"52611")</f>
        <v>52611</v>
      </c>
      <c r="C7540" t="str">
        <f>IFERROR(__xludf.DUMMYFUNCTION("""COMPUTED_VALUE"""),"Autohak")</f>
        <v>Autohak</v>
      </c>
    </row>
    <row r="7541">
      <c r="A7541" t="str">
        <f>IFERROR(__xludf.DUMMYFUNCTION("""COMPUTED_VALUE"""),"G81V")</f>
        <v>G81V</v>
      </c>
      <c r="B7541" s="226" t="str">
        <f>IFERROR(__xludf.DUMMYFUNCTION("""COMPUTED_VALUE"""),"52871")</f>
        <v>52871</v>
      </c>
      <c r="C7541" t="str">
        <f>IFERROR(__xludf.DUMMYFUNCTION("""COMPUTED_VALUE"""),"Autohak")</f>
        <v>Autohak</v>
      </c>
    </row>
    <row r="7542">
      <c r="A7542" t="str">
        <f>IFERROR(__xludf.DUMMYFUNCTION("""COMPUTED_VALUE"""),"G81")</f>
        <v>G81</v>
      </c>
      <c r="B7542" s="226" t="str">
        <f>IFERROR(__xludf.DUMMYFUNCTION("""COMPUTED_VALUE"""),"49659")</f>
        <v>49659</v>
      </c>
      <c r="C7542" t="str">
        <f>IFERROR(__xludf.DUMMYFUNCTION("""COMPUTED_VALUE"""),"Autohak")</f>
        <v>Autohak</v>
      </c>
    </row>
    <row r="7543">
      <c r="A7543" t="str">
        <f>IFERROR(__xludf.DUMMYFUNCTION("""COMPUTED_VALUE"""),"G81A")</f>
        <v>G81A</v>
      </c>
      <c r="B7543" s="226" t="str">
        <f>IFERROR(__xludf.DUMMYFUNCTION("""COMPUTED_VALUE"""),"52611")</f>
        <v>52611</v>
      </c>
      <c r="C7543" t="str">
        <f>IFERROR(__xludf.DUMMYFUNCTION("""COMPUTED_VALUE"""),"Autohak")</f>
        <v>Autohak</v>
      </c>
    </row>
    <row r="7544">
      <c r="A7544" t="str">
        <f>IFERROR(__xludf.DUMMYFUNCTION("""COMPUTED_VALUE"""),"G81V")</f>
        <v>G81V</v>
      </c>
      <c r="B7544" s="226" t="str">
        <f>IFERROR(__xludf.DUMMYFUNCTION("""COMPUTED_VALUE"""),"52871")</f>
        <v>52871</v>
      </c>
      <c r="C7544" t="str">
        <f>IFERROR(__xludf.DUMMYFUNCTION("""COMPUTED_VALUE"""),"Autohak")</f>
        <v>Autohak</v>
      </c>
    </row>
    <row r="7545">
      <c r="A7545" t="str">
        <f>IFERROR(__xludf.DUMMYFUNCTION("""COMPUTED_VALUE"""),"G53")</f>
        <v>G53</v>
      </c>
      <c r="B7545" s="226" t="str">
        <f>IFERROR(__xludf.DUMMYFUNCTION("""COMPUTED_VALUE"""),"49376")</f>
        <v>49376</v>
      </c>
      <c r="C7545" t="str">
        <f>IFERROR(__xludf.DUMMYFUNCTION("""COMPUTED_VALUE"""),"Autohak")</f>
        <v>Autohak</v>
      </c>
    </row>
    <row r="7546">
      <c r="A7546" t="str">
        <f>IFERROR(__xludf.DUMMYFUNCTION("""COMPUTED_VALUE"""),"G53A")</f>
        <v>G53A</v>
      </c>
      <c r="B7546" s="226" t="str">
        <f>IFERROR(__xludf.DUMMYFUNCTION("""COMPUTED_VALUE"""),"52376")</f>
        <v>52376</v>
      </c>
      <c r="C7546" t="str">
        <f>IFERROR(__xludf.DUMMYFUNCTION("""COMPUTED_VALUE"""),"Autohak")</f>
        <v>Autohak</v>
      </c>
    </row>
    <row r="7547">
      <c r="A7547" t="str">
        <f>IFERROR(__xludf.DUMMYFUNCTION("""COMPUTED_VALUE"""),"G75")</f>
        <v>G75</v>
      </c>
      <c r="B7547" s="226" t="str">
        <f>IFERROR(__xludf.DUMMYFUNCTION("""COMPUTED_VALUE"""),"49598")</f>
        <v>49598</v>
      </c>
      <c r="C7547" t="str">
        <f>IFERROR(__xludf.DUMMYFUNCTION("""COMPUTED_VALUE"""),"Autohak")</f>
        <v>Autohak</v>
      </c>
    </row>
    <row r="7548">
      <c r="A7548" t="str">
        <f>IFERROR(__xludf.DUMMYFUNCTION("""COMPUTED_VALUE"""),"G75A")</f>
        <v>G75A</v>
      </c>
      <c r="B7548" s="226" t="str">
        <f>IFERROR(__xludf.DUMMYFUNCTION("""COMPUTED_VALUE"""),"52550")</f>
        <v>52550</v>
      </c>
      <c r="C7548" t="str">
        <f>IFERROR(__xludf.DUMMYFUNCTION("""COMPUTED_VALUE"""),"Autohak")</f>
        <v>Autohak</v>
      </c>
    </row>
    <row r="7549">
      <c r="A7549" t="str">
        <f>IFERROR(__xludf.DUMMYFUNCTION("""COMPUTED_VALUE"""),"G75")</f>
        <v>G75</v>
      </c>
      <c r="B7549" s="226" t="str">
        <f>IFERROR(__xludf.DUMMYFUNCTION("""COMPUTED_VALUE"""),"49598")</f>
        <v>49598</v>
      </c>
      <c r="C7549" t="str">
        <f>IFERROR(__xludf.DUMMYFUNCTION("""COMPUTED_VALUE"""),"Autohak")</f>
        <v>Autohak</v>
      </c>
    </row>
    <row r="7550">
      <c r="A7550" t="str">
        <f>IFERROR(__xludf.DUMMYFUNCTION("""COMPUTED_VALUE"""),"G75A")</f>
        <v>G75A</v>
      </c>
      <c r="B7550" s="226" t="str">
        <f>IFERROR(__xludf.DUMMYFUNCTION("""COMPUTED_VALUE"""),"52550")</f>
        <v>52550</v>
      </c>
      <c r="C7550" t="str">
        <f>IFERROR(__xludf.DUMMYFUNCTION("""COMPUTED_VALUE"""),"Autohak")</f>
        <v>Autohak</v>
      </c>
    </row>
    <row r="7551">
      <c r="A7551" t="str">
        <f>IFERROR(__xludf.DUMMYFUNCTION("""COMPUTED_VALUE"""),"G61")</f>
        <v>G61</v>
      </c>
      <c r="B7551" s="226" t="str">
        <f>IFERROR(__xludf.DUMMYFUNCTION("""COMPUTED_VALUE"""),"49451")</f>
        <v>49451</v>
      </c>
      <c r="C7551" t="str">
        <f>IFERROR(__xludf.DUMMYFUNCTION("""COMPUTED_VALUE"""),"Autohak")</f>
        <v>Autohak</v>
      </c>
    </row>
    <row r="7552">
      <c r="A7552" t="str">
        <f>IFERROR(__xludf.DUMMYFUNCTION("""COMPUTED_VALUE"""),"G61A")</f>
        <v>G61A</v>
      </c>
      <c r="B7552" s="226" t="str">
        <f>IFERROR(__xludf.DUMMYFUNCTION("""COMPUTED_VALUE"""),"52451")</f>
        <v>52451</v>
      </c>
      <c r="C7552" t="str">
        <f>IFERROR(__xludf.DUMMYFUNCTION("""COMPUTED_VALUE"""),"Autohak")</f>
        <v>Autohak</v>
      </c>
    </row>
    <row r="7553">
      <c r="A7553" t="str">
        <f>IFERROR(__xludf.DUMMYFUNCTION("""COMPUTED_VALUE"""),"G61V")</f>
        <v>G61V</v>
      </c>
      <c r="B7553" s="226" t="str">
        <f>IFERROR(__xludf.DUMMYFUNCTION("""COMPUTED_VALUE"""),"52970")</f>
        <v>52970</v>
      </c>
      <c r="C7553" t="str">
        <f>IFERROR(__xludf.DUMMYFUNCTION("""COMPUTED_VALUE"""),"Autohak")</f>
        <v>Autohak</v>
      </c>
    </row>
    <row r="7554">
      <c r="A7554" t="str">
        <f>IFERROR(__xludf.DUMMYFUNCTION("""COMPUTED_VALUE"""),"G77")</f>
        <v>G77</v>
      </c>
      <c r="B7554" s="226" t="str">
        <f>IFERROR(__xludf.DUMMYFUNCTION("""COMPUTED_VALUE"""),"49611")</f>
        <v>49611</v>
      </c>
      <c r="C7554" t="str">
        <f>IFERROR(__xludf.DUMMYFUNCTION("""COMPUTED_VALUE"""),"Autohak")</f>
        <v>Autohak</v>
      </c>
    </row>
    <row r="7555">
      <c r="A7555" t="str">
        <f>IFERROR(__xludf.DUMMYFUNCTION("""COMPUTED_VALUE"""),"G77A")</f>
        <v>G77A</v>
      </c>
      <c r="B7555" s="226" t="str">
        <f>IFERROR(__xludf.DUMMYFUNCTION("""COMPUTED_VALUE"""),"52574")</f>
        <v>52574</v>
      </c>
      <c r="C7555" t="str">
        <f>IFERROR(__xludf.DUMMYFUNCTION("""COMPUTED_VALUE"""),"Autohak")</f>
        <v>Autohak</v>
      </c>
    </row>
    <row r="7556">
      <c r="A7556" t="str">
        <f>IFERROR(__xludf.DUMMYFUNCTION("""COMPUTED_VALUE"""),"G77")</f>
        <v>G77</v>
      </c>
      <c r="B7556" s="226" t="str">
        <f>IFERROR(__xludf.DUMMYFUNCTION("""COMPUTED_VALUE"""),"49611")</f>
        <v>49611</v>
      </c>
      <c r="C7556" t="str">
        <f>IFERROR(__xludf.DUMMYFUNCTION("""COMPUTED_VALUE"""),"Autohak")</f>
        <v>Autohak</v>
      </c>
    </row>
    <row r="7557">
      <c r="A7557" t="str">
        <f>IFERROR(__xludf.DUMMYFUNCTION("""COMPUTED_VALUE"""),"G77A")</f>
        <v>G77A</v>
      </c>
      <c r="B7557" s="226" t="str">
        <f>IFERROR(__xludf.DUMMYFUNCTION("""COMPUTED_VALUE"""),"52574")</f>
        <v>52574</v>
      </c>
      <c r="C7557" t="str">
        <f>IFERROR(__xludf.DUMMYFUNCTION("""COMPUTED_VALUE"""),"Autohak")</f>
        <v>Autohak</v>
      </c>
    </row>
    <row r="7558">
      <c r="A7558" t="str">
        <f>IFERROR(__xludf.DUMMYFUNCTION("""COMPUTED_VALUE"""),"X04")</f>
        <v>X04</v>
      </c>
      <c r="B7558" s="226" t="str">
        <f>IFERROR(__xludf.DUMMYFUNCTION("""COMPUTED_VALUE"""),"10147")</f>
        <v>10147</v>
      </c>
      <c r="C7558" t="str">
        <f>IFERROR(__xludf.DUMMYFUNCTION("""COMPUTED_VALUE"""),"Autohak")</f>
        <v>Autohak</v>
      </c>
    </row>
    <row r="7559">
      <c r="A7559" t="str">
        <f>IFERROR(__xludf.DUMMYFUNCTION("""COMPUTED_VALUE"""),"X04A")</f>
        <v>X04A</v>
      </c>
      <c r="B7559" s="226" t="str">
        <f>IFERROR(__xludf.DUMMYFUNCTION("""COMPUTED_VALUE"""),"11144")</f>
        <v>11144</v>
      </c>
      <c r="C7559" t="str">
        <f>IFERROR(__xludf.DUMMYFUNCTION("""COMPUTED_VALUE"""),"Autohak")</f>
        <v>Autohak</v>
      </c>
    </row>
    <row r="7560">
      <c r="A7560" t="str">
        <f>IFERROR(__xludf.DUMMYFUNCTION("""COMPUTED_VALUE"""),"X16")</f>
        <v>X16</v>
      </c>
      <c r="B7560" s="226" t="str">
        <f>IFERROR(__xludf.DUMMYFUNCTION("""COMPUTED_VALUE"""),"10154")</f>
        <v>10154</v>
      </c>
      <c r="C7560" t="str">
        <f>IFERROR(__xludf.DUMMYFUNCTION("""COMPUTED_VALUE"""),"Autohak")</f>
        <v>Autohak</v>
      </c>
    </row>
    <row r="7561">
      <c r="A7561" t="str">
        <f>IFERROR(__xludf.DUMMYFUNCTION("""COMPUTED_VALUE"""),"X16A")</f>
        <v>X16A</v>
      </c>
      <c r="B7561" s="226" t="str">
        <f>IFERROR(__xludf.DUMMYFUNCTION("""COMPUTED_VALUE"""),"11151")</f>
        <v>11151</v>
      </c>
      <c r="C7561" t="str">
        <f>IFERROR(__xludf.DUMMYFUNCTION("""COMPUTED_VALUE"""),"Autohak")</f>
        <v>Autohak</v>
      </c>
    </row>
    <row r="7562">
      <c r="A7562" t="str">
        <f>IFERROR(__xludf.DUMMYFUNCTION("""COMPUTED_VALUE"""),"X15")</f>
        <v>X15</v>
      </c>
      <c r="B7562" s="226" t="str">
        <f>IFERROR(__xludf.DUMMYFUNCTION("""COMPUTED_VALUE"""),"10161")</f>
        <v>10161</v>
      </c>
      <c r="C7562" t="str">
        <f>IFERROR(__xludf.DUMMYFUNCTION("""COMPUTED_VALUE"""),"Autohak")</f>
        <v>Autohak</v>
      </c>
    </row>
    <row r="7563">
      <c r="A7563" t="str">
        <f>IFERROR(__xludf.DUMMYFUNCTION("""COMPUTED_VALUE"""),"X15A")</f>
        <v>X15A</v>
      </c>
      <c r="B7563" s="226" t="str">
        <f>IFERROR(__xludf.DUMMYFUNCTION("""COMPUTED_VALUE"""),"11168")</f>
        <v>11168</v>
      </c>
      <c r="C7563" t="str">
        <f>IFERROR(__xludf.DUMMYFUNCTION("""COMPUTED_VALUE"""),"Autohak")</f>
        <v>Autohak</v>
      </c>
    </row>
    <row r="7564">
      <c r="A7564" t="str">
        <f>IFERROR(__xludf.DUMMYFUNCTION("""COMPUTED_VALUE"""),"X17")</f>
        <v>X17</v>
      </c>
      <c r="B7564" s="226" t="str">
        <f>IFERROR(__xludf.DUMMYFUNCTION("""COMPUTED_VALUE"""),"05013")</f>
        <v>05013</v>
      </c>
      <c r="C7564" t="str">
        <f>IFERROR(__xludf.DUMMYFUNCTION("""COMPUTED_VALUE"""),"Autohak")</f>
        <v>Autohak</v>
      </c>
    </row>
    <row r="7565">
      <c r="A7565" t="str">
        <f>IFERROR(__xludf.DUMMYFUNCTION("""COMPUTED_VALUE"""),"X17A")</f>
        <v>X17A</v>
      </c>
      <c r="B7565" s="226" t="str">
        <f>IFERROR(__xludf.DUMMYFUNCTION("""COMPUTED_VALUE"""),"06010")</f>
        <v>06010</v>
      </c>
      <c r="C7565" t="str">
        <f>IFERROR(__xludf.DUMMYFUNCTION("""COMPUTED_VALUE"""),"Autohak")</f>
        <v>Autohak</v>
      </c>
    </row>
    <row r="7566">
      <c r="A7566" t="str">
        <f>IFERROR(__xludf.DUMMYFUNCTION("""COMPUTED_VALUE"""),"X08")</f>
        <v>X08</v>
      </c>
      <c r="B7566" s="226" t="str">
        <f>IFERROR(__xludf.DUMMYFUNCTION("""COMPUTED_VALUE"""),"10185")</f>
        <v>10185</v>
      </c>
      <c r="C7566" t="str">
        <f>IFERROR(__xludf.DUMMYFUNCTION("""COMPUTED_VALUE"""),"Autohak")</f>
        <v>Autohak</v>
      </c>
    </row>
    <row r="7567">
      <c r="A7567" t="str">
        <f>IFERROR(__xludf.DUMMYFUNCTION("""COMPUTED_VALUE"""),"X08A")</f>
        <v>X08A</v>
      </c>
      <c r="B7567" s="226" t="str">
        <f>IFERROR(__xludf.DUMMYFUNCTION("""COMPUTED_VALUE"""),"11182")</f>
        <v>11182</v>
      </c>
      <c r="C7567" t="str">
        <f>IFERROR(__xludf.DUMMYFUNCTION("""COMPUTED_VALUE"""),"Autohak")</f>
        <v>Autohak</v>
      </c>
    </row>
    <row r="7568">
      <c r="A7568" t="str">
        <f>IFERROR(__xludf.DUMMYFUNCTION("""COMPUTED_VALUE"""),"X09")</f>
        <v>X09</v>
      </c>
      <c r="B7568" s="226" t="str">
        <f>IFERROR(__xludf.DUMMYFUNCTION("""COMPUTED_VALUE"""),"10192")</f>
        <v>10192</v>
      </c>
      <c r="C7568" t="str">
        <f>IFERROR(__xludf.DUMMYFUNCTION("""COMPUTED_VALUE"""),"Autohak")</f>
        <v>Autohak</v>
      </c>
    </row>
    <row r="7569">
      <c r="A7569" t="str">
        <f>IFERROR(__xludf.DUMMYFUNCTION("""COMPUTED_VALUE"""),"X09A")</f>
        <v>X09A</v>
      </c>
      <c r="B7569" s="226" t="str">
        <f>IFERROR(__xludf.DUMMYFUNCTION("""COMPUTED_VALUE"""),"11199")</f>
        <v>11199</v>
      </c>
      <c r="C7569" t="str">
        <f>IFERROR(__xludf.DUMMYFUNCTION("""COMPUTED_VALUE"""),"Autohak")</f>
        <v>Autohak</v>
      </c>
    </row>
    <row r="7570">
      <c r="A7570" t="str">
        <f>IFERROR(__xludf.DUMMYFUNCTION("""COMPUTED_VALUE"""),"X10")</f>
        <v>X10</v>
      </c>
      <c r="B7570" s="226" t="str">
        <f>IFERROR(__xludf.DUMMYFUNCTION("""COMPUTED_VALUE"""),"10208")</f>
        <v>10208</v>
      </c>
      <c r="C7570" t="str">
        <f>IFERROR(__xludf.DUMMYFUNCTION("""COMPUTED_VALUE"""),"Autohak")</f>
        <v>Autohak</v>
      </c>
    </row>
    <row r="7571">
      <c r="A7571" t="str">
        <f>IFERROR(__xludf.DUMMYFUNCTION("""COMPUTED_VALUE"""),"X10A")</f>
        <v>X10A</v>
      </c>
      <c r="B7571" s="226" t="str">
        <f>IFERROR(__xludf.DUMMYFUNCTION("""COMPUTED_VALUE"""),"11205")</f>
        <v>11205</v>
      </c>
      <c r="C7571" t="str">
        <f>IFERROR(__xludf.DUMMYFUNCTION("""COMPUTED_VALUE"""),"Autohak")</f>
        <v>Autohak</v>
      </c>
    </row>
    <row r="7572">
      <c r="A7572" t="str">
        <f>IFERROR(__xludf.DUMMYFUNCTION("""COMPUTED_VALUE"""),"X02")</f>
        <v>X02</v>
      </c>
      <c r="B7572" s="226" t="str">
        <f>IFERROR(__xludf.DUMMYFUNCTION("""COMPUTED_VALUE"""),"10215")</f>
        <v>10215</v>
      </c>
      <c r="C7572" t="str">
        <f>IFERROR(__xludf.DUMMYFUNCTION("""COMPUTED_VALUE"""),"Autohak")</f>
        <v>Autohak</v>
      </c>
    </row>
    <row r="7573">
      <c r="A7573" t="str">
        <f>IFERROR(__xludf.DUMMYFUNCTION("""COMPUTED_VALUE"""),"X02A")</f>
        <v>X02A</v>
      </c>
      <c r="B7573" s="226" t="str">
        <f>IFERROR(__xludf.DUMMYFUNCTION("""COMPUTED_VALUE"""),"11212")</f>
        <v>11212</v>
      </c>
      <c r="C7573" t="str">
        <f>IFERROR(__xludf.DUMMYFUNCTION("""COMPUTED_VALUE"""),"Autohak")</f>
        <v>Autohak</v>
      </c>
    </row>
    <row r="7574">
      <c r="A7574" t="str">
        <f>IFERROR(__xludf.DUMMYFUNCTION("""COMPUTED_VALUE"""),"X01")</f>
        <v>X01</v>
      </c>
      <c r="B7574" s="226" t="str">
        <f>IFERROR(__xludf.DUMMYFUNCTION("""COMPUTED_VALUE"""),"10222")</f>
        <v>10222</v>
      </c>
      <c r="C7574" t="str">
        <f>IFERROR(__xludf.DUMMYFUNCTION("""COMPUTED_VALUE"""),"Autohak")</f>
        <v>Autohak</v>
      </c>
    </row>
    <row r="7575">
      <c r="A7575" t="str">
        <f>IFERROR(__xludf.DUMMYFUNCTION("""COMPUTED_VALUE"""),"X01A")</f>
        <v>X01A</v>
      </c>
      <c r="B7575" s="226" t="str">
        <f>IFERROR(__xludf.DUMMYFUNCTION("""COMPUTED_VALUE"""),"11229")</f>
        <v>11229</v>
      </c>
      <c r="C7575" t="str">
        <f>IFERROR(__xludf.DUMMYFUNCTION("""COMPUTED_VALUE"""),"Autohak")</f>
        <v>Autohak</v>
      </c>
    </row>
    <row r="7576">
      <c r="A7576" t="str">
        <f>IFERROR(__xludf.DUMMYFUNCTION("""COMPUTED_VALUE"""),"X06")</f>
        <v>X06</v>
      </c>
      <c r="B7576" s="226" t="str">
        <f>IFERROR(__xludf.DUMMYFUNCTION("""COMPUTED_VALUE"""),"10239")</f>
        <v>10239</v>
      </c>
      <c r="C7576" t="str">
        <f>IFERROR(__xludf.DUMMYFUNCTION("""COMPUTED_VALUE"""),"Autohak")</f>
        <v>Autohak</v>
      </c>
    </row>
    <row r="7577">
      <c r="A7577" t="str">
        <f>IFERROR(__xludf.DUMMYFUNCTION("""COMPUTED_VALUE"""),"X06A")</f>
        <v>X06A</v>
      </c>
      <c r="B7577" s="226" t="str">
        <f>IFERROR(__xludf.DUMMYFUNCTION("""COMPUTED_VALUE"""),"11236")</f>
        <v>11236</v>
      </c>
      <c r="C7577" t="str">
        <f>IFERROR(__xludf.DUMMYFUNCTION("""COMPUTED_VALUE"""),"Autohak")</f>
        <v>Autohak</v>
      </c>
    </row>
    <row r="7578">
      <c r="A7578" t="str">
        <f>IFERROR(__xludf.DUMMYFUNCTION("""COMPUTED_VALUE"""),"X11")</f>
        <v>X11</v>
      </c>
      <c r="B7578" s="226" t="str">
        <f>IFERROR(__xludf.DUMMYFUNCTION("""COMPUTED_VALUE"""),"10246")</f>
        <v>10246</v>
      </c>
      <c r="C7578" t="str">
        <f>IFERROR(__xludf.DUMMYFUNCTION("""COMPUTED_VALUE"""),"Autohak")</f>
        <v>Autohak</v>
      </c>
    </row>
    <row r="7579">
      <c r="A7579" t="str">
        <f>IFERROR(__xludf.DUMMYFUNCTION("""COMPUTED_VALUE"""),"X11A")</f>
        <v>X11A</v>
      </c>
      <c r="B7579" s="226" t="str">
        <f>IFERROR(__xludf.DUMMYFUNCTION("""COMPUTED_VALUE"""),"11243")</f>
        <v>11243</v>
      </c>
      <c r="C7579" t="str">
        <f>IFERROR(__xludf.DUMMYFUNCTION("""COMPUTED_VALUE"""),"Autohak")</f>
        <v>Autohak</v>
      </c>
    </row>
    <row r="7580">
      <c r="A7580" t="str">
        <f>IFERROR(__xludf.DUMMYFUNCTION("""COMPUTED_VALUE"""),"X07")</f>
        <v>X07</v>
      </c>
      <c r="B7580" s="226" t="str">
        <f>IFERROR(__xludf.DUMMYFUNCTION("""COMPUTED_VALUE"""),"10260")</f>
        <v>10260</v>
      </c>
      <c r="C7580" t="str">
        <f>IFERROR(__xludf.DUMMYFUNCTION("""COMPUTED_VALUE"""),"Autohak")</f>
        <v>Autohak</v>
      </c>
    </row>
    <row r="7581">
      <c r="A7581" t="str">
        <f>IFERROR(__xludf.DUMMYFUNCTION("""COMPUTED_VALUE"""),"X07A")</f>
        <v>X07A</v>
      </c>
      <c r="B7581" s="226" t="str">
        <f>IFERROR(__xludf.DUMMYFUNCTION("""COMPUTED_VALUE"""),"11267")</f>
        <v>11267</v>
      </c>
      <c r="C7581" t="str">
        <f>IFERROR(__xludf.DUMMYFUNCTION("""COMPUTED_VALUE"""),"Autohak")</f>
        <v>Autohak</v>
      </c>
    </row>
    <row r="7582">
      <c r="A7582" t="str">
        <f>IFERROR(__xludf.DUMMYFUNCTION("""COMPUTED_VALUE"""),"X13")</f>
        <v>X13</v>
      </c>
      <c r="B7582" s="226" t="str">
        <f>IFERROR(__xludf.DUMMYFUNCTION("""COMPUTED_VALUE"""),"10277")</f>
        <v>10277</v>
      </c>
      <c r="C7582" t="str">
        <f>IFERROR(__xludf.DUMMYFUNCTION("""COMPUTED_VALUE"""),"Autohak")</f>
        <v>Autohak</v>
      </c>
    </row>
    <row r="7583">
      <c r="A7583" t="str">
        <f>IFERROR(__xludf.DUMMYFUNCTION("""COMPUTED_VALUE"""),"X13A")</f>
        <v>X13A</v>
      </c>
      <c r="B7583" s="226" t="str">
        <f>IFERROR(__xludf.DUMMYFUNCTION("""COMPUTED_VALUE"""),"11274")</f>
        <v>11274</v>
      </c>
      <c r="C7583" t="str">
        <f>IFERROR(__xludf.DUMMYFUNCTION("""COMPUTED_VALUE"""),"Autohak")</f>
        <v>Autohak</v>
      </c>
    </row>
    <row r="7584">
      <c r="A7584" t="str">
        <f>IFERROR(__xludf.DUMMYFUNCTION("""COMPUTED_VALUE"""),"X14")</f>
        <v>X14</v>
      </c>
      <c r="B7584" s="226" t="str">
        <f>IFERROR(__xludf.DUMMYFUNCTION("""COMPUTED_VALUE"""),"10284")</f>
        <v>10284</v>
      </c>
      <c r="C7584" t="str">
        <f>IFERROR(__xludf.DUMMYFUNCTION("""COMPUTED_VALUE"""),"Autohak")</f>
        <v>Autohak</v>
      </c>
    </row>
    <row r="7585">
      <c r="A7585" t="str">
        <f>IFERROR(__xludf.DUMMYFUNCTION("""COMPUTED_VALUE"""),"X14A")</f>
        <v>X14A</v>
      </c>
      <c r="B7585" s="226" t="str">
        <f>IFERROR(__xludf.DUMMYFUNCTION("""COMPUTED_VALUE"""),"11281")</f>
        <v>11281</v>
      </c>
      <c r="C7585" t="str">
        <f>IFERROR(__xludf.DUMMYFUNCTION("""COMPUTED_VALUE"""),"Autohak")</f>
        <v>Autohak</v>
      </c>
    </row>
    <row r="7586">
      <c r="A7586" t="str">
        <f>IFERROR(__xludf.DUMMYFUNCTION("""COMPUTED_VALUE"""),"CH51")</f>
        <v>CH51</v>
      </c>
      <c r="B7586" s="226" t="str">
        <f>IFERROR(__xludf.DUMMYFUNCTION("""COMPUTED_VALUE"""),"07079")</f>
        <v>07079</v>
      </c>
      <c r="C7586" t="str">
        <f>IFERROR(__xludf.DUMMYFUNCTION("""COMPUTED_VALUE"""),"Autohak")</f>
        <v>Autohak</v>
      </c>
    </row>
    <row r="7587">
      <c r="A7587" t="str">
        <f>IFERROR(__xludf.DUMMYFUNCTION("""COMPUTED_VALUE"""),"CH51A")</f>
        <v>CH51A</v>
      </c>
      <c r="B7587" s="226" t="str">
        <f>IFERROR(__xludf.DUMMYFUNCTION("""COMPUTED_VALUE"""),"07871")</f>
        <v>07871</v>
      </c>
      <c r="C7587" t="str">
        <f>IFERROR(__xludf.DUMMYFUNCTION("""COMPUTED_VALUE"""),"Autohak")</f>
        <v>Autohak</v>
      </c>
    </row>
    <row r="7588">
      <c r="A7588" t="str">
        <f>IFERROR(__xludf.DUMMYFUNCTION("""COMPUTED_VALUE"""),"CH47")</f>
        <v>CH47</v>
      </c>
      <c r="B7588" s="226" t="str">
        <f>IFERROR(__xludf.DUMMYFUNCTION("""COMPUTED_VALUE"""),"07000")</f>
        <v>07000</v>
      </c>
      <c r="C7588" t="str">
        <f>IFERROR(__xludf.DUMMYFUNCTION("""COMPUTED_VALUE"""),"Autohak")</f>
        <v>Autohak</v>
      </c>
    </row>
    <row r="7589">
      <c r="A7589" t="str">
        <f>IFERROR(__xludf.DUMMYFUNCTION("""COMPUTED_VALUE"""),"CH30")</f>
        <v>CH30</v>
      </c>
      <c r="B7589" s="226" t="str">
        <f>IFERROR(__xludf.DUMMYFUNCTION("""COMPUTED_VALUE"""),"07017")</f>
        <v>07017</v>
      </c>
      <c r="C7589" t="str">
        <f>IFERROR(__xludf.DUMMYFUNCTION("""COMPUTED_VALUE"""),"Autohak")</f>
        <v>Autohak</v>
      </c>
    </row>
    <row r="7590">
      <c r="A7590" t="str">
        <f>IFERROR(__xludf.DUMMYFUNCTION("""COMPUTED_VALUE"""),"CH30A")</f>
        <v>CH30A</v>
      </c>
      <c r="B7590" s="226" t="str">
        <f>IFERROR(__xludf.DUMMYFUNCTION("""COMPUTED_VALUE"""),"07819")</f>
        <v>07819</v>
      </c>
      <c r="C7590" t="str">
        <f>IFERROR(__xludf.DUMMYFUNCTION("""COMPUTED_VALUE"""),"Autohak")</f>
        <v>Autohak</v>
      </c>
    </row>
    <row r="7591">
      <c r="A7591" t="str">
        <f>IFERROR(__xludf.DUMMYFUNCTION("""COMPUTED_VALUE"""),"CH45")</f>
        <v>CH45</v>
      </c>
      <c r="B7591" s="226" t="str">
        <f>IFERROR(__xludf.DUMMYFUNCTION("""COMPUTED_VALUE"""),"07024")</f>
        <v>07024</v>
      </c>
      <c r="C7591" t="str">
        <f>IFERROR(__xludf.DUMMYFUNCTION("""COMPUTED_VALUE"""),"Autohak")</f>
        <v>Autohak</v>
      </c>
    </row>
    <row r="7592">
      <c r="A7592" t="str">
        <f>IFERROR(__xludf.DUMMYFUNCTION("""COMPUTED_VALUE"""),"CH45A")</f>
        <v>CH45A</v>
      </c>
      <c r="B7592" s="226" t="str">
        <f>IFERROR(__xludf.DUMMYFUNCTION("""COMPUTED_VALUE"""),"07826")</f>
        <v>07826</v>
      </c>
      <c r="C7592" t="str">
        <f>IFERROR(__xludf.DUMMYFUNCTION("""COMPUTED_VALUE"""),"Autohak")</f>
        <v>Autohak</v>
      </c>
    </row>
    <row r="7593">
      <c r="A7593" t="str">
        <f>IFERROR(__xludf.DUMMYFUNCTION("""COMPUTED_VALUE"""),"CH48")</f>
        <v>CH48</v>
      </c>
      <c r="B7593" s="226" t="str">
        <f>IFERROR(__xludf.DUMMYFUNCTION("""COMPUTED_VALUE"""),"07048")</f>
        <v>07048</v>
      </c>
      <c r="C7593" t="str">
        <f>IFERROR(__xludf.DUMMYFUNCTION("""COMPUTED_VALUE"""),"Autohak")</f>
        <v>Autohak</v>
      </c>
    </row>
    <row r="7594">
      <c r="A7594" t="str">
        <f>IFERROR(__xludf.DUMMYFUNCTION("""COMPUTED_VALUE"""),"CH48A")</f>
        <v>CH48A</v>
      </c>
      <c r="B7594" s="226" t="str">
        <f>IFERROR(__xludf.DUMMYFUNCTION("""COMPUTED_VALUE"""),"07840")</f>
        <v>07840</v>
      </c>
      <c r="C7594" t="str">
        <f>IFERROR(__xludf.DUMMYFUNCTION("""COMPUTED_VALUE"""),"Autohak")</f>
        <v>Autohak</v>
      </c>
    </row>
    <row r="7595">
      <c r="A7595" t="str">
        <f>IFERROR(__xludf.DUMMYFUNCTION("""COMPUTED_VALUE"""),"CH48V")</f>
        <v>CH48V</v>
      </c>
      <c r="B7595" s="226" t="str">
        <f>IFERROR(__xludf.DUMMYFUNCTION("""COMPUTED_VALUE"""),"07994")</f>
        <v>07994</v>
      </c>
      <c r="C7595" t="str">
        <f>IFERROR(__xludf.DUMMYFUNCTION("""COMPUTED_VALUE"""),"Autohak")</f>
        <v>Autohak</v>
      </c>
    </row>
    <row r="7596">
      <c r="A7596" t="str">
        <f>IFERROR(__xludf.DUMMYFUNCTION("""COMPUTED_VALUE"""),"R49")</f>
        <v>R49</v>
      </c>
      <c r="B7596" s="226" t="str">
        <f>IFERROR(__xludf.DUMMYFUNCTION("""COMPUTED_VALUE"""),"13452")</f>
        <v>13452</v>
      </c>
      <c r="C7596" t="str">
        <f>IFERROR(__xludf.DUMMYFUNCTION("""COMPUTED_VALUE"""),"Autohak")</f>
        <v>Autohak</v>
      </c>
    </row>
    <row r="7597">
      <c r="A7597" t="str">
        <f>IFERROR(__xludf.DUMMYFUNCTION("""COMPUTED_VALUE"""),"R49A")</f>
        <v>R49A</v>
      </c>
      <c r="B7597" s="226" t="str">
        <f>IFERROR(__xludf.DUMMYFUNCTION("""COMPUTED_VALUE"""),"16446")</f>
        <v>16446</v>
      </c>
      <c r="C7597" t="str">
        <f>IFERROR(__xludf.DUMMYFUNCTION("""COMPUTED_VALUE"""),"Autohak")</f>
        <v>Autohak</v>
      </c>
    </row>
    <row r="7598">
      <c r="A7598" t="str">
        <f>IFERROR(__xludf.DUMMYFUNCTION("""COMPUTED_VALUE"""),"CH47")</f>
        <v>CH47</v>
      </c>
      <c r="B7598" s="226" t="str">
        <f>IFERROR(__xludf.DUMMYFUNCTION("""COMPUTED_VALUE"""),"07000")</f>
        <v>07000</v>
      </c>
      <c r="C7598" t="str">
        <f>IFERROR(__xludf.DUMMYFUNCTION("""COMPUTED_VALUE"""),"Autohak")</f>
        <v>Autohak</v>
      </c>
    </row>
    <row r="7599">
      <c r="A7599" t="str">
        <f>IFERROR(__xludf.DUMMYFUNCTION("""COMPUTED_VALUE"""),"JP08")</f>
        <v>JP08</v>
      </c>
      <c r="B7599" s="226" t="str">
        <f>IFERROR(__xludf.DUMMYFUNCTION("""COMPUTED_VALUE"""),"24076")</f>
        <v>24076</v>
      </c>
      <c r="C7599" t="str">
        <f>IFERROR(__xludf.DUMMYFUNCTION("""COMPUTED_VALUE"""),"Autohak")</f>
        <v>Autohak</v>
      </c>
    </row>
    <row r="7600">
      <c r="A7600" t="str">
        <f>IFERROR(__xludf.DUMMYFUNCTION("""COMPUTED_VALUE"""),"R45")</f>
        <v>R45</v>
      </c>
      <c r="B7600" s="226" t="str">
        <f>IFERROR(__xludf.DUMMYFUNCTION("""COMPUTED_VALUE"""),"13414")</f>
        <v>13414</v>
      </c>
      <c r="C7600" t="str">
        <f>IFERROR(__xludf.DUMMYFUNCTION("""COMPUTED_VALUE"""),"Autohak")</f>
        <v>Autohak</v>
      </c>
    </row>
    <row r="7601">
      <c r="A7601" t="str">
        <f>IFERROR(__xludf.DUMMYFUNCTION("""COMPUTED_VALUE"""),"R45A")</f>
        <v>R45A</v>
      </c>
      <c r="B7601" s="226" t="str">
        <f>IFERROR(__xludf.DUMMYFUNCTION("""COMPUTED_VALUE"""),"16415")</f>
        <v>16415</v>
      </c>
      <c r="C7601" t="str">
        <f>IFERROR(__xludf.DUMMYFUNCTION("""COMPUTED_VALUE"""),"Autohak")</f>
        <v>Autohak</v>
      </c>
    </row>
    <row r="7602">
      <c r="A7602" t="str">
        <f>IFERROR(__xludf.DUMMYFUNCTION("""COMPUTED_VALUE"""),"R45")</f>
        <v>R45</v>
      </c>
      <c r="B7602" s="226" t="str">
        <f>IFERROR(__xludf.DUMMYFUNCTION("""COMPUTED_VALUE"""),"13414")</f>
        <v>13414</v>
      </c>
      <c r="C7602" t="str">
        <f>IFERROR(__xludf.DUMMYFUNCTION("""COMPUTED_VALUE"""),"Autohak")</f>
        <v>Autohak</v>
      </c>
    </row>
    <row r="7603">
      <c r="A7603" t="str">
        <f>IFERROR(__xludf.DUMMYFUNCTION("""COMPUTED_VALUE"""),"R45A")</f>
        <v>R45A</v>
      </c>
      <c r="B7603" s="226" t="str">
        <f>IFERROR(__xludf.DUMMYFUNCTION("""COMPUTED_VALUE"""),"16415")</f>
        <v>16415</v>
      </c>
      <c r="C7603" t="str">
        <f>IFERROR(__xludf.DUMMYFUNCTION("""COMPUTED_VALUE"""),"Autohak")</f>
        <v>Autohak</v>
      </c>
    </row>
    <row r="7604">
      <c r="A7604" t="str">
        <f>IFERROR(__xludf.DUMMYFUNCTION("""COMPUTED_VALUE"""),"R53")</f>
        <v>R53</v>
      </c>
      <c r="B7604" s="226" t="str">
        <f>IFERROR(__xludf.DUMMYFUNCTION("""COMPUTED_VALUE"""),"13506")</f>
        <v>13506</v>
      </c>
      <c r="C7604" t="str">
        <f>IFERROR(__xludf.DUMMYFUNCTION("""COMPUTED_VALUE"""),"Autohak")</f>
        <v>Autohak</v>
      </c>
    </row>
    <row r="7605">
      <c r="A7605" t="str">
        <f>IFERROR(__xludf.DUMMYFUNCTION("""COMPUTED_VALUE"""),"R53A")</f>
        <v>R53A</v>
      </c>
      <c r="B7605" s="226" t="str">
        <f>IFERROR(__xludf.DUMMYFUNCTION("""COMPUTED_VALUE"""),"16491")</f>
        <v>16491</v>
      </c>
      <c r="C7605" t="str">
        <f>IFERROR(__xludf.DUMMYFUNCTION("""COMPUTED_VALUE"""),"Autohak")</f>
        <v>Autohak</v>
      </c>
    </row>
    <row r="7606">
      <c r="A7606" t="str">
        <f>IFERROR(__xludf.DUMMYFUNCTION("""COMPUTED_VALUE"""),"R53V")</f>
        <v>R53V</v>
      </c>
      <c r="B7606" s="226" t="str">
        <f>IFERROR(__xludf.DUMMYFUNCTION("""COMPUTED_VALUE"""),"16965")</f>
        <v>16965</v>
      </c>
      <c r="C7606" t="str">
        <f>IFERROR(__xludf.DUMMYFUNCTION("""COMPUTED_VALUE"""),"Autohak")</f>
        <v>Autohak</v>
      </c>
    </row>
    <row r="7607">
      <c r="A7607" t="str">
        <f>IFERROR(__xludf.DUMMYFUNCTION("""COMPUTED_VALUE"""),"R53")</f>
        <v>R53</v>
      </c>
      <c r="B7607" s="226" t="str">
        <f>IFERROR(__xludf.DUMMYFUNCTION("""COMPUTED_VALUE"""),"13506")</f>
        <v>13506</v>
      </c>
      <c r="C7607" t="str">
        <f>IFERROR(__xludf.DUMMYFUNCTION("""COMPUTED_VALUE"""),"Autohak")</f>
        <v>Autohak</v>
      </c>
    </row>
    <row r="7608">
      <c r="A7608" t="str">
        <f>IFERROR(__xludf.DUMMYFUNCTION("""COMPUTED_VALUE"""),"R53A")</f>
        <v>R53A</v>
      </c>
      <c r="B7608" s="226" t="str">
        <f>IFERROR(__xludf.DUMMYFUNCTION("""COMPUTED_VALUE"""),"16491")</f>
        <v>16491</v>
      </c>
      <c r="C7608" t="str">
        <f>IFERROR(__xludf.DUMMYFUNCTION("""COMPUTED_VALUE"""),"Autohak")</f>
        <v>Autohak</v>
      </c>
    </row>
    <row r="7609">
      <c r="A7609" t="str">
        <f>IFERROR(__xludf.DUMMYFUNCTION("""COMPUTED_VALUE"""),"R53V")</f>
        <v>R53V</v>
      </c>
      <c r="B7609" s="226" t="str">
        <f>IFERROR(__xludf.DUMMYFUNCTION("""COMPUTED_VALUE"""),"16965")</f>
        <v>16965</v>
      </c>
      <c r="C7609" t="str">
        <f>IFERROR(__xludf.DUMMYFUNCTION("""COMPUTED_VALUE"""),"Autohak")</f>
        <v>Autohak</v>
      </c>
    </row>
    <row r="7610">
      <c r="A7610" t="str">
        <f>IFERROR(__xludf.DUMMYFUNCTION("""COMPUTED_VALUE"""),"R56")</f>
        <v>R56</v>
      </c>
      <c r="B7610" s="226" t="str">
        <f>IFERROR(__xludf.DUMMYFUNCTION("""COMPUTED_VALUE"""),"13537")</f>
        <v>13537</v>
      </c>
      <c r="C7610" t="str">
        <f>IFERROR(__xludf.DUMMYFUNCTION("""COMPUTED_VALUE"""),"Autohak")</f>
        <v>Autohak</v>
      </c>
    </row>
    <row r="7611">
      <c r="A7611" t="str">
        <f>IFERROR(__xludf.DUMMYFUNCTION("""COMPUTED_VALUE"""),"R56A")</f>
        <v>R56A</v>
      </c>
      <c r="B7611" s="226" t="str">
        <f>IFERROR(__xludf.DUMMYFUNCTION("""COMPUTED_VALUE"""),"16507")</f>
        <v>16507</v>
      </c>
      <c r="C7611" t="str">
        <f>IFERROR(__xludf.DUMMYFUNCTION("""COMPUTED_VALUE"""),"Autohak")</f>
        <v>Autohak</v>
      </c>
    </row>
    <row r="7612">
      <c r="A7612" t="str">
        <f>IFERROR(__xludf.DUMMYFUNCTION("""COMPUTED_VALUE"""),"R56V")</f>
        <v>R56V</v>
      </c>
      <c r="B7612" s="226" t="str">
        <f>IFERROR(__xludf.DUMMYFUNCTION("""COMPUTED_VALUE"""),"16941")</f>
        <v>16941</v>
      </c>
      <c r="C7612" t="str">
        <f>IFERROR(__xludf.DUMMYFUNCTION("""COMPUTED_VALUE"""),"Autohak")</f>
        <v>Autohak</v>
      </c>
    </row>
    <row r="7613">
      <c r="A7613" t="str">
        <f>IFERROR(__xludf.DUMMYFUNCTION("""COMPUTED_VALUE"""),"R32")</f>
        <v>R32</v>
      </c>
      <c r="B7613" s="226" t="str">
        <f>IFERROR(__xludf.DUMMYFUNCTION("""COMPUTED_VALUE"""),"13025")</f>
        <v>13025</v>
      </c>
      <c r="C7613" t="str">
        <f>IFERROR(__xludf.DUMMYFUNCTION("""COMPUTED_VALUE"""),"Autohak")</f>
        <v>Autohak</v>
      </c>
    </row>
    <row r="7614">
      <c r="A7614" t="str">
        <f>IFERROR(__xludf.DUMMYFUNCTION("""COMPUTED_VALUE"""),"R32A")</f>
        <v>R32A</v>
      </c>
      <c r="B7614" s="226" t="str">
        <f>IFERROR(__xludf.DUMMYFUNCTION("""COMPUTED_VALUE"""),"16026")</f>
        <v>16026</v>
      </c>
      <c r="C7614" t="str">
        <f>IFERROR(__xludf.DUMMYFUNCTION("""COMPUTED_VALUE"""),"Autohak")</f>
        <v>Autohak</v>
      </c>
    </row>
    <row r="7615">
      <c r="A7615" t="str">
        <f>IFERROR(__xludf.DUMMYFUNCTION("""COMPUTED_VALUE"""),"R09")</f>
        <v>R09</v>
      </c>
      <c r="B7615" s="226" t="str">
        <f>IFERROR(__xludf.DUMMYFUNCTION("""COMPUTED_VALUE"""),"13032")</f>
        <v>13032</v>
      </c>
      <c r="C7615" t="str">
        <f>IFERROR(__xludf.DUMMYFUNCTION("""COMPUTED_VALUE"""),"Autohak")</f>
        <v>Autohak</v>
      </c>
    </row>
    <row r="7616">
      <c r="A7616" t="str">
        <f>IFERROR(__xludf.DUMMYFUNCTION("""COMPUTED_VALUE"""),"R10")</f>
        <v>R10</v>
      </c>
      <c r="B7616" s="226" t="str">
        <f>IFERROR(__xludf.DUMMYFUNCTION("""COMPUTED_VALUE"""),"13049")</f>
        <v>13049</v>
      </c>
      <c r="C7616" t="str">
        <f>IFERROR(__xludf.DUMMYFUNCTION("""COMPUTED_VALUE"""),"Autohak")</f>
        <v>Autohak</v>
      </c>
    </row>
    <row r="7617">
      <c r="A7617" t="str">
        <f>IFERROR(__xludf.DUMMYFUNCTION("""COMPUTED_VALUE"""),"R10A")</f>
        <v>R10A</v>
      </c>
      <c r="B7617" s="226" t="str">
        <f>IFERROR(__xludf.DUMMYFUNCTION("""COMPUTED_VALUE"""),"16040")</f>
        <v>16040</v>
      </c>
      <c r="C7617" t="str">
        <f>IFERROR(__xludf.DUMMYFUNCTION("""COMPUTED_VALUE"""),"Autohak")</f>
        <v>Autohak</v>
      </c>
    </row>
    <row r="7618">
      <c r="A7618" t="str">
        <f>IFERROR(__xludf.DUMMYFUNCTION("""COMPUTED_VALUE"""),"R44")</f>
        <v>R44</v>
      </c>
      <c r="B7618" s="226" t="str">
        <f>IFERROR(__xludf.DUMMYFUNCTION("""COMPUTED_VALUE"""),"13407")</f>
        <v>13407</v>
      </c>
      <c r="C7618" t="str">
        <f>IFERROR(__xludf.DUMMYFUNCTION("""COMPUTED_VALUE"""),"Autohak")</f>
        <v>Autohak</v>
      </c>
    </row>
    <row r="7619">
      <c r="A7619" t="str">
        <f>IFERROR(__xludf.DUMMYFUNCTION("""COMPUTED_VALUE"""),"R44A")</f>
        <v>R44A</v>
      </c>
      <c r="B7619" s="226" t="str">
        <f>IFERROR(__xludf.DUMMYFUNCTION("""COMPUTED_VALUE"""),"16408")</f>
        <v>16408</v>
      </c>
      <c r="C7619" t="str">
        <f>IFERROR(__xludf.DUMMYFUNCTION("""COMPUTED_VALUE"""),"Autohak")</f>
        <v>Autohak</v>
      </c>
    </row>
    <row r="7620">
      <c r="A7620" t="str">
        <f>IFERROR(__xludf.DUMMYFUNCTION("""COMPUTED_VALUE"""),"S07")</f>
        <v>S07</v>
      </c>
      <c r="B7620" s="226" t="str">
        <f>IFERROR(__xludf.DUMMYFUNCTION("""COMPUTED_VALUE"""),"13056")</f>
        <v>13056</v>
      </c>
      <c r="C7620" t="str">
        <f>IFERROR(__xludf.DUMMYFUNCTION("""COMPUTED_VALUE"""),"Autohak")</f>
        <v>Autohak</v>
      </c>
    </row>
    <row r="7621">
      <c r="A7621" t="str">
        <f>IFERROR(__xludf.DUMMYFUNCTION("""COMPUTED_VALUE"""),"R47")</f>
        <v>R47</v>
      </c>
      <c r="B7621" s="226" t="str">
        <f>IFERROR(__xludf.DUMMYFUNCTION("""COMPUTED_VALUE"""),"13438")</f>
        <v>13438</v>
      </c>
      <c r="C7621" t="str">
        <f>IFERROR(__xludf.DUMMYFUNCTION("""COMPUTED_VALUE"""),"Autohak")</f>
        <v>Autohak</v>
      </c>
    </row>
    <row r="7622">
      <c r="A7622" t="str">
        <f>IFERROR(__xludf.DUMMYFUNCTION("""COMPUTED_VALUE"""),"R47A")</f>
        <v>R47A</v>
      </c>
      <c r="B7622" s="226" t="str">
        <f>IFERROR(__xludf.DUMMYFUNCTION("""COMPUTED_VALUE"""),"16422")</f>
        <v>16422</v>
      </c>
      <c r="C7622" t="str">
        <f>IFERROR(__xludf.DUMMYFUNCTION("""COMPUTED_VALUE"""),"Autohak")</f>
        <v>Autohak</v>
      </c>
    </row>
    <row r="7623">
      <c r="A7623" t="str">
        <f>IFERROR(__xludf.DUMMYFUNCTION("""COMPUTED_VALUE"""),"R27")</f>
        <v>R27</v>
      </c>
      <c r="B7623" s="226" t="str">
        <f>IFERROR(__xludf.DUMMYFUNCTION("""COMPUTED_VALUE"""),"13070")</f>
        <v>13070</v>
      </c>
      <c r="C7623" t="str">
        <f>IFERROR(__xludf.DUMMYFUNCTION("""COMPUTED_VALUE"""),"Autohak")</f>
        <v>Autohak</v>
      </c>
    </row>
    <row r="7624">
      <c r="A7624" t="str">
        <f>IFERROR(__xludf.DUMMYFUNCTION("""COMPUTED_VALUE"""),"R27A")</f>
        <v>R27A</v>
      </c>
      <c r="B7624" s="226" t="str">
        <f>IFERROR(__xludf.DUMMYFUNCTION("""COMPUTED_VALUE"""),"16071")</f>
        <v>16071</v>
      </c>
      <c r="C7624" t="str">
        <f>IFERROR(__xludf.DUMMYFUNCTION("""COMPUTED_VALUE"""),"Autohak")</f>
        <v>Autohak</v>
      </c>
    </row>
    <row r="7625">
      <c r="A7625" t="str">
        <f>IFERROR(__xludf.DUMMYFUNCTION("""COMPUTED_VALUE"""),"R27")</f>
        <v>R27</v>
      </c>
      <c r="B7625" s="226" t="str">
        <f>IFERROR(__xludf.DUMMYFUNCTION("""COMPUTED_VALUE"""),"13070")</f>
        <v>13070</v>
      </c>
      <c r="C7625" t="str">
        <f>IFERROR(__xludf.DUMMYFUNCTION("""COMPUTED_VALUE"""),"Autohak")</f>
        <v>Autohak</v>
      </c>
    </row>
    <row r="7626">
      <c r="A7626" t="str">
        <f>IFERROR(__xludf.DUMMYFUNCTION("""COMPUTED_VALUE"""),"R27A")</f>
        <v>R27A</v>
      </c>
      <c r="B7626" s="226" t="str">
        <f>IFERROR(__xludf.DUMMYFUNCTION("""COMPUTED_VALUE"""),"16071")</f>
        <v>16071</v>
      </c>
      <c r="C7626" t="str">
        <f>IFERROR(__xludf.DUMMYFUNCTION("""COMPUTED_VALUE"""),"Autohak")</f>
        <v>Autohak</v>
      </c>
    </row>
    <row r="7627">
      <c r="A7627" t="str">
        <f>IFERROR(__xludf.DUMMYFUNCTION("""COMPUTED_VALUE"""),"R27")</f>
        <v>R27</v>
      </c>
      <c r="B7627" s="226" t="str">
        <f>IFERROR(__xludf.DUMMYFUNCTION("""COMPUTED_VALUE"""),"13070")</f>
        <v>13070</v>
      </c>
      <c r="C7627" t="str">
        <f>IFERROR(__xludf.DUMMYFUNCTION("""COMPUTED_VALUE"""),"Autohak")</f>
        <v>Autohak</v>
      </c>
    </row>
    <row r="7628">
      <c r="A7628" t="str">
        <f>IFERROR(__xludf.DUMMYFUNCTION("""COMPUTED_VALUE"""),"R27A")</f>
        <v>R27A</v>
      </c>
      <c r="B7628" s="226" t="str">
        <f>IFERROR(__xludf.DUMMYFUNCTION("""COMPUTED_VALUE"""),"16071")</f>
        <v>16071</v>
      </c>
      <c r="C7628" t="str">
        <f>IFERROR(__xludf.DUMMYFUNCTION("""COMPUTED_VALUE"""),"Autohak")</f>
        <v>Autohak</v>
      </c>
    </row>
    <row r="7629">
      <c r="A7629" t="str">
        <f>IFERROR(__xludf.DUMMYFUNCTION("""COMPUTED_VALUE"""),"R48")</f>
        <v>R48</v>
      </c>
      <c r="B7629" s="226" t="str">
        <f>IFERROR(__xludf.DUMMYFUNCTION("""COMPUTED_VALUE"""),"13445")</f>
        <v>13445</v>
      </c>
      <c r="C7629" t="str">
        <f>IFERROR(__xludf.DUMMYFUNCTION("""COMPUTED_VALUE"""),"Autohak")</f>
        <v>Autohak</v>
      </c>
    </row>
    <row r="7630">
      <c r="A7630" t="str">
        <f>IFERROR(__xludf.DUMMYFUNCTION("""COMPUTED_VALUE"""),"R48A")</f>
        <v>R48A</v>
      </c>
      <c r="B7630" s="226" t="str">
        <f>IFERROR(__xludf.DUMMYFUNCTION("""COMPUTED_VALUE"""),"16439")</f>
        <v>16439</v>
      </c>
      <c r="C7630" t="str">
        <f>IFERROR(__xludf.DUMMYFUNCTION("""COMPUTED_VALUE"""),"Autohak")</f>
        <v>Autohak</v>
      </c>
    </row>
    <row r="7631">
      <c r="A7631" t="str">
        <f>IFERROR(__xludf.DUMMYFUNCTION("""COMPUTED_VALUE"""),"R48V")</f>
        <v>R48V</v>
      </c>
      <c r="B7631" s="226" t="str">
        <f>IFERROR(__xludf.DUMMYFUNCTION("""COMPUTED_VALUE"""),"16996")</f>
        <v>16996</v>
      </c>
      <c r="C7631" t="str">
        <f>IFERROR(__xludf.DUMMYFUNCTION("""COMPUTED_VALUE"""),"Autohak")</f>
        <v>Autohak</v>
      </c>
    </row>
    <row r="7632">
      <c r="A7632" t="str">
        <f>IFERROR(__xludf.DUMMYFUNCTION("""COMPUTED_VALUE"""),"R48")</f>
        <v>R48</v>
      </c>
      <c r="B7632" s="226" t="str">
        <f>IFERROR(__xludf.DUMMYFUNCTION("""COMPUTED_VALUE"""),"13445")</f>
        <v>13445</v>
      </c>
      <c r="C7632" t="str">
        <f>IFERROR(__xludf.DUMMYFUNCTION("""COMPUTED_VALUE"""),"Autohak")</f>
        <v>Autohak</v>
      </c>
    </row>
    <row r="7633">
      <c r="A7633" t="str">
        <f>IFERROR(__xludf.DUMMYFUNCTION("""COMPUTED_VALUE"""),"R48A")</f>
        <v>R48A</v>
      </c>
      <c r="B7633" s="226" t="str">
        <f>IFERROR(__xludf.DUMMYFUNCTION("""COMPUTED_VALUE"""),"16439")</f>
        <v>16439</v>
      </c>
      <c r="C7633" t="str">
        <f>IFERROR(__xludf.DUMMYFUNCTION("""COMPUTED_VALUE"""),"Autohak")</f>
        <v>Autohak</v>
      </c>
    </row>
    <row r="7634">
      <c r="A7634" t="str">
        <f>IFERROR(__xludf.DUMMYFUNCTION("""COMPUTED_VALUE"""),"R48V")</f>
        <v>R48V</v>
      </c>
      <c r="B7634" s="226" t="str">
        <f>IFERROR(__xludf.DUMMYFUNCTION("""COMPUTED_VALUE"""),"16996")</f>
        <v>16996</v>
      </c>
      <c r="C7634" t="str">
        <f>IFERROR(__xludf.DUMMYFUNCTION("""COMPUTED_VALUE"""),"Autohak")</f>
        <v>Autohak</v>
      </c>
    </row>
    <row r="7635">
      <c r="A7635" t="str">
        <f>IFERROR(__xludf.DUMMYFUNCTION("""COMPUTED_VALUE"""),"R50")</f>
        <v>R50</v>
      </c>
      <c r="B7635" s="226" t="str">
        <f>IFERROR(__xludf.DUMMYFUNCTION("""COMPUTED_VALUE"""),"13469")</f>
        <v>13469</v>
      </c>
      <c r="C7635" t="str">
        <f>IFERROR(__xludf.DUMMYFUNCTION("""COMPUTED_VALUE"""),"Autohak")</f>
        <v>Autohak</v>
      </c>
    </row>
    <row r="7636">
      <c r="A7636" t="str">
        <f>IFERROR(__xludf.DUMMYFUNCTION("""COMPUTED_VALUE"""),"R50A")</f>
        <v>R50A</v>
      </c>
      <c r="B7636" s="226" t="str">
        <f>IFERROR(__xludf.DUMMYFUNCTION("""COMPUTED_VALUE"""),"16453")</f>
        <v>16453</v>
      </c>
      <c r="C7636" t="str">
        <f>IFERROR(__xludf.DUMMYFUNCTION("""COMPUTED_VALUE"""),"Autohak")</f>
        <v>Autohak</v>
      </c>
    </row>
    <row r="7637">
      <c r="A7637" t="str">
        <f>IFERROR(__xludf.DUMMYFUNCTION("""COMPUTED_VALUE"""),"R50V")</f>
        <v>R50V</v>
      </c>
      <c r="B7637" s="226" t="str">
        <f>IFERROR(__xludf.DUMMYFUNCTION("""COMPUTED_VALUE"""),"16989")</f>
        <v>16989</v>
      </c>
      <c r="C7637" t="str">
        <f>IFERROR(__xludf.DUMMYFUNCTION("""COMPUTED_VALUE"""),"Autohak")</f>
        <v>Autohak</v>
      </c>
    </row>
    <row r="7638">
      <c r="A7638" t="str">
        <f>IFERROR(__xludf.DUMMYFUNCTION("""COMPUTED_VALUE"""),"R08")</f>
        <v>R08</v>
      </c>
      <c r="B7638" s="226" t="str">
        <f>IFERROR(__xludf.DUMMYFUNCTION("""COMPUTED_VALUE"""),"13094")</f>
        <v>13094</v>
      </c>
      <c r="C7638" t="str">
        <f>IFERROR(__xludf.DUMMYFUNCTION("""COMPUTED_VALUE"""),"Autohak")</f>
        <v>Autohak</v>
      </c>
    </row>
    <row r="7639">
      <c r="A7639" t="str">
        <f>IFERROR(__xludf.DUMMYFUNCTION("""COMPUTED_VALUE"""),"R24")</f>
        <v>R24</v>
      </c>
      <c r="B7639" s="226" t="str">
        <f>IFERROR(__xludf.DUMMYFUNCTION("""COMPUTED_VALUE"""),"13100")</f>
        <v>13100</v>
      </c>
      <c r="C7639" t="str">
        <f>IFERROR(__xludf.DUMMYFUNCTION("""COMPUTED_VALUE"""),"Autohak")</f>
        <v>Autohak</v>
      </c>
    </row>
    <row r="7640">
      <c r="A7640" t="str">
        <f>IFERROR(__xludf.DUMMYFUNCTION("""COMPUTED_VALUE"""),"R39")</f>
        <v>R39</v>
      </c>
      <c r="B7640" s="226" t="str">
        <f>IFERROR(__xludf.DUMMYFUNCTION("""COMPUTED_VALUE"""),"13353")</f>
        <v>13353</v>
      </c>
      <c r="C7640" t="str">
        <f>IFERROR(__xludf.DUMMYFUNCTION("""COMPUTED_VALUE"""),"Autohak")</f>
        <v>Autohak</v>
      </c>
    </row>
    <row r="7641">
      <c r="A7641" t="str">
        <f>IFERROR(__xludf.DUMMYFUNCTION("""COMPUTED_VALUE"""),"R39A")</f>
        <v>R39A</v>
      </c>
      <c r="B7641" s="226" t="str">
        <f>IFERROR(__xludf.DUMMYFUNCTION("""COMPUTED_VALUE"""),"16354")</f>
        <v>16354</v>
      </c>
      <c r="C7641" t="str">
        <f>IFERROR(__xludf.DUMMYFUNCTION("""COMPUTED_VALUE"""),"Autohak")</f>
        <v>Autohak</v>
      </c>
    </row>
    <row r="7642">
      <c r="A7642" t="str">
        <f>IFERROR(__xludf.DUMMYFUNCTION("""COMPUTED_VALUE"""),"R60")</f>
        <v>R60</v>
      </c>
      <c r="B7642" s="226" t="str">
        <f>IFERROR(__xludf.DUMMYFUNCTION("""COMPUTED_VALUE"""),"13575")</f>
        <v>13575</v>
      </c>
      <c r="C7642" t="str">
        <f>IFERROR(__xludf.DUMMYFUNCTION("""COMPUTED_VALUE"""),"Autohak")</f>
        <v>Autohak</v>
      </c>
    </row>
    <row r="7643">
      <c r="A7643" t="str">
        <f>IFERROR(__xludf.DUMMYFUNCTION("""COMPUTED_VALUE"""),"R39")</f>
        <v>R39</v>
      </c>
      <c r="B7643" s="226" t="str">
        <f>IFERROR(__xludf.DUMMYFUNCTION("""COMPUTED_VALUE"""),"13353")</f>
        <v>13353</v>
      </c>
      <c r="C7643" t="str">
        <f>IFERROR(__xludf.DUMMYFUNCTION("""COMPUTED_VALUE"""),"Autohak")</f>
        <v>Autohak</v>
      </c>
    </row>
    <row r="7644">
      <c r="A7644" t="str">
        <f>IFERROR(__xludf.DUMMYFUNCTION("""COMPUTED_VALUE"""),"R39A")</f>
        <v>R39A</v>
      </c>
      <c r="B7644" s="226" t="str">
        <f>IFERROR(__xludf.DUMMYFUNCTION("""COMPUTED_VALUE"""),"16354")</f>
        <v>16354</v>
      </c>
      <c r="C7644" t="str">
        <f>IFERROR(__xludf.DUMMYFUNCTION("""COMPUTED_VALUE"""),"Autohak")</f>
        <v>Autohak</v>
      </c>
    </row>
    <row r="7645">
      <c r="A7645" t="str">
        <f>IFERROR(__xludf.DUMMYFUNCTION("""COMPUTED_VALUE"""),"R60")</f>
        <v>R60</v>
      </c>
      <c r="B7645" s="226" t="str">
        <f>IFERROR(__xludf.DUMMYFUNCTION("""COMPUTED_VALUE"""),"13575")</f>
        <v>13575</v>
      </c>
      <c r="C7645" t="str">
        <f>IFERROR(__xludf.DUMMYFUNCTION("""COMPUTED_VALUE"""),"Autohak")</f>
        <v>Autohak</v>
      </c>
    </row>
    <row r="7646">
      <c r="A7646" t="str">
        <f>IFERROR(__xludf.DUMMYFUNCTION("""COMPUTED_VALUE"""),"R39")</f>
        <v>R39</v>
      </c>
      <c r="B7646" s="226" t="str">
        <f>IFERROR(__xludf.DUMMYFUNCTION("""COMPUTED_VALUE"""),"13353")</f>
        <v>13353</v>
      </c>
      <c r="C7646" t="str">
        <f>IFERROR(__xludf.DUMMYFUNCTION("""COMPUTED_VALUE"""),"Autohak")</f>
        <v>Autohak</v>
      </c>
    </row>
    <row r="7647">
      <c r="A7647" t="str">
        <f>IFERROR(__xludf.DUMMYFUNCTION("""COMPUTED_VALUE"""),"R39A")</f>
        <v>R39A</v>
      </c>
      <c r="B7647" s="226" t="str">
        <f>IFERROR(__xludf.DUMMYFUNCTION("""COMPUTED_VALUE"""),"16354")</f>
        <v>16354</v>
      </c>
      <c r="C7647" t="str">
        <f>IFERROR(__xludf.DUMMYFUNCTION("""COMPUTED_VALUE"""),"Autohak")</f>
        <v>Autohak</v>
      </c>
    </row>
    <row r="7648">
      <c r="A7648" t="str">
        <f>IFERROR(__xludf.DUMMYFUNCTION("""COMPUTED_VALUE"""),"R60")</f>
        <v>R60</v>
      </c>
      <c r="B7648" s="226" t="str">
        <f>IFERROR(__xludf.DUMMYFUNCTION("""COMPUTED_VALUE"""),"13575")</f>
        <v>13575</v>
      </c>
      <c r="C7648" t="str">
        <f>IFERROR(__xludf.DUMMYFUNCTION("""COMPUTED_VALUE"""),"Autohak")</f>
        <v>Autohak</v>
      </c>
    </row>
    <row r="7649">
      <c r="A7649" t="str">
        <f>IFERROR(__xludf.DUMMYFUNCTION("""COMPUTED_VALUE"""),"R39")</f>
        <v>R39</v>
      </c>
      <c r="B7649" s="226" t="str">
        <f>IFERROR(__xludf.DUMMYFUNCTION("""COMPUTED_VALUE"""),"13353")</f>
        <v>13353</v>
      </c>
      <c r="C7649" t="str">
        <f>IFERROR(__xludf.DUMMYFUNCTION("""COMPUTED_VALUE"""),"Autohak")</f>
        <v>Autohak</v>
      </c>
    </row>
    <row r="7650">
      <c r="A7650" t="str">
        <f>IFERROR(__xludf.DUMMYFUNCTION("""COMPUTED_VALUE"""),"R39A")</f>
        <v>R39A</v>
      </c>
      <c r="B7650" s="226" t="str">
        <f>IFERROR(__xludf.DUMMYFUNCTION("""COMPUTED_VALUE"""),"16354")</f>
        <v>16354</v>
      </c>
      <c r="C7650" t="str">
        <f>IFERROR(__xludf.DUMMYFUNCTION("""COMPUTED_VALUE"""),"Autohak")</f>
        <v>Autohak</v>
      </c>
    </row>
    <row r="7651">
      <c r="A7651" t="str">
        <f>IFERROR(__xludf.DUMMYFUNCTION("""COMPUTED_VALUE"""),"R60")</f>
        <v>R60</v>
      </c>
      <c r="B7651" s="226" t="str">
        <f>IFERROR(__xludf.DUMMYFUNCTION("""COMPUTED_VALUE"""),"13575")</f>
        <v>13575</v>
      </c>
      <c r="C7651" t="str">
        <f>IFERROR(__xludf.DUMMYFUNCTION("""COMPUTED_VALUE"""),"Autohak")</f>
        <v>Autohak</v>
      </c>
    </row>
    <row r="7652">
      <c r="A7652" t="str">
        <f>IFERROR(__xludf.DUMMYFUNCTION("""COMPUTED_VALUE"""),"R41")</f>
        <v>R41</v>
      </c>
      <c r="B7652" s="226" t="str">
        <f>IFERROR(__xludf.DUMMYFUNCTION("""COMPUTED_VALUE"""),"13377")</f>
        <v>13377</v>
      </c>
      <c r="C7652" t="str">
        <f>IFERROR(__xludf.DUMMYFUNCTION("""COMPUTED_VALUE"""),"Autohak")</f>
        <v>Autohak</v>
      </c>
    </row>
    <row r="7653">
      <c r="A7653" t="str">
        <f>IFERROR(__xludf.DUMMYFUNCTION("""COMPUTED_VALUE"""),"R42")</f>
        <v>R42</v>
      </c>
      <c r="B7653" s="226" t="str">
        <f>IFERROR(__xludf.DUMMYFUNCTION("""COMPUTED_VALUE"""),"13384")</f>
        <v>13384</v>
      </c>
      <c r="C7653" t="str">
        <f>IFERROR(__xludf.DUMMYFUNCTION("""COMPUTED_VALUE"""),"Autohak")</f>
        <v>Autohak</v>
      </c>
    </row>
    <row r="7654">
      <c r="A7654" t="str">
        <f>IFERROR(__xludf.DUMMYFUNCTION("""COMPUTED_VALUE"""),"R42A")</f>
        <v>R42A</v>
      </c>
      <c r="B7654" s="226" t="str">
        <f>IFERROR(__xludf.DUMMYFUNCTION("""COMPUTED_VALUE"""),"16385")</f>
        <v>16385</v>
      </c>
      <c r="C7654" t="str">
        <f>IFERROR(__xludf.DUMMYFUNCTION("""COMPUTED_VALUE"""),"Autohak")</f>
        <v>Autohak</v>
      </c>
    </row>
    <row r="7655">
      <c r="A7655" t="str">
        <f>IFERROR(__xludf.DUMMYFUNCTION("""COMPUTED_VALUE"""),"R61")</f>
        <v>R61</v>
      </c>
      <c r="B7655" s="226" t="str">
        <f>IFERROR(__xludf.DUMMYFUNCTION("""COMPUTED_VALUE"""),"13582")</f>
        <v>13582</v>
      </c>
      <c r="C7655" t="str">
        <f>IFERROR(__xludf.DUMMYFUNCTION("""COMPUTED_VALUE"""),"Autohak")</f>
        <v>Autohak</v>
      </c>
    </row>
    <row r="7656">
      <c r="A7656" t="str">
        <f>IFERROR(__xludf.DUMMYFUNCTION("""COMPUTED_VALUE"""),"R42")</f>
        <v>R42</v>
      </c>
      <c r="B7656" s="226" t="str">
        <f>IFERROR(__xludf.DUMMYFUNCTION("""COMPUTED_VALUE"""),"13384")</f>
        <v>13384</v>
      </c>
      <c r="C7656" t="str">
        <f>IFERROR(__xludf.DUMMYFUNCTION("""COMPUTED_VALUE"""),"Autohak")</f>
        <v>Autohak</v>
      </c>
    </row>
    <row r="7657">
      <c r="A7657" t="str">
        <f>IFERROR(__xludf.DUMMYFUNCTION("""COMPUTED_VALUE"""),"R42A")</f>
        <v>R42A</v>
      </c>
      <c r="B7657" s="226" t="str">
        <f>IFERROR(__xludf.DUMMYFUNCTION("""COMPUTED_VALUE"""),"16385")</f>
        <v>16385</v>
      </c>
      <c r="C7657" t="str">
        <f>IFERROR(__xludf.DUMMYFUNCTION("""COMPUTED_VALUE"""),"Autohak")</f>
        <v>Autohak</v>
      </c>
    </row>
    <row r="7658">
      <c r="A7658" t="str">
        <f>IFERROR(__xludf.DUMMYFUNCTION("""COMPUTED_VALUE"""),"R61")</f>
        <v>R61</v>
      </c>
      <c r="B7658" s="226" t="str">
        <f>IFERROR(__xludf.DUMMYFUNCTION("""COMPUTED_VALUE"""),"13582")</f>
        <v>13582</v>
      </c>
      <c r="C7658" t="str">
        <f>IFERROR(__xludf.DUMMYFUNCTION("""COMPUTED_VALUE"""),"Autohak")</f>
        <v>Autohak</v>
      </c>
    </row>
    <row r="7659">
      <c r="A7659" t="str">
        <f>IFERROR(__xludf.DUMMYFUNCTION("""COMPUTED_VALUE"""),"R42")</f>
        <v>R42</v>
      </c>
      <c r="B7659" s="226" t="str">
        <f>IFERROR(__xludf.DUMMYFUNCTION("""COMPUTED_VALUE"""),"13384")</f>
        <v>13384</v>
      </c>
      <c r="C7659" t="str">
        <f>IFERROR(__xludf.DUMMYFUNCTION("""COMPUTED_VALUE"""),"Autohak")</f>
        <v>Autohak</v>
      </c>
    </row>
    <row r="7660">
      <c r="A7660" t="str">
        <f>IFERROR(__xludf.DUMMYFUNCTION("""COMPUTED_VALUE"""),"R42A")</f>
        <v>R42A</v>
      </c>
      <c r="B7660" s="226" t="str">
        <f>IFERROR(__xludf.DUMMYFUNCTION("""COMPUTED_VALUE"""),"16385")</f>
        <v>16385</v>
      </c>
      <c r="C7660" t="str">
        <f>IFERROR(__xludf.DUMMYFUNCTION("""COMPUTED_VALUE"""),"Autohak")</f>
        <v>Autohak</v>
      </c>
    </row>
    <row r="7661">
      <c r="A7661" t="str">
        <f>IFERROR(__xludf.DUMMYFUNCTION("""COMPUTED_VALUE"""),"R61")</f>
        <v>R61</v>
      </c>
      <c r="B7661" s="226" t="str">
        <f>IFERROR(__xludf.DUMMYFUNCTION("""COMPUTED_VALUE"""),"13582")</f>
        <v>13582</v>
      </c>
      <c r="C7661" t="str">
        <f>IFERROR(__xludf.DUMMYFUNCTION("""COMPUTED_VALUE"""),"Autohak")</f>
        <v>Autohak</v>
      </c>
    </row>
    <row r="7662">
      <c r="A7662" t="str">
        <f>IFERROR(__xludf.DUMMYFUNCTION("""COMPUTED_VALUE"""),"R42")</f>
        <v>R42</v>
      </c>
      <c r="B7662" s="226" t="str">
        <f>IFERROR(__xludf.DUMMYFUNCTION("""COMPUTED_VALUE"""),"13384")</f>
        <v>13384</v>
      </c>
      <c r="C7662" t="str">
        <f>IFERROR(__xludf.DUMMYFUNCTION("""COMPUTED_VALUE"""),"Autohak")</f>
        <v>Autohak</v>
      </c>
    </row>
    <row r="7663">
      <c r="A7663" t="str">
        <f>IFERROR(__xludf.DUMMYFUNCTION("""COMPUTED_VALUE"""),"R42A")</f>
        <v>R42A</v>
      </c>
      <c r="B7663" s="226" t="str">
        <f>IFERROR(__xludf.DUMMYFUNCTION("""COMPUTED_VALUE"""),"16385")</f>
        <v>16385</v>
      </c>
      <c r="C7663" t="str">
        <f>IFERROR(__xludf.DUMMYFUNCTION("""COMPUTED_VALUE"""),"Autohak")</f>
        <v>Autohak</v>
      </c>
    </row>
    <row r="7664">
      <c r="A7664" t="str">
        <f>IFERROR(__xludf.DUMMYFUNCTION("""COMPUTED_VALUE"""),"R61")</f>
        <v>R61</v>
      </c>
      <c r="B7664" s="226" t="str">
        <f>IFERROR(__xludf.DUMMYFUNCTION("""COMPUTED_VALUE"""),"13582")</f>
        <v>13582</v>
      </c>
      <c r="C7664" t="str">
        <f>IFERROR(__xludf.DUMMYFUNCTION("""COMPUTED_VALUE"""),"Autohak")</f>
        <v>Autohak</v>
      </c>
    </row>
    <row r="7665">
      <c r="A7665" t="str">
        <f>IFERROR(__xludf.DUMMYFUNCTION("""COMPUTED_VALUE"""),"R46")</f>
        <v>R46</v>
      </c>
      <c r="B7665" s="226" t="str">
        <f>IFERROR(__xludf.DUMMYFUNCTION("""COMPUTED_VALUE"""),"13421")</f>
        <v>13421</v>
      </c>
      <c r="C7665" t="str">
        <f>IFERROR(__xludf.DUMMYFUNCTION("""COMPUTED_VALUE"""),"Autohak")</f>
        <v>Autohak</v>
      </c>
    </row>
    <row r="7666">
      <c r="A7666" t="str">
        <f>IFERROR(__xludf.DUMMYFUNCTION("""COMPUTED_VALUE"""),"F32")</f>
        <v>F32</v>
      </c>
      <c r="B7666" s="226" t="str">
        <f>IFERROR(__xludf.DUMMYFUNCTION("""COMPUTED_VALUE"""),"44234")</f>
        <v>44234</v>
      </c>
      <c r="C7666" t="str">
        <f>IFERROR(__xludf.DUMMYFUNCTION("""COMPUTED_VALUE"""),"Autohak")</f>
        <v>Autohak</v>
      </c>
    </row>
    <row r="7667">
      <c r="A7667" t="str">
        <f>IFERROR(__xludf.DUMMYFUNCTION("""COMPUTED_VALUE"""),"F32A")</f>
        <v>F32A</v>
      </c>
      <c r="B7667" s="226" t="str">
        <f>IFERROR(__xludf.DUMMYFUNCTION("""COMPUTED_VALUE"""),"46238")</f>
        <v>46238</v>
      </c>
      <c r="C7667" t="str">
        <f>IFERROR(__xludf.DUMMYFUNCTION("""COMPUTED_VALUE"""),"Autohak")</f>
        <v>Autohak</v>
      </c>
    </row>
    <row r="7668">
      <c r="A7668" t="str">
        <f>IFERROR(__xludf.DUMMYFUNCTION("""COMPUTED_VALUE"""),"F32")</f>
        <v>F32</v>
      </c>
      <c r="B7668" s="226" t="str">
        <f>IFERROR(__xludf.DUMMYFUNCTION("""COMPUTED_VALUE"""),"44234")</f>
        <v>44234</v>
      </c>
      <c r="C7668" t="str">
        <f>IFERROR(__xludf.DUMMYFUNCTION("""COMPUTED_VALUE"""),"Autohak")</f>
        <v>Autohak</v>
      </c>
    </row>
    <row r="7669">
      <c r="A7669" t="str">
        <f>IFERROR(__xludf.DUMMYFUNCTION("""COMPUTED_VALUE"""),"F32A")</f>
        <v>F32A</v>
      </c>
      <c r="B7669" s="226" t="str">
        <f>IFERROR(__xludf.DUMMYFUNCTION("""COMPUTED_VALUE"""),"46238")</f>
        <v>46238</v>
      </c>
      <c r="C7669" t="str">
        <f>IFERROR(__xludf.DUMMYFUNCTION("""COMPUTED_VALUE"""),"Autohak")</f>
        <v>Autohak</v>
      </c>
    </row>
    <row r="7670">
      <c r="A7670" t="str">
        <f>IFERROR(__xludf.DUMMYFUNCTION("""COMPUTED_VALUE"""),"R49")</f>
        <v>R49</v>
      </c>
      <c r="B7670" s="226" t="str">
        <f>IFERROR(__xludf.DUMMYFUNCTION("""COMPUTED_VALUE"""),"13452")</f>
        <v>13452</v>
      </c>
      <c r="C7670" t="str">
        <f>IFERROR(__xludf.DUMMYFUNCTION("""COMPUTED_VALUE"""),"Autohak")</f>
        <v>Autohak</v>
      </c>
    </row>
    <row r="7671">
      <c r="A7671" t="str">
        <f>IFERROR(__xludf.DUMMYFUNCTION("""COMPUTED_VALUE"""),"R49A")</f>
        <v>R49A</v>
      </c>
      <c r="B7671" s="226" t="str">
        <f>IFERROR(__xludf.DUMMYFUNCTION("""COMPUTED_VALUE"""),"16446")</f>
        <v>16446</v>
      </c>
      <c r="C7671" t="str">
        <f>IFERROR(__xludf.DUMMYFUNCTION("""COMPUTED_VALUE"""),"Autohak")</f>
        <v>Autohak</v>
      </c>
    </row>
    <row r="7672">
      <c r="A7672" t="str">
        <f>IFERROR(__xludf.DUMMYFUNCTION("""COMPUTED_VALUE"""),"R49")</f>
        <v>R49</v>
      </c>
      <c r="B7672" s="226" t="str">
        <f>IFERROR(__xludf.DUMMYFUNCTION("""COMPUTED_VALUE"""),"13452")</f>
        <v>13452</v>
      </c>
      <c r="C7672" t="str">
        <f>IFERROR(__xludf.DUMMYFUNCTION("""COMPUTED_VALUE"""),"Autohak")</f>
        <v>Autohak</v>
      </c>
    </row>
    <row r="7673">
      <c r="A7673" t="str">
        <f>IFERROR(__xludf.DUMMYFUNCTION("""COMPUTED_VALUE"""),"R49A")</f>
        <v>R49A</v>
      </c>
      <c r="B7673" s="226" t="str">
        <f>IFERROR(__xludf.DUMMYFUNCTION("""COMPUTED_VALUE"""),"16446")</f>
        <v>16446</v>
      </c>
      <c r="C7673" t="str">
        <f>IFERROR(__xludf.DUMMYFUNCTION("""COMPUTED_VALUE"""),"Autohak")</f>
        <v>Autohak</v>
      </c>
    </row>
    <row r="7674">
      <c r="A7674" t="str">
        <f>IFERROR(__xludf.DUMMYFUNCTION("""COMPUTED_VALUE"""),"R58")</f>
        <v>R58</v>
      </c>
      <c r="B7674" s="226" t="str">
        <f>IFERROR(__xludf.DUMMYFUNCTION("""COMPUTED_VALUE"""),"13551")</f>
        <v>13551</v>
      </c>
      <c r="C7674" t="str">
        <f>IFERROR(__xludf.DUMMYFUNCTION("""COMPUTED_VALUE"""),"Autohak")</f>
        <v>Autohak</v>
      </c>
    </row>
    <row r="7675">
      <c r="A7675" t="str">
        <f>IFERROR(__xludf.DUMMYFUNCTION("""COMPUTED_VALUE"""),"R58A")</f>
        <v>R58A</v>
      </c>
      <c r="B7675" s="226" t="str">
        <f>IFERROR(__xludf.DUMMYFUNCTION("""COMPUTED_VALUE"""),"16521")</f>
        <v>16521</v>
      </c>
      <c r="C7675" t="str">
        <f>IFERROR(__xludf.DUMMYFUNCTION("""COMPUTED_VALUE"""),"Autohak")</f>
        <v>Autohak</v>
      </c>
    </row>
    <row r="7676">
      <c r="A7676" t="str">
        <f>IFERROR(__xludf.DUMMYFUNCTION("""COMPUTED_VALUE"""),"R37")</f>
        <v>R37</v>
      </c>
      <c r="B7676" s="226" t="str">
        <f>IFERROR(__xludf.DUMMYFUNCTION("""COMPUTED_VALUE"""),"13117")</f>
        <v>13117</v>
      </c>
      <c r="C7676" t="str">
        <f>IFERROR(__xludf.DUMMYFUNCTION("""COMPUTED_VALUE"""),"Autohak")</f>
        <v>Autohak</v>
      </c>
    </row>
    <row r="7677">
      <c r="A7677" t="str">
        <f>IFERROR(__xludf.DUMMYFUNCTION("""COMPUTED_VALUE"""),"R37A")</f>
        <v>R37A</v>
      </c>
      <c r="B7677" s="226" t="str">
        <f>IFERROR(__xludf.DUMMYFUNCTION("""COMPUTED_VALUE"""),"16118")</f>
        <v>16118</v>
      </c>
      <c r="C7677" t="str">
        <f>IFERROR(__xludf.DUMMYFUNCTION("""COMPUTED_VALUE"""),"Autohak")</f>
        <v>Autohak</v>
      </c>
    </row>
    <row r="7678">
      <c r="A7678" t="str">
        <f>IFERROR(__xludf.DUMMYFUNCTION("""COMPUTED_VALUE"""),"R43")</f>
        <v>R43</v>
      </c>
      <c r="B7678" s="226" t="str">
        <f>IFERROR(__xludf.DUMMYFUNCTION("""COMPUTED_VALUE"""),"13391")</f>
        <v>13391</v>
      </c>
      <c r="C7678" t="str">
        <f>IFERROR(__xludf.DUMMYFUNCTION("""COMPUTED_VALUE"""),"Autohak")</f>
        <v>Autohak</v>
      </c>
    </row>
    <row r="7679">
      <c r="A7679" t="str">
        <f>IFERROR(__xludf.DUMMYFUNCTION("""COMPUTED_VALUE"""),"R43A")</f>
        <v>R43A</v>
      </c>
      <c r="B7679" s="226" t="str">
        <f>IFERROR(__xludf.DUMMYFUNCTION("""COMPUTED_VALUE"""),"16392")</f>
        <v>16392</v>
      </c>
      <c r="C7679" t="str">
        <f>IFERROR(__xludf.DUMMYFUNCTION("""COMPUTED_VALUE"""),"Autohak")</f>
        <v>Autohak</v>
      </c>
    </row>
    <row r="7680">
      <c r="A7680" t="str">
        <f>IFERROR(__xludf.DUMMYFUNCTION("""COMPUTED_VALUE"""),"R11")</f>
        <v>R11</v>
      </c>
      <c r="B7680" s="226" t="str">
        <f>IFERROR(__xludf.DUMMYFUNCTION("""COMPUTED_VALUE"""),"13148")</f>
        <v>13148</v>
      </c>
      <c r="C7680" t="str">
        <f>IFERROR(__xludf.DUMMYFUNCTION("""COMPUTED_VALUE"""),"Autohak")</f>
        <v>Autohak</v>
      </c>
    </row>
    <row r="7681">
      <c r="A7681" t="str">
        <f>IFERROR(__xludf.DUMMYFUNCTION("""COMPUTED_VALUE"""),"R11A")</f>
        <v>R11A</v>
      </c>
      <c r="B7681" s="226" t="str">
        <f>IFERROR(__xludf.DUMMYFUNCTION("""COMPUTED_VALUE"""),"16149")</f>
        <v>16149</v>
      </c>
      <c r="C7681" t="str">
        <f>IFERROR(__xludf.DUMMYFUNCTION("""COMPUTED_VALUE"""),"Autohak")</f>
        <v>Autohak</v>
      </c>
    </row>
    <row r="7682">
      <c r="A7682" t="str">
        <f>IFERROR(__xludf.DUMMYFUNCTION("""COMPUTED_VALUE"""),"R12")</f>
        <v>R12</v>
      </c>
      <c r="B7682" s="226" t="str">
        <f>IFERROR(__xludf.DUMMYFUNCTION("""COMPUTED_VALUE"""),"13155")</f>
        <v>13155</v>
      </c>
      <c r="C7682" t="str">
        <f>IFERROR(__xludf.DUMMYFUNCTION("""COMPUTED_VALUE"""),"Autohak")</f>
        <v>Autohak</v>
      </c>
    </row>
    <row r="7683">
      <c r="A7683" t="str">
        <f>IFERROR(__xludf.DUMMYFUNCTION("""COMPUTED_VALUE"""),"R12A")</f>
        <v>R12A</v>
      </c>
      <c r="B7683" s="226" t="str">
        <f>IFERROR(__xludf.DUMMYFUNCTION("""COMPUTED_VALUE"""),"16156")</f>
        <v>16156</v>
      </c>
      <c r="C7683" t="str">
        <f>IFERROR(__xludf.DUMMYFUNCTION("""COMPUTED_VALUE"""),"Autohak")</f>
        <v>Autohak</v>
      </c>
    </row>
    <row r="7684">
      <c r="A7684" t="str">
        <f>IFERROR(__xludf.DUMMYFUNCTION("""COMPUTED_VALUE"""),"R26")</f>
        <v>R26</v>
      </c>
      <c r="B7684" s="226" t="str">
        <f>IFERROR(__xludf.DUMMYFUNCTION("""COMPUTED_VALUE"""),"13162")</f>
        <v>13162</v>
      </c>
      <c r="C7684" t="str">
        <f>IFERROR(__xludf.DUMMYFUNCTION("""COMPUTED_VALUE"""),"Autohak")</f>
        <v>Autohak</v>
      </c>
    </row>
    <row r="7685">
      <c r="A7685" t="str">
        <f>IFERROR(__xludf.DUMMYFUNCTION("""COMPUTED_VALUE"""),"R26A")</f>
        <v>R26A</v>
      </c>
      <c r="B7685" s="226" t="str">
        <f>IFERROR(__xludf.DUMMYFUNCTION("""COMPUTED_VALUE"""),"16163")</f>
        <v>16163</v>
      </c>
      <c r="C7685" t="str">
        <f>IFERROR(__xludf.DUMMYFUNCTION("""COMPUTED_VALUE"""),"Autohak")</f>
        <v>Autohak</v>
      </c>
    </row>
    <row r="7686">
      <c r="A7686" t="str">
        <f>IFERROR(__xludf.DUMMYFUNCTION("""COMPUTED_VALUE"""),"R36")</f>
        <v>R36</v>
      </c>
      <c r="B7686" s="226" t="str">
        <f>IFERROR(__xludf.DUMMYFUNCTION("""COMPUTED_VALUE"""),"13179")</f>
        <v>13179</v>
      </c>
      <c r="C7686" t="str">
        <f>IFERROR(__xludf.DUMMYFUNCTION("""COMPUTED_VALUE"""),"Autohak")</f>
        <v>Autohak</v>
      </c>
    </row>
    <row r="7687">
      <c r="A7687" t="str">
        <f>IFERROR(__xludf.DUMMYFUNCTION("""COMPUTED_VALUE"""),"R36A")</f>
        <v>R36A</v>
      </c>
      <c r="B7687" s="226" t="str">
        <f>IFERROR(__xludf.DUMMYFUNCTION("""COMPUTED_VALUE"""),"16170")</f>
        <v>16170</v>
      </c>
      <c r="C7687" t="str">
        <f>IFERROR(__xludf.DUMMYFUNCTION("""COMPUTED_VALUE"""),"Autohak")</f>
        <v>Autohak</v>
      </c>
    </row>
    <row r="7688">
      <c r="A7688" t="str">
        <f>IFERROR(__xludf.DUMMYFUNCTION("""COMPUTED_VALUE"""),"R15")</f>
        <v>R15</v>
      </c>
      <c r="B7688" s="226" t="str">
        <f>IFERROR(__xludf.DUMMYFUNCTION("""COMPUTED_VALUE"""),"13186")</f>
        <v>13186</v>
      </c>
      <c r="C7688" t="str">
        <f>IFERROR(__xludf.DUMMYFUNCTION("""COMPUTED_VALUE"""),"Autohak")</f>
        <v>Autohak</v>
      </c>
    </row>
    <row r="7689">
      <c r="A7689" t="str">
        <f>IFERROR(__xludf.DUMMYFUNCTION("""COMPUTED_VALUE"""),"R15A")</f>
        <v>R15A</v>
      </c>
      <c r="B7689" s="226" t="str">
        <f>IFERROR(__xludf.DUMMYFUNCTION("""COMPUTED_VALUE"""),"16187")</f>
        <v>16187</v>
      </c>
      <c r="C7689" t="str">
        <f>IFERROR(__xludf.DUMMYFUNCTION("""COMPUTED_VALUE"""),"Autohak")</f>
        <v>Autohak</v>
      </c>
    </row>
    <row r="7690">
      <c r="A7690" t="str">
        <f>IFERROR(__xludf.DUMMYFUNCTION("""COMPUTED_VALUE"""),"R31")</f>
        <v>R31</v>
      </c>
      <c r="B7690" s="226" t="str">
        <f>IFERROR(__xludf.DUMMYFUNCTION("""COMPUTED_VALUE"""),"13193")</f>
        <v>13193</v>
      </c>
      <c r="C7690" t="str">
        <f>IFERROR(__xludf.DUMMYFUNCTION("""COMPUTED_VALUE"""),"Autohak")</f>
        <v>Autohak</v>
      </c>
    </row>
    <row r="7691">
      <c r="A7691" t="str">
        <f>IFERROR(__xludf.DUMMYFUNCTION("""COMPUTED_VALUE"""),"R31A")</f>
        <v>R31A</v>
      </c>
      <c r="B7691" s="226" t="str">
        <f>IFERROR(__xludf.DUMMYFUNCTION("""COMPUTED_VALUE"""),"16194")</f>
        <v>16194</v>
      </c>
      <c r="C7691" t="str">
        <f>IFERROR(__xludf.DUMMYFUNCTION("""COMPUTED_VALUE"""),"Autohak")</f>
        <v>Autohak</v>
      </c>
    </row>
    <row r="7692">
      <c r="A7692" t="str">
        <f>IFERROR(__xludf.DUMMYFUNCTION("""COMPUTED_VALUE"""),"R34")</f>
        <v>R34</v>
      </c>
      <c r="B7692" s="226" t="str">
        <f>IFERROR(__xludf.DUMMYFUNCTION("""COMPUTED_VALUE"""),"13209")</f>
        <v>13209</v>
      </c>
      <c r="C7692" t="str">
        <f>IFERROR(__xludf.DUMMYFUNCTION("""COMPUTED_VALUE"""),"Autohak")</f>
        <v>Autohak</v>
      </c>
    </row>
    <row r="7693">
      <c r="A7693" t="str">
        <f>IFERROR(__xludf.DUMMYFUNCTION("""COMPUTED_VALUE"""),"R34A")</f>
        <v>R34A</v>
      </c>
      <c r="B7693" s="226" t="str">
        <f>IFERROR(__xludf.DUMMYFUNCTION("""COMPUTED_VALUE"""),"16200")</f>
        <v>16200</v>
      </c>
      <c r="C7693" t="str">
        <f>IFERROR(__xludf.DUMMYFUNCTION("""COMPUTED_VALUE"""),"Autohak")</f>
        <v>Autohak</v>
      </c>
    </row>
    <row r="7694">
      <c r="A7694" t="str">
        <f>IFERROR(__xludf.DUMMYFUNCTION("""COMPUTED_VALUE"""),"RX34")</f>
        <v>RX34</v>
      </c>
      <c r="B7694" s="226" t="str">
        <f>IFERROR(__xludf.DUMMYFUNCTION("""COMPUTED_VALUE"""),"131490")</f>
        <v>131490</v>
      </c>
      <c r="C7694" t="str">
        <f>IFERROR(__xludf.DUMMYFUNCTION("""COMPUTED_VALUE"""),"Autohak")</f>
        <v>Autohak</v>
      </c>
    </row>
    <row r="7695">
      <c r="A7695" t="str">
        <f>IFERROR(__xludf.DUMMYFUNCTION("""COMPUTED_VALUE"""),"RX34A")</f>
        <v>RX34A</v>
      </c>
      <c r="B7695" s="226" t="str">
        <f>IFERROR(__xludf.DUMMYFUNCTION("""COMPUTED_VALUE"""),"16484")</f>
        <v>16484</v>
      </c>
      <c r="C7695" t="str">
        <f>IFERROR(__xludf.DUMMYFUNCTION("""COMPUTED_VALUE"""),"Autohak")</f>
        <v>Autohak</v>
      </c>
    </row>
    <row r="7696">
      <c r="A7696" t="str">
        <f>IFERROR(__xludf.DUMMYFUNCTION("""COMPUTED_VALUE"""),"R51")</f>
        <v>R51</v>
      </c>
      <c r="B7696" s="226" t="str">
        <f>IFERROR(__xludf.DUMMYFUNCTION("""COMPUTED_VALUE"""),"13476")</f>
        <v>13476</v>
      </c>
      <c r="C7696" t="str">
        <f>IFERROR(__xludf.DUMMYFUNCTION("""COMPUTED_VALUE"""),"Autohak")</f>
        <v>Autohak</v>
      </c>
    </row>
    <row r="7697">
      <c r="A7697" t="str">
        <f>IFERROR(__xludf.DUMMYFUNCTION("""COMPUTED_VALUE"""),"R51A")</f>
        <v>R51A</v>
      </c>
      <c r="B7697" s="226" t="str">
        <f>IFERROR(__xludf.DUMMYFUNCTION("""COMPUTED_VALUE"""),"16460")</f>
        <v>16460</v>
      </c>
      <c r="C7697" t="str">
        <f>IFERROR(__xludf.DUMMYFUNCTION("""COMPUTED_VALUE"""),"Autohak")</f>
        <v>Autohak</v>
      </c>
    </row>
    <row r="7698">
      <c r="A7698" t="str">
        <f>IFERROR(__xludf.DUMMYFUNCTION("""COMPUTED_VALUE"""),"R51V")</f>
        <v>R51V</v>
      </c>
      <c r="B7698" s="226" t="str">
        <f>IFERROR(__xludf.DUMMYFUNCTION("""COMPUTED_VALUE"""),"16972")</f>
        <v>16972</v>
      </c>
      <c r="C7698" t="str">
        <f>IFERROR(__xludf.DUMMYFUNCTION("""COMPUTED_VALUE"""),"Autohak")</f>
        <v>Autohak</v>
      </c>
    </row>
    <row r="7699">
      <c r="A7699" t="str">
        <f>IFERROR(__xludf.DUMMYFUNCTION("""COMPUTED_VALUE"""),"R07")</f>
        <v>R07</v>
      </c>
      <c r="B7699" s="226" t="str">
        <f>IFERROR(__xludf.DUMMYFUNCTION("""COMPUTED_VALUE"""),"13216")</f>
        <v>13216</v>
      </c>
      <c r="C7699" t="str">
        <f>IFERROR(__xludf.DUMMYFUNCTION("""COMPUTED_VALUE"""),"Autohak")</f>
        <v>Autohak</v>
      </c>
    </row>
    <row r="7700">
      <c r="A7700" t="str">
        <f>IFERROR(__xludf.DUMMYFUNCTION("""COMPUTED_VALUE"""),"R07A")</f>
        <v>R07A</v>
      </c>
      <c r="B7700" s="226" t="str">
        <f>IFERROR(__xludf.DUMMYFUNCTION("""COMPUTED_VALUE"""),"16217")</f>
        <v>16217</v>
      </c>
      <c r="C7700" t="str">
        <f>IFERROR(__xludf.DUMMYFUNCTION("""COMPUTED_VALUE"""),"Autohak")</f>
        <v>Autohak</v>
      </c>
    </row>
    <row r="7701">
      <c r="A7701" t="str">
        <f>IFERROR(__xludf.DUMMYFUNCTION("""COMPUTED_VALUE"""),"R25")</f>
        <v>R25</v>
      </c>
      <c r="B7701" s="226" t="str">
        <f>IFERROR(__xludf.DUMMYFUNCTION("""COMPUTED_VALUE"""),"13223")</f>
        <v>13223</v>
      </c>
      <c r="C7701" t="str">
        <f>IFERROR(__xludf.DUMMYFUNCTION("""COMPUTED_VALUE"""),"Autohak")</f>
        <v>Autohak</v>
      </c>
    </row>
    <row r="7702">
      <c r="A7702" t="str">
        <f>IFERROR(__xludf.DUMMYFUNCTION("""COMPUTED_VALUE"""),"R25A")</f>
        <v>R25A</v>
      </c>
      <c r="B7702" s="226" t="str">
        <f>IFERROR(__xludf.DUMMYFUNCTION("""COMPUTED_VALUE"""),"16224")</f>
        <v>16224</v>
      </c>
      <c r="C7702" t="str">
        <f>IFERROR(__xludf.DUMMYFUNCTION("""COMPUTED_VALUE"""),"Autohak")</f>
        <v>Autohak</v>
      </c>
    </row>
    <row r="7703">
      <c r="A7703" t="str">
        <f>IFERROR(__xludf.DUMMYFUNCTION("""COMPUTED_VALUE"""),"R38")</f>
        <v>R38</v>
      </c>
      <c r="B7703" s="226" t="str">
        <f>IFERROR(__xludf.DUMMYFUNCTION("""COMPUTED_VALUE"""),"13346")</f>
        <v>13346</v>
      </c>
      <c r="C7703" t="str">
        <f>IFERROR(__xludf.DUMMYFUNCTION("""COMPUTED_VALUE"""),"Autohak")</f>
        <v>Autohak</v>
      </c>
    </row>
    <row r="7704">
      <c r="A7704" t="str">
        <f>IFERROR(__xludf.DUMMYFUNCTION("""COMPUTED_VALUE"""),"R38A")</f>
        <v>R38A</v>
      </c>
      <c r="B7704" s="226" t="str">
        <f>IFERROR(__xludf.DUMMYFUNCTION("""COMPUTED_VALUE"""),"16347")</f>
        <v>16347</v>
      </c>
      <c r="C7704" t="str">
        <f>IFERROR(__xludf.DUMMYFUNCTION("""COMPUTED_VALUE"""),"Autohak")</f>
        <v>Autohak</v>
      </c>
    </row>
    <row r="7705">
      <c r="A7705" t="str">
        <f>IFERROR(__xludf.DUMMYFUNCTION("""COMPUTED_VALUE"""),"R38V")</f>
        <v>R38V</v>
      </c>
      <c r="B7705" s="226" t="str">
        <f>IFERROR(__xludf.DUMMYFUNCTION("""COMPUTED_VALUE"""),"16958")</f>
        <v>16958</v>
      </c>
      <c r="C7705" t="str">
        <f>IFERROR(__xludf.DUMMYFUNCTION("""COMPUTED_VALUE"""),"Autohak")</f>
        <v>Autohak</v>
      </c>
    </row>
    <row r="7706">
      <c r="A7706" t="str">
        <f>IFERROR(__xludf.DUMMYFUNCTION("""COMPUTED_VALUE"""),"R38")</f>
        <v>R38</v>
      </c>
      <c r="B7706" s="226" t="str">
        <f>IFERROR(__xludf.DUMMYFUNCTION("""COMPUTED_VALUE"""),"13346")</f>
        <v>13346</v>
      </c>
      <c r="C7706" t="str">
        <f>IFERROR(__xludf.DUMMYFUNCTION("""COMPUTED_VALUE"""),"Autohak")</f>
        <v>Autohak</v>
      </c>
    </row>
    <row r="7707">
      <c r="A7707" t="str">
        <f>IFERROR(__xludf.DUMMYFUNCTION("""COMPUTED_VALUE"""),"R38A")</f>
        <v>R38A</v>
      </c>
      <c r="B7707" s="226" t="str">
        <f>IFERROR(__xludf.DUMMYFUNCTION("""COMPUTED_VALUE"""),"16347")</f>
        <v>16347</v>
      </c>
      <c r="C7707" t="str">
        <f>IFERROR(__xludf.DUMMYFUNCTION("""COMPUTED_VALUE"""),"Autohak")</f>
        <v>Autohak</v>
      </c>
    </row>
    <row r="7708">
      <c r="A7708" t="str">
        <f>IFERROR(__xludf.DUMMYFUNCTION("""COMPUTED_VALUE"""),"R38V")</f>
        <v>R38V</v>
      </c>
      <c r="B7708" s="226" t="str">
        <f>IFERROR(__xludf.DUMMYFUNCTION("""COMPUTED_VALUE"""),"16958")</f>
        <v>16958</v>
      </c>
      <c r="C7708" t="str">
        <f>IFERROR(__xludf.DUMMYFUNCTION("""COMPUTED_VALUE"""),"Autohak")</f>
        <v>Autohak</v>
      </c>
    </row>
    <row r="7709">
      <c r="A7709" t="str">
        <f>IFERROR(__xludf.DUMMYFUNCTION("""COMPUTED_VALUE"""),"R38")</f>
        <v>R38</v>
      </c>
      <c r="B7709" s="226" t="str">
        <f>IFERROR(__xludf.DUMMYFUNCTION("""COMPUTED_VALUE"""),"13346")</f>
        <v>13346</v>
      </c>
      <c r="C7709" t="str">
        <f>IFERROR(__xludf.DUMMYFUNCTION("""COMPUTED_VALUE"""),"Autohak")</f>
        <v>Autohak</v>
      </c>
    </row>
    <row r="7710">
      <c r="A7710" t="str">
        <f>IFERROR(__xludf.DUMMYFUNCTION("""COMPUTED_VALUE"""),"R38A")</f>
        <v>R38A</v>
      </c>
      <c r="B7710" s="226" t="str">
        <f>IFERROR(__xludf.DUMMYFUNCTION("""COMPUTED_VALUE"""),"16347")</f>
        <v>16347</v>
      </c>
      <c r="C7710" t="str">
        <f>IFERROR(__xludf.DUMMYFUNCTION("""COMPUTED_VALUE"""),"Autohak")</f>
        <v>Autohak</v>
      </c>
    </row>
    <row r="7711">
      <c r="A7711" t="str">
        <f>IFERROR(__xludf.DUMMYFUNCTION("""COMPUTED_VALUE"""),"R38V")</f>
        <v>R38V</v>
      </c>
      <c r="B7711" s="226" t="str">
        <f>IFERROR(__xludf.DUMMYFUNCTION("""COMPUTED_VALUE"""),"16958")</f>
        <v>16958</v>
      </c>
      <c r="C7711" t="str">
        <f>IFERROR(__xludf.DUMMYFUNCTION("""COMPUTED_VALUE"""),"Autohak")</f>
        <v>Autohak</v>
      </c>
    </row>
    <row r="7712">
      <c r="A7712" t="str">
        <f>IFERROR(__xludf.DUMMYFUNCTION("""COMPUTED_VALUE"""),"W25")</f>
        <v>W25</v>
      </c>
      <c r="B7712" s="226" t="str">
        <f>IFERROR(__xludf.DUMMYFUNCTION("""COMPUTED_VALUE"""),"61194")</f>
        <v>61194</v>
      </c>
      <c r="C7712" t="str">
        <f>IFERROR(__xludf.DUMMYFUNCTION("""COMPUTED_VALUE"""),"Autohak")</f>
        <v>Autohak</v>
      </c>
    </row>
    <row r="7713">
      <c r="A7713" t="str">
        <f>IFERROR(__xludf.DUMMYFUNCTION("""COMPUTED_VALUE"""),"W25A")</f>
        <v>W25A</v>
      </c>
      <c r="B7713" s="226" t="str">
        <f>IFERROR(__xludf.DUMMYFUNCTION("""COMPUTED_VALUE"""),"62191")</f>
        <v>62191</v>
      </c>
      <c r="C7713" t="str">
        <f>IFERROR(__xludf.DUMMYFUNCTION("""COMPUTED_VALUE"""),"Autohak")</f>
        <v>Autohak</v>
      </c>
    </row>
    <row r="7714">
      <c r="A7714" t="str">
        <f>IFERROR(__xludf.DUMMYFUNCTION("""COMPUTED_VALUE"""),"W25V")</f>
        <v>W25V</v>
      </c>
      <c r="B7714" s="226" t="str">
        <f>IFERROR(__xludf.DUMMYFUNCTION("""COMPUTED_VALUE"""),"62979")</f>
        <v>62979</v>
      </c>
      <c r="C7714" t="str">
        <f>IFERROR(__xludf.DUMMYFUNCTION("""COMPUTED_VALUE"""),"Autohak")</f>
        <v>Autohak</v>
      </c>
    </row>
    <row r="7715">
      <c r="A7715" t="str">
        <f>IFERROR(__xludf.DUMMYFUNCTION("""COMPUTED_VALUE"""),"W26")</f>
        <v>W26</v>
      </c>
      <c r="B7715" s="226" t="str">
        <f>IFERROR(__xludf.DUMMYFUNCTION("""COMPUTED_VALUE"""),"61200")</f>
        <v>61200</v>
      </c>
      <c r="C7715" t="str">
        <f>IFERROR(__xludf.DUMMYFUNCTION("""COMPUTED_VALUE"""),"Autohak")</f>
        <v>Autohak</v>
      </c>
    </row>
    <row r="7716">
      <c r="A7716" t="str">
        <f>IFERROR(__xludf.DUMMYFUNCTION("""COMPUTED_VALUE"""),"W26A")</f>
        <v>W26A</v>
      </c>
      <c r="B7716" s="226" t="str">
        <f>IFERROR(__xludf.DUMMYFUNCTION("""COMPUTED_VALUE"""),"62207")</f>
        <v>62207</v>
      </c>
      <c r="C7716" t="str">
        <f>IFERROR(__xludf.DUMMYFUNCTION("""COMPUTED_VALUE"""),"Autohak")</f>
        <v>Autohak</v>
      </c>
    </row>
    <row r="7717">
      <c r="A7717" t="str">
        <f>IFERROR(__xludf.DUMMYFUNCTION("""COMPUTED_VALUE"""),"W26V")</f>
        <v>W26V</v>
      </c>
      <c r="B7717" s="226" t="str">
        <f>IFERROR(__xludf.DUMMYFUNCTION("""COMPUTED_VALUE"""),"62962")</f>
        <v>62962</v>
      </c>
      <c r="C7717" t="str">
        <f>IFERROR(__xludf.DUMMYFUNCTION("""COMPUTED_VALUE"""),"Autohak")</f>
        <v>Autohak</v>
      </c>
    </row>
    <row r="7718">
      <c r="A7718" t="str">
        <f>IFERROR(__xludf.DUMMYFUNCTION("""COMPUTED_VALUE"""),"R17")</f>
        <v>R17</v>
      </c>
      <c r="B7718" s="226" t="str">
        <f>IFERROR(__xludf.DUMMYFUNCTION("""COMPUTED_VALUE"""),"13230")</f>
        <v>13230</v>
      </c>
      <c r="C7718" t="str">
        <f>IFERROR(__xludf.DUMMYFUNCTION("""COMPUTED_VALUE"""),"Autohak")</f>
        <v>Autohak</v>
      </c>
    </row>
    <row r="7719">
      <c r="A7719" t="str">
        <f>IFERROR(__xludf.DUMMYFUNCTION("""COMPUTED_VALUE"""),"R17A")</f>
        <v>R17A</v>
      </c>
      <c r="B7719" s="226" t="str">
        <f>IFERROR(__xludf.DUMMYFUNCTION("""COMPUTED_VALUE"""),"16231")</f>
        <v>16231</v>
      </c>
      <c r="C7719" t="str">
        <f>IFERROR(__xludf.DUMMYFUNCTION("""COMPUTED_VALUE"""),"Autohak")</f>
        <v>Autohak</v>
      </c>
    </row>
    <row r="7720">
      <c r="A7720" t="str">
        <f>IFERROR(__xludf.DUMMYFUNCTION("""COMPUTED_VALUE"""),"R40")</f>
        <v>R40</v>
      </c>
      <c r="B7720" s="226" t="str">
        <f>IFERROR(__xludf.DUMMYFUNCTION("""COMPUTED_VALUE"""),"13360")</f>
        <v>13360</v>
      </c>
      <c r="C7720" t="str">
        <f>IFERROR(__xludf.DUMMYFUNCTION("""COMPUTED_VALUE"""),"Autohak")</f>
        <v>Autohak</v>
      </c>
    </row>
    <row r="7721">
      <c r="A7721" t="str">
        <f>IFERROR(__xludf.DUMMYFUNCTION("""COMPUTED_VALUE"""),"R40A")</f>
        <v>R40A</v>
      </c>
      <c r="B7721" s="226" t="str">
        <f>IFERROR(__xludf.DUMMYFUNCTION("""COMPUTED_VALUE"""),"16361")</f>
        <v>16361</v>
      </c>
      <c r="C7721" t="str">
        <f>IFERROR(__xludf.DUMMYFUNCTION("""COMPUTED_VALUE"""),"Autohak")</f>
        <v>Autohak</v>
      </c>
    </row>
    <row r="7722">
      <c r="A7722" t="str">
        <f>IFERROR(__xludf.DUMMYFUNCTION("""COMPUTED_VALUE"""),"S08")</f>
        <v>S08</v>
      </c>
      <c r="B7722" s="226" t="str">
        <f>IFERROR(__xludf.DUMMYFUNCTION("""COMPUTED_VALUE"""),"13247")</f>
        <v>13247</v>
      </c>
      <c r="C7722" t="str">
        <f>IFERROR(__xludf.DUMMYFUNCTION("""COMPUTED_VALUE"""),"Autohak")</f>
        <v>Autohak</v>
      </c>
    </row>
    <row r="7723">
      <c r="A7723" t="str">
        <f>IFERROR(__xludf.DUMMYFUNCTION("""COMPUTED_VALUE"""),"S008")</f>
        <v>S008</v>
      </c>
      <c r="B7723" s="226" t="str">
        <f>IFERROR(__xludf.DUMMYFUNCTION("""COMPUTED_VALUE"""),"13254")</f>
        <v>13254</v>
      </c>
      <c r="C7723" t="str">
        <f>IFERROR(__xludf.DUMMYFUNCTION("""COMPUTED_VALUE"""),"Autohak")</f>
        <v>Autohak</v>
      </c>
    </row>
    <row r="7724">
      <c r="A7724" t="str">
        <f>IFERROR(__xludf.DUMMYFUNCTION("""COMPUTED_VALUE"""),"R14")</f>
        <v>R14</v>
      </c>
      <c r="B7724" s="226" t="str">
        <f>IFERROR(__xludf.DUMMYFUNCTION("""COMPUTED_VALUE"""),"13261")</f>
        <v>13261</v>
      </c>
      <c r="C7724" t="str">
        <f>IFERROR(__xludf.DUMMYFUNCTION("""COMPUTED_VALUE"""),"Autohak")</f>
        <v>Autohak</v>
      </c>
    </row>
    <row r="7725">
      <c r="A7725" t="str">
        <f>IFERROR(__xludf.DUMMYFUNCTION("""COMPUTED_VALUE"""),"R14A")</f>
        <v>R14A</v>
      </c>
      <c r="B7725" s="226" t="str">
        <f>IFERROR(__xludf.DUMMYFUNCTION("""COMPUTED_VALUE"""),"16262")</f>
        <v>16262</v>
      </c>
      <c r="C7725" t="str">
        <f>IFERROR(__xludf.DUMMYFUNCTION("""COMPUTED_VALUE"""),"Autohak")</f>
        <v>Autohak</v>
      </c>
    </row>
    <row r="7726">
      <c r="A7726" t="str">
        <f>IFERROR(__xludf.DUMMYFUNCTION("""COMPUTED_VALUE"""),"R30")</f>
        <v>R30</v>
      </c>
      <c r="B7726" s="226" t="str">
        <f>IFERROR(__xludf.DUMMYFUNCTION("""COMPUTED_VALUE"""),"13278")</f>
        <v>13278</v>
      </c>
      <c r="C7726" t="str">
        <f>IFERROR(__xludf.DUMMYFUNCTION("""COMPUTED_VALUE"""),"Autohak")</f>
        <v>Autohak</v>
      </c>
    </row>
    <row r="7727">
      <c r="A7727" t="str">
        <f>IFERROR(__xludf.DUMMYFUNCTION("""COMPUTED_VALUE"""),"R30A")</f>
        <v>R30A</v>
      </c>
      <c r="B7727" s="226" t="str">
        <f>IFERROR(__xludf.DUMMYFUNCTION("""COMPUTED_VALUE"""),"16279")</f>
        <v>16279</v>
      </c>
      <c r="C7727" t="str">
        <f>IFERROR(__xludf.DUMMYFUNCTION("""COMPUTED_VALUE"""),"Autohak")</f>
        <v>Autohak</v>
      </c>
    </row>
    <row r="7728">
      <c r="A7728" t="str">
        <f>IFERROR(__xludf.DUMMYFUNCTION("""COMPUTED_VALUE"""),"R33")</f>
        <v>R33</v>
      </c>
      <c r="B7728" s="226" t="str">
        <f>IFERROR(__xludf.DUMMYFUNCTION("""COMPUTED_VALUE"""),"13285")</f>
        <v>13285</v>
      </c>
      <c r="C7728" t="str">
        <f>IFERROR(__xludf.DUMMYFUNCTION("""COMPUTED_VALUE"""),"Autohak")</f>
        <v>Autohak</v>
      </c>
    </row>
    <row r="7729">
      <c r="A7729" t="str">
        <f>IFERROR(__xludf.DUMMYFUNCTION("""COMPUTED_VALUE"""),"R33A")</f>
        <v>R33A</v>
      </c>
      <c r="B7729" s="226" t="str">
        <f>IFERROR(__xludf.DUMMYFUNCTION("""COMPUTED_VALUE"""),"16286")</f>
        <v>16286</v>
      </c>
      <c r="C7729" t="str">
        <f>IFERROR(__xludf.DUMMYFUNCTION("""COMPUTED_VALUE"""),"Autohak")</f>
        <v>Autohak</v>
      </c>
    </row>
    <row r="7730">
      <c r="A7730" t="str">
        <f>IFERROR(__xludf.DUMMYFUNCTION("""COMPUTED_VALUE"""),"R52")</f>
        <v>R52</v>
      </c>
      <c r="B7730" s="226" t="str">
        <f>IFERROR(__xludf.DUMMYFUNCTION("""COMPUTED_VALUE"""),"13483")</f>
        <v>13483</v>
      </c>
      <c r="C7730" t="str">
        <f>IFERROR(__xludf.DUMMYFUNCTION("""COMPUTED_VALUE"""),"Autohak")</f>
        <v>Autohak</v>
      </c>
    </row>
    <row r="7731">
      <c r="A7731" t="str">
        <f>IFERROR(__xludf.DUMMYFUNCTION("""COMPUTED_VALUE"""),"R52A")</f>
        <v>R52A</v>
      </c>
      <c r="B7731" s="226" t="str">
        <f>IFERROR(__xludf.DUMMYFUNCTION("""COMPUTED_VALUE"""),"16477")</f>
        <v>16477</v>
      </c>
      <c r="C7731" t="str">
        <f>IFERROR(__xludf.DUMMYFUNCTION("""COMPUTED_VALUE"""),"Autohak")</f>
        <v>Autohak</v>
      </c>
    </row>
    <row r="7732">
      <c r="A7732" t="str">
        <f>IFERROR(__xludf.DUMMYFUNCTION("""COMPUTED_VALUE"""),"G83")</f>
        <v>G83</v>
      </c>
      <c r="B7732" s="226" t="str">
        <f>IFERROR(__xludf.DUMMYFUNCTION("""COMPUTED_VALUE"""),"49673")</f>
        <v>49673</v>
      </c>
      <c r="C7732" t="str">
        <f>IFERROR(__xludf.DUMMYFUNCTION("""COMPUTED_VALUE"""),"Autohak")</f>
        <v>Autohak</v>
      </c>
    </row>
    <row r="7733">
      <c r="A7733" t="str">
        <f>IFERROR(__xludf.DUMMYFUNCTION("""COMPUTED_VALUE"""),"G83A")</f>
        <v>G83A</v>
      </c>
      <c r="B7733" s="226" t="str">
        <f>IFERROR(__xludf.DUMMYFUNCTION("""COMPUTED_VALUE"""),"52642")</f>
        <v>52642</v>
      </c>
      <c r="C7733" t="str">
        <f>IFERROR(__xludf.DUMMYFUNCTION("""COMPUTED_VALUE"""),"Autohak")</f>
        <v>Autohak</v>
      </c>
    </row>
    <row r="7734">
      <c r="A7734" t="str">
        <f>IFERROR(__xludf.DUMMYFUNCTION("""COMPUTED_VALUE"""),"G83V")</f>
        <v>G83V</v>
      </c>
      <c r="B7734" s="226" t="str">
        <f>IFERROR(__xludf.DUMMYFUNCTION("""COMPUTED_VALUE"""),"52772")</f>
        <v>52772</v>
      </c>
      <c r="C7734" t="str">
        <f>IFERROR(__xludf.DUMMYFUNCTION("""COMPUTED_VALUE"""),"Autohak")</f>
        <v>Autohak</v>
      </c>
    </row>
    <row r="7735">
      <c r="A7735" t="str">
        <f>IFERROR(__xludf.DUMMYFUNCTION("""COMPUTED_VALUE"""),"R03")</f>
        <v>R03</v>
      </c>
      <c r="B7735" s="226" t="str">
        <f>IFERROR(__xludf.DUMMYFUNCTION("""COMPUTED_VALUE"""),"13308")</f>
        <v>13308</v>
      </c>
      <c r="C7735" t="str">
        <f>IFERROR(__xludf.DUMMYFUNCTION("""COMPUTED_VALUE"""),"Autohak")</f>
        <v>Autohak</v>
      </c>
    </row>
    <row r="7736">
      <c r="A7736" t="str">
        <f>IFERROR(__xludf.DUMMYFUNCTION("""COMPUTED_VALUE"""),"R57")</f>
        <v>R57</v>
      </c>
      <c r="B7736" s="226" t="str">
        <f>IFERROR(__xludf.DUMMYFUNCTION("""COMPUTED_VALUE"""),"13544")</f>
        <v>13544</v>
      </c>
      <c r="C7736" t="str">
        <f>IFERROR(__xludf.DUMMYFUNCTION("""COMPUTED_VALUE"""),"Autohak")</f>
        <v>Autohak</v>
      </c>
    </row>
    <row r="7737">
      <c r="A7737" t="str">
        <f>IFERROR(__xludf.DUMMYFUNCTION("""COMPUTED_VALUE"""),"R57A")</f>
        <v>R57A</v>
      </c>
      <c r="B7737" s="226" t="str">
        <f>IFERROR(__xludf.DUMMYFUNCTION("""COMPUTED_VALUE"""),"16514")</f>
        <v>16514</v>
      </c>
      <c r="C7737" t="str">
        <f>IFERROR(__xludf.DUMMYFUNCTION("""COMPUTED_VALUE"""),"Autohak")</f>
        <v>Autohak</v>
      </c>
    </row>
    <row r="7738">
      <c r="A7738" t="str">
        <f>IFERROR(__xludf.DUMMYFUNCTION("""COMPUTED_VALUE"""),"R57V")</f>
        <v>R57V</v>
      </c>
      <c r="B7738" s="226" t="str">
        <f>IFERROR(__xludf.DUMMYFUNCTION("""COMPUTED_VALUE"""),"16934")</f>
        <v>16934</v>
      </c>
      <c r="C7738" t="str">
        <f>IFERROR(__xludf.DUMMYFUNCTION("""COMPUTED_VALUE"""),"Autohak")</f>
        <v>Autohak</v>
      </c>
    </row>
    <row r="7739">
      <c r="A7739" t="str">
        <f>IFERROR(__xludf.DUMMYFUNCTION("""COMPUTED_VALUE"""),"R59")</f>
        <v>R59</v>
      </c>
      <c r="B7739" s="226" t="str">
        <f>IFERROR(__xludf.DUMMYFUNCTION("""COMPUTED_VALUE"""),"13568")</f>
        <v>13568</v>
      </c>
      <c r="C7739" t="str">
        <f>IFERROR(__xludf.DUMMYFUNCTION("""COMPUTED_VALUE"""),"Autohak")</f>
        <v>Autohak</v>
      </c>
    </row>
    <row r="7740">
      <c r="A7740" t="str">
        <f>IFERROR(__xludf.DUMMYFUNCTION("""COMPUTED_VALUE"""),"R59A")</f>
        <v>R59A</v>
      </c>
      <c r="B7740" s="226" t="str">
        <f>IFERROR(__xludf.DUMMYFUNCTION("""COMPUTED_VALUE"""),"16538")</f>
        <v>16538</v>
      </c>
      <c r="C7740" t="str">
        <f>IFERROR(__xludf.DUMMYFUNCTION("""COMPUTED_VALUE"""),"Autohak")</f>
        <v>Autohak</v>
      </c>
    </row>
    <row r="7741">
      <c r="A7741" t="str">
        <f>IFERROR(__xludf.DUMMYFUNCTION("""COMPUTED_VALUE"""),"R59V")</f>
        <v>R59V</v>
      </c>
      <c r="B7741" s="226" t="str">
        <f>IFERROR(__xludf.DUMMYFUNCTION("""COMPUTED_VALUE"""),"16927")</f>
        <v>16927</v>
      </c>
      <c r="C7741" t="str">
        <f>IFERROR(__xludf.DUMMYFUNCTION("""COMPUTED_VALUE"""),"Autohak")</f>
        <v>Autohak</v>
      </c>
    </row>
    <row r="7742">
      <c r="A7742" t="str">
        <f>IFERROR(__xludf.DUMMYFUNCTION("""COMPUTED_VALUE"""),"R62")</f>
        <v>R62</v>
      </c>
      <c r="B7742" s="226" t="str">
        <f>IFERROR(__xludf.DUMMYFUNCTION("""COMPUTED_VALUE"""),"13599")</f>
        <v>13599</v>
      </c>
      <c r="C7742" t="str">
        <f>IFERROR(__xludf.DUMMYFUNCTION("""COMPUTED_VALUE"""),"Autohak")</f>
        <v>Autohak</v>
      </c>
    </row>
    <row r="7743">
      <c r="A7743" t="str">
        <f>IFERROR(__xludf.DUMMYFUNCTION("""COMPUTED_VALUE"""),"R62A")</f>
        <v>R62A</v>
      </c>
      <c r="B7743" s="226" t="str">
        <f>IFERROR(__xludf.DUMMYFUNCTION("""COMPUTED_VALUE"""),"16545")</f>
        <v>16545</v>
      </c>
      <c r="C7743" t="str">
        <f>IFERROR(__xludf.DUMMYFUNCTION("""COMPUTED_VALUE"""),"Autohak")</f>
        <v>Autohak</v>
      </c>
    </row>
    <row r="7744">
      <c r="A7744" t="str">
        <f>IFERROR(__xludf.DUMMYFUNCTION("""COMPUTED_VALUE"""),"R62V")</f>
        <v>R62V</v>
      </c>
      <c r="B7744" s="226" t="str">
        <f>IFERROR(__xludf.DUMMYFUNCTION("""COMPUTED_VALUE"""),"16910")</f>
        <v>16910</v>
      </c>
      <c r="C7744" t="str">
        <f>IFERROR(__xludf.DUMMYFUNCTION("""COMPUTED_VALUE"""),"Autohak")</f>
        <v>Autohak</v>
      </c>
    </row>
    <row r="7745">
      <c r="A7745" t="str">
        <f>IFERROR(__xludf.DUMMYFUNCTION("""COMPUTED_VALUE"""),"R17")</f>
        <v>R17</v>
      </c>
      <c r="B7745" s="226" t="str">
        <f>IFERROR(__xludf.DUMMYFUNCTION("""COMPUTED_VALUE"""),"13230")</f>
        <v>13230</v>
      </c>
      <c r="C7745" t="str">
        <f>IFERROR(__xludf.DUMMYFUNCTION("""COMPUTED_VALUE"""),"Autohak")</f>
        <v>Autohak</v>
      </c>
    </row>
    <row r="7746">
      <c r="A7746" t="str">
        <f>IFERROR(__xludf.DUMMYFUNCTION("""COMPUTED_VALUE"""),"R17A")</f>
        <v>R17A</v>
      </c>
      <c r="B7746" s="226" t="str">
        <f>IFERROR(__xludf.DUMMYFUNCTION("""COMPUTED_VALUE"""),"16231")</f>
        <v>16231</v>
      </c>
      <c r="C7746" t="str">
        <f>IFERROR(__xludf.DUMMYFUNCTION("""COMPUTED_VALUE"""),"Autohak")</f>
        <v>Autohak</v>
      </c>
    </row>
    <row r="7747">
      <c r="A7747" t="str">
        <f>IFERROR(__xludf.DUMMYFUNCTION("""COMPUTED_VALUE"""),"F26")</f>
        <v>F26</v>
      </c>
      <c r="B7747" s="226" t="str">
        <f>IFERROR(__xludf.DUMMYFUNCTION("""COMPUTED_VALUE"""),"44197")</f>
        <v>44197</v>
      </c>
      <c r="C7747" t="str">
        <f>IFERROR(__xludf.DUMMYFUNCTION("""COMPUTED_VALUE"""),"Autohak")</f>
        <v>Autohak</v>
      </c>
    </row>
    <row r="7748">
      <c r="A7748" t="str">
        <f>IFERROR(__xludf.DUMMYFUNCTION("""COMPUTED_VALUE"""),"F26A")</f>
        <v>F26A</v>
      </c>
      <c r="B7748" s="226" t="str">
        <f>IFERROR(__xludf.DUMMYFUNCTION("""COMPUTED_VALUE"""),"46191")</f>
        <v>46191</v>
      </c>
      <c r="C7748" t="str">
        <f>IFERROR(__xludf.DUMMYFUNCTION("""COMPUTED_VALUE"""),"Autohak")</f>
        <v>Autohak</v>
      </c>
    </row>
    <row r="7749">
      <c r="A7749" t="str">
        <f>IFERROR(__xludf.DUMMYFUNCTION("""COMPUTED_VALUE"""),"F26")</f>
        <v>F26</v>
      </c>
      <c r="B7749" s="226" t="str">
        <f>IFERROR(__xludf.DUMMYFUNCTION("""COMPUTED_VALUE"""),"44197")</f>
        <v>44197</v>
      </c>
      <c r="C7749" t="str">
        <f>IFERROR(__xludf.DUMMYFUNCTION("""COMPUTED_VALUE"""),"Autohak")</f>
        <v>Autohak</v>
      </c>
    </row>
    <row r="7750">
      <c r="A7750" t="str">
        <f>IFERROR(__xludf.DUMMYFUNCTION("""COMPUTED_VALUE"""),"F26A")</f>
        <v>F26A</v>
      </c>
      <c r="B7750" s="226" t="str">
        <f>IFERROR(__xludf.DUMMYFUNCTION("""COMPUTED_VALUE"""),"46191")</f>
        <v>46191</v>
      </c>
      <c r="C7750" t="str">
        <f>IFERROR(__xludf.DUMMYFUNCTION("""COMPUTED_VALUE"""),"Autohak")</f>
        <v>Autohak</v>
      </c>
    </row>
    <row r="7751">
      <c r="A7751" t="str">
        <f>IFERROR(__xludf.DUMMYFUNCTION("""COMPUTED_VALUE"""),"R23")</f>
        <v>R23</v>
      </c>
      <c r="B7751" s="226" t="str">
        <f>IFERROR(__xludf.DUMMYFUNCTION("""COMPUTED_VALUE"""),"13339")</f>
        <v>13339</v>
      </c>
      <c r="C7751" t="str">
        <f>IFERROR(__xludf.DUMMYFUNCTION("""COMPUTED_VALUE"""),"Autohak")</f>
        <v>Autohak</v>
      </c>
    </row>
    <row r="7752">
      <c r="A7752" t="str">
        <f>IFERROR(__xludf.DUMMYFUNCTION("""COMPUTED_VALUE"""),"C62")</f>
        <v>C62</v>
      </c>
      <c r="B7752" s="226" t="str">
        <f>IFERROR(__xludf.DUMMYFUNCTION("""COMPUTED_VALUE"""),"17603")</f>
        <v>17603</v>
      </c>
      <c r="C7752" t="str">
        <f>IFERROR(__xludf.DUMMYFUNCTION("""COMPUTED_VALUE"""),"Autohak")</f>
        <v>Autohak</v>
      </c>
    </row>
    <row r="7753">
      <c r="A7753" t="str">
        <f>IFERROR(__xludf.DUMMYFUNCTION("""COMPUTED_VALUE"""),"C62A")</f>
        <v>C62A</v>
      </c>
      <c r="B7753" s="226" t="str">
        <f>IFERROR(__xludf.DUMMYFUNCTION("""COMPUTED_VALUE"""),"19584")</f>
        <v>19584</v>
      </c>
      <c r="C7753" t="str">
        <f>IFERROR(__xludf.DUMMYFUNCTION("""COMPUTED_VALUE"""),"Autohak")</f>
        <v>Autohak</v>
      </c>
    </row>
    <row r="7754">
      <c r="A7754" t="str">
        <f>IFERROR(__xludf.DUMMYFUNCTION("""COMPUTED_VALUE"""),"C62V")</f>
        <v>C62V</v>
      </c>
      <c r="B7754" s="226" t="str">
        <f>IFERROR(__xludf.DUMMYFUNCTION("""COMPUTED_VALUE"""),"19935")</f>
        <v>19935</v>
      </c>
      <c r="C7754" t="str">
        <f>IFERROR(__xludf.DUMMYFUNCTION("""COMPUTED_VALUE"""),"Autohak")</f>
        <v>Autohak</v>
      </c>
    </row>
    <row r="7755">
      <c r="A7755" t="str">
        <f>IFERROR(__xludf.DUMMYFUNCTION("""COMPUTED_VALUE"""),"C44")</f>
        <v>C44</v>
      </c>
      <c r="B7755" s="226" t="str">
        <f>IFERROR(__xludf.DUMMYFUNCTION("""COMPUTED_VALUE"""),"17160")</f>
        <v>17160</v>
      </c>
      <c r="C7755" t="str">
        <f>IFERROR(__xludf.DUMMYFUNCTION("""COMPUTED_VALUE"""),"Autohak")</f>
        <v>Autohak</v>
      </c>
    </row>
    <row r="7756">
      <c r="A7756" t="str">
        <f>IFERROR(__xludf.DUMMYFUNCTION("""COMPUTED_VALUE"""),"C44A")</f>
        <v>C44A</v>
      </c>
      <c r="B7756" s="226" t="str">
        <f>IFERROR(__xludf.DUMMYFUNCTION("""COMPUTED_VALUE"""),"19164")</f>
        <v>19164</v>
      </c>
      <c r="C7756" t="str">
        <f>IFERROR(__xludf.DUMMYFUNCTION("""COMPUTED_VALUE"""),"Autohak")</f>
        <v>Autohak</v>
      </c>
    </row>
    <row r="7757">
      <c r="A7757" t="str">
        <f>IFERROR(__xludf.DUMMYFUNCTION("""COMPUTED_VALUE"""),"C44V")</f>
        <v>C44V</v>
      </c>
      <c r="B7757" s="226" t="str">
        <f>IFERROR(__xludf.DUMMYFUNCTION("""COMPUTED_VALUE"""),"19980")</f>
        <v>19980</v>
      </c>
      <c r="C7757" t="str">
        <f>IFERROR(__xludf.DUMMYFUNCTION("""COMPUTED_VALUE"""),"Autohak")</f>
        <v>Autohak</v>
      </c>
    </row>
    <row r="7758">
      <c r="A7758" t="str">
        <f>IFERROR(__xludf.DUMMYFUNCTION("""COMPUTED_VALUE"""),"C57")</f>
        <v>C57</v>
      </c>
      <c r="B7758" s="226" t="str">
        <f>IFERROR(__xludf.DUMMYFUNCTION("""COMPUTED_VALUE"""),"17559")</f>
        <v>17559</v>
      </c>
      <c r="C7758" t="str">
        <f>IFERROR(__xludf.DUMMYFUNCTION("""COMPUTED_VALUE"""),"Autohak")</f>
        <v>Autohak</v>
      </c>
    </row>
    <row r="7759">
      <c r="A7759" t="str">
        <f>IFERROR(__xludf.DUMMYFUNCTION("""COMPUTED_VALUE"""),"C57A")</f>
        <v>C57A</v>
      </c>
      <c r="B7759" s="226" t="str">
        <f>IFERROR(__xludf.DUMMYFUNCTION("""COMPUTED_VALUE"""),"19553")</f>
        <v>19553</v>
      </c>
      <c r="C7759" t="str">
        <f>IFERROR(__xludf.DUMMYFUNCTION("""COMPUTED_VALUE"""),"Autohak")</f>
        <v>Autohak</v>
      </c>
    </row>
    <row r="7760">
      <c r="A7760" t="str">
        <f>IFERROR(__xludf.DUMMYFUNCTION("""COMPUTED_VALUE"""),"C57V")</f>
        <v>C57V</v>
      </c>
      <c r="B7760" s="226" t="str">
        <f>IFERROR(__xludf.DUMMYFUNCTION("""COMPUTED_VALUE"""),"19959")</f>
        <v>19959</v>
      </c>
      <c r="C7760" t="str">
        <f>IFERROR(__xludf.DUMMYFUNCTION("""COMPUTED_VALUE"""),"Autohak")</f>
        <v>Autohak</v>
      </c>
    </row>
    <row r="7761">
      <c r="A7761" t="str">
        <f>IFERROR(__xludf.DUMMYFUNCTION("""COMPUTED_VALUE"""),"C57")</f>
        <v>C57</v>
      </c>
      <c r="B7761" s="226" t="str">
        <f>IFERROR(__xludf.DUMMYFUNCTION("""COMPUTED_VALUE"""),"17559")</f>
        <v>17559</v>
      </c>
      <c r="C7761" t="str">
        <f>IFERROR(__xludf.DUMMYFUNCTION("""COMPUTED_VALUE"""),"Autohak")</f>
        <v>Autohak</v>
      </c>
    </row>
    <row r="7762">
      <c r="A7762" t="str">
        <f>IFERROR(__xludf.DUMMYFUNCTION("""COMPUTED_VALUE"""),"C57A")</f>
        <v>C57A</v>
      </c>
      <c r="B7762" s="226" t="str">
        <f>IFERROR(__xludf.DUMMYFUNCTION("""COMPUTED_VALUE"""),"19553")</f>
        <v>19553</v>
      </c>
      <c r="C7762" t="str">
        <f>IFERROR(__xludf.DUMMYFUNCTION("""COMPUTED_VALUE"""),"Autohak")</f>
        <v>Autohak</v>
      </c>
    </row>
    <row r="7763">
      <c r="A7763" t="str">
        <f>IFERROR(__xludf.DUMMYFUNCTION("""COMPUTED_VALUE"""),"C57V")</f>
        <v>C57V</v>
      </c>
      <c r="B7763" s="226" t="str">
        <f>IFERROR(__xludf.DUMMYFUNCTION("""COMPUTED_VALUE"""),"19959")</f>
        <v>19959</v>
      </c>
      <c r="C7763" t="str">
        <f>IFERROR(__xludf.DUMMYFUNCTION("""COMPUTED_VALUE"""),"Autohak")</f>
        <v>Autohak</v>
      </c>
    </row>
    <row r="7764">
      <c r="A7764" t="str">
        <f>IFERROR(__xludf.DUMMYFUNCTION("""COMPUTED_VALUE"""),"C68")</f>
        <v>C68</v>
      </c>
      <c r="B7764" s="226" t="str">
        <f>IFERROR(__xludf.DUMMYFUNCTION("""COMPUTED_VALUE"""),"17672")</f>
        <v>17672</v>
      </c>
      <c r="C7764" t="str">
        <f>IFERROR(__xludf.DUMMYFUNCTION("""COMPUTED_VALUE"""),"Autohak")</f>
        <v>Autohak</v>
      </c>
    </row>
    <row r="7765">
      <c r="A7765" t="str">
        <f>IFERROR(__xludf.DUMMYFUNCTION("""COMPUTED_VALUE"""),"C68A")</f>
        <v>C68A</v>
      </c>
      <c r="B7765" s="226" t="str">
        <f>IFERROR(__xludf.DUMMYFUNCTION("""COMPUTED_VALUE"""),"19645")</f>
        <v>19645</v>
      </c>
      <c r="C7765" t="str">
        <f>IFERROR(__xludf.DUMMYFUNCTION("""COMPUTED_VALUE"""),"Autohak")</f>
        <v>Autohak</v>
      </c>
    </row>
    <row r="7766">
      <c r="A7766" t="str">
        <f>IFERROR(__xludf.DUMMYFUNCTION("""COMPUTED_VALUE"""),"C68V")</f>
        <v>C68V</v>
      </c>
      <c r="B7766" s="226" t="str">
        <f>IFERROR(__xludf.DUMMYFUNCTION("""COMPUTED_VALUE"""),"19874")</f>
        <v>19874</v>
      </c>
      <c r="C7766" t="str">
        <f>IFERROR(__xludf.DUMMYFUNCTION("""COMPUTED_VALUE"""),"Autohak")</f>
        <v>Autohak</v>
      </c>
    </row>
    <row r="7767">
      <c r="A7767" t="str">
        <f>IFERROR(__xludf.DUMMYFUNCTION("""COMPUTED_VALUE"""),"C66")</f>
        <v>C66</v>
      </c>
      <c r="B7767" s="226" t="str">
        <f>IFERROR(__xludf.DUMMYFUNCTION("""COMPUTED_VALUE"""),"17641")</f>
        <v>17641</v>
      </c>
      <c r="C7767" t="str">
        <f>IFERROR(__xludf.DUMMYFUNCTION("""COMPUTED_VALUE"""),"Autohak")</f>
        <v>Autohak</v>
      </c>
    </row>
    <row r="7768">
      <c r="A7768" t="str">
        <f>IFERROR(__xludf.DUMMYFUNCTION("""COMPUTED_VALUE"""),"C66A")</f>
        <v>C66A</v>
      </c>
      <c r="B7768" s="226" t="str">
        <f>IFERROR(__xludf.DUMMYFUNCTION("""COMPUTED_VALUE"""),"19621")</f>
        <v>19621</v>
      </c>
      <c r="C7768" t="str">
        <f>IFERROR(__xludf.DUMMYFUNCTION("""COMPUTED_VALUE"""),"Autohak")</f>
        <v>Autohak</v>
      </c>
    </row>
    <row r="7769">
      <c r="A7769" t="str">
        <f>IFERROR(__xludf.DUMMYFUNCTION("""COMPUTED_VALUE"""),"C66V")</f>
        <v>C66V</v>
      </c>
      <c r="B7769" s="226" t="str">
        <f>IFERROR(__xludf.DUMMYFUNCTION("""COMPUTED_VALUE"""),"19904")</f>
        <v>19904</v>
      </c>
      <c r="C7769" t="str">
        <f>IFERROR(__xludf.DUMMYFUNCTION("""COMPUTED_VALUE"""),"Autohak")</f>
        <v>Autohak</v>
      </c>
    </row>
    <row r="7770">
      <c r="A7770" t="str">
        <f>IFERROR(__xludf.DUMMYFUNCTION("""COMPUTED_VALUE"""),"C60")</f>
        <v>C60</v>
      </c>
      <c r="B7770" s="226" t="str">
        <f>IFERROR(__xludf.DUMMYFUNCTION("""COMPUTED_VALUE"""),"17580")</f>
        <v>17580</v>
      </c>
      <c r="C7770" t="str">
        <f>IFERROR(__xludf.DUMMYFUNCTION("""COMPUTED_VALUE"""),"Autohak")</f>
        <v>Autohak</v>
      </c>
    </row>
    <row r="7771">
      <c r="A7771" t="str">
        <f>IFERROR(__xludf.DUMMYFUNCTION("""COMPUTED_VALUE"""),"C60A")</f>
        <v>C60A</v>
      </c>
      <c r="B7771" s="226" t="str">
        <f>IFERROR(__xludf.DUMMYFUNCTION("""COMPUTED_VALUE"""),"19560")</f>
        <v>19560</v>
      </c>
      <c r="C7771" t="str">
        <f>IFERROR(__xludf.DUMMYFUNCTION("""COMPUTED_VALUE"""),"Autohak")</f>
        <v>Autohak</v>
      </c>
    </row>
    <row r="7772">
      <c r="A7772" t="str">
        <f>IFERROR(__xludf.DUMMYFUNCTION("""COMPUTED_VALUE"""),"C60V")</f>
        <v>C60V</v>
      </c>
      <c r="B7772" s="226" t="str">
        <f>IFERROR(__xludf.DUMMYFUNCTION("""COMPUTED_VALUE"""),"19942")</f>
        <v>19942</v>
      </c>
      <c r="C7772" t="str">
        <f>IFERROR(__xludf.DUMMYFUNCTION("""COMPUTED_VALUE"""),"Autohak")</f>
        <v>Autohak</v>
      </c>
    </row>
    <row r="7773">
      <c r="A7773" t="str">
        <f>IFERROR(__xludf.DUMMYFUNCTION("""COMPUTED_VALUE"""),"C60")</f>
        <v>C60</v>
      </c>
      <c r="B7773" s="226" t="str">
        <f>IFERROR(__xludf.DUMMYFUNCTION("""COMPUTED_VALUE"""),"17580")</f>
        <v>17580</v>
      </c>
      <c r="C7773" t="str">
        <f>IFERROR(__xludf.DUMMYFUNCTION("""COMPUTED_VALUE"""),"Autohak")</f>
        <v>Autohak</v>
      </c>
    </row>
    <row r="7774">
      <c r="A7774" t="str">
        <f>IFERROR(__xludf.DUMMYFUNCTION("""COMPUTED_VALUE"""),"C60A")</f>
        <v>C60A</v>
      </c>
      <c r="B7774" s="226" t="str">
        <f>IFERROR(__xludf.DUMMYFUNCTION("""COMPUTED_VALUE"""),"19560")</f>
        <v>19560</v>
      </c>
      <c r="C7774" t="str">
        <f>IFERROR(__xludf.DUMMYFUNCTION("""COMPUTED_VALUE"""),"Autohak")</f>
        <v>Autohak</v>
      </c>
    </row>
    <row r="7775">
      <c r="A7775" t="str">
        <f>IFERROR(__xludf.DUMMYFUNCTION("""COMPUTED_VALUE"""),"C60V")</f>
        <v>C60V</v>
      </c>
      <c r="B7775" s="226" t="str">
        <f>IFERROR(__xludf.DUMMYFUNCTION("""COMPUTED_VALUE"""),"19942")</f>
        <v>19942</v>
      </c>
      <c r="C7775" t="str">
        <f>IFERROR(__xludf.DUMMYFUNCTION("""COMPUTED_VALUE"""),"Autohak")</f>
        <v>Autohak</v>
      </c>
    </row>
    <row r="7776">
      <c r="A7776" t="str">
        <f>IFERROR(__xludf.DUMMYFUNCTION("""COMPUTED_VALUE"""),"C007")</f>
        <v>C007</v>
      </c>
      <c r="B7776" s="226" t="str">
        <f>IFERROR(__xludf.DUMMYFUNCTION("""COMPUTED_VALUE"""),"17023")</f>
        <v>17023</v>
      </c>
      <c r="C7776" t="str">
        <f>IFERROR(__xludf.DUMMYFUNCTION("""COMPUTED_VALUE"""),"Autohak")</f>
        <v>Autohak</v>
      </c>
    </row>
    <row r="7777">
      <c r="A7777" t="str">
        <f>IFERROR(__xludf.DUMMYFUNCTION("""COMPUTED_VALUE"""),"C007A")</f>
        <v>C007A</v>
      </c>
      <c r="B7777" s="226" t="str">
        <f>IFERROR(__xludf.DUMMYFUNCTION("""COMPUTED_VALUE"""),"19027")</f>
        <v>19027</v>
      </c>
      <c r="C7777" t="str">
        <f>IFERROR(__xludf.DUMMYFUNCTION("""COMPUTED_VALUE"""),"Autohak")</f>
        <v>Autohak</v>
      </c>
    </row>
    <row r="7778">
      <c r="A7778" t="str">
        <f>IFERROR(__xludf.DUMMYFUNCTION("""COMPUTED_VALUE"""),"C09")</f>
        <v>C09</v>
      </c>
      <c r="B7778" s="226" t="str">
        <f>IFERROR(__xludf.DUMMYFUNCTION("""COMPUTED_VALUE"""),"17047")</f>
        <v>17047</v>
      </c>
      <c r="C7778" t="str">
        <f>IFERROR(__xludf.DUMMYFUNCTION("""COMPUTED_VALUE"""),"Autohak")</f>
        <v>Autohak</v>
      </c>
    </row>
    <row r="7779">
      <c r="A7779" t="str">
        <f>IFERROR(__xludf.DUMMYFUNCTION("""COMPUTED_VALUE"""),"C09A")</f>
        <v>C09A</v>
      </c>
      <c r="B7779" s="226" t="str">
        <f>IFERROR(__xludf.DUMMYFUNCTION("""COMPUTED_VALUE"""),"19041")</f>
        <v>19041</v>
      </c>
      <c r="C7779" t="str">
        <f>IFERROR(__xludf.DUMMYFUNCTION("""COMPUTED_VALUE"""),"Autohak")</f>
        <v>Autohak</v>
      </c>
    </row>
    <row r="7780">
      <c r="A7780" t="str">
        <f>IFERROR(__xludf.DUMMYFUNCTION("""COMPUTED_VALUE"""),"C10")</f>
        <v>C10</v>
      </c>
      <c r="B7780" s="226" t="str">
        <f>IFERROR(__xludf.DUMMYFUNCTION("""COMPUTED_VALUE"""),"17054")</f>
        <v>17054</v>
      </c>
      <c r="C7780" t="str">
        <f>IFERROR(__xludf.DUMMYFUNCTION("""COMPUTED_VALUE"""),"Autohak")</f>
        <v>Autohak</v>
      </c>
    </row>
    <row r="7781">
      <c r="A7781" t="str">
        <f>IFERROR(__xludf.DUMMYFUNCTION("""COMPUTED_VALUE"""),"C10A")</f>
        <v>C10A</v>
      </c>
      <c r="B7781" s="226" t="str">
        <f>IFERROR(__xludf.DUMMYFUNCTION("""COMPUTED_VALUE"""),"19058")</f>
        <v>19058</v>
      </c>
      <c r="C7781" t="str">
        <f>IFERROR(__xludf.DUMMYFUNCTION("""COMPUTED_VALUE"""),"Autohak")</f>
        <v>Autohak</v>
      </c>
    </row>
    <row r="7782">
      <c r="A7782" t="str">
        <f>IFERROR(__xludf.DUMMYFUNCTION("""COMPUTED_VALUE"""),"C40")</f>
        <v>C40</v>
      </c>
      <c r="B7782" s="226" t="str">
        <f>IFERROR(__xludf.DUMMYFUNCTION("""COMPUTED_VALUE"""),"17061")</f>
        <v>17061</v>
      </c>
      <c r="C7782" t="str">
        <f>IFERROR(__xludf.DUMMYFUNCTION("""COMPUTED_VALUE"""),"Autohak")</f>
        <v>Autohak</v>
      </c>
    </row>
    <row r="7783">
      <c r="A7783" t="str">
        <f>IFERROR(__xludf.DUMMYFUNCTION("""COMPUTED_VALUE"""),"C40A")</f>
        <v>C40A</v>
      </c>
      <c r="B7783" s="226" t="str">
        <f>IFERROR(__xludf.DUMMYFUNCTION("""COMPUTED_VALUE"""),"19065")</f>
        <v>19065</v>
      </c>
      <c r="C7783" t="str">
        <f>IFERROR(__xludf.DUMMYFUNCTION("""COMPUTED_VALUE"""),"Autohak")</f>
        <v>Autohak</v>
      </c>
    </row>
    <row r="7784">
      <c r="A7784" t="str">
        <f>IFERROR(__xludf.DUMMYFUNCTION("""COMPUTED_VALUE"""),"C22")</f>
        <v>C22</v>
      </c>
      <c r="B7784" s="226" t="str">
        <f>IFERROR(__xludf.DUMMYFUNCTION("""COMPUTED_VALUE"""),"17085")</f>
        <v>17085</v>
      </c>
      <c r="C7784" t="str">
        <f>IFERROR(__xludf.DUMMYFUNCTION("""COMPUTED_VALUE"""),"Autohak")</f>
        <v>Autohak</v>
      </c>
    </row>
    <row r="7785">
      <c r="A7785" t="str">
        <f>IFERROR(__xludf.DUMMYFUNCTION("""COMPUTED_VALUE"""),"C22A")</f>
        <v>C22A</v>
      </c>
      <c r="B7785" s="226" t="str">
        <f>IFERROR(__xludf.DUMMYFUNCTION("""COMPUTED_VALUE"""),"19089")</f>
        <v>19089</v>
      </c>
      <c r="C7785" t="str">
        <f>IFERROR(__xludf.DUMMYFUNCTION("""COMPUTED_VALUE"""),"Autohak")</f>
        <v>Autohak</v>
      </c>
    </row>
    <row r="7786">
      <c r="A7786" t="str">
        <f>IFERROR(__xludf.DUMMYFUNCTION("""COMPUTED_VALUE"""),"C02")</f>
        <v>C02</v>
      </c>
      <c r="B7786" s="226" t="str">
        <f>IFERROR(__xludf.DUMMYFUNCTION("""COMPUTED_VALUE"""),"17108")</f>
        <v>17108</v>
      </c>
      <c r="C7786" t="str">
        <f>IFERROR(__xludf.DUMMYFUNCTION("""COMPUTED_VALUE"""),"Autohak")</f>
        <v>Autohak</v>
      </c>
    </row>
    <row r="7787">
      <c r="A7787" t="str">
        <f>IFERROR(__xludf.DUMMYFUNCTION("""COMPUTED_VALUE"""),"C02A")</f>
        <v>C02A</v>
      </c>
      <c r="B7787" s="226" t="str">
        <f>IFERROR(__xludf.DUMMYFUNCTION("""COMPUTED_VALUE"""),"19102")</f>
        <v>19102</v>
      </c>
      <c r="C7787" t="str">
        <f>IFERROR(__xludf.DUMMYFUNCTION("""COMPUTED_VALUE"""),"Autohak")</f>
        <v>Autohak</v>
      </c>
    </row>
    <row r="7788">
      <c r="A7788" t="str">
        <f>IFERROR(__xludf.DUMMYFUNCTION("""COMPUTED_VALUE"""),"C002")</f>
        <v>C002</v>
      </c>
      <c r="B7788" s="226" t="str">
        <f>IFERROR(__xludf.DUMMYFUNCTION("""COMPUTED_VALUE"""),"17115")</f>
        <v>17115</v>
      </c>
      <c r="C7788" t="str">
        <f>IFERROR(__xludf.DUMMYFUNCTION("""COMPUTED_VALUE"""),"Autohak")</f>
        <v>Autohak</v>
      </c>
    </row>
    <row r="7789">
      <c r="A7789" t="str">
        <f>IFERROR(__xludf.DUMMYFUNCTION("""COMPUTED_VALUE"""),"C002A")</f>
        <v>C002A</v>
      </c>
      <c r="B7789" s="226" t="str">
        <f>IFERROR(__xludf.DUMMYFUNCTION("""COMPUTED_VALUE"""),"19119")</f>
        <v>19119</v>
      </c>
      <c r="C7789" t="str">
        <f>IFERROR(__xludf.DUMMYFUNCTION("""COMPUTED_VALUE"""),"Autohak")</f>
        <v>Autohak</v>
      </c>
    </row>
    <row r="7790">
      <c r="A7790" t="str">
        <f>IFERROR(__xludf.DUMMYFUNCTION("""COMPUTED_VALUE"""),"C42")</f>
        <v>C42</v>
      </c>
      <c r="B7790" s="226" t="str">
        <f>IFERROR(__xludf.DUMMYFUNCTION("""COMPUTED_VALUE"""),"17122")</f>
        <v>17122</v>
      </c>
      <c r="C7790" t="str">
        <f>IFERROR(__xludf.DUMMYFUNCTION("""COMPUTED_VALUE"""),"Autohak")</f>
        <v>Autohak</v>
      </c>
    </row>
    <row r="7791">
      <c r="A7791" t="str">
        <f>IFERROR(__xludf.DUMMYFUNCTION("""COMPUTED_VALUE"""),"C42A")</f>
        <v>C42A</v>
      </c>
      <c r="B7791" s="226" t="str">
        <f>IFERROR(__xludf.DUMMYFUNCTION("""COMPUTED_VALUE"""),"19126")</f>
        <v>19126</v>
      </c>
      <c r="C7791" t="str">
        <f>IFERROR(__xludf.DUMMYFUNCTION("""COMPUTED_VALUE"""),"Autohak")</f>
        <v>Autohak</v>
      </c>
    </row>
    <row r="7792">
      <c r="A7792" t="str">
        <f>IFERROR(__xludf.DUMMYFUNCTION("""COMPUTED_VALUE"""),"C42")</f>
        <v>C42</v>
      </c>
      <c r="B7792" s="226" t="str">
        <f>IFERROR(__xludf.DUMMYFUNCTION("""COMPUTED_VALUE"""),"17122")</f>
        <v>17122</v>
      </c>
      <c r="C7792" t="str">
        <f>IFERROR(__xludf.DUMMYFUNCTION("""COMPUTED_VALUE"""),"Autohak")</f>
        <v>Autohak</v>
      </c>
    </row>
    <row r="7793">
      <c r="A7793" t="str">
        <f>IFERROR(__xludf.DUMMYFUNCTION("""COMPUTED_VALUE"""),"C42A")</f>
        <v>C42A</v>
      </c>
      <c r="B7793" s="226" t="str">
        <f>IFERROR(__xludf.DUMMYFUNCTION("""COMPUTED_VALUE"""),"19126")</f>
        <v>19126</v>
      </c>
      <c r="C7793" t="str">
        <f>IFERROR(__xludf.DUMMYFUNCTION("""COMPUTED_VALUE"""),"Autohak")</f>
        <v>Autohak</v>
      </c>
    </row>
    <row r="7794">
      <c r="A7794" t="str">
        <f>IFERROR(__xludf.DUMMYFUNCTION("""COMPUTED_VALUE"""),"C52")</f>
        <v>C52</v>
      </c>
      <c r="B7794" s="226" t="str">
        <f>IFERROR(__xludf.DUMMYFUNCTION("""COMPUTED_VALUE"""),"17504")</f>
        <v>17504</v>
      </c>
      <c r="C7794" t="str">
        <f>IFERROR(__xludf.DUMMYFUNCTION("""COMPUTED_VALUE"""),"Autohak")</f>
        <v>Autohak</v>
      </c>
    </row>
    <row r="7795">
      <c r="A7795" t="str">
        <f>IFERROR(__xludf.DUMMYFUNCTION("""COMPUTED_VALUE"""),"C52A")</f>
        <v>C52A</v>
      </c>
      <c r="B7795" s="226" t="str">
        <f>IFERROR(__xludf.DUMMYFUNCTION("""COMPUTED_VALUE"""),"19508")</f>
        <v>19508</v>
      </c>
      <c r="C7795" t="str">
        <f>IFERROR(__xludf.DUMMYFUNCTION("""COMPUTED_VALUE"""),"Autohak")</f>
        <v>Autohak</v>
      </c>
    </row>
    <row r="7796">
      <c r="A7796" t="str">
        <f>IFERROR(__xludf.DUMMYFUNCTION("""COMPUTED_VALUE"""),"C52")</f>
        <v>C52</v>
      </c>
      <c r="B7796" s="226" t="str">
        <f>IFERROR(__xludf.DUMMYFUNCTION("""COMPUTED_VALUE"""),"17504")</f>
        <v>17504</v>
      </c>
      <c r="C7796" t="str">
        <f>IFERROR(__xludf.DUMMYFUNCTION("""COMPUTED_VALUE"""),"Autohak")</f>
        <v>Autohak</v>
      </c>
    </row>
    <row r="7797">
      <c r="A7797" t="str">
        <f>IFERROR(__xludf.DUMMYFUNCTION("""COMPUTED_VALUE"""),"C52A")</f>
        <v>C52A</v>
      </c>
      <c r="B7797" s="226" t="str">
        <f>IFERROR(__xludf.DUMMYFUNCTION("""COMPUTED_VALUE"""),"19508")</f>
        <v>19508</v>
      </c>
      <c r="C7797" t="str">
        <f>IFERROR(__xludf.DUMMYFUNCTION("""COMPUTED_VALUE"""),"Autohak")</f>
        <v>Autohak</v>
      </c>
    </row>
    <row r="7798">
      <c r="A7798" t="str">
        <f>IFERROR(__xludf.DUMMYFUNCTION("""COMPUTED_VALUE"""),"C24")</f>
        <v>C24</v>
      </c>
      <c r="B7798" s="226" t="str">
        <f>IFERROR(__xludf.DUMMYFUNCTION("""COMPUTED_VALUE"""),"17146")</f>
        <v>17146</v>
      </c>
      <c r="C7798" t="str">
        <f>IFERROR(__xludf.DUMMYFUNCTION("""COMPUTED_VALUE"""),"Autohak")</f>
        <v>Autohak</v>
      </c>
    </row>
    <row r="7799">
      <c r="A7799" t="str">
        <f>IFERROR(__xludf.DUMMYFUNCTION("""COMPUTED_VALUE"""),"C24A")</f>
        <v>C24A</v>
      </c>
      <c r="B7799" s="226" t="str">
        <f>IFERROR(__xludf.DUMMYFUNCTION("""COMPUTED_VALUE"""),"19140")</f>
        <v>19140</v>
      </c>
      <c r="C7799" t="str">
        <f>IFERROR(__xludf.DUMMYFUNCTION("""COMPUTED_VALUE"""),"Autohak")</f>
        <v>Autohak</v>
      </c>
    </row>
    <row r="7800">
      <c r="A7800" t="str">
        <f>IFERROR(__xludf.DUMMYFUNCTION("""COMPUTED_VALUE"""),"C27")</f>
        <v>C27</v>
      </c>
      <c r="B7800" s="226" t="str">
        <f>IFERROR(__xludf.DUMMYFUNCTION("""COMPUTED_VALUE"""),"17153")</f>
        <v>17153</v>
      </c>
      <c r="C7800" t="str">
        <f>IFERROR(__xludf.DUMMYFUNCTION("""COMPUTED_VALUE"""),"Autohak")</f>
        <v>Autohak</v>
      </c>
    </row>
    <row r="7801">
      <c r="A7801" t="str">
        <f>IFERROR(__xludf.DUMMYFUNCTION("""COMPUTED_VALUE"""),"C27A")</f>
        <v>C27A</v>
      </c>
      <c r="B7801" s="226" t="str">
        <f>IFERROR(__xludf.DUMMYFUNCTION("""COMPUTED_VALUE"""),"19157")</f>
        <v>19157</v>
      </c>
      <c r="C7801" t="str">
        <f>IFERROR(__xludf.DUMMYFUNCTION("""COMPUTED_VALUE"""),"Autohak")</f>
        <v>Autohak</v>
      </c>
    </row>
    <row r="7802">
      <c r="A7802" t="str">
        <f>IFERROR(__xludf.DUMMYFUNCTION("""COMPUTED_VALUE"""),"C44")</f>
        <v>C44</v>
      </c>
      <c r="B7802" s="226" t="str">
        <f>IFERROR(__xludf.DUMMYFUNCTION("""COMPUTED_VALUE"""),"17160")</f>
        <v>17160</v>
      </c>
      <c r="C7802" t="str">
        <f>IFERROR(__xludf.DUMMYFUNCTION("""COMPUTED_VALUE"""),"Autohak")</f>
        <v>Autohak</v>
      </c>
    </row>
    <row r="7803">
      <c r="A7803" t="str">
        <f>IFERROR(__xludf.DUMMYFUNCTION("""COMPUTED_VALUE"""),"C44A")</f>
        <v>C44A</v>
      </c>
      <c r="B7803" s="226" t="str">
        <f>IFERROR(__xludf.DUMMYFUNCTION("""COMPUTED_VALUE"""),"19164")</f>
        <v>19164</v>
      </c>
      <c r="C7803" t="str">
        <f>IFERROR(__xludf.DUMMYFUNCTION("""COMPUTED_VALUE"""),"Autohak")</f>
        <v>Autohak</v>
      </c>
    </row>
    <row r="7804">
      <c r="A7804" t="str">
        <f>IFERROR(__xludf.DUMMYFUNCTION("""COMPUTED_VALUE"""),"C44V")</f>
        <v>C44V</v>
      </c>
      <c r="B7804" s="226" t="str">
        <f>IFERROR(__xludf.DUMMYFUNCTION("""COMPUTED_VALUE"""),"19980")</f>
        <v>19980</v>
      </c>
      <c r="C7804" t="str">
        <f>IFERROR(__xludf.DUMMYFUNCTION("""COMPUTED_VALUE"""),"Autohak")</f>
        <v>Autohak</v>
      </c>
    </row>
    <row r="7805">
      <c r="A7805" t="str">
        <f>IFERROR(__xludf.DUMMYFUNCTION("""COMPUTED_VALUE"""),"C44")</f>
        <v>C44</v>
      </c>
      <c r="B7805" s="226" t="str">
        <f>IFERROR(__xludf.DUMMYFUNCTION("""COMPUTED_VALUE"""),"17160")</f>
        <v>17160</v>
      </c>
      <c r="C7805" t="str">
        <f>IFERROR(__xludf.DUMMYFUNCTION("""COMPUTED_VALUE"""),"Autohak")</f>
        <v>Autohak</v>
      </c>
    </row>
    <row r="7806">
      <c r="A7806" t="str">
        <f>IFERROR(__xludf.DUMMYFUNCTION("""COMPUTED_VALUE"""),"C44A")</f>
        <v>C44A</v>
      </c>
      <c r="B7806" s="226" t="str">
        <f>IFERROR(__xludf.DUMMYFUNCTION("""COMPUTED_VALUE"""),"19164")</f>
        <v>19164</v>
      </c>
      <c r="C7806" t="str">
        <f>IFERROR(__xludf.DUMMYFUNCTION("""COMPUTED_VALUE"""),"Autohak")</f>
        <v>Autohak</v>
      </c>
    </row>
    <row r="7807">
      <c r="A7807" t="str">
        <f>IFERROR(__xludf.DUMMYFUNCTION("""COMPUTED_VALUE"""),"C44V")</f>
        <v>C44V</v>
      </c>
      <c r="B7807" s="226" t="str">
        <f>IFERROR(__xludf.DUMMYFUNCTION("""COMPUTED_VALUE"""),"19980")</f>
        <v>19980</v>
      </c>
      <c r="C7807" t="str">
        <f>IFERROR(__xludf.DUMMYFUNCTION("""COMPUTED_VALUE"""),"Autohak")</f>
        <v>Autohak</v>
      </c>
    </row>
    <row r="7808">
      <c r="A7808" t="str">
        <f>IFERROR(__xludf.DUMMYFUNCTION("""COMPUTED_VALUE"""),"C56")</f>
        <v>C56</v>
      </c>
      <c r="B7808" s="226" t="str">
        <f>IFERROR(__xludf.DUMMYFUNCTION("""COMPUTED_VALUE"""),"17542")</f>
        <v>17542</v>
      </c>
      <c r="C7808" t="str">
        <f>IFERROR(__xludf.DUMMYFUNCTION("""COMPUTED_VALUE"""),"Autohak")</f>
        <v>Autohak</v>
      </c>
    </row>
    <row r="7809">
      <c r="A7809" t="str">
        <f>IFERROR(__xludf.DUMMYFUNCTION("""COMPUTED_VALUE"""),"C56A")</f>
        <v>C56A</v>
      </c>
      <c r="B7809" s="226" t="str">
        <f>IFERROR(__xludf.DUMMYFUNCTION("""COMPUTED_VALUE"""),"19546")</f>
        <v>19546</v>
      </c>
      <c r="C7809" t="str">
        <f>IFERROR(__xludf.DUMMYFUNCTION("""COMPUTED_VALUE"""),"Autohak")</f>
        <v>Autohak</v>
      </c>
    </row>
    <row r="7810">
      <c r="A7810" t="str">
        <f>IFERROR(__xludf.DUMMYFUNCTION("""COMPUTED_VALUE"""),"C56V")</f>
        <v>C56V</v>
      </c>
      <c r="B7810" s="226" t="str">
        <f>IFERROR(__xludf.DUMMYFUNCTION("""COMPUTED_VALUE"""),"19966")</f>
        <v>19966</v>
      </c>
      <c r="C7810" t="str">
        <f>IFERROR(__xludf.DUMMYFUNCTION("""COMPUTED_VALUE"""),"Autohak")</f>
        <v>Autohak</v>
      </c>
    </row>
    <row r="7811">
      <c r="A7811" t="str">
        <f>IFERROR(__xludf.DUMMYFUNCTION("""COMPUTED_VALUE"""),"C56")</f>
        <v>C56</v>
      </c>
      <c r="B7811" s="226" t="str">
        <f>IFERROR(__xludf.DUMMYFUNCTION("""COMPUTED_VALUE"""),"17542")</f>
        <v>17542</v>
      </c>
      <c r="C7811" t="str">
        <f>IFERROR(__xludf.DUMMYFUNCTION("""COMPUTED_VALUE"""),"Autohak")</f>
        <v>Autohak</v>
      </c>
    </row>
    <row r="7812">
      <c r="A7812" t="str">
        <f>IFERROR(__xludf.DUMMYFUNCTION("""COMPUTED_VALUE"""),"C56A")</f>
        <v>C56A</v>
      </c>
      <c r="B7812" s="226" t="str">
        <f>IFERROR(__xludf.DUMMYFUNCTION("""COMPUTED_VALUE"""),"19546")</f>
        <v>19546</v>
      </c>
      <c r="C7812" t="str">
        <f>IFERROR(__xludf.DUMMYFUNCTION("""COMPUTED_VALUE"""),"Autohak")</f>
        <v>Autohak</v>
      </c>
    </row>
    <row r="7813">
      <c r="A7813" t="str">
        <f>IFERROR(__xludf.DUMMYFUNCTION("""COMPUTED_VALUE"""),"C56V")</f>
        <v>C56V</v>
      </c>
      <c r="B7813" s="226" t="str">
        <f>IFERROR(__xludf.DUMMYFUNCTION("""COMPUTED_VALUE"""),"19966")</f>
        <v>19966</v>
      </c>
      <c r="C7813" t="str">
        <f>IFERROR(__xludf.DUMMYFUNCTION("""COMPUTED_VALUE"""),"Autohak")</f>
        <v>Autohak</v>
      </c>
    </row>
    <row r="7814">
      <c r="A7814" t="str">
        <f>IFERROR(__xludf.DUMMYFUNCTION("""COMPUTED_VALUE"""),"C67")</f>
        <v>C67</v>
      </c>
      <c r="B7814" s="226" t="str">
        <f>IFERROR(__xludf.DUMMYFUNCTION("""COMPUTED_VALUE"""),"817658")</f>
        <v>817658</v>
      </c>
      <c r="C7814" t="str">
        <f>IFERROR(__xludf.DUMMYFUNCTION("""COMPUTED_VALUE"""),"Autohak")</f>
        <v>Autohak</v>
      </c>
    </row>
    <row r="7815">
      <c r="A7815" t="str">
        <f>IFERROR(__xludf.DUMMYFUNCTION("""COMPUTED_VALUE"""),"C67A")</f>
        <v>C67A</v>
      </c>
      <c r="B7815" s="226" t="str">
        <f>IFERROR(__xludf.DUMMYFUNCTION("""COMPUTED_VALUE"""),"819638")</f>
        <v>819638</v>
      </c>
      <c r="C7815" t="str">
        <f>IFERROR(__xludf.DUMMYFUNCTION("""COMPUTED_VALUE"""),"Autohak")</f>
        <v>Autohak</v>
      </c>
    </row>
    <row r="7816">
      <c r="A7816" t="str">
        <f>IFERROR(__xludf.DUMMYFUNCTION("""COMPUTED_VALUE"""),"C67V")</f>
        <v>C67V</v>
      </c>
      <c r="B7816" s="226" t="str">
        <f>IFERROR(__xludf.DUMMYFUNCTION("""COMPUTED_VALUE"""),"819881")</f>
        <v>819881</v>
      </c>
      <c r="C7816" t="str">
        <f>IFERROR(__xludf.DUMMYFUNCTION("""COMPUTED_VALUE"""),"Autohak")</f>
        <v>Autohak</v>
      </c>
    </row>
    <row r="7817">
      <c r="A7817" t="str">
        <f>IFERROR(__xludf.DUMMYFUNCTION("""COMPUTED_VALUE"""),"C28")</f>
        <v>C28</v>
      </c>
      <c r="B7817" s="226" t="str">
        <f>IFERROR(__xludf.DUMMYFUNCTION("""COMPUTED_VALUE"""),"17177")</f>
        <v>17177</v>
      </c>
      <c r="C7817" t="str">
        <f>IFERROR(__xludf.DUMMYFUNCTION("""COMPUTED_VALUE"""),"Autohak")</f>
        <v>Autohak</v>
      </c>
    </row>
    <row r="7818">
      <c r="A7818" t="str">
        <f>IFERROR(__xludf.DUMMYFUNCTION("""COMPUTED_VALUE"""),"C28A")</f>
        <v>C28A</v>
      </c>
      <c r="B7818" s="226" t="str">
        <f>IFERROR(__xludf.DUMMYFUNCTION("""COMPUTED_VALUE"""),"19171")</f>
        <v>19171</v>
      </c>
      <c r="C7818" t="str">
        <f>IFERROR(__xludf.DUMMYFUNCTION("""COMPUTED_VALUE"""),"Autohak")</f>
        <v>Autohak</v>
      </c>
    </row>
    <row r="7819">
      <c r="A7819" t="str">
        <f>IFERROR(__xludf.DUMMYFUNCTION("""COMPUTED_VALUE"""),"C48")</f>
        <v>C48</v>
      </c>
      <c r="B7819" s="226" t="str">
        <f>IFERROR(__xludf.DUMMYFUNCTION("""COMPUTED_VALUE"""),"17467")</f>
        <v>17467</v>
      </c>
      <c r="C7819" t="str">
        <f>IFERROR(__xludf.DUMMYFUNCTION("""COMPUTED_VALUE"""),"Autohak")</f>
        <v>Autohak</v>
      </c>
    </row>
    <row r="7820">
      <c r="A7820" t="str">
        <f>IFERROR(__xludf.DUMMYFUNCTION("""COMPUTED_VALUE"""),"C48A")</f>
        <v>C48A</v>
      </c>
      <c r="B7820" s="226" t="str">
        <f>IFERROR(__xludf.DUMMYFUNCTION("""COMPUTED_VALUE"""),"19461")</f>
        <v>19461</v>
      </c>
      <c r="C7820" t="str">
        <f>IFERROR(__xludf.DUMMYFUNCTION("""COMPUTED_VALUE"""),"Autohak")</f>
        <v>Autohak</v>
      </c>
    </row>
    <row r="7821">
      <c r="A7821" t="str">
        <f>IFERROR(__xludf.DUMMYFUNCTION("""COMPUTED_VALUE"""),"C29")</f>
        <v>C29</v>
      </c>
      <c r="B7821" s="226" t="str">
        <f>IFERROR(__xludf.DUMMYFUNCTION("""COMPUTED_VALUE"""),"17184")</f>
        <v>17184</v>
      </c>
      <c r="C7821" t="str">
        <f>IFERROR(__xludf.DUMMYFUNCTION("""COMPUTED_VALUE"""),"Autohak")</f>
        <v>Autohak</v>
      </c>
    </row>
    <row r="7822">
      <c r="A7822" t="str">
        <f>IFERROR(__xludf.DUMMYFUNCTION("""COMPUTED_VALUE"""),"C29A")</f>
        <v>C29A</v>
      </c>
      <c r="B7822" s="226" t="str">
        <f>IFERROR(__xludf.DUMMYFUNCTION("""COMPUTED_VALUE"""),"19188")</f>
        <v>19188</v>
      </c>
      <c r="C7822" t="str">
        <f>IFERROR(__xludf.DUMMYFUNCTION("""COMPUTED_VALUE"""),"Autohak")</f>
        <v>Autohak</v>
      </c>
    </row>
    <row r="7823">
      <c r="A7823" t="str">
        <f>IFERROR(__xludf.DUMMYFUNCTION("""COMPUTED_VALUE"""),"C47")</f>
        <v>C47</v>
      </c>
      <c r="B7823" s="226" t="str">
        <f>IFERROR(__xludf.DUMMYFUNCTION("""COMPUTED_VALUE"""),"17191")</f>
        <v>17191</v>
      </c>
      <c r="C7823" t="str">
        <f>IFERROR(__xludf.DUMMYFUNCTION("""COMPUTED_VALUE"""),"Autohak")</f>
        <v>Autohak</v>
      </c>
    </row>
    <row r="7824">
      <c r="A7824" t="str">
        <f>IFERROR(__xludf.DUMMYFUNCTION("""COMPUTED_VALUE"""),"C47A")</f>
        <v>C47A</v>
      </c>
      <c r="B7824" s="226" t="str">
        <f>IFERROR(__xludf.DUMMYFUNCTION("""COMPUTED_VALUE"""),"19195")</f>
        <v>19195</v>
      </c>
      <c r="C7824" t="str">
        <f>IFERROR(__xludf.DUMMYFUNCTION("""COMPUTED_VALUE"""),"Autohak")</f>
        <v>Autohak</v>
      </c>
    </row>
    <row r="7825">
      <c r="A7825" t="str">
        <f>IFERROR(__xludf.DUMMYFUNCTION("""COMPUTED_VALUE"""),"C55")</f>
        <v>C55</v>
      </c>
      <c r="B7825" s="226" t="str">
        <f>IFERROR(__xludf.DUMMYFUNCTION("""COMPUTED_VALUE"""),"17535")</f>
        <v>17535</v>
      </c>
      <c r="C7825" t="str">
        <f>IFERROR(__xludf.DUMMYFUNCTION("""COMPUTED_VALUE"""),"Autohak")</f>
        <v>Autohak</v>
      </c>
    </row>
    <row r="7826">
      <c r="A7826" t="str">
        <f>IFERROR(__xludf.DUMMYFUNCTION("""COMPUTED_VALUE"""),"C55A")</f>
        <v>C55A</v>
      </c>
      <c r="B7826" s="226" t="str">
        <f>IFERROR(__xludf.DUMMYFUNCTION("""COMPUTED_VALUE"""),"19539")</f>
        <v>19539</v>
      </c>
      <c r="C7826" t="str">
        <f>IFERROR(__xludf.DUMMYFUNCTION("""COMPUTED_VALUE"""),"Autohak")</f>
        <v>Autohak</v>
      </c>
    </row>
    <row r="7827">
      <c r="A7827" t="str">
        <f>IFERROR(__xludf.DUMMYFUNCTION("""COMPUTED_VALUE"""),"C44")</f>
        <v>C44</v>
      </c>
      <c r="B7827" s="226" t="str">
        <f>IFERROR(__xludf.DUMMYFUNCTION("""COMPUTED_VALUE"""),"17160")</f>
        <v>17160</v>
      </c>
      <c r="C7827" t="str">
        <f>IFERROR(__xludf.DUMMYFUNCTION("""COMPUTED_VALUE"""),"Autohak")</f>
        <v>Autohak</v>
      </c>
    </row>
    <row r="7828">
      <c r="A7828" t="str">
        <f>IFERROR(__xludf.DUMMYFUNCTION("""COMPUTED_VALUE"""),"C44A")</f>
        <v>C44A</v>
      </c>
      <c r="B7828" s="226" t="str">
        <f>IFERROR(__xludf.DUMMYFUNCTION("""COMPUTED_VALUE"""),"19164")</f>
        <v>19164</v>
      </c>
      <c r="C7828" t="str">
        <f>IFERROR(__xludf.DUMMYFUNCTION("""COMPUTED_VALUE"""),"Autohak")</f>
        <v>Autohak</v>
      </c>
    </row>
    <row r="7829">
      <c r="A7829" t="str">
        <f>IFERROR(__xludf.DUMMYFUNCTION("""COMPUTED_VALUE"""),"C44V")</f>
        <v>C44V</v>
      </c>
      <c r="B7829" s="226" t="str">
        <f>IFERROR(__xludf.DUMMYFUNCTION("""COMPUTED_VALUE"""),"19980")</f>
        <v>19980</v>
      </c>
      <c r="C7829" t="str">
        <f>IFERROR(__xludf.DUMMYFUNCTION("""COMPUTED_VALUE"""),"Autohak")</f>
        <v>Autohak</v>
      </c>
    </row>
    <row r="7830">
      <c r="A7830" t="str">
        <f>IFERROR(__xludf.DUMMYFUNCTION("""COMPUTED_VALUE"""),"C43")</f>
        <v>C43</v>
      </c>
      <c r="B7830" s="226" t="str">
        <f>IFERROR(__xludf.DUMMYFUNCTION("""COMPUTED_VALUE"""),"17207")</f>
        <v>17207</v>
      </c>
      <c r="C7830" t="str">
        <f>IFERROR(__xludf.DUMMYFUNCTION("""COMPUTED_VALUE"""),"Autohak")</f>
        <v>Autohak</v>
      </c>
    </row>
    <row r="7831">
      <c r="A7831" t="str">
        <f>IFERROR(__xludf.DUMMYFUNCTION("""COMPUTED_VALUE"""),"C43A")</f>
        <v>C43A</v>
      </c>
      <c r="B7831" s="226" t="str">
        <f>IFERROR(__xludf.DUMMYFUNCTION("""COMPUTED_VALUE"""),"19201")</f>
        <v>19201</v>
      </c>
      <c r="C7831" t="str">
        <f>IFERROR(__xludf.DUMMYFUNCTION("""COMPUTED_VALUE"""),"Autohak")</f>
        <v>Autohak</v>
      </c>
    </row>
    <row r="7832">
      <c r="A7832" t="str">
        <f>IFERROR(__xludf.DUMMYFUNCTION("""COMPUTED_VALUE"""),"C43")</f>
        <v>C43</v>
      </c>
      <c r="B7832" s="226" t="str">
        <f>IFERROR(__xludf.DUMMYFUNCTION("""COMPUTED_VALUE"""),"17207")</f>
        <v>17207</v>
      </c>
      <c r="C7832" t="str">
        <f>IFERROR(__xludf.DUMMYFUNCTION("""COMPUTED_VALUE"""),"Autohak")</f>
        <v>Autohak</v>
      </c>
    </row>
    <row r="7833">
      <c r="A7833" t="str">
        <f>IFERROR(__xludf.DUMMYFUNCTION("""COMPUTED_VALUE"""),"C43A")</f>
        <v>C43A</v>
      </c>
      <c r="B7833" s="226" t="str">
        <f>IFERROR(__xludf.DUMMYFUNCTION("""COMPUTED_VALUE"""),"19201")</f>
        <v>19201</v>
      </c>
      <c r="C7833" t="str">
        <f>IFERROR(__xludf.DUMMYFUNCTION("""COMPUTED_VALUE"""),"Autohak")</f>
        <v>Autohak</v>
      </c>
    </row>
    <row r="7834">
      <c r="A7834" t="str">
        <f>IFERROR(__xludf.DUMMYFUNCTION("""COMPUTED_VALUE"""),"C33")</f>
        <v>C33</v>
      </c>
      <c r="B7834" s="226" t="str">
        <f>IFERROR(__xludf.DUMMYFUNCTION("""COMPUTED_VALUE"""),"17214")</f>
        <v>17214</v>
      </c>
      <c r="C7834" t="str">
        <f>IFERROR(__xludf.DUMMYFUNCTION("""COMPUTED_VALUE"""),"Autohak")</f>
        <v>Autohak</v>
      </c>
    </row>
    <row r="7835">
      <c r="A7835" t="str">
        <f>IFERROR(__xludf.DUMMYFUNCTION("""COMPUTED_VALUE"""),"C33A")</f>
        <v>C33A</v>
      </c>
      <c r="B7835" s="226" t="str">
        <f>IFERROR(__xludf.DUMMYFUNCTION("""COMPUTED_VALUE"""),"19218")</f>
        <v>19218</v>
      </c>
      <c r="C7835" t="str">
        <f>IFERROR(__xludf.DUMMYFUNCTION("""COMPUTED_VALUE"""),"Autohak")</f>
        <v>Autohak</v>
      </c>
    </row>
    <row r="7836">
      <c r="A7836" t="str">
        <f>IFERROR(__xludf.DUMMYFUNCTION("""COMPUTED_VALUE"""),"C39")</f>
        <v>C39</v>
      </c>
      <c r="B7836" s="226" t="str">
        <f>IFERROR(__xludf.DUMMYFUNCTION("""COMPUTED_VALUE"""),"17221")</f>
        <v>17221</v>
      </c>
      <c r="C7836" t="str">
        <f>IFERROR(__xludf.DUMMYFUNCTION("""COMPUTED_VALUE"""),"Autohak")</f>
        <v>Autohak</v>
      </c>
    </row>
    <row r="7837">
      <c r="A7837" t="str">
        <f>IFERROR(__xludf.DUMMYFUNCTION("""COMPUTED_VALUE"""),"C39A")</f>
        <v>C39A</v>
      </c>
      <c r="B7837" s="226" t="str">
        <f>IFERROR(__xludf.DUMMYFUNCTION("""COMPUTED_VALUE"""),"19225")</f>
        <v>19225</v>
      </c>
      <c r="C7837" t="str">
        <f>IFERROR(__xludf.DUMMYFUNCTION("""COMPUTED_VALUE"""),"Autohak")</f>
        <v>Autohak</v>
      </c>
    </row>
    <row r="7838">
      <c r="A7838" t="str">
        <f>IFERROR(__xludf.DUMMYFUNCTION("""COMPUTED_VALUE"""),"C39V")</f>
        <v>C39V</v>
      </c>
      <c r="B7838" s="226" t="str">
        <f>IFERROR(__xludf.DUMMYFUNCTION("""COMPUTED_VALUE"""),"19997")</f>
        <v>19997</v>
      </c>
      <c r="C7838" t="str">
        <f>IFERROR(__xludf.DUMMYFUNCTION("""COMPUTED_VALUE"""),"Autohak")</f>
        <v>Autohak</v>
      </c>
    </row>
    <row r="7839">
      <c r="A7839" t="str">
        <f>IFERROR(__xludf.DUMMYFUNCTION("""COMPUTED_VALUE"""),"C51")</f>
        <v>C51</v>
      </c>
      <c r="B7839" s="226" t="str">
        <f>IFERROR(__xludf.DUMMYFUNCTION("""COMPUTED_VALUE"""),"17498")</f>
        <v>17498</v>
      </c>
      <c r="C7839" t="str">
        <f>IFERROR(__xludf.DUMMYFUNCTION("""COMPUTED_VALUE"""),"Autohak")</f>
        <v>Autohak</v>
      </c>
    </row>
    <row r="7840">
      <c r="A7840" t="str">
        <f>IFERROR(__xludf.DUMMYFUNCTION("""COMPUTED_VALUE"""),"C51A")</f>
        <v>C51A</v>
      </c>
      <c r="B7840" s="226" t="str">
        <f>IFERROR(__xludf.DUMMYFUNCTION("""COMPUTED_VALUE"""),"19492")</f>
        <v>19492</v>
      </c>
      <c r="C7840" t="str">
        <f>IFERROR(__xludf.DUMMYFUNCTION("""COMPUTED_VALUE"""),"Autohak")</f>
        <v>Autohak</v>
      </c>
    </row>
    <row r="7841">
      <c r="A7841" t="str">
        <f>IFERROR(__xludf.DUMMYFUNCTION("""COMPUTED_VALUE"""),"C51V")</f>
        <v>C51V</v>
      </c>
      <c r="B7841" s="226" t="str">
        <f>IFERROR(__xludf.DUMMYFUNCTION("""COMPUTED_VALUE"""),"19898")</f>
        <v>19898</v>
      </c>
      <c r="C7841" t="str">
        <f>IFERROR(__xludf.DUMMYFUNCTION("""COMPUTED_VALUE"""),"Autohak")</f>
        <v>Autohak</v>
      </c>
    </row>
    <row r="7842">
      <c r="A7842" t="str">
        <f>IFERROR(__xludf.DUMMYFUNCTION("""COMPUTED_VALUE"""),"C53")</f>
        <v>C53</v>
      </c>
      <c r="B7842" s="226" t="str">
        <f>IFERROR(__xludf.DUMMYFUNCTION("""COMPUTED_VALUE"""),"17511")</f>
        <v>17511</v>
      </c>
      <c r="C7842" t="str">
        <f>IFERROR(__xludf.DUMMYFUNCTION("""COMPUTED_VALUE"""),"Autohak")</f>
        <v>Autohak</v>
      </c>
    </row>
    <row r="7843">
      <c r="A7843" t="str">
        <f>IFERROR(__xludf.DUMMYFUNCTION("""COMPUTED_VALUE"""),"C53A")</f>
        <v>C53A</v>
      </c>
      <c r="B7843" s="226" t="str">
        <f>IFERROR(__xludf.DUMMYFUNCTION("""COMPUTED_VALUE"""),"19515")</f>
        <v>19515</v>
      </c>
      <c r="C7843" t="str">
        <f>IFERROR(__xludf.DUMMYFUNCTION("""COMPUTED_VALUE"""),"Autohak")</f>
        <v>Autohak</v>
      </c>
    </row>
    <row r="7844">
      <c r="A7844" t="str">
        <f>IFERROR(__xludf.DUMMYFUNCTION("""COMPUTED_VALUE"""),"C53V")</f>
        <v>C53V</v>
      </c>
      <c r="B7844" s="226" t="str">
        <f>IFERROR(__xludf.DUMMYFUNCTION("""COMPUTED_VALUE"""),"19973")</f>
        <v>19973</v>
      </c>
      <c r="C7844" t="str">
        <f>IFERROR(__xludf.DUMMYFUNCTION("""COMPUTED_VALUE"""),"Autohak")</f>
        <v>Autohak</v>
      </c>
    </row>
    <row r="7845">
      <c r="A7845" t="str">
        <f>IFERROR(__xludf.DUMMYFUNCTION("""COMPUTED_VALUE"""),"C53")</f>
        <v>C53</v>
      </c>
      <c r="B7845" s="226" t="str">
        <f>IFERROR(__xludf.DUMMYFUNCTION("""COMPUTED_VALUE"""),"17511")</f>
        <v>17511</v>
      </c>
      <c r="C7845" t="str">
        <f>IFERROR(__xludf.DUMMYFUNCTION("""COMPUTED_VALUE"""),"Autohak")</f>
        <v>Autohak</v>
      </c>
    </row>
    <row r="7846">
      <c r="A7846" t="str">
        <f>IFERROR(__xludf.DUMMYFUNCTION("""COMPUTED_VALUE"""),"C53A")</f>
        <v>C53A</v>
      </c>
      <c r="B7846" s="226" t="str">
        <f>IFERROR(__xludf.DUMMYFUNCTION("""COMPUTED_VALUE"""),"19515")</f>
        <v>19515</v>
      </c>
      <c r="C7846" t="str">
        <f>IFERROR(__xludf.DUMMYFUNCTION("""COMPUTED_VALUE"""),"Autohak")</f>
        <v>Autohak</v>
      </c>
    </row>
    <row r="7847">
      <c r="A7847" t="str">
        <f>IFERROR(__xludf.DUMMYFUNCTION("""COMPUTED_VALUE"""),"C53V")</f>
        <v>C53V</v>
      </c>
      <c r="B7847" s="226" t="str">
        <f>IFERROR(__xludf.DUMMYFUNCTION("""COMPUTED_VALUE"""),"19973")</f>
        <v>19973</v>
      </c>
      <c r="C7847" t="str">
        <f>IFERROR(__xludf.DUMMYFUNCTION("""COMPUTED_VALUE"""),"Autohak")</f>
        <v>Autohak</v>
      </c>
    </row>
    <row r="7848">
      <c r="A7848" t="str">
        <f>IFERROR(__xludf.DUMMYFUNCTION("""COMPUTED_VALUE"""),"C60")</f>
        <v>C60</v>
      </c>
      <c r="B7848" s="226" t="str">
        <f>IFERROR(__xludf.DUMMYFUNCTION("""COMPUTED_VALUE"""),"17580")</f>
        <v>17580</v>
      </c>
      <c r="C7848" t="str">
        <f>IFERROR(__xludf.DUMMYFUNCTION("""COMPUTED_VALUE"""),"Autohak")</f>
        <v>Autohak</v>
      </c>
    </row>
    <row r="7849">
      <c r="A7849" t="str">
        <f>IFERROR(__xludf.DUMMYFUNCTION("""COMPUTED_VALUE"""),"C60A")</f>
        <v>C60A</v>
      </c>
      <c r="B7849" s="226" t="str">
        <f>IFERROR(__xludf.DUMMYFUNCTION("""COMPUTED_VALUE"""),"19560")</f>
        <v>19560</v>
      </c>
      <c r="C7849" t="str">
        <f>IFERROR(__xludf.DUMMYFUNCTION("""COMPUTED_VALUE"""),"Autohak")</f>
        <v>Autohak</v>
      </c>
    </row>
    <row r="7850">
      <c r="A7850" t="str">
        <f>IFERROR(__xludf.DUMMYFUNCTION("""COMPUTED_VALUE"""),"C60V")</f>
        <v>C60V</v>
      </c>
      <c r="B7850" s="226" t="str">
        <f>IFERROR(__xludf.DUMMYFUNCTION("""COMPUTED_VALUE"""),"19942")</f>
        <v>19942</v>
      </c>
      <c r="C7850" t="str">
        <f>IFERROR(__xludf.DUMMYFUNCTION("""COMPUTED_VALUE"""),"Autohak")</f>
        <v>Autohak</v>
      </c>
    </row>
    <row r="7851">
      <c r="A7851" t="str">
        <f>IFERROR(__xludf.DUMMYFUNCTION("""COMPUTED_VALUE"""),"C60")</f>
        <v>C60</v>
      </c>
      <c r="B7851" s="226" t="str">
        <f>IFERROR(__xludf.DUMMYFUNCTION("""COMPUTED_VALUE"""),"17580")</f>
        <v>17580</v>
      </c>
      <c r="C7851" t="str">
        <f>IFERROR(__xludf.DUMMYFUNCTION("""COMPUTED_VALUE"""),"Autohak")</f>
        <v>Autohak</v>
      </c>
    </row>
    <row r="7852">
      <c r="A7852" t="str">
        <f>IFERROR(__xludf.DUMMYFUNCTION("""COMPUTED_VALUE"""),"C60A")</f>
        <v>C60A</v>
      </c>
      <c r="B7852" s="226" t="str">
        <f>IFERROR(__xludf.DUMMYFUNCTION("""COMPUTED_VALUE"""),"19560")</f>
        <v>19560</v>
      </c>
      <c r="C7852" t="str">
        <f>IFERROR(__xludf.DUMMYFUNCTION("""COMPUTED_VALUE"""),"Autohak")</f>
        <v>Autohak</v>
      </c>
    </row>
    <row r="7853">
      <c r="A7853" t="str">
        <f>IFERROR(__xludf.DUMMYFUNCTION("""COMPUTED_VALUE"""),"C60V")</f>
        <v>C60V</v>
      </c>
      <c r="B7853" s="226" t="str">
        <f>IFERROR(__xludf.DUMMYFUNCTION("""COMPUTED_VALUE"""),"19942")</f>
        <v>19942</v>
      </c>
      <c r="C7853" t="str">
        <f>IFERROR(__xludf.DUMMYFUNCTION("""COMPUTED_VALUE"""),"Autohak")</f>
        <v>Autohak</v>
      </c>
    </row>
    <row r="7854">
      <c r="A7854" t="str">
        <f>IFERROR(__xludf.DUMMYFUNCTION("""COMPUTED_VALUE"""),"V18")</f>
        <v>V18</v>
      </c>
      <c r="B7854" s="226" t="str">
        <f>IFERROR(__xludf.DUMMYFUNCTION("""COMPUTED_VALUE"""),"38202")</f>
        <v>38202</v>
      </c>
      <c r="C7854" t="str">
        <f>IFERROR(__xludf.DUMMYFUNCTION("""COMPUTED_VALUE"""),"Autohak")</f>
        <v>Autohak</v>
      </c>
    </row>
    <row r="7855">
      <c r="A7855" t="str">
        <f>IFERROR(__xludf.DUMMYFUNCTION("""COMPUTED_VALUE"""),"C45")</f>
        <v>C45</v>
      </c>
      <c r="B7855" s="226" t="str">
        <f>IFERROR(__xludf.DUMMYFUNCTION("""COMPUTED_VALUE"""),"17238")</f>
        <v>17238</v>
      </c>
      <c r="C7855" t="str">
        <f>IFERROR(__xludf.DUMMYFUNCTION("""COMPUTED_VALUE"""),"Autohak")</f>
        <v>Autohak</v>
      </c>
    </row>
    <row r="7856">
      <c r="A7856" t="str">
        <f>IFERROR(__xludf.DUMMYFUNCTION("""COMPUTED_VALUE"""),"C45A")</f>
        <v>C45A</v>
      </c>
      <c r="B7856" s="226" t="str">
        <f>IFERROR(__xludf.DUMMYFUNCTION("""COMPUTED_VALUE"""),"19232")</f>
        <v>19232</v>
      </c>
      <c r="C7856" t="str">
        <f>IFERROR(__xludf.DUMMYFUNCTION("""COMPUTED_VALUE"""),"Autohak")</f>
        <v>Autohak</v>
      </c>
    </row>
    <row r="7857">
      <c r="A7857" t="str">
        <f>IFERROR(__xludf.DUMMYFUNCTION("""COMPUTED_VALUE"""),"C014")</f>
        <v>C014</v>
      </c>
      <c r="B7857" s="226" t="str">
        <f>IFERROR(__xludf.DUMMYFUNCTION("""COMPUTED_VALUE"""),"17245")</f>
        <v>17245</v>
      </c>
      <c r="C7857" t="str">
        <f>IFERROR(__xludf.DUMMYFUNCTION("""COMPUTED_VALUE"""),"Autohak")</f>
        <v>Autohak</v>
      </c>
    </row>
    <row r="7858">
      <c r="A7858" t="str">
        <f>IFERROR(__xludf.DUMMYFUNCTION("""COMPUTED_VALUE"""),"C014A")</f>
        <v>C014A</v>
      </c>
      <c r="B7858" s="226" t="str">
        <f>IFERROR(__xludf.DUMMYFUNCTION("""COMPUTED_VALUE"""),"19249")</f>
        <v>19249</v>
      </c>
      <c r="C7858" t="str">
        <f>IFERROR(__xludf.DUMMYFUNCTION("""COMPUTED_VALUE"""),"Autohak")</f>
        <v>Autohak</v>
      </c>
    </row>
    <row r="7859">
      <c r="A7859" t="str">
        <f>IFERROR(__xludf.DUMMYFUNCTION("""COMPUTED_VALUE"""),"C19")</f>
        <v>C19</v>
      </c>
      <c r="B7859" s="226" t="str">
        <f>IFERROR(__xludf.DUMMYFUNCTION("""COMPUTED_VALUE"""),"17252")</f>
        <v>17252</v>
      </c>
      <c r="C7859" t="str">
        <f>IFERROR(__xludf.DUMMYFUNCTION("""COMPUTED_VALUE"""),"Autohak")</f>
        <v>Autohak</v>
      </c>
    </row>
    <row r="7860">
      <c r="A7860" t="str">
        <f>IFERROR(__xludf.DUMMYFUNCTION("""COMPUTED_VALUE"""),"C19A")</f>
        <v>C19A</v>
      </c>
      <c r="B7860" s="226" t="str">
        <f>IFERROR(__xludf.DUMMYFUNCTION("""COMPUTED_VALUE"""),"19256")</f>
        <v>19256</v>
      </c>
      <c r="C7860" t="str">
        <f>IFERROR(__xludf.DUMMYFUNCTION("""COMPUTED_VALUE"""),"Autohak")</f>
        <v>Autohak</v>
      </c>
    </row>
    <row r="7861">
      <c r="A7861" t="str">
        <f>IFERROR(__xludf.DUMMYFUNCTION("""COMPUTED_VALUE"""),"C36")</f>
        <v>C36</v>
      </c>
      <c r="B7861" s="226" t="str">
        <f>IFERROR(__xludf.DUMMYFUNCTION("""COMPUTED_VALUE"""),"17269")</f>
        <v>17269</v>
      </c>
      <c r="C7861" t="str">
        <f>IFERROR(__xludf.DUMMYFUNCTION("""COMPUTED_VALUE"""),"Autohak")</f>
        <v>Autohak</v>
      </c>
    </row>
    <row r="7862">
      <c r="A7862" t="str">
        <f>IFERROR(__xludf.DUMMYFUNCTION("""COMPUTED_VALUE"""),"C36A")</f>
        <v>C36A</v>
      </c>
      <c r="B7862" s="226" t="str">
        <f>IFERROR(__xludf.DUMMYFUNCTION("""COMPUTED_VALUE"""),"19263")</f>
        <v>19263</v>
      </c>
      <c r="C7862" t="str">
        <f>IFERROR(__xludf.DUMMYFUNCTION("""COMPUTED_VALUE"""),"Autohak")</f>
        <v>Autohak</v>
      </c>
    </row>
    <row r="7863">
      <c r="A7863" t="str">
        <f>IFERROR(__xludf.DUMMYFUNCTION("""COMPUTED_VALUE"""),"C50")</f>
        <v>C50</v>
      </c>
      <c r="B7863" s="226" t="str">
        <f>IFERROR(__xludf.DUMMYFUNCTION("""COMPUTED_VALUE"""),"17481")</f>
        <v>17481</v>
      </c>
      <c r="C7863" t="str">
        <f>IFERROR(__xludf.DUMMYFUNCTION("""COMPUTED_VALUE"""),"Autohak")</f>
        <v>Autohak</v>
      </c>
    </row>
    <row r="7864">
      <c r="A7864" t="str">
        <f>IFERROR(__xludf.DUMMYFUNCTION("""COMPUTED_VALUE"""),"C50A")</f>
        <v>C50A</v>
      </c>
      <c r="B7864" s="226" t="str">
        <f>IFERROR(__xludf.DUMMYFUNCTION("""COMPUTED_VALUE"""),"19485")</f>
        <v>19485</v>
      </c>
      <c r="C7864" t="str">
        <f>IFERROR(__xludf.DUMMYFUNCTION("""COMPUTED_VALUE"""),"Autohak")</f>
        <v>Autohak</v>
      </c>
    </row>
    <row r="7865">
      <c r="A7865" t="str">
        <f>IFERROR(__xludf.DUMMYFUNCTION("""COMPUTED_VALUE"""),"C54")</f>
        <v>C54</v>
      </c>
      <c r="B7865" s="226" t="str">
        <f>IFERROR(__xludf.DUMMYFUNCTION("""COMPUTED_VALUE"""),"17528")</f>
        <v>17528</v>
      </c>
      <c r="C7865" t="str">
        <f>IFERROR(__xludf.DUMMYFUNCTION("""COMPUTED_VALUE"""),"Autohak")</f>
        <v>Autohak</v>
      </c>
    </row>
    <row r="7866">
      <c r="A7866" t="str">
        <f>IFERROR(__xludf.DUMMYFUNCTION("""COMPUTED_VALUE"""),"C54A")</f>
        <v>C54A</v>
      </c>
      <c r="B7866" s="226" t="str">
        <f>IFERROR(__xludf.DUMMYFUNCTION("""COMPUTED_VALUE"""),"19522")</f>
        <v>19522</v>
      </c>
      <c r="C7866" t="str">
        <f>IFERROR(__xludf.DUMMYFUNCTION("""COMPUTED_VALUE"""),"Autohak")</f>
        <v>Autohak</v>
      </c>
    </row>
    <row r="7867">
      <c r="A7867" t="str">
        <f>IFERROR(__xludf.DUMMYFUNCTION("""COMPUTED_VALUE"""),"C65")</f>
        <v>C65</v>
      </c>
      <c r="B7867" s="226" t="str">
        <f>IFERROR(__xludf.DUMMYFUNCTION("""COMPUTED_VALUE"""),"17634")</f>
        <v>17634</v>
      </c>
      <c r="C7867" t="str">
        <f>IFERROR(__xludf.DUMMYFUNCTION("""COMPUTED_VALUE"""),"Autohak")</f>
        <v>Autohak</v>
      </c>
    </row>
    <row r="7868">
      <c r="A7868" t="str">
        <f>IFERROR(__xludf.DUMMYFUNCTION("""COMPUTED_VALUE"""),"C65A")</f>
        <v>C65A</v>
      </c>
      <c r="B7868" s="226" t="str">
        <f>IFERROR(__xludf.DUMMYFUNCTION("""COMPUTED_VALUE"""),"19614")</f>
        <v>19614</v>
      </c>
      <c r="C7868" t="str">
        <f>IFERROR(__xludf.DUMMYFUNCTION("""COMPUTED_VALUE"""),"Autohak")</f>
        <v>Autohak</v>
      </c>
    </row>
    <row r="7869">
      <c r="A7869" t="str">
        <f>IFERROR(__xludf.DUMMYFUNCTION("""COMPUTED_VALUE"""),"C65V")</f>
        <v>C65V</v>
      </c>
      <c r="B7869" s="226" t="str">
        <f>IFERROR(__xludf.DUMMYFUNCTION("""COMPUTED_VALUE"""),"19911")</f>
        <v>19911</v>
      </c>
      <c r="C7869" t="str">
        <f>IFERROR(__xludf.DUMMYFUNCTION("""COMPUTED_VALUE"""),"Autohak")</f>
        <v>Autohak</v>
      </c>
    </row>
    <row r="7870">
      <c r="A7870" t="str">
        <f>IFERROR(__xludf.DUMMYFUNCTION("""COMPUTED_VALUE"""),"C14")</f>
        <v>C14</v>
      </c>
      <c r="B7870" s="226" t="str">
        <f>IFERROR(__xludf.DUMMYFUNCTION("""COMPUTED_VALUE"""),"17276")</f>
        <v>17276</v>
      </c>
      <c r="C7870" t="str">
        <f>IFERROR(__xludf.DUMMYFUNCTION("""COMPUTED_VALUE"""),"Autohak")</f>
        <v>Autohak</v>
      </c>
    </row>
    <row r="7871">
      <c r="A7871" t="str">
        <f>IFERROR(__xludf.DUMMYFUNCTION("""COMPUTED_VALUE"""),"C14A")</f>
        <v>C14A</v>
      </c>
      <c r="B7871" s="226" t="str">
        <f>IFERROR(__xludf.DUMMYFUNCTION("""COMPUTED_VALUE"""),"19270")</f>
        <v>19270</v>
      </c>
      <c r="C7871" t="str">
        <f>IFERROR(__xludf.DUMMYFUNCTION("""COMPUTED_VALUE"""),"Autohak")</f>
        <v>Autohak</v>
      </c>
    </row>
    <row r="7872">
      <c r="A7872" t="str">
        <f>IFERROR(__xludf.DUMMYFUNCTION("""COMPUTED_VALUE"""),"C20")</f>
        <v>C20</v>
      </c>
      <c r="B7872" s="226" t="str">
        <f>IFERROR(__xludf.DUMMYFUNCTION("""COMPUTED_VALUE"""),"17283")</f>
        <v>17283</v>
      </c>
      <c r="C7872" t="str">
        <f>IFERROR(__xludf.DUMMYFUNCTION("""COMPUTED_VALUE"""),"Autohak")</f>
        <v>Autohak</v>
      </c>
    </row>
    <row r="7873">
      <c r="A7873" t="str">
        <f>IFERROR(__xludf.DUMMYFUNCTION("""COMPUTED_VALUE"""),"C20A")</f>
        <v>C20A</v>
      </c>
      <c r="B7873" s="226" t="str">
        <f>IFERROR(__xludf.DUMMYFUNCTION("""COMPUTED_VALUE"""),"19287")</f>
        <v>19287</v>
      </c>
      <c r="C7873" t="str">
        <f>IFERROR(__xludf.DUMMYFUNCTION("""COMPUTED_VALUE"""),"Autohak")</f>
        <v>Autohak</v>
      </c>
    </row>
    <row r="7874">
      <c r="A7874" t="str">
        <f>IFERROR(__xludf.DUMMYFUNCTION("""COMPUTED_VALUE"""),"C38")</f>
        <v>C38</v>
      </c>
      <c r="B7874" s="226" t="str">
        <f>IFERROR(__xludf.DUMMYFUNCTION("""COMPUTED_VALUE"""),"17290")</f>
        <v>17290</v>
      </c>
      <c r="C7874" t="str">
        <f>IFERROR(__xludf.DUMMYFUNCTION("""COMPUTED_VALUE"""),"Autohak")</f>
        <v>Autohak</v>
      </c>
    </row>
    <row r="7875">
      <c r="A7875" t="str">
        <f>IFERROR(__xludf.DUMMYFUNCTION("""COMPUTED_VALUE"""),"C38A")</f>
        <v>C38A</v>
      </c>
      <c r="B7875" s="226" t="str">
        <f>IFERROR(__xludf.DUMMYFUNCTION("""COMPUTED_VALUE"""),"19294")</f>
        <v>19294</v>
      </c>
      <c r="C7875" t="str">
        <f>IFERROR(__xludf.DUMMYFUNCTION("""COMPUTED_VALUE"""),"Autohak")</f>
        <v>Autohak</v>
      </c>
    </row>
    <row r="7876">
      <c r="A7876" t="str">
        <f>IFERROR(__xludf.DUMMYFUNCTION("""COMPUTED_VALUE"""),"C50")</f>
        <v>C50</v>
      </c>
      <c r="B7876" s="226" t="str">
        <f>IFERROR(__xludf.DUMMYFUNCTION("""COMPUTED_VALUE"""),"17481")</f>
        <v>17481</v>
      </c>
      <c r="C7876" t="str">
        <f>IFERROR(__xludf.DUMMYFUNCTION("""COMPUTED_VALUE"""),"Autohak")</f>
        <v>Autohak</v>
      </c>
    </row>
    <row r="7877">
      <c r="A7877" t="str">
        <f>IFERROR(__xludf.DUMMYFUNCTION("""COMPUTED_VALUE"""),"C50A")</f>
        <v>C50A</v>
      </c>
      <c r="B7877" s="226" t="str">
        <f>IFERROR(__xludf.DUMMYFUNCTION("""COMPUTED_VALUE"""),"19485")</f>
        <v>19485</v>
      </c>
      <c r="C7877" t="str">
        <f>IFERROR(__xludf.DUMMYFUNCTION("""COMPUTED_VALUE"""),"Autohak")</f>
        <v>Autohak</v>
      </c>
    </row>
    <row r="7878">
      <c r="A7878" t="str">
        <f>IFERROR(__xludf.DUMMYFUNCTION("""COMPUTED_VALUE"""),"C65")</f>
        <v>C65</v>
      </c>
      <c r="B7878" s="226" t="str">
        <f>IFERROR(__xludf.DUMMYFUNCTION("""COMPUTED_VALUE"""),"17634")</f>
        <v>17634</v>
      </c>
      <c r="C7878" t="str">
        <f>IFERROR(__xludf.DUMMYFUNCTION("""COMPUTED_VALUE"""),"Autohak")</f>
        <v>Autohak</v>
      </c>
    </row>
    <row r="7879">
      <c r="A7879" t="str">
        <f>IFERROR(__xludf.DUMMYFUNCTION("""COMPUTED_VALUE"""),"C65A")</f>
        <v>C65A</v>
      </c>
      <c r="B7879" s="226" t="str">
        <f>IFERROR(__xludf.DUMMYFUNCTION("""COMPUTED_VALUE"""),"19614")</f>
        <v>19614</v>
      </c>
      <c r="C7879" t="str">
        <f>IFERROR(__xludf.DUMMYFUNCTION("""COMPUTED_VALUE"""),"Autohak")</f>
        <v>Autohak</v>
      </c>
    </row>
    <row r="7880">
      <c r="A7880" t="str">
        <f>IFERROR(__xludf.DUMMYFUNCTION("""COMPUTED_VALUE"""),"C65V")</f>
        <v>C65V</v>
      </c>
      <c r="B7880" s="226" t="str">
        <f>IFERROR(__xludf.DUMMYFUNCTION("""COMPUTED_VALUE"""),"19911")</f>
        <v>19911</v>
      </c>
      <c r="C7880" t="str">
        <f>IFERROR(__xludf.DUMMYFUNCTION("""COMPUTED_VALUE"""),"Autohak")</f>
        <v>Autohak</v>
      </c>
    </row>
    <row r="7881">
      <c r="A7881" t="str">
        <f>IFERROR(__xludf.DUMMYFUNCTION("""COMPUTED_VALUE"""),"C40")</f>
        <v>C40</v>
      </c>
      <c r="B7881" s="226" t="str">
        <f>IFERROR(__xludf.DUMMYFUNCTION("""COMPUTED_VALUE"""),"17061")</f>
        <v>17061</v>
      </c>
      <c r="C7881" t="str">
        <f>IFERROR(__xludf.DUMMYFUNCTION("""COMPUTED_VALUE"""),"Autohak")</f>
        <v>Autohak</v>
      </c>
    </row>
    <row r="7882">
      <c r="A7882" t="str">
        <f>IFERROR(__xludf.DUMMYFUNCTION("""COMPUTED_VALUE"""),"C40A")</f>
        <v>C40A</v>
      </c>
      <c r="B7882" s="226" t="str">
        <f>IFERROR(__xludf.DUMMYFUNCTION("""COMPUTED_VALUE"""),"19065")</f>
        <v>19065</v>
      </c>
      <c r="C7882" t="str">
        <f>IFERROR(__xludf.DUMMYFUNCTION("""COMPUTED_VALUE"""),"Autohak")</f>
        <v>Autohak</v>
      </c>
    </row>
    <row r="7883">
      <c r="A7883" t="str">
        <f>IFERROR(__xludf.DUMMYFUNCTION("""COMPUTED_VALUE"""),"C41")</f>
        <v>C41</v>
      </c>
      <c r="B7883" s="226" t="str">
        <f>IFERROR(__xludf.DUMMYFUNCTION("""COMPUTED_VALUE"""),"17306")</f>
        <v>17306</v>
      </c>
      <c r="C7883" t="str">
        <f>IFERROR(__xludf.DUMMYFUNCTION("""COMPUTED_VALUE"""),"Autohak")</f>
        <v>Autohak</v>
      </c>
    </row>
    <row r="7884">
      <c r="A7884" t="str">
        <f>IFERROR(__xludf.DUMMYFUNCTION("""COMPUTED_VALUE"""),"C41")</f>
        <v>C41</v>
      </c>
      <c r="B7884" s="226" t="str">
        <f>IFERROR(__xludf.DUMMYFUNCTION("""COMPUTED_VALUE"""),"17306")</f>
        <v>17306</v>
      </c>
      <c r="C7884" t="str">
        <f>IFERROR(__xludf.DUMMYFUNCTION("""COMPUTED_VALUE"""),"Autohak")</f>
        <v>Autohak</v>
      </c>
    </row>
    <row r="7885">
      <c r="A7885" t="str">
        <f>IFERROR(__xludf.DUMMYFUNCTION("""COMPUTED_VALUE"""),"C59")</f>
        <v>C59</v>
      </c>
      <c r="B7885" s="226" t="str">
        <f>IFERROR(__xludf.DUMMYFUNCTION("""COMPUTED_VALUE"""),"17573")</f>
        <v>17573</v>
      </c>
      <c r="C7885" t="str">
        <f>IFERROR(__xludf.DUMMYFUNCTION("""COMPUTED_VALUE"""),"Autohak")</f>
        <v>Autohak</v>
      </c>
    </row>
    <row r="7886">
      <c r="A7886" t="str">
        <f>IFERROR(__xludf.DUMMYFUNCTION("""COMPUTED_VALUE"""),"C59")</f>
        <v>C59</v>
      </c>
      <c r="B7886" s="226" t="str">
        <f>IFERROR(__xludf.DUMMYFUNCTION("""COMPUTED_VALUE"""),"17573")</f>
        <v>17573</v>
      </c>
      <c r="C7886" t="str">
        <f>IFERROR(__xludf.DUMMYFUNCTION("""COMPUTED_VALUE"""),"Autohak")</f>
        <v>Autohak</v>
      </c>
    </row>
    <row r="7887">
      <c r="A7887" t="str">
        <f>IFERROR(__xludf.DUMMYFUNCTION("""COMPUTED_VALUE"""),"C30")</f>
        <v>C30</v>
      </c>
      <c r="B7887" s="226" t="str">
        <f>IFERROR(__xludf.DUMMYFUNCTION("""COMPUTED_VALUE"""),"17320")</f>
        <v>17320</v>
      </c>
      <c r="C7887" t="str">
        <f>IFERROR(__xludf.DUMMYFUNCTION("""COMPUTED_VALUE"""),"Autohak")</f>
        <v>Autohak</v>
      </c>
    </row>
    <row r="7888">
      <c r="A7888" t="str">
        <f>IFERROR(__xludf.DUMMYFUNCTION("""COMPUTED_VALUE"""),"C30A")</f>
        <v>C30A</v>
      </c>
      <c r="B7888" s="226" t="str">
        <f>IFERROR(__xludf.DUMMYFUNCTION("""COMPUTED_VALUE"""),"19324")</f>
        <v>19324</v>
      </c>
      <c r="C7888" t="str">
        <f>IFERROR(__xludf.DUMMYFUNCTION("""COMPUTED_VALUE"""),"Autohak")</f>
        <v>Autohak</v>
      </c>
    </row>
    <row r="7889">
      <c r="A7889" t="str">
        <f>IFERROR(__xludf.DUMMYFUNCTION("""COMPUTED_VALUE"""),"C49")</f>
        <v>C49</v>
      </c>
      <c r="B7889" s="226" t="str">
        <f>IFERROR(__xludf.DUMMYFUNCTION("""COMPUTED_VALUE"""),"17474")</f>
        <v>17474</v>
      </c>
      <c r="C7889" t="str">
        <f>IFERROR(__xludf.DUMMYFUNCTION("""COMPUTED_VALUE"""),"Autohak")</f>
        <v>Autohak</v>
      </c>
    </row>
    <row r="7890">
      <c r="A7890" t="str">
        <f>IFERROR(__xludf.DUMMYFUNCTION("""COMPUTED_VALUE"""),"C49A")</f>
        <v>C49A</v>
      </c>
      <c r="B7890" s="226" t="str">
        <f>IFERROR(__xludf.DUMMYFUNCTION("""COMPUTED_VALUE"""),"19478")</f>
        <v>19478</v>
      </c>
      <c r="C7890" t="str">
        <f>IFERROR(__xludf.DUMMYFUNCTION("""COMPUTED_VALUE"""),"Autohak")</f>
        <v>Autohak</v>
      </c>
    </row>
    <row r="7891">
      <c r="A7891" t="str">
        <f>IFERROR(__xludf.DUMMYFUNCTION("""COMPUTED_VALUE"""),"C49V")</f>
        <v>C49V</v>
      </c>
      <c r="B7891" s="226" t="str">
        <f>IFERROR(__xludf.DUMMYFUNCTION("""COMPUTED_VALUE"""),"19867")</f>
        <v>19867</v>
      </c>
      <c r="C7891" t="str">
        <f>IFERROR(__xludf.DUMMYFUNCTION("""COMPUTED_VALUE"""),"Autohak")</f>
        <v>Autohak</v>
      </c>
    </row>
    <row r="7892">
      <c r="A7892" t="str">
        <f>IFERROR(__xludf.DUMMYFUNCTION("""COMPUTED_VALUE"""),"C17")</f>
        <v>C17</v>
      </c>
      <c r="B7892" s="226" t="str">
        <f>IFERROR(__xludf.DUMMYFUNCTION("""COMPUTED_VALUE"""),"17405")</f>
        <v>17405</v>
      </c>
      <c r="C7892" t="str">
        <f>IFERROR(__xludf.DUMMYFUNCTION("""COMPUTED_VALUE"""),"Autohak")</f>
        <v>Autohak</v>
      </c>
    </row>
    <row r="7893">
      <c r="A7893" t="str">
        <f>IFERROR(__xludf.DUMMYFUNCTION("""COMPUTED_VALUE"""),"C18")</f>
        <v>C18</v>
      </c>
      <c r="B7893" s="226" t="str">
        <f>IFERROR(__xludf.DUMMYFUNCTION("""COMPUTED_VALUE"""),"17412")</f>
        <v>17412</v>
      </c>
      <c r="C7893" t="str">
        <f>IFERROR(__xludf.DUMMYFUNCTION("""COMPUTED_VALUE"""),"Autohak")</f>
        <v>Autohak</v>
      </c>
    </row>
    <row r="7894">
      <c r="A7894" t="str">
        <f>IFERROR(__xludf.DUMMYFUNCTION("""COMPUTED_VALUE"""),"C18A")</f>
        <v>C18A</v>
      </c>
      <c r="B7894" s="226" t="str">
        <f>IFERROR(__xludf.DUMMYFUNCTION("""COMPUTED_VALUE"""),"19416")</f>
        <v>19416</v>
      </c>
      <c r="C7894" t="str">
        <f>IFERROR(__xludf.DUMMYFUNCTION("""COMPUTED_VALUE"""),"Autohak")</f>
        <v>Autohak</v>
      </c>
    </row>
    <row r="7895">
      <c r="A7895" t="str">
        <f>IFERROR(__xludf.DUMMYFUNCTION("""COMPUTED_VALUE"""),"C35")</f>
        <v>C35</v>
      </c>
      <c r="B7895" s="226" t="str">
        <f>IFERROR(__xludf.DUMMYFUNCTION("""COMPUTED_VALUE"""),"17429")</f>
        <v>17429</v>
      </c>
      <c r="C7895" t="str">
        <f>IFERROR(__xludf.DUMMYFUNCTION("""COMPUTED_VALUE"""),"Autohak")</f>
        <v>Autohak</v>
      </c>
    </row>
    <row r="7896">
      <c r="A7896" t="str">
        <f>IFERROR(__xludf.DUMMYFUNCTION("""COMPUTED_VALUE"""),"C35")</f>
        <v>C35</v>
      </c>
      <c r="B7896" s="226" t="str">
        <f>IFERROR(__xludf.DUMMYFUNCTION("""COMPUTED_VALUE"""),"17429")</f>
        <v>17429</v>
      </c>
      <c r="C7896" t="str">
        <f>IFERROR(__xludf.DUMMYFUNCTION("""COMPUTED_VALUE"""),"Autohak")</f>
        <v>Autohak</v>
      </c>
    </row>
    <row r="7897">
      <c r="A7897" t="str">
        <f>IFERROR(__xludf.DUMMYFUNCTION("""COMPUTED_VALUE"""),"C61")</f>
        <v>C61</v>
      </c>
      <c r="B7897" s="226" t="str">
        <f>IFERROR(__xludf.DUMMYFUNCTION("""COMPUTED_VALUE"""),"17597")</f>
        <v>17597</v>
      </c>
      <c r="C7897" t="str">
        <f>IFERROR(__xludf.DUMMYFUNCTION("""COMPUTED_VALUE"""),"Autohak")</f>
        <v>Autohak</v>
      </c>
    </row>
    <row r="7898">
      <c r="A7898" t="str">
        <f>IFERROR(__xludf.DUMMYFUNCTION("""COMPUTED_VALUE"""),"C61")</f>
        <v>C61</v>
      </c>
      <c r="B7898" s="226" t="str">
        <f>IFERROR(__xludf.DUMMYFUNCTION("""COMPUTED_VALUE"""),"17597")</f>
        <v>17597</v>
      </c>
      <c r="C7898" t="str">
        <f>IFERROR(__xludf.DUMMYFUNCTION("""COMPUTED_VALUE"""),"Autohak")</f>
        <v>Autohak</v>
      </c>
    </row>
    <row r="7899">
      <c r="A7899" t="str">
        <f>IFERROR(__xludf.DUMMYFUNCTION("""COMPUTED_VALUE"""),"C21")</f>
        <v>C21</v>
      </c>
      <c r="B7899" s="226" t="str">
        <f>IFERROR(__xludf.DUMMYFUNCTION("""COMPUTED_VALUE"""),"17436")</f>
        <v>17436</v>
      </c>
      <c r="C7899" t="str">
        <f>IFERROR(__xludf.DUMMYFUNCTION("""COMPUTED_VALUE"""),"Autohak")</f>
        <v>Autohak</v>
      </c>
    </row>
    <row r="7900">
      <c r="A7900" t="str">
        <f>IFERROR(__xludf.DUMMYFUNCTION("""COMPUTED_VALUE"""),"C37")</f>
        <v>C37</v>
      </c>
      <c r="B7900" s="226" t="str">
        <f>IFERROR(__xludf.DUMMYFUNCTION("""COMPUTED_VALUE"""),"17443")</f>
        <v>17443</v>
      </c>
      <c r="C7900" t="str">
        <f>IFERROR(__xludf.DUMMYFUNCTION("""COMPUTED_VALUE"""),"Autohak")</f>
        <v>Autohak</v>
      </c>
    </row>
    <row r="7901">
      <c r="A7901" t="str">
        <f>IFERROR(__xludf.DUMMYFUNCTION("""COMPUTED_VALUE"""),"C37")</f>
        <v>C37</v>
      </c>
      <c r="B7901" s="226" t="str">
        <f>IFERROR(__xludf.DUMMYFUNCTION("""COMPUTED_VALUE"""),"17443")</f>
        <v>17443</v>
      </c>
      <c r="C7901" t="str">
        <f>IFERROR(__xludf.DUMMYFUNCTION("""COMPUTED_VALUE"""),"Autohak")</f>
        <v>Autohak</v>
      </c>
    </row>
    <row r="7902">
      <c r="A7902" t="str">
        <f>IFERROR(__xludf.DUMMYFUNCTION("""COMPUTED_VALUE"""),"C46")</f>
        <v>C46</v>
      </c>
      <c r="B7902" s="226" t="str">
        <f>IFERROR(__xludf.DUMMYFUNCTION("""COMPUTED_VALUE"""),"17665")</f>
        <v>17665</v>
      </c>
      <c r="C7902" t="str">
        <f>IFERROR(__xludf.DUMMYFUNCTION("""COMPUTED_VALUE"""),"Autohak")</f>
        <v>Autohak</v>
      </c>
    </row>
    <row r="7903">
      <c r="A7903" t="str">
        <f>IFERROR(__xludf.DUMMYFUNCTION("""COMPUTED_VALUE"""),"C46")</f>
        <v>C46</v>
      </c>
      <c r="B7903" s="226" t="str">
        <f>IFERROR(__xludf.DUMMYFUNCTION("""COMPUTED_VALUE"""),"17665")</f>
        <v>17665</v>
      </c>
      <c r="C7903" t="str">
        <f>IFERROR(__xludf.DUMMYFUNCTION("""COMPUTED_VALUE"""),"Autohak")</f>
        <v>Autohak</v>
      </c>
    </row>
    <row r="7904">
      <c r="A7904" t="str">
        <f>IFERROR(__xludf.DUMMYFUNCTION("""COMPUTED_VALUE"""),"C64")</f>
        <v>C64</v>
      </c>
      <c r="B7904" s="226" t="str">
        <f>IFERROR(__xludf.DUMMYFUNCTION("""COMPUTED_VALUE"""),"17627")</f>
        <v>17627</v>
      </c>
      <c r="C7904" t="str">
        <f>IFERROR(__xludf.DUMMYFUNCTION("""COMPUTED_VALUE"""),"Autohak")</f>
        <v>Autohak</v>
      </c>
    </row>
    <row r="7905">
      <c r="A7905" t="str">
        <f>IFERROR(__xludf.DUMMYFUNCTION("""COMPUTED_VALUE"""),"C64A")</f>
        <v>C64A</v>
      </c>
      <c r="B7905" s="226" t="str">
        <f>IFERROR(__xludf.DUMMYFUNCTION("""COMPUTED_VALUE"""),"19607")</f>
        <v>19607</v>
      </c>
      <c r="C7905" t="str">
        <f>IFERROR(__xludf.DUMMYFUNCTION("""COMPUTED_VALUE"""),"Autohak")</f>
        <v>Autohak</v>
      </c>
    </row>
    <row r="7906">
      <c r="A7906" t="str">
        <f>IFERROR(__xludf.DUMMYFUNCTION("""COMPUTED_VALUE"""),"C64V")</f>
        <v>C64V</v>
      </c>
      <c r="B7906" s="226" t="str">
        <f>IFERROR(__xludf.DUMMYFUNCTION("""COMPUTED_VALUE"""),"19928")</f>
        <v>19928</v>
      </c>
      <c r="C7906" t="str">
        <f>IFERROR(__xludf.DUMMYFUNCTION("""COMPUTED_VALUE"""),"Autohak")</f>
        <v>Autohak</v>
      </c>
    </row>
    <row r="7907">
      <c r="A7907" t="str">
        <f>IFERROR(__xludf.DUMMYFUNCTION("""COMPUTED_VALUE"""),"C63")</f>
        <v>C63</v>
      </c>
      <c r="B7907" s="226" t="str">
        <f>IFERROR(__xludf.DUMMYFUNCTION("""COMPUTED_VALUE"""),"17610")</f>
        <v>17610</v>
      </c>
      <c r="C7907" t="str">
        <f>IFERROR(__xludf.DUMMYFUNCTION("""COMPUTED_VALUE"""),"Autohak")</f>
        <v>Autohak</v>
      </c>
    </row>
    <row r="7908">
      <c r="A7908" t="str">
        <f>IFERROR(__xludf.DUMMYFUNCTION("""COMPUTED_VALUE"""),"C63A")</f>
        <v>C63A</v>
      </c>
      <c r="B7908" s="226" t="str">
        <f>IFERROR(__xludf.DUMMYFUNCTION("""COMPUTED_VALUE"""),"19591")</f>
        <v>19591</v>
      </c>
      <c r="C7908" t="str">
        <f>IFERROR(__xludf.DUMMYFUNCTION("""COMPUTED_VALUE"""),"Autohak")</f>
        <v>Autohak</v>
      </c>
    </row>
    <row r="7909">
      <c r="A7909" t="str">
        <f>IFERROR(__xludf.DUMMYFUNCTION("""COMPUTED_VALUE"""),"C58")</f>
        <v>C58</v>
      </c>
      <c r="B7909" s="226" t="str">
        <f>IFERROR(__xludf.DUMMYFUNCTION("""COMPUTED_VALUE"""),"17566")</f>
        <v>17566</v>
      </c>
      <c r="C7909" t="str">
        <f>IFERROR(__xludf.DUMMYFUNCTION("""COMPUTED_VALUE"""),"Autohak")</f>
        <v>Autohak</v>
      </c>
    </row>
    <row r="7910">
      <c r="A7910" t="str">
        <f>IFERROR(__xludf.DUMMYFUNCTION("""COMPUTED_VALUE"""),"C58A")</f>
        <v>C58A</v>
      </c>
      <c r="B7910" s="226" t="str">
        <f>IFERROR(__xludf.DUMMYFUNCTION("""COMPUTED_VALUE"""),"19577")</f>
        <v>19577</v>
      </c>
      <c r="C7910" t="str">
        <f>IFERROR(__xludf.DUMMYFUNCTION("""COMPUTED_VALUE"""),"Autohak")</f>
        <v>Autohak</v>
      </c>
    </row>
    <row r="7911">
      <c r="A7911" t="str">
        <f>IFERROR(__xludf.DUMMYFUNCTION("""COMPUTED_VALUE"""),"C58")</f>
        <v>C58</v>
      </c>
      <c r="B7911" s="226" t="str">
        <f>IFERROR(__xludf.DUMMYFUNCTION("""COMPUTED_VALUE"""),"17566")</f>
        <v>17566</v>
      </c>
      <c r="C7911" t="str">
        <f>IFERROR(__xludf.DUMMYFUNCTION("""COMPUTED_VALUE"""),"Autohak")</f>
        <v>Autohak</v>
      </c>
    </row>
    <row r="7912">
      <c r="A7912" t="str">
        <f>IFERROR(__xludf.DUMMYFUNCTION("""COMPUTED_VALUE"""),"C58A")</f>
        <v>C58A</v>
      </c>
      <c r="B7912" s="226" t="str">
        <f>IFERROR(__xludf.DUMMYFUNCTION("""COMPUTED_VALUE"""),"19577")</f>
        <v>19577</v>
      </c>
      <c r="C7912" t="str">
        <f>IFERROR(__xludf.DUMMYFUNCTION("""COMPUTED_VALUE"""),"Autohak")</f>
        <v>Autohak</v>
      </c>
    </row>
    <row r="7913">
      <c r="A7913" t="str">
        <f>IFERROR(__xludf.DUMMYFUNCTION("""COMPUTED_VALUE"""),"C58")</f>
        <v>C58</v>
      </c>
      <c r="B7913" s="226" t="str">
        <f>IFERROR(__xludf.DUMMYFUNCTION("""COMPUTED_VALUE"""),"17566")</f>
        <v>17566</v>
      </c>
      <c r="C7913" t="str">
        <f>IFERROR(__xludf.DUMMYFUNCTION("""COMPUTED_VALUE"""),"Autohak")</f>
        <v>Autohak</v>
      </c>
    </row>
    <row r="7914">
      <c r="A7914" t="str">
        <f>IFERROR(__xludf.DUMMYFUNCTION("""COMPUTED_VALUE"""),"C58A")</f>
        <v>C58A</v>
      </c>
      <c r="B7914" s="226" t="str">
        <f>IFERROR(__xludf.DUMMYFUNCTION("""COMPUTED_VALUE"""),"19577")</f>
        <v>19577</v>
      </c>
      <c r="C7914" t="str">
        <f>IFERROR(__xludf.DUMMYFUNCTION("""COMPUTED_VALUE"""),"Autohak")</f>
        <v>Autohak</v>
      </c>
    </row>
    <row r="7915">
      <c r="A7915" t="str">
        <f>IFERROR(__xludf.DUMMYFUNCTION("""COMPUTED_VALUE"""),"C58")</f>
        <v>C58</v>
      </c>
      <c r="B7915" s="226" t="str">
        <f>IFERROR(__xludf.DUMMYFUNCTION("""COMPUTED_VALUE"""),"17566")</f>
        <v>17566</v>
      </c>
      <c r="C7915" t="str">
        <f>IFERROR(__xludf.DUMMYFUNCTION("""COMPUTED_VALUE"""),"Autohak")</f>
        <v>Autohak</v>
      </c>
    </row>
    <row r="7916">
      <c r="A7916" t="str">
        <f>IFERROR(__xludf.DUMMYFUNCTION("""COMPUTED_VALUE"""),"C58A")</f>
        <v>C58A</v>
      </c>
      <c r="B7916" s="226" t="str">
        <f>IFERROR(__xludf.DUMMYFUNCTION("""COMPUTED_VALUE"""),"19577")</f>
        <v>19577</v>
      </c>
      <c r="C7916" t="str">
        <f>IFERROR(__xludf.DUMMYFUNCTION("""COMPUTED_VALUE"""),"Autohak")</f>
        <v>Autohak</v>
      </c>
    </row>
    <row r="7917">
      <c r="A7917" t="str">
        <f>IFERROR(__xludf.DUMMYFUNCTION("""COMPUTED_VALUE"""),"S04")</f>
        <v>S04</v>
      </c>
      <c r="B7917" s="226" t="str">
        <f>IFERROR(__xludf.DUMMYFUNCTION("""COMPUTED_VALUE"""),"10017")</f>
        <v>10017</v>
      </c>
      <c r="C7917" t="str">
        <f>IFERROR(__xludf.DUMMYFUNCTION("""COMPUTED_VALUE"""),"Autohak")</f>
        <v>Autohak</v>
      </c>
    </row>
    <row r="7918">
      <c r="A7918" t="str">
        <f>IFERROR(__xludf.DUMMYFUNCTION("""COMPUTED_VALUE"""),"S11")</f>
        <v>S11</v>
      </c>
      <c r="B7918" s="226" t="str">
        <f>IFERROR(__xludf.DUMMYFUNCTION("""COMPUTED_VALUE"""),"10024")</f>
        <v>10024</v>
      </c>
      <c r="C7918" t="str">
        <f>IFERROR(__xludf.DUMMYFUNCTION("""COMPUTED_VALUE"""),"Autohak")</f>
        <v>Autohak</v>
      </c>
    </row>
    <row r="7919">
      <c r="A7919" t="str">
        <f>IFERROR(__xludf.DUMMYFUNCTION("""COMPUTED_VALUE"""),"Y22")</f>
        <v>Y22</v>
      </c>
      <c r="B7919" s="226" t="str">
        <f>IFERROR(__xludf.DUMMYFUNCTION("""COMPUTED_VALUE"""),"20009")</f>
        <v>20009</v>
      </c>
      <c r="C7919" t="str">
        <f>IFERROR(__xludf.DUMMYFUNCTION("""COMPUTED_VALUE"""),"Autohak")</f>
        <v>Autohak</v>
      </c>
    </row>
    <row r="7920">
      <c r="A7920" t="str">
        <f>IFERROR(__xludf.DUMMYFUNCTION("""COMPUTED_VALUE"""),"Y22A")</f>
        <v>Y22A</v>
      </c>
      <c r="B7920" s="226" t="str">
        <f>IFERROR(__xludf.DUMMYFUNCTION("""COMPUTED_VALUE"""),"21006")</f>
        <v>21006</v>
      </c>
      <c r="C7920" t="str">
        <f>IFERROR(__xludf.DUMMYFUNCTION("""COMPUTED_VALUE"""),"Autohak")</f>
        <v>Autohak</v>
      </c>
    </row>
    <row r="7921">
      <c r="A7921" t="str">
        <f>IFERROR(__xludf.DUMMYFUNCTION("""COMPUTED_VALUE"""),"Y08")</f>
        <v>Y08</v>
      </c>
      <c r="B7921" s="226" t="str">
        <f>IFERROR(__xludf.DUMMYFUNCTION("""COMPUTED_VALUE"""),"20016")</f>
        <v>20016</v>
      </c>
      <c r="C7921" t="str">
        <f>IFERROR(__xludf.DUMMYFUNCTION("""COMPUTED_VALUE"""),"Autohak")</f>
        <v>Autohak</v>
      </c>
    </row>
    <row r="7922">
      <c r="A7922" t="str">
        <f>IFERROR(__xludf.DUMMYFUNCTION("""COMPUTED_VALUE"""),"Y08A")</f>
        <v>Y08A</v>
      </c>
      <c r="B7922" s="226" t="str">
        <f>IFERROR(__xludf.DUMMYFUNCTION("""COMPUTED_VALUE"""),"21013")</f>
        <v>21013</v>
      </c>
      <c r="C7922" t="str">
        <f>IFERROR(__xludf.DUMMYFUNCTION("""COMPUTED_VALUE"""),"Autohak")</f>
        <v>Autohak</v>
      </c>
    </row>
    <row r="7923">
      <c r="A7923" t="str">
        <f>IFERROR(__xludf.DUMMYFUNCTION("""COMPUTED_VALUE"""),"Y30")</f>
        <v>Y30</v>
      </c>
      <c r="B7923" s="226" t="str">
        <f>IFERROR(__xludf.DUMMYFUNCTION("""COMPUTED_VALUE"""),"20030")</f>
        <v>20030</v>
      </c>
      <c r="C7923" t="str">
        <f>IFERROR(__xludf.DUMMYFUNCTION("""COMPUTED_VALUE"""),"Autohak")</f>
        <v>Autohak</v>
      </c>
    </row>
    <row r="7924">
      <c r="A7924" t="str">
        <f>IFERROR(__xludf.DUMMYFUNCTION("""COMPUTED_VALUE"""),"Y30A")</f>
        <v>Y30A</v>
      </c>
      <c r="B7924" s="226" t="str">
        <f>IFERROR(__xludf.DUMMYFUNCTION("""COMPUTED_VALUE"""),"21037")</f>
        <v>21037</v>
      </c>
      <c r="C7924" t="str">
        <f>IFERROR(__xludf.DUMMYFUNCTION("""COMPUTED_VALUE"""),"Autohak")</f>
        <v>Autohak</v>
      </c>
    </row>
    <row r="7925">
      <c r="A7925" t="str">
        <f>IFERROR(__xludf.DUMMYFUNCTION("""COMPUTED_VALUE"""),"Y36")</f>
        <v>Y36</v>
      </c>
      <c r="B7925" s="226" t="str">
        <f>IFERROR(__xludf.DUMMYFUNCTION("""COMPUTED_VALUE"""),"20252")</f>
        <v>20252</v>
      </c>
      <c r="C7925" t="str">
        <f>IFERROR(__xludf.DUMMYFUNCTION("""COMPUTED_VALUE"""),"Autohak")</f>
        <v>Autohak</v>
      </c>
    </row>
    <row r="7926">
      <c r="A7926" t="str">
        <f>IFERROR(__xludf.DUMMYFUNCTION("""COMPUTED_VALUE"""),"Y36A")</f>
        <v>Y36A</v>
      </c>
      <c r="B7926" s="226" t="str">
        <f>IFERROR(__xludf.DUMMYFUNCTION("""COMPUTED_VALUE"""),"21259")</f>
        <v>21259</v>
      </c>
      <c r="C7926" t="str">
        <f>IFERROR(__xludf.DUMMYFUNCTION("""COMPUTED_VALUE"""),"Autohak")</f>
        <v>Autohak</v>
      </c>
    </row>
    <row r="7927">
      <c r="A7927" t="str">
        <f>IFERROR(__xludf.DUMMYFUNCTION("""COMPUTED_VALUE"""),"Y36V")</f>
        <v>Y36V</v>
      </c>
      <c r="B7927" s="226" t="str">
        <f>IFERROR(__xludf.DUMMYFUNCTION("""COMPUTED_VALUE"""),"21938")</f>
        <v>21938</v>
      </c>
      <c r="C7927" t="str">
        <f>IFERROR(__xludf.DUMMYFUNCTION("""COMPUTED_VALUE"""),"Autohak")</f>
        <v>Autohak</v>
      </c>
    </row>
    <row r="7928">
      <c r="A7928" t="str">
        <f>IFERROR(__xludf.DUMMYFUNCTION("""COMPUTED_VALUE"""),"Y28")</f>
        <v>Y28</v>
      </c>
      <c r="B7928" s="226" t="str">
        <f>IFERROR(__xludf.DUMMYFUNCTION("""COMPUTED_VALUE"""),"20023")</f>
        <v>20023</v>
      </c>
      <c r="C7928" t="str">
        <f>IFERROR(__xludf.DUMMYFUNCTION("""COMPUTED_VALUE"""),"Autohak")</f>
        <v>Autohak</v>
      </c>
    </row>
    <row r="7929">
      <c r="A7929" t="str">
        <f>IFERROR(__xludf.DUMMYFUNCTION("""COMPUTED_VALUE"""),"Y28A")</f>
        <v>Y28A</v>
      </c>
      <c r="B7929" s="226" t="str">
        <f>IFERROR(__xludf.DUMMYFUNCTION("""COMPUTED_VALUE"""),"21020")</f>
        <v>21020</v>
      </c>
      <c r="C7929" t="str">
        <f>IFERROR(__xludf.DUMMYFUNCTION("""COMPUTED_VALUE"""),"Autohak")</f>
        <v>Autohak</v>
      </c>
    </row>
    <row r="7930">
      <c r="A7930" t="str">
        <f>IFERROR(__xludf.DUMMYFUNCTION("""COMPUTED_VALUE"""),"Y36")</f>
        <v>Y36</v>
      </c>
      <c r="B7930" s="226" t="str">
        <f>IFERROR(__xludf.DUMMYFUNCTION("""COMPUTED_VALUE"""),"20252")</f>
        <v>20252</v>
      </c>
      <c r="C7930" t="str">
        <f>IFERROR(__xludf.DUMMYFUNCTION("""COMPUTED_VALUE"""),"Autohak")</f>
        <v>Autohak</v>
      </c>
    </row>
    <row r="7931">
      <c r="A7931" t="str">
        <f>IFERROR(__xludf.DUMMYFUNCTION("""COMPUTED_VALUE"""),"Y36A")</f>
        <v>Y36A</v>
      </c>
      <c r="B7931" s="226" t="str">
        <f>IFERROR(__xludf.DUMMYFUNCTION("""COMPUTED_VALUE"""),"21259")</f>
        <v>21259</v>
      </c>
      <c r="C7931" t="str">
        <f>IFERROR(__xludf.DUMMYFUNCTION("""COMPUTED_VALUE"""),"Autohak")</f>
        <v>Autohak</v>
      </c>
    </row>
    <row r="7932">
      <c r="A7932" t="str">
        <f>IFERROR(__xludf.DUMMYFUNCTION("""COMPUTED_VALUE"""),"Y07")</f>
        <v>Y07</v>
      </c>
      <c r="B7932" s="226" t="str">
        <f>IFERROR(__xludf.DUMMYFUNCTION("""COMPUTED_VALUE"""),"20047")</f>
        <v>20047</v>
      </c>
      <c r="C7932" t="str">
        <f>IFERROR(__xludf.DUMMYFUNCTION("""COMPUTED_VALUE"""),"Autohak")</f>
        <v>Autohak</v>
      </c>
    </row>
    <row r="7933">
      <c r="A7933" t="str">
        <f>IFERROR(__xludf.DUMMYFUNCTION("""COMPUTED_VALUE"""),"Y07A")</f>
        <v>Y07A</v>
      </c>
      <c r="B7933" s="226" t="str">
        <f>IFERROR(__xludf.DUMMYFUNCTION("""COMPUTED_VALUE"""),"21044")</f>
        <v>21044</v>
      </c>
      <c r="C7933" t="str">
        <f>IFERROR(__xludf.DUMMYFUNCTION("""COMPUTED_VALUE"""),"Autohak")</f>
        <v>Autohak</v>
      </c>
    </row>
    <row r="7934">
      <c r="A7934" t="str">
        <f>IFERROR(__xludf.DUMMYFUNCTION("""COMPUTED_VALUE"""),"Y07")</f>
        <v>Y07</v>
      </c>
      <c r="B7934" s="226" t="str">
        <f>IFERROR(__xludf.DUMMYFUNCTION("""COMPUTED_VALUE"""),"20047")</f>
        <v>20047</v>
      </c>
      <c r="C7934" t="str">
        <f>IFERROR(__xludf.DUMMYFUNCTION("""COMPUTED_VALUE"""),"Autohak")</f>
        <v>Autohak</v>
      </c>
    </row>
    <row r="7935">
      <c r="A7935" t="str">
        <f>IFERROR(__xludf.DUMMYFUNCTION("""COMPUTED_VALUE"""),"Y07A")</f>
        <v>Y07A</v>
      </c>
      <c r="B7935" s="226" t="str">
        <f>IFERROR(__xludf.DUMMYFUNCTION("""COMPUTED_VALUE"""),"21044")</f>
        <v>21044</v>
      </c>
      <c r="C7935" t="str">
        <f>IFERROR(__xludf.DUMMYFUNCTION("""COMPUTED_VALUE"""),"Autohak")</f>
        <v>Autohak</v>
      </c>
    </row>
    <row r="7936">
      <c r="A7936" t="str">
        <f>IFERROR(__xludf.DUMMYFUNCTION("""COMPUTED_VALUE"""),"Y18")</f>
        <v>Y18</v>
      </c>
      <c r="B7936" s="226" t="str">
        <f>IFERROR(__xludf.DUMMYFUNCTION("""COMPUTED_VALUE"""),"20054")</f>
        <v>20054</v>
      </c>
      <c r="C7936" t="str">
        <f>IFERROR(__xludf.DUMMYFUNCTION("""COMPUTED_VALUE"""),"Autohak")</f>
        <v>Autohak</v>
      </c>
    </row>
    <row r="7937">
      <c r="A7937" t="str">
        <f>IFERROR(__xludf.DUMMYFUNCTION("""COMPUTED_VALUE"""),"Y18A")</f>
        <v>Y18A</v>
      </c>
      <c r="B7937" s="226" t="str">
        <f>IFERROR(__xludf.DUMMYFUNCTION("""COMPUTED_VALUE"""),"21051")</f>
        <v>21051</v>
      </c>
      <c r="C7937" t="str">
        <f>IFERROR(__xludf.DUMMYFUNCTION("""COMPUTED_VALUE"""),"Autohak")</f>
        <v>Autohak</v>
      </c>
    </row>
    <row r="7938">
      <c r="A7938" t="str">
        <f>IFERROR(__xludf.DUMMYFUNCTION("""COMPUTED_VALUE"""),"Y10")</f>
        <v>Y10</v>
      </c>
      <c r="B7938" s="226" t="str">
        <f>IFERROR(__xludf.DUMMYFUNCTION("""COMPUTED_VALUE"""),"20061")</f>
        <v>20061</v>
      </c>
      <c r="C7938" t="str">
        <f>IFERROR(__xludf.DUMMYFUNCTION("""COMPUTED_VALUE"""),"Autohak")</f>
        <v>Autohak</v>
      </c>
    </row>
    <row r="7939">
      <c r="A7939" t="str">
        <f>IFERROR(__xludf.DUMMYFUNCTION("""COMPUTED_VALUE"""),"Y10A")</f>
        <v>Y10A</v>
      </c>
      <c r="B7939" s="226" t="str">
        <f>IFERROR(__xludf.DUMMYFUNCTION("""COMPUTED_VALUE"""),"21068")</f>
        <v>21068</v>
      </c>
      <c r="C7939" t="str">
        <f>IFERROR(__xludf.DUMMYFUNCTION("""COMPUTED_VALUE"""),"Autohak")</f>
        <v>Autohak</v>
      </c>
    </row>
    <row r="7940">
      <c r="A7940" t="str">
        <f>IFERROR(__xludf.DUMMYFUNCTION("""COMPUTED_VALUE"""),"Y17")</f>
        <v>Y17</v>
      </c>
      <c r="B7940" s="226" t="str">
        <f>IFERROR(__xludf.DUMMYFUNCTION("""COMPUTED_VALUE"""),"20078")</f>
        <v>20078</v>
      </c>
      <c r="C7940" t="str">
        <f>IFERROR(__xludf.DUMMYFUNCTION("""COMPUTED_VALUE"""),"Autohak")</f>
        <v>Autohak</v>
      </c>
    </row>
    <row r="7941">
      <c r="A7941" t="str">
        <f>IFERROR(__xludf.DUMMYFUNCTION("""COMPUTED_VALUE"""),"Y17A")</f>
        <v>Y17A</v>
      </c>
      <c r="B7941" s="226" t="str">
        <f>IFERROR(__xludf.DUMMYFUNCTION("""COMPUTED_VALUE"""),"21075")</f>
        <v>21075</v>
      </c>
      <c r="C7941" t="str">
        <f>IFERROR(__xludf.DUMMYFUNCTION("""COMPUTED_VALUE"""),"Autohak")</f>
        <v>Autohak</v>
      </c>
    </row>
    <row r="7942">
      <c r="A7942" t="str">
        <f>IFERROR(__xludf.DUMMYFUNCTION("""COMPUTED_VALUE"""),"Y21")</f>
        <v>Y21</v>
      </c>
      <c r="B7942" s="226" t="str">
        <f>IFERROR(__xludf.DUMMYFUNCTION("""COMPUTED_VALUE"""),"20085")</f>
        <v>20085</v>
      </c>
      <c r="C7942" t="str">
        <f>IFERROR(__xludf.DUMMYFUNCTION("""COMPUTED_VALUE"""),"Autohak")</f>
        <v>Autohak</v>
      </c>
    </row>
    <row r="7943">
      <c r="A7943" t="str">
        <f>IFERROR(__xludf.DUMMYFUNCTION("""COMPUTED_VALUE"""),"Y21A")</f>
        <v>Y21A</v>
      </c>
      <c r="B7943" s="226" t="str">
        <f>IFERROR(__xludf.DUMMYFUNCTION("""COMPUTED_VALUE"""),"21082")</f>
        <v>21082</v>
      </c>
      <c r="C7943" t="str">
        <f>IFERROR(__xludf.DUMMYFUNCTION("""COMPUTED_VALUE"""),"Autohak")</f>
        <v>Autohak</v>
      </c>
    </row>
    <row r="7944">
      <c r="A7944" t="str">
        <f>IFERROR(__xludf.DUMMYFUNCTION("""COMPUTED_VALUE"""),"Y34")</f>
        <v>Y34</v>
      </c>
      <c r="B7944" s="226" t="str">
        <f>IFERROR(__xludf.DUMMYFUNCTION("""COMPUTED_VALUE"""),"20238")</f>
        <v>20238</v>
      </c>
      <c r="C7944" t="str">
        <f>IFERROR(__xludf.DUMMYFUNCTION("""COMPUTED_VALUE"""),"Autohak")</f>
        <v>Autohak</v>
      </c>
    </row>
    <row r="7945">
      <c r="A7945" t="str">
        <f>IFERROR(__xludf.DUMMYFUNCTION("""COMPUTED_VALUE"""),"Y34A")</f>
        <v>Y34A</v>
      </c>
      <c r="B7945" s="226" t="str">
        <f>IFERROR(__xludf.DUMMYFUNCTION("""COMPUTED_VALUE"""),"21235")</f>
        <v>21235</v>
      </c>
      <c r="C7945" t="str">
        <f>IFERROR(__xludf.DUMMYFUNCTION("""COMPUTED_VALUE"""),"Autohak")</f>
        <v>Autohak</v>
      </c>
    </row>
    <row r="7946">
      <c r="A7946" t="str">
        <f>IFERROR(__xludf.DUMMYFUNCTION("""COMPUTED_VALUE"""),"Y38")</f>
        <v>Y38</v>
      </c>
      <c r="B7946" s="226" t="str">
        <f>IFERROR(__xludf.DUMMYFUNCTION("""COMPUTED_VALUE"""),"20276")</f>
        <v>20276</v>
      </c>
      <c r="C7946" t="str">
        <f>IFERROR(__xludf.DUMMYFUNCTION("""COMPUTED_VALUE"""),"Autohak")</f>
        <v>Autohak</v>
      </c>
    </row>
    <row r="7947">
      <c r="A7947" t="str">
        <f>IFERROR(__xludf.DUMMYFUNCTION("""COMPUTED_VALUE"""),"Y38A")</f>
        <v>Y38A</v>
      </c>
      <c r="B7947" s="226" t="str">
        <f>IFERROR(__xludf.DUMMYFUNCTION("""COMPUTED_VALUE"""),"21273")</f>
        <v>21273</v>
      </c>
      <c r="C7947" t="str">
        <f>IFERROR(__xludf.DUMMYFUNCTION("""COMPUTED_VALUE"""),"Autohak")</f>
        <v>Autohak</v>
      </c>
    </row>
    <row r="7948">
      <c r="A7948" t="str">
        <f>IFERROR(__xludf.DUMMYFUNCTION("""COMPUTED_VALUE"""),"Y45")</f>
        <v>Y45</v>
      </c>
      <c r="B7948" s="226" t="str">
        <f>IFERROR(__xludf.DUMMYFUNCTION("""COMPUTED_VALUE"""),"20344")</f>
        <v>20344</v>
      </c>
      <c r="C7948" t="str">
        <f>IFERROR(__xludf.DUMMYFUNCTION("""COMPUTED_VALUE"""),"Autohak")</f>
        <v>Autohak</v>
      </c>
    </row>
    <row r="7949">
      <c r="A7949" t="str">
        <f>IFERROR(__xludf.DUMMYFUNCTION("""COMPUTED_VALUE"""),"Y45A")</f>
        <v>Y45A</v>
      </c>
      <c r="B7949" s="226" t="str">
        <f>IFERROR(__xludf.DUMMYFUNCTION("""COMPUTED_VALUE"""),"21334")</f>
        <v>21334</v>
      </c>
      <c r="C7949" t="str">
        <f>IFERROR(__xludf.DUMMYFUNCTION("""COMPUTED_VALUE"""),"Autohak")</f>
        <v>Autohak</v>
      </c>
    </row>
    <row r="7950">
      <c r="A7950" t="str">
        <f>IFERROR(__xludf.DUMMYFUNCTION("""COMPUTED_VALUE"""),"Y45V")</f>
        <v>Y45V</v>
      </c>
      <c r="B7950" s="226" t="str">
        <f>IFERROR(__xludf.DUMMYFUNCTION("""COMPUTED_VALUE"""),"21914")</f>
        <v>21914</v>
      </c>
      <c r="C7950" t="str">
        <f>IFERROR(__xludf.DUMMYFUNCTION("""COMPUTED_VALUE"""),"Autohak")</f>
        <v>Autohak</v>
      </c>
    </row>
    <row r="7951">
      <c r="A7951" t="str">
        <f>IFERROR(__xludf.DUMMYFUNCTION("""COMPUTED_VALUE"""),"Y02")</f>
        <v>Y02</v>
      </c>
      <c r="B7951" s="226" t="str">
        <f>IFERROR(__xludf.DUMMYFUNCTION("""COMPUTED_VALUE"""),"20092")</f>
        <v>20092</v>
      </c>
      <c r="C7951" t="str">
        <f>IFERROR(__xludf.DUMMYFUNCTION("""COMPUTED_VALUE"""),"Autohak")</f>
        <v>Autohak</v>
      </c>
    </row>
    <row r="7952">
      <c r="A7952" t="str">
        <f>IFERROR(__xludf.DUMMYFUNCTION("""COMPUTED_VALUE"""),"Y02A")</f>
        <v>Y02A</v>
      </c>
      <c r="B7952" s="226" t="str">
        <f>IFERROR(__xludf.DUMMYFUNCTION("""COMPUTED_VALUE"""),"21099")</f>
        <v>21099</v>
      </c>
      <c r="C7952" t="str">
        <f>IFERROR(__xludf.DUMMYFUNCTION("""COMPUTED_VALUE"""),"Autohak")</f>
        <v>Autohak</v>
      </c>
    </row>
    <row r="7953">
      <c r="A7953" t="str">
        <f>IFERROR(__xludf.DUMMYFUNCTION("""COMPUTED_VALUE"""),"Y15")</f>
        <v>Y15</v>
      </c>
      <c r="B7953" s="226" t="str">
        <f>IFERROR(__xludf.DUMMYFUNCTION("""COMPUTED_VALUE"""),"20108")</f>
        <v>20108</v>
      </c>
      <c r="C7953" t="str">
        <f>IFERROR(__xludf.DUMMYFUNCTION("""COMPUTED_VALUE"""),"Autohak")</f>
        <v>Autohak</v>
      </c>
    </row>
    <row r="7954">
      <c r="A7954" t="str">
        <f>IFERROR(__xludf.DUMMYFUNCTION("""COMPUTED_VALUE"""),"Y15A")</f>
        <v>Y15A</v>
      </c>
      <c r="B7954" s="226" t="str">
        <f>IFERROR(__xludf.DUMMYFUNCTION("""COMPUTED_VALUE"""),"21105")</f>
        <v>21105</v>
      </c>
      <c r="C7954" t="str">
        <f>IFERROR(__xludf.DUMMYFUNCTION("""COMPUTED_VALUE"""),"Autohak")</f>
        <v>Autohak</v>
      </c>
    </row>
    <row r="7955">
      <c r="A7955" t="str">
        <f>IFERROR(__xludf.DUMMYFUNCTION("""COMPUTED_VALUE"""),"Y20")</f>
        <v>Y20</v>
      </c>
      <c r="B7955" s="226" t="str">
        <f>IFERROR(__xludf.DUMMYFUNCTION("""COMPUTED_VALUE"""),"20115")</f>
        <v>20115</v>
      </c>
      <c r="C7955" t="str">
        <f>IFERROR(__xludf.DUMMYFUNCTION("""COMPUTED_VALUE"""),"Autohak")</f>
        <v>Autohak</v>
      </c>
    </row>
    <row r="7956">
      <c r="A7956" t="str">
        <f>IFERROR(__xludf.DUMMYFUNCTION("""COMPUTED_VALUE"""),"Y20A")</f>
        <v>Y20A</v>
      </c>
      <c r="B7956" s="226" t="str">
        <f>IFERROR(__xludf.DUMMYFUNCTION("""COMPUTED_VALUE"""),"21112")</f>
        <v>21112</v>
      </c>
      <c r="C7956" t="str">
        <f>IFERROR(__xludf.DUMMYFUNCTION("""COMPUTED_VALUE"""),"Autohak")</f>
        <v>Autohak</v>
      </c>
    </row>
    <row r="7957">
      <c r="A7957" t="str">
        <f>IFERROR(__xludf.DUMMYFUNCTION("""COMPUTED_VALUE"""),"Y32")</f>
        <v>Y32</v>
      </c>
      <c r="B7957" s="226" t="str">
        <f>IFERROR(__xludf.DUMMYFUNCTION("""COMPUTED_VALUE"""),"20207")</f>
        <v>20207</v>
      </c>
      <c r="C7957" t="str">
        <f>IFERROR(__xludf.DUMMYFUNCTION("""COMPUTED_VALUE"""),"Autohak")</f>
        <v>Autohak</v>
      </c>
    </row>
    <row r="7958">
      <c r="A7958" t="str">
        <f>IFERROR(__xludf.DUMMYFUNCTION("""COMPUTED_VALUE"""),"Y32A")</f>
        <v>Y32A</v>
      </c>
      <c r="B7958" s="226" t="str">
        <f>IFERROR(__xludf.DUMMYFUNCTION("""COMPUTED_VALUE"""),"21204")</f>
        <v>21204</v>
      </c>
      <c r="C7958" t="str">
        <f>IFERROR(__xludf.DUMMYFUNCTION("""COMPUTED_VALUE"""),"Autohak")</f>
        <v>Autohak</v>
      </c>
    </row>
    <row r="7959">
      <c r="A7959" t="str">
        <f>IFERROR(__xludf.DUMMYFUNCTION("""COMPUTED_VALUE"""),"Y37")</f>
        <v>Y37</v>
      </c>
      <c r="B7959" s="226" t="str">
        <f>IFERROR(__xludf.DUMMYFUNCTION("""COMPUTED_VALUE"""),"20269")</f>
        <v>20269</v>
      </c>
      <c r="C7959" t="str">
        <f>IFERROR(__xludf.DUMMYFUNCTION("""COMPUTED_VALUE"""),"Autohak")</f>
        <v>Autohak</v>
      </c>
    </row>
    <row r="7960">
      <c r="A7960" t="str">
        <f>IFERROR(__xludf.DUMMYFUNCTION("""COMPUTED_VALUE"""),"Y37A")</f>
        <v>Y37A</v>
      </c>
      <c r="B7960" s="226" t="str">
        <f>IFERROR(__xludf.DUMMYFUNCTION("""COMPUTED_VALUE"""),"21266")</f>
        <v>21266</v>
      </c>
      <c r="C7960" t="str">
        <f>IFERROR(__xludf.DUMMYFUNCTION("""COMPUTED_VALUE"""),"Autohak")</f>
        <v>Autohak</v>
      </c>
    </row>
    <row r="7961">
      <c r="A7961" t="str">
        <f>IFERROR(__xludf.DUMMYFUNCTION("""COMPUTED_VALUE"""),"Y37V")</f>
        <v>Y37V</v>
      </c>
      <c r="B7961" s="226" t="str">
        <f>IFERROR(__xludf.DUMMYFUNCTION("""COMPUTED_VALUE"""),"21990")</f>
        <v>21990</v>
      </c>
      <c r="C7961" t="str">
        <f>IFERROR(__xludf.DUMMYFUNCTION("""COMPUTED_VALUE"""),"Autohak")</f>
        <v>Autohak</v>
      </c>
    </row>
    <row r="7962">
      <c r="A7962" t="str">
        <f>IFERROR(__xludf.DUMMYFUNCTION("""COMPUTED_VALUE"""),"Y41")</f>
        <v>Y41</v>
      </c>
      <c r="B7962" s="226" t="str">
        <f>IFERROR(__xludf.DUMMYFUNCTION("""COMPUTED_VALUE"""),"20306")</f>
        <v>20306</v>
      </c>
      <c r="C7962" t="str">
        <f>IFERROR(__xludf.DUMMYFUNCTION("""COMPUTED_VALUE"""),"Autohak")</f>
        <v>Autohak</v>
      </c>
    </row>
    <row r="7963">
      <c r="A7963" t="str">
        <f>IFERROR(__xludf.DUMMYFUNCTION("""COMPUTED_VALUE"""),"Y41A")</f>
        <v>Y41A</v>
      </c>
      <c r="B7963" s="226" t="str">
        <f>IFERROR(__xludf.DUMMYFUNCTION("""COMPUTED_VALUE"""),"21303")</f>
        <v>21303</v>
      </c>
      <c r="C7963" t="str">
        <f>IFERROR(__xludf.DUMMYFUNCTION("""COMPUTED_VALUE"""),"Autohak")</f>
        <v>Autohak</v>
      </c>
    </row>
    <row r="7964">
      <c r="A7964" t="str">
        <f>IFERROR(__xludf.DUMMYFUNCTION("""COMPUTED_VALUE"""),"Y41V")</f>
        <v>Y41V</v>
      </c>
      <c r="B7964" s="226" t="str">
        <f>IFERROR(__xludf.DUMMYFUNCTION("""COMPUTED_VALUE"""),"21969")</f>
        <v>21969</v>
      </c>
      <c r="C7964" t="str">
        <f>IFERROR(__xludf.DUMMYFUNCTION("""COMPUTED_VALUE"""),"Autohak")</f>
        <v>Autohak</v>
      </c>
    </row>
    <row r="7965">
      <c r="A7965" t="str">
        <f>IFERROR(__xludf.DUMMYFUNCTION("""COMPUTED_VALUE"""),"Y44")</f>
        <v>Y44</v>
      </c>
      <c r="B7965" s="226" t="str">
        <f>IFERROR(__xludf.DUMMYFUNCTION("""COMPUTED_VALUE"""),"20337")</f>
        <v>20337</v>
      </c>
      <c r="C7965" t="str">
        <f>IFERROR(__xludf.DUMMYFUNCTION("""COMPUTED_VALUE"""),"Autohak")</f>
        <v>Autohak</v>
      </c>
    </row>
    <row r="7966">
      <c r="A7966" t="str">
        <f>IFERROR(__xludf.DUMMYFUNCTION("""COMPUTED_VALUE"""),"Y44A")</f>
        <v>Y44A</v>
      </c>
      <c r="B7966" s="226" t="str">
        <f>IFERROR(__xludf.DUMMYFUNCTION("""COMPUTED_VALUE"""),"21327")</f>
        <v>21327</v>
      </c>
      <c r="C7966" t="str">
        <f>IFERROR(__xludf.DUMMYFUNCTION("""COMPUTED_VALUE"""),"Autohak")</f>
        <v>Autohak</v>
      </c>
    </row>
    <row r="7967">
      <c r="A7967" t="str">
        <f>IFERROR(__xludf.DUMMYFUNCTION("""COMPUTED_VALUE"""),"Y44V")</f>
        <v>Y44V</v>
      </c>
      <c r="B7967" s="226" t="str">
        <f>IFERROR(__xludf.DUMMYFUNCTION("""COMPUTED_VALUE"""),"21921")</f>
        <v>21921</v>
      </c>
      <c r="C7967" t="str">
        <f>IFERROR(__xludf.DUMMYFUNCTION("""COMPUTED_VALUE"""),"Autohak")</f>
        <v>Autohak</v>
      </c>
    </row>
    <row r="7968">
      <c r="A7968" t="str">
        <f>IFERROR(__xludf.DUMMYFUNCTION("""COMPUTED_VALUE"""),"Y05")</f>
        <v>Y05</v>
      </c>
      <c r="B7968" s="226" t="str">
        <f>IFERROR(__xludf.DUMMYFUNCTION("""COMPUTED_VALUE"""),"20122")</f>
        <v>20122</v>
      </c>
      <c r="C7968" t="str">
        <f>IFERROR(__xludf.DUMMYFUNCTION("""COMPUTED_VALUE"""),"Autohak")</f>
        <v>Autohak</v>
      </c>
    </row>
    <row r="7969">
      <c r="A7969" t="str">
        <f>IFERROR(__xludf.DUMMYFUNCTION("""COMPUTED_VALUE"""),"Y05A")</f>
        <v>Y05A</v>
      </c>
      <c r="B7969" s="226" t="str">
        <f>IFERROR(__xludf.DUMMYFUNCTION("""COMPUTED_VALUE"""),"21129")</f>
        <v>21129</v>
      </c>
      <c r="C7969" t="str">
        <f>IFERROR(__xludf.DUMMYFUNCTION("""COMPUTED_VALUE"""),"Autohak")</f>
        <v>Autohak</v>
      </c>
    </row>
    <row r="7970">
      <c r="A7970" t="str">
        <f>IFERROR(__xludf.DUMMYFUNCTION("""COMPUTED_VALUE"""),"Y40")</f>
        <v>Y40</v>
      </c>
      <c r="B7970" s="226" t="str">
        <f>IFERROR(__xludf.DUMMYFUNCTION("""COMPUTED_VALUE"""),"20290")</f>
        <v>20290</v>
      </c>
      <c r="C7970" t="str">
        <f>IFERROR(__xludf.DUMMYFUNCTION("""COMPUTED_VALUE"""),"Autohak")</f>
        <v>Autohak</v>
      </c>
    </row>
    <row r="7971">
      <c r="A7971" t="str">
        <f>IFERROR(__xludf.DUMMYFUNCTION("""COMPUTED_VALUE"""),"Y40A")</f>
        <v>Y40A</v>
      </c>
      <c r="B7971" s="226" t="str">
        <f>IFERROR(__xludf.DUMMYFUNCTION("""COMPUTED_VALUE"""),"21297")</f>
        <v>21297</v>
      </c>
      <c r="C7971" t="str">
        <f>IFERROR(__xludf.DUMMYFUNCTION("""COMPUTED_VALUE"""),"Autohak")</f>
        <v>Autohak</v>
      </c>
    </row>
    <row r="7972">
      <c r="A7972" t="str">
        <f>IFERROR(__xludf.DUMMYFUNCTION("""COMPUTED_VALUE"""),"Y40V")</f>
        <v>Y40V</v>
      </c>
      <c r="B7972" s="226" t="str">
        <f>IFERROR(__xludf.DUMMYFUNCTION("""COMPUTED_VALUE"""),"21976")</f>
        <v>21976</v>
      </c>
      <c r="C7972" t="str">
        <f>IFERROR(__xludf.DUMMYFUNCTION("""COMPUTED_VALUE"""),"Autohak")</f>
        <v>Autohak</v>
      </c>
    </row>
    <row r="7973">
      <c r="A7973" t="str">
        <f>IFERROR(__xludf.DUMMYFUNCTION("""COMPUTED_VALUE"""),"Y06")</f>
        <v>Y06</v>
      </c>
      <c r="B7973" s="226" t="str">
        <f>IFERROR(__xludf.DUMMYFUNCTION("""COMPUTED_VALUE"""),"20139")</f>
        <v>20139</v>
      </c>
      <c r="C7973" t="str">
        <f>IFERROR(__xludf.DUMMYFUNCTION("""COMPUTED_VALUE"""),"Autohak")</f>
        <v>Autohak</v>
      </c>
    </row>
    <row r="7974">
      <c r="A7974" t="str">
        <f>IFERROR(__xludf.DUMMYFUNCTION("""COMPUTED_VALUE"""),"Y06A")</f>
        <v>Y06A</v>
      </c>
      <c r="B7974" s="226" t="str">
        <f>IFERROR(__xludf.DUMMYFUNCTION("""COMPUTED_VALUE"""),"21136")</f>
        <v>21136</v>
      </c>
      <c r="C7974" t="str">
        <f>IFERROR(__xludf.DUMMYFUNCTION("""COMPUTED_VALUE"""),"Autohak")</f>
        <v>Autohak</v>
      </c>
    </row>
    <row r="7975">
      <c r="A7975" t="str">
        <f>IFERROR(__xludf.DUMMYFUNCTION("""COMPUTED_VALUE"""),"Y24")</f>
        <v>Y24</v>
      </c>
      <c r="B7975" s="226" t="str">
        <f>IFERROR(__xludf.DUMMYFUNCTION("""COMPUTED_VALUE"""),"20146")</f>
        <v>20146</v>
      </c>
      <c r="C7975" t="str">
        <f>IFERROR(__xludf.DUMMYFUNCTION("""COMPUTED_VALUE"""),"Autohak")</f>
        <v>Autohak</v>
      </c>
    </row>
    <row r="7976">
      <c r="A7976" t="str">
        <f>IFERROR(__xludf.DUMMYFUNCTION("""COMPUTED_VALUE"""),"Y24A")</f>
        <v>Y24A</v>
      </c>
      <c r="B7976" s="226" t="str">
        <f>IFERROR(__xludf.DUMMYFUNCTION("""COMPUTED_VALUE"""),"21143")</f>
        <v>21143</v>
      </c>
      <c r="C7976" t="str">
        <f>IFERROR(__xludf.DUMMYFUNCTION("""COMPUTED_VALUE"""),"Autohak")</f>
        <v>Autohak</v>
      </c>
    </row>
    <row r="7977">
      <c r="A7977" t="str">
        <f>IFERROR(__xludf.DUMMYFUNCTION("""COMPUTED_VALUE"""),"Y33")</f>
        <v>Y33</v>
      </c>
      <c r="B7977" s="226" t="str">
        <f>IFERROR(__xludf.DUMMYFUNCTION("""COMPUTED_VALUE"""),"20221")</f>
        <v>20221</v>
      </c>
      <c r="C7977" t="str">
        <f>IFERROR(__xludf.DUMMYFUNCTION("""COMPUTED_VALUE"""),"Autohak")</f>
        <v>Autohak</v>
      </c>
    </row>
    <row r="7978">
      <c r="A7978" t="str">
        <f>IFERROR(__xludf.DUMMYFUNCTION("""COMPUTED_VALUE"""),"Y33A")</f>
        <v>Y33A</v>
      </c>
      <c r="B7978" s="226" t="str">
        <f>IFERROR(__xludf.DUMMYFUNCTION("""COMPUTED_VALUE"""),"21228")</f>
        <v>21228</v>
      </c>
      <c r="C7978" t="str">
        <f>IFERROR(__xludf.DUMMYFUNCTION("""COMPUTED_VALUE"""),"Autohak")</f>
        <v>Autohak</v>
      </c>
    </row>
    <row r="7979">
      <c r="A7979" t="str">
        <f>IFERROR(__xludf.DUMMYFUNCTION("""COMPUTED_VALUE"""),"Y39")</f>
        <v>Y39</v>
      </c>
      <c r="B7979" s="226" t="str">
        <f>IFERROR(__xludf.DUMMYFUNCTION("""COMPUTED_VALUE"""),"20283")</f>
        <v>20283</v>
      </c>
      <c r="C7979" t="str">
        <f>IFERROR(__xludf.DUMMYFUNCTION("""COMPUTED_VALUE"""),"Autohak")</f>
        <v>Autohak</v>
      </c>
    </row>
    <row r="7980">
      <c r="A7980" t="str">
        <f>IFERROR(__xludf.DUMMYFUNCTION("""COMPUTED_VALUE"""),"Y39A")</f>
        <v>Y39A</v>
      </c>
      <c r="B7980" s="226" t="str">
        <f>IFERROR(__xludf.DUMMYFUNCTION("""COMPUTED_VALUE"""),"21280")</f>
        <v>21280</v>
      </c>
      <c r="C7980" t="str">
        <f>IFERROR(__xludf.DUMMYFUNCTION("""COMPUTED_VALUE"""),"Autohak")</f>
        <v>Autohak</v>
      </c>
    </row>
    <row r="7981">
      <c r="A7981" t="str">
        <f>IFERROR(__xludf.DUMMYFUNCTION("""COMPUTED_VALUE"""),"Y39V")</f>
        <v>Y39V</v>
      </c>
      <c r="B7981" s="226" t="str">
        <f>IFERROR(__xludf.DUMMYFUNCTION("""COMPUTED_VALUE"""),"21983")</f>
        <v>21983</v>
      </c>
      <c r="C7981" t="str">
        <f>IFERROR(__xludf.DUMMYFUNCTION("""COMPUTED_VALUE"""),"Autohak")</f>
        <v>Autohak</v>
      </c>
    </row>
    <row r="7982">
      <c r="A7982" t="str">
        <f>IFERROR(__xludf.DUMMYFUNCTION("""COMPUTED_VALUE"""),"Y39")</f>
        <v>Y39</v>
      </c>
      <c r="B7982" s="226" t="str">
        <f>IFERROR(__xludf.DUMMYFUNCTION("""COMPUTED_VALUE"""),"20283")</f>
        <v>20283</v>
      </c>
      <c r="C7982" t="str">
        <f>IFERROR(__xludf.DUMMYFUNCTION("""COMPUTED_VALUE"""),"Autohak")</f>
        <v>Autohak</v>
      </c>
    </row>
    <row r="7983">
      <c r="A7983" t="str">
        <f>IFERROR(__xludf.DUMMYFUNCTION("""COMPUTED_VALUE"""),"Y39A")</f>
        <v>Y39A</v>
      </c>
      <c r="B7983" s="226" t="str">
        <f>IFERROR(__xludf.DUMMYFUNCTION("""COMPUTED_VALUE"""),"21280")</f>
        <v>21280</v>
      </c>
      <c r="C7983" t="str">
        <f>IFERROR(__xludf.DUMMYFUNCTION("""COMPUTED_VALUE"""),"Autohak")</f>
        <v>Autohak</v>
      </c>
    </row>
    <row r="7984">
      <c r="A7984" t="str">
        <f>IFERROR(__xludf.DUMMYFUNCTION("""COMPUTED_VALUE"""),"Y39V")</f>
        <v>Y39V</v>
      </c>
      <c r="B7984" s="226" t="str">
        <f>IFERROR(__xludf.DUMMYFUNCTION("""COMPUTED_VALUE"""),"21983")</f>
        <v>21983</v>
      </c>
      <c r="C7984" t="str">
        <f>IFERROR(__xludf.DUMMYFUNCTION("""COMPUTED_VALUE"""),"Autohak")</f>
        <v>Autohak</v>
      </c>
    </row>
    <row r="7985">
      <c r="A7985" t="str">
        <f>IFERROR(__xludf.DUMMYFUNCTION("""COMPUTED_VALUE"""),"Y46")</f>
        <v>Y46</v>
      </c>
      <c r="B7985" s="226" t="str">
        <f>IFERROR(__xludf.DUMMYFUNCTION("""COMPUTED_VALUE"""),"20351")</f>
        <v>20351</v>
      </c>
      <c r="C7985" t="str">
        <f>IFERROR(__xludf.DUMMYFUNCTION("""COMPUTED_VALUE"""),"Autohak")</f>
        <v>Autohak</v>
      </c>
    </row>
    <row r="7986">
      <c r="A7986" t="str">
        <f>IFERROR(__xludf.DUMMYFUNCTION("""COMPUTED_VALUE"""),"Y46A")</f>
        <v>Y46A</v>
      </c>
      <c r="B7986" s="226" t="str">
        <f>IFERROR(__xludf.DUMMYFUNCTION("""COMPUTED_VALUE"""),"21341")</f>
        <v>21341</v>
      </c>
      <c r="C7986" t="str">
        <f>IFERROR(__xludf.DUMMYFUNCTION("""COMPUTED_VALUE"""),"Autohak")</f>
        <v>Autohak</v>
      </c>
    </row>
    <row r="7987">
      <c r="A7987" t="str">
        <f>IFERROR(__xludf.DUMMYFUNCTION("""COMPUTED_VALUE"""),"Y46V")</f>
        <v>Y46V</v>
      </c>
      <c r="B7987" s="226" t="str">
        <f>IFERROR(__xludf.DUMMYFUNCTION("""COMPUTED_VALUE"""),"21907")</f>
        <v>21907</v>
      </c>
      <c r="C7987" t="str">
        <f>IFERROR(__xludf.DUMMYFUNCTION("""COMPUTED_VALUE"""),"Autohak")</f>
        <v>Autohak</v>
      </c>
    </row>
    <row r="7988">
      <c r="A7988" t="str">
        <f>IFERROR(__xludf.DUMMYFUNCTION("""COMPUTED_VALUE"""),"Y31")</f>
        <v>Y31</v>
      </c>
      <c r="B7988" s="226" t="str">
        <f>IFERROR(__xludf.DUMMYFUNCTION("""COMPUTED_VALUE"""),"20214")</f>
        <v>20214</v>
      </c>
      <c r="C7988" t="str">
        <f>IFERROR(__xludf.DUMMYFUNCTION("""COMPUTED_VALUE"""),"Autohak")</f>
        <v>Autohak</v>
      </c>
    </row>
    <row r="7989">
      <c r="A7989" t="str">
        <f>IFERROR(__xludf.DUMMYFUNCTION("""COMPUTED_VALUE"""),"Y31A")</f>
        <v>Y31A</v>
      </c>
      <c r="B7989" s="226" t="str">
        <f>IFERROR(__xludf.DUMMYFUNCTION("""COMPUTED_VALUE"""),"21211")</f>
        <v>21211</v>
      </c>
      <c r="C7989" t="str">
        <f>IFERROR(__xludf.DUMMYFUNCTION("""COMPUTED_VALUE"""),"Autohak")</f>
        <v>Autohak</v>
      </c>
    </row>
    <row r="7990">
      <c r="A7990" t="str">
        <f>IFERROR(__xludf.DUMMYFUNCTION("""COMPUTED_VALUE"""),"Y23")</f>
        <v>Y23</v>
      </c>
      <c r="B7990" s="226" t="str">
        <f>IFERROR(__xludf.DUMMYFUNCTION("""COMPUTED_VALUE"""),"20153")</f>
        <v>20153</v>
      </c>
      <c r="C7990" t="str">
        <f>IFERROR(__xludf.DUMMYFUNCTION("""COMPUTED_VALUE"""),"Autohak")</f>
        <v>Autohak</v>
      </c>
    </row>
    <row r="7991">
      <c r="A7991" t="str">
        <f>IFERROR(__xludf.DUMMYFUNCTION("""COMPUTED_VALUE"""),"Y23A")</f>
        <v>Y23A</v>
      </c>
      <c r="B7991" s="226" t="str">
        <f>IFERROR(__xludf.DUMMYFUNCTION("""COMPUTED_VALUE"""),"21150")</f>
        <v>21150</v>
      </c>
      <c r="C7991" t="str">
        <f>IFERROR(__xludf.DUMMYFUNCTION("""COMPUTED_VALUE"""),"Autohak")</f>
        <v>Autohak</v>
      </c>
    </row>
    <row r="7992">
      <c r="A7992" t="str">
        <f>IFERROR(__xludf.DUMMYFUNCTION("""COMPUTED_VALUE"""),"Y29")</f>
        <v>Y29</v>
      </c>
      <c r="B7992" s="226" t="str">
        <f>IFERROR(__xludf.DUMMYFUNCTION("""COMPUTED_VALUE"""),"20160")</f>
        <v>20160</v>
      </c>
      <c r="C7992" t="str">
        <f>IFERROR(__xludf.DUMMYFUNCTION("""COMPUTED_VALUE"""),"Autohak")</f>
        <v>Autohak</v>
      </c>
    </row>
    <row r="7993">
      <c r="A7993" t="str">
        <f>IFERROR(__xludf.DUMMYFUNCTION("""COMPUTED_VALUE"""),"Y29A")</f>
        <v>Y29A</v>
      </c>
      <c r="B7993" s="226" t="str">
        <f>IFERROR(__xludf.DUMMYFUNCTION("""COMPUTED_VALUE"""),"21167")</f>
        <v>21167</v>
      </c>
      <c r="C7993" t="str">
        <f>IFERROR(__xludf.DUMMYFUNCTION("""COMPUTED_VALUE"""),"Autohak")</f>
        <v>Autohak</v>
      </c>
    </row>
    <row r="7994">
      <c r="A7994" t="str">
        <f>IFERROR(__xludf.DUMMYFUNCTION("""COMPUTED_VALUE"""),"Y43")</f>
        <v>Y43</v>
      </c>
      <c r="B7994" s="226" t="str">
        <f>IFERROR(__xludf.DUMMYFUNCTION("""COMPUTED_VALUE"""),"20320")</f>
        <v>20320</v>
      </c>
      <c r="C7994" t="str">
        <f>IFERROR(__xludf.DUMMYFUNCTION("""COMPUTED_VALUE"""),"Autohak")</f>
        <v>Autohak</v>
      </c>
    </row>
    <row r="7995">
      <c r="A7995" t="str">
        <f>IFERROR(__xludf.DUMMYFUNCTION("""COMPUTED_VALUE"""),"Y43A")</f>
        <v>Y43A</v>
      </c>
      <c r="B7995" s="226" t="str">
        <f>IFERROR(__xludf.DUMMYFUNCTION("""COMPUTED_VALUE"""),"21310")</f>
        <v>21310</v>
      </c>
      <c r="C7995" t="str">
        <f>IFERROR(__xludf.DUMMYFUNCTION("""COMPUTED_VALUE"""),"Autohak")</f>
        <v>Autohak</v>
      </c>
    </row>
    <row r="7996">
      <c r="A7996" t="str">
        <f>IFERROR(__xludf.DUMMYFUNCTION("""COMPUTED_VALUE"""),"Y43V")</f>
        <v>Y43V</v>
      </c>
      <c r="B7996" s="226" t="str">
        <f>IFERROR(__xludf.DUMMYFUNCTION("""COMPUTED_VALUE"""),"21945")</f>
        <v>21945</v>
      </c>
      <c r="C7996" t="str">
        <f>IFERROR(__xludf.DUMMYFUNCTION("""COMPUTED_VALUE"""),"Autohak")</f>
        <v>Autohak</v>
      </c>
    </row>
    <row r="7997">
      <c r="A7997" t="str">
        <f>IFERROR(__xludf.DUMMYFUNCTION("""COMPUTED_VALUE"""),"Y27")</f>
        <v>Y27</v>
      </c>
      <c r="B7997" s="226" t="str">
        <f>IFERROR(__xludf.DUMMYFUNCTION("""COMPUTED_VALUE"""),"20177")</f>
        <v>20177</v>
      </c>
      <c r="C7997" t="str">
        <f>IFERROR(__xludf.DUMMYFUNCTION("""COMPUTED_VALUE"""),"Autohak")</f>
        <v>Autohak</v>
      </c>
    </row>
    <row r="7998">
      <c r="A7998" t="str">
        <f>IFERROR(__xludf.DUMMYFUNCTION("""COMPUTED_VALUE"""),"Y27A")</f>
        <v>Y27A</v>
      </c>
      <c r="B7998" s="226" t="str">
        <f>IFERROR(__xludf.DUMMYFUNCTION("""COMPUTED_VALUE"""),"21174")</f>
        <v>21174</v>
      </c>
      <c r="C7998" t="str">
        <f>IFERROR(__xludf.DUMMYFUNCTION("""COMPUTED_VALUE"""),"Autohak")</f>
        <v>Autohak</v>
      </c>
    </row>
    <row r="7999">
      <c r="A7999" t="str">
        <f>IFERROR(__xludf.DUMMYFUNCTION("""COMPUTED_VALUE"""),"Y35")</f>
        <v>Y35</v>
      </c>
      <c r="B7999" s="226" t="str">
        <f>IFERROR(__xludf.DUMMYFUNCTION("""COMPUTED_VALUE"""),"20245")</f>
        <v>20245</v>
      </c>
      <c r="C7999" t="str">
        <f>IFERROR(__xludf.DUMMYFUNCTION("""COMPUTED_VALUE"""),"Autohak")</f>
        <v>Autohak</v>
      </c>
    </row>
    <row r="8000">
      <c r="A8000" t="str">
        <f>IFERROR(__xludf.DUMMYFUNCTION("""COMPUTED_VALUE"""),"Y35A")</f>
        <v>Y35A</v>
      </c>
      <c r="B8000" s="226" t="str">
        <f>IFERROR(__xludf.DUMMYFUNCTION("""COMPUTED_VALUE"""),"21242")</f>
        <v>21242</v>
      </c>
      <c r="C8000" t="str">
        <f>IFERROR(__xludf.DUMMYFUNCTION("""COMPUTED_VALUE"""),"Autohak")</f>
        <v>Autohak</v>
      </c>
    </row>
    <row r="8001">
      <c r="A8001" t="str">
        <f>IFERROR(__xludf.DUMMYFUNCTION("""COMPUTED_VALUE"""),"Y42")</f>
        <v>Y42</v>
      </c>
      <c r="B8001" s="226" t="str">
        <f>IFERROR(__xludf.DUMMYFUNCTION("""COMPUTED_VALUE"""),"20313")</f>
        <v>20313</v>
      </c>
      <c r="C8001" t="str">
        <f>IFERROR(__xludf.DUMMYFUNCTION("""COMPUTED_VALUE"""),"Autohak")</f>
        <v>Autohak</v>
      </c>
    </row>
    <row r="8002">
      <c r="A8002" t="str">
        <f>IFERROR(__xludf.DUMMYFUNCTION("""COMPUTED_VALUE"""),"Y42V")</f>
        <v>Y42V</v>
      </c>
      <c r="B8002" s="226" t="str">
        <f>IFERROR(__xludf.DUMMYFUNCTION("""COMPUTED_VALUE"""),"21952")</f>
        <v>21952</v>
      </c>
      <c r="C8002" t="str">
        <f>IFERROR(__xludf.DUMMYFUNCTION("""COMPUTED_VALUE"""),"Autohak")</f>
        <v>Autohak</v>
      </c>
    </row>
    <row r="8003">
      <c r="A8003" t="str">
        <f>IFERROR(__xludf.DUMMYFUNCTION("""COMPUTED_VALUE"""),"Y26")</f>
        <v>Y26</v>
      </c>
      <c r="B8003" s="226" t="str">
        <f>IFERROR(__xludf.DUMMYFUNCTION("""COMPUTED_VALUE"""),"20191")</f>
        <v>20191</v>
      </c>
      <c r="C8003" t="str">
        <f>IFERROR(__xludf.DUMMYFUNCTION("""COMPUTED_VALUE"""),"Autohak")</f>
        <v>Autohak</v>
      </c>
    </row>
    <row r="8004">
      <c r="A8004" t="str">
        <f>IFERROR(__xludf.DUMMYFUNCTION("""COMPUTED_VALUE"""),"Y26A")</f>
        <v>Y26A</v>
      </c>
      <c r="B8004" s="226" t="str">
        <f>IFERROR(__xludf.DUMMYFUNCTION("""COMPUTED_VALUE"""),"21198")</f>
        <v>21198</v>
      </c>
      <c r="C8004" t="str">
        <f>IFERROR(__xludf.DUMMYFUNCTION("""COMPUTED_VALUE"""),"Autohak")</f>
        <v>Autohak</v>
      </c>
    </row>
    <row r="8005">
      <c r="A8005" t="str">
        <f>IFERROR(__xludf.DUMMYFUNCTION("""COMPUTED_VALUE"""),"J48")</f>
        <v>J48</v>
      </c>
      <c r="B8005" s="226" t="str">
        <f>IFERROR(__xludf.DUMMYFUNCTION("""COMPUTED_VALUE"""),"22003")</f>
        <v>22003</v>
      </c>
      <c r="C8005" t="str">
        <f>IFERROR(__xludf.DUMMYFUNCTION("""COMPUTED_VALUE"""),"Autohak")</f>
        <v>Autohak</v>
      </c>
    </row>
    <row r="8006">
      <c r="A8006" t="str">
        <f>IFERROR(__xludf.DUMMYFUNCTION("""COMPUTED_VALUE"""),"J48A")</f>
        <v>J48A</v>
      </c>
      <c r="B8006" s="226" t="str">
        <f>IFERROR(__xludf.DUMMYFUNCTION("""COMPUTED_VALUE"""),"23000")</f>
        <v>23000</v>
      </c>
      <c r="C8006" t="str">
        <f>IFERROR(__xludf.DUMMYFUNCTION("""COMPUTED_VALUE"""),"Autohak")</f>
        <v>Autohak</v>
      </c>
    </row>
    <row r="8007">
      <c r="A8007" t="str">
        <f>IFERROR(__xludf.DUMMYFUNCTION("""COMPUTED_VALUE"""),"J14")</f>
        <v>J14</v>
      </c>
      <c r="B8007" s="226" t="str">
        <f>IFERROR(__xludf.DUMMYFUNCTION("""COMPUTED_VALUE"""),"22010")</f>
        <v>22010</v>
      </c>
      <c r="C8007" t="str">
        <f>IFERROR(__xludf.DUMMYFUNCTION("""COMPUTED_VALUE"""),"Autohak")</f>
        <v>Autohak</v>
      </c>
    </row>
    <row r="8008">
      <c r="A8008" t="str">
        <f>IFERROR(__xludf.DUMMYFUNCTION("""COMPUTED_VALUE"""),"J14A")</f>
        <v>J14A</v>
      </c>
      <c r="B8008" s="226" t="str">
        <f>IFERROR(__xludf.DUMMYFUNCTION("""COMPUTED_VALUE"""),"23017")</f>
        <v>23017</v>
      </c>
      <c r="C8008" t="str">
        <f>IFERROR(__xludf.DUMMYFUNCTION("""COMPUTED_VALUE"""),"Autohak")</f>
        <v>Autohak</v>
      </c>
    </row>
    <row r="8009">
      <c r="A8009" t="str">
        <f>IFERROR(__xludf.DUMMYFUNCTION("""COMPUTED_VALUE"""),"J56")</f>
        <v>J56</v>
      </c>
      <c r="B8009" s="226" t="str">
        <f>IFERROR(__xludf.DUMMYFUNCTION("""COMPUTED_VALUE"""),"22201")</f>
        <v>22201</v>
      </c>
      <c r="C8009" t="str">
        <f>IFERROR(__xludf.DUMMYFUNCTION("""COMPUTED_VALUE"""),"Autohak")</f>
        <v>Autohak</v>
      </c>
    </row>
    <row r="8010">
      <c r="A8010" t="str">
        <f>IFERROR(__xludf.DUMMYFUNCTION("""COMPUTED_VALUE"""),"J56A")</f>
        <v>J56A</v>
      </c>
      <c r="B8010" s="226" t="str">
        <f>IFERROR(__xludf.DUMMYFUNCTION("""COMPUTED_VALUE"""),"23208")</f>
        <v>23208</v>
      </c>
      <c r="C8010" t="str">
        <f>IFERROR(__xludf.DUMMYFUNCTION("""COMPUTED_VALUE"""),"Autohak")</f>
        <v>Autohak</v>
      </c>
    </row>
    <row r="8011">
      <c r="A8011" t="str">
        <f>IFERROR(__xludf.DUMMYFUNCTION("""COMPUTED_VALUE"""),"J13")</f>
        <v>J13</v>
      </c>
      <c r="B8011" s="226" t="str">
        <f>IFERROR(__xludf.DUMMYFUNCTION("""COMPUTED_VALUE"""),"22027")</f>
        <v>22027</v>
      </c>
      <c r="C8011" t="str">
        <f>IFERROR(__xludf.DUMMYFUNCTION("""COMPUTED_VALUE"""),"Autohak")</f>
        <v>Autohak</v>
      </c>
    </row>
    <row r="8012">
      <c r="A8012" t="str">
        <f>IFERROR(__xludf.DUMMYFUNCTION("""COMPUTED_VALUE"""),"J13A")</f>
        <v>J13A</v>
      </c>
      <c r="B8012" s="226" t="str">
        <f>IFERROR(__xludf.DUMMYFUNCTION("""COMPUTED_VALUE"""),"23024")</f>
        <v>23024</v>
      </c>
      <c r="C8012" t="str">
        <f>IFERROR(__xludf.DUMMYFUNCTION("""COMPUTED_VALUE"""),"Autohak")</f>
        <v>Autohak</v>
      </c>
    </row>
    <row r="8013">
      <c r="A8013" t="str">
        <f>IFERROR(__xludf.DUMMYFUNCTION("""COMPUTED_VALUE"""),"J49")</f>
        <v>J49</v>
      </c>
      <c r="B8013" s="226" t="str">
        <f>IFERROR(__xludf.DUMMYFUNCTION("""COMPUTED_VALUE"""),"22034")</f>
        <v>22034</v>
      </c>
      <c r="C8013" t="str">
        <f>IFERROR(__xludf.DUMMYFUNCTION("""COMPUTED_VALUE"""),"Autohak")</f>
        <v>Autohak</v>
      </c>
    </row>
    <row r="8014">
      <c r="A8014" t="str">
        <f>IFERROR(__xludf.DUMMYFUNCTION("""COMPUTED_VALUE"""),"J49A")</f>
        <v>J49A</v>
      </c>
      <c r="B8014" s="226" t="str">
        <f>IFERROR(__xludf.DUMMYFUNCTION("""COMPUTED_VALUE"""),"23031")</f>
        <v>23031</v>
      </c>
      <c r="C8014" t="str">
        <f>IFERROR(__xludf.DUMMYFUNCTION("""COMPUTED_VALUE"""),"Autohak")</f>
        <v>Autohak</v>
      </c>
    </row>
    <row r="8015">
      <c r="A8015" t="str">
        <f>IFERROR(__xludf.DUMMYFUNCTION("""COMPUTED_VALUE"""),"J63")</f>
        <v>J63</v>
      </c>
      <c r="B8015" s="226" t="str">
        <f>IFERROR(__xludf.DUMMYFUNCTION("""COMPUTED_VALUE"""),"22287")</f>
        <v>22287</v>
      </c>
      <c r="C8015" t="str">
        <f>IFERROR(__xludf.DUMMYFUNCTION("""COMPUTED_VALUE"""),"Autohak")</f>
        <v>Autohak</v>
      </c>
    </row>
    <row r="8016">
      <c r="A8016" t="str">
        <f>IFERROR(__xludf.DUMMYFUNCTION("""COMPUTED_VALUE"""),"J63A")</f>
        <v>J63A</v>
      </c>
      <c r="B8016" s="226" t="str">
        <f>IFERROR(__xludf.DUMMYFUNCTION("""COMPUTED_VALUE"""),"23284")</f>
        <v>23284</v>
      </c>
      <c r="C8016" t="str">
        <f>IFERROR(__xludf.DUMMYFUNCTION("""COMPUTED_VALUE"""),"Autohak")</f>
        <v>Autohak</v>
      </c>
    </row>
    <row r="8017">
      <c r="A8017" t="str">
        <f>IFERROR(__xludf.DUMMYFUNCTION("""COMPUTED_VALUE"""),"J73")</f>
        <v>J73</v>
      </c>
      <c r="B8017" s="226" t="str">
        <f>IFERROR(__xludf.DUMMYFUNCTION("""COMPUTED_VALUE"""),"22386")</f>
        <v>22386</v>
      </c>
      <c r="C8017" t="str">
        <f>IFERROR(__xludf.DUMMYFUNCTION("""COMPUTED_VALUE"""),"Autohak")</f>
        <v>Autohak</v>
      </c>
    </row>
    <row r="8018">
      <c r="A8018" t="str">
        <f>IFERROR(__xludf.DUMMYFUNCTION("""COMPUTED_VALUE"""),"J73A")</f>
        <v>J73A</v>
      </c>
      <c r="B8018" s="226" t="str">
        <f>IFERROR(__xludf.DUMMYFUNCTION("""COMPUTED_VALUE"""),"23376")</f>
        <v>23376</v>
      </c>
      <c r="C8018" t="str">
        <f>IFERROR(__xludf.DUMMYFUNCTION("""COMPUTED_VALUE"""),"Autohak")</f>
        <v>Autohak</v>
      </c>
    </row>
    <row r="8019">
      <c r="A8019" t="str">
        <f>IFERROR(__xludf.DUMMYFUNCTION("""COMPUTED_VALUE"""),"J73V")</f>
        <v>J73V</v>
      </c>
      <c r="B8019" s="226" t="str">
        <f>IFERROR(__xludf.DUMMYFUNCTION("""COMPUTED_VALUE"""),"23918")</f>
        <v>23918</v>
      </c>
      <c r="C8019" t="str">
        <f>IFERROR(__xludf.DUMMYFUNCTION("""COMPUTED_VALUE"""),"Autohak")</f>
        <v>Autohak</v>
      </c>
    </row>
    <row r="8020">
      <c r="A8020" t="str">
        <f>IFERROR(__xludf.DUMMYFUNCTION("""COMPUTED_VALUE"""),"J46")</f>
        <v>J46</v>
      </c>
      <c r="B8020" s="226" t="str">
        <f>IFERROR(__xludf.DUMMYFUNCTION("""COMPUTED_VALUE"""),"22041")</f>
        <v>22041</v>
      </c>
      <c r="C8020" t="str">
        <f>IFERROR(__xludf.DUMMYFUNCTION("""COMPUTED_VALUE"""),"Autohak")</f>
        <v>Autohak</v>
      </c>
    </row>
    <row r="8021">
      <c r="A8021" t="str">
        <f>IFERROR(__xludf.DUMMYFUNCTION("""COMPUTED_VALUE"""),"J46A")</f>
        <v>J46A</v>
      </c>
      <c r="B8021" s="226" t="str">
        <f>IFERROR(__xludf.DUMMYFUNCTION("""COMPUTED_VALUE"""),"23048")</f>
        <v>23048</v>
      </c>
      <c r="C8021" t="str">
        <f>IFERROR(__xludf.DUMMYFUNCTION("""COMPUTED_VALUE"""),"Autohak")</f>
        <v>Autohak</v>
      </c>
    </row>
    <row r="8022">
      <c r="A8022" t="str">
        <f>IFERROR(__xludf.DUMMYFUNCTION("""COMPUTED_VALUE"""),"J53")</f>
        <v>J53</v>
      </c>
      <c r="B8022" s="226" t="str">
        <f>IFERROR(__xludf.DUMMYFUNCTION("""COMPUTED_VALUE"""),"22171")</f>
        <v>22171</v>
      </c>
      <c r="C8022" t="str">
        <f>IFERROR(__xludf.DUMMYFUNCTION("""COMPUTED_VALUE"""),"Autohak")</f>
        <v>Autohak</v>
      </c>
    </row>
    <row r="8023">
      <c r="A8023" t="str">
        <f>IFERROR(__xludf.DUMMYFUNCTION("""COMPUTED_VALUE"""),"J53A")</f>
        <v>J53A</v>
      </c>
      <c r="B8023" s="226" t="str">
        <f>IFERROR(__xludf.DUMMYFUNCTION("""COMPUTED_VALUE"""),"23178")</f>
        <v>23178</v>
      </c>
      <c r="C8023" t="str">
        <f>IFERROR(__xludf.DUMMYFUNCTION("""COMPUTED_VALUE"""),"Autohak")</f>
        <v>Autohak</v>
      </c>
    </row>
    <row r="8024">
      <c r="A8024" t="str">
        <f>IFERROR(__xludf.DUMMYFUNCTION("""COMPUTED_VALUE"""),"J52")</f>
        <v>J52</v>
      </c>
      <c r="B8024" s="226" t="str">
        <f>IFERROR(__xludf.DUMMYFUNCTION("""COMPUTED_VALUE"""),"22164")</f>
        <v>22164</v>
      </c>
      <c r="C8024" t="str">
        <f>IFERROR(__xludf.DUMMYFUNCTION("""COMPUTED_VALUE"""),"Autohak")</f>
        <v>Autohak</v>
      </c>
    </row>
    <row r="8025">
      <c r="A8025" t="str">
        <f>IFERROR(__xludf.DUMMYFUNCTION("""COMPUTED_VALUE"""),"J52A")</f>
        <v>J52A</v>
      </c>
      <c r="B8025" s="226" t="str">
        <f>IFERROR(__xludf.DUMMYFUNCTION("""COMPUTED_VALUE"""),"23161")</f>
        <v>23161</v>
      </c>
      <c r="C8025" t="str">
        <f>IFERROR(__xludf.DUMMYFUNCTION("""COMPUTED_VALUE"""),"Autohak")</f>
        <v>Autohak</v>
      </c>
    </row>
    <row r="8026">
      <c r="A8026" t="str">
        <f>IFERROR(__xludf.DUMMYFUNCTION("""COMPUTED_VALUE"""),"J58")</f>
        <v>J58</v>
      </c>
      <c r="B8026" s="226" t="str">
        <f>IFERROR(__xludf.DUMMYFUNCTION("""COMPUTED_VALUE"""),"22225")</f>
        <v>22225</v>
      </c>
      <c r="C8026" t="str">
        <f>IFERROR(__xludf.DUMMYFUNCTION("""COMPUTED_VALUE"""),"Autohak")</f>
        <v>Autohak</v>
      </c>
    </row>
    <row r="8027">
      <c r="A8027" t="str">
        <f>IFERROR(__xludf.DUMMYFUNCTION("""COMPUTED_VALUE"""),"J58A")</f>
        <v>J58A</v>
      </c>
      <c r="B8027" s="226" t="str">
        <f>IFERROR(__xludf.DUMMYFUNCTION("""COMPUTED_VALUE"""),"23222")</f>
        <v>23222</v>
      </c>
      <c r="C8027" t="str">
        <f>IFERROR(__xludf.DUMMYFUNCTION("""COMPUTED_VALUE"""),"Autohak")</f>
        <v>Autohak</v>
      </c>
    </row>
    <row r="8028">
      <c r="A8028" t="str">
        <f>IFERROR(__xludf.DUMMYFUNCTION("""COMPUTED_VALUE"""),"J03")</f>
        <v>J03</v>
      </c>
      <c r="B8028" s="226" t="str">
        <f>IFERROR(__xludf.DUMMYFUNCTION("""COMPUTED_VALUE"""),"22058")</f>
        <v>22058</v>
      </c>
      <c r="C8028" t="str">
        <f>IFERROR(__xludf.DUMMYFUNCTION("""COMPUTED_VALUE"""),"Autohak")</f>
        <v>Autohak</v>
      </c>
    </row>
    <row r="8029">
      <c r="A8029" t="str">
        <f>IFERROR(__xludf.DUMMYFUNCTION("""COMPUTED_VALUE"""),"J03")</f>
        <v>J03</v>
      </c>
      <c r="B8029" s="226" t="str">
        <f>IFERROR(__xludf.DUMMYFUNCTION("""COMPUTED_VALUE"""),"22058")</f>
        <v>22058</v>
      </c>
      <c r="C8029" t="str">
        <f>IFERROR(__xludf.DUMMYFUNCTION("""COMPUTED_VALUE"""),"Autohak")</f>
        <v>Autohak</v>
      </c>
    </row>
    <row r="8030">
      <c r="A8030" t="str">
        <f>IFERROR(__xludf.DUMMYFUNCTION("""COMPUTED_VALUE"""),"J15")</f>
        <v>J15</v>
      </c>
      <c r="B8030" s="226" t="str">
        <f>IFERROR(__xludf.DUMMYFUNCTION("""COMPUTED_VALUE"""),"22072")</f>
        <v>22072</v>
      </c>
      <c r="C8030" t="str">
        <f>IFERROR(__xludf.DUMMYFUNCTION("""COMPUTED_VALUE"""),"Autohak")</f>
        <v>Autohak</v>
      </c>
    </row>
    <row r="8031">
      <c r="A8031" t="str">
        <f>IFERROR(__xludf.DUMMYFUNCTION("""COMPUTED_VALUE"""),"J15A")</f>
        <v>J15A</v>
      </c>
      <c r="B8031" s="226" t="str">
        <f>IFERROR(__xludf.DUMMYFUNCTION("""COMPUTED_VALUE"""),"23079")</f>
        <v>23079</v>
      </c>
      <c r="C8031" t="str">
        <f>IFERROR(__xludf.DUMMYFUNCTION("""COMPUTED_VALUE"""),"Autohak")</f>
        <v>Autohak</v>
      </c>
    </row>
    <row r="8032">
      <c r="A8032" t="str">
        <f>IFERROR(__xludf.DUMMYFUNCTION("""COMPUTED_VALUE"""),"J72")</f>
        <v>J72</v>
      </c>
      <c r="B8032" s="226" t="str">
        <f>IFERROR(__xludf.DUMMYFUNCTION("""COMPUTED_VALUE"""),"22379")</f>
        <v>22379</v>
      </c>
      <c r="C8032" t="str">
        <f>IFERROR(__xludf.DUMMYFUNCTION("""COMPUTED_VALUE"""),"Autohak")</f>
        <v>Autohak</v>
      </c>
    </row>
    <row r="8033">
      <c r="A8033" t="str">
        <f>IFERROR(__xludf.DUMMYFUNCTION("""COMPUTED_VALUE"""),"J74")</f>
        <v>J74</v>
      </c>
      <c r="B8033" s="226" t="str">
        <f>IFERROR(__xludf.DUMMYFUNCTION("""COMPUTED_VALUE"""),"22393")</f>
        <v>22393</v>
      </c>
      <c r="C8033" t="str">
        <f>IFERROR(__xludf.DUMMYFUNCTION("""COMPUTED_VALUE"""),"Autohak")</f>
        <v>Autohak</v>
      </c>
    </row>
    <row r="8034">
      <c r="A8034" t="str">
        <f>IFERROR(__xludf.DUMMYFUNCTION("""COMPUTED_VALUE"""),"J75")</f>
        <v>J75</v>
      </c>
      <c r="B8034" s="226" t="str">
        <f>IFERROR(__xludf.DUMMYFUNCTION("""COMPUTED_VALUE"""),"22409")</f>
        <v>22409</v>
      </c>
      <c r="C8034" t="str">
        <f>IFERROR(__xludf.DUMMYFUNCTION("""COMPUTED_VALUE"""),"Autohak")</f>
        <v>Autohak</v>
      </c>
    </row>
    <row r="8035">
      <c r="A8035" t="str">
        <f>IFERROR(__xludf.DUMMYFUNCTION("""COMPUTED_VALUE"""),"J61")</f>
        <v>J61</v>
      </c>
      <c r="B8035" s="226" t="str">
        <f>IFERROR(__xludf.DUMMYFUNCTION("""COMPUTED_VALUE"""),"22256")</f>
        <v>22256</v>
      </c>
      <c r="C8035" t="str">
        <f>IFERROR(__xludf.DUMMYFUNCTION("""COMPUTED_VALUE"""),"Autohak")</f>
        <v>Autohak</v>
      </c>
    </row>
    <row r="8036">
      <c r="A8036" t="str">
        <f>IFERROR(__xludf.DUMMYFUNCTION("""COMPUTED_VALUE"""),"J61A")</f>
        <v>J61A</v>
      </c>
      <c r="B8036" s="226" t="str">
        <f>IFERROR(__xludf.DUMMYFUNCTION("""COMPUTED_VALUE"""),"23253")</f>
        <v>23253</v>
      </c>
      <c r="C8036" t="str">
        <f>IFERROR(__xludf.DUMMYFUNCTION("""COMPUTED_VALUE"""),"Autohak")</f>
        <v>Autohak</v>
      </c>
    </row>
    <row r="8037">
      <c r="A8037" t="str">
        <f>IFERROR(__xludf.DUMMYFUNCTION("""COMPUTED_VALUE"""),"J61")</f>
        <v>J61</v>
      </c>
      <c r="B8037" s="226" t="str">
        <f>IFERROR(__xludf.DUMMYFUNCTION("""COMPUTED_VALUE"""),"22256")</f>
        <v>22256</v>
      </c>
      <c r="C8037" t="str">
        <f>IFERROR(__xludf.DUMMYFUNCTION("""COMPUTED_VALUE"""),"Autohak")</f>
        <v>Autohak</v>
      </c>
    </row>
    <row r="8038">
      <c r="A8038" t="str">
        <f>IFERROR(__xludf.DUMMYFUNCTION("""COMPUTED_VALUE"""),"J61A")</f>
        <v>J61A</v>
      </c>
      <c r="B8038" s="226" t="str">
        <f>IFERROR(__xludf.DUMMYFUNCTION("""COMPUTED_VALUE"""),"23253")</f>
        <v>23253</v>
      </c>
      <c r="C8038" t="str">
        <f>IFERROR(__xludf.DUMMYFUNCTION("""COMPUTED_VALUE"""),"Autohak")</f>
        <v>Autohak</v>
      </c>
    </row>
    <row r="8039">
      <c r="A8039" t="str">
        <f>IFERROR(__xludf.DUMMYFUNCTION("""COMPUTED_VALUE"""),"J61")</f>
        <v>J61</v>
      </c>
      <c r="B8039" s="226" t="str">
        <f>IFERROR(__xludf.DUMMYFUNCTION("""COMPUTED_VALUE"""),"22256")</f>
        <v>22256</v>
      </c>
      <c r="C8039" t="str">
        <f>IFERROR(__xludf.DUMMYFUNCTION("""COMPUTED_VALUE"""),"Autohak")</f>
        <v>Autohak</v>
      </c>
    </row>
    <row r="8040">
      <c r="A8040" t="str">
        <f>IFERROR(__xludf.DUMMYFUNCTION("""COMPUTED_VALUE"""),"J61A")</f>
        <v>J61A</v>
      </c>
      <c r="B8040" s="226" t="str">
        <f>IFERROR(__xludf.DUMMYFUNCTION("""COMPUTED_VALUE"""),"23253")</f>
        <v>23253</v>
      </c>
      <c r="C8040" t="str">
        <f>IFERROR(__xludf.DUMMYFUNCTION("""COMPUTED_VALUE"""),"Autohak")</f>
        <v>Autohak</v>
      </c>
    </row>
    <row r="8041">
      <c r="A8041" t="str">
        <f>IFERROR(__xludf.DUMMYFUNCTION("""COMPUTED_VALUE"""),"J61")</f>
        <v>J61</v>
      </c>
      <c r="B8041" s="226" t="str">
        <f>IFERROR(__xludf.DUMMYFUNCTION("""COMPUTED_VALUE"""),"22256")</f>
        <v>22256</v>
      </c>
      <c r="C8041" t="str">
        <f>IFERROR(__xludf.DUMMYFUNCTION("""COMPUTED_VALUE"""),"Autohak")</f>
        <v>Autohak</v>
      </c>
    </row>
    <row r="8042">
      <c r="A8042" t="str">
        <f>IFERROR(__xludf.DUMMYFUNCTION("""COMPUTED_VALUE"""),"J61A")</f>
        <v>J61A</v>
      </c>
      <c r="B8042" s="226" t="str">
        <f>IFERROR(__xludf.DUMMYFUNCTION("""COMPUTED_VALUE"""),"23253")</f>
        <v>23253</v>
      </c>
      <c r="C8042" t="str">
        <f>IFERROR(__xludf.DUMMYFUNCTION("""COMPUTED_VALUE"""),"Autohak")</f>
        <v>Autohak</v>
      </c>
    </row>
    <row r="8043">
      <c r="A8043" t="str">
        <f>IFERROR(__xludf.DUMMYFUNCTION("""COMPUTED_VALUE"""),"J59")</f>
        <v>J59</v>
      </c>
      <c r="B8043" s="226" t="str">
        <f>IFERROR(__xludf.DUMMYFUNCTION("""COMPUTED_VALUE"""),"22232")</f>
        <v>22232</v>
      </c>
      <c r="C8043" t="str">
        <f>IFERROR(__xludf.DUMMYFUNCTION("""COMPUTED_VALUE"""),"Autohak")</f>
        <v>Autohak</v>
      </c>
    </row>
    <row r="8044">
      <c r="A8044" t="str">
        <f>IFERROR(__xludf.DUMMYFUNCTION("""COMPUTED_VALUE"""),"J59A")</f>
        <v>J59A</v>
      </c>
      <c r="B8044" s="226" t="str">
        <f>IFERROR(__xludf.DUMMYFUNCTION("""COMPUTED_VALUE"""),"23239")</f>
        <v>23239</v>
      </c>
      <c r="C8044" t="str">
        <f>IFERROR(__xludf.DUMMYFUNCTION("""COMPUTED_VALUE"""),"Autohak")</f>
        <v>Autohak</v>
      </c>
    </row>
    <row r="8045">
      <c r="A8045" t="str">
        <f>IFERROR(__xludf.DUMMYFUNCTION("""COMPUTED_VALUE"""),"J59V")</f>
        <v>J59V</v>
      </c>
      <c r="B8045" s="226" t="str">
        <f>IFERROR(__xludf.DUMMYFUNCTION("""COMPUTED_VALUE"""),"23994")</f>
        <v>23994</v>
      </c>
      <c r="C8045" t="str">
        <f>IFERROR(__xludf.DUMMYFUNCTION("""COMPUTED_VALUE"""),"Autohak")</f>
        <v>Autohak</v>
      </c>
    </row>
    <row r="8046">
      <c r="A8046" t="str">
        <f>IFERROR(__xludf.DUMMYFUNCTION("""COMPUTED_VALUE"""),"J59")</f>
        <v>J59</v>
      </c>
      <c r="B8046" s="226" t="str">
        <f>IFERROR(__xludf.DUMMYFUNCTION("""COMPUTED_VALUE"""),"22232")</f>
        <v>22232</v>
      </c>
      <c r="C8046" t="str">
        <f>IFERROR(__xludf.DUMMYFUNCTION("""COMPUTED_VALUE"""),"Autohak")</f>
        <v>Autohak</v>
      </c>
    </row>
    <row r="8047">
      <c r="A8047" t="str">
        <f>IFERROR(__xludf.DUMMYFUNCTION("""COMPUTED_VALUE"""),"J59A")</f>
        <v>J59A</v>
      </c>
      <c r="B8047" s="226" t="str">
        <f>IFERROR(__xludf.DUMMYFUNCTION("""COMPUTED_VALUE"""),"23239")</f>
        <v>23239</v>
      </c>
      <c r="C8047" t="str">
        <f>IFERROR(__xludf.DUMMYFUNCTION("""COMPUTED_VALUE"""),"Autohak")</f>
        <v>Autohak</v>
      </c>
    </row>
    <row r="8048">
      <c r="A8048" t="str">
        <f>IFERROR(__xludf.DUMMYFUNCTION("""COMPUTED_VALUE"""),"J59V")</f>
        <v>J59V</v>
      </c>
      <c r="B8048" s="226" t="str">
        <f>IFERROR(__xludf.DUMMYFUNCTION("""COMPUTED_VALUE"""),"23994")</f>
        <v>23994</v>
      </c>
      <c r="C8048" t="str">
        <f>IFERROR(__xludf.DUMMYFUNCTION("""COMPUTED_VALUE"""),"Autohak")</f>
        <v>Autohak</v>
      </c>
    </row>
    <row r="8049">
      <c r="A8049" t="str">
        <f>IFERROR(__xludf.DUMMYFUNCTION("""COMPUTED_VALUE"""),"J70")</f>
        <v>J70</v>
      </c>
      <c r="B8049" s="226" t="str">
        <f>IFERROR(__xludf.DUMMYFUNCTION("""COMPUTED_VALUE"""),"22355")</f>
        <v>22355</v>
      </c>
      <c r="C8049" t="str">
        <f>IFERROR(__xludf.DUMMYFUNCTION("""COMPUTED_VALUE"""),"Autohak")</f>
        <v>Autohak</v>
      </c>
    </row>
    <row r="8050">
      <c r="A8050" t="str">
        <f>IFERROR(__xludf.DUMMYFUNCTION("""COMPUTED_VALUE"""),"J70A")</f>
        <v>J70A</v>
      </c>
      <c r="B8050" s="226" t="str">
        <f>IFERROR(__xludf.DUMMYFUNCTION("""COMPUTED_VALUE"""),"23352")</f>
        <v>23352</v>
      </c>
      <c r="C8050" t="str">
        <f>IFERROR(__xludf.DUMMYFUNCTION("""COMPUTED_VALUE"""),"Autohak")</f>
        <v>Autohak</v>
      </c>
    </row>
    <row r="8051">
      <c r="A8051" t="str">
        <f>IFERROR(__xludf.DUMMYFUNCTION("""COMPUTED_VALUE"""),"T52")</f>
        <v>T52</v>
      </c>
      <c r="B8051" s="226" t="str">
        <f>IFERROR(__xludf.DUMMYFUNCTION("""COMPUTED_VALUE"""),"25202")</f>
        <v>25202</v>
      </c>
      <c r="C8051" t="str">
        <f>IFERROR(__xludf.DUMMYFUNCTION("""COMPUTED_VALUE"""),"Autohak")</f>
        <v>Autohak</v>
      </c>
    </row>
    <row r="8052">
      <c r="A8052" t="str">
        <f>IFERROR(__xludf.DUMMYFUNCTION("""COMPUTED_VALUE"""),"T52A")</f>
        <v>T52A</v>
      </c>
      <c r="B8052" s="226" t="str">
        <f>IFERROR(__xludf.DUMMYFUNCTION("""COMPUTED_VALUE"""),"27206")</f>
        <v>27206</v>
      </c>
      <c r="C8052" t="str">
        <f>IFERROR(__xludf.DUMMYFUNCTION("""COMPUTED_VALUE"""),"Autohak")</f>
        <v>Autohak</v>
      </c>
    </row>
    <row r="8053">
      <c r="A8053" t="str">
        <f>IFERROR(__xludf.DUMMYFUNCTION("""COMPUTED_VALUE"""),"J65")</f>
        <v>J65</v>
      </c>
      <c r="B8053" s="226" t="str">
        <f>IFERROR(__xludf.DUMMYFUNCTION("""COMPUTED_VALUE"""),"22300")</f>
        <v>22300</v>
      </c>
      <c r="C8053" t="str">
        <f>IFERROR(__xludf.DUMMYFUNCTION("""COMPUTED_VALUE"""),"Autohak")</f>
        <v>Autohak</v>
      </c>
    </row>
    <row r="8054">
      <c r="A8054" t="str">
        <f>IFERROR(__xludf.DUMMYFUNCTION("""COMPUTED_VALUE"""),"J65A")</f>
        <v>J65A</v>
      </c>
      <c r="B8054" s="226" t="str">
        <f>IFERROR(__xludf.DUMMYFUNCTION("""COMPUTED_VALUE"""),"23307")</f>
        <v>23307</v>
      </c>
      <c r="C8054" t="str">
        <f>IFERROR(__xludf.DUMMYFUNCTION("""COMPUTED_VALUE"""),"Autohak")</f>
        <v>Autohak</v>
      </c>
    </row>
    <row r="8055">
      <c r="A8055" t="str">
        <f>IFERROR(__xludf.DUMMYFUNCTION("""COMPUTED_VALUE"""),"J65V")</f>
        <v>J65V</v>
      </c>
      <c r="B8055" s="226" t="str">
        <f>IFERROR(__xludf.DUMMYFUNCTION("""COMPUTED_VALUE"""),"23932")</f>
        <v>23932</v>
      </c>
      <c r="C8055" t="str">
        <f>IFERROR(__xludf.DUMMYFUNCTION("""COMPUTED_VALUE"""),"Autohak")</f>
        <v>Autohak</v>
      </c>
    </row>
    <row r="8056">
      <c r="A8056" t="str">
        <f>IFERROR(__xludf.DUMMYFUNCTION("""COMPUTED_VALUE"""),"J76")</f>
        <v>J76</v>
      </c>
      <c r="B8056" s="226" t="str">
        <f>IFERROR(__xludf.DUMMYFUNCTION("""COMPUTED_VALUE"""),"22416")</f>
        <v>22416</v>
      </c>
      <c r="C8056" t="str">
        <f>IFERROR(__xludf.DUMMYFUNCTION("""COMPUTED_VALUE"""),"Autohak")</f>
        <v>Autohak</v>
      </c>
    </row>
    <row r="8057">
      <c r="A8057" t="str">
        <f>IFERROR(__xludf.DUMMYFUNCTION("""COMPUTED_VALUE"""),"J76A")</f>
        <v>J76A</v>
      </c>
      <c r="B8057" s="226" t="str">
        <f>IFERROR(__xludf.DUMMYFUNCTION("""COMPUTED_VALUE"""),"23383")</f>
        <v>23383</v>
      </c>
      <c r="C8057" t="str">
        <f>IFERROR(__xludf.DUMMYFUNCTION("""COMPUTED_VALUE"""),"Autohak")</f>
        <v>Autohak</v>
      </c>
    </row>
    <row r="8058">
      <c r="A8058" t="str">
        <f>IFERROR(__xludf.DUMMYFUNCTION("""COMPUTED_VALUE"""),"J76V")</f>
        <v>J76V</v>
      </c>
      <c r="B8058" s="226" t="str">
        <f>IFERROR(__xludf.DUMMYFUNCTION("""COMPUTED_VALUE"""),"23901")</f>
        <v>23901</v>
      </c>
      <c r="C8058" t="str">
        <f>IFERROR(__xludf.DUMMYFUNCTION("""COMPUTED_VALUE"""),"Autohak")</f>
        <v>Autohak</v>
      </c>
    </row>
    <row r="8059">
      <c r="A8059" t="str">
        <f>IFERROR(__xludf.DUMMYFUNCTION("""COMPUTED_VALUE"""),"J57")</f>
        <v>J57</v>
      </c>
      <c r="B8059" s="226" t="str">
        <f>IFERROR(__xludf.DUMMYFUNCTION("""COMPUTED_VALUE"""),"22218")</f>
        <v>22218</v>
      </c>
      <c r="C8059" t="str">
        <f>IFERROR(__xludf.DUMMYFUNCTION("""COMPUTED_VALUE"""),"Autohak")</f>
        <v>Autohak</v>
      </c>
    </row>
    <row r="8060">
      <c r="A8060" t="str">
        <f>IFERROR(__xludf.DUMMYFUNCTION("""COMPUTED_VALUE"""),"J57A")</f>
        <v>J57A</v>
      </c>
      <c r="B8060" s="226" t="str">
        <f>IFERROR(__xludf.DUMMYFUNCTION("""COMPUTED_VALUE"""),"23215")</f>
        <v>23215</v>
      </c>
      <c r="C8060" t="str">
        <f>IFERROR(__xludf.DUMMYFUNCTION("""COMPUTED_VALUE"""),"Autohak")</f>
        <v>Autohak</v>
      </c>
    </row>
    <row r="8061">
      <c r="A8061" t="str">
        <f>IFERROR(__xludf.DUMMYFUNCTION("""COMPUTED_VALUE"""),"J57U")</f>
        <v>J57U</v>
      </c>
      <c r="B8061" s="226" t="str">
        <f>IFERROR(__xludf.DUMMYFUNCTION("""COMPUTED_VALUE"""),"22263")</f>
        <v>22263</v>
      </c>
      <c r="C8061" t="str">
        <f>IFERROR(__xludf.DUMMYFUNCTION("""COMPUTED_VALUE"""),"Autohak")</f>
        <v>Autohak</v>
      </c>
    </row>
    <row r="8062">
      <c r="A8062" t="str">
        <f>IFERROR(__xludf.DUMMYFUNCTION("""COMPUTED_VALUE"""),"J57UA")</f>
        <v>J57UA</v>
      </c>
      <c r="B8062" s="226" t="str">
        <f>IFERROR(__xludf.DUMMYFUNCTION("""COMPUTED_VALUE"""),"23260")</f>
        <v>23260</v>
      </c>
      <c r="C8062" t="str">
        <f>IFERROR(__xludf.DUMMYFUNCTION("""COMPUTED_VALUE"""),"Autohak")</f>
        <v>Autohak</v>
      </c>
    </row>
    <row r="8063">
      <c r="A8063" t="str">
        <f>IFERROR(__xludf.DUMMYFUNCTION("""COMPUTED_VALUE"""),"J67")</f>
        <v>J67</v>
      </c>
      <c r="B8063" s="226" t="str">
        <f>IFERROR(__xludf.DUMMYFUNCTION("""COMPUTED_VALUE"""),"22324")</f>
        <v>22324</v>
      </c>
      <c r="C8063" t="str">
        <f>IFERROR(__xludf.DUMMYFUNCTION("""COMPUTED_VALUE"""),"Autohak")</f>
        <v>Autohak</v>
      </c>
    </row>
    <row r="8064">
      <c r="A8064" t="str">
        <f>IFERROR(__xludf.DUMMYFUNCTION("""COMPUTED_VALUE"""),"J67A")</f>
        <v>J67A</v>
      </c>
      <c r="B8064" s="226" t="str">
        <f>IFERROR(__xludf.DUMMYFUNCTION("""COMPUTED_VALUE"""),"23321")</f>
        <v>23321</v>
      </c>
      <c r="C8064" t="str">
        <f>IFERROR(__xludf.DUMMYFUNCTION("""COMPUTED_VALUE"""),"Autohak")</f>
        <v>Autohak</v>
      </c>
    </row>
    <row r="8065">
      <c r="A8065" t="str">
        <f>IFERROR(__xludf.DUMMYFUNCTION("""COMPUTED_VALUE"""),"J67V")</f>
        <v>J67V</v>
      </c>
      <c r="B8065" s="226" t="str">
        <f>IFERROR(__xludf.DUMMYFUNCTION("""COMPUTED_VALUE"""),"23956")</f>
        <v>23956</v>
      </c>
      <c r="C8065" t="str">
        <f>IFERROR(__xludf.DUMMYFUNCTION("""COMPUTED_VALUE"""),"Autohak")</f>
        <v>Autohak</v>
      </c>
    </row>
    <row r="8066">
      <c r="A8066" t="str">
        <f>IFERROR(__xludf.DUMMYFUNCTION("""COMPUTED_VALUE"""),"J77")</f>
        <v>J77</v>
      </c>
      <c r="B8066" s="226" t="str">
        <f>IFERROR(__xludf.DUMMYFUNCTION("""COMPUTED_VALUE"""),"22423")</f>
        <v>22423</v>
      </c>
      <c r="C8066" t="str">
        <f>IFERROR(__xludf.DUMMYFUNCTION("""COMPUTED_VALUE"""),"Autohak")</f>
        <v>Autohak</v>
      </c>
    </row>
    <row r="8067">
      <c r="A8067" t="str">
        <f>IFERROR(__xludf.DUMMYFUNCTION("""COMPUTED_VALUE"""),"J77A")</f>
        <v>J77A</v>
      </c>
      <c r="B8067" s="226" t="str">
        <f>IFERROR(__xludf.DUMMYFUNCTION("""COMPUTED_VALUE"""),"23390")</f>
        <v>23390</v>
      </c>
      <c r="C8067" t="str">
        <f>IFERROR(__xludf.DUMMYFUNCTION("""COMPUTED_VALUE"""),"Autohak")</f>
        <v>Autohak</v>
      </c>
    </row>
    <row r="8068">
      <c r="A8068" t="str">
        <f>IFERROR(__xludf.DUMMYFUNCTION("""COMPUTED_VALUE"""),"J77V")</f>
        <v>J77V</v>
      </c>
      <c r="B8068" s="226" t="str">
        <f>IFERROR(__xludf.DUMMYFUNCTION("""COMPUTED_VALUE"""),"23895")</f>
        <v>23895</v>
      </c>
      <c r="C8068" t="str">
        <f>IFERROR(__xludf.DUMMYFUNCTION("""COMPUTED_VALUE"""),"Autohak")</f>
        <v>Autohak</v>
      </c>
    </row>
    <row r="8069">
      <c r="A8069" t="str">
        <f>IFERROR(__xludf.DUMMYFUNCTION("""COMPUTED_VALUE"""),"J79")</f>
        <v>J79</v>
      </c>
      <c r="B8069" s="226" t="str">
        <f>IFERROR(__xludf.DUMMYFUNCTION("""COMPUTED_VALUE"""),"22447")</f>
        <v>22447</v>
      </c>
      <c r="C8069" t="str">
        <f>IFERROR(__xludf.DUMMYFUNCTION("""COMPUTED_VALUE"""),"Autohak")</f>
        <v>Autohak</v>
      </c>
    </row>
    <row r="8070">
      <c r="A8070" t="str">
        <f>IFERROR(__xludf.DUMMYFUNCTION("""COMPUTED_VALUE"""),"J79A")</f>
        <v>J79A</v>
      </c>
      <c r="B8070" s="226" t="str">
        <f>IFERROR(__xludf.DUMMYFUNCTION("""COMPUTED_VALUE"""),"23413")</f>
        <v>23413</v>
      </c>
      <c r="C8070" t="str">
        <f>IFERROR(__xludf.DUMMYFUNCTION("""COMPUTED_VALUE"""),"Autohak")</f>
        <v>Autohak</v>
      </c>
    </row>
    <row r="8071">
      <c r="A8071" t="str">
        <f>IFERROR(__xludf.DUMMYFUNCTION("""COMPUTED_VALUE"""),"J79V")</f>
        <v>J79V</v>
      </c>
      <c r="B8071" s="226" t="str">
        <f>IFERROR(__xludf.DUMMYFUNCTION("""COMPUTED_VALUE"""),"23871")</f>
        <v>23871</v>
      </c>
      <c r="C8071" t="str">
        <f>IFERROR(__xludf.DUMMYFUNCTION("""COMPUTED_VALUE"""),"Autohak")</f>
        <v>Autohak</v>
      </c>
    </row>
    <row r="8072">
      <c r="A8072" t="str">
        <f>IFERROR(__xludf.DUMMYFUNCTION("""COMPUTED_VALUE"""),"J66")</f>
        <v>J66</v>
      </c>
      <c r="B8072" s="226" t="str">
        <f>IFERROR(__xludf.DUMMYFUNCTION("""COMPUTED_VALUE"""),"22317")</f>
        <v>22317</v>
      </c>
      <c r="C8072" t="str">
        <f>IFERROR(__xludf.DUMMYFUNCTION("""COMPUTED_VALUE"""),"Autohak")</f>
        <v>Autohak</v>
      </c>
    </row>
    <row r="8073">
      <c r="A8073" t="str">
        <f>IFERROR(__xludf.DUMMYFUNCTION("""COMPUTED_VALUE"""),"J66A")</f>
        <v>J66A</v>
      </c>
      <c r="B8073" s="226" t="str">
        <f>IFERROR(__xludf.DUMMYFUNCTION("""COMPUTED_VALUE"""),"23314")</f>
        <v>23314</v>
      </c>
      <c r="C8073" t="str">
        <f>IFERROR(__xludf.DUMMYFUNCTION("""COMPUTED_VALUE"""),"Autohak")</f>
        <v>Autohak</v>
      </c>
    </row>
    <row r="8074">
      <c r="A8074" t="str">
        <f>IFERROR(__xludf.DUMMYFUNCTION("""COMPUTED_VALUE"""),"J66V")</f>
        <v>J66V</v>
      </c>
      <c r="B8074" s="226" t="str">
        <f>IFERROR(__xludf.DUMMYFUNCTION("""COMPUTED_VALUE"""),"23963")</f>
        <v>23963</v>
      </c>
      <c r="C8074" t="str">
        <f>IFERROR(__xludf.DUMMYFUNCTION("""COMPUTED_VALUE"""),"Autohak")</f>
        <v>Autohak</v>
      </c>
    </row>
    <row r="8075">
      <c r="A8075" t="str">
        <f>IFERROR(__xludf.DUMMYFUNCTION("""COMPUTED_VALUE"""),"J66")</f>
        <v>J66</v>
      </c>
      <c r="B8075" s="226" t="str">
        <f>IFERROR(__xludf.DUMMYFUNCTION("""COMPUTED_VALUE"""),"22317")</f>
        <v>22317</v>
      </c>
      <c r="C8075" t="str">
        <f>IFERROR(__xludf.DUMMYFUNCTION("""COMPUTED_VALUE"""),"Autohak")</f>
        <v>Autohak</v>
      </c>
    </row>
    <row r="8076">
      <c r="A8076" t="str">
        <f>IFERROR(__xludf.DUMMYFUNCTION("""COMPUTED_VALUE"""),"J66A")</f>
        <v>J66A</v>
      </c>
      <c r="B8076" s="226" t="str">
        <f>IFERROR(__xludf.DUMMYFUNCTION("""COMPUTED_VALUE"""),"23314")</f>
        <v>23314</v>
      </c>
      <c r="C8076" t="str">
        <f>IFERROR(__xludf.DUMMYFUNCTION("""COMPUTED_VALUE"""),"Autohak")</f>
        <v>Autohak</v>
      </c>
    </row>
    <row r="8077">
      <c r="A8077" t="str">
        <f>IFERROR(__xludf.DUMMYFUNCTION("""COMPUTED_VALUE"""),"J66V")</f>
        <v>J66V</v>
      </c>
      <c r="B8077" s="226" t="str">
        <f>IFERROR(__xludf.DUMMYFUNCTION("""COMPUTED_VALUE"""),"23963")</f>
        <v>23963</v>
      </c>
      <c r="C8077" t="str">
        <f>IFERROR(__xludf.DUMMYFUNCTION("""COMPUTED_VALUE"""),"Autohak")</f>
        <v>Autohak</v>
      </c>
    </row>
    <row r="8078">
      <c r="A8078" t="str">
        <f>IFERROR(__xludf.DUMMYFUNCTION("""COMPUTED_VALUE"""),"J84")</f>
        <v>J84</v>
      </c>
      <c r="B8078" s="226" t="str">
        <f>IFERROR(__xludf.DUMMYFUNCTION("""COMPUTED_VALUE"""),"22492")</f>
        <v>22492</v>
      </c>
      <c r="C8078" t="str">
        <f>IFERROR(__xludf.DUMMYFUNCTION("""COMPUTED_VALUE"""),"Autohak")</f>
        <v>Autohak</v>
      </c>
    </row>
    <row r="8079">
      <c r="A8079" t="str">
        <f>IFERROR(__xludf.DUMMYFUNCTION("""COMPUTED_VALUE"""),"J84A")</f>
        <v>J84A</v>
      </c>
      <c r="B8079" s="226" t="str">
        <f>IFERROR(__xludf.DUMMYFUNCTION("""COMPUTED_VALUE"""),"23468")</f>
        <v>23468</v>
      </c>
      <c r="C8079" t="str">
        <f>IFERROR(__xludf.DUMMYFUNCTION("""COMPUTED_VALUE"""),"Autohak")</f>
        <v>Autohak</v>
      </c>
    </row>
    <row r="8080">
      <c r="A8080" t="str">
        <f>IFERROR(__xludf.DUMMYFUNCTION("""COMPUTED_VALUE"""),"J84V")</f>
        <v>J84V</v>
      </c>
      <c r="B8080" s="226" t="str">
        <f>IFERROR(__xludf.DUMMYFUNCTION("""COMPUTED_VALUE"""),"23826")</f>
        <v>23826</v>
      </c>
      <c r="C8080" t="str">
        <f>IFERROR(__xludf.DUMMYFUNCTION("""COMPUTED_VALUE"""),"Autohak")</f>
        <v>Autohak</v>
      </c>
    </row>
    <row r="8081">
      <c r="A8081" t="str">
        <f>IFERROR(__xludf.DUMMYFUNCTION("""COMPUTED_VALUE"""),"J64")</f>
        <v>J64</v>
      </c>
      <c r="B8081" s="226" t="str">
        <f>IFERROR(__xludf.DUMMYFUNCTION("""COMPUTED_VALUE"""),"22294")</f>
        <v>22294</v>
      </c>
      <c r="C8081" t="str">
        <f>IFERROR(__xludf.DUMMYFUNCTION("""COMPUTED_VALUE"""),"Autohak")</f>
        <v>Autohak</v>
      </c>
    </row>
    <row r="8082">
      <c r="A8082" t="str">
        <f>IFERROR(__xludf.DUMMYFUNCTION("""COMPUTED_VALUE"""),"J64A")</f>
        <v>J64A</v>
      </c>
      <c r="B8082" s="226" t="str">
        <f>IFERROR(__xludf.DUMMYFUNCTION("""COMPUTED_VALUE"""),"23291")</f>
        <v>23291</v>
      </c>
      <c r="C8082" t="str">
        <f>IFERROR(__xludf.DUMMYFUNCTION("""COMPUTED_VALUE"""),"Autohak")</f>
        <v>Autohak</v>
      </c>
    </row>
    <row r="8083">
      <c r="A8083" t="str">
        <f>IFERROR(__xludf.DUMMYFUNCTION("""COMPUTED_VALUE"""),"J64V")</f>
        <v>J64V</v>
      </c>
      <c r="B8083" s="226" t="str">
        <f>IFERROR(__xludf.DUMMYFUNCTION("""COMPUTED_VALUE"""),"23970")</f>
        <v>23970</v>
      </c>
      <c r="C8083" t="str">
        <f>IFERROR(__xludf.DUMMYFUNCTION("""COMPUTED_VALUE"""),"Autohak")</f>
        <v>Autohak</v>
      </c>
    </row>
    <row r="8084">
      <c r="A8084" t="str">
        <f>IFERROR(__xludf.DUMMYFUNCTION("""COMPUTED_VALUE"""),"J64")</f>
        <v>J64</v>
      </c>
      <c r="B8084" s="226" t="str">
        <f>IFERROR(__xludf.DUMMYFUNCTION("""COMPUTED_VALUE"""),"22294")</f>
        <v>22294</v>
      </c>
      <c r="C8084" t="str">
        <f>IFERROR(__xludf.DUMMYFUNCTION("""COMPUTED_VALUE"""),"Autohak")</f>
        <v>Autohak</v>
      </c>
    </row>
    <row r="8085">
      <c r="A8085" t="str">
        <f>IFERROR(__xludf.DUMMYFUNCTION("""COMPUTED_VALUE"""),"J64A")</f>
        <v>J64A</v>
      </c>
      <c r="B8085" s="226" t="str">
        <f>IFERROR(__xludf.DUMMYFUNCTION("""COMPUTED_VALUE"""),"23291")</f>
        <v>23291</v>
      </c>
      <c r="C8085" t="str">
        <f>IFERROR(__xludf.DUMMYFUNCTION("""COMPUTED_VALUE"""),"Autohak")</f>
        <v>Autohak</v>
      </c>
    </row>
    <row r="8086">
      <c r="A8086" t="str">
        <f>IFERROR(__xludf.DUMMYFUNCTION("""COMPUTED_VALUE"""),"J64V")</f>
        <v>J64V</v>
      </c>
      <c r="B8086" s="226" t="str">
        <f>IFERROR(__xludf.DUMMYFUNCTION("""COMPUTED_VALUE"""),"23970")</f>
        <v>23970</v>
      </c>
      <c r="C8086" t="str">
        <f>IFERROR(__xludf.DUMMYFUNCTION("""COMPUTED_VALUE"""),"Autohak")</f>
        <v>Autohak</v>
      </c>
    </row>
    <row r="8087">
      <c r="A8087" t="str">
        <f>IFERROR(__xludf.DUMMYFUNCTION("""COMPUTED_VALUE"""),"J82")</f>
        <v>J82</v>
      </c>
      <c r="B8087" s="226" t="str">
        <f>IFERROR(__xludf.DUMMYFUNCTION("""COMPUTED_VALUE"""),"22478")</f>
        <v>22478</v>
      </c>
      <c r="C8087" t="str">
        <f>IFERROR(__xludf.DUMMYFUNCTION("""COMPUTED_VALUE"""),"Autohak")</f>
        <v>Autohak</v>
      </c>
    </row>
    <row r="8088">
      <c r="A8088" t="str">
        <f>IFERROR(__xludf.DUMMYFUNCTION("""COMPUTED_VALUE"""),"J82A")</f>
        <v>J82A</v>
      </c>
      <c r="B8088" s="226" t="str">
        <f>IFERROR(__xludf.DUMMYFUNCTION("""COMPUTED_VALUE"""),"23444")</f>
        <v>23444</v>
      </c>
      <c r="C8088" t="str">
        <f>IFERROR(__xludf.DUMMYFUNCTION("""COMPUTED_VALUE"""),"Autohak")</f>
        <v>Autohak</v>
      </c>
    </row>
    <row r="8089">
      <c r="A8089" t="str">
        <f>IFERROR(__xludf.DUMMYFUNCTION("""COMPUTED_VALUE"""),"J82V")</f>
        <v>J82V</v>
      </c>
      <c r="B8089" s="226" t="str">
        <f>IFERROR(__xludf.DUMMYFUNCTION("""COMPUTED_VALUE"""),"23840")</f>
        <v>23840</v>
      </c>
      <c r="C8089" t="str">
        <f>IFERROR(__xludf.DUMMYFUNCTION("""COMPUTED_VALUE"""),"Autohak")</f>
        <v>Autohak</v>
      </c>
    </row>
    <row r="8090">
      <c r="A8090" t="str">
        <f>IFERROR(__xludf.DUMMYFUNCTION("""COMPUTED_VALUE"""),"J62")</f>
        <v>J62</v>
      </c>
      <c r="B8090" s="226" t="str">
        <f>IFERROR(__xludf.DUMMYFUNCTION("""COMPUTED_VALUE"""),"22270")</f>
        <v>22270</v>
      </c>
      <c r="C8090" t="str">
        <f>IFERROR(__xludf.DUMMYFUNCTION("""COMPUTED_VALUE"""),"Autohak")</f>
        <v>Autohak</v>
      </c>
    </row>
    <row r="8091">
      <c r="A8091" t="str">
        <f>IFERROR(__xludf.DUMMYFUNCTION("""COMPUTED_VALUE"""),"J62A")</f>
        <v>J62A</v>
      </c>
      <c r="B8091" s="226" t="str">
        <f>IFERROR(__xludf.DUMMYFUNCTION("""COMPUTED_VALUE"""),"23277")</f>
        <v>23277</v>
      </c>
      <c r="C8091" t="str">
        <f>IFERROR(__xludf.DUMMYFUNCTION("""COMPUTED_VALUE"""),"Autohak")</f>
        <v>Autohak</v>
      </c>
    </row>
    <row r="8092">
      <c r="A8092" t="str">
        <f>IFERROR(__xludf.DUMMYFUNCTION("""COMPUTED_VALUE"""),"J62")</f>
        <v>J62</v>
      </c>
      <c r="B8092" s="226" t="str">
        <f>IFERROR(__xludf.DUMMYFUNCTION("""COMPUTED_VALUE"""),"22270")</f>
        <v>22270</v>
      </c>
      <c r="C8092" t="str">
        <f>IFERROR(__xludf.DUMMYFUNCTION("""COMPUTED_VALUE"""),"Autohak")</f>
        <v>Autohak</v>
      </c>
    </row>
    <row r="8093">
      <c r="A8093" t="str">
        <f>IFERROR(__xludf.DUMMYFUNCTION("""COMPUTED_VALUE"""),"J62A")</f>
        <v>J62A</v>
      </c>
      <c r="B8093" s="226" t="str">
        <f>IFERROR(__xludf.DUMMYFUNCTION("""COMPUTED_VALUE"""),"23277")</f>
        <v>23277</v>
      </c>
      <c r="C8093" t="str">
        <f>IFERROR(__xludf.DUMMYFUNCTION("""COMPUTED_VALUE"""),"Autohak")</f>
        <v>Autohak</v>
      </c>
    </row>
    <row r="8094">
      <c r="A8094" t="str">
        <f>IFERROR(__xludf.DUMMYFUNCTION("""COMPUTED_VALUE"""),"J60")</f>
        <v>J60</v>
      </c>
      <c r="B8094" s="226" t="str">
        <f>IFERROR(__xludf.DUMMYFUNCTION("""COMPUTED_VALUE"""),"22249")</f>
        <v>22249</v>
      </c>
      <c r="C8094" t="str">
        <f>IFERROR(__xludf.DUMMYFUNCTION("""COMPUTED_VALUE"""),"Autohak")</f>
        <v>Autohak</v>
      </c>
    </row>
    <row r="8095">
      <c r="A8095" t="str">
        <f>IFERROR(__xludf.DUMMYFUNCTION("""COMPUTED_VALUE"""),"J60A")</f>
        <v>J60A</v>
      </c>
      <c r="B8095" s="226" t="str">
        <f>IFERROR(__xludf.DUMMYFUNCTION("""COMPUTED_VALUE"""),"23246")</f>
        <v>23246</v>
      </c>
      <c r="C8095" t="str">
        <f>IFERROR(__xludf.DUMMYFUNCTION("""COMPUTED_VALUE"""),"Autohak")</f>
        <v>Autohak</v>
      </c>
    </row>
    <row r="8096">
      <c r="A8096" t="str">
        <f>IFERROR(__xludf.DUMMYFUNCTION("""COMPUTED_VALUE"""),"J60V")</f>
        <v>J60V</v>
      </c>
      <c r="B8096" s="226" t="str">
        <f>IFERROR(__xludf.DUMMYFUNCTION("""COMPUTED_VALUE"""),"23987")</f>
        <v>23987</v>
      </c>
      <c r="C8096" t="str">
        <f>IFERROR(__xludf.DUMMYFUNCTION("""COMPUTED_VALUE"""),"Autohak")</f>
        <v>Autohak</v>
      </c>
    </row>
    <row r="8097">
      <c r="A8097" t="str">
        <f>IFERROR(__xludf.DUMMYFUNCTION("""COMPUTED_VALUE"""),"J60")</f>
        <v>J60</v>
      </c>
      <c r="B8097" s="226" t="str">
        <f>IFERROR(__xludf.DUMMYFUNCTION("""COMPUTED_VALUE"""),"22249")</f>
        <v>22249</v>
      </c>
      <c r="C8097" t="str">
        <f>IFERROR(__xludf.DUMMYFUNCTION("""COMPUTED_VALUE"""),"Autohak")</f>
        <v>Autohak</v>
      </c>
    </row>
    <row r="8098">
      <c r="A8098" t="str">
        <f>IFERROR(__xludf.DUMMYFUNCTION("""COMPUTED_VALUE"""),"J60A")</f>
        <v>J60A</v>
      </c>
      <c r="B8098" s="226" t="str">
        <f>IFERROR(__xludf.DUMMYFUNCTION("""COMPUTED_VALUE"""),"23246")</f>
        <v>23246</v>
      </c>
      <c r="C8098" t="str">
        <f>IFERROR(__xludf.DUMMYFUNCTION("""COMPUTED_VALUE"""),"Autohak")</f>
        <v>Autohak</v>
      </c>
    </row>
    <row r="8099">
      <c r="A8099" t="str">
        <f>IFERROR(__xludf.DUMMYFUNCTION("""COMPUTED_VALUE"""),"J60V")</f>
        <v>J60V</v>
      </c>
      <c r="B8099" s="226" t="str">
        <f>IFERROR(__xludf.DUMMYFUNCTION("""COMPUTED_VALUE"""),"23987")</f>
        <v>23987</v>
      </c>
      <c r="C8099" t="str">
        <f>IFERROR(__xludf.DUMMYFUNCTION("""COMPUTED_VALUE"""),"Autohak")</f>
        <v>Autohak</v>
      </c>
    </row>
    <row r="8100">
      <c r="A8100" t="str">
        <f>IFERROR(__xludf.DUMMYFUNCTION("""COMPUTED_VALUE"""),"J78")</f>
        <v>J78</v>
      </c>
      <c r="B8100" s="226" t="str">
        <f>IFERROR(__xludf.DUMMYFUNCTION("""COMPUTED_VALUE"""),"22430")</f>
        <v>22430</v>
      </c>
      <c r="C8100" t="str">
        <f>IFERROR(__xludf.DUMMYFUNCTION("""COMPUTED_VALUE"""),"Autohak")</f>
        <v>Autohak</v>
      </c>
    </row>
    <row r="8101">
      <c r="A8101" t="str">
        <f>IFERROR(__xludf.DUMMYFUNCTION("""COMPUTED_VALUE"""),"J78A")</f>
        <v>J78A</v>
      </c>
      <c r="B8101" s="226" t="str">
        <f>IFERROR(__xludf.DUMMYFUNCTION("""COMPUTED_VALUE"""),"23406")</f>
        <v>23406</v>
      </c>
      <c r="C8101" t="str">
        <f>IFERROR(__xludf.DUMMYFUNCTION("""COMPUTED_VALUE"""),"Autohak")</f>
        <v>Autohak</v>
      </c>
    </row>
    <row r="8102">
      <c r="A8102" t="str">
        <f>IFERROR(__xludf.DUMMYFUNCTION("""COMPUTED_VALUE"""),"J78V")</f>
        <v>J78V</v>
      </c>
      <c r="B8102" s="226" t="str">
        <f>IFERROR(__xludf.DUMMYFUNCTION("""COMPUTED_VALUE"""),"23888")</f>
        <v>23888</v>
      </c>
      <c r="C8102" t="str">
        <f>IFERROR(__xludf.DUMMYFUNCTION("""COMPUTED_VALUE"""),"Autohak")</f>
        <v>Autohak</v>
      </c>
    </row>
    <row r="8103">
      <c r="A8103" t="str">
        <f>IFERROR(__xludf.DUMMYFUNCTION("""COMPUTED_VALUE"""),"J78")</f>
        <v>J78</v>
      </c>
      <c r="B8103" s="226" t="str">
        <f>IFERROR(__xludf.DUMMYFUNCTION("""COMPUTED_VALUE"""),"22430")</f>
        <v>22430</v>
      </c>
      <c r="C8103" t="str">
        <f>IFERROR(__xludf.DUMMYFUNCTION("""COMPUTED_VALUE"""),"Autohak")</f>
        <v>Autohak</v>
      </c>
    </row>
    <row r="8104">
      <c r="A8104" t="str">
        <f>IFERROR(__xludf.DUMMYFUNCTION("""COMPUTED_VALUE"""),"J78A")</f>
        <v>J78A</v>
      </c>
      <c r="B8104" s="226" t="str">
        <f>IFERROR(__xludf.DUMMYFUNCTION("""COMPUTED_VALUE"""),"23406")</f>
        <v>23406</v>
      </c>
      <c r="C8104" t="str">
        <f>IFERROR(__xludf.DUMMYFUNCTION("""COMPUTED_VALUE"""),"Autohak")</f>
        <v>Autohak</v>
      </c>
    </row>
    <row r="8105">
      <c r="A8105" t="str">
        <f>IFERROR(__xludf.DUMMYFUNCTION("""COMPUTED_VALUE"""),"J78V")</f>
        <v>J78V</v>
      </c>
      <c r="B8105" s="226" t="str">
        <f>IFERROR(__xludf.DUMMYFUNCTION("""COMPUTED_VALUE"""),"23888")</f>
        <v>23888</v>
      </c>
      <c r="C8105" t="str">
        <f>IFERROR(__xludf.DUMMYFUNCTION("""COMPUTED_VALUE"""),"Autohak")</f>
        <v>Autohak</v>
      </c>
    </row>
    <row r="8106">
      <c r="A8106" t="str">
        <f>IFERROR(__xludf.DUMMYFUNCTION("""COMPUTED_VALUE"""),"J44")</f>
        <v>J44</v>
      </c>
      <c r="B8106" s="226" t="str">
        <f>IFERROR(__xludf.DUMMYFUNCTION("""COMPUTED_VALUE"""),"22096")</f>
        <v>22096</v>
      </c>
      <c r="C8106" t="str">
        <f>IFERROR(__xludf.DUMMYFUNCTION("""COMPUTED_VALUE"""),"Autohak")</f>
        <v>Autohak</v>
      </c>
    </row>
    <row r="8107">
      <c r="A8107" t="str">
        <f>IFERROR(__xludf.DUMMYFUNCTION("""COMPUTED_VALUE"""),"J55")</f>
        <v>J55</v>
      </c>
      <c r="B8107" s="226" t="str">
        <f>IFERROR(__xludf.DUMMYFUNCTION("""COMPUTED_VALUE"""),"22195")</f>
        <v>22195</v>
      </c>
      <c r="C8107" t="str">
        <f>IFERROR(__xludf.DUMMYFUNCTION("""COMPUTED_VALUE"""),"Autohak")</f>
        <v>Autohak</v>
      </c>
    </row>
    <row r="8108">
      <c r="A8108" t="str">
        <f>IFERROR(__xludf.DUMMYFUNCTION("""COMPUTED_VALUE"""),"J55A")</f>
        <v>J55A</v>
      </c>
      <c r="B8108" s="226" t="str">
        <f>IFERROR(__xludf.DUMMYFUNCTION("""COMPUTED_VALUE"""),"23192")</f>
        <v>23192</v>
      </c>
      <c r="C8108" t="str">
        <f>IFERROR(__xludf.DUMMYFUNCTION("""COMPUTED_VALUE"""),"Autohak")</f>
        <v>Autohak</v>
      </c>
    </row>
    <row r="8109">
      <c r="A8109" t="str">
        <f>IFERROR(__xludf.DUMMYFUNCTION("""COMPUTED_VALUE"""),"Z24")</f>
        <v>Z24</v>
      </c>
      <c r="B8109" s="226" t="str">
        <f>IFERROR(__xludf.DUMMYFUNCTION("""COMPUTED_VALUE"""),"35157")</f>
        <v>35157</v>
      </c>
      <c r="C8109" t="str">
        <f>IFERROR(__xludf.DUMMYFUNCTION("""COMPUTED_VALUE"""),"Autohak")</f>
        <v>Autohak</v>
      </c>
    </row>
    <row r="8110">
      <c r="A8110" t="str">
        <f>IFERROR(__xludf.DUMMYFUNCTION("""COMPUTED_VALUE"""),"Z24A")</f>
        <v>Z24A</v>
      </c>
      <c r="B8110" s="226" t="str">
        <f>IFERROR(__xludf.DUMMYFUNCTION("""COMPUTED_VALUE"""),"37151")</f>
        <v>37151</v>
      </c>
      <c r="C8110" t="str">
        <f>IFERROR(__xludf.DUMMYFUNCTION("""COMPUTED_VALUE"""),"Autohak")</f>
        <v>Autohak</v>
      </c>
    </row>
    <row r="8111">
      <c r="A8111" t="str">
        <f>IFERROR(__xludf.DUMMYFUNCTION("""COMPUTED_VALUE"""),"J42")</f>
        <v>J42</v>
      </c>
      <c r="B8111" s="226" t="str">
        <f>IFERROR(__xludf.DUMMYFUNCTION("""COMPUTED_VALUE"""),"22119")</f>
        <v>22119</v>
      </c>
      <c r="C8111" t="str">
        <f>IFERROR(__xludf.DUMMYFUNCTION("""COMPUTED_VALUE"""),"Autohak")</f>
        <v>Autohak</v>
      </c>
    </row>
    <row r="8112">
      <c r="A8112" t="str">
        <f>IFERROR(__xludf.DUMMYFUNCTION("""COMPUTED_VALUE"""),"J42A")</f>
        <v>J42A</v>
      </c>
      <c r="B8112" s="226" t="str">
        <f>IFERROR(__xludf.DUMMYFUNCTION("""COMPUTED_VALUE"""),"23116")</f>
        <v>23116</v>
      </c>
      <c r="C8112" t="str">
        <f>IFERROR(__xludf.DUMMYFUNCTION("""COMPUTED_VALUE"""),"Autohak")</f>
        <v>Autohak</v>
      </c>
    </row>
    <row r="8113">
      <c r="A8113" t="str">
        <f>IFERROR(__xludf.DUMMYFUNCTION("""COMPUTED_VALUE"""),"J54")</f>
        <v>J54</v>
      </c>
      <c r="B8113" s="226" t="str">
        <f>IFERROR(__xludf.DUMMYFUNCTION("""COMPUTED_VALUE"""),"22188")</f>
        <v>22188</v>
      </c>
      <c r="C8113" t="str">
        <f>IFERROR(__xludf.DUMMYFUNCTION("""COMPUTED_VALUE"""),"Autohak")</f>
        <v>Autohak</v>
      </c>
    </row>
    <row r="8114">
      <c r="A8114" t="str">
        <f>IFERROR(__xludf.DUMMYFUNCTION("""COMPUTED_VALUE"""),"J54A")</f>
        <v>J54A</v>
      </c>
      <c r="B8114" s="226" t="str">
        <f>IFERROR(__xludf.DUMMYFUNCTION("""COMPUTED_VALUE"""),"23185")</f>
        <v>23185</v>
      </c>
      <c r="C8114" t="str">
        <f>IFERROR(__xludf.DUMMYFUNCTION("""COMPUTED_VALUE"""),"Autohak")</f>
        <v>Autohak</v>
      </c>
    </row>
    <row r="8115">
      <c r="A8115" t="str">
        <f>IFERROR(__xludf.DUMMYFUNCTION("""COMPUTED_VALUE"""),"J68")</f>
        <v>J68</v>
      </c>
      <c r="B8115" s="226" t="str">
        <f>IFERROR(__xludf.DUMMYFUNCTION("""COMPUTED_VALUE"""),"22331")</f>
        <v>22331</v>
      </c>
      <c r="C8115" t="str">
        <f>IFERROR(__xludf.DUMMYFUNCTION("""COMPUTED_VALUE"""),"Autohak")</f>
        <v>Autohak</v>
      </c>
    </row>
    <row r="8116">
      <c r="A8116" t="str">
        <f>IFERROR(__xludf.DUMMYFUNCTION("""COMPUTED_VALUE"""),"J68A")</f>
        <v>J68A</v>
      </c>
      <c r="B8116" s="226" t="str">
        <f>IFERROR(__xludf.DUMMYFUNCTION("""COMPUTED_VALUE"""),"23338")</f>
        <v>23338</v>
      </c>
      <c r="C8116" t="str">
        <f>IFERROR(__xludf.DUMMYFUNCTION("""COMPUTED_VALUE"""),"Autohak")</f>
        <v>Autohak</v>
      </c>
    </row>
    <row r="8117">
      <c r="A8117" t="str">
        <f>IFERROR(__xludf.DUMMYFUNCTION("""COMPUTED_VALUE"""),"J68V")</f>
        <v>J68V</v>
      </c>
      <c r="B8117" s="226" t="str">
        <f>IFERROR(__xludf.DUMMYFUNCTION("""COMPUTED_VALUE"""),"23949")</f>
        <v>23949</v>
      </c>
      <c r="C8117" t="str">
        <f>IFERROR(__xludf.DUMMYFUNCTION("""COMPUTED_VALUE"""),"Autohak")</f>
        <v>Autohak</v>
      </c>
    </row>
    <row r="8118">
      <c r="A8118" t="str">
        <f>IFERROR(__xludf.DUMMYFUNCTION("""COMPUTED_VALUE"""),"J81")</f>
        <v>J81</v>
      </c>
      <c r="B8118" s="226" t="str">
        <f>IFERROR(__xludf.DUMMYFUNCTION("""COMPUTED_VALUE"""),"22461")</f>
        <v>22461</v>
      </c>
      <c r="C8118" t="str">
        <f>IFERROR(__xludf.DUMMYFUNCTION("""COMPUTED_VALUE"""),"Autohak")</f>
        <v>Autohak</v>
      </c>
    </row>
    <row r="8119">
      <c r="A8119" t="str">
        <f>IFERROR(__xludf.DUMMYFUNCTION("""COMPUTED_VALUE"""),"J81A")</f>
        <v>J81A</v>
      </c>
      <c r="B8119" s="226" t="str">
        <f>IFERROR(__xludf.DUMMYFUNCTION("""COMPUTED_VALUE"""),"23437")</f>
        <v>23437</v>
      </c>
      <c r="C8119" t="str">
        <f>IFERROR(__xludf.DUMMYFUNCTION("""COMPUTED_VALUE"""),"Autohak")</f>
        <v>Autohak</v>
      </c>
    </row>
    <row r="8120">
      <c r="A8120" t="str">
        <f>IFERROR(__xludf.DUMMYFUNCTION("""COMPUTED_VALUE"""),"J81V")</f>
        <v>J81V</v>
      </c>
      <c r="B8120" s="226" t="str">
        <f>IFERROR(__xludf.DUMMYFUNCTION("""COMPUTED_VALUE"""),"23857")</f>
        <v>23857</v>
      </c>
      <c r="C8120" t="str">
        <f>IFERROR(__xludf.DUMMYFUNCTION("""COMPUTED_VALUE"""),"Autohak")</f>
        <v>Autohak</v>
      </c>
    </row>
    <row r="8121">
      <c r="A8121" t="str">
        <f>IFERROR(__xludf.DUMMYFUNCTION("""COMPUTED_VALUE"""),"J50")</f>
        <v>J50</v>
      </c>
      <c r="B8121" s="226" t="str">
        <f>IFERROR(__xludf.DUMMYFUNCTION("""COMPUTED_VALUE"""),"22126")</f>
        <v>22126</v>
      </c>
      <c r="C8121" t="str">
        <f>IFERROR(__xludf.DUMMYFUNCTION("""COMPUTED_VALUE"""),"Autohak")</f>
        <v>Autohak</v>
      </c>
    </row>
    <row r="8122">
      <c r="A8122" t="str">
        <f>IFERROR(__xludf.DUMMYFUNCTION("""COMPUTED_VALUE"""),"J50A")</f>
        <v>J50A</v>
      </c>
      <c r="B8122" s="226" t="str">
        <f>IFERROR(__xludf.DUMMYFUNCTION("""COMPUTED_VALUE"""),"23123")</f>
        <v>23123</v>
      </c>
      <c r="C8122" t="str">
        <f>IFERROR(__xludf.DUMMYFUNCTION("""COMPUTED_VALUE"""),"Autohak")</f>
        <v>Autohak</v>
      </c>
    </row>
    <row r="8123">
      <c r="A8123" t="str">
        <f>IFERROR(__xludf.DUMMYFUNCTION("""COMPUTED_VALUE"""),"J51")</f>
        <v>J51</v>
      </c>
      <c r="B8123" s="226" t="str">
        <f>IFERROR(__xludf.DUMMYFUNCTION("""COMPUTED_VALUE"""),"22133")</f>
        <v>22133</v>
      </c>
      <c r="C8123" t="str">
        <f>IFERROR(__xludf.DUMMYFUNCTION("""COMPUTED_VALUE"""),"Autohak")</f>
        <v>Autohak</v>
      </c>
    </row>
    <row r="8124">
      <c r="A8124" t="str">
        <f>IFERROR(__xludf.DUMMYFUNCTION("""COMPUTED_VALUE"""),"J51A")</f>
        <v>J51A</v>
      </c>
      <c r="B8124" s="226" t="str">
        <f>IFERROR(__xludf.DUMMYFUNCTION("""COMPUTED_VALUE"""),"23130")</f>
        <v>23130</v>
      </c>
      <c r="C8124" t="str">
        <f>IFERROR(__xludf.DUMMYFUNCTION("""COMPUTED_VALUE"""),"Autohak")</f>
        <v>Autohak</v>
      </c>
    </row>
    <row r="8125">
      <c r="A8125" t="str">
        <f>IFERROR(__xludf.DUMMYFUNCTION("""COMPUTED_VALUE"""),"J43")</f>
        <v>J43</v>
      </c>
      <c r="B8125" s="226" t="str">
        <f>IFERROR(__xludf.DUMMYFUNCTION("""COMPUTED_VALUE"""),"22140")</f>
        <v>22140</v>
      </c>
      <c r="C8125" t="str">
        <f>IFERROR(__xludf.DUMMYFUNCTION("""COMPUTED_VALUE"""),"Autohak")</f>
        <v>Autohak</v>
      </c>
    </row>
    <row r="8126">
      <c r="A8126" t="str">
        <f>IFERROR(__xludf.DUMMYFUNCTION("""COMPUTED_VALUE"""),"J43A")</f>
        <v>J43A</v>
      </c>
      <c r="B8126" s="226" t="str">
        <f>IFERROR(__xludf.DUMMYFUNCTION("""COMPUTED_VALUE"""),"23147")</f>
        <v>23147</v>
      </c>
      <c r="C8126" t="str">
        <f>IFERROR(__xludf.DUMMYFUNCTION("""COMPUTED_VALUE"""),"Autohak")</f>
        <v>Autohak</v>
      </c>
    </row>
    <row r="8127">
      <c r="A8127" t="str">
        <f>IFERROR(__xludf.DUMMYFUNCTION("""COMPUTED_VALUE"""),"J47")</f>
        <v>J47</v>
      </c>
      <c r="B8127" s="226" t="str">
        <f>IFERROR(__xludf.DUMMYFUNCTION("""COMPUTED_VALUE"""),"22157")</f>
        <v>22157</v>
      </c>
      <c r="C8127" t="str">
        <f>IFERROR(__xludf.DUMMYFUNCTION("""COMPUTED_VALUE"""),"Autohak")</f>
        <v>Autohak</v>
      </c>
    </row>
    <row r="8128">
      <c r="A8128" t="str">
        <f>IFERROR(__xludf.DUMMYFUNCTION("""COMPUTED_VALUE"""),"J47A")</f>
        <v>J47A</v>
      </c>
      <c r="B8128" s="226" t="str">
        <f>IFERROR(__xludf.DUMMYFUNCTION("""COMPUTED_VALUE"""),"23154")</f>
        <v>23154</v>
      </c>
      <c r="C8128" t="str">
        <f>IFERROR(__xludf.DUMMYFUNCTION("""COMPUTED_VALUE"""),"Autohak")</f>
        <v>Autohak</v>
      </c>
    </row>
    <row r="8129">
      <c r="A8129" t="str">
        <f>IFERROR(__xludf.DUMMYFUNCTION("""COMPUTED_VALUE"""),"T45")</f>
        <v>T45</v>
      </c>
      <c r="B8129" s="226" t="str">
        <f>IFERROR(__xludf.DUMMYFUNCTION("""COMPUTED_VALUE"""),"25165")</f>
        <v>25165</v>
      </c>
      <c r="C8129" t="str">
        <f>IFERROR(__xludf.DUMMYFUNCTION("""COMPUTED_VALUE"""),"Autohak")</f>
        <v>Autohak</v>
      </c>
    </row>
    <row r="8130">
      <c r="A8130" t="str">
        <f>IFERROR(__xludf.DUMMYFUNCTION("""COMPUTED_VALUE"""),"T45A")</f>
        <v>T45A</v>
      </c>
      <c r="B8130" s="226" t="str">
        <f>IFERROR(__xludf.DUMMYFUNCTION("""COMPUTED_VALUE"""),"27169")</f>
        <v>27169</v>
      </c>
      <c r="C8130" t="str">
        <f>IFERROR(__xludf.DUMMYFUNCTION("""COMPUTED_VALUE"""),"Autohak")</f>
        <v>Autohak</v>
      </c>
    </row>
    <row r="8131">
      <c r="A8131" t="str">
        <f>IFERROR(__xludf.DUMMYFUNCTION("""COMPUTED_VALUE"""),"J71")</f>
        <v>J71</v>
      </c>
      <c r="B8131" s="226" t="str">
        <f>IFERROR(__xludf.DUMMYFUNCTION("""COMPUTED_VALUE"""),"22362")</f>
        <v>22362</v>
      </c>
      <c r="C8131" t="str">
        <f>IFERROR(__xludf.DUMMYFUNCTION("""COMPUTED_VALUE"""),"Autohak")</f>
        <v>Autohak</v>
      </c>
    </row>
    <row r="8132">
      <c r="A8132" t="str">
        <f>IFERROR(__xludf.DUMMYFUNCTION("""COMPUTED_VALUE"""),"J71A")</f>
        <v>J71A</v>
      </c>
      <c r="B8132" s="226" t="str">
        <f>IFERROR(__xludf.DUMMYFUNCTION("""COMPUTED_VALUE"""),"23369")</f>
        <v>23369</v>
      </c>
      <c r="C8132" t="str">
        <f>IFERROR(__xludf.DUMMYFUNCTION("""COMPUTED_VALUE"""),"Autohak")</f>
        <v>Autohak</v>
      </c>
    </row>
    <row r="8133">
      <c r="A8133" t="str">
        <f>IFERROR(__xludf.DUMMYFUNCTION("""COMPUTED_VALUE"""),"J71V")</f>
        <v>J71V</v>
      </c>
      <c r="B8133" s="226" t="str">
        <f>IFERROR(__xludf.DUMMYFUNCTION("""COMPUTED_VALUE"""),"23925")</f>
        <v>23925</v>
      </c>
      <c r="C8133" t="str">
        <f>IFERROR(__xludf.DUMMYFUNCTION("""COMPUTED_VALUE"""),"Autohak")</f>
        <v>Autohak</v>
      </c>
    </row>
    <row r="8134">
      <c r="A8134" t="str">
        <f>IFERROR(__xludf.DUMMYFUNCTION("""COMPUTED_VALUE"""),"J80")</f>
        <v>J80</v>
      </c>
      <c r="B8134" s="226" t="str">
        <f>IFERROR(__xludf.DUMMYFUNCTION("""COMPUTED_VALUE"""),"22454")</f>
        <v>22454</v>
      </c>
      <c r="C8134" t="str">
        <f>IFERROR(__xludf.DUMMYFUNCTION("""COMPUTED_VALUE"""),"Autohak")</f>
        <v>Autohak</v>
      </c>
    </row>
    <row r="8135">
      <c r="A8135" t="str">
        <f>IFERROR(__xludf.DUMMYFUNCTION("""COMPUTED_VALUE"""),"J80A")</f>
        <v>J80A</v>
      </c>
      <c r="B8135" s="226" t="str">
        <f>IFERROR(__xludf.DUMMYFUNCTION("""COMPUTED_VALUE"""),"23420")</f>
        <v>23420</v>
      </c>
      <c r="C8135" t="str">
        <f>IFERROR(__xludf.DUMMYFUNCTION("""COMPUTED_VALUE"""),"Autohak")</f>
        <v>Autohak</v>
      </c>
    </row>
    <row r="8136">
      <c r="A8136" t="str">
        <f>IFERROR(__xludf.DUMMYFUNCTION("""COMPUTED_VALUE"""),"J80V")</f>
        <v>J80V</v>
      </c>
      <c r="B8136" s="226" t="str">
        <f>IFERROR(__xludf.DUMMYFUNCTION("""COMPUTED_VALUE"""),"23864")</f>
        <v>23864</v>
      </c>
      <c r="C8136" t="str">
        <f>IFERROR(__xludf.DUMMYFUNCTION("""COMPUTED_VALUE"""),"Autohak")</f>
        <v>Autohak</v>
      </c>
    </row>
    <row r="8137">
      <c r="A8137" t="str">
        <f>IFERROR(__xludf.DUMMYFUNCTION("""COMPUTED_VALUE"""),"J83")</f>
        <v>J83</v>
      </c>
      <c r="B8137" s="226" t="str">
        <f>IFERROR(__xludf.DUMMYFUNCTION("""COMPUTED_VALUE"""),"22485")</f>
        <v>22485</v>
      </c>
      <c r="C8137" t="str">
        <f>IFERROR(__xludf.DUMMYFUNCTION("""COMPUTED_VALUE"""),"Autohak")</f>
        <v>Autohak</v>
      </c>
    </row>
    <row r="8138">
      <c r="A8138" t="str">
        <f>IFERROR(__xludf.DUMMYFUNCTION("""COMPUTED_VALUE"""),"J83A")</f>
        <v>J83A</v>
      </c>
      <c r="B8138" s="226" t="str">
        <f>IFERROR(__xludf.DUMMYFUNCTION("""COMPUTED_VALUE"""),"23451")</f>
        <v>23451</v>
      </c>
      <c r="C8138" t="str">
        <f>IFERROR(__xludf.DUMMYFUNCTION("""COMPUTED_VALUE"""),"Autohak")</f>
        <v>Autohak</v>
      </c>
    </row>
    <row r="8139">
      <c r="A8139" t="str">
        <f>IFERROR(__xludf.DUMMYFUNCTION("""COMPUTED_VALUE"""),"J83V")</f>
        <v>J83V</v>
      </c>
      <c r="B8139" s="226" t="str">
        <f>IFERROR(__xludf.DUMMYFUNCTION("""COMPUTED_VALUE"""),"23833")</f>
        <v>23833</v>
      </c>
      <c r="C8139" t="str">
        <f>IFERROR(__xludf.DUMMYFUNCTION("""COMPUTED_VALUE"""),"Autohak")</f>
        <v>Autohak</v>
      </c>
    </row>
    <row r="8140">
      <c r="A8140" t="str">
        <f>IFERROR(__xludf.DUMMYFUNCTION("""COMPUTED_VALUE"""),"IS01")</f>
        <v>IS01</v>
      </c>
      <c r="B8140" s="226" t="str">
        <f>IFERROR(__xludf.DUMMYFUNCTION("""COMPUTED_VALUE"""),"73005")</f>
        <v>73005</v>
      </c>
      <c r="C8140" t="str">
        <f>IFERROR(__xludf.DUMMYFUNCTION("""COMPUTED_VALUE"""),"Autohak")</f>
        <v>Autohak</v>
      </c>
    </row>
    <row r="8141">
      <c r="A8141" t="str">
        <f>IFERROR(__xludf.DUMMYFUNCTION("""COMPUTED_VALUE"""),"IS02")</f>
        <v>IS02</v>
      </c>
      <c r="B8141" s="226" t="str">
        <f>IFERROR(__xludf.DUMMYFUNCTION("""COMPUTED_VALUE"""),"73012")</f>
        <v>73012</v>
      </c>
      <c r="C8141" t="str">
        <f>IFERROR(__xludf.DUMMYFUNCTION("""COMPUTED_VALUE"""),"Autohak")</f>
        <v>Autohak</v>
      </c>
    </row>
    <row r="8142">
      <c r="A8142" t="str">
        <f>IFERROR(__xludf.DUMMYFUNCTION("""COMPUTED_VALUE"""),"IS03")</f>
        <v>IS03</v>
      </c>
      <c r="B8142" s="226" t="str">
        <f>IFERROR(__xludf.DUMMYFUNCTION("""COMPUTED_VALUE"""),"73029")</f>
        <v>73029</v>
      </c>
      <c r="C8142" t="str">
        <f>IFERROR(__xludf.DUMMYFUNCTION("""COMPUTED_VALUE"""),"Autohak")</f>
        <v>Autohak</v>
      </c>
    </row>
    <row r="8143">
      <c r="A8143" t="str">
        <f>IFERROR(__xludf.DUMMYFUNCTION("""COMPUTED_VALUE"""),"IS04")</f>
        <v>IS04</v>
      </c>
      <c r="B8143" s="226" t="str">
        <f>IFERROR(__xludf.DUMMYFUNCTION("""COMPUTED_VALUE"""),"73036")</f>
        <v>73036</v>
      </c>
      <c r="C8143" t="str">
        <f>IFERROR(__xludf.DUMMYFUNCTION("""COMPUTED_VALUE"""),"Autohak")</f>
        <v>Autohak</v>
      </c>
    </row>
    <row r="8144">
      <c r="A8144" t="str">
        <f>IFERROR(__xludf.DUMMYFUNCTION("""COMPUTED_VALUE"""),"IS04A")</f>
        <v>IS04A</v>
      </c>
      <c r="B8144" s="226" t="str">
        <f>IFERROR(__xludf.DUMMYFUNCTION("""COMPUTED_VALUE"""),"73043")</f>
        <v>73043</v>
      </c>
      <c r="C8144" t="str">
        <f>IFERROR(__xludf.DUMMYFUNCTION("""COMPUTED_VALUE"""),"Autohak")</f>
        <v>Autohak</v>
      </c>
    </row>
    <row r="8145">
      <c r="A8145" t="str">
        <f>IFERROR(__xludf.DUMMYFUNCTION("""COMPUTED_VALUE"""),"IS04V")</f>
        <v>IS04V</v>
      </c>
      <c r="B8145" s="226" t="str">
        <f>IFERROR(__xludf.DUMMYFUNCTION("""COMPUTED_VALUE"""),"73050")</f>
        <v>73050</v>
      </c>
      <c r="C8145" t="str">
        <f>IFERROR(__xludf.DUMMYFUNCTION("""COMPUTED_VALUE"""),"Autohak")</f>
        <v>Autohak</v>
      </c>
    </row>
    <row r="8146">
      <c r="A8146" t="str">
        <f>IFERROR(__xludf.DUMMYFUNCTION("""COMPUTED_VALUE"""),"R13")</f>
        <v>R13</v>
      </c>
      <c r="B8146" s="226" t="str">
        <f>IFERROR(__xludf.DUMMYFUNCTION("""COMPUTED_VALUE"""),"13124")</f>
        <v>13124</v>
      </c>
      <c r="C8146" t="str">
        <f>IFERROR(__xludf.DUMMYFUNCTION("""COMPUTED_VALUE"""),"Autohak")</f>
        <v>Autohak</v>
      </c>
    </row>
    <row r="8147">
      <c r="A8147" t="str">
        <f>IFERROR(__xludf.DUMMYFUNCTION("""COMPUTED_VALUE"""),"R29")</f>
        <v>R29</v>
      </c>
      <c r="B8147" s="226" t="str">
        <f>IFERROR(__xludf.DUMMYFUNCTION("""COMPUTED_VALUE"""),"13131")</f>
        <v>13131</v>
      </c>
      <c r="C8147" t="str">
        <f>IFERROR(__xludf.DUMMYFUNCTION("""COMPUTED_VALUE"""),"Autohak")</f>
        <v>Autohak</v>
      </c>
    </row>
    <row r="8148">
      <c r="A8148" t="str">
        <f>IFERROR(__xludf.DUMMYFUNCTION("""COMPUTED_VALUE"""),"R29")</f>
        <v>R29</v>
      </c>
      <c r="B8148" s="226" t="str">
        <f>IFERROR(__xludf.DUMMYFUNCTION("""COMPUTED_VALUE"""),"13131")</f>
        <v>13131</v>
      </c>
      <c r="C8148" t="str">
        <f>IFERROR(__xludf.DUMMYFUNCTION("""COMPUTED_VALUE"""),"Autohak")</f>
        <v>Autohak</v>
      </c>
    </row>
    <row r="8149">
      <c r="A8149" t="str">
        <f>IFERROR(__xludf.DUMMYFUNCTION("""COMPUTED_VALUE"""),"R54")</f>
        <v>R54</v>
      </c>
      <c r="B8149" s="226" t="str">
        <f>IFERROR(__xludf.DUMMYFUNCTION("""COMPUTED_VALUE"""),"13513")</f>
        <v>13513</v>
      </c>
      <c r="C8149" t="str">
        <f>IFERROR(__xludf.DUMMYFUNCTION("""COMPUTED_VALUE"""),"Autohak")</f>
        <v>Autohak</v>
      </c>
    </row>
    <row r="8150">
      <c r="A8150" t="str">
        <f>IFERROR(__xludf.DUMMYFUNCTION("""COMPUTED_VALUE"""),"R55")</f>
        <v>R55</v>
      </c>
      <c r="B8150" s="226" t="str">
        <f>IFERROR(__xludf.DUMMYFUNCTION("""COMPUTED_VALUE"""),"13520")</f>
        <v>13520</v>
      </c>
      <c r="C8150" t="str">
        <f>IFERROR(__xludf.DUMMYFUNCTION("""COMPUTED_VALUE"""),"Autohak")</f>
        <v>Autohak</v>
      </c>
    </row>
    <row r="8151">
      <c r="A8151" t="str">
        <f>IFERROR(__xludf.DUMMYFUNCTION("""COMPUTED_VALUE"""),"R63")</f>
        <v>R63</v>
      </c>
      <c r="B8151" s="226" t="str">
        <f>IFERROR(__xludf.DUMMYFUNCTION("""COMPUTED_VALUE"""),"13605")</f>
        <v>13605</v>
      </c>
      <c r="C8151" t="str">
        <f>IFERROR(__xludf.DUMMYFUNCTION("""COMPUTED_VALUE"""),"Autohak")</f>
        <v>Autohak</v>
      </c>
    </row>
    <row r="8152">
      <c r="A8152" t="str">
        <f>IFERROR(__xludf.DUMMYFUNCTION("""COMPUTED_VALUE"""),"JP01")</f>
        <v>JP01</v>
      </c>
      <c r="B8152" s="226" t="str">
        <f>IFERROR(__xludf.DUMMYFUNCTION("""COMPUTED_VALUE"""),"24007")</f>
        <v>24007</v>
      </c>
      <c r="C8152" t="str">
        <f>IFERROR(__xludf.DUMMYFUNCTION("""COMPUTED_VALUE"""),"Autohak")</f>
        <v>Autohak</v>
      </c>
    </row>
    <row r="8153">
      <c r="A8153" t="str">
        <f>IFERROR(__xludf.DUMMYFUNCTION("""COMPUTED_VALUE"""),"JP02")</f>
        <v>JP02</v>
      </c>
      <c r="B8153" s="226" t="str">
        <f>IFERROR(__xludf.DUMMYFUNCTION("""COMPUTED_VALUE"""),"24014")</f>
        <v>24014</v>
      </c>
      <c r="C8153" t="str">
        <f>IFERROR(__xludf.DUMMYFUNCTION("""COMPUTED_VALUE"""),"Autohak")</f>
        <v>Autohak</v>
      </c>
    </row>
    <row r="8154">
      <c r="A8154" t="str">
        <f>IFERROR(__xludf.DUMMYFUNCTION("""COMPUTED_VALUE"""),"JP08")</f>
        <v>JP08</v>
      </c>
      <c r="B8154" s="226" t="str">
        <f>IFERROR(__xludf.DUMMYFUNCTION("""COMPUTED_VALUE"""),"24076")</f>
        <v>24076</v>
      </c>
      <c r="C8154" t="str">
        <f>IFERROR(__xludf.DUMMYFUNCTION("""COMPUTED_VALUE"""),"Autohak")</f>
        <v>Autohak</v>
      </c>
    </row>
    <row r="8155">
      <c r="A8155" t="str">
        <f>IFERROR(__xludf.DUMMYFUNCTION("""COMPUTED_VALUE"""),"JP11")</f>
        <v>JP11</v>
      </c>
      <c r="B8155" s="226" t="str">
        <f>IFERROR(__xludf.DUMMYFUNCTION("""COMPUTED_VALUE"""),"24106")</f>
        <v>24106</v>
      </c>
      <c r="C8155" t="str">
        <f>IFERROR(__xludf.DUMMYFUNCTION("""COMPUTED_VALUE"""),"Autohak")</f>
        <v>Autohak</v>
      </c>
    </row>
    <row r="8156">
      <c r="A8156" t="str">
        <f>IFERROR(__xludf.DUMMYFUNCTION("""COMPUTED_VALUE"""),"JP11A")</f>
        <v>JP11A</v>
      </c>
      <c r="B8156" s="226" t="str">
        <f>IFERROR(__xludf.DUMMYFUNCTION("""COMPUTED_VALUE"""),"24601")</f>
        <v>24601</v>
      </c>
      <c r="C8156" t="str">
        <f>IFERROR(__xludf.DUMMYFUNCTION("""COMPUTED_VALUE"""),"Autohak")</f>
        <v>Autohak</v>
      </c>
    </row>
    <row r="8157">
      <c r="A8157" t="str">
        <f>IFERROR(__xludf.DUMMYFUNCTION("""COMPUTED_VALUE"""),"JP11V")</f>
        <v>JP11V</v>
      </c>
      <c r="B8157" s="226" t="str">
        <f>IFERROR(__xludf.DUMMYFUNCTION("""COMPUTED_VALUE"""),"24984")</f>
        <v>24984</v>
      </c>
      <c r="C8157" t="str">
        <f>IFERROR(__xludf.DUMMYFUNCTION("""COMPUTED_VALUE"""),"Autohak")</f>
        <v>Autohak</v>
      </c>
    </row>
    <row r="8158">
      <c r="A8158" t="str">
        <f>IFERROR(__xludf.DUMMYFUNCTION("""COMPUTED_VALUE"""),"JP06")</f>
        <v>JP06</v>
      </c>
      <c r="B8158" s="226" t="str">
        <f>IFERROR(__xludf.DUMMYFUNCTION("""COMPUTED_VALUE"""),"24052")</f>
        <v>24052</v>
      </c>
      <c r="C8158" t="str">
        <f>IFERROR(__xludf.DUMMYFUNCTION("""COMPUTED_VALUE"""),"Autohak")</f>
        <v>Autohak</v>
      </c>
    </row>
    <row r="8159">
      <c r="A8159" t="str">
        <f>IFERROR(__xludf.DUMMYFUNCTION("""COMPUTED_VALUE"""),"JP06A")</f>
        <v>JP06A</v>
      </c>
      <c r="B8159" s="226" t="str">
        <f>IFERROR(__xludf.DUMMYFUNCTION("""COMPUTED_VALUE"""),"24557")</f>
        <v>24557</v>
      </c>
      <c r="C8159" t="str">
        <f>IFERROR(__xludf.DUMMYFUNCTION("""COMPUTED_VALUE"""),"Autohak")</f>
        <v>Autohak</v>
      </c>
    </row>
    <row r="8160">
      <c r="A8160" t="str">
        <f>IFERROR(__xludf.DUMMYFUNCTION("""COMPUTED_VALUE"""),"JP07")</f>
        <v>JP07</v>
      </c>
      <c r="B8160" s="226" t="str">
        <f>IFERROR(__xludf.DUMMYFUNCTION("""COMPUTED_VALUE"""),"24069")</f>
        <v>24069</v>
      </c>
      <c r="C8160" t="str">
        <f>IFERROR(__xludf.DUMMYFUNCTION("""COMPUTED_VALUE"""),"Autohak")</f>
        <v>Autohak</v>
      </c>
    </row>
    <row r="8161">
      <c r="A8161" t="str">
        <f>IFERROR(__xludf.DUMMYFUNCTION("""COMPUTED_VALUE"""),"JP07A")</f>
        <v>JP07A</v>
      </c>
      <c r="B8161" s="226" t="str">
        <f>IFERROR(__xludf.DUMMYFUNCTION("""COMPUTED_VALUE"""),"24564")</f>
        <v>24564</v>
      </c>
      <c r="C8161" t="str">
        <f>IFERROR(__xludf.DUMMYFUNCTION("""COMPUTED_VALUE"""),"Autohak")</f>
        <v>Autohak</v>
      </c>
    </row>
    <row r="8162">
      <c r="A8162" t="str">
        <f>IFERROR(__xludf.DUMMYFUNCTION("""COMPUTED_VALUE"""),"JP13")</f>
        <v>JP13</v>
      </c>
      <c r="B8162" s="226" t="str">
        <f>IFERROR(__xludf.DUMMYFUNCTION("""COMPUTED_VALUE"""),"24120")</f>
        <v>24120</v>
      </c>
      <c r="C8162" t="str">
        <f>IFERROR(__xludf.DUMMYFUNCTION("""COMPUTED_VALUE"""),"Autohak")</f>
        <v>Autohak</v>
      </c>
    </row>
    <row r="8163">
      <c r="A8163" t="str">
        <f>IFERROR(__xludf.DUMMYFUNCTION("""COMPUTED_VALUE"""),"JP13A")</f>
        <v>JP13A</v>
      </c>
      <c r="B8163" s="226" t="str">
        <f>IFERROR(__xludf.DUMMYFUNCTION("""COMPUTED_VALUE"""),"24625")</f>
        <v>24625</v>
      </c>
      <c r="C8163" t="str">
        <f>IFERROR(__xludf.DUMMYFUNCTION("""COMPUTED_VALUE"""),"Autohak")</f>
        <v>Autohak</v>
      </c>
    </row>
    <row r="8164">
      <c r="A8164" t="str">
        <f>IFERROR(__xludf.DUMMYFUNCTION("""COMPUTED_VALUE"""),"JP13V")</f>
        <v>JP13V</v>
      </c>
      <c r="B8164" s="226" t="str">
        <f>IFERROR(__xludf.DUMMYFUNCTION("""COMPUTED_VALUE"""),"24960")</f>
        <v>24960</v>
      </c>
      <c r="C8164" t="str">
        <f>IFERROR(__xludf.DUMMYFUNCTION("""COMPUTED_VALUE"""),"Autohak")</f>
        <v>Autohak</v>
      </c>
    </row>
    <row r="8165">
      <c r="A8165" t="str">
        <f>IFERROR(__xludf.DUMMYFUNCTION("""COMPUTED_VALUE"""),"JP03")</f>
        <v>JP03</v>
      </c>
      <c r="B8165" s="226" t="str">
        <f>IFERROR(__xludf.DUMMYFUNCTION("""COMPUTED_VALUE"""),"24021")</f>
        <v>24021</v>
      </c>
      <c r="C8165" t="str">
        <f>IFERROR(__xludf.DUMMYFUNCTION("""COMPUTED_VALUE"""),"Autohak")</f>
        <v>Autohak</v>
      </c>
    </row>
    <row r="8166">
      <c r="A8166" t="str">
        <f>IFERROR(__xludf.DUMMYFUNCTION("""COMPUTED_VALUE"""),"JP04")</f>
        <v>JP04</v>
      </c>
      <c r="B8166" s="226" t="str">
        <f>IFERROR(__xludf.DUMMYFUNCTION("""COMPUTED_VALUE"""),"24038")</f>
        <v>24038</v>
      </c>
      <c r="C8166" t="str">
        <f>IFERROR(__xludf.DUMMYFUNCTION("""COMPUTED_VALUE"""),"Autohak")</f>
        <v>Autohak</v>
      </c>
    </row>
    <row r="8167">
      <c r="A8167" t="str">
        <f>IFERROR(__xludf.DUMMYFUNCTION("""COMPUTED_VALUE"""),"JP04A")</f>
        <v>JP04A</v>
      </c>
      <c r="B8167" s="226" t="str">
        <f>IFERROR(__xludf.DUMMYFUNCTION("""COMPUTED_VALUE"""),"24533")</f>
        <v>24533</v>
      </c>
      <c r="C8167" t="str">
        <f>IFERROR(__xludf.DUMMYFUNCTION("""COMPUTED_VALUE"""),"Autohak")</f>
        <v>Autohak</v>
      </c>
    </row>
    <row r="8168">
      <c r="A8168" t="str">
        <f>IFERROR(__xludf.DUMMYFUNCTION("""COMPUTED_VALUE"""),"JP06")</f>
        <v>JP06</v>
      </c>
      <c r="B8168" s="226" t="str">
        <f>IFERROR(__xludf.DUMMYFUNCTION("""COMPUTED_VALUE"""),"24052")</f>
        <v>24052</v>
      </c>
      <c r="C8168" t="str">
        <f>IFERROR(__xludf.DUMMYFUNCTION("""COMPUTED_VALUE"""),"Autohak")</f>
        <v>Autohak</v>
      </c>
    </row>
    <row r="8169">
      <c r="A8169" t="str">
        <f>IFERROR(__xludf.DUMMYFUNCTION("""COMPUTED_VALUE"""),"JP06A")</f>
        <v>JP06A</v>
      </c>
      <c r="B8169" s="226" t="str">
        <f>IFERROR(__xludf.DUMMYFUNCTION("""COMPUTED_VALUE"""),"24557")</f>
        <v>24557</v>
      </c>
      <c r="C8169" t="str">
        <f>IFERROR(__xludf.DUMMYFUNCTION("""COMPUTED_VALUE"""),"Autohak")</f>
        <v>Autohak</v>
      </c>
    </row>
    <row r="8170">
      <c r="A8170" t="str">
        <f>IFERROR(__xludf.DUMMYFUNCTION("""COMPUTED_VALUE"""),"JP10")</f>
        <v>JP10</v>
      </c>
      <c r="B8170" s="226" t="str">
        <f>IFERROR(__xludf.DUMMYFUNCTION("""COMPUTED_VALUE"""),"24090")</f>
        <v>24090</v>
      </c>
      <c r="C8170" t="str">
        <f>IFERROR(__xludf.DUMMYFUNCTION("""COMPUTED_VALUE"""),"Autohak")</f>
        <v>Autohak</v>
      </c>
    </row>
    <row r="8171">
      <c r="A8171" t="str">
        <f>IFERROR(__xludf.DUMMYFUNCTION("""COMPUTED_VALUE"""),"JP10A")</f>
        <v>JP10A</v>
      </c>
      <c r="B8171" s="226" t="str">
        <f>IFERROR(__xludf.DUMMYFUNCTION("""COMPUTED_VALUE"""),"24595")</f>
        <v>24595</v>
      </c>
      <c r="C8171" t="str">
        <f>IFERROR(__xludf.DUMMYFUNCTION("""COMPUTED_VALUE"""),"Autohak")</f>
        <v>Autohak</v>
      </c>
    </row>
    <row r="8172">
      <c r="A8172" t="str">
        <f>IFERROR(__xludf.DUMMYFUNCTION("""COMPUTED_VALUE"""),"JP10V")</f>
        <v>JP10V</v>
      </c>
      <c r="B8172" s="226" t="str">
        <f>IFERROR(__xludf.DUMMYFUNCTION("""COMPUTED_VALUE"""),"24991")</f>
        <v>24991</v>
      </c>
      <c r="C8172" t="str">
        <f>IFERROR(__xludf.DUMMYFUNCTION("""COMPUTED_VALUE"""),"Autohak")</f>
        <v>Autohak</v>
      </c>
    </row>
    <row r="8173">
      <c r="A8173" t="str">
        <f>IFERROR(__xludf.DUMMYFUNCTION("""COMPUTED_VALUE"""),"JP10")</f>
        <v>JP10</v>
      </c>
      <c r="B8173" s="226" t="str">
        <f>IFERROR(__xludf.DUMMYFUNCTION("""COMPUTED_VALUE"""),"24090")</f>
        <v>24090</v>
      </c>
      <c r="C8173" t="str">
        <f>IFERROR(__xludf.DUMMYFUNCTION("""COMPUTED_VALUE"""),"Autohak")</f>
        <v>Autohak</v>
      </c>
    </row>
    <row r="8174">
      <c r="A8174" t="str">
        <f>IFERROR(__xludf.DUMMYFUNCTION("""COMPUTED_VALUE"""),"JP10A")</f>
        <v>JP10A</v>
      </c>
      <c r="B8174" s="226" t="str">
        <f>IFERROR(__xludf.DUMMYFUNCTION("""COMPUTED_VALUE"""),"24595")</f>
        <v>24595</v>
      </c>
      <c r="C8174" t="str">
        <f>IFERROR(__xludf.DUMMYFUNCTION("""COMPUTED_VALUE"""),"Autohak")</f>
        <v>Autohak</v>
      </c>
    </row>
    <row r="8175">
      <c r="A8175" t="str">
        <f>IFERROR(__xludf.DUMMYFUNCTION("""COMPUTED_VALUE"""),"JP10V")</f>
        <v>JP10V</v>
      </c>
      <c r="B8175" s="226" t="str">
        <f>IFERROR(__xludf.DUMMYFUNCTION("""COMPUTED_VALUE"""),"24991")</f>
        <v>24991</v>
      </c>
      <c r="C8175" t="str">
        <f>IFERROR(__xludf.DUMMYFUNCTION("""COMPUTED_VALUE"""),"Autohak")</f>
        <v>Autohak</v>
      </c>
    </row>
    <row r="8176">
      <c r="A8176" t="str">
        <f>IFERROR(__xludf.DUMMYFUNCTION("""COMPUTED_VALUE"""),"JP07")</f>
        <v>JP07</v>
      </c>
      <c r="B8176" s="226" t="str">
        <f>IFERROR(__xludf.DUMMYFUNCTION("""COMPUTED_VALUE"""),"24069")</f>
        <v>24069</v>
      </c>
      <c r="C8176" t="str">
        <f>IFERROR(__xludf.DUMMYFUNCTION("""COMPUTED_VALUE"""),"Autohak")</f>
        <v>Autohak</v>
      </c>
    </row>
    <row r="8177">
      <c r="A8177" t="str">
        <f>IFERROR(__xludf.DUMMYFUNCTION("""COMPUTED_VALUE"""),"JP07A")</f>
        <v>JP07A</v>
      </c>
      <c r="B8177" s="226" t="str">
        <f>IFERROR(__xludf.DUMMYFUNCTION("""COMPUTED_VALUE"""),"24564")</f>
        <v>24564</v>
      </c>
      <c r="C8177" t="str">
        <f>IFERROR(__xludf.DUMMYFUNCTION("""COMPUTED_VALUE"""),"Autohak")</f>
        <v>Autohak</v>
      </c>
    </row>
    <row r="8178">
      <c r="A8178" t="str">
        <f>IFERROR(__xludf.DUMMYFUNCTION("""COMPUTED_VALUE"""),"JP12")</f>
        <v>JP12</v>
      </c>
      <c r="B8178" s="226" t="str">
        <f>IFERROR(__xludf.DUMMYFUNCTION("""COMPUTED_VALUE"""),"24113")</f>
        <v>24113</v>
      </c>
      <c r="C8178" t="str">
        <f>IFERROR(__xludf.DUMMYFUNCTION("""COMPUTED_VALUE"""),"Autohak")</f>
        <v>Autohak</v>
      </c>
    </row>
    <row r="8179">
      <c r="A8179" t="str">
        <f>IFERROR(__xludf.DUMMYFUNCTION("""COMPUTED_VALUE"""),"JP12A")</f>
        <v>JP12A</v>
      </c>
      <c r="B8179" s="226" t="str">
        <f>IFERROR(__xludf.DUMMYFUNCTION("""COMPUTED_VALUE"""),"24618")</f>
        <v>24618</v>
      </c>
      <c r="C8179" t="str">
        <f>IFERROR(__xludf.DUMMYFUNCTION("""COMPUTED_VALUE"""),"Autohak")</f>
        <v>Autohak</v>
      </c>
    </row>
    <row r="8180">
      <c r="A8180" t="str">
        <f>IFERROR(__xludf.DUMMYFUNCTION("""COMPUTED_VALUE"""),"JP12V")</f>
        <v>JP12V</v>
      </c>
      <c r="B8180" s="226" t="str">
        <f>IFERROR(__xludf.DUMMYFUNCTION("""COMPUTED_VALUE"""),"24977")</f>
        <v>24977</v>
      </c>
      <c r="C8180" t="str">
        <f>IFERROR(__xludf.DUMMYFUNCTION("""COMPUTED_VALUE"""),"Autohak")</f>
        <v>Autohak</v>
      </c>
    </row>
    <row r="8181">
      <c r="A8181" t="str">
        <f>IFERROR(__xludf.DUMMYFUNCTION("""COMPUTED_VALUE"""),"JP05")</f>
        <v>JP05</v>
      </c>
      <c r="B8181" s="226" t="str">
        <f>IFERROR(__xludf.DUMMYFUNCTION("""COMPUTED_VALUE"""),"24045")</f>
        <v>24045</v>
      </c>
      <c r="C8181" t="str">
        <f>IFERROR(__xludf.DUMMYFUNCTION("""COMPUTED_VALUE"""),"Autohak")</f>
        <v>Autohak</v>
      </c>
    </row>
    <row r="8182">
      <c r="A8182" t="str">
        <f>IFERROR(__xludf.DUMMYFUNCTION("""COMPUTED_VALUE"""),"JP09")</f>
        <v>JP09</v>
      </c>
      <c r="B8182" s="226" t="str">
        <f>IFERROR(__xludf.DUMMYFUNCTION("""COMPUTED_VALUE"""),"24083")</f>
        <v>24083</v>
      </c>
      <c r="C8182" t="str">
        <f>IFERROR(__xludf.DUMMYFUNCTION("""COMPUTED_VALUE"""),"Autohak")</f>
        <v>Autohak</v>
      </c>
    </row>
    <row r="8183">
      <c r="A8183" t="str">
        <f>IFERROR(__xludf.DUMMYFUNCTION("""COMPUTED_VALUE"""),"JP09A")</f>
        <v>JP09A</v>
      </c>
      <c r="B8183" s="226" t="str">
        <f>IFERROR(__xludf.DUMMYFUNCTION("""COMPUTED_VALUE"""),"24588")</f>
        <v>24588</v>
      </c>
      <c r="C8183" t="str">
        <f>IFERROR(__xludf.DUMMYFUNCTION("""COMPUTED_VALUE"""),"Autohak")</f>
        <v>Autohak</v>
      </c>
    </row>
    <row r="8184">
      <c r="A8184" t="str">
        <f>IFERROR(__xludf.DUMMYFUNCTION("""COMPUTED_VALUE"""),"JP14")</f>
        <v>JP14</v>
      </c>
      <c r="B8184" s="226" t="str">
        <f>IFERROR(__xludf.DUMMYFUNCTION("""COMPUTED_VALUE"""),"24137")</f>
        <v>24137</v>
      </c>
      <c r="C8184" t="str">
        <f>IFERROR(__xludf.DUMMYFUNCTION("""COMPUTED_VALUE"""),"Autohak")</f>
        <v>Autohak</v>
      </c>
    </row>
    <row r="8185">
      <c r="A8185" t="str">
        <f>IFERROR(__xludf.DUMMYFUNCTION("""COMPUTED_VALUE"""),"JP14A")</f>
        <v>JP14A</v>
      </c>
      <c r="B8185" s="226" t="str">
        <f>IFERROR(__xludf.DUMMYFUNCTION("""COMPUTED_VALUE"""),"24632")</f>
        <v>24632</v>
      </c>
      <c r="C8185" t="str">
        <f>IFERROR(__xludf.DUMMYFUNCTION("""COMPUTED_VALUE"""),"Autohak")</f>
        <v>Autohak</v>
      </c>
    </row>
    <row r="8186">
      <c r="A8186" t="str">
        <f>IFERROR(__xludf.DUMMYFUNCTION("""COMPUTED_VALUE"""),"JP14V")</f>
        <v>JP14V</v>
      </c>
      <c r="B8186" s="226" t="str">
        <f>IFERROR(__xludf.DUMMYFUNCTION("""COMPUTED_VALUE"""),"24953")</f>
        <v>24953</v>
      </c>
      <c r="C8186" t="str">
        <f>IFERROR(__xludf.DUMMYFUNCTION("""COMPUTED_VALUE"""),"Autohak")</f>
        <v>Autohak</v>
      </c>
    </row>
    <row r="8187">
      <c r="A8187" t="str">
        <f>IFERROR(__xludf.DUMMYFUNCTION("""COMPUTED_VALUE"""),"T43")</f>
        <v>T43</v>
      </c>
      <c r="B8187" s="226" t="str">
        <f>IFERROR(__xludf.DUMMYFUNCTION("""COMPUTED_VALUE"""),"25004")</f>
        <v>25004</v>
      </c>
      <c r="C8187" t="str">
        <f>IFERROR(__xludf.DUMMYFUNCTION("""COMPUTED_VALUE"""),"Autohak")</f>
        <v>Autohak</v>
      </c>
    </row>
    <row r="8188">
      <c r="A8188" t="str">
        <f>IFERROR(__xludf.DUMMYFUNCTION("""COMPUTED_VALUE"""),"T43A")</f>
        <v>T43A</v>
      </c>
      <c r="B8188" s="226" t="str">
        <f>IFERROR(__xludf.DUMMYFUNCTION("""COMPUTED_VALUE"""),"27008")</f>
        <v>27008</v>
      </c>
      <c r="C8188" t="str">
        <f>IFERROR(__xludf.DUMMYFUNCTION("""COMPUTED_VALUE"""),"Autohak")</f>
        <v>Autohak</v>
      </c>
    </row>
    <row r="8189">
      <c r="A8189" t="str">
        <f>IFERROR(__xludf.DUMMYFUNCTION("""COMPUTED_VALUE"""),"T54")</f>
        <v>T54</v>
      </c>
      <c r="B8189" s="226" t="str">
        <f>IFERROR(__xludf.DUMMYFUNCTION("""COMPUTED_VALUE"""),"25226")</f>
        <v>25226</v>
      </c>
      <c r="C8189" t="str">
        <f>IFERROR(__xludf.DUMMYFUNCTION("""COMPUTED_VALUE"""),"Autohak")</f>
        <v>Autohak</v>
      </c>
    </row>
    <row r="8190">
      <c r="A8190" t="str">
        <f>IFERROR(__xludf.DUMMYFUNCTION("""COMPUTED_VALUE"""),"T54A")</f>
        <v>T54A</v>
      </c>
      <c r="B8190" s="226" t="str">
        <f>IFERROR(__xludf.DUMMYFUNCTION("""COMPUTED_VALUE"""),"27220")</f>
        <v>27220</v>
      </c>
      <c r="C8190" t="str">
        <f>IFERROR(__xludf.DUMMYFUNCTION("""COMPUTED_VALUE"""),"Autohak")</f>
        <v>Autohak</v>
      </c>
    </row>
    <row r="8191">
      <c r="A8191" t="str">
        <f>IFERROR(__xludf.DUMMYFUNCTION("""COMPUTED_VALUE"""),"T69")</f>
        <v>T69</v>
      </c>
      <c r="B8191" s="226" t="str">
        <f>IFERROR(__xludf.DUMMYFUNCTION("""COMPUTED_VALUE"""),"25370")</f>
        <v>25370</v>
      </c>
      <c r="C8191" t="str">
        <f>IFERROR(__xludf.DUMMYFUNCTION("""COMPUTED_VALUE"""),"Autohak")</f>
        <v>Autohak</v>
      </c>
    </row>
    <row r="8192">
      <c r="A8192" t="str">
        <f>IFERROR(__xludf.DUMMYFUNCTION("""COMPUTED_VALUE"""),"T69A")</f>
        <v>T69A</v>
      </c>
      <c r="B8192" s="226" t="str">
        <f>IFERROR(__xludf.DUMMYFUNCTION("""COMPUTED_VALUE"""),"27350")</f>
        <v>27350</v>
      </c>
      <c r="C8192" t="str">
        <f>IFERROR(__xludf.DUMMYFUNCTION("""COMPUTED_VALUE"""),"Autohak")</f>
        <v>Autohak</v>
      </c>
    </row>
    <row r="8193">
      <c r="A8193" t="str">
        <f>IFERROR(__xludf.DUMMYFUNCTION("""COMPUTED_VALUE"""),"T14")</f>
        <v>T14</v>
      </c>
      <c r="B8193" s="226" t="str">
        <f>IFERROR(__xludf.DUMMYFUNCTION("""COMPUTED_VALUE"""),"25011")</f>
        <v>25011</v>
      </c>
      <c r="C8193" t="str">
        <f>IFERROR(__xludf.DUMMYFUNCTION("""COMPUTED_VALUE"""),"Autohak")</f>
        <v>Autohak</v>
      </c>
    </row>
    <row r="8194">
      <c r="A8194" t="str">
        <f>IFERROR(__xludf.DUMMYFUNCTION("""COMPUTED_VALUE"""),"T14A")</f>
        <v>T14A</v>
      </c>
      <c r="B8194" s="226" t="str">
        <f>IFERROR(__xludf.DUMMYFUNCTION("""COMPUTED_VALUE"""),"27015")</f>
        <v>27015</v>
      </c>
      <c r="C8194" t="str">
        <f>IFERROR(__xludf.DUMMYFUNCTION("""COMPUTED_VALUE"""),"Autohak")</f>
        <v>Autohak</v>
      </c>
    </row>
    <row r="8195">
      <c r="A8195" t="str">
        <f>IFERROR(__xludf.DUMMYFUNCTION("""COMPUTED_VALUE"""),"T16")</f>
        <v>T16</v>
      </c>
      <c r="B8195" s="226" t="str">
        <f>IFERROR(__xludf.DUMMYFUNCTION("""COMPUTED_VALUE"""),"25028")</f>
        <v>25028</v>
      </c>
      <c r="C8195" t="str">
        <f>IFERROR(__xludf.DUMMYFUNCTION("""COMPUTED_VALUE"""),"Autohak")</f>
        <v>Autohak</v>
      </c>
    </row>
    <row r="8196">
      <c r="A8196" t="str">
        <f>IFERROR(__xludf.DUMMYFUNCTION("""COMPUTED_VALUE"""),"T16A")</f>
        <v>T16A</v>
      </c>
      <c r="B8196" s="226" t="str">
        <f>IFERROR(__xludf.DUMMYFUNCTION("""COMPUTED_VALUE"""),"27022")</f>
        <v>27022</v>
      </c>
      <c r="C8196" t="str">
        <f>IFERROR(__xludf.DUMMYFUNCTION("""COMPUTED_VALUE"""),"Autohak")</f>
        <v>Autohak</v>
      </c>
    </row>
    <row r="8197">
      <c r="A8197" t="str">
        <f>IFERROR(__xludf.DUMMYFUNCTION("""COMPUTED_VALUE"""),"T16")</f>
        <v>T16</v>
      </c>
      <c r="B8197" s="226" t="str">
        <f>IFERROR(__xludf.DUMMYFUNCTION("""COMPUTED_VALUE"""),"25028")</f>
        <v>25028</v>
      </c>
      <c r="C8197" t="str">
        <f>IFERROR(__xludf.DUMMYFUNCTION("""COMPUTED_VALUE"""),"Autohak")</f>
        <v>Autohak</v>
      </c>
    </row>
    <row r="8198">
      <c r="A8198" t="str">
        <f>IFERROR(__xludf.DUMMYFUNCTION("""COMPUTED_VALUE"""),"T16A")</f>
        <v>T16A</v>
      </c>
      <c r="B8198" s="226" t="str">
        <f>IFERROR(__xludf.DUMMYFUNCTION("""COMPUTED_VALUE"""),"27022")</f>
        <v>27022</v>
      </c>
      <c r="C8198" t="str">
        <f>IFERROR(__xludf.DUMMYFUNCTION("""COMPUTED_VALUE"""),"Autohak")</f>
        <v>Autohak</v>
      </c>
    </row>
    <row r="8199">
      <c r="A8199" t="str">
        <f>IFERROR(__xludf.DUMMYFUNCTION("""COMPUTED_VALUE"""),"T55")</f>
        <v>T55</v>
      </c>
      <c r="B8199" s="226" t="str">
        <f>IFERROR(__xludf.DUMMYFUNCTION("""COMPUTED_VALUE"""),"25233")</f>
        <v>25233</v>
      </c>
      <c r="C8199" t="str">
        <f>IFERROR(__xludf.DUMMYFUNCTION("""COMPUTED_VALUE"""),"Autohak")</f>
        <v>Autohak</v>
      </c>
    </row>
    <row r="8200">
      <c r="A8200" t="str">
        <f>IFERROR(__xludf.DUMMYFUNCTION("""COMPUTED_VALUE"""),"T55A")</f>
        <v>T55A</v>
      </c>
      <c r="B8200" s="226" t="str">
        <f>IFERROR(__xludf.DUMMYFUNCTION("""COMPUTED_VALUE"""),"27244")</f>
        <v>27244</v>
      </c>
      <c r="C8200" t="str">
        <f>IFERROR(__xludf.DUMMYFUNCTION("""COMPUTED_VALUE"""),"Autohak")</f>
        <v>Autohak</v>
      </c>
    </row>
    <row r="8201">
      <c r="A8201" t="str">
        <f>IFERROR(__xludf.DUMMYFUNCTION("""COMPUTED_VALUE"""),"T55V")</f>
        <v>T55V</v>
      </c>
      <c r="B8201" s="226" t="str">
        <f>IFERROR(__xludf.DUMMYFUNCTION("""COMPUTED_VALUE"""),"27992")</f>
        <v>27992</v>
      </c>
      <c r="C8201" t="str">
        <f>IFERROR(__xludf.DUMMYFUNCTION("""COMPUTED_VALUE"""),"Autohak")</f>
        <v>Autohak</v>
      </c>
    </row>
    <row r="8202">
      <c r="A8202" t="str">
        <f>IFERROR(__xludf.DUMMYFUNCTION("""COMPUTED_VALUE"""),"T52")</f>
        <v>T52</v>
      </c>
      <c r="B8202" s="226" t="str">
        <f>IFERROR(__xludf.DUMMYFUNCTION("""COMPUTED_VALUE"""),"25202")</f>
        <v>25202</v>
      </c>
      <c r="C8202" t="str">
        <f>IFERROR(__xludf.DUMMYFUNCTION("""COMPUTED_VALUE"""),"Autohak")</f>
        <v>Autohak</v>
      </c>
    </row>
    <row r="8203">
      <c r="A8203" t="str">
        <f>IFERROR(__xludf.DUMMYFUNCTION("""COMPUTED_VALUE"""),"T52A")</f>
        <v>T52A</v>
      </c>
      <c r="B8203" s="226" t="str">
        <f>IFERROR(__xludf.DUMMYFUNCTION("""COMPUTED_VALUE"""),"27206")</f>
        <v>27206</v>
      </c>
      <c r="C8203" t="str">
        <f>IFERROR(__xludf.DUMMYFUNCTION("""COMPUTED_VALUE"""),"Autohak")</f>
        <v>Autohak</v>
      </c>
    </row>
    <row r="8204">
      <c r="A8204" t="str">
        <f>IFERROR(__xludf.DUMMYFUNCTION("""COMPUTED_VALUE"""),"T52")</f>
        <v>T52</v>
      </c>
      <c r="B8204" s="226" t="str">
        <f>IFERROR(__xludf.DUMMYFUNCTION("""COMPUTED_VALUE"""),"25202")</f>
        <v>25202</v>
      </c>
      <c r="C8204" t="str">
        <f>IFERROR(__xludf.DUMMYFUNCTION("""COMPUTED_VALUE"""),"Autohak")</f>
        <v>Autohak</v>
      </c>
    </row>
    <row r="8205">
      <c r="A8205" t="str">
        <f>IFERROR(__xludf.DUMMYFUNCTION("""COMPUTED_VALUE"""),"T52A")</f>
        <v>T52A</v>
      </c>
      <c r="B8205" s="226" t="str">
        <f>IFERROR(__xludf.DUMMYFUNCTION("""COMPUTED_VALUE"""),"27206")</f>
        <v>27206</v>
      </c>
      <c r="C8205" t="str">
        <f>IFERROR(__xludf.DUMMYFUNCTION("""COMPUTED_VALUE"""),"Autohak")</f>
        <v>Autohak</v>
      </c>
    </row>
    <row r="8206">
      <c r="A8206" t="str">
        <f>IFERROR(__xludf.DUMMYFUNCTION("""COMPUTED_VALUE"""),"T65")</f>
        <v>T65</v>
      </c>
      <c r="B8206" s="226" t="str">
        <f>IFERROR(__xludf.DUMMYFUNCTION("""COMPUTED_VALUE"""),"25332")</f>
        <v>25332</v>
      </c>
      <c r="C8206" t="str">
        <f>IFERROR(__xludf.DUMMYFUNCTION("""COMPUTED_VALUE"""),"Autohak")</f>
        <v>Autohak</v>
      </c>
    </row>
    <row r="8207">
      <c r="A8207" t="str">
        <f>IFERROR(__xludf.DUMMYFUNCTION("""COMPUTED_VALUE"""),"T65A")</f>
        <v>T65A</v>
      </c>
      <c r="B8207" s="226" t="str">
        <f>IFERROR(__xludf.DUMMYFUNCTION("""COMPUTED_VALUE"""),"27329")</f>
        <v>27329</v>
      </c>
      <c r="C8207" t="str">
        <f>IFERROR(__xludf.DUMMYFUNCTION("""COMPUTED_VALUE"""),"Autohak")</f>
        <v>Autohak</v>
      </c>
    </row>
    <row r="8208">
      <c r="A8208" t="str">
        <f>IFERROR(__xludf.DUMMYFUNCTION("""COMPUTED_VALUE"""),"T79")</f>
        <v>T79</v>
      </c>
      <c r="B8208" s="226" t="str">
        <f>IFERROR(__xludf.DUMMYFUNCTION("""COMPUTED_VALUE"""),"25462")</f>
        <v>25462</v>
      </c>
      <c r="C8208" t="str">
        <f>IFERROR(__xludf.DUMMYFUNCTION("""COMPUTED_VALUE"""),"Autohak")</f>
        <v>Autohak</v>
      </c>
    </row>
    <row r="8209">
      <c r="A8209" t="str">
        <f>IFERROR(__xludf.DUMMYFUNCTION("""COMPUTED_VALUE"""),"T79A")</f>
        <v>T79A</v>
      </c>
      <c r="B8209" s="226" t="str">
        <f>IFERROR(__xludf.DUMMYFUNCTION("""COMPUTED_VALUE"""),"27442")</f>
        <v>27442</v>
      </c>
      <c r="C8209" t="str">
        <f>IFERROR(__xludf.DUMMYFUNCTION("""COMPUTED_VALUE"""),"Autohak")</f>
        <v>Autohak</v>
      </c>
    </row>
    <row r="8210">
      <c r="A8210" t="str">
        <f>IFERROR(__xludf.DUMMYFUNCTION("""COMPUTED_VALUE"""),"T79V")</f>
        <v>T79V</v>
      </c>
      <c r="B8210" s="226" t="str">
        <f>IFERROR(__xludf.DUMMYFUNCTION("""COMPUTED_VALUE"""),"27831")</f>
        <v>27831</v>
      </c>
      <c r="C8210" t="str">
        <f>IFERROR(__xludf.DUMMYFUNCTION("""COMPUTED_VALUE"""),"Autohak")</f>
        <v>Autohak</v>
      </c>
    </row>
    <row r="8211">
      <c r="A8211" t="str">
        <f>IFERROR(__xludf.DUMMYFUNCTION("""COMPUTED_VALUE"""),"T79")</f>
        <v>T79</v>
      </c>
      <c r="B8211" s="226" t="str">
        <f>IFERROR(__xludf.DUMMYFUNCTION("""COMPUTED_VALUE"""),"25462")</f>
        <v>25462</v>
      </c>
      <c r="C8211" t="str">
        <f>IFERROR(__xludf.DUMMYFUNCTION("""COMPUTED_VALUE"""),"Autohak")</f>
        <v>Autohak</v>
      </c>
    </row>
    <row r="8212">
      <c r="A8212" t="str">
        <f>IFERROR(__xludf.DUMMYFUNCTION("""COMPUTED_VALUE"""),"T79A")</f>
        <v>T79A</v>
      </c>
      <c r="B8212" s="226" t="str">
        <f>IFERROR(__xludf.DUMMYFUNCTION("""COMPUTED_VALUE"""),"27442")</f>
        <v>27442</v>
      </c>
      <c r="C8212" t="str">
        <f>IFERROR(__xludf.DUMMYFUNCTION("""COMPUTED_VALUE"""),"Autohak")</f>
        <v>Autohak</v>
      </c>
    </row>
    <row r="8213">
      <c r="A8213" t="str">
        <f>IFERROR(__xludf.DUMMYFUNCTION("""COMPUTED_VALUE"""),"T79V")</f>
        <v>T79V</v>
      </c>
      <c r="B8213" s="226" t="str">
        <f>IFERROR(__xludf.DUMMYFUNCTION("""COMPUTED_VALUE"""),"27831")</f>
        <v>27831</v>
      </c>
      <c r="C8213" t="str">
        <f>IFERROR(__xludf.DUMMYFUNCTION("""COMPUTED_VALUE"""),"Autohak")</f>
        <v>Autohak</v>
      </c>
    </row>
    <row r="8214">
      <c r="A8214" t="str">
        <f>IFERROR(__xludf.DUMMYFUNCTION("""COMPUTED_VALUE"""),"T53")</f>
        <v>T53</v>
      </c>
      <c r="B8214" s="226" t="str">
        <f>IFERROR(__xludf.DUMMYFUNCTION("""COMPUTED_VALUE"""),"25219")</f>
        <v>25219</v>
      </c>
      <c r="C8214" t="str">
        <f>IFERROR(__xludf.DUMMYFUNCTION("""COMPUTED_VALUE"""),"Autohak")</f>
        <v>Autohak</v>
      </c>
    </row>
    <row r="8215">
      <c r="A8215" t="str">
        <f>IFERROR(__xludf.DUMMYFUNCTION("""COMPUTED_VALUE"""),"T53A")</f>
        <v>T53A</v>
      </c>
      <c r="B8215" s="226" t="str">
        <f>IFERROR(__xludf.DUMMYFUNCTION("""COMPUTED_VALUE"""),"27213")</f>
        <v>27213</v>
      </c>
      <c r="C8215" t="str">
        <f>IFERROR(__xludf.DUMMYFUNCTION("""COMPUTED_VALUE"""),"Autohak")</f>
        <v>Autohak</v>
      </c>
    </row>
    <row r="8216">
      <c r="A8216" t="str">
        <f>IFERROR(__xludf.DUMMYFUNCTION("""COMPUTED_VALUE"""),"T53")</f>
        <v>T53</v>
      </c>
      <c r="B8216" s="226" t="str">
        <f>IFERROR(__xludf.DUMMYFUNCTION("""COMPUTED_VALUE"""),"25219")</f>
        <v>25219</v>
      </c>
      <c r="C8216" t="str">
        <f>IFERROR(__xludf.DUMMYFUNCTION("""COMPUTED_VALUE"""),"Autohak")</f>
        <v>Autohak</v>
      </c>
    </row>
    <row r="8217">
      <c r="A8217" t="str">
        <f>IFERROR(__xludf.DUMMYFUNCTION("""COMPUTED_VALUE"""),"T53A")</f>
        <v>T53A</v>
      </c>
      <c r="B8217" s="226" t="str">
        <f>IFERROR(__xludf.DUMMYFUNCTION("""COMPUTED_VALUE"""),"27213")</f>
        <v>27213</v>
      </c>
      <c r="C8217" t="str">
        <f>IFERROR(__xludf.DUMMYFUNCTION("""COMPUTED_VALUE"""),"Autohak")</f>
        <v>Autohak</v>
      </c>
    </row>
    <row r="8218">
      <c r="A8218" t="str">
        <f>IFERROR(__xludf.DUMMYFUNCTION("""COMPUTED_VALUE"""),"T66")</f>
        <v>T66</v>
      </c>
      <c r="B8218" s="226" t="str">
        <f>IFERROR(__xludf.DUMMYFUNCTION("""COMPUTED_VALUE"""),"25349")</f>
        <v>25349</v>
      </c>
      <c r="C8218" t="str">
        <f>IFERROR(__xludf.DUMMYFUNCTION("""COMPUTED_VALUE"""),"Autohak")</f>
        <v>Autohak</v>
      </c>
    </row>
    <row r="8219">
      <c r="A8219" t="str">
        <f>IFERROR(__xludf.DUMMYFUNCTION("""COMPUTED_VALUE"""),"T66A")</f>
        <v>T66A</v>
      </c>
      <c r="B8219" s="226" t="str">
        <f>IFERROR(__xludf.DUMMYFUNCTION("""COMPUTED_VALUE"""),"27336")</f>
        <v>27336</v>
      </c>
      <c r="C8219" t="str">
        <f>IFERROR(__xludf.DUMMYFUNCTION("""COMPUTED_VALUE"""),"Autohak")</f>
        <v>Autohak</v>
      </c>
    </row>
    <row r="8220">
      <c r="A8220" t="str">
        <f>IFERROR(__xludf.DUMMYFUNCTION("""COMPUTED_VALUE"""),"T66V")</f>
        <v>T66V</v>
      </c>
      <c r="B8220" s="226" t="str">
        <f>IFERROR(__xludf.DUMMYFUNCTION("""COMPUTED_VALUE"""),"27947")</f>
        <v>27947</v>
      </c>
      <c r="C8220" t="str">
        <f>IFERROR(__xludf.DUMMYFUNCTION("""COMPUTED_VALUE"""),"Autohak")</f>
        <v>Autohak</v>
      </c>
    </row>
    <row r="8221">
      <c r="A8221" t="str">
        <f>IFERROR(__xludf.DUMMYFUNCTION("""COMPUTED_VALUE"""),"T80")</f>
        <v>T80</v>
      </c>
      <c r="B8221" s="226" t="str">
        <f>IFERROR(__xludf.DUMMYFUNCTION("""COMPUTED_VALUE"""),"25479")</f>
        <v>25479</v>
      </c>
      <c r="C8221" t="str">
        <f>IFERROR(__xludf.DUMMYFUNCTION("""COMPUTED_VALUE"""),"Autohak")</f>
        <v>Autohak</v>
      </c>
    </row>
    <row r="8222">
      <c r="A8222" t="str">
        <f>IFERROR(__xludf.DUMMYFUNCTION("""COMPUTED_VALUE"""),"T80A")</f>
        <v>T80A</v>
      </c>
      <c r="B8222" s="226" t="str">
        <f>IFERROR(__xludf.DUMMYFUNCTION("""COMPUTED_VALUE"""),"27459")</f>
        <v>27459</v>
      </c>
      <c r="C8222" t="str">
        <f>IFERROR(__xludf.DUMMYFUNCTION("""COMPUTED_VALUE"""),"Autohak")</f>
        <v>Autohak</v>
      </c>
    </row>
    <row r="8223">
      <c r="A8223" t="str">
        <f>IFERROR(__xludf.DUMMYFUNCTION("""COMPUTED_VALUE"""),"T80V")</f>
        <v>T80V</v>
      </c>
      <c r="B8223" s="226" t="str">
        <f>IFERROR(__xludf.DUMMYFUNCTION("""COMPUTED_VALUE"""),"27824")</f>
        <v>27824</v>
      </c>
      <c r="C8223" t="str">
        <f>IFERROR(__xludf.DUMMYFUNCTION("""COMPUTED_VALUE"""),"Autohak")</f>
        <v>Autohak</v>
      </c>
    </row>
    <row r="8224">
      <c r="A8224" t="str">
        <f>IFERROR(__xludf.DUMMYFUNCTION("""COMPUTED_VALUE"""),"T80")</f>
        <v>T80</v>
      </c>
      <c r="B8224" s="226" t="str">
        <f>IFERROR(__xludf.DUMMYFUNCTION("""COMPUTED_VALUE"""),"25479")</f>
        <v>25479</v>
      </c>
      <c r="C8224" t="str">
        <f>IFERROR(__xludf.DUMMYFUNCTION("""COMPUTED_VALUE"""),"Autohak")</f>
        <v>Autohak</v>
      </c>
    </row>
    <row r="8225">
      <c r="A8225" t="str">
        <f>IFERROR(__xludf.DUMMYFUNCTION("""COMPUTED_VALUE"""),"T80A")</f>
        <v>T80A</v>
      </c>
      <c r="B8225" s="226" t="str">
        <f>IFERROR(__xludf.DUMMYFUNCTION("""COMPUTED_VALUE"""),"27459")</f>
        <v>27459</v>
      </c>
      <c r="C8225" t="str">
        <f>IFERROR(__xludf.DUMMYFUNCTION("""COMPUTED_VALUE"""),"Autohak")</f>
        <v>Autohak</v>
      </c>
    </row>
    <row r="8226">
      <c r="A8226" t="str">
        <f>IFERROR(__xludf.DUMMYFUNCTION("""COMPUTED_VALUE"""),"T80V")</f>
        <v>T80V</v>
      </c>
      <c r="B8226" s="226" t="str">
        <f>IFERROR(__xludf.DUMMYFUNCTION("""COMPUTED_VALUE"""),"27824")</f>
        <v>27824</v>
      </c>
      <c r="C8226" t="str">
        <f>IFERROR(__xludf.DUMMYFUNCTION("""COMPUTED_VALUE"""),"Autohak")</f>
        <v>Autohak</v>
      </c>
    </row>
    <row r="8227">
      <c r="A8227" t="str">
        <f>IFERROR(__xludf.DUMMYFUNCTION("""COMPUTED_VALUE"""),"T47")</f>
        <v>T47</v>
      </c>
      <c r="B8227" s="226" t="str">
        <f>IFERROR(__xludf.DUMMYFUNCTION("""COMPUTED_VALUE"""),"25035")</f>
        <v>25035</v>
      </c>
      <c r="C8227" t="str">
        <f>IFERROR(__xludf.DUMMYFUNCTION("""COMPUTED_VALUE"""),"Autohak")</f>
        <v>Autohak</v>
      </c>
    </row>
    <row r="8228">
      <c r="A8228" t="str">
        <f>IFERROR(__xludf.DUMMYFUNCTION("""COMPUTED_VALUE"""),"T47A")</f>
        <v>T47A</v>
      </c>
      <c r="B8228" s="226" t="str">
        <f>IFERROR(__xludf.DUMMYFUNCTION("""COMPUTED_VALUE"""),"27039")</f>
        <v>27039</v>
      </c>
      <c r="C8228" t="str">
        <f>IFERROR(__xludf.DUMMYFUNCTION("""COMPUTED_VALUE"""),"Autohak")</f>
        <v>Autohak</v>
      </c>
    </row>
    <row r="8229">
      <c r="A8229" t="str">
        <f>IFERROR(__xludf.DUMMYFUNCTION("""COMPUTED_VALUE"""),"T07")</f>
        <v>T07</v>
      </c>
      <c r="B8229" s="226" t="str">
        <f>IFERROR(__xludf.DUMMYFUNCTION("""COMPUTED_VALUE"""),"25059")</f>
        <v>25059</v>
      </c>
      <c r="C8229" t="str">
        <f>IFERROR(__xludf.DUMMYFUNCTION("""COMPUTED_VALUE"""),"Autohak")</f>
        <v>Autohak</v>
      </c>
    </row>
    <row r="8230">
      <c r="A8230" t="str">
        <f>IFERROR(__xludf.DUMMYFUNCTION("""COMPUTED_VALUE"""),"T07A")</f>
        <v>T07A</v>
      </c>
      <c r="B8230" s="226" t="str">
        <f>IFERROR(__xludf.DUMMYFUNCTION("""COMPUTED_VALUE"""),"27053")</f>
        <v>27053</v>
      </c>
      <c r="C8230" t="str">
        <f>IFERROR(__xludf.DUMMYFUNCTION("""COMPUTED_VALUE"""),"Autohak")</f>
        <v>Autohak</v>
      </c>
    </row>
    <row r="8231">
      <c r="A8231" t="str">
        <f>IFERROR(__xludf.DUMMYFUNCTION("""COMPUTED_VALUE"""),"T23")</f>
        <v>T23</v>
      </c>
      <c r="B8231" s="226" t="str">
        <f>IFERROR(__xludf.DUMMYFUNCTION("""COMPUTED_VALUE"""),"25066")</f>
        <v>25066</v>
      </c>
      <c r="C8231" t="str">
        <f>IFERROR(__xludf.DUMMYFUNCTION("""COMPUTED_VALUE"""),"Autohak")</f>
        <v>Autohak</v>
      </c>
    </row>
    <row r="8232">
      <c r="A8232" t="str">
        <f>IFERROR(__xludf.DUMMYFUNCTION("""COMPUTED_VALUE"""),"T56")</f>
        <v>T56</v>
      </c>
      <c r="B8232" s="226" t="str">
        <f>IFERROR(__xludf.DUMMYFUNCTION("""COMPUTED_VALUE"""),"25240")</f>
        <v>25240</v>
      </c>
      <c r="C8232" t="str">
        <f>IFERROR(__xludf.DUMMYFUNCTION("""COMPUTED_VALUE"""),"Autohak")</f>
        <v>Autohak</v>
      </c>
    </row>
    <row r="8233">
      <c r="A8233" t="str">
        <f>IFERROR(__xludf.DUMMYFUNCTION("""COMPUTED_VALUE"""),"T74")</f>
        <v>T74</v>
      </c>
      <c r="B8233" s="226" t="str">
        <f>IFERROR(__xludf.DUMMYFUNCTION("""COMPUTED_VALUE"""),"25424")</f>
        <v>25424</v>
      </c>
      <c r="C8233" t="str">
        <f>IFERROR(__xludf.DUMMYFUNCTION("""COMPUTED_VALUE"""),"Autohak")</f>
        <v>Autohak</v>
      </c>
    </row>
    <row r="8234">
      <c r="A8234" t="str">
        <f>IFERROR(__xludf.DUMMYFUNCTION("""COMPUTED_VALUE"""),"T74A")</f>
        <v>T74A</v>
      </c>
      <c r="B8234" s="226" t="str">
        <f>IFERROR(__xludf.DUMMYFUNCTION("""COMPUTED_VALUE"""),"27404")</f>
        <v>27404</v>
      </c>
      <c r="C8234" t="str">
        <f>IFERROR(__xludf.DUMMYFUNCTION("""COMPUTED_VALUE"""),"Autohak")</f>
        <v>Autohak</v>
      </c>
    </row>
    <row r="8235">
      <c r="A8235" t="str">
        <f>IFERROR(__xludf.DUMMYFUNCTION("""COMPUTED_VALUE"""),"T74V")</f>
        <v>T74V</v>
      </c>
      <c r="B8235" s="226" t="str">
        <f>IFERROR(__xludf.DUMMYFUNCTION("""COMPUTED_VALUE"""),"27886")</f>
        <v>27886</v>
      </c>
      <c r="C8235" t="str">
        <f>IFERROR(__xludf.DUMMYFUNCTION("""COMPUTED_VALUE"""),"Autohak")</f>
        <v>Autohak</v>
      </c>
    </row>
    <row r="8236">
      <c r="A8236" t="str">
        <f>IFERROR(__xludf.DUMMYFUNCTION("""COMPUTED_VALUE"""),"T82")</f>
        <v>T82</v>
      </c>
      <c r="B8236" s="226" t="str">
        <f>IFERROR(__xludf.DUMMYFUNCTION("""COMPUTED_VALUE"""),"25493")</f>
        <v>25493</v>
      </c>
      <c r="C8236" t="str">
        <f>IFERROR(__xludf.DUMMYFUNCTION("""COMPUTED_VALUE"""),"Autohak")</f>
        <v>Autohak</v>
      </c>
    </row>
    <row r="8237">
      <c r="A8237" t="str">
        <f>IFERROR(__xludf.DUMMYFUNCTION("""COMPUTED_VALUE"""),"T82A")</f>
        <v>T82A</v>
      </c>
      <c r="B8237" s="226" t="str">
        <f>IFERROR(__xludf.DUMMYFUNCTION("""COMPUTED_VALUE"""),"27473")</f>
        <v>27473</v>
      </c>
      <c r="C8237" t="str">
        <f>IFERROR(__xludf.DUMMYFUNCTION("""COMPUTED_VALUE"""),"Autohak")</f>
        <v>Autohak</v>
      </c>
    </row>
    <row r="8238">
      <c r="A8238" t="str">
        <f>IFERROR(__xludf.DUMMYFUNCTION("""COMPUTED_VALUE"""),"T82V")</f>
        <v>T82V</v>
      </c>
      <c r="B8238" s="226" t="str">
        <f>IFERROR(__xludf.DUMMYFUNCTION("""COMPUTED_VALUE"""),"27800")</f>
        <v>27800</v>
      </c>
      <c r="C8238" t="str">
        <f>IFERROR(__xludf.DUMMYFUNCTION("""COMPUTED_VALUE"""),"Autohak")</f>
        <v>Autohak</v>
      </c>
    </row>
    <row r="8239">
      <c r="A8239" t="str">
        <f>IFERROR(__xludf.DUMMYFUNCTION("""COMPUTED_VALUE"""),"T64")</f>
        <v>T64</v>
      </c>
      <c r="B8239" s="226" t="str">
        <f>IFERROR(__xludf.DUMMYFUNCTION("""COMPUTED_VALUE"""),"825325")</f>
        <v>825325</v>
      </c>
      <c r="C8239" t="str">
        <f>IFERROR(__xludf.DUMMYFUNCTION("""COMPUTED_VALUE"""),"Autohak")</f>
        <v>Autohak</v>
      </c>
    </row>
    <row r="8240">
      <c r="A8240" t="str">
        <f>IFERROR(__xludf.DUMMYFUNCTION("""COMPUTED_VALUE"""),"T64A")</f>
        <v>T64A</v>
      </c>
      <c r="B8240" s="226" t="str">
        <f>IFERROR(__xludf.DUMMYFUNCTION("""COMPUTED_VALUE"""),"827312")</f>
        <v>827312</v>
      </c>
      <c r="C8240" t="str">
        <f>IFERROR(__xludf.DUMMYFUNCTION("""COMPUTED_VALUE"""),"Autohak")</f>
        <v>Autohak</v>
      </c>
    </row>
    <row r="8241">
      <c r="A8241" t="str">
        <f>IFERROR(__xludf.DUMMYFUNCTION("""COMPUTED_VALUE"""),"T64V")</f>
        <v>T64V</v>
      </c>
      <c r="B8241" s="226" t="str">
        <f>IFERROR(__xludf.DUMMYFUNCTION("""COMPUTED_VALUE"""),"827954")</f>
        <v>827954</v>
      </c>
      <c r="C8241" t="str">
        <f>IFERROR(__xludf.DUMMYFUNCTION("""COMPUTED_VALUE"""),"Autohak")</f>
        <v>Autohak</v>
      </c>
    </row>
    <row r="8242">
      <c r="A8242" t="str">
        <f>IFERROR(__xludf.DUMMYFUNCTION("""COMPUTED_VALUE"""),"T73")</f>
        <v>T73</v>
      </c>
      <c r="B8242" s="226" t="str">
        <f>IFERROR(__xludf.DUMMYFUNCTION("""COMPUTED_VALUE"""),"25417")</f>
        <v>25417</v>
      </c>
      <c r="C8242" t="str">
        <f>IFERROR(__xludf.DUMMYFUNCTION("""COMPUTED_VALUE"""),"Autohak")</f>
        <v>Autohak</v>
      </c>
    </row>
    <row r="8243">
      <c r="A8243" t="str">
        <f>IFERROR(__xludf.DUMMYFUNCTION("""COMPUTED_VALUE"""),"T73A")</f>
        <v>T73A</v>
      </c>
      <c r="B8243" s="226" t="str">
        <f>IFERROR(__xludf.DUMMYFUNCTION("""COMPUTED_VALUE"""),"27398")</f>
        <v>27398</v>
      </c>
      <c r="C8243" t="str">
        <f>IFERROR(__xludf.DUMMYFUNCTION("""COMPUTED_VALUE"""),"Autohak")</f>
        <v>Autohak</v>
      </c>
    </row>
    <row r="8244">
      <c r="A8244" t="str">
        <f>IFERROR(__xludf.DUMMYFUNCTION("""COMPUTED_VALUE"""),"T73V")</f>
        <v>T73V</v>
      </c>
      <c r="B8244" s="226" t="str">
        <f>IFERROR(__xludf.DUMMYFUNCTION("""COMPUTED_VALUE"""),"27893")</f>
        <v>27893</v>
      </c>
      <c r="C8244" t="str">
        <f>IFERROR(__xludf.DUMMYFUNCTION("""COMPUTED_VALUE"""),"Autohak")</f>
        <v>Autohak</v>
      </c>
    </row>
    <row r="8245">
      <c r="A8245" t="str">
        <f>IFERROR(__xludf.DUMMYFUNCTION("""COMPUTED_VALUE"""),"T73")</f>
        <v>T73</v>
      </c>
      <c r="B8245" s="226" t="str">
        <f>IFERROR(__xludf.DUMMYFUNCTION("""COMPUTED_VALUE"""),"25417")</f>
        <v>25417</v>
      </c>
      <c r="C8245" t="str">
        <f>IFERROR(__xludf.DUMMYFUNCTION("""COMPUTED_VALUE"""),"Autohak")</f>
        <v>Autohak</v>
      </c>
    </row>
    <row r="8246">
      <c r="A8246" t="str">
        <f>IFERROR(__xludf.DUMMYFUNCTION("""COMPUTED_VALUE"""),"T73A")</f>
        <v>T73A</v>
      </c>
      <c r="B8246" s="226" t="str">
        <f>IFERROR(__xludf.DUMMYFUNCTION("""COMPUTED_VALUE"""),"27398")</f>
        <v>27398</v>
      </c>
      <c r="C8246" t="str">
        <f>IFERROR(__xludf.DUMMYFUNCTION("""COMPUTED_VALUE"""),"Autohak")</f>
        <v>Autohak</v>
      </c>
    </row>
    <row r="8247">
      <c r="A8247" t="str">
        <f>IFERROR(__xludf.DUMMYFUNCTION("""COMPUTED_VALUE"""),"T73V")</f>
        <v>T73V</v>
      </c>
      <c r="B8247" s="226" t="str">
        <f>IFERROR(__xludf.DUMMYFUNCTION("""COMPUTED_VALUE"""),"27893")</f>
        <v>27893</v>
      </c>
      <c r="C8247" t="str">
        <f>IFERROR(__xludf.DUMMYFUNCTION("""COMPUTED_VALUE"""),"Autohak")</f>
        <v>Autohak</v>
      </c>
    </row>
    <row r="8248">
      <c r="A8248" t="str">
        <f>IFERROR(__xludf.DUMMYFUNCTION("""COMPUTED_VALUE"""),"T46")</f>
        <v>T46</v>
      </c>
      <c r="B8248" s="226" t="str">
        <f>IFERROR(__xludf.DUMMYFUNCTION("""COMPUTED_VALUE"""),"25080")</f>
        <v>25080</v>
      </c>
      <c r="C8248" t="str">
        <f>IFERROR(__xludf.DUMMYFUNCTION("""COMPUTED_VALUE"""),"Autohak")</f>
        <v>Autohak</v>
      </c>
    </row>
    <row r="8249">
      <c r="A8249" t="str">
        <f>IFERROR(__xludf.DUMMYFUNCTION("""COMPUTED_VALUE"""),"T46A")</f>
        <v>T46A</v>
      </c>
      <c r="B8249" s="226" t="str">
        <f>IFERROR(__xludf.DUMMYFUNCTION("""COMPUTED_VALUE"""),"27084")</f>
        <v>27084</v>
      </c>
      <c r="C8249" t="str">
        <f>IFERROR(__xludf.DUMMYFUNCTION("""COMPUTED_VALUE"""),"Autohak")</f>
        <v>Autohak</v>
      </c>
    </row>
    <row r="8250">
      <c r="A8250" t="str">
        <f>IFERROR(__xludf.DUMMYFUNCTION("""COMPUTED_VALUE"""),"T61")</f>
        <v>T61</v>
      </c>
      <c r="B8250" s="226" t="str">
        <f>IFERROR(__xludf.DUMMYFUNCTION("""COMPUTED_VALUE"""),"25295")</f>
        <v>25295</v>
      </c>
      <c r="C8250" t="str">
        <f>IFERROR(__xludf.DUMMYFUNCTION("""COMPUTED_VALUE"""),"Autohak")</f>
        <v>Autohak</v>
      </c>
    </row>
    <row r="8251">
      <c r="A8251" t="str">
        <f>IFERROR(__xludf.DUMMYFUNCTION("""COMPUTED_VALUE"""),"T61A")</f>
        <v>T61A</v>
      </c>
      <c r="B8251" s="226" t="str">
        <f>IFERROR(__xludf.DUMMYFUNCTION("""COMPUTED_VALUE"""),"27282")</f>
        <v>27282</v>
      </c>
      <c r="C8251" t="str">
        <f>IFERROR(__xludf.DUMMYFUNCTION("""COMPUTED_VALUE"""),"Autohak")</f>
        <v>Autohak</v>
      </c>
    </row>
    <row r="8252">
      <c r="A8252" t="str">
        <f>IFERROR(__xludf.DUMMYFUNCTION("""COMPUTED_VALUE"""),"T12")</f>
        <v>T12</v>
      </c>
      <c r="B8252" s="226" t="str">
        <f>IFERROR(__xludf.DUMMYFUNCTION("""COMPUTED_VALUE"""),"25097")</f>
        <v>25097</v>
      </c>
      <c r="C8252" t="str">
        <f>IFERROR(__xludf.DUMMYFUNCTION("""COMPUTED_VALUE"""),"Autohak")</f>
        <v>Autohak</v>
      </c>
    </row>
    <row r="8253">
      <c r="A8253" t="str">
        <f>IFERROR(__xludf.DUMMYFUNCTION("""COMPUTED_VALUE"""),"T01")</f>
        <v>T01</v>
      </c>
      <c r="B8253" s="226" t="str">
        <f>IFERROR(__xludf.DUMMYFUNCTION("""COMPUTED_VALUE"""),"25103")</f>
        <v>25103</v>
      </c>
      <c r="C8253" t="str">
        <f>IFERROR(__xludf.DUMMYFUNCTION("""COMPUTED_VALUE"""),"Autohak")</f>
        <v>Autohak</v>
      </c>
    </row>
    <row r="8254">
      <c r="A8254" t="str">
        <f>IFERROR(__xludf.DUMMYFUNCTION("""COMPUTED_VALUE"""),"T81")</f>
        <v>T81</v>
      </c>
      <c r="B8254" s="226" t="str">
        <f>IFERROR(__xludf.DUMMYFUNCTION("""COMPUTED_VALUE"""),"25486")</f>
        <v>25486</v>
      </c>
      <c r="C8254" t="str">
        <f>IFERROR(__xludf.DUMMYFUNCTION("""COMPUTED_VALUE"""),"Autohak")</f>
        <v>Autohak</v>
      </c>
    </row>
    <row r="8255">
      <c r="A8255" t="str">
        <f>IFERROR(__xludf.DUMMYFUNCTION("""COMPUTED_VALUE"""),"T81A")</f>
        <v>T81A</v>
      </c>
      <c r="B8255" s="226" t="str">
        <f>IFERROR(__xludf.DUMMYFUNCTION("""COMPUTED_VALUE"""),"27466")</f>
        <v>27466</v>
      </c>
      <c r="C8255" t="str">
        <f>IFERROR(__xludf.DUMMYFUNCTION("""COMPUTED_VALUE"""),"Autohak")</f>
        <v>Autohak</v>
      </c>
    </row>
    <row r="8256">
      <c r="A8256" t="str">
        <f>IFERROR(__xludf.DUMMYFUNCTION("""COMPUTED_VALUE"""),"T81V")</f>
        <v>T81V</v>
      </c>
      <c r="B8256" s="226" t="str">
        <f>IFERROR(__xludf.DUMMYFUNCTION("""COMPUTED_VALUE"""),"27817")</f>
        <v>27817</v>
      </c>
      <c r="C8256" t="str">
        <f>IFERROR(__xludf.DUMMYFUNCTION("""COMPUTED_VALUE"""),"Autohak")</f>
        <v>Autohak</v>
      </c>
    </row>
    <row r="8257">
      <c r="A8257" t="str">
        <f>IFERROR(__xludf.DUMMYFUNCTION("""COMPUTED_VALUE"""),"T81")</f>
        <v>T81</v>
      </c>
      <c r="B8257" s="226" t="str">
        <f>IFERROR(__xludf.DUMMYFUNCTION("""COMPUTED_VALUE"""),"25486")</f>
        <v>25486</v>
      </c>
      <c r="C8257" t="str">
        <f>IFERROR(__xludf.DUMMYFUNCTION("""COMPUTED_VALUE"""),"Autohak")</f>
        <v>Autohak</v>
      </c>
    </row>
    <row r="8258">
      <c r="A8258" t="str">
        <f>IFERROR(__xludf.DUMMYFUNCTION("""COMPUTED_VALUE"""),"T81A")</f>
        <v>T81A</v>
      </c>
      <c r="B8258" s="226" t="str">
        <f>IFERROR(__xludf.DUMMYFUNCTION("""COMPUTED_VALUE"""),"27466")</f>
        <v>27466</v>
      </c>
      <c r="C8258" t="str">
        <f>IFERROR(__xludf.DUMMYFUNCTION("""COMPUTED_VALUE"""),"Autohak")</f>
        <v>Autohak</v>
      </c>
    </row>
    <row r="8259">
      <c r="A8259" t="str">
        <f>IFERROR(__xludf.DUMMYFUNCTION("""COMPUTED_VALUE"""),"T81V")</f>
        <v>T81V</v>
      </c>
      <c r="B8259" s="226" t="str">
        <f>IFERROR(__xludf.DUMMYFUNCTION("""COMPUTED_VALUE"""),"27817")</f>
        <v>27817</v>
      </c>
      <c r="C8259" t="str">
        <f>IFERROR(__xludf.DUMMYFUNCTION("""COMPUTED_VALUE"""),"Autohak")</f>
        <v>Autohak</v>
      </c>
    </row>
    <row r="8260">
      <c r="A8260" t="str">
        <f>IFERROR(__xludf.DUMMYFUNCTION("""COMPUTED_VALUE"""),"T39")</f>
        <v>T39</v>
      </c>
      <c r="B8260" s="226" t="str">
        <f>IFERROR(__xludf.DUMMYFUNCTION("""COMPUTED_VALUE"""),"25110")</f>
        <v>25110</v>
      </c>
      <c r="C8260" t="str">
        <f>IFERROR(__xludf.DUMMYFUNCTION("""COMPUTED_VALUE"""),"Autohak")</f>
        <v>Autohak</v>
      </c>
    </row>
    <row r="8261">
      <c r="A8261" t="str">
        <f>IFERROR(__xludf.DUMMYFUNCTION("""COMPUTED_VALUE"""),"T39A")</f>
        <v>T39A</v>
      </c>
      <c r="B8261" s="226" t="str">
        <f>IFERROR(__xludf.DUMMYFUNCTION("""COMPUTED_VALUE"""),"27114")</f>
        <v>27114</v>
      </c>
      <c r="C8261" t="str">
        <f>IFERROR(__xludf.DUMMYFUNCTION("""COMPUTED_VALUE"""),"Autohak")</f>
        <v>Autohak</v>
      </c>
    </row>
    <row r="8262">
      <c r="A8262" t="str">
        <f>IFERROR(__xludf.DUMMYFUNCTION("""COMPUTED_VALUE"""),"T48")</f>
        <v>T48</v>
      </c>
      <c r="B8262" s="226" t="str">
        <f>IFERROR(__xludf.DUMMYFUNCTION("""COMPUTED_VALUE"""),"25172")</f>
        <v>25172</v>
      </c>
      <c r="C8262" t="str">
        <f>IFERROR(__xludf.DUMMYFUNCTION("""COMPUTED_VALUE"""),"Autohak")</f>
        <v>Autohak</v>
      </c>
    </row>
    <row r="8263">
      <c r="A8263" t="str">
        <f>IFERROR(__xludf.DUMMYFUNCTION("""COMPUTED_VALUE"""),"T48A")</f>
        <v>T48A</v>
      </c>
      <c r="B8263" s="226" t="str">
        <f>IFERROR(__xludf.DUMMYFUNCTION("""COMPUTED_VALUE"""),"27176")</f>
        <v>27176</v>
      </c>
      <c r="C8263" t="str">
        <f>IFERROR(__xludf.DUMMYFUNCTION("""COMPUTED_VALUE"""),"Autohak")</f>
        <v>Autohak</v>
      </c>
    </row>
    <row r="8264">
      <c r="A8264" t="str">
        <f>IFERROR(__xludf.DUMMYFUNCTION("""COMPUTED_VALUE"""),"T50")</f>
        <v>T50</v>
      </c>
      <c r="B8264" s="226" t="str">
        <f>IFERROR(__xludf.DUMMYFUNCTION("""COMPUTED_VALUE"""),"25189")</f>
        <v>25189</v>
      </c>
      <c r="C8264" t="str">
        <f>IFERROR(__xludf.DUMMYFUNCTION("""COMPUTED_VALUE"""),"Autohak")</f>
        <v>Autohak</v>
      </c>
    </row>
    <row r="8265">
      <c r="A8265" t="str">
        <f>IFERROR(__xludf.DUMMYFUNCTION("""COMPUTED_VALUE"""),"T50A")</f>
        <v>T50A</v>
      </c>
      <c r="B8265" s="226" t="str">
        <f>IFERROR(__xludf.DUMMYFUNCTION("""COMPUTED_VALUE"""),"27183")</f>
        <v>27183</v>
      </c>
      <c r="C8265" t="str">
        <f>IFERROR(__xludf.DUMMYFUNCTION("""COMPUTED_VALUE"""),"Autohak")</f>
        <v>Autohak</v>
      </c>
    </row>
    <row r="8266">
      <c r="A8266" t="str">
        <f>IFERROR(__xludf.DUMMYFUNCTION("""COMPUTED_VALUE"""),"T60")</f>
        <v>T60</v>
      </c>
      <c r="B8266" s="226" t="str">
        <f>IFERROR(__xludf.DUMMYFUNCTION("""COMPUTED_VALUE"""),"25288")</f>
        <v>25288</v>
      </c>
      <c r="C8266" t="str">
        <f>IFERROR(__xludf.DUMMYFUNCTION("""COMPUTED_VALUE"""),"Autohak")</f>
        <v>Autohak</v>
      </c>
    </row>
    <row r="8267">
      <c r="A8267" t="str">
        <f>IFERROR(__xludf.DUMMYFUNCTION("""COMPUTED_VALUE"""),"T60A")</f>
        <v>T60A</v>
      </c>
      <c r="B8267" s="226" t="str">
        <f>IFERROR(__xludf.DUMMYFUNCTION("""COMPUTED_VALUE"""),"27275")</f>
        <v>27275</v>
      </c>
      <c r="C8267" t="str">
        <f>IFERROR(__xludf.DUMMYFUNCTION("""COMPUTED_VALUE"""),"Autohak")</f>
        <v>Autohak</v>
      </c>
    </row>
    <row r="8268">
      <c r="A8268" t="str">
        <f>IFERROR(__xludf.DUMMYFUNCTION("""COMPUTED_VALUE"""),"T62")</f>
        <v>T62</v>
      </c>
      <c r="B8268" s="226" t="str">
        <f>IFERROR(__xludf.DUMMYFUNCTION("""COMPUTED_VALUE"""),"25301")</f>
        <v>25301</v>
      </c>
      <c r="C8268" t="str">
        <f>IFERROR(__xludf.DUMMYFUNCTION("""COMPUTED_VALUE"""),"Autohak")</f>
        <v>Autohak</v>
      </c>
    </row>
    <row r="8269">
      <c r="A8269" t="str">
        <f>IFERROR(__xludf.DUMMYFUNCTION("""COMPUTED_VALUE"""),"T62A")</f>
        <v>T62A</v>
      </c>
      <c r="B8269" s="226" t="str">
        <f>IFERROR(__xludf.DUMMYFUNCTION("""COMPUTED_VALUE"""),"27299")</f>
        <v>27299</v>
      </c>
      <c r="C8269" t="str">
        <f>IFERROR(__xludf.DUMMYFUNCTION("""COMPUTED_VALUE"""),"Autohak")</f>
        <v>Autohak</v>
      </c>
    </row>
    <row r="8270">
      <c r="A8270" t="str">
        <f>IFERROR(__xludf.DUMMYFUNCTION("""COMPUTED_VALUE"""),"T68")</f>
        <v>T68</v>
      </c>
      <c r="B8270" s="226" t="str">
        <f>IFERROR(__xludf.DUMMYFUNCTION("""COMPUTED_VALUE"""),"25363")</f>
        <v>25363</v>
      </c>
      <c r="C8270" t="str">
        <f>IFERROR(__xludf.DUMMYFUNCTION("""COMPUTED_VALUE"""),"Autohak")</f>
        <v>Autohak</v>
      </c>
    </row>
    <row r="8271">
      <c r="A8271" t="str">
        <f>IFERROR(__xludf.DUMMYFUNCTION("""COMPUTED_VALUE"""),"T68A")</f>
        <v>T68A</v>
      </c>
      <c r="B8271" s="226" t="str">
        <f>IFERROR(__xludf.DUMMYFUNCTION("""COMPUTED_VALUE"""),"27343")</f>
        <v>27343</v>
      </c>
      <c r="C8271" t="str">
        <f>IFERROR(__xludf.DUMMYFUNCTION("""COMPUTED_VALUE"""),"Autohak")</f>
        <v>Autohak</v>
      </c>
    </row>
    <row r="8272">
      <c r="A8272" t="str">
        <f>IFERROR(__xludf.DUMMYFUNCTION("""COMPUTED_VALUE"""),"T68V")</f>
        <v>T68V</v>
      </c>
      <c r="B8272" s="226" t="str">
        <f>IFERROR(__xludf.DUMMYFUNCTION("""COMPUTED_VALUE"""),"27923")</f>
        <v>27923</v>
      </c>
      <c r="C8272" t="str">
        <f>IFERROR(__xludf.DUMMYFUNCTION("""COMPUTED_VALUE"""),"Autohak")</f>
        <v>Autohak</v>
      </c>
    </row>
    <row r="8273">
      <c r="A8273" t="str">
        <f>IFERROR(__xludf.DUMMYFUNCTION("""COMPUTED_VALUE"""),"T76")</f>
        <v>T76</v>
      </c>
      <c r="B8273" s="226" t="str">
        <f>IFERROR(__xludf.DUMMYFUNCTION("""COMPUTED_VALUE"""),"25431")</f>
        <v>25431</v>
      </c>
      <c r="C8273" t="str">
        <f>IFERROR(__xludf.DUMMYFUNCTION("""COMPUTED_VALUE"""),"Autohak")</f>
        <v>Autohak</v>
      </c>
    </row>
    <row r="8274">
      <c r="A8274" t="str">
        <f>IFERROR(__xludf.DUMMYFUNCTION("""COMPUTED_VALUE"""),"T76A")</f>
        <v>T76A</v>
      </c>
      <c r="B8274" s="226" t="str">
        <f>IFERROR(__xludf.DUMMYFUNCTION("""COMPUTED_VALUE"""),"27411")</f>
        <v>27411</v>
      </c>
      <c r="C8274" t="str">
        <f>IFERROR(__xludf.DUMMYFUNCTION("""COMPUTED_VALUE"""),"Autohak")</f>
        <v>Autohak</v>
      </c>
    </row>
    <row r="8275">
      <c r="A8275" t="str">
        <f>IFERROR(__xludf.DUMMYFUNCTION("""COMPUTED_VALUE"""),"T76V")</f>
        <v>T76V</v>
      </c>
      <c r="B8275" s="226" t="str">
        <f>IFERROR(__xludf.DUMMYFUNCTION("""COMPUTED_VALUE"""),"27862")</f>
        <v>27862</v>
      </c>
      <c r="C8275" t="str">
        <f>IFERROR(__xludf.DUMMYFUNCTION("""COMPUTED_VALUE"""),"Autohak")</f>
        <v>Autohak</v>
      </c>
    </row>
    <row r="8276">
      <c r="A8276" t="str">
        <f>IFERROR(__xludf.DUMMYFUNCTION("""COMPUTED_VALUE"""),"T44")</f>
        <v>T44</v>
      </c>
      <c r="B8276" s="226" t="str">
        <f>IFERROR(__xludf.DUMMYFUNCTION("""COMPUTED_VALUE"""),"25127")</f>
        <v>25127</v>
      </c>
      <c r="C8276" t="str">
        <f>IFERROR(__xludf.DUMMYFUNCTION("""COMPUTED_VALUE"""),"Autohak")</f>
        <v>Autohak</v>
      </c>
    </row>
    <row r="8277">
      <c r="A8277" t="str">
        <f>IFERROR(__xludf.DUMMYFUNCTION("""COMPUTED_VALUE"""),"T44A")</f>
        <v>T44A</v>
      </c>
      <c r="B8277" s="226" t="str">
        <f>IFERROR(__xludf.DUMMYFUNCTION("""COMPUTED_VALUE"""),"27121")</f>
        <v>27121</v>
      </c>
      <c r="C8277" t="str">
        <f>IFERROR(__xludf.DUMMYFUNCTION("""COMPUTED_VALUE"""),"Autohak")</f>
        <v>Autohak</v>
      </c>
    </row>
    <row r="8278">
      <c r="A8278" t="str">
        <f>IFERROR(__xludf.DUMMYFUNCTION("""COMPUTED_VALUE"""),"T06")</f>
        <v>T06</v>
      </c>
      <c r="B8278" s="226" t="str">
        <f>IFERROR(__xludf.DUMMYFUNCTION("""COMPUTED_VALUE"""),"25134")</f>
        <v>25134</v>
      </c>
      <c r="C8278" t="str">
        <f>IFERROR(__xludf.DUMMYFUNCTION("""COMPUTED_VALUE"""),"Autohak")</f>
        <v>Autohak</v>
      </c>
    </row>
    <row r="8279">
      <c r="A8279" t="str">
        <f>IFERROR(__xludf.DUMMYFUNCTION("""COMPUTED_VALUE"""),"T06A")</f>
        <v>T06A</v>
      </c>
      <c r="B8279" s="226" t="str">
        <f>IFERROR(__xludf.DUMMYFUNCTION("""COMPUTED_VALUE"""),"27138")</f>
        <v>27138</v>
      </c>
      <c r="C8279" t="str">
        <f>IFERROR(__xludf.DUMMYFUNCTION("""COMPUTED_VALUE"""),"Autohak")</f>
        <v>Autohak</v>
      </c>
    </row>
    <row r="8280">
      <c r="A8280" t="str">
        <f>IFERROR(__xludf.DUMMYFUNCTION("""COMPUTED_VALUE"""),"T06")</f>
        <v>T06</v>
      </c>
      <c r="B8280" s="226" t="str">
        <f>IFERROR(__xludf.DUMMYFUNCTION("""COMPUTED_VALUE"""),"25134")</f>
        <v>25134</v>
      </c>
      <c r="C8280" t="str">
        <f>IFERROR(__xludf.DUMMYFUNCTION("""COMPUTED_VALUE"""),"Autohak")</f>
        <v>Autohak</v>
      </c>
    </row>
    <row r="8281">
      <c r="A8281" t="str">
        <f>IFERROR(__xludf.DUMMYFUNCTION("""COMPUTED_VALUE"""),"T06A")</f>
        <v>T06A</v>
      </c>
      <c r="B8281" s="226" t="str">
        <f>IFERROR(__xludf.DUMMYFUNCTION("""COMPUTED_VALUE"""),"27138")</f>
        <v>27138</v>
      </c>
      <c r="C8281" t="str">
        <f>IFERROR(__xludf.DUMMYFUNCTION("""COMPUTED_VALUE"""),"Autohak")</f>
        <v>Autohak</v>
      </c>
    </row>
    <row r="8282">
      <c r="A8282" t="str">
        <f>IFERROR(__xludf.DUMMYFUNCTION("""COMPUTED_VALUE"""),"T41")</f>
        <v>T41</v>
      </c>
      <c r="B8282" s="226" t="str">
        <f>IFERROR(__xludf.DUMMYFUNCTION("""COMPUTED_VALUE"""),"25141")</f>
        <v>25141</v>
      </c>
      <c r="C8282" t="str">
        <f>IFERROR(__xludf.DUMMYFUNCTION("""COMPUTED_VALUE"""),"Autohak")</f>
        <v>Autohak</v>
      </c>
    </row>
    <row r="8283">
      <c r="A8283" t="str">
        <f>IFERROR(__xludf.DUMMYFUNCTION("""COMPUTED_VALUE"""),"T41A")</f>
        <v>T41A</v>
      </c>
      <c r="B8283" s="226" t="str">
        <f>IFERROR(__xludf.DUMMYFUNCTION("""COMPUTED_VALUE"""),"27145")</f>
        <v>27145</v>
      </c>
      <c r="C8283" t="str">
        <f>IFERROR(__xludf.DUMMYFUNCTION("""COMPUTED_VALUE"""),"Autohak")</f>
        <v>Autohak</v>
      </c>
    </row>
    <row r="8284">
      <c r="A8284" t="str">
        <f>IFERROR(__xludf.DUMMYFUNCTION("""COMPUTED_VALUE"""),"T51")</f>
        <v>T51</v>
      </c>
      <c r="B8284" s="226" t="str">
        <f>IFERROR(__xludf.DUMMYFUNCTION("""COMPUTED_VALUE"""),"25196")</f>
        <v>25196</v>
      </c>
      <c r="C8284" t="str">
        <f>IFERROR(__xludf.DUMMYFUNCTION("""COMPUTED_VALUE"""),"Autohak")</f>
        <v>Autohak</v>
      </c>
    </row>
    <row r="8285">
      <c r="A8285" t="str">
        <f>IFERROR(__xludf.DUMMYFUNCTION("""COMPUTED_VALUE"""),"T51A")</f>
        <v>T51A</v>
      </c>
      <c r="B8285" s="226" t="str">
        <f>IFERROR(__xludf.DUMMYFUNCTION("""COMPUTED_VALUE"""),"27190")</f>
        <v>27190</v>
      </c>
      <c r="C8285" t="str">
        <f>IFERROR(__xludf.DUMMYFUNCTION("""COMPUTED_VALUE"""),"Autohak")</f>
        <v>Autohak</v>
      </c>
    </row>
    <row r="8286">
      <c r="A8286" t="str">
        <f>IFERROR(__xludf.DUMMYFUNCTION("""COMPUTED_VALUE"""),"T59")</f>
        <v>T59</v>
      </c>
      <c r="B8286" s="226" t="str">
        <f>IFERROR(__xludf.DUMMYFUNCTION("""COMPUTED_VALUE"""),"25271")</f>
        <v>25271</v>
      </c>
      <c r="C8286" t="str">
        <f>IFERROR(__xludf.DUMMYFUNCTION("""COMPUTED_VALUE"""),"Autohak")</f>
        <v>Autohak</v>
      </c>
    </row>
    <row r="8287">
      <c r="A8287" t="str">
        <f>IFERROR(__xludf.DUMMYFUNCTION("""COMPUTED_VALUE"""),"T59A")</f>
        <v>T59A</v>
      </c>
      <c r="B8287" s="226" t="str">
        <f>IFERROR(__xludf.DUMMYFUNCTION("""COMPUTED_VALUE"""),"27268")</f>
        <v>27268</v>
      </c>
      <c r="C8287" t="str">
        <f>IFERROR(__xludf.DUMMYFUNCTION("""COMPUTED_VALUE"""),"Autohak")</f>
        <v>Autohak</v>
      </c>
    </row>
    <row r="8288">
      <c r="A8288" t="str">
        <f>IFERROR(__xludf.DUMMYFUNCTION("""COMPUTED_VALUE"""),"T59V")</f>
        <v>T59V</v>
      </c>
      <c r="B8288" s="226" t="str">
        <f>IFERROR(__xludf.DUMMYFUNCTION("""COMPUTED_VALUE"""),"27978")</f>
        <v>27978</v>
      </c>
      <c r="C8288" t="str">
        <f>IFERROR(__xludf.DUMMYFUNCTION("""COMPUTED_VALUE"""),"Autohak")</f>
        <v>Autohak</v>
      </c>
    </row>
    <row r="8289">
      <c r="A8289" t="str">
        <f>IFERROR(__xludf.DUMMYFUNCTION("""COMPUTED_VALUE"""),"T67")</f>
        <v>T67</v>
      </c>
      <c r="B8289" s="226" t="str">
        <f>IFERROR(__xludf.DUMMYFUNCTION("""COMPUTED_VALUE"""),"25356")</f>
        <v>25356</v>
      </c>
      <c r="C8289" t="str">
        <f>IFERROR(__xludf.DUMMYFUNCTION("""COMPUTED_VALUE"""),"Autohak")</f>
        <v>Autohak</v>
      </c>
    </row>
    <row r="8290">
      <c r="A8290" t="str">
        <f>IFERROR(__xludf.DUMMYFUNCTION("""COMPUTED_VALUE"""),"T67V")</f>
        <v>T67V</v>
      </c>
      <c r="B8290" s="226" t="str">
        <f>IFERROR(__xludf.DUMMYFUNCTION("""COMPUTED_VALUE"""),"27930")</f>
        <v>27930</v>
      </c>
      <c r="C8290" t="str">
        <f>IFERROR(__xludf.DUMMYFUNCTION("""COMPUTED_VALUE"""),"Autohak")</f>
        <v>Autohak</v>
      </c>
    </row>
    <row r="8291">
      <c r="A8291" t="str">
        <f>IFERROR(__xludf.DUMMYFUNCTION("""COMPUTED_VALUE"""),"T71")</f>
        <v>T71</v>
      </c>
      <c r="B8291" s="226" t="str">
        <f>IFERROR(__xludf.DUMMYFUNCTION("""COMPUTED_VALUE"""),"25394")</f>
        <v>25394</v>
      </c>
      <c r="C8291" t="str">
        <f>IFERROR(__xludf.DUMMYFUNCTION("""COMPUTED_VALUE"""),"Autohak")</f>
        <v>Autohak</v>
      </c>
    </row>
    <row r="8292">
      <c r="A8292" t="str">
        <f>IFERROR(__xludf.DUMMYFUNCTION("""COMPUTED_VALUE"""),"T71A")</f>
        <v>T71A</v>
      </c>
      <c r="B8292" s="226" t="str">
        <f>IFERROR(__xludf.DUMMYFUNCTION("""COMPUTED_VALUE"""),"27374")</f>
        <v>27374</v>
      </c>
      <c r="C8292" t="str">
        <f>IFERROR(__xludf.DUMMYFUNCTION("""COMPUTED_VALUE"""),"Autohak")</f>
        <v>Autohak</v>
      </c>
    </row>
    <row r="8293">
      <c r="A8293" t="str">
        <f>IFERROR(__xludf.DUMMYFUNCTION("""COMPUTED_VALUE"""),"T71V")</f>
        <v>T71V</v>
      </c>
      <c r="B8293" s="226" t="str">
        <f>IFERROR(__xludf.DUMMYFUNCTION("""COMPUTED_VALUE"""),"27916")</f>
        <v>27916</v>
      </c>
      <c r="C8293" t="str">
        <f>IFERROR(__xludf.DUMMYFUNCTION("""COMPUTED_VALUE"""),"Autohak")</f>
        <v>Autohak</v>
      </c>
    </row>
    <row r="8294">
      <c r="A8294" t="str">
        <f>IFERROR(__xludf.DUMMYFUNCTION("""COMPUTED_VALUE"""),"T71")</f>
        <v>T71</v>
      </c>
      <c r="B8294" s="226" t="str">
        <f>IFERROR(__xludf.DUMMYFUNCTION("""COMPUTED_VALUE"""),"25394")</f>
        <v>25394</v>
      </c>
      <c r="C8294" t="str">
        <f>IFERROR(__xludf.DUMMYFUNCTION("""COMPUTED_VALUE"""),"Autohak")</f>
        <v>Autohak</v>
      </c>
    </row>
    <row r="8295">
      <c r="A8295" t="str">
        <f>IFERROR(__xludf.DUMMYFUNCTION("""COMPUTED_VALUE"""),"T71A")</f>
        <v>T71A</v>
      </c>
      <c r="B8295" s="226" t="str">
        <f>IFERROR(__xludf.DUMMYFUNCTION("""COMPUTED_VALUE"""),"27374")</f>
        <v>27374</v>
      </c>
      <c r="C8295" t="str">
        <f>IFERROR(__xludf.DUMMYFUNCTION("""COMPUTED_VALUE"""),"Autohak")</f>
        <v>Autohak</v>
      </c>
    </row>
    <row r="8296">
      <c r="A8296" t="str">
        <f>IFERROR(__xludf.DUMMYFUNCTION("""COMPUTED_VALUE"""),"T71V")</f>
        <v>T71V</v>
      </c>
      <c r="B8296" s="226" t="str">
        <f>IFERROR(__xludf.DUMMYFUNCTION("""COMPUTED_VALUE"""),"27916")</f>
        <v>27916</v>
      </c>
      <c r="C8296" t="str">
        <f>IFERROR(__xludf.DUMMYFUNCTION("""COMPUTED_VALUE"""),"Autohak")</f>
        <v>Autohak</v>
      </c>
    </row>
    <row r="8297">
      <c r="A8297" t="str">
        <f>IFERROR(__xludf.DUMMYFUNCTION("""COMPUTED_VALUE"""),"T57")</f>
        <v>T57</v>
      </c>
      <c r="B8297" s="226" t="str">
        <f>IFERROR(__xludf.DUMMYFUNCTION("""COMPUTED_VALUE"""),"25257")</f>
        <v>25257</v>
      </c>
      <c r="C8297" t="str">
        <f>IFERROR(__xludf.DUMMYFUNCTION("""COMPUTED_VALUE"""),"Autohak")</f>
        <v>Autohak</v>
      </c>
    </row>
    <row r="8298">
      <c r="A8298" t="str">
        <f>IFERROR(__xludf.DUMMYFUNCTION("""COMPUTED_VALUE"""),"T57A")</f>
        <v>T57A</v>
      </c>
      <c r="B8298" s="226" t="str">
        <f>IFERROR(__xludf.DUMMYFUNCTION("""COMPUTED_VALUE"""),"27237")</f>
        <v>27237</v>
      </c>
      <c r="C8298" t="str">
        <f>IFERROR(__xludf.DUMMYFUNCTION("""COMPUTED_VALUE"""),"Autohak")</f>
        <v>Autohak</v>
      </c>
    </row>
    <row r="8299">
      <c r="A8299" t="str">
        <f>IFERROR(__xludf.DUMMYFUNCTION("""COMPUTED_VALUE"""),"T63")</f>
        <v>T63</v>
      </c>
      <c r="B8299" s="226" t="str">
        <f>IFERROR(__xludf.DUMMYFUNCTION("""COMPUTED_VALUE"""),"25318")</f>
        <v>25318</v>
      </c>
      <c r="C8299" t="str">
        <f>IFERROR(__xludf.DUMMYFUNCTION("""COMPUTED_VALUE"""),"Autohak")</f>
        <v>Autohak</v>
      </c>
    </row>
    <row r="8300">
      <c r="A8300" t="str">
        <f>IFERROR(__xludf.DUMMYFUNCTION("""COMPUTED_VALUE"""),"T63A")</f>
        <v>T63A</v>
      </c>
      <c r="B8300" s="226" t="str">
        <f>IFERROR(__xludf.DUMMYFUNCTION("""COMPUTED_VALUE"""),"27305")</f>
        <v>27305</v>
      </c>
      <c r="C8300" t="str">
        <f>IFERROR(__xludf.DUMMYFUNCTION("""COMPUTED_VALUE"""),"Autohak")</f>
        <v>Autohak</v>
      </c>
    </row>
    <row r="8301">
      <c r="A8301" t="str">
        <f>IFERROR(__xludf.DUMMYFUNCTION("""COMPUTED_VALUE"""),"T63V")</f>
        <v>T63V</v>
      </c>
      <c r="B8301" s="226" t="str">
        <f>IFERROR(__xludf.DUMMYFUNCTION("""COMPUTED_VALUE"""),"27961")</f>
        <v>27961</v>
      </c>
      <c r="C8301" t="str">
        <f>IFERROR(__xludf.DUMMYFUNCTION("""COMPUTED_VALUE"""),"Autohak")</f>
        <v>Autohak</v>
      </c>
    </row>
    <row r="8302">
      <c r="A8302" t="str">
        <f>IFERROR(__xludf.DUMMYFUNCTION("""COMPUTED_VALUE"""),"T70")</f>
        <v>T70</v>
      </c>
      <c r="B8302" s="226" t="str">
        <f>IFERROR(__xludf.DUMMYFUNCTION("""COMPUTED_VALUE"""),"25387")</f>
        <v>25387</v>
      </c>
      <c r="C8302" t="str">
        <f>IFERROR(__xludf.DUMMYFUNCTION("""COMPUTED_VALUE"""),"Autohak")</f>
        <v>Autohak</v>
      </c>
    </row>
    <row r="8303">
      <c r="A8303" t="str">
        <f>IFERROR(__xludf.DUMMYFUNCTION("""COMPUTED_VALUE"""),"T70A")</f>
        <v>T70A</v>
      </c>
      <c r="B8303" s="226" t="str">
        <f>IFERROR(__xludf.DUMMYFUNCTION("""COMPUTED_VALUE"""),"27367")</f>
        <v>27367</v>
      </c>
      <c r="C8303" t="str">
        <f>IFERROR(__xludf.DUMMYFUNCTION("""COMPUTED_VALUE"""),"Autohak")</f>
        <v>Autohak</v>
      </c>
    </row>
    <row r="8304">
      <c r="A8304" t="str">
        <f>IFERROR(__xludf.DUMMYFUNCTION("""COMPUTED_VALUE"""),"T10")</f>
        <v>T10</v>
      </c>
      <c r="B8304" s="226" t="str">
        <f>IFERROR(__xludf.DUMMYFUNCTION("""COMPUTED_VALUE"""),"25158")</f>
        <v>25158</v>
      </c>
      <c r="C8304" t="str">
        <f>IFERROR(__xludf.DUMMYFUNCTION("""COMPUTED_VALUE"""),"Autohak")</f>
        <v>Autohak</v>
      </c>
    </row>
    <row r="8305">
      <c r="A8305" t="str">
        <f>IFERROR(__xludf.DUMMYFUNCTION("""COMPUTED_VALUE"""),"T10A")</f>
        <v>T10A</v>
      </c>
      <c r="B8305" s="226" t="str">
        <f>IFERROR(__xludf.DUMMYFUNCTION("""COMPUTED_VALUE"""),"27152")</f>
        <v>27152</v>
      </c>
      <c r="C8305" t="str">
        <f>IFERROR(__xludf.DUMMYFUNCTION("""COMPUTED_VALUE"""),"Autohak")</f>
        <v>Autohak</v>
      </c>
    </row>
    <row r="8306">
      <c r="A8306" t="str">
        <f>IFERROR(__xludf.DUMMYFUNCTION("""COMPUTED_VALUE"""),"T45")</f>
        <v>T45</v>
      </c>
      <c r="B8306" s="226" t="str">
        <f>IFERROR(__xludf.DUMMYFUNCTION("""COMPUTED_VALUE"""),"25165")</f>
        <v>25165</v>
      </c>
      <c r="C8306" t="str">
        <f>IFERROR(__xludf.DUMMYFUNCTION("""COMPUTED_VALUE"""),"Autohak")</f>
        <v>Autohak</v>
      </c>
    </row>
    <row r="8307">
      <c r="A8307" t="str">
        <f>IFERROR(__xludf.DUMMYFUNCTION("""COMPUTED_VALUE"""),"T45A")</f>
        <v>T45A</v>
      </c>
      <c r="B8307" s="226" t="str">
        <f>IFERROR(__xludf.DUMMYFUNCTION("""COMPUTED_VALUE"""),"27169")</f>
        <v>27169</v>
      </c>
      <c r="C8307" t="str">
        <f>IFERROR(__xludf.DUMMYFUNCTION("""COMPUTED_VALUE"""),"Autohak")</f>
        <v>Autohak</v>
      </c>
    </row>
    <row r="8308">
      <c r="A8308" t="str">
        <f>IFERROR(__xludf.DUMMYFUNCTION("""COMPUTED_VALUE"""),"J60")</f>
        <v>J60</v>
      </c>
      <c r="B8308" s="226" t="str">
        <f>IFERROR(__xludf.DUMMYFUNCTION("""COMPUTED_VALUE"""),"22249")</f>
        <v>22249</v>
      </c>
      <c r="C8308" t="str">
        <f>IFERROR(__xludf.DUMMYFUNCTION("""COMPUTED_VALUE"""),"Autohak")</f>
        <v>Autohak</v>
      </c>
    </row>
    <row r="8309">
      <c r="A8309" t="str">
        <f>IFERROR(__xludf.DUMMYFUNCTION("""COMPUTED_VALUE"""),"J60A")</f>
        <v>J60A</v>
      </c>
      <c r="B8309" s="226" t="str">
        <f>IFERROR(__xludf.DUMMYFUNCTION("""COMPUTED_VALUE"""),"23246")</f>
        <v>23246</v>
      </c>
      <c r="C8309" t="str">
        <f>IFERROR(__xludf.DUMMYFUNCTION("""COMPUTED_VALUE"""),"Autohak")</f>
        <v>Autohak</v>
      </c>
    </row>
    <row r="8310">
      <c r="A8310" t="str">
        <f>IFERROR(__xludf.DUMMYFUNCTION("""COMPUTED_VALUE"""),"J60V")</f>
        <v>J60V</v>
      </c>
      <c r="B8310" s="226" t="str">
        <f>IFERROR(__xludf.DUMMYFUNCTION("""COMPUTED_VALUE"""),"23987")</f>
        <v>23987</v>
      </c>
      <c r="C8310" t="str">
        <f>IFERROR(__xludf.DUMMYFUNCTION("""COMPUTED_VALUE"""),"Autohak")</f>
        <v>Autohak</v>
      </c>
    </row>
    <row r="8311">
      <c r="A8311" t="str">
        <f>IFERROR(__xludf.DUMMYFUNCTION("""COMPUTED_VALUE"""),"T72")</f>
        <v>T72</v>
      </c>
      <c r="B8311" s="226" t="str">
        <f>IFERROR(__xludf.DUMMYFUNCTION("""COMPUTED_VALUE"""),"25400")</f>
        <v>25400</v>
      </c>
      <c r="C8311" t="str">
        <f>IFERROR(__xludf.DUMMYFUNCTION("""COMPUTED_VALUE"""),"Autohak")</f>
        <v>Autohak</v>
      </c>
    </row>
    <row r="8312">
      <c r="A8312" t="str">
        <f>IFERROR(__xludf.DUMMYFUNCTION("""COMPUTED_VALUE"""),"T72A")</f>
        <v>T72A</v>
      </c>
      <c r="B8312" s="226" t="str">
        <f>IFERROR(__xludf.DUMMYFUNCTION("""COMPUTED_VALUE"""),"27381")</f>
        <v>27381</v>
      </c>
      <c r="C8312" t="str">
        <f>IFERROR(__xludf.DUMMYFUNCTION("""COMPUTED_VALUE"""),"Autohak")</f>
        <v>Autohak</v>
      </c>
    </row>
    <row r="8313">
      <c r="A8313" t="str">
        <f>IFERROR(__xludf.DUMMYFUNCTION("""COMPUTED_VALUE"""),"T72V")</f>
        <v>T72V</v>
      </c>
      <c r="B8313" s="226" t="str">
        <f>IFERROR(__xludf.DUMMYFUNCTION("""COMPUTED_VALUE"""),"27909")</f>
        <v>27909</v>
      </c>
      <c r="C8313" t="str">
        <f>IFERROR(__xludf.DUMMYFUNCTION("""COMPUTED_VALUE"""),"Autohak")</f>
        <v>Autohak</v>
      </c>
    </row>
    <row r="8314">
      <c r="A8314" t="str">
        <f>IFERROR(__xludf.DUMMYFUNCTION("""COMPUTED_VALUE"""),"T78")</f>
        <v>T78</v>
      </c>
      <c r="B8314" s="226" t="str">
        <f>IFERROR(__xludf.DUMMYFUNCTION("""COMPUTED_VALUE"""),"25455")</f>
        <v>25455</v>
      </c>
      <c r="C8314" t="str">
        <f>IFERROR(__xludf.DUMMYFUNCTION("""COMPUTED_VALUE"""),"Autohak")</f>
        <v>Autohak</v>
      </c>
    </row>
    <row r="8315">
      <c r="A8315" t="str">
        <f>IFERROR(__xludf.DUMMYFUNCTION("""COMPUTED_VALUE"""),"T78A")</f>
        <v>T78A</v>
      </c>
      <c r="B8315" s="226" t="str">
        <f>IFERROR(__xludf.DUMMYFUNCTION("""COMPUTED_VALUE"""),"27435")</f>
        <v>27435</v>
      </c>
      <c r="C8315" t="str">
        <f>IFERROR(__xludf.DUMMYFUNCTION("""COMPUTED_VALUE"""),"Autohak")</f>
        <v>Autohak</v>
      </c>
    </row>
    <row r="8316">
      <c r="A8316" t="str">
        <f>IFERROR(__xludf.DUMMYFUNCTION("""COMPUTED_VALUE"""),"T78V")</f>
        <v>T78V</v>
      </c>
      <c r="B8316" s="226" t="str">
        <f>IFERROR(__xludf.DUMMYFUNCTION("""COMPUTED_VALUE"""),"27848")</f>
        <v>27848</v>
      </c>
      <c r="C8316" t="str">
        <f>IFERROR(__xludf.DUMMYFUNCTION("""COMPUTED_VALUE"""),"Autohak")</f>
        <v>Autohak</v>
      </c>
    </row>
    <row r="8317">
      <c r="A8317" t="str">
        <f>IFERROR(__xludf.DUMMYFUNCTION("""COMPUTED_VALUE"""),"T77")</f>
        <v>T77</v>
      </c>
      <c r="B8317" s="226" t="str">
        <f>IFERROR(__xludf.DUMMYFUNCTION("""COMPUTED_VALUE"""),"25448")</f>
        <v>25448</v>
      </c>
      <c r="C8317" t="str">
        <f>IFERROR(__xludf.DUMMYFUNCTION("""COMPUTED_VALUE"""),"Autohak")</f>
        <v>Autohak</v>
      </c>
    </row>
    <row r="8318">
      <c r="A8318" t="str">
        <f>IFERROR(__xludf.DUMMYFUNCTION("""COMPUTED_VALUE"""),"T77A")</f>
        <v>T77A</v>
      </c>
      <c r="B8318" s="226" t="str">
        <f>IFERROR(__xludf.DUMMYFUNCTION("""COMPUTED_VALUE"""),"27428")</f>
        <v>27428</v>
      </c>
      <c r="C8318" t="str">
        <f>IFERROR(__xludf.DUMMYFUNCTION("""COMPUTED_VALUE"""),"Autohak")</f>
        <v>Autohak</v>
      </c>
    </row>
    <row r="8319">
      <c r="A8319" t="str">
        <f>IFERROR(__xludf.DUMMYFUNCTION("""COMPUTED_VALUE"""),"T77V")</f>
        <v>T77V</v>
      </c>
      <c r="B8319" s="226" t="str">
        <f>IFERROR(__xludf.DUMMYFUNCTION("""COMPUTED_VALUE"""),"27855")</f>
        <v>27855</v>
      </c>
      <c r="C8319" t="str">
        <f>IFERROR(__xludf.DUMMYFUNCTION("""COMPUTED_VALUE"""),"Autohak")</f>
        <v>Autohak</v>
      </c>
    </row>
    <row r="8320">
      <c r="A8320" t="str">
        <f>IFERROR(__xludf.DUMMYFUNCTION("""COMPUTED_VALUE"""),"T58")</f>
        <v>T58</v>
      </c>
      <c r="B8320" s="226" t="str">
        <f>IFERROR(__xludf.DUMMYFUNCTION("""COMPUTED_VALUE"""),"25264")</f>
        <v>25264</v>
      </c>
      <c r="C8320" t="str">
        <f>IFERROR(__xludf.DUMMYFUNCTION("""COMPUTED_VALUE"""),"Autohak")</f>
        <v>Autohak</v>
      </c>
    </row>
    <row r="8321">
      <c r="A8321" t="str">
        <f>IFERROR(__xludf.DUMMYFUNCTION("""COMPUTED_VALUE"""),"T58A")</f>
        <v>T58A</v>
      </c>
      <c r="B8321" s="226" t="str">
        <f>IFERROR(__xludf.DUMMYFUNCTION("""COMPUTED_VALUE"""),"27251")</f>
        <v>27251</v>
      </c>
      <c r="C8321" t="str">
        <f>IFERROR(__xludf.DUMMYFUNCTION("""COMPUTED_VALUE"""),"Autohak")</f>
        <v>Autohak</v>
      </c>
    </row>
    <row r="8322">
      <c r="A8322" t="str">
        <f>IFERROR(__xludf.DUMMYFUNCTION("""COMPUTED_VALUE"""),"T58V")</f>
        <v>T58V</v>
      </c>
      <c r="B8322" s="226" t="str">
        <f>IFERROR(__xludf.DUMMYFUNCTION("""COMPUTED_VALUE"""),"27985")</f>
        <v>27985</v>
      </c>
      <c r="C8322" t="str">
        <f>IFERROR(__xludf.DUMMYFUNCTION("""COMPUTED_VALUE"""),"Autohak")</f>
        <v>Autohak</v>
      </c>
    </row>
    <row r="8323">
      <c r="A8323" t="str">
        <f>IFERROR(__xludf.DUMMYFUNCTION("""COMPUTED_VALUE"""),"T58")</f>
        <v>T58</v>
      </c>
      <c r="B8323" s="226" t="str">
        <f>IFERROR(__xludf.DUMMYFUNCTION("""COMPUTED_VALUE"""),"25264")</f>
        <v>25264</v>
      </c>
      <c r="C8323" t="str">
        <f>IFERROR(__xludf.DUMMYFUNCTION("""COMPUTED_VALUE"""),"Autohak")</f>
        <v>Autohak</v>
      </c>
    </row>
    <row r="8324">
      <c r="A8324" t="str">
        <f>IFERROR(__xludf.DUMMYFUNCTION("""COMPUTED_VALUE"""),"T58A")</f>
        <v>T58A</v>
      </c>
      <c r="B8324" s="226" t="str">
        <f>IFERROR(__xludf.DUMMYFUNCTION("""COMPUTED_VALUE"""),"27251")</f>
        <v>27251</v>
      </c>
      <c r="C8324" t="str">
        <f>IFERROR(__xludf.DUMMYFUNCTION("""COMPUTED_VALUE"""),"Autohak")</f>
        <v>Autohak</v>
      </c>
    </row>
    <row r="8325">
      <c r="A8325" t="str">
        <f>IFERROR(__xludf.DUMMYFUNCTION("""COMPUTED_VALUE"""),"T58V")</f>
        <v>T58V</v>
      </c>
      <c r="B8325" s="226" t="str">
        <f>IFERROR(__xludf.DUMMYFUNCTION("""COMPUTED_VALUE"""),"27985")</f>
        <v>27985</v>
      </c>
      <c r="C8325" t="str">
        <f>IFERROR(__xludf.DUMMYFUNCTION("""COMPUTED_VALUE"""),"Autohak")</f>
        <v>Autohak</v>
      </c>
    </row>
    <row r="8326">
      <c r="A8326" t="str">
        <f>IFERROR(__xludf.DUMMYFUNCTION("""COMPUTED_VALUE"""),"T83")</f>
        <v>T83</v>
      </c>
      <c r="B8326" s="226" t="str">
        <f>IFERROR(__xludf.DUMMYFUNCTION("""COMPUTED_VALUE"""),"25509")</f>
        <v>25509</v>
      </c>
      <c r="C8326" t="str">
        <f>IFERROR(__xludf.DUMMYFUNCTION("""COMPUTED_VALUE"""),"Autohak")</f>
        <v>Autohak</v>
      </c>
    </row>
    <row r="8327">
      <c r="A8327" t="str">
        <f>IFERROR(__xludf.DUMMYFUNCTION("""COMPUTED_VALUE"""),"T83A")</f>
        <v>T83A</v>
      </c>
      <c r="B8327" s="226" t="str">
        <f>IFERROR(__xludf.DUMMYFUNCTION("""COMPUTED_VALUE"""),"27480")</f>
        <v>27480</v>
      </c>
      <c r="C8327" t="str">
        <f>IFERROR(__xludf.DUMMYFUNCTION("""COMPUTED_VALUE"""),"Autohak")</f>
        <v>Autohak</v>
      </c>
    </row>
    <row r="8328">
      <c r="A8328" t="str">
        <f>IFERROR(__xludf.DUMMYFUNCTION("""COMPUTED_VALUE"""),"T83V")</f>
        <v>T83V</v>
      </c>
      <c r="B8328" s="226" t="str">
        <f>IFERROR(__xludf.DUMMYFUNCTION("""COMPUTED_VALUE"""),"27794")</f>
        <v>27794</v>
      </c>
      <c r="C8328" t="str">
        <f>IFERROR(__xludf.DUMMYFUNCTION("""COMPUTED_VALUE"""),"Autohak")</f>
        <v>Autohak</v>
      </c>
    </row>
    <row r="8329">
      <c r="A8329" t="str">
        <f>IFERROR(__xludf.DUMMYFUNCTION("""COMPUTED_VALUE"""),"T83")</f>
        <v>T83</v>
      </c>
      <c r="B8329" s="226" t="str">
        <f>IFERROR(__xludf.DUMMYFUNCTION("""COMPUTED_VALUE"""),"25509")</f>
        <v>25509</v>
      </c>
      <c r="C8329" t="str">
        <f>IFERROR(__xludf.DUMMYFUNCTION("""COMPUTED_VALUE"""),"Autohak")</f>
        <v>Autohak</v>
      </c>
    </row>
    <row r="8330">
      <c r="A8330" t="str">
        <f>IFERROR(__xludf.DUMMYFUNCTION("""COMPUTED_VALUE"""),"T83A")</f>
        <v>T83A</v>
      </c>
      <c r="B8330" s="226" t="str">
        <f>IFERROR(__xludf.DUMMYFUNCTION("""COMPUTED_VALUE"""),"27480")</f>
        <v>27480</v>
      </c>
      <c r="C8330" t="str">
        <f>IFERROR(__xludf.DUMMYFUNCTION("""COMPUTED_VALUE"""),"Autohak")</f>
        <v>Autohak</v>
      </c>
    </row>
    <row r="8331">
      <c r="A8331" t="str">
        <f>IFERROR(__xludf.DUMMYFUNCTION("""COMPUTED_VALUE"""),"T83V")</f>
        <v>T83V</v>
      </c>
      <c r="B8331" s="226" t="str">
        <f>IFERROR(__xludf.DUMMYFUNCTION("""COMPUTED_VALUE"""),"27794")</f>
        <v>27794</v>
      </c>
      <c r="C8331" t="str">
        <f>IFERROR(__xludf.DUMMYFUNCTION("""COMPUTED_VALUE"""),"Autohak")</f>
        <v>Autohak</v>
      </c>
    </row>
    <row r="8332">
      <c r="A8332" t="str">
        <f>IFERROR(__xludf.DUMMYFUNCTION("""COMPUTED_VALUE"""),"LN03V*")</f>
        <v>LN03V*</v>
      </c>
      <c r="B8332" s="226" t="str">
        <f>IFERROR(__xludf.DUMMYFUNCTION("""COMPUTED_VALUE"""),"28128")</f>
        <v>28128</v>
      </c>
      <c r="C8332" t="str">
        <f>IFERROR(__xludf.DUMMYFUNCTION("""COMPUTED_VALUE"""),"Autohak")</f>
        <v>Autohak</v>
      </c>
    </row>
    <row r="8333">
      <c r="A8333" t="str">
        <f>IFERROR(__xludf.DUMMYFUNCTION("""COMPUTED_VALUE"""),"LN03V*")</f>
        <v>LN03V*</v>
      </c>
      <c r="B8333" s="226" t="str">
        <f>IFERROR(__xludf.DUMMYFUNCTION("""COMPUTED_VALUE"""),"28128")</f>
        <v>28128</v>
      </c>
      <c r="C8333" t="str">
        <f>IFERROR(__xludf.DUMMYFUNCTION("""COMPUTED_VALUE"""),"Autohak")</f>
        <v>Autohak</v>
      </c>
    </row>
    <row r="8334">
      <c r="A8334" t="str">
        <f>IFERROR(__xludf.DUMMYFUNCTION("""COMPUTED_VALUE"""),"LN05V")</f>
        <v>LN05V</v>
      </c>
      <c r="B8334" s="226" t="str">
        <f>IFERROR(__xludf.DUMMYFUNCTION("""COMPUTED_VALUE"""),"28159")</f>
        <v>28159</v>
      </c>
      <c r="C8334" t="str">
        <f>IFERROR(__xludf.DUMMYFUNCTION("""COMPUTED_VALUE"""),"Autohak")</f>
        <v>Autohak</v>
      </c>
    </row>
    <row r="8335">
      <c r="A8335" t="str">
        <f>IFERROR(__xludf.DUMMYFUNCTION("""COMPUTED_VALUE"""),"LN05V")</f>
        <v>LN05V</v>
      </c>
      <c r="B8335" s="226" t="str">
        <f>IFERROR(__xludf.DUMMYFUNCTION("""COMPUTED_VALUE"""),"28159")</f>
        <v>28159</v>
      </c>
      <c r="C8335" t="str">
        <f>IFERROR(__xludf.DUMMYFUNCTION("""COMPUTED_VALUE"""),"Autohak")</f>
        <v>Autohak</v>
      </c>
    </row>
    <row r="8336">
      <c r="A8336" t="str">
        <f>IFERROR(__xludf.DUMMYFUNCTION("""COMPUTED_VALUE"""),"LN01")</f>
        <v>LN01</v>
      </c>
      <c r="B8336" s="226" t="str">
        <f>IFERROR(__xludf.DUMMYFUNCTION("""COMPUTED_VALUE"""),"28005")</f>
        <v>28005</v>
      </c>
      <c r="C8336" t="str">
        <f>IFERROR(__xludf.DUMMYFUNCTION("""COMPUTED_VALUE"""),"Autohak")</f>
        <v>Autohak</v>
      </c>
    </row>
    <row r="8337">
      <c r="A8337" t="str">
        <f>IFERROR(__xludf.DUMMYFUNCTION("""COMPUTED_VALUE"""),"LN01A")</f>
        <v>LN01A</v>
      </c>
      <c r="B8337" s="226" t="str">
        <f>IFERROR(__xludf.DUMMYFUNCTION("""COMPUTED_VALUE"""),"28104")</f>
        <v>28104</v>
      </c>
      <c r="C8337" t="str">
        <f>IFERROR(__xludf.DUMMYFUNCTION("""COMPUTED_VALUE"""),"Autohak")</f>
        <v>Autohak</v>
      </c>
    </row>
    <row r="8338">
      <c r="A8338" t="str">
        <f>IFERROR(__xludf.DUMMYFUNCTION("""COMPUTED_VALUE"""),"LN02")</f>
        <v>LN02</v>
      </c>
      <c r="B8338" s="226" t="str">
        <f>IFERROR(__xludf.DUMMYFUNCTION("""COMPUTED_VALUE"""),"28012")</f>
        <v>28012</v>
      </c>
      <c r="C8338" t="str">
        <f>IFERROR(__xludf.DUMMYFUNCTION("""COMPUTED_VALUE"""),"Autohak")</f>
        <v>Autohak</v>
      </c>
    </row>
    <row r="8339">
      <c r="A8339" t="str">
        <f>IFERROR(__xludf.DUMMYFUNCTION("""COMPUTED_VALUE"""),"LN02A")</f>
        <v>LN02A</v>
      </c>
      <c r="B8339" s="226" t="str">
        <f>IFERROR(__xludf.DUMMYFUNCTION("""COMPUTED_VALUE"""),"28111")</f>
        <v>28111</v>
      </c>
      <c r="C8339" t="str">
        <f>IFERROR(__xludf.DUMMYFUNCTION("""COMPUTED_VALUE"""),"Autohak")</f>
        <v>Autohak</v>
      </c>
    </row>
    <row r="8340">
      <c r="A8340" t="str">
        <f>IFERROR(__xludf.DUMMYFUNCTION("""COMPUTED_VALUE"""),"LN04")</f>
        <v>LN04</v>
      </c>
      <c r="B8340" s="226" t="str">
        <f>IFERROR(__xludf.DUMMYFUNCTION("""COMPUTED_VALUE"""),"28029")</f>
        <v>28029</v>
      </c>
      <c r="C8340" t="str">
        <f>IFERROR(__xludf.DUMMYFUNCTION("""COMPUTED_VALUE"""),"Autohak")</f>
        <v>Autohak</v>
      </c>
    </row>
    <row r="8341">
      <c r="A8341" t="str">
        <f>IFERROR(__xludf.DUMMYFUNCTION("""COMPUTED_VALUE"""),"LN04A")</f>
        <v>LN04A</v>
      </c>
      <c r="B8341" s="226" t="str">
        <f>IFERROR(__xludf.DUMMYFUNCTION("""COMPUTED_VALUE"""),"28135")</f>
        <v>28135</v>
      </c>
      <c r="C8341" t="str">
        <f>IFERROR(__xludf.DUMMYFUNCTION("""COMPUTED_VALUE"""),"Autohak")</f>
        <v>Autohak</v>
      </c>
    </row>
    <row r="8342">
      <c r="A8342" t="str">
        <f>IFERROR(__xludf.DUMMYFUNCTION("""COMPUTED_VALUE"""),"LN04V")</f>
        <v>LN04V</v>
      </c>
      <c r="B8342" s="226" t="str">
        <f>IFERROR(__xludf.DUMMYFUNCTION("""COMPUTED_VALUE"""),"28142")</f>
        <v>28142</v>
      </c>
      <c r="C8342" t="str">
        <f>IFERROR(__xludf.DUMMYFUNCTION("""COMPUTED_VALUE"""),"Autohak")</f>
        <v>Autohak</v>
      </c>
    </row>
    <row r="8343">
      <c r="A8343" t="str">
        <f>IFERROR(__xludf.DUMMYFUNCTION("""COMPUTED_VALUE"""),"LN03V*")</f>
        <v>LN03V*</v>
      </c>
      <c r="B8343" s="226" t="str">
        <f>IFERROR(__xludf.DUMMYFUNCTION("""COMPUTED_VALUE"""),"28128")</f>
        <v>28128</v>
      </c>
      <c r="C8343" t="str">
        <f>IFERROR(__xludf.DUMMYFUNCTION("""COMPUTED_VALUE"""),"Autohak")</f>
        <v>Autohak</v>
      </c>
    </row>
    <row r="8344">
      <c r="A8344" t="str">
        <f>IFERROR(__xludf.DUMMYFUNCTION("""COMPUTED_VALUE"""),"LN03V*")</f>
        <v>LN03V*</v>
      </c>
      <c r="B8344" s="226" t="str">
        <f>IFERROR(__xludf.DUMMYFUNCTION("""COMPUTED_VALUE"""),"28128")</f>
        <v>28128</v>
      </c>
      <c r="C8344" t="str">
        <f>IFERROR(__xludf.DUMMYFUNCTION("""COMPUTED_VALUE"""),"Autohak")</f>
        <v>Autohak</v>
      </c>
    </row>
    <row r="8345">
      <c r="A8345" t="str">
        <f>IFERROR(__xludf.DUMMYFUNCTION("""COMPUTED_VALUE"""),"LN03V*")</f>
        <v>LN03V*</v>
      </c>
      <c r="B8345" s="226" t="str">
        <f>IFERROR(__xludf.DUMMYFUNCTION("""COMPUTED_VALUE"""),"28128")</f>
        <v>28128</v>
      </c>
      <c r="C8345" t="str">
        <f>IFERROR(__xludf.DUMMYFUNCTION("""COMPUTED_VALUE"""),"Autohak")</f>
        <v>Autohak</v>
      </c>
    </row>
    <row r="8346">
      <c r="A8346" t="str">
        <f>IFERROR(__xludf.DUMMYFUNCTION("""COMPUTED_VALUE"""),"O89")</f>
        <v>O89</v>
      </c>
      <c r="B8346" s="226" t="str">
        <f>IFERROR(__xludf.DUMMYFUNCTION("""COMPUTED_VALUE"""),"63587")</f>
        <v>63587</v>
      </c>
      <c r="C8346" t="str">
        <f>IFERROR(__xludf.DUMMYFUNCTION("""COMPUTED_VALUE"""),"Autohak")</f>
        <v>Autohak</v>
      </c>
    </row>
    <row r="8347">
      <c r="A8347" t="str">
        <f>IFERROR(__xludf.DUMMYFUNCTION("""COMPUTED_VALUE"""),"O89A")</f>
        <v>O89A</v>
      </c>
      <c r="B8347" s="226" t="str">
        <f>IFERROR(__xludf.DUMMYFUNCTION("""COMPUTED_VALUE"""),"866564")</f>
        <v>866564</v>
      </c>
      <c r="C8347" t="str">
        <f>IFERROR(__xludf.DUMMYFUNCTION("""COMPUTED_VALUE"""),"Autohak")</f>
        <v>Autohak</v>
      </c>
    </row>
    <row r="8348">
      <c r="A8348" t="str">
        <f>IFERROR(__xludf.DUMMYFUNCTION("""COMPUTED_VALUE"""),"O89V")</f>
        <v>O89V</v>
      </c>
      <c r="B8348" s="226" t="str">
        <f>IFERROR(__xludf.DUMMYFUNCTION("""COMPUTED_VALUE"""),"866922")</f>
        <v>866922</v>
      </c>
      <c r="C8348" t="str">
        <f>IFERROR(__xludf.DUMMYFUNCTION("""COMPUTED_VALUE"""),"Autohak")</f>
        <v>Autohak</v>
      </c>
    </row>
    <row r="8349">
      <c r="A8349" t="str">
        <f>IFERROR(__xludf.DUMMYFUNCTION("""COMPUTED_VALUE"""),"O62")</f>
        <v>O62</v>
      </c>
      <c r="B8349" s="226" t="str">
        <f>IFERROR(__xludf.DUMMYFUNCTION("""COMPUTED_VALUE"""),"63327")</f>
        <v>63327</v>
      </c>
      <c r="C8349" t="str">
        <f>IFERROR(__xludf.DUMMYFUNCTION("""COMPUTED_VALUE"""),"Autohak")</f>
        <v>Autohak</v>
      </c>
    </row>
    <row r="8350">
      <c r="A8350" t="str">
        <f>IFERROR(__xludf.DUMMYFUNCTION("""COMPUTED_VALUE"""),"O62A")</f>
        <v>O62A</v>
      </c>
      <c r="B8350" s="226" t="str">
        <f>IFERROR(__xludf.DUMMYFUNCTION("""COMPUTED_VALUE"""),"66328")</f>
        <v>66328</v>
      </c>
      <c r="C8350" t="str">
        <f>IFERROR(__xludf.DUMMYFUNCTION("""COMPUTED_VALUE"""),"Autohak")</f>
        <v>Autohak</v>
      </c>
    </row>
    <row r="8351">
      <c r="A8351" t="str">
        <f>IFERROR(__xludf.DUMMYFUNCTION("""COMPUTED_VALUE"""),"O90")</f>
        <v>O90</v>
      </c>
      <c r="B8351" s="226" t="str">
        <f>IFERROR(__xludf.DUMMYFUNCTION("""COMPUTED_VALUE"""),"63594")</f>
        <v>63594</v>
      </c>
      <c r="C8351" t="str">
        <f>IFERROR(__xludf.DUMMYFUNCTION("""COMPUTED_VALUE"""),"Autohak")</f>
        <v>Autohak</v>
      </c>
    </row>
    <row r="8352">
      <c r="A8352" t="str">
        <f>IFERROR(__xludf.DUMMYFUNCTION("""COMPUTED_VALUE"""),"O90A")</f>
        <v>O90A</v>
      </c>
      <c r="B8352" s="226" t="str">
        <f>IFERROR(__xludf.DUMMYFUNCTION("""COMPUTED_VALUE"""),"66571")</f>
        <v>66571</v>
      </c>
      <c r="C8352" t="str">
        <f>IFERROR(__xludf.DUMMYFUNCTION("""COMPUTED_VALUE"""),"Autohak")</f>
        <v>Autohak</v>
      </c>
    </row>
    <row r="8353">
      <c r="A8353" t="str">
        <f>IFERROR(__xludf.DUMMYFUNCTION("""COMPUTED_VALUE"""),"O90V")</f>
        <v>O90V</v>
      </c>
      <c r="B8353" s="226" t="str">
        <f>IFERROR(__xludf.DUMMYFUNCTION("""COMPUTED_VALUE"""),"66885")</f>
        <v>66885</v>
      </c>
      <c r="C8353" t="str">
        <f>IFERROR(__xludf.DUMMYFUNCTION("""COMPUTED_VALUE"""),"Autohak")</f>
        <v>Autohak</v>
      </c>
    </row>
    <row r="8354">
      <c r="A8354" t="str">
        <f>IFERROR(__xludf.DUMMYFUNCTION("""COMPUTED_VALUE"""),"O80V")</f>
        <v>O80V</v>
      </c>
      <c r="B8354" s="226" t="str">
        <f>IFERROR(__xludf.DUMMYFUNCTION("""COMPUTED_VALUE"""),"66984")</f>
        <v>66984</v>
      </c>
      <c r="C8354" t="str">
        <f>IFERROR(__xludf.DUMMYFUNCTION("""COMPUTED_VALUE"""),"Autohak")</f>
        <v>Autohak</v>
      </c>
    </row>
    <row r="8355">
      <c r="A8355" t="str">
        <f>IFERROR(__xludf.DUMMYFUNCTION("""COMPUTED_VALUE"""),"O80V")</f>
        <v>O80V</v>
      </c>
      <c r="B8355" s="226" t="str">
        <f>IFERROR(__xludf.DUMMYFUNCTION("""COMPUTED_VALUE"""),"66984")</f>
        <v>66984</v>
      </c>
      <c r="C8355" t="str">
        <f>IFERROR(__xludf.DUMMYFUNCTION("""COMPUTED_VALUE"""),"Autohak")</f>
        <v>Autohak</v>
      </c>
    </row>
    <row r="8356">
      <c r="A8356" t="str">
        <f>IFERROR(__xludf.DUMMYFUNCTION("""COMPUTED_VALUE"""),"S15")</f>
        <v>S15</v>
      </c>
      <c r="B8356" s="226" t="str">
        <f>IFERROR(__xludf.DUMMYFUNCTION("""COMPUTED_VALUE"""),"10109")</f>
        <v>10109</v>
      </c>
      <c r="C8356" t="str">
        <f>IFERROR(__xludf.DUMMYFUNCTION("""COMPUTED_VALUE"""),"Autohak")</f>
        <v>Autohak</v>
      </c>
    </row>
    <row r="8357">
      <c r="A8357" t="str">
        <f>IFERROR(__xludf.DUMMYFUNCTION("""COMPUTED_VALUE"""),"S16")</f>
        <v>S16</v>
      </c>
      <c r="B8357" s="226" t="str">
        <f>IFERROR(__xludf.DUMMYFUNCTION("""COMPUTED_VALUE"""),"10116")</f>
        <v>10116</v>
      </c>
      <c r="C8357" t="str">
        <f>IFERROR(__xludf.DUMMYFUNCTION("""COMPUTED_VALUE"""),"Autohak")</f>
        <v>Autohak</v>
      </c>
    </row>
    <row r="8358">
      <c r="A8358" t="str">
        <f>IFERROR(__xludf.DUMMYFUNCTION("""COMPUTED_VALUE"""),"S14")</f>
        <v>S14</v>
      </c>
      <c r="B8358" s="226" t="str">
        <f>IFERROR(__xludf.DUMMYFUNCTION("""COMPUTED_VALUE"""),"10123")</f>
        <v>10123</v>
      </c>
      <c r="C8358" t="str">
        <f>IFERROR(__xludf.DUMMYFUNCTION("""COMPUTED_VALUE"""),"Autohak")</f>
        <v>Autohak</v>
      </c>
    </row>
    <row r="8359">
      <c r="A8359" t="str">
        <f>IFERROR(__xludf.DUMMYFUNCTION("""COMPUTED_VALUE"""),"N09")</f>
        <v>N09</v>
      </c>
      <c r="B8359" s="226" t="str">
        <f>IFERROR(__xludf.DUMMYFUNCTION("""COMPUTED_VALUE"""),"29033")</f>
        <v>29033</v>
      </c>
      <c r="C8359" t="str">
        <f>IFERROR(__xludf.DUMMYFUNCTION("""COMPUTED_VALUE"""),"Autohak")</f>
        <v>Autohak</v>
      </c>
    </row>
    <row r="8360">
      <c r="A8360" t="str">
        <f>IFERROR(__xludf.DUMMYFUNCTION("""COMPUTED_VALUE"""),"N04")</f>
        <v>N04</v>
      </c>
      <c r="B8360" s="226" t="str">
        <f>IFERROR(__xludf.DUMMYFUNCTION("""COMPUTED_VALUE"""),"29040")</f>
        <v>29040</v>
      </c>
      <c r="C8360" t="str">
        <f>IFERROR(__xludf.DUMMYFUNCTION("""COMPUTED_VALUE"""),"Autohak")</f>
        <v>Autohak</v>
      </c>
    </row>
    <row r="8361">
      <c r="A8361" t="str">
        <f>IFERROR(__xludf.DUMMYFUNCTION("""COMPUTED_VALUE"""),"N11")</f>
        <v>N11</v>
      </c>
      <c r="B8361" s="226" t="str">
        <f>IFERROR(__xludf.DUMMYFUNCTION("""COMPUTED_VALUE"""),"29187")</f>
        <v>29187</v>
      </c>
      <c r="C8361" t="str">
        <f>IFERROR(__xludf.DUMMYFUNCTION("""COMPUTED_VALUE"""),"Autohak")</f>
        <v>Autohak</v>
      </c>
    </row>
    <row r="8362">
      <c r="A8362" t="str">
        <f>IFERROR(__xludf.DUMMYFUNCTION("""COMPUTED_VALUE"""),"N11A")</f>
        <v>N11A</v>
      </c>
      <c r="B8362" s="226" t="str">
        <f>IFERROR(__xludf.DUMMYFUNCTION("""COMPUTED_VALUE"""),"29194")</f>
        <v>29194</v>
      </c>
      <c r="C8362" t="str">
        <f>IFERROR(__xludf.DUMMYFUNCTION("""COMPUTED_VALUE"""),"Autohak")</f>
        <v>Autohak</v>
      </c>
    </row>
    <row r="8363">
      <c r="A8363" t="str">
        <f>IFERROR(__xludf.DUMMYFUNCTION("""COMPUTED_VALUE"""),"N11V")</f>
        <v>N11V</v>
      </c>
      <c r="B8363" s="226" t="str">
        <f>IFERROR(__xludf.DUMMYFUNCTION("""COMPUTED_VALUE"""),"29200")</f>
        <v>29200</v>
      </c>
      <c r="C8363" t="str">
        <f>IFERROR(__xludf.DUMMYFUNCTION("""COMPUTED_VALUE"""),"Autohak")</f>
        <v>Autohak</v>
      </c>
    </row>
    <row r="8364">
      <c r="A8364" t="str">
        <f>IFERROR(__xludf.DUMMYFUNCTION("""COMPUTED_VALUE"""),"N10")</f>
        <v>N10</v>
      </c>
      <c r="B8364" s="226" t="str">
        <f>IFERROR(__xludf.DUMMYFUNCTION("""COMPUTED_VALUE"""),"29156")</f>
        <v>29156</v>
      </c>
      <c r="C8364" t="str">
        <f>IFERROR(__xludf.DUMMYFUNCTION("""COMPUTED_VALUE"""),"Autohak")</f>
        <v>Autohak</v>
      </c>
    </row>
    <row r="8365">
      <c r="A8365" t="str">
        <f>IFERROR(__xludf.DUMMYFUNCTION("""COMPUTED_VALUE"""),"N10A")</f>
        <v>N10A</v>
      </c>
      <c r="B8365" s="226" t="str">
        <f>IFERROR(__xludf.DUMMYFUNCTION("""COMPUTED_VALUE"""),"29163")</f>
        <v>29163</v>
      </c>
      <c r="C8365" t="str">
        <f>IFERROR(__xludf.DUMMYFUNCTION("""COMPUTED_VALUE"""),"Autohak")</f>
        <v>Autohak</v>
      </c>
    </row>
    <row r="8366">
      <c r="A8366" t="str">
        <f>IFERROR(__xludf.DUMMYFUNCTION("""COMPUTED_VALUE"""),"N10V")</f>
        <v>N10V</v>
      </c>
      <c r="B8366" s="226" t="str">
        <f>IFERROR(__xludf.DUMMYFUNCTION("""COMPUTED_VALUE"""),"29170")</f>
        <v>29170</v>
      </c>
      <c r="C8366" t="str">
        <f>IFERROR(__xludf.DUMMYFUNCTION("""COMPUTED_VALUE"""),"Autohak")</f>
        <v>Autohak</v>
      </c>
    </row>
    <row r="8367">
      <c r="A8367" t="str">
        <f>IFERROR(__xludf.DUMMYFUNCTION("""COMPUTED_VALUE"""),"C002")</f>
        <v>C002</v>
      </c>
      <c r="B8367" s="226" t="str">
        <f>IFERROR(__xludf.DUMMYFUNCTION("""COMPUTED_VALUE"""),"17115")</f>
        <v>17115</v>
      </c>
      <c r="C8367" t="str">
        <f>IFERROR(__xludf.DUMMYFUNCTION("""COMPUTED_VALUE"""),"Autohak")</f>
        <v>Autohak</v>
      </c>
    </row>
    <row r="8368">
      <c r="A8368" t="str">
        <f>IFERROR(__xludf.DUMMYFUNCTION("""COMPUTED_VALUE"""),"C002A")</f>
        <v>C002A</v>
      </c>
      <c r="B8368" s="226" t="str">
        <f>IFERROR(__xludf.DUMMYFUNCTION("""COMPUTED_VALUE"""),"19119")</f>
        <v>19119</v>
      </c>
      <c r="C8368" t="str">
        <f>IFERROR(__xludf.DUMMYFUNCTION("""COMPUTED_VALUE"""),"Autohak")</f>
        <v>Autohak</v>
      </c>
    </row>
    <row r="8369">
      <c r="A8369" t="str">
        <f>IFERROR(__xludf.DUMMYFUNCTION("""COMPUTED_VALUE"""),"M53")</f>
        <v>M53</v>
      </c>
      <c r="B8369" s="226" t="str">
        <f>IFERROR(__xludf.DUMMYFUNCTION("""COMPUTED_VALUE"""),"30114")</f>
        <v>30114</v>
      </c>
      <c r="C8369" t="str">
        <f>IFERROR(__xludf.DUMMYFUNCTION("""COMPUTED_VALUE"""),"Autohak")</f>
        <v>Autohak</v>
      </c>
    </row>
    <row r="8370">
      <c r="A8370" t="str">
        <f>IFERROR(__xludf.DUMMYFUNCTION("""COMPUTED_VALUE"""),"M53A")</f>
        <v>M53A</v>
      </c>
      <c r="B8370" s="226" t="str">
        <f>IFERROR(__xludf.DUMMYFUNCTION("""COMPUTED_VALUE"""),"31609")</f>
        <v>31609</v>
      </c>
      <c r="C8370" t="str">
        <f>IFERROR(__xludf.DUMMYFUNCTION("""COMPUTED_VALUE"""),"Autohak")</f>
        <v>Autohak</v>
      </c>
    </row>
    <row r="8371">
      <c r="A8371" t="str">
        <f>IFERROR(__xludf.DUMMYFUNCTION("""COMPUTED_VALUE"""),"M55")</f>
        <v>M55</v>
      </c>
      <c r="B8371" s="226" t="str">
        <f>IFERROR(__xludf.DUMMYFUNCTION("""COMPUTED_VALUE"""),"30138")</f>
        <v>30138</v>
      </c>
      <c r="C8371" t="str">
        <f>IFERROR(__xludf.DUMMYFUNCTION("""COMPUTED_VALUE"""),"Autohak")</f>
        <v>Autohak</v>
      </c>
    </row>
    <row r="8372">
      <c r="A8372" t="str">
        <f>IFERROR(__xludf.DUMMYFUNCTION("""COMPUTED_VALUE"""),"M55A")</f>
        <v>M55A</v>
      </c>
      <c r="B8372" s="226" t="str">
        <f>IFERROR(__xludf.DUMMYFUNCTION("""COMPUTED_VALUE"""),"31623")</f>
        <v>31623</v>
      </c>
      <c r="C8372" t="str">
        <f>IFERROR(__xludf.DUMMYFUNCTION("""COMPUTED_VALUE"""),"Autohak")</f>
        <v>Autohak</v>
      </c>
    </row>
    <row r="8373">
      <c r="A8373" t="str">
        <f>IFERROR(__xludf.DUMMYFUNCTION("""COMPUTED_VALUE"""),"M46")</f>
        <v>M46</v>
      </c>
      <c r="B8373" s="226" t="str">
        <f>IFERROR(__xludf.DUMMYFUNCTION("""COMPUTED_VALUE"""),"30008")</f>
        <v>30008</v>
      </c>
      <c r="C8373" t="str">
        <f>IFERROR(__xludf.DUMMYFUNCTION("""COMPUTED_VALUE"""),"Autohak")</f>
        <v>Autohak</v>
      </c>
    </row>
    <row r="8374">
      <c r="A8374" t="str">
        <f>IFERROR(__xludf.DUMMYFUNCTION("""COMPUTED_VALUE"""),"M46A")</f>
        <v>M46A</v>
      </c>
      <c r="B8374" s="226" t="str">
        <f>IFERROR(__xludf.DUMMYFUNCTION("""COMPUTED_VALUE"""),"31500")</f>
        <v>31500</v>
      </c>
      <c r="C8374" t="str">
        <f>IFERROR(__xludf.DUMMYFUNCTION("""COMPUTED_VALUE"""),"Autohak")</f>
        <v>Autohak</v>
      </c>
    </row>
    <row r="8375">
      <c r="A8375" t="str">
        <f>IFERROR(__xludf.DUMMYFUNCTION("""COMPUTED_VALUE"""),"M50")</f>
        <v>M50</v>
      </c>
      <c r="B8375" s="226" t="str">
        <f>IFERROR(__xludf.DUMMYFUNCTION("""COMPUTED_VALUE"""),"30084")</f>
        <v>30084</v>
      </c>
      <c r="C8375" t="str">
        <f>IFERROR(__xludf.DUMMYFUNCTION("""COMPUTED_VALUE"""),"Autohak")</f>
        <v>Autohak</v>
      </c>
    </row>
    <row r="8376">
      <c r="A8376" t="str">
        <f>IFERROR(__xludf.DUMMYFUNCTION("""COMPUTED_VALUE"""),"M50A")</f>
        <v>M50A</v>
      </c>
      <c r="B8376" s="226" t="str">
        <f>IFERROR(__xludf.DUMMYFUNCTION("""COMPUTED_VALUE"""),"31586")</f>
        <v>31586</v>
      </c>
      <c r="C8376" t="str">
        <f>IFERROR(__xludf.DUMMYFUNCTION("""COMPUTED_VALUE"""),"Autohak")</f>
        <v>Autohak</v>
      </c>
    </row>
    <row r="8377">
      <c r="A8377" t="str">
        <f>IFERROR(__xludf.DUMMYFUNCTION("""COMPUTED_VALUE"""),"M52")</f>
        <v>M52</v>
      </c>
      <c r="B8377" s="226" t="str">
        <f>IFERROR(__xludf.DUMMYFUNCTION("""COMPUTED_VALUE"""),"30107")</f>
        <v>30107</v>
      </c>
      <c r="C8377" t="str">
        <f>IFERROR(__xludf.DUMMYFUNCTION("""COMPUTED_VALUE"""),"Autohak")</f>
        <v>Autohak</v>
      </c>
    </row>
    <row r="8378">
      <c r="A8378" t="str">
        <f>IFERROR(__xludf.DUMMYFUNCTION("""COMPUTED_VALUE"""),"M52A")</f>
        <v>M52A</v>
      </c>
      <c r="B8378" s="226" t="str">
        <f>IFERROR(__xludf.DUMMYFUNCTION("""COMPUTED_VALUE"""),"31517")</f>
        <v>31517</v>
      </c>
      <c r="C8378" t="str">
        <f>IFERROR(__xludf.DUMMYFUNCTION("""COMPUTED_VALUE"""),"Autohak")</f>
        <v>Autohak</v>
      </c>
    </row>
    <row r="8379">
      <c r="A8379" t="str">
        <f>IFERROR(__xludf.DUMMYFUNCTION("""COMPUTED_VALUE"""),"M57")</f>
        <v>M57</v>
      </c>
      <c r="B8379" s="226" t="str">
        <f>IFERROR(__xludf.DUMMYFUNCTION("""COMPUTED_VALUE"""),"30152")</f>
        <v>30152</v>
      </c>
      <c r="C8379" t="str">
        <f>IFERROR(__xludf.DUMMYFUNCTION("""COMPUTED_VALUE"""),"Autohak")</f>
        <v>Autohak</v>
      </c>
    </row>
    <row r="8380">
      <c r="A8380" t="str">
        <f>IFERROR(__xludf.DUMMYFUNCTION("""COMPUTED_VALUE"""),"M57A")</f>
        <v>M57A</v>
      </c>
      <c r="B8380" s="226" t="str">
        <f>IFERROR(__xludf.DUMMYFUNCTION("""COMPUTED_VALUE"""),"31647")</f>
        <v>31647</v>
      </c>
      <c r="C8380" t="str">
        <f>IFERROR(__xludf.DUMMYFUNCTION("""COMPUTED_VALUE"""),"Autohak")</f>
        <v>Autohak</v>
      </c>
    </row>
    <row r="8381">
      <c r="A8381" t="str">
        <f>IFERROR(__xludf.DUMMYFUNCTION("""COMPUTED_VALUE"""),"M57V")</f>
        <v>M57V</v>
      </c>
      <c r="B8381" s="226" t="str">
        <f>IFERROR(__xludf.DUMMYFUNCTION("""COMPUTED_VALUE"""),"31982")</f>
        <v>31982</v>
      </c>
      <c r="C8381" t="str">
        <f>IFERROR(__xludf.DUMMYFUNCTION("""COMPUTED_VALUE"""),"Autohak")</f>
        <v>Autohak</v>
      </c>
    </row>
    <row r="8382">
      <c r="A8382" t="str">
        <f>IFERROR(__xludf.DUMMYFUNCTION("""COMPUTED_VALUE"""),"M64")</f>
        <v>M64</v>
      </c>
      <c r="B8382" s="226" t="str">
        <f>IFERROR(__xludf.DUMMYFUNCTION("""COMPUTED_VALUE"""),"830220")</f>
        <v>830220</v>
      </c>
      <c r="C8382" t="str">
        <f>IFERROR(__xludf.DUMMYFUNCTION("""COMPUTED_VALUE"""),"Autohak")</f>
        <v>Autohak</v>
      </c>
    </row>
    <row r="8383">
      <c r="A8383" t="str">
        <f>IFERROR(__xludf.DUMMYFUNCTION("""COMPUTED_VALUE"""),"M64A")</f>
        <v>M64A</v>
      </c>
      <c r="B8383" s="226" t="str">
        <f>IFERROR(__xludf.DUMMYFUNCTION("""COMPUTED_VALUE"""),"831715")</f>
        <v>831715</v>
      </c>
      <c r="C8383" t="str">
        <f>IFERROR(__xludf.DUMMYFUNCTION("""COMPUTED_VALUE"""),"Autohak")</f>
        <v>Autohak</v>
      </c>
    </row>
    <row r="8384">
      <c r="A8384" t="str">
        <f>IFERROR(__xludf.DUMMYFUNCTION("""COMPUTED_VALUE"""),"M64V")</f>
        <v>M64V</v>
      </c>
      <c r="B8384" s="226" t="str">
        <f>IFERROR(__xludf.DUMMYFUNCTION("""COMPUTED_VALUE"""),"931920")</f>
        <v>931920</v>
      </c>
      <c r="C8384" t="str">
        <f>IFERROR(__xludf.DUMMYFUNCTION("""COMPUTED_VALUE"""),"Autohak")</f>
        <v>Autohak</v>
      </c>
    </row>
    <row r="8385">
      <c r="A8385" t="str">
        <f>IFERROR(__xludf.DUMMYFUNCTION("""COMPUTED_VALUE"""),"M71")</f>
        <v>M71</v>
      </c>
      <c r="B8385" s="226" t="str">
        <f>IFERROR(__xludf.DUMMYFUNCTION("""COMPUTED_VALUE"""),"30299")</f>
        <v>30299</v>
      </c>
      <c r="C8385" t="str">
        <f>IFERROR(__xludf.DUMMYFUNCTION("""COMPUTED_VALUE"""),"Autohak")</f>
        <v>Autohak</v>
      </c>
    </row>
    <row r="8386">
      <c r="A8386" t="str">
        <f>IFERROR(__xludf.DUMMYFUNCTION("""COMPUTED_VALUE"""),"M71A")</f>
        <v>M71A</v>
      </c>
      <c r="B8386" s="226" t="str">
        <f>IFERROR(__xludf.DUMMYFUNCTION("""COMPUTED_VALUE"""),"31784")</f>
        <v>31784</v>
      </c>
      <c r="C8386" t="str">
        <f>IFERROR(__xludf.DUMMYFUNCTION("""COMPUTED_VALUE"""),"Autohak")</f>
        <v>Autohak</v>
      </c>
    </row>
    <row r="8387">
      <c r="A8387" t="str">
        <f>IFERROR(__xludf.DUMMYFUNCTION("""COMPUTED_VALUE"""),"M71V")</f>
        <v>M71V</v>
      </c>
      <c r="B8387" s="226" t="str">
        <f>IFERROR(__xludf.DUMMYFUNCTION("""COMPUTED_VALUE"""),"31838")</f>
        <v>31838</v>
      </c>
      <c r="C8387" t="str">
        <f>IFERROR(__xludf.DUMMYFUNCTION("""COMPUTED_VALUE"""),"Autohak")</f>
        <v>Autohak</v>
      </c>
    </row>
    <row r="8388">
      <c r="A8388" t="str">
        <f>IFERROR(__xludf.DUMMYFUNCTION("""COMPUTED_VALUE"""),"M59")</f>
        <v>M59</v>
      </c>
      <c r="B8388" s="226" t="str">
        <f>IFERROR(__xludf.DUMMYFUNCTION("""COMPUTED_VALUE"""),"30176")</f>
        <v>30176</v>
      </c>
      <c r="C8388" t="str">
        <f>IFERROR(__xludf.DUMMYFUNCTION("""COMPUTED_VALUE"""),"Autohak")</f>
        <v>Autohak</v>
      </c>
    </row>
    <row r="8389">
      <c r="A8389" t="str">
        <f>IFERROR(__xludf.DUMMYFUNCTION("""COMPUTED_VALUE"""),"M59A")</f>
        <v>M59A</v>
      </c>
      <c r="B8389" s="226" t="str">
        <f>IFERROR(__xludf.DUMMYFUNCTION("""COMPUTED_VALUE"""),"31661")</f>
        <v>31661</v>
      </c>
      <c r="C8389" t="str">
        <f>IFERROR(__xludf.DUMMYFUNCTION("""COMPUTED_VALUE"""),"Autohak")</f>
        <v>Autohak</v>
      </c>
    </row>
    <row r="8390">
      <c r="A8390" t="str">
        <f>IFERROR(__xludf.DUMMYFUNCTION("""COMPUTED_VALUE"""),"M59V")</f>
        <v>M59V</v>
      </c>
      <c r="B8390" s="226" t="str">
        <f>IFERROR(__xludf.DUMMYFUNCTION("""COMPUTED_VALUE"""),"31852")</f>
        <v>31852</v>
      </c>
      <c r="C8390" t="str">
        <f>IFERROR(__xludf.DUMMYFUNCTION("""COMPUTED_VALUE"""),"Autohak")</f>
        <v>Autohak</v>
      </c>
    </row>
    <row r="8391">
      <c r="A8391" t="str">
        <f>IFERROR(__xludf.DUMMYFUNCTION("""COMPUTED_VALUE"""),"M63")</f>
        <v>M63</v>
      </c>
      <c r="B8391" s="226" t="str">
        <f>IFERROR(__xludf.DUMMYFUNCTION("""COMPUTED_VALUE"""),"30213")</f>
        <v>30213</v>
      </c>
      <c r="C8391" t="str">
        <f>IFERROR(__xludf.DUMMYFUNCTION("""COMPUTED_VALUE"""),"Autohak")</f>
        <v>Autohak</v>
      </c>
    </row>
    <row r="8392">
      <c r="A8392" t="str">
        <f>IFERROR(__xludf.DUMMYFUNCTION("""COMPUTED_VALUE"""),"M63A")</f>
        <v>M63A</v>
      </c>
      <c r="B8392" s="226" t="str">
        <f>IFERROR(__xludf.DUMMYFUNCTION("""COMPUTED_VALUE"""),"31708")</f>
        <v>31708</v>
      </c>
      <c r="C8392" t="str">
        <f>IFERROR(__xludf.DUMMYFUNCTION("""COMPUTED_VALUE"""),"Autohak")</f>
        <v>Autohak</v>
      </c>
    </row>
    <row r="8393">
      <c r="A8393" t="str">
        <f>IFERROR(__xludf.DUMMYFUNCTION("""COMPUTED_VALUE"""),"M63V")</f>
        <v>M63V</v>
      </c>
      <c r="B8393" s="226" t="str">
        <f>IFERROR(__xludf.DUMMYFUNCTION("""COMPUTED_VALUE"""),"31937")</f>
        <v>31937</v>
      </c>
      <c r="C8393" t="str">
        <f>IFERROR(__xludf.DUMMYFUNCTION("""COMPUTED_VALUE"""),"Autohak")</f>
        <v>Autohak</v>
      </c>
    </row>
    <row r="8394">
      <c r="A8394" t="str">
        <f>IFERROR(__xludf.DUMMYFUNCTION("""COMPUTED_VALUE"""),"M70")</f>
        <v>M70</v>
      </c>
      <c r="B8394" s="226" t="str">
        <f>IFERROR(__xludf.DUMMYFUNCTION("""COMPUTED_VALUE"""),"30282")</f>
        <v>30282</v>
      </c>
      <c r="C8394" t="str">
        <f>IFERROR(__xludf.DUMMYFUNCTION("""COMPUTED_VALUE"""),"Autohak")</f>
        <v>Autohak</v>
      </c>
    </row>
    <row r="8395">
      <c r="A8395" t="str">
        <f>IFERROR(__xludf.DUMMYFUNCTION("""COMPUTED_VALUE"""),"M70A")</f>
        <v>M70A</v>
      </c>
      <c r="B8395" s="226" t="str">
        <f>IFERROR(__xludf.DUMMYFUNCTION("""COMPUTED_VALUE"""),"31777")</f>
        <v>31777</v>
      </c>
      <c r="C8395" t="str">
        <f>IFERROR(__xludf.DUMMYFUNCTION("""COMPUTED_VALUE"""),"Autohak")</f>
        <v>Autohak</v>
      </c>
    </row>
    <row r="8396">
      <c r="A8396" t="str">
        <f>IFERROR(__xludf.DUMMYFUNCTION("""COMPUTED_VALUE"""),"M70V")</f>
        <v>M70V</v>
      </c>
      <c r="B8396" s="226" t="str">
        <f>IFERROR(__xludf.DUMMYFUNCTION("""COMPUTED_VALUE"""),"31845")</f>
        <v>31845</v>
      </c>
      <c r="C8396" t="str">
        <f>IFERROR(__xludf.DUMMYFUNCTION("""COMPUTED_VALUE"""),"Autohak")</f>
        <v>Autohak</v>
      </c>
    </row>
    <row r="8397">
      <c r="A8397" t="str">
        <f>IFERROR(__xludf.DUMMYFUNCTION("""COMPUTED_VALUE"""),"M51")</f>
        <v>M51</v>
      </c>
      <c r="B8397" s="226" t="str">
        <f>IFERROR(__xludf.DUMMYFUNCTION("""COMPUTED_VALUE"""),"30091")</f>
        <v>30091</v>
      </c>
      <c r="C8397" t="str">
        <f>IFERROR(__xludf.DUMMYFUNCTION("""COMPUTED_VALUE"""),"Autohak")</f>
        <v>Autohak</v>
      </c>
    </row>
    <row r="8398">
      <c r="A8398" t="str">
        <f>IFERROR(__xludf.DUMMYFUNCTION("""COMPUTED_VALUE"""),"M51A")</f>
        <v>M51A</v>
      </c>
      <c r="B8398" s="226" t="str">
        <f>IFERROR(__xludf.DUMMYFUNCTION("""COMPUTED_VALUE"""),"31593")</f>
        <v>31593</v>
      </c>
      <c r="C8398" t="str">
        <f>IFERROR(__xludf.DUMMYFUNCTION("""COMPUTED_VALUE"""),"Autohak")</f>
        <v>Autohak</v>
      </c>
    </row>
    <row r="8399">
      <c r="A8399" t="str">
        <f>IFERROR(__xludf.DUMMYFUNCTION("""COMPUTED_VALUE"""),"M51V")</f>
        <v>M51V</v>
      </c>
      <c r="B8399" s="226" t="str">
        <f>IFERROR(__xludf.DUMMYFUNCTION("""COMPUTED_VALUE"""),"31906")</f>
        <v>31906</v>
      </c>
      <c r="C8399" t="str">
        <f>IFERROR(__xludf.DUMMYFUNCTION("""COMPUTED_VALUE"""),"Autohak")</f>
        <v>Autohak</v>
      </c>
    </row>
    <row r="8400">
      <c r="A8400" t="str">
        <f>IFERROR(__xludf.DUMMYFUNCTION("""COMPUTED_VALUE"""),"M66")</f>
        <v>M66</v>
      </c>
      <c r="B8400" s="226" t="str">
        <f>IFERROR(__xludf.DUMMYFUNCTION("""COMPUTED_VALUE"""),"30244")</f>
        <v>30244</v>
      </c>
      <c r="C8400" t="str">
        <f>IFERROR(__xludf.DUMMYFUNCTION("""COMPUTED_VALUE"""),"Autohak")</f>
        <v>Autohak</v>
      </c>
    </row>
    <row r="8401">
      <c r="A8401" t="str">
        <f>IFERROR(__xludf.DUMMYFUNCTION("""COMPUTED_VALUE"""),"M66A")</f>
        <v>M66A</v>
      </c>
      <c r="B8401" s="226" t="str">
        <f>IFERROR(__xludf.DUMMYFUNCTION("""COMPUTED_VALUE"""),"31739")</f>
        <v>31739</v>
      </c>
      <c r="C8401" t="str">
        <f>IFERROR(__xludf.DUMMYFUNCTION("""COMPUTED_VALUE"""),"Autohak")</f>
        <v>Autohak</v>
      </c>
    </row>
    <row r="8402">
      <c r="A8402" t="str">
        <f>IFERROR(__xludf.DUMMYFUNCTION("""COMPUTED_VALUE"""),"M66V")</f>
        <v>M66V</v>
      </c>
      <c r="B8402" s="226" t="str">
        <f>IFERROR(__xludf.DUMMYFUNCTION("""COMPUTED_VALUE"""),"31890")</f>
        <v>31890</v>
      </c>
      <c r="C8402" t="str">
        <f>IFERROR(__xludf.DUMMYFUNCTION("""COMPUTED_VALUE"""),"Autohak")</f>
        <v>Autohak</v>
      </c>
    </row>
    <row r="8403">
      <c r="A8403" t="str">
        <f>IFERROR(__xludf.DUMMYFUNCTION("""COMPUTED_VALUE"""),"M66")</f>
        <v>M66</v>
      </c>
      <c r="B8403" s="226" t="str">
        <f>IFERROR(__xludf.DUMMYFUNCTION("""COMPUTED_VALUE"""),"30244")</f>
        <v>30244</v>
      </c>
      <c r="C8403" t="str">
        <f>IFERROR(__xludf.DUMMYFUNCTION("""COMPUTED_VALUE"""),"Autohak")</f>
        <v>Autohak</v>
      </c>
    </row>
    <row r="8404">
      <c r="A8404" t="str">
        <f>IFERROR(__xludf.DUMMYFUNCTION("""COMPUTED_VALUE"""),"M66A")</f>
        <v>M66A</v>
      </c>
      <c r="B8404" s="226" t="str">
        <f>IFERROR(__xludf.DUMMYFUNCTION("""COMPUTED_VALUE"""),"31739")</f>
        <v>31739</v>
      </c>
      <c r="C8404" t="str">
        <f>IFERROR(__xludf.DUMMYFUNCTION("""COMPUTED_VALUE"""),"Autohak")</f>
        <v>Autohak</v>
      </c>
    </row>
    <row r="8405">
      <c r="A8405" t="str">
        <f>IFERROR(__xludf.DUMMYFUNCTION("""COMPUTED_VALUE"""),"M66V")</f>
        <v>M66V</v>
      </c>
      <c r="B8405" s="226" t="str">
        <f>IFERROR(__xludf.DUMMYFUNCTION("""COMPUTED_VALUE"""),"31890")</f>
        <v>31890</v>
      </c>
      <c r="C8405" t="str">
        <f>IFERROR(__xludf.DUMMYFUNCTION("""COMPUTED_VALUE"""),"Autohak")</f>
        <v>Autohak</v>
      </c>
    </row>
    <row r="8406">
      <c r="A8406" t="str">
        <f>IFERROR(__xludf.DUMMYFUNCTION("""COMPUTED_VALUE"""),"M11")</f>
        <v>M11</v>
      </c>
      <c r="B8406" s="226" t="str">
        <f>IFERROR(__xludf.DUMMYFUNCTION("""COMPUTED_VALUE"""),"30022")</f>
        <v>30022</v>
      </c>
      <c r="C8406" t="str">
        <f>IFERROR(__xludf.DUMMYFUNCTION("""COMPUTED_VALUE"""),"Autohak")</f>
        <v>Autohak</v>
      </c>
    </row>
    <row r="8407">
      <c r="A8407" t="str">
        <f>IFERROR(__xludf.DUMMYFUNCTION("""COMPUTED_VALUE"""),"M11A")</f>
        <v>M11A</v>
      </c>
      <c r="B8407" s="226" t="str">
        <f>IFERROR(__xludf.DUMMYFUNCTION("""COMPUTED_VALUE"""),"31524")</f>
        <v>31524</v>
      </c>
      <c r="C8407" t="str">
        <f>IFERROR(__xludf.DUMMYFUNCTION("""COMPUTED_VALUE"""),"Autohak")</f>
        <v>Autohak</v>
      </c>
    </row>
    <row r="8408">
      <c r="A8408" t="str">
        <f>IFERROR(__xludf.DUMMYFUNCTION("""COMPUTED_VALUE"""),"M44")</f>
        <v>M44</v>
      </c>
      <c r="B8408" s="226" t="str">
        <f>IFERROR(__xludf.DUMMYFUNCTION("""COMPUTED_VALUE"""),"30039")</f>
        <v>30039</v>
      </c>
      <c r="C8408" t="str">
        <f>IFERROR(__xludf.DUMMYFUNCTION("""COMPUTED_VALUE"""),"Autohak")</f>
        <v>Autohak</v>
      </c>
    </row>
    <row r="8409">
      <c r="A8409" t="str">
        <f>IFERROR(__xludf.DUMMYFUNCTION("""COMPUTED_VALUE"""),"M44A")</f>
        <v>M44A</v>
      </c>
      <c r="B8409" s="226" t="str">
        <f>IFERROR(__xludf.DUMMYFUNCTION("""COMPUTED_VALUE"""),"31531")</f>
        <v>31531</v>
      </c>
      <c r="C8409" t="str">
        <f>IFERROR(__xludf.DUMMYFUNCTION("""COMPUTED_VALUE"""),"Autohak")</f>
        <v>Autohak</v>
      </c>
    </row>
    <row r="8410">
      <c r="A8410" t="str">
        <f>IFERROR(__xludf.DUMMYFUNCTION("""COMPUTED_VALUE"""),"M47")</f>
        <v>M47</v>
      </c>
      <c r="B8410" s="226" t="str">
        <f>IFERROR(__xludf.DUMMYFUNCTION("""COMPUTED_VALUE"""),"30046")</f>
        <v>30046</v>
      </c>
      <c r="C8410" t="str">
        <f>IFERROR(__xludf.DUMMYFUNCTION("""COMPUTED_VALUE"""),"Autohak")</f>
        <v>Autohak</v>
      </c>
    </row>
    <row r="8411">
      <c r="A8411" t="str">
        <f>IFERROR(__xludf.DUMMYFUNCTION("""COMPUTED_VALUE"""),"M47A")</f>
        <v>M47A</v>
      </c>
      <c r="B8411" s="226" t="str">
        <f>IFERROR(__xludf.DUMMYFUNCTION("""COMPUTED_VALUE"""),"31548")</f>
        <v>31548</v>
      </c>
      <c r="C8411" t="str">
        <f>IFERROR(__xludf.DUMMYFUNCTION("""COMPUTED_VALUE"""),"Autohak")</f>
        <v>Autohak</v>
      </c>
    </row>
    <row r="8412">
      <c r="A8412" t="str">
        <f>IFERROR(__xludf.DUMMYFUNCTION("""COMPUTED_VALUE"""),"M54")</f>
        <v>M54</v>
      </c>
      <c r="B8412" s="226" t="str">
        <f>IFERROR(__xludf.DUMMYFUNCTION("""COMPUTED_VALUE"""),"30121")</f>
        <v>30121</v>
      </c>
      <c r="C8412" t="str">
        <f>IFERROR(__xludf.DUMMYFUNCTION("""COMPUTED_VALUE"""),"Autohak")</f>
        <v>Autohak</v>
      </c>
    </row>
    <row r="8413">
      <c r="A8413" t="str">
        <f>IFERROR(__xludf.DUMMYFUNCTION("""COMPUTED_VALUE"""),"M54A")</f>
        <v>M54A</v>
      </c>
      <c r="B8413" s="226" t="str">
        <f>IFERROR(__xludf.DUMMYFUNCTION("""COMPUTED_VALUE"""),"31616")</f>
        <v>31616</v>
      </c>
      <c r="C8413" t="str">
        <f>IFERROR(__xludf.DUMMYFUNCTION("""COMPUTED_VALUE"""),"Autohak")</f>
        <v>Autohak</v>
      </c>
    </row>
    <row r="8414">
      <c r="A8414" t="str">
        <f>IFERROR(__xludf.DUMMYFUNCTION("""COMPUTED_VALUE"""),"M49")</f>
        <v>M49</v>
      </c>
      <c r="B8414" s="226" t="str">
        <f>IFERROR(__xludf.DUMMYFUNCTION("""COMPUTED_VALUE"""),"30053")</f>
        <v>30053</v>
      </c>
      <c r="C8414" t="str">
        <f>IFERROR(__xludf.DUMMYFUNCTION("""COMPUTED_VALUE"""),"Autohak")</f>
        <v>Autohak</v>
      </c>
    </row>
    <row r="8415">
      <c r="A8415" t="str">
        <f>IFERROR(__xludf.DUMMYFUNCTION("""COMPUTED_VALUE"""),"M49A")</f>
        <v>M49A</v>
      </c>
      <c r="B8415" s="226" t="str">
        <f>IFERROR(__xludf.DUMMYFUNCTION("""COMPUTED_VALUE"""),"31555")</f>
        <v>31555</v>
      </c>
      <c r="C8415" t="str">
        <f>IFERROR(__xludf.DUMMYFUNCTION("""COMPUTED_VALUE"""),"Autohak")</f>
        <v>Autohak</v>
      </c>
    </row>
    <row r="8416">
      <c r="A8416" t="str">
        <f>IFERROR(__xludf.DUMMYFUNCTION("""COMPUTED_VALUE"""),"M56")</f>
        <v>M56</v>
      </c>
      <c r="B8416" s="226" t="str">
        <f>IFERROR(__xludf.DUMMYFUNCTION("""COMPUTED_VALUE"""),"30145")</f>
        <v>30145</v>
      </c>
      <c r="C8416" t="str">
        <f>IFERROR(__xludf.DUMMYFUNCTION("""COMPUTED_VALUE"""),"Autohak")</f>
        <v>Autohak</v>
      </c>
    </row>
    <row r="8417">
      <c r="A8417" t="str">
        <f>IFERROR(__xludf.DUMMYFUNCTION("""COMPUTED_VALUE"""),"M56A")</f>
        <v>M56A</v>
      </c>
      <c r="B8417" s="226" t="str">
        <f>IFERROR(__xludf.DUMMYFUNCTION("""COMPUTED_VALUE"""),"31630")</f>
        <v>31630</v>
      </c>
      <c r="C8417" t="str">
        <f>IFERROR(__xludf.DUMMYFUNCTION("""COMPUTED_VALUE"""),"Autohak")</f>
        <v>Autohak</v>
      </c>
    </row>
    <row r="8418">
      <c r="A8418" t="str">
        <f>IFERROR(__xludf.DUMMYFUNCTION("""COMPUTED_VALUE"""),"M56V")</f>
        <v>M56V</v>
      </c>
      <c r="B8418" s="226" t="str">
        <f>IFERROR(__xludf.DUMMYFUNCTION("""COMPUTED_VALUE"""),"31999")</f>
        <v>31999</v>
      </c>
      <c r="C8418" t="str">
        <f>IFERROR(__xludf.DUMMYFUNCTION("""COMPUTED_VALUE"""),"Autohak")</f>
        <v>Autohak</v>
      </c>
    </row>
    <row r="8419">
      <c r="A8419" t="str">
        <f>IFERROR(__xludf.DUMMYFUNCTION("""COMPUTED_VALUE"""),"M61")</f>
        <v>M61</v>
      </c>
      <c r="B8419" s="226" t="str">
        <f>IFERROR(__xludf.DUMMYFUNCTION("""COMPUTED_VALUE"""),"30190")</f>
        <v>30190</v>
      </c>
      <c r="C8419" t="str">
        <f>IFERROR(__xludf.DUMMYFUNCTION("""COMPUTED_VALUE"""),"Autohak")</f>
        <v>Autohak</v>
      </c>
    </row>
    <row r="8420">
      <c r="A8420" t="str">
        <f>IFERROR(__xludf.DUMMYFUNCTION("""COMPUTED_VALUE"""),"M61A")</f>
        <v>M61A</v>
      </c>
      <c r="B8420" s="226" t="str">
        <f>IFERROR(__xludf.DUMMYFUNCTION("""COMPUTED_VALUE"""),"31685")</f>
        <v>31685</v>
      </c>
      <c r="C8420" t="str">
        <f>IFERROR(__xludf.DUMMYFUNCTION("""COMPUTED_VALUE"""),"Autohak")</f>
        <v>Autohak</v>
      </c>
    </row>
    <row r="8421">
      <c r="A8421" t="str">
        <f>IFERROR(__xludf.DUMMYFUNCTION("""COMPUTED_VALUE"""),"M61V")</f>
        <v>M61V</v>
      </c>
      <c r="B8421" s="226" t="str">
        <f>IFERROR(__xludf.DUMMYFUNCTION("""COMPUTED_VALUE"""),"31951")</f>
        <v>31951</v>
      </c>
      <c r="C8421" t="str">
        <f>IFERROR(__xludf.DUMMYFUNCTION("""COMPUTED_VALUE"""),"Autohak")</f>
        <v>Autohak</v>
      </c>
    </row>
    <row r="8422">
      <c r="A8422" t="str">
        <f>IFERROR(__xludf.DUMMYFUNCTION("""COMPUTED_VALUE"""),"M61")</f>
        <v>M61</v>
      </c>
      <c r="B8422" s="226" t="str">
        <f>IFERROR(__xludf.DUMMYFUNCTION("""COMPUTED_VALUE"""),"30190")</f>
        <v>30190</v>
      </c>
      <c r="C8422" t="str">
        <f>IFERROR(__xludf.DUMMYFUNCTION("""COMPUTED_VALUE"""),"Autohak")</f>
        <v>Autohak</v>
      </c>
    </row>
    <row r="8423">
      <c r="A8423" t="str">
        <f>IFERROR(__xludf.DUMMYFUNCTION("""COMPUTED_VALUE"""),"M61A")</f>
        <v>M61A</v>
      </c>
      <c r="B8423" s="226" t="str">
        <f>IFERROR(__xludf.DUMMYFUNCTION("""COMPUTED_VALUE"""),"31685")</f>
        <v>31685</v>
      </c>
      <c r="C8423" t="str">
        <f>IFERROR(__xludf.DUMMYFUNCTION("""COMPUTED_VALUE"""),"Autohak")</f>
        <v>Autohak</v>
      </c>
    </row>
    <row r="8424">
      <c r="A8424" t="str">
        <f>IFERROR(__xludf.DUMMYFUNCTION("""COMPUTED_VALUE"""),"M61V")</f>
        <v>M61V</v>
      </c>
      <c r="B8424" s="226" t="str">
        <f>IFERROR(__xludf.DUMMYFUNCTION("""COMPUTED_VALUE"""),"31951")</f>
        <v>31951</v>
      </c>
      <c r="C8424" t="str">
        <f>IFERROR(__xludf.DUMMYFUNCTION("""COMPUTED_VALUE"""),"Autohak")</f>
        <v>Autohak</v>
      </c>
    </row>
    <row r="8425">
      <c r="A8425" t="str">
        <f>IFERROR(__xludf.DUMMYFUNCTION("""COMPUTED_VALUE"""),"M48")</f>
        <v>M48</v>
      </c>
      <c r="B8425" s="226" t="str">
        <f>IFERROR(__xludf.DUMMYFUNCTION("""COMPUTED_VALUE"""),"30060")</f>
        <v>30060</v>
      </c>
      <c r="C8425" t="str">
        <f>IFERROR(__xludf.DUMMYFUNCTION("""COMPUTED_VALUE"""),"Autohak")</f>
        <v>Autohak</v>
      </c>
    </row>
    <row r="8426">
      <c r="A8426" t="str">
        <f>IFERROR(__xludf.DUMMYFUNCTION("""COMPUTED_VALUE"""),"M48A")</f>
        <v>M48A</v>
      </c>
      <c r="B8426" s="226" t="str">
        <f>IFERROR(__xludf.DUMMYFUNCTION("""COMPUTED_VALUE"""),"31562")</f>
        <v>31562</v>
      </c>
      <c r="C8426" t="str">
        <f>IFERROR(__xludf.DUMMYFUNCTION("""COMPUTED_VALUE"""),"Autohak")</f>
        <v>Autohak</v>
      </c>
    </row>
    <row r="8427">
      <c r="A8427" t="str">
        <f>IFERROR(__xludf.DUMMYFUNCTION("""COMPUTED_VALUE"""),"M67")</f>
        <v>M67</v>
      </c>
      <c r="B8427" s="226" t="str">
        <f>IFERROR(__xludf.DUMMYFUNCTION("""COMPUTED_VALUE"""),"30251")</f>
        <v>30251</v>
      </c>
      <c r="C8427" t="str">
        <f>IFERROR(__xludf.DUMMYFUNCTION("""COMPUTED_VALUE"""),"Autohak")</f>
        <v>Autohak</v>
      </c>
    </row>
    <row r="8428">
      <c r="A8428" t="str">
        <f>IFERROR(__xludf.DUMMYFUNCTION("""COMPUTED_VALUE"""),"M67A")</f>
        <v>M67A</v>
      </c>
      <c r="B8428" s="226" t="str">
        <f>IFERROR(__xludf.DUMMYFUNCTION("""COMPUTED_VALUE"""),"31746")</f>
        <v>31746</v>
      </c>
      <c r="C8428" t="str">
        <f>IFERROR(__xludf.DUMMYFUNCTION("""COMPUTED_VALUE"""),"Autohak")</f>
        <v>Autohak</v>
      </c>
    </row>
    <row r="8429">
      <c r="A8429" t="str">
        <f>IFERROR(__xludf.DUMMYFUNCTION("""COMPUTED_VALUE"""),"M67V")</f>
        <v>M67V</v>
      </c>
      <c r="B8429" s="226" t="str">
        <f>IFERROR(__xludf.DUMMYFUNCTION("""COMPUTED_VALUE"""),"31883")</f>
        <v>31883</v>
      </c>
      <c r="C8429" t="str">
        <f>IFERROR(__xludf.DUMMYFUNCTION("""COMPUTED_VALUE"""),"Autohak")</f>
        <v>Autohak</v>
      </c>
    </row>
    <row r="8430">
      <c r="A8430" t="str">
        <f>IFERROR(__xludf.DUMMYFUNCTION("""COMPUTED_VALUE"""),"M62")</f>
        <v>M62</v>
      </c>
      <c r="B8430" s="226" t="str">
        <f>IFERROR(__xludf.DUMMYFUNCTION("""COMPUTED_VALUE"""),"30206")</f>
        <v>30206</v>
      </c>
      <c r="C8430" t="str">
        <f>IFERROR(__xludf.DUMMYFUNCTION("""COMPUTED_VALUE"""),"Autohak")</f>
        <v>Autohak</v>
      </c>
    </row>
    <row r="8431">
      <c r="A8431" t="str">
        <f>IFERROR(__xludf.DUMMYFUNCTION("""COMPUTED_VALUE"""),"M62A")</f>
        <v>M62A</v>
      </c>
      <c r="B8431" s="226" t="str">
        <f>IFERROR(__xludf.DUMMYFUNCTION("""COMPUTED_VALUE"""),"31692")</f>
        <v>31692</v>
      </c>
      <c r="C8431" t="str">
        <f>IFERROR(__xludf.DUMMYFUNCTION("""COMPUTED_VALUE"""),"Autohak")</f>
        <v>Autohak</v>
      </c>
    </row>
    <row r="8432">
      <c r="A8432" t="str">
        <f>IFERROR(__xludf.DUMMYFUNCTION("""COMPUTED_VALUE"""),"M62V")</f>
        <v>M62V</v>
      </c>
      <c r="B8432" s="226" t="str">
        <f>IFERROR(__xludf.DUMMYFUNCTION("""COMPUTED_VALUE"""),"31944")</f>
        <v>31944</v>
      </c>
      <c r="C8432" t="str">
        <f>IFERROR(__xludf.DUMMYFUNCTION("""COMPUTED_VALUE"""),"Autohak")</f>
        <v>Autohak</v>
      </c>
    </row>
    <row r="8433">
      <c r="A8433" t="str">
        <f>IFERROR(__xludf.DUMMYFUNCTION("""COMPUTED_VALUE"""),"M62")</f>
        <v>M62</v>
      </c>
      <c r="B8433" s="226" t="str">
        <f>IFERROR(__xludf.DUMMYFUNCTION("""COMPUTED_VALUE"""),"30206")</f>
        <v>30206</v>
      </c>
      <c r="C8433" t="str">
        <f>IFERROR(__xludf.DUMMYFUNCTION("""COMPUTED_VALUE"""),"Autohak")</f>
        <v>Autohak</v>
      </c>
    </row>
    <row r="8434">
      <c r="A8434" t="str">
        <f>IFERROR(__xludf.DUMMYFUNCTION("""COMPUTED_VALUE"""),"M62A")</f>
        <v>M62A</v>
      </c>
      <c r="B8434" s="226" t="str">
        <f>IFERROR(__xludf.DUMMYFUNCTION("""COMPUTED_VALUE"""),"31692")</f>
        <v>31692</v>
      </c>
      <c r="C8434" t="str">
        <f>IFERROR(__xludf.DUMMYFUNCTION("""COMPUTED_VALUE"""),"Autohak")</f>
        <v>Autohak</v>
      </c>
    </row>
    <row r="8435">
      <c r="A8435" t="str">
        <f>IFERROR(__xludf.DUMMYFUNCTION("""COMPUTED_VALUE"""),"M62V")</f>
        <v>M62V</v>
      </c>
      <c r="B8435" s="226" t="str">
        <f>IFERROR(__xludf.DUMMYFUNCTION("""COMPUTED_VALUE"""),"31944")</f>
        <v>31944</v>
      </c>
      <c r="C8435" t="str">
        <f>IFERROR(__xludf.DUMMYFUNCTION("""COMPUTED_VALUE"""),"Autohak")</f>
        <v>Autohak</v>
      </c>
    </row>
    <row r="8436">
      <c r="A8436" t="str">
        <f>IFERROR(__xludf.DUMMYFUNCTION("""COMPUTED_VALUE"""),"C59")</f>
        <v>C59</v>
      </c>
      <c r="B8436" s="226" t="str">
        <f>IFERROR(__xludf.DUMMYFUNCTION("""COMPUTED_VALUE"""),"17573")</f>
        <v>17573</v>
      </c>
      <c r="C8436" t="str">
        <f>IFERROR(__xludf.DUMMYFUNCTION("""COMPUTED_VALUE"""),"Autohak")</f>
        <v>Autohak</v>
      </c>
    </row>
    <row r="8437">
      <c r="A8437" t="str">
        <f>IFERROR(__xludf.DUMMYFUNCTION("""COMPUTED_VALUE"""),"M68")</f>
        <v>M68</v>
      </c>
      <c r="B8437" s="226" t="str">
        <f>IFERROR(__xludf.DUMMYFUNCTION("""COMPUTED_VALUE"""),"30268")</f>
        <v>30268</v>
      </c>
      <c r="C8437" t="str">
        <f>IFERROR(__xludf.DUMMYFUNCTION("""COMPUTED_VALUE"""),"Autohak")</f>
        <v>Autohak</v>
      </c>
    </row>
    <row r="8438">
      <c r="A8438" t="str">
        <f>IFERROR(__xludf.DUMMYFUNCTION("""COMPUTED_VALUE"""),"M68A")</f>
        <v>M68A</v>
      </c>
      <c r="B8438" s="226" t="str">
        <f>IFERROR(__xludf.DUMMYFUNCTION("""COMPUTED_VALUE"""),"31753")</f>
        <v>31753</v>
      </c>
      <c r="C8438" t="str">
        <f>IFERROR(__xludf.DUMMYFUNCTION("""COMPUTED_VALUE"""),"Autohak")</f>
        <v>Autohak</v>
      </c>
    </row>
    <row r="8439">
      <c r="A8439" t="str">
        <f>IFERROR(__xludf.DUMMYFUNCTION("""COMPUTED_VALUE"""),"M68V")</f>
        <v>M68V</v>
      </c>
      <c r="B8439" s="226" t="str">
        <f>IFERROR(__xludf.DUMMYFUNCTION("""COMPUTED_VALUE"""),"31876")</f>
        <v>31876</v>
      </c>
      <c r="C8439" t="str">
        <f>IFERROR(__xludf.DUMMYFUNCTION("""COMPUTED_VALUE"""),"Autohak")</f>
        <v>Autohak</v>
      </c>
    </row>
    <row r="8440">
      <c r="A8440" t="str">
        <f>IFERROR(__xludf.DUMMYFUNCTION("""COMPUTED_VALUE"""),"M72")</f>
        <v>M72</v>
      </c>
      <c r="B8440" s="226" t="str">
        <f>IFERROR(__xludf.DUMMYFUNCTION("""COMPUTED_VALUE"""),"30305")</f>
        <v>30305</v>
      </c>
      <c r="C8440" t="str">
        <f>IFERROR(__xludf.DUMMYFUNCTION("""COMPUTED_VALUE"""),"Autohak")</f>
        <v>Autohak</v>
      </c>
    </row>
    <row r="8441">
      <c r="A8441" t="str">
        <f>IFERROR(__xludf.DUMMYFUNCTION("""COMPUTED_VALUE"""),"M72A")</f>
        <v>M72A</v>
      </c>
      <c r="B8441" s="226" t="str">
        <f>IFERROR(__xludf.DUMMYFUNCTION("""COMPUTED_VALUE"""),"31791")</f>
        <v>31791</v>
      </c>
      <c r="C8441" t="str">
        <f>IFERROR(__xludf.DUMMYFUNCTION("""COMPUTED_VALUE"""),"Autohak")</f>
        <v>Autohak</v>
      </c>
    </row>
    <row r="8442">
      <c r="A8442" t="str">
        <f>IFERROR(__xludf.DUMMYFUNCTION("""COMPUTED_VALUE"""),"M72V")</f>
        <v>M72V</v>
      </c>
      <c r="B8442" s="226" t="str">
        <f>IFERROR(__xludf.DUMMYFUNCTION("""COMPUTED_VALUE"""),"31821")</f>
        <v>31821</v>
      </c>
      <c r="C8442" t="str">
        <f>IFERROR(__xludf.DUMMYFUNCTION("""COMPUTED_VALUE"""),"Autohak")</f>
        <v>Autohak</v>
      </c>
    </row>
    <row r="8443">
      <c r="A8443" t="str">
        <f>IFERROR(__xludf.DUMMYFUNCTION("""COMPUTED_VALUE"""),"M60")</f>
        <v>M60</v>
      </c>
      <c r="B8443" s="226" t="str">
        <f>IFERROR(__xludf.DUMMYFUNCTION("""COMPUTED_VALUE"""),"30183")</f>
        <v>30183</v>
      </c>
      <c r="C8443" t="str">
        <f>IFERROR(__xludf.DUMMYFUNCTION("""COMPUTED_VALUE"""),"Autohak")</f>
        <v>Autohak</v>
      </c>
    </row>
    <row r="8444">
      <c r="A8444" t="str">
        <f>IFERROR(__xludf.DUMMYFUNCTION("""COMPUTED_VALUE"""),"M60A")</f>
        <v>M60A</v>
      </c>
      <c r="B8444" s="226" t="str">
        <f>IFERROR(__xludf.DUMMYFUNCTION("""COMPUTED_VALUE"""),"31678")</f>
        <v>31678</v>
      </c>
      <c r="C8444" t="str">
        <f>IFERROR(__xludf.DUMMYFUNCTION("""COMPUTED_VALUE"""),"Autohak")</f>
        <v>Autohak</v>
      </c>
    </row>
    <row r="8445">
      <c r="A8445" t="str">
        <f>IFERROR(__xludf.DUMMYFUNCTION("""COMPUTED_VALUE"""),"M60V")</f>
        <v>M60V</v>
      </c>
      <c r="B8445" s="226" t="str">
        <f>IFERROR(__xludf.DUMMYFUNCTION("""COMPUTED_VALUE"""),"31968")</f>
        <v>31968</v>
      </c>
      <c r="C8445" t="str">
        <f>IFERROR(__xludf.DUMMYFUNCTION("""COMPUTED_VALUE"""),"Autohak")</f>
        <v>Autohak</v>
      </c>
    </row>
    <row r="8446">
      <c r="A8446" t="str">
        <f>IFERROR(__xludf.DUMMYFUNCTION("""COMPUTED_VALUE"""),"M69")</f>
        <v>M69</v>
      </c>
      <c r="B8446" s="226" t="str">
        <f>IFERROR(__xludf.DUMMYFUNCTION("""COMPUTED_VALUE"""),"30275")</f>
        <v>30275</v>
      </c>
      <c r="C8446" t="str">
        <f>IFERROR(__xludf.DUMMYFUNCTION("""COMPUTED_VALUE"""),"Autohak")</f>
        <v>Autohak</v>
      </c>
    </row>
    <row r="8447">
      <c r="A8447" t="str">
        <f>IFERROR(__xludf.DUMMYFUNCTION("""COMPUTED_VALUE"""),"M69A")</f>
        <v>M69A</v>
      </c>
      <c r="B8447" s="226" t="str">
        <f>IFERROR(__xludf.DUMMYFUNCTION("""COMPUTED_VALUE"""),"31760")</f>
        <v>31760</v>
      </c>
      <c r="C8447" t="str">
        <f>IFERROR(__xludf.DUMMYFUNCTION("""COMPUTED_VALUE"""),"Autohak")</f>
        <v>Autohak</v>
      </c>
    </row>
    <row r="8448">
      <c r="A8448" t="str">
        <f>IFERROR(__xludf.DUMMYFUNCTION("""COMPUTED_VALUE"""),"M69V")</f>
        <v>M69V</v>
      </c>
      <c r="B8448" s="226" t="str">
        <f>IFERROR(__xludf.DUMMYFUNCTION("""COMPUTED_VALUE"""),"31869")</f>
        <v>31869</v>
      </c>
      <c r="C8448" t="str">
        <f>IFERROR(__xludf.DUMMYFUNCTION("""COMPUTED_VALUE"""),"Autohak")</f>
        <v>Autohak</v>
      </c>
    </row>
    <row r="8449">
      <c r="A8449" t="str">
        <f>IFERROR(__xludf.DUMMYFUNCTION("""COMPUTED_VALUE"""),"M58")</f>
        <v>M58</v>
      </c>
      <c r="B8449" s="226" t="str">
        <f>IFERROR(__xludf.DUMMYFUNCTION("""COMPUTED_VALUE"""),"30169")</f>
        <v>30169</v>
      </c>
      <c r="C8449" t="str">
        <f>IFERROR(__xludf.DUMMYFUNCTION("""COMPUTED_VALUE"""),"Autohak")</f>
        <v>Autohak</v>
      </c>
    </row>
    <row r="8450">
      <c r="A8450" t="str">
        <f>IFERROR(__xludf.DUMMYFUNCTION("""COMPUTED_VALUE"""),"M58A")</f>
        <v>M58A</v>
      </c>
      <c r="B8450" s="226" t="str">
        <f>IFERROR(__xludf.DUMMYFUNCTION("""COMPUTED_VALUE"""),"31654")</f>
        <v>31654</v>
      </c>
      <c r="C8450" t="str">
        <f>IFERROR(__xludf.DUMMYFUNCTION("""COMPUTED_VALUE"""),"Autohak")</f>
        <v>Autohak</v>
      </c>
    </row>
    <row r="8451">
      <c r="A8451" t="str">
        <f>IFERROR(__xludf.DUMMYFUNCTION("""COMPUTED_VALUE"""),"M58V")</f>
        <v>M58V</v>
      </c>
      <c r="B8451" s="226" t="str">
        <f>IFERROR(__xludf.DUMMYFUNCTION("""COMPUTED_VALUE"""),"31975")</f>
        <v>31975</v>
      </c>
      <c r="C8451" t="str">
        <f>IFERROR(__xludf.DUMMYFUNCTION("""COMPUTED_VALUE"""),"Autohak")</f>
        <v>Autohak</v>
      </c>
    </row>
    <row r="8452">
      <c r="A8452" t="str">
        <f>IFERROR(__xludf.DUMMYFUNCTION("""COMPUTED_VALUE"""),"M65")</f>
        <v>M65</v>
      </c>
      <c r="B8452" s="226" t="str">
        <f>IFERROR(__xludf.DUMMYFUNCTION("""COMPUTED_VALUE"""),"30237")</f>
        <v>30237</v>
      </c>
      <c r="C8452" t="str">
        <f>IFERROR(__xludf.DUMMYFUNCTION("""COMPUTED_VALUE"""),"Autohak")</f>
        <v>Autohak</v>
      </c>
    </row>
    <row r="8453">
      <c r="A8453" t="str">
        <f>IFERROR(__xludf.DUMMYFUNCTION("""COMPUTED_VALUE"""),"M65A")</f>
        <v>M65A</v>
      </c>
      <c r="B8453" s="226" t="str">
        <f>IFERROR(__xludf.DUMMYFUNCTION("""COMPUTED_VALUE"""),"31722")</f>
        <v>31722</v>
      </c>
      <c r="C8453" t="str">
        <f>IFERROR(__xludf.DUMMYFUNCTION("""COMPUTED_VALUE"""),"Autohak")</f>
        <v>Autohak</v>
      </c>
    </row>
    <row r="8454">
      <c r="A8454" t="str">
        <f>IFERROR(__xludf.DUMMYFUNCTION("""COMPUTED_VALUE"""),"M65V")</f>
        <v>M65V</v>
      </c>
      <c r="B8454" s="226" t="str">
        <f>IFERROR(__xludf.DUMMYFUNCTION("""COMPUTED_VALUE"""),"31913")</f>
        <v>31913</v>
      </c>
      <c r="C8454" t="str">
        <f>IFERROR(__xludf.DUMMYFUNCTION("""COMPUTED_VALUE"""),"Autohak")</f>
        <v>Autohak</v>
      </c>
    </row>
    <row r="8455">
      <c r="A8455" t="str">
        <f>IFERROR(__xludf.DUMMYFUNCTION("""COMPUTED_VALUE"""),"M43")</f>
        <v>M43</v>
      </c>
      <c r="B8455" s="226" t="str">
        <f>IFERROR(__xludf.DUMMYFUNCTION("""COMPUTED_VALUE"""),"30077")</f>
        <v>30077</v>
      </c>
      <c r="C8455" t="str">
        <f>IFERROR(__xludf.DUMMYFUNCTION("""COMPUTED_VALUE"""),"Autohak")</f>
        <v>Autohak</v>
      </c>
    </row>
    <row r="8456">
      <c r="A8456" t="str">
        <f>IFERROR(__xludf.DUMMYFUNCTION("""COMPUTED_VALUE"""),"M43A")</f>
        <v>M43A</v>
      </c>
      <c r="B8456" s="226" t="str">
        <f>IFERROR(__xludf.DUMMYFUNCTION("""COMPUTED_VALUE"""),"31579")</f>
        <v>31579</v>
      </c>
      <c r="C8456" t="str">
        <f>IFERROR(__xludf.DUMMYFUNCTION("""COMPUTED_VALUE"""),"Autohak")</f>
        <v>Autohak</v>
      </c>
    </row>
    <row r="8457">
      <c r="A8457" t="str">
        <f>IFERROR(__xludf.DUMMYFUNCTION("""COMPUTED_VALUE"""),"C45")</f>
        <v>C45</v>
      </c>
      <c r="B8457" s="226" t="str">
        <f>IFERROR(__xludf.DUMMYFUNCTION("""COMPUTED_VALUE"""),"17238")</f>
        <v>17238</v>
      </c>
      <c r="C8457" t="str">
        <f>IFERROR(__xludf.DUMMYFUNCTION("""COMPUTED_VALUE"""),"Autohak")</f>
        <v>Autohak</v>
      </c>
    </row>
    <row r="8458">
      <c r="A8458" t="str">
        <f>IFERROR(__xludf.DUMMYFUNCTION("""COMPUTED_VALUE"""),"C45A")</f>
        <v>C45A</v>
      </c>
      <c r="B8458" s="226" t="str">
        <f>IFERROR(__xludf.DUMMYFUNCTION("""COMPUTED_VALUE"""),"19232")</f>
        <v>19232</v>
      </c>
      <c r="C8458" t="str">
        <f>IFERROR(__xludf.DUMMYFUNCTION("""COMPUTED_VALUE"""),"Autohak")</f>
        <v>Autohak</v>
      </c>
    </row>
    <row r="8459">
      <c r="A8459" t="str">
        <f>IFERROR(__xludf.DUMMYFUNCTION("""COMPUTED_VALUE"""),"D02")</f>
        <v>D02</v>
      </c>
      <c r="B8459" s="226" t="str">
        <f>IFERROR(__xludf.DUMMYFUNCTION("""COMPUTED_VALUE"""),"32026")</f>
        <v>32026</v>
      </c>
      <c r="C8459" t="str">
        <f>IFERROR(__xludf.DUMMYFUNCTION("""COMPUTED_VALUE"""),"Autohak")</f>
        <v>Autohak</v>
      </c>
    </row>
    <row r="8460">
      <c r="A8460" t="str">
        <f>IFERROR(__xludf.DUMMYFUNCTION("""COMPUTED_VALUE"""),"D02A")</f>
        <v>D02A</v>
      </c>
      <c r="B8460" s="226" t="str">
        <f>IFERROR(__xludf.DUMMYFUNCTION("""COMPUTED_VALUE"""),"34020")</f>
        <v>34020</v>
      </c>
      <c r="C8460" t="str">
        <f>IFERROR(__xludf.DUMMYFUNCTION("""COMPUTED_VALUE"""),"Autohak")</f>
        <v>Autohak</v>
      </c>
    </row>
    <row r="8461">
      <c r="A8461" t="str">
        <f>IFERROR(__xludf.DUMMYFUNCTION("""COMPUTED_VALUE"""),"D04")</f>
        <v>D04</v>
      </c>
      <c r="B8461" s="226" t="str">
        <f>IFERROR(__xludf.DUMMYFUNCTION("""COMPUTED_VALUE"""),"32040")</f>
        <v>32040</v>
      </c>
      <c r="C8461" t="str">
        <f>IFERROR(__xludf.DUMMYFUNCTION("""COMPUTED_VALUE"""),"Autohak")</f>
        <v>Autohak</v>
      </c>
    </row>
    <row r="8462">
      <c r="A8462" t="str">
        <f>IFERROR(__xludf.DUMMYFUNCTION("""COMPUTED_VALUE"""),"D04")</f>
        <v>D04</v>
      </c>
      <c r="B8462" s="226" t="str">
        <f>IFERROR(__xludf.DUMMYFUNCTION("""COMPUTED_VALUE"""),"32040")</f>
        <v>32040</v>
      </c>
      <c r="C8462" t="str">
        <f>IFERROR(__xludf.DUMMYFUNCTION("""COMPUTED_VALUE"""),"Autohak")</f>
        <v>Autohak</v>
      </c>
    </row>
    <row r="8463">
      <c r="A8463" t="str">
        <f>IFERROR(__xludf.DUMMYFUNCTION("""COMPUTED_VALUE"""),"D05")</f>
        <v>D05</v>
      </c>
      <c r="B8463" s="226" t="str">
        <f>IFERROR(__xludf.DUMMYFUNCTION("""COMPUTED_VALUE"""),"32057")</f>
        <v>32057</v>
      </c>
      <c r="C8463" t="str">
        <f>IFERROR(__xludf.DUMMYFUNCTION("""COMPUTED_VALUE"""),"Autohak")</f>
        <v>Autohak</v>
      </c>
    </row>
    <row r="8464">
      <c r="A8464" t="str">
        <f>IFERROR(__xludf.DUMMYFUNCTION("""COMPUTED_VALUE"""),"D28")</f>
        <v>D28</v>
      </c>
      <c r="B8464" s="226" t="str">
        <f>IFERROR(__xludf.DUMMYFUNCTION("""COMPUTED_VALUE"""),"32149")</f>
        <v>32149</v>
      </c>
      <c r="C8464" t="str">
        <f>IFERROR(__xludf.DUMMYFUNCTION("""COMPUTED_VALUE"""),"Autohak")</f>
        <v>Autohak</v>
      </c>
    </row>
    <row r="8465">
      <c r="A8465" t="str">
        <f>IFERROR(__xludf.DUMMYFUNCTION("""COMPUTED_VALUE"""),"D28A")</f>
        <v>D28A</v>
      </c>
      <c r="B8465" s="226" t="str">
        <f>IFERROR(__xludf.DUMMYFUNCTION("""COMPUTED_VALUE"""),"34143")</f>
        <v>34143</v>
      </c>
      <c r="C8465" t="str">
        <f>IFERROR(__xludf.DUMMYFUNCTION("""COMPUTED_VALUE"""),"Autohak")</f>
        <v>Autohak</v>
      </c>
    </row>
    <row r="8466">
      <c r="A8466" t="str">
        <f>IFERROR(__xludf.DUMMYFUNCTION("""COMPUTED_VALUE"""),"D32")</f>
        <v>D32</v>
      </c>
      <c r="B8466" s="226" t="str">
        <f>IFERROR(__xludf.DUMMYFUNCTION("""COMPUTED_VALUE"""),"32224")</f>
        <v>32224</v>
      </c>
      <c r="C8466" t="str">
        <f>IFERROR(__xludf.DUMMYFUNCTION("""COMPUTED_VALUE"""),"Autohak")</f>
        <v>Autohak</v>
      </c>
    </row>
    <row r="8467">
      <c r="A8467" t="str">
        <f>IFERROR(__xludf.DUMMYFUNCTION("""COMPUTED_VALUE"""),"D32A")</f>
        <v>D32A</v>
      </c>
      <c r="B8467" s="226" t="str">
        <f>IFERROR(__xludf.DUMMYFUNCTION("""COMPUTED_VALUE"""),"34228")</f>
        <v>34228</v>
      </c>
      <c r="C8467" t="str">
        <f>IFERROR(__xludf.DUMMYFUNCTION("""COMPUTED_VALUE"""),"Autohak")</f>
        <v>Autohak</v>
      </c>
    </row>
    <row r="8468">
      <c r="A8468" t="str">
        <f>IFERROR(__xludf.DUMMYFUNCTION("""COMPUTED_VALUE"""),"D32V")</f>
        <v>D32V</v>
      </c>
      <c r="B8468" s="226" t="str">
        <f>IFERROR(__xludf.DUMMYFUNCTION("""COMPUTED_VALUE"""),"34907")</f>
        <v>34907</v>
      </c>
      <c r="C8468" t="str">
        <f>IFERROR(__xludf.DUMMYFUNCTION("""COMPUTED_VALUE"""),"Autohak")</f>
        <v>Autohak</v>
      </c>
    </row>
    <row r="8469">
      <c r="A8469" t="str">
        <f>IFERROR(__xludf.DUMMYFUNCTION("""COMPUTED_VALUE"""),"D45")</f>
        <v>D45</v>
      </c>
      <c r="B8469" s="226" t="str">
        <f>IFERROR(__xludf.DUMMYFUNCTION("""COMPUTED_VALUE"""),"32361")</f>
        <v>32361</v>
      </c>
      <c r="C8469" t="str">
        <f>IFERROR(__xludf.DUMMYFUNCTION("""COMPUTED_VALUE"""),"Autohak")</f>
        <v>Autohak</v>
      </c>
    </row>
    <row r="8470">
      <c r="A8470" t="str">
        <f>IFERROR(__xludf.DUMMYFUNCTION("""COMPUTED_VALUE"""),"D45A")</f>
        <v>D45A</v>
      </c>
      <c r="B8470" s="226" t="str">
        <f>IFERROR(__xludf.DUMMYFUNCTION("""COMPUTED_VALUE"""),"34358")</f>
        <v>34358</v>
      </c>
      <c r="C8470" t="str">
        <f>IFERROR(__xludf.DUMMYFUNCTION("""COMPUTED_VALUE"""),"Autohak")</f>
        <v>Autohak</v>
      </c>
    </row>
    <row r="8471">
      <c r="A8471" t="str">
        <f>IFERROR(__xludf.DUMMYFUNCTION("""COMPUTED_VALUE"""),"D45V")</f>
        <v>D45V</v>
      </c>
      <c r="B8471" s="226" t="str">
        <f>IFERROR(__xludf.DUMMYFUNCTION("""COMPUTED_VALUE"""),"34921")</f>
        <v>34921</v>
      </c>
      <c r="C8471" t="str">
        <f>IFERROR(__xludf.DUMMYFUNCTION("""COMPUTED_VALUE"""),"Autohak")</f>
        <v>Autohak</v>
      </c>
    </row>
    <row r="8472">
      <c r="A8472" t="str">
        <f>IFERROR(__xludf.DUMMYFUNCTION("""COMPUTED_VALUE"""),"D32")</f>
        <v>D32</v>
      </c>
      <c r="B8472" s="226" t="str">
        <f>IFERROR(__xludf.DUMMYFUNCTION("""COMPUTED_VALUE"""),"32224")</f>
        <v>32224</v>
      </c>
      <c r="C8472" t="str">
        <f>IFERROR(__xludf.DUMMYFUNCTION("""COMPUTED_VALUE"""),"Autohak")</f>
        <v>Autohak</v>
      </c>
    </row>
    <row r="8473">
      <c r="A8473" t="str">
        <f>IFERROR(__xludf.DUMMYFUNCTION("""COMPUTED_VALUE"""),"D32A")</f>
        <v>D32A</v>
      </c>
      <c r="B8473" s="226" t="str">
        <f>IFERROR(__xludf.DUMMYFUNCTION("""COMPUTED_VALUE"""),"34228")</f>
        <v>34228</v>
      </c>
      <c r="C8473" t="str">
        <f>IFERROR(__xludf.DUMMYFUNCTION("""COMPUTED_VALUE"""),"Autohak")</f>
        <v>Autohak</v>
      </c>
    </row>
    <row r="8474">
      <c r="A8474" t="str">
        <f>IFERROR(__xludf.DUMMYFUNCTION("""COMPUTED_VALUE"""),"D32V")</f>
        <v>D32V</v>
      </c>
      <c r="B8474" s="226" t="str">
        <f>IFERROR(__xludf.DUMMYFUNCTION("""COMPUTED_VALUE"""),"34907")</f>
        <v>34907</v>
      </c>
      <c r="C8474" t="str">
        <f>IFERROR(__xludf.DUMMYFUNCTION("""COMPUTED_VALUE"""),"Autohak")</f>
        <v>Autohak</v>
      </c>
    </row>
    <row r="8475">
      <c r="A8475" t="str">
        <f>IFERROR(__xludf.DUMMYFUNCTION("""COMPUTED_VALUE"""),"D45")</f>
        <v>D45</v>
      </c>
      <c r="B8475" s="226" t="str">
        <f>IFERROR(__xludf.DUMMYFUNCTION("""COMPUTED_VALUE"""),"32361")</f>
        <v>32361</v>
      </c>
      <c r="C8475" t="str">
        <f>IFERROR(__xludf.DUMMYFUNCTION("""COMPUTED_VALUE"""),"Autohak")</f>
        <v>Autohak</v>
      </c>
    </row>
    <row r="8476">
      <c r="A8476" t="str">
        <f>IFERROR(__xludf.DUMMYFUNCTION("""COMPUTED_VALUE"""),"D45A")</f>
        <v>D45A</v>
      </c>
      <c r="B8476" s="226" t="str">
        <f>IFERROR(__xludf.DUMMYFUNCTION("""COMPUTED_VALUE"""),"34358")</f>
        <v>34358</v>
      </c>
      <c r="C8476" t="str">
        <f>IFERROR(__xludf.DUMMYFUNCTION("""COMPUTED_VALUE"""),"Autohak")</f>
        <v>Autohak</v>
      </c>
    </row>
    <row r="8477">
      <c r="A8477" t="str">
        <f>IFERROR(__xludf.DUMMYFUNCTION("""COMPUTED_VALUE"""),"D45V")</f>
        <v>D45V</v>
      </c>
      <c r="B8477" s="226" t="str">
        <f>IFERROR(__xludf.DUMMYFUNCTION("""COMPUTED_VALUE"""),"34921")</f>
        <v>34921</v>
      </c>
      <c r="C8477" t="str">
        <f>IFERROR(__xludf.DUMMYFUNCTION("""COMPUTED_VALUE"""),"Autohak")</f>
        <v>Autohak</v>
      </c>
    </row>
    <row r="8478">
      <c r="A8478" t="str">
        <f>IFERROR(__xludf.DUMMYFUNCTION("""COMPUTED_VALUE"""),"D14")</f>
        <v>D14</v>
      </c>
      <c r="B8478" s="226" t="str">
        <f>IFERROR(__xludf.DUMMYFUNCTION("""COMPUTED_VALUE"""),"32156")</f>
        <v>32156</v>
      </c>
      <c r="C8478" t="str">
        <f>IFERROR(__xludf.DUMMYFUNCTION("""COMPUTED_VALUE"""),"Autohak")</f>
        <v>Autohak</v>
      </c>
    </row>
    <row r="8479">
      <c r="A8479" t="str">
        <f>IFERROR(__xludf.DUMMYFUNCTION("""COMPUTED_VALUE"""),"D14A")</f>
        <v>D14A</v>
      </c>
      <c r="B8479" s="226" t="str">
        <f>IFERROR(__xludf.DUMMYFUNCTION("""COMPUTED_VALUE"""),"34150")</f>
        <v>34150</v>
      </c>
      <c r="C8479" t="str">
        <f>IFERROR(__xludf.DUMMYFUNCTION("""COMPUTED_VALUE"""),"Autohak")</f>
        <v>Autohak</v>
      </c>
    </row>
    <row r="8480">
      <c r="A8480" t="str">
        <f>IFERROR(__xludf.DUMMYFUNCTION("""COMPUTED_VALUE"""),"D29")</f>
        <v>D29</v>
      </c>
      <c r="B8480" s="226" t="str">
        <f>IFERROR(__xludf.DUMMYFUNCTION("""COMPUTED_VALUE"""),"32163")</f>
        <v>32163</v>
      </c>
      <c r="C8480" t="str">
        <f>IFERROR(__xludf.DUMMYFUNCTION("""COMPUTED_VALUE"""),"Autohak")</f>
        <v>Autohak</v>
      </c>
    </row>
    <row r="8481">
      <c r="A8481" t="str">
        <f>IFERROR(__xludf.DUMMYFUNCTION("""COMPUTED_VALUE"""),"D29A")</f>
        <v>D29A</v>
      </c>
      <c r="B8481" s="226" t="str">
        <f>IFERROR(__xludf.DUMMYFUNCTION("""COMPUTED_VALUE"""),"34167")</f>
        <v>34167</v>
      </c>
      <c r="C8481" t="str">
        <f>IFERROR(__xludf.DUMMYFUNCTION("""COMPUTED_VALUE"""),"Autohak")</f>
        <v>Autohak</v>
      </c>
    </row>
    <row r="8482">
      <c r="A8482" t="str">
        <f>IFERROR(__xludf.DUMMYFUNCTION("""COMPUTED_VALUE"""),"D29V")</f>
        <v>D29V</v>
      </c>
      <c r="B8482" s="226" t="str">
        <f>IFERROR(__xludf.DUMMYFUNCTION("""COMPUTED_VALUE"""),"34983")</f>
        <v>34983</v>
      </c>
      <c r="C8482" t="str">
        <f>IFERROR(__xludf.DUMMYFUNCTION("""COMPUTED_VALUE"""),"Autohak")</f>
        <v>Autohak</v>
      </c>
    </row>
    <row r="8483">
      <c r="A8483" t="str">
        <f>IFERROR(__xludf.DUMMYFUNCTION("""COMPUTED_VALUE"""),"D38")</f>
        <v>D38</v>
      </c>
      <c r="B8483" s="226" t="str">
        <f>IFERROR(__xludf.DUMMYFUNCTION("""COMPUTED_VALUE"""),"32293")</f>
        <v>32293</v>
      </c>
      <c r="C8483" t="str">
        <f>IFERROR(__xludf.DUMMYFUNCTION("""COMPUTED_VALUE"""),"Autohak")</f>
        <v>Autohak</v>
      </c>
    </row>
    <row r="8484">
      <c r="A8484" t="str">
        <f>IFERROR(__xludf.DUMMYFUNCTION("""COMPUTED_VALUE"""),"D38A")</f>
        <v>D38A</v>
      </c>
      <c r="B8484" s="226" t="str">
        <f>IFERROR(__xludf.DUMMYFUNCTION("""COMPUTED_VALUE"""),"34297")</f>
        <v>34297</v>
      </c>
      <c r="C8484" t="str">
        <f>IFERROR(__xludf.DUMMYFUNCTION("""COMPUTED_VALUE"""),"Autohak")</f>
        <v>Autohak</v>
      </c>
    </row>
    <row r="8485">
      <c r="A8485" t="str">
        <f>IFERROR(__xludf.DUMMYFUNCTION("""COMPUTED_VALUE"""),"D38V")</f>
        <v>D38V</v>
      </c>
      <c r="B8485" s="226" t="str">
        <f>IFERROR(__xludf.DUMMYFUNCTION("""COMPUTED_VALUE"""),"34891")</f>
        <v>34891</v>
      </c>
      <c r="C8485" t="str">
        <f>IFERROR(__xludf.DUMMYFUNCTION("""COMPUTED_VALUE"""),"Autohak")</f>
        <v>Autohak</v>
      </c>
    </row>
    <row r="8486">
      <c r="A8486" t="str">
        <f>IFERROR(__xludf.DUMMYFUNCTION("""COMPUTED_VALUE"""),"D48")</f>
        <v>D48</v>
      </c>
      <c r="B8486" s="226" t="str">
        <f>IFERROR(__xludf.DUMMYFUNCTION("""COMPUTED_VALUE"""),"32392")</f>
        <v>32392</v>
      </c>
      <c r="C8486" t="str">
        <f>IFERROR(__xludf.DUMMYFUNCTION("""COMPUTED_VALUE"""),"Autohak")</f>
        <v>Autohak</v>
      </c>
    </row>
    <row r="8487">
      <c r="A8487" t="str">
        <f>IFERROR(__xludf.DUMMYFUNCTION("""COMPUTED_VALUE"""),"D48A")</f>
        <v>D48A</v>
      </c>
      <c r="B8487" s="226" t="str">
        <f>IFERROR(__xludf.DUMMYFUNCTION("""COMPUTED_VALUE"""),"34389")</f>
        <v>34389</v>
      </c>
      <c r="C8487" t="str">
        <f>IFERROR(__xludf.DUMMYFUNCTION("""COMPUTED_VALUE"""),"Autohak")</f>
        <v>Autohak</v>
      </c>
    </row>
    <row r="8488">
      <c r="A8488" t="str">
        <f>IFERROR(__xludf.DUMMYFUNCTION("""COMPUTED_VALUE"""),"D48V")</f>
        <v>D48V</v>
      </c>
      <c r="B8488" s="226" t="str">
        <f>IFERROR(__xludf.DUMMYFUNCTION("""COMPUTED_VALUE"""),"34877")</f>
        <v>34877</v>
      </c>
      <c r="C8488" t="str">
        <f>IFERROR(__xludf.DUMMYFUNCTION("""COMPUTED_VALUE"""),"Autohak")</f>
        <v>Autohak</v>
      </c>
    </row>
    <row r="8489">
      <c r="A8489" t="str">
        <f>IFERROR(__xludf.DUMMYFUNCTION("""COMPUTED_VALUE"""),"D48")</f>
        <v>D48</v>
      </c>
      <c r="B8489" s="226" t="str">
        <f>IFERROR(__xludf.DUMMYFUNCTION("""COMPUTED_VALUE"""),"32392")</f>
        <v>32392</v>
      </c>
      <c r="C8489" t="str">
        <f>IFERROR(__xludf.DUMMYFUNCTION("""COMPUTED_VALUE"""),"Autohak")</f>
        <v>Autohak</v>
      </c>
    </row>
    <row r="8490">
      <c r="A8490" t="str">
        <f>IFERROR(__xludf.DUMMYFUNCTION("""COMPUTED_VALUE"""),"D48A")</f>
        <v>D48A</v>
      </c>
      <c r="B8490" s="226" t="str">
        <f>IFERROR(__xludf.DUMMYFUNCTION("""COMPUTED_VALUE"""),"34389")</f>
        <v>34389</v>
      </c>
      <c r="C8490" t="str">
        <f>IFERROR(__xludf.DUMMYFUNCTION("""COMPUTED_VALUE"""),"Autohak")</f>
        <v>Autohak</v>
      </c>
    </row>
    <row r="8491">
      <c r="A8491" t="str">
        <f>IFERROR(__xludf.DUMMYFUNCTION("""COMPUTED_VALUE"""),"D48V")</f>
        <v>D48V</v>
      </c>
      <c r="B8491" s="226" t="str">
        <f>IFERROR(__xludf.DUMMYFUNCTION("""COMPUTED_VALUE"""),"34877")</f>
        <v>34877</v>
      </c>
      <c r="C8491" t="str">
        <f>IFERROR(__xludf.DUMMYFUNCTION("""COMPUTED_VALUE"""),"Autohak")</f>
        <v>Autohak</v>
      </c>
    </row>
    <row r="8492">
      <c r="A8492" t="str">
        <f>IFERROR(__xludf.DUMMYFUNCTION("""COMPUTED_VALUE"""),"D14")</f>
        <v>D14</v>
      </c>
      <c r="B8492" s="226" t="str">
        <f>IFERROR(__xludf.DUMMYFUNCTION("""COMPUTED_VALUE"""),"32156")</f>
        <v>32156</v>
      </c>
      <c r="C8492" t="str">
        <f>IFERROR(__xludf.DUMMYFUNCTION("""COMPUTED_VALUE"""),"Autohak")</f>
        <v>Autohak</v>
      </c>
    </row>
    <row r="8493">
      <c r="A8493" t="str">
        <f>IFERROR(__xludf.DUMMYFUNCTION("""COMPUTED_VALUE"""),"D14A")</f>
        <v>D14A</v>
      </c>
      <c r="B8493" s="226" t="str">
        <f>IFERROR(__xludf.DUMMYFUNCTION("""COMPUTED_VALUE"""),"34150")</f>
        <v>34150</v>
      </c>
      <c r="C8493" t="str">
        <f>IFERROR(__xludf.DUMMYFUNCTION("""COMPUTED_VALUE"""),"Autohak")</f>
        <v>Autohak</v>
      </c>
    </row>
    <row r="8494">
      <c r="A8494" t="str">
        <f>IFERROR(__xludf.DUMMYFUNCTION("""COMPUTED_VALUE"""),"D29")</f>
        <v>D29</v>
      </c>
      <c r="B8494" s="226" t="str">
        <f>IFERROR(__xludf.DUMMYFUNCTION("""COMPUTED_VALUE"""),"32163")</f>
        <v>32163</v>
      </c>
      <c r="C8494" t="str">
        <f>IFERROR(__xludf.DUMMYFUNCTION("""COMPUTED_VALUE"""),"Autohak")</f>
        <v>Autohak</v>
      </c>
    </row>
    <row r="8495">
      <c r="A8495" t="str">
        <f>IFERROR(__xludf.DUMMYFUNCTION("""COMPUTED_VALUE"""),"D29A")</f>
        <v>D29A</v>
      </c>
      <c r="B8495" s="226" t="str">
        <f>IFERROR(__xludf.DUMMYFUNCTION("""COMPUTED_VALUE"""),"34167")</f>
        <v>34167</v>
      </c>
      <c r="C8495" t="str">
        <f>IFERROR(__xludf.DUMMYFUNCTION("""COMPUTED_VALUE"""),"Autohak")</f>
        <v>Autohak</v>
      </c>
    </row>
    <row r="8496">
      <c r="A8496" t="str">
        <f>IFERROR(__xludf.DUMMYFUNCTION("""COMPUTED_VALUE"""),"D29V")</f>
        <v>D29V</v>
      </c>
      <c r="B8496" s="226" t="str">
        <f>IFERROR(__xludf.DUMMYFUNCTION("""COMPUTED_VALUE"""),"34983")</f>
        <v>34983</v>
      </c>
      <c r="C8496" t="str">
        <f>IFERROR(__xludf.DUMMYFUNCTION("""COMPUTED_VALUE"""),"Autohak")</f>
        <v>Autohak</v>
      </c>
    </row>
    <row r="8497">
      <c r="A8497" t="str">
        <f>IFERROR(__xludf.DUMMYFUNCTION("""COMPUTED_VALUE"""),"D38")</f>
        <v>D38</v>
      </c>
      <c r="B8497" s="226" t="str">
        <f>IFERROR(__xludf.DUMMYFUNCTION("""COMPUTED_VALUE"""),"32293")</f>
        <v>32293</v>
      </c>
      <c r="C8497" t="str">
        <f>IFERROR(__xludf.DUMMYFUNCTION("""COMPUTED_VALUE"""),"Autohak")</f>
        <v>Autohak</v>
      </c>
    </row>
    <row r="8498">
      <c r="A8498" t="str">
        <f>IFERROR(__xludf.DUMMYFUNCTION("""COMPUTED_VALUE"""),"D38A")</f>
        <v>D38A</v>
      </c>
      <c r="B8498" s="226" t="str">
        <f>IFERROR(__xludf.DUMMYFUNCTION("""COMPUTED_VALUE"""),"34297")</f>
        <v>34297</v>
      </c>
      <c r="C8498" t="str">
        <f>IFERROR(__xludf.DUMMYFUNCTION("""COMPUTED_VALUE"""),"Autohak")</f>
        <v>Autohak</v>
      </c>
    </row>
    <row r="8499">
      <c r="A8499" t="str">
        <f>IFERROR(__xludf.DUMMYFUNCTION("""COMPUTED_VALUE"""),"D38V")</f>
        <v>D38V</v>
      </c>
      <c r="B8499" s="226" t="str">
        <f>IFERROR(__xludf.DUMMYFUNCTION("""COMPUTED_VALUE"""),"34891")</f>
        <v>34891</v>
      </c>
      <c r="C8499" t="str">
        <f>IFERROR(__xludf.DUMMYFUNCTION("""COMPUTED_VALUE"""),"Autohak")</f>
        <v>Autohak</v>
      </c>
    </row>
    <row r="8500">
      <c r="A8500" t="str">
        <f>IFERROR(__xludf.DUMMYFUNCTION("""COMPUTED_VALUE"""),"D58")</f>
        <v>D58</v>
      </c>
      <c r="B8500" s="226" t="str">
        <f>IFERROR(__xludf.DUMMYFUNCTION("""COMPUTED_VALUE"""),"32491")</f>
        <v>32491</v>
      </c>
      <c r="C8500" t="str">
        <f>IFERROR(__xludf.DUMMYFUNCTION("""COMPUTED_VALUE"""),"Autohak")</f>
        <v>Autohak</v>
      </c>
    </row>
    <row r="8501">
      <c r="A8501" t="str">
        <f>IFERROR(__xludf.DUMMYFUNCTION("""COMPUTED_VALUE"""),"D58A")</f>
        <v>D58A</v>
      </c>
      <c r="B8501" s="226" t="str">
        <f>IFERROR(__xludf.DUMMYFUNCTION("""COMPUTED_VALUE"""),"34471")</f>
        <v>34471</v>
      </c>
      <c r="C8501" t="str">
        <f>IFERROR(__xludf.DUMMYFUNCTION("""COMPUTED_VALUE"""),"Autohak")</f>
        <v>Autohak</v>
      </c>
    </row>
    <row r="8502">
      <c r="A8502" t="str">
        <f>IFERROR(__xludf.DUMMYFUNCTION("""COMPUTED_VALUE"""),"D58V")</f>
        <v>D58V</v>
      </c>
      <c r="B8502" s="226" t="str">
        <f>IFERROR(__xludf.DUMMYFUNCTION("""COMPUTED_VALUE"""),"34778")</f>
        <v>34778</v>
      </c>
      <c r="C8502" t="str">
        <f>IFERROR(__xludf.DUMMYFUNCTION("""COMPUTED_VALUE"""),"Autohak")</f>
        <v>Autohak</v>
      </c>
    </row>
    <row r="8503">
      <c r="A8503" t="str">
        <f>IFERROR(__xludf.DUMMYFUNCTION("""COMPUTED_VALUE"""),"D58")</f>
        <v>D58</v>
      </c>
      <c r="B8503" s="226" t="str">
        <f>IFERROR(__xludf.DUMMYFUNCTION("""COMPUTED_VALUE"""),"32491")</f>
        <v>32491</v>
      </c>
      <c r="C8503" t="str">
        <f>IFERROR(__xludf.DUMMYFUNCTION("""COMPUTED_VALUE"""),"Autohak")</f>
        <v>Autohak</v>
      </c>
    </row>
    <row r="8504">
      <c r="A8504" t="str">
        <f>IFERROR(__xludf.DUMMYFUNCTION("""COMPUTED_VALUE"""),"D58A")</f>
        <v>D58A</v>
      </c>
      <c r="B8504" s="226" t="str">
        <f>IFERROR(__xludf.DUMMYFUNCTION("""COMPUTED_VALUE"""),"34471")</f>
        <v>34471</v>
      </c>
      <c r="C8504" t="str">
        <f>IFERROR(__xludf.DUMMYFUNCTION("""COMPUTED_VALUE"""),"Autohak")</f>
        <v>Autohak</v>
      </c>
    </row>
    <row r="8505">
      <c r="A8505" t="str">
        <f>IFERROR(__xludf.DUMMYFUNCTION("""COMPUTED_VALUE"""),"D58V")</f>
        <v>D58V</v>
      </c>
      <c r="B8505" s="226" t="str">
        <f>IFERROR(__xludf.DUMMYFUNCTION("""COMPUTED_VALUE"""),"34778")</f>
        <v>34778</v>
      </c>
      <c r="C8505" t="str">
        <f>IFERROR(__xludf.DUMMYFUNCTION("""COMPUTED_VALUE"""),"Autohak")</f>
        <v>Autohak</v>
      </c>
    </row>
    <row r="8506">
      <c r="A8506" t="str">
        <f>IFERROR(__xludf.DUMMYFUNCTION("""COMPUTED_VALUE"""),"D59")</f>
        <v>D59</v>
      </c>
      <c r="B8506" s="226" t="str">
        <f>IFERROR(__xludf.DUMMYFUNCTION("""COMPUTED_VALUE"""),"32507")</f>
        <v>32507</v>
      </c>
      <c r="C8506" t="str">
        <f>IFERROR(__xludf.DUMMYFUNCTION("""COMPUTED_VALUE"""),"Autohak")</f>
        <v>Autohak</v>
      </c>
    </row>
    <row r="8507">
      <c r="A8507" t="str">
        <f>IFERROR(__xludf.DUMMYFUNCTION("""COMPUTED_VALUE"""),"D59A")</f>
        <v>D59A</v>
      </c>
      <c r="B8507" s="226" t="str">
        <f>IFERROR(__xludf.DUMMYFUNCTION("""COMPUTED_VALUE"""),"34488")</f>
        <v>34488</v>
      </c>
      <c r="C8507" t="str">
        <f>IFERROR(__xludf.DUMMYFUNCTION("""COMPUTED_VALUE"""),"Autohak")</f>
        <v>Autohak</v>
      </c>
    </row>
    <row r="8508">
      <c r="A8508" t="str">
        <f>IFERROR(__xludf.DUMMYFUNCTION("""COMPUTED_VALUE"""),"D59V")</f>
        <v>D59V</v>
      </c>
      <c r="B8508" s="226" t="str">
        <f>IFERROR(__xludf.DUMMYFUNCTION("""COMPUTED_VALUE"""),"34761")</f>
        <v>34761</v>
      </c>
      <c r="C8508" t="str">
        <f>IFERROR(__xludf.DUMMYFUNCTION("""COMPUTED_VALUE"""),"Autohak")</f>
        <v>Autohak</v>
      </c>
    </row>
    <row r="8509">
      <c r="A8509" t="str">
        <f>IFERROR(__xludf.DUMMYFUNCTION("""COMPUTED_VALUE"""),"D59")</f>
        <v>D59</v>
      </c>
      <c r="B8509" s="226" t="str">
        <f>IFERROR(__xludf.DUMMYFUNCTION("""COMPUTED_VALUE"""),"32507")</f>
        <v>32507</v>
      </c>
      <c r="C8509" t="str">
        <f>IFERROR(__xludf.DUMMYFUNCTION("""COMPUTED_VALUE"""),"Autohak")</f>
        <v>Autohak</v>
      </c>
    </row>
    <row r="8510">
      <c r="A8510" t="str">
        <f>IFERROR(__xludf.DUMMYFUNCTION("""COMPUTED_VALUE"""),"D59A")</f>
        <v>D59A</v>
      </c>
      <c r="B8510" s="226" t="str">
        <f>IFERROR(__xludf.DUMMYFUNCTION("""COMPUTED_VALUE"""),"34488")</f>
        <v>34488</v>
      </c>
      <c r="C8510" t="str">
        <f>IFERROR(__xludf.DUMMYFUNCTION("""COMPUTED_VALUE"""),"Autohak")</f>
        <v>Autohak</v>
      </c>
    </row>
    <row r="8511">
      <c r="A8511" t="str">
        <f>IFERROR(__xludf.DUMMYFUNCTION("""COMPUTED_VALUE"""),"D59V")</f>
        <v>D59V</v>
      </c>
      <c r="B8511" s="226" t="str">
        <f>IFERROR(__xludf.DUMMYFUNCTION("""COMPUTED_VALUE"""),"34761")</f>
        <v>34761</v>
      </c>
      <c r="C8511" t="str">
        <f>IFERROR(__xludf.DUMMYFUNCTION("""COMPUTED_VALUE"""),"Autohak")</f>
        <v>Autohak</v>
      </c>
    </row>
    <row r="8512">
      <c r="A8512" t="str">
        <f>IFERROR(__xludf.DUMMYFUNCTION("""COMPUTED_VALUE"""),"D54")</f>
        <v>D54</v>
      </c>
      <c r="B8512" s="226" t="str">
        <f>IFERROR(__xludf.DUMMYFUNCTION("""COMPUTED_VALUE"""),"32453")</f>
        <v>32453</v>
      </c>
      <c r="C8512" t="str">
        <f>IFERROR(__xludf.DUMMYFUNCTION("""COMPUTED_VALUE"""),"Autohak")</f>
        <v>Autohak</v>
      </c>
    </row>
    <row r="8513">
      <c r="A8513" t="str">
        <f>IFERROR(__xludf.DUMMYFUNCTION("""COMPUTED_VALUE"""),"D54A")</f>
        <v>D54A</v>
      </c>
      <c r="B8513" s="226" t="str">
        <f>IFERROR(__xludf.DUMMYFUNCTION("""COMPUTED_VALUE"""),"34440")</f>
        <v>34440</v>
      </c>
      <c r="C8513" t="str">
        <f>IFERROR(__xludf.DUMMYFUNCTION("""COMPUTED_VALUE"""),"Autohak")</f>
        <v>Autohak</v>
      </c>
    </row>
    <row r="8514">
      <c r="A8514" t="str">
        <f>IFERROR(__xludf.DUMMYFUNCTION("""COMPUTED_VALUE"""),"D54V")</f>
        <v>D54V</v>
      </c>
      <c r="B8514" s="226" t="str">
        <f>IFERROR(__xludf.DUMMYFUNCTION("""COMPUTED_VALUE"""),"34808")</f>
        <v>34808</v>
      </c>
      <c r="C8514" t="str">
        <f>IFERROR(__xludf.DUMMYFUNCTION("""COMPUTED_VALUE"""),"Autohak")</f>
        <v>Autohak</v>
      </c>
    </row>
    <row r="8515">
      <c r="A8515" t="str">
        <f>IFERROR(__xludf.DUMMYFUNCTION("""COMPUTED_VALUE"""),"D14")</f>
        <v>D14</v>
      </c>
      <c r="B8515" s="226" t="str">
        <f>IFERROR(__xludf.DUMMYFUNCTION("""COMPUTED_VALUE"""),"32156")</f>
        <v>32156</v>
      </c>
      <c r="C8515" t="str">
        <f>IFERROR(__xludf.DUMMYFUNCTION("""COMPUTED_VALUE"""),"Autohak")</f>
        <v>Autohak</v>
      </c>
    </row>
    <row r="8516">
      <c r="A8516" t="str">
        <f>IFERROR(__xludf.DUMMYFUNCTION("""COMPUTED_VALUE"""),"D14A")</f>
        <v>D14A</v>
      </c>
      <c r="B8516" s="226" t="str">
        <f>IFERROR(__xludf.DUMMYFUNCTION("""COMPUTED_VALUE"""),"34150")</f>
        <v>34150</v>
      </c>
      <c r="C8516" t="str">
        <f>IFERROR(__xludf.DUMMYFUNCTION("""COMPUTED_VALUE"""),"Autohak")</f>
        <v>Autohak</v>
      </c>
    </row>
    <row r="8517">
      <c r="A8517" t="str">
        <f>IFERROR(__xludf.DUMMYFUNCTION("""COMPUTED_VALUE"""),"G54")</f>
        <v>G54</v>
      </c>
      <c r="B8517" s="226" t="str">
        <f>IFERROR(__xludf.DUMMYFUNCTION("""COMPUTED_VALUE"""),"49383")</f>
        <v>49383</v>
      </c>
      <c r="C8517" t="str">
        <f>IFERROR(__xludf.DUMMYFUNCTION("""COMPUTED_VALUE"""),"Autohak")</f>
        <v>Autohak</v>
      </c>
    </row>
    <row r="8518">
      <c r="A8518" t="str">
        <f>IFERROR(__xludf.DUMMYFUNCTION("""COMPUTED_VALUE"""),"G54A")</f>
        <v>G54A</v>
      </c>
      <c r="B8518" s="226" t="str">
        <f>IFERROR(__xludf.DUMMYFUNCTION("""COMPUTED_VALUE"""),"52383")</f>
        <v>52383</v>
      </c>
      <c r="C8518" t="str">
        <f>IFERROR(__xludf.DUMMYFUNCTION("""COMPUTED_VALUE"""),"Autohak")</f>
        <v>Autohak</v>
      </c>
    </row>
    <row r="8519">
      <c r="A8519" t="str">
        <f>IFERROR(__xludf.DUMMYFUNCTION("""COMPUTED_VALUE"""),"D22")</f>
        <v>D22</v>
      </c>
      <c r="B8519" s="226" t="str">
        <f>IFERROR(__xludf.DUMMYFUNCTION("""COMPUTED_VALUE"""),"32170")</f>
        <v>32170</v>
      </c>
      <c r="C8519" t="str">
        <f>IFERROR(__xludf.DUMMYFUNCTION("""COMPUTED_VALUE"""),"Autohak")</f>
        <v>Autohak</v>
      </c>
    </row>
    <row r="8520">
      <c r="A8520" t="str">
        <f>IFERROR(__xludf.DUMMYFUNCTION("""COMPUTED_VALUE"""),"D22A")</f>
        <v>D22A</v>
      </c>
      <c r="B8520" s="226" t="str">
        <f>IFERROR(__xludf.DUMMYFUNCTION("""COMPUTED_VALUE"""),"34174")</f>
        <v>34174</v>
      </c>
      <c r="C8520" t="str">
        <f>IFERROR(__xludf.DUMMYFUNCTION("""COMPUTED_VALUE"""),"Autohak")</f>
        <v>Autohak</v>
      </c>
    </row>
    <row r="8521">
      <c r="A8521" t="str">
        <f>IFERROR(__xludf.DUMMYFUNCTION("""COMPUTED_VALUE"""),"D33")</f>
        <v>D33</v>
      </c>
      <c r="B8521" s="226" t="str">
        <f>IFERROR(__xludf.DUMMYFUNCTION("""COMPUTED_VALUE"""),"32231")</f>
        <v>32231</v>
      </c>
      <c r="C8521" t="str">
        <f>IFERROR(__xludf.DUMMYFUNCTION("""COMPUTED_VALUE"""),"Autohak")</f>
        <v>Autohak</v>
      </c>
    </row>
    <row r="8522">
      <c r="A8522" t="str">
        <f>IFERROR(__xludf.DUMMYFUNCTION("""COMPUTED_VALUE"""),"D33A")</f>
        <v>D33A</v>
      </c>
      <c r="B8522" s="226" t="str">
        <f>IFERROR(__xludf.DUMMYFUNCTION("""COMPUTED_VALUE"""),"34235")</f>
        <v>34235</v>
      </c>
      <c r="C8522" t="str">
        <f>IFERROR(__xludf.DUMMYFUNCTION("""COMPUTED_VALUE"""),"Autohak")</f>
        <v>Autohak</v>
      </c>
    </row>
    <row r="8523">
      <c r="A8523" t="str">
        <f>IFERROR(__xludf.DUMMYFUNCTION("""COMPUTED_VALUE"""),"D33V")</f>
        <v>D33V</v>
      </c>
      <c r="B8523" s="226" t="str">
        <f>IFERROR(__xludf.DUMMYFUNCTION("""COMPUTED_VALUE"""),"34990")</f>
        <v>34990</v>
      </c>
      <c r="C8523" t="str">
        <f>IFERROR(__xludf.DUMMYFUNCTION("""COMPUTED_VALUE"""),"Autohak")</f>
        <v>Autohak</v>
      </c>
    </row>
    <row r="8524">
      <c r="A8524" t="str">
        <f>IFERROR(__xludf.DUMMYFUNCTION("""COMPUTED_VALUE"""),"D43")</f>
        <v>D43</v>
      </c>
      <c r="B8524" s="226" t="str">
        <f>IFERROR(__xludf.DUMMYFUNCTION("""COMPUTED_VALUE"""),"32347")</f>
        <v>32347</v>
      </c>
      <c r="C8524" t="str">
        <f>IFERROR(__xludf.DUMMYFUNCTION("""COMPUTED_VALUE"""),"Autohak")</f>
        <v>Autohak</v>
      </c>
    </row>
    <row r="8525">
      <c r="A8525" t="str">
        <f>IFERROR(__xludf.DUMMYFUNCTION("""COMPUTED_VALUE"""),"D43A")</f>
        <v>D43A</v>
      </c>
      <c r="B8525" s="226" t="str">
        <f>IFERROR(__xludf.DUMMYFUNCTION("""COMPUTED_VALUE"""),"34334")</f>
        <v>34334</v>
      </c>
      <c r="C8525" t="str">
        <f>IFERROR(__xludf.DUMMYFUNCTION("""COMPUTED_VALUE"""),"Autohak")</f>
        <v>Autohak</v>
      </c>
    </row>
    <row r="8526">
      <c r="A8526" t="str">
        <f>IFERROR(__xludf.DUMMYFUNCTION("""COMPUTED_VALUE"""),"D43V")</f>
        <v>D43V</v>
      </c>
      <c r="B8526" s="226" t="str">
        <f>IFERROR(__xludf.DUMMYFUNCTION("""COMPUTED_VALUE"""),"34945")</f>
        <v>34945</v>
      </c>
      <c r="C8526" t="str">
        <f>IFERROR(__xludf.DUMMYFUNCTION("""COMPUTED_VALUE"""),"Autohak")</f>
        <v>Autohak</v>
      </c>
    </row>
    <row r="8527">
      <c r="A8527" t="str">
        <f>IFERROR(__xludf.DUMMYFUNCTION("""COMPUTED_VALUE"""),"D31")</f>
        <v>D31</v>
      </c>
      <c r="B8527" s="226" t="str">
        <f>IFERROR(__xludf.DUMMYFUNCTION("""COMPUTED_VALUE"""),"32187")</f>
        <v>32187</v>
      </c>
      <c r="C8527" t="str">
        <f>IFERROR(__xludf.DUMMYFUNCTION("""COMPUTED_VALUE"""),"Autohak")</f>
        <v>Autohak</v>
      </c>
    </row>
    <row r="8528">
      <c r="A8528" t="str">
        <f>IFERROR(__xludf.DUMMYFUNCTION("""COMPUTED_VALUE"""),"D31A")</f>
        <v>D31A</v>
      </c>
      <c r="B8528" s="226" t="str">
        <f>IFERROR(__xludf.DUMMYFUNCTION("""COMPUTED_VALUE"""),"34181")</f>
        <v>34181</v>
      </c>
      <c r="C8528" t="str">
        <f>IFERROR(__xludf.DUMMYFUNCTION("""COMPUTED_VALUE"""),"Autohak")</f>
        <v>Autohak</v>
      </c>
    </row>
    <row r="8529">
      <c r="A8529" t="str">
        <f>IFERROR(__xludf.DUMMYFUNCTION("""COMPUTED_VALUE"""),"D39")</f>
        <v>D39</v>
      </c>
      <c r="B8529" s="226" t="str">
        <f>IFERROR(__xludf.DUMMYFUNCTION("""COMPUTED_VALUE"""),"32309")</f>
        <v>32309</v>
      </c>
      <c r="C8529" t="str">
        <f>IFERROR(__xludf.DUMMYFUNCTION("""COMPUTED_VALUE"""),"Autohak")</f>
        <v>Autohak</v>
      </c>
    </row>
    <row r="8530">
      <c r="A8530" t="str">
        <f>IFERROR(__xludf.DUMMYFUNCTION("""COMPUTED_VALUE"""),"D39A")</f>
        <v>D39A</v>
      </c>
      <c r="B8530" s="226" t="str">
        <f>IFERROR(__xludf.DUMMYFUNCTION("""COMPUTED_VALUE"""),"34303")</f>
        <v>34303</v>
      </c>
      <c r="C8530" t="str">
        <f>IFERROR(__xludf.DUMMYFUNCTION("""COMPUTED_VALUE"""),"Autohak")</f>
        <v>Autohak</v>
      </c>
    </row>
    <row r="8531">
      <c r="A8531" t="str">
        <f>IFERROR(__xludf.DUMMYFUNCTION("""COMPUTED_VALUE"""),"D39V")</f>
        <v>D39V</v>
      </c>
      <c r="B8531" s="226" t="str">
        <f>IFERROR(__xludf.DUMMYFUNCTION("""COMPUTED_VALUE"""),"34969")</f>
        <v>34969</v>
      </c>
      <c r="C8531" t="str">
        <f>IFERROR(__xludf.DUMMYFUNCTION("""COMPUTED_VALUE"""),"Autohak")</f>
        <v>Autohak</v>
      </c>
    </row>
    <row r="8532">
      <c r="A8532" t="str">
        <f>IFERROR(__xludf.DUMMYFUNCTION("""COMPUTED_VALUE"""),"D42")</f>
        <v>D42</v>
      </c>
      <c r="B8532" s="226" t="str">
        <f>IFERROR(__xludf.DUMMYFUNCTION("""COMPUTED_VALUE"""),"32330")</f>
        <v>32330</v>
      </c>
      <c r="C8532" t="str">
        <f>IFERROR(__xludf.DUMMYFUNCTION("""COMPUTED_VALUE"""),"Autohak")</f>
        <v>Autohak</v>
      </c>
    </row>
    <row r="8533">
      <c r="A8533" t="str">
        <f>IFERROR(__xludf.DUMMYFUNCTION("""COMPUTED_VALUE"""),"D42A")</f>
        <v>D42A</v>
      </c>
      <c r="B8533" s="226" t="str">
        <f>IFERROR(__xludf.DUMMYFUNCTION("""COMPUTED_VALUE"""),"34327")</f>
        <v>34327</v>
      </c>
      <c r="C8533" t="str">
        <f>IFERROR(__xludf.DUMMYFUNCTION("""COMPUTED_VALUE"""),"Autohak")</f>
        <v>Autohak</v>
      </c>
    </row>
    <row r="8534">
      <c r="A8534" t="str">
        <f>IFERROR(__xludf.DUMMYFUNCTION("""COMPUTED_VALUE"""),"D42V")</f>
        <v>D42V</v>
      </c>
      <c r="B8534" s="226" t="str">
        <f>IFERROR(__xludf.DUMMYFUNCTION("""COMPUTED_VALUE"""),"34952")</f>
        <v>34952</v>
      </c>
      <c r="C8534" t="str">
        <f>IFERROR(__xludf.DUMMYFUNCTION("""COMPUTED_VALUE"""),"Autohak")</f>
        <v>Autohak</v>
      </c>
    </row>
    <row r="8535">
      <c r="A8535" t="str">
        <f>IFERROR(__xludf.DUMMYFUNCTION("""COMPUTED_VALUE"""),"D57")</f>
        <v>D57</v>
      </c>
      <c r="B8535" s="226" t="str">
        <f>IFERROR(__xludf.DUMMYFUNCTION("""COMPUTED_VALUE"""),"32484")</f>
        <v>32484</v>
      </c>
      <c r="C8535" t="str">
        <f>IFERROR(__xludf.DUMMYFUNCTION("""COMPUTED_VALUE"""),"Autohak")</f>
        <v>Autohak</v>
      </c>
    </row>
    <row r="8536">
      <c r="A8536" t="str">
        <f>IFERROR(__xludf.DUMMYFUNCTION("""COMPUTED_VALUE"""),"D57A")</f>
        <v>D57A</v>
      </c>
      <c r="B8536" s="226" t="str">
        <f>IFERROR(__xludf.DUMMYFUNCTION("""COMPUTED_VALUE"""),"34464")</f>
        <v>34464</v>
      </c>
      <c r="C8536" t="str">
        <f>IFERROR(__xludf.DUMMYFUNCTION("""COMPUTED_VALUE"""),"Autohak")</f>
        <v>Autohak</v>
      </c>
    </row>
    <row r="8537">
      <c r="A8537" t="str">
        <f>IFERROR(__xludf.DUMMYFUNCTION("""COMPUTED_VALUE"""),"D57V")</f>
        <v>D57V</v>
      </c>
      <c r="B8537" s="226" t="str">
        <f>IFERROR(__xludf.DUMMYFUNCTION("""COMPUTED_VALUE"""),"34785")</f>
        <v>34785</v>
      </c>
      <c r="C8537" t="str">
        <f>IFERROR(__xludf.DUMMYFUNCTION("""COMPUTED_VALUE"""),"Autohak")</f>
        <v>Autohak</v>
      </c>
    </row>
    <row r="8538">
      <c r="A8538" t="str">
        <f>IFERROR(__xludf.DUMMYFUNCTION("""COMPUTED_VALUE"""),"D57")</f>
        <v>D57</v>
      </c>
      <c r="B8538" s="226" t="str">
        <f>IFERROR(__xludf.DUMMYFUNCTION("""COMPUTED_VALUE"""),"32484")</f>
        <v>32484</v>
      </c>
      <c r="C8538" t="str">
        <f>IFERROR(__xludf.DUMMYFUNCTION("""COMPUTED_VALUE"""),"Autohak")</f>
        <v>Autohak</v>
      </c>
    </row>
    <row r="8539">
      <c r="A8539" t="str">
        <f>IFERROR(__xludf.DUMMYFUNCTION("""COMPUTED_VALUE"""),"D57A")</f>
        <v>D57A</v>
      </c>
      <c r="B8539" s="226" t="str">
        <f>IFERROR(__xludf.DUMMYFUNCTION("""COMPUTED_VALUE"""),"34464")</f>
        <v>34464</v>
      </c>
      <c r="C8539" t="str">
        <f>IFERROR(__xludf.DUMMYFUNCTION("""COMPUTED_VALUE"""),"Autohak")</f>
        <v>Autohak</v>
      </c>
    </row>
    <row r="8540">
      <c r="A8540" t="str">
        <f>IFERROR(__xludf.DUMMYFUNCTION("""COMPUTED_VALUE"""),"D57V")</f>
        <v>D57V</v>
      </c>
      <c r="B8540" s="226" t="str">
        <f>IFERROR(__xludf.DUMMYFUNCTION("""COMPUTED_VALUE"""),"34785")</f>
        <v>34785</v>
      </c>
      <c r="C8540" t="str">
        <f>IFERROR(__xludf.DUMMYFUNCTION("""COMPUTED_VALUE"""),"Autohak")</f>
        <v>Autohak</v>
      </c>
    </row>
    <row r="8541">
      <c r="A8541" t="str">
        <f>IFERROR(__xludf.DUMMYFUNCTION("""COMPUTED_VALUE"""),"D57")</f>
        <v>D57</v>
      </c>
      <c r="B8541" s="226" t="str">
        <f>IFERROR(__xludf.DUMMYFUNCTION("""COMPUTED_VALUE"""),"32484")</f>
        <v>32484</v>
      </c>
      <c r="C8541" t="str">
        <f>IFERROR(__xludf.DUMMYFUNCTION("""COMPUTED_VALUE"""),"Autohak")</f>
        <v>Autohak</v>
      </c>
    </row>
    <row r="8542">
      <c r="A8542" t="str">
        <f>IFERROR(__xludf.DUMMYFUNCTION("""COMPUTED_VALUE"""),"D57A")</f>
        <v>D57A</v>
      </c>
      <c r="B8542" s="226" t="str">
        <f>IFERROR(__xludf.DUMMYFUNCTION("""COMPUTED_VALUE"""),"34464")</f>
        <v>34464</v>
      </c>
      <c r="C8542" t="str">
        <f>IFERROR(__xludf.DUMMYFUNCTION("""COMPUTED_VALUE"""),"Autohak")</f>
        <v>Autohak</v>
      </c>
    </row>
    <row r="8543">
      <c r="A8543" t="str">
        <f>IFERROR(__xludf.DUMMYFUNCTION("""COMPUTED_VALUE"""),"D57V")</f>
        <v>D57V</v>
      </c>
      <c r="B8543" s="226" t="str">
        <f>IFERROR(__xludf.DUMMYFUNCTION("""COMPUTED_VALUE"""),"34785")</f>
        <v>34785</v>
      </c>
      <c r="C8543" t="str">
        <f>IFERROR(__xludf.DUMMYFUNCTION("""COMPUTED_VALUE"""),"Autohak")</f>
        <v>Autohak</v>
      </c>
    </row>
    <row r="8544">
      <c r="A8544" t="str">
        <f>IFERROR(__xludf.DUMMYFUNCTION("""COMPUTED_VALUE"""),"D25")</f>
        <v>D25</v>
      </c>
      <c r="B8544" s="226" t="str">
        <f>IFERROR(__xludf.DUMMYFUNCTION("""COMPUTED_VALUE"""),"32071")</f>
        <v>32071</v>
      </c>
      <c r="C8544" t="str">
        <f>IFERROR(__xludf.DUMMYFUNCTION("""COMPUTED_VALUE"""),"Autohak")</f>
        <v>Autohak</v>
      </c>
    </row>
    <row r="8545">
      <c r="A8545" t="str">
        <f>IFERROR(__xludf.DUMMYFUNCTION("""COMPUTED_VALUE"""),"D49")</f>
        <v>D49</v>
      </c>
      <c r="B8545" s="226" t="str">
        <f>IFERROR(__xludf.DUMMYFUNCTION("""COMPUTED_VALUE"""),"32408")</f>
        <v>32408</v>
      </c>
      <c r="C8545" t="str">
        <f>IFERROR(__xludf.DUMMYFUNCTION("""COMPUTED_VALUE"""),"Autohak")</f>
        <v>Autohak</v>
      </c>
    </row>
    <row r="8546">
      <c r="A8546" t="str">
        <f>IFERROR(__xludf.DUMMYFUNCTION("""COMPUTED_VALUE"""),"D49A")</f>
        <v>D49A</v>
      </c>
      <c r="B8546" s="226" t="str">
        <f>IFERROR(__xludf.DUMMYFUNCTION("""COMPUTED_VALUE"""),"34396")</f>
        <v>34396</v>
      </c>
      <c r="C8546" t="str">
        <f>IFERROR(__xludf.DUMMYFUNCTION("""COMPUTED_VALUE"""),"Autohak")</f>
        <v>Autohak</v>
      </c>
    </row>
    <row r="8547">
      <c r="A8547" t="str">
        <f>IFERROR(__xludf.DUMMYFUNCTION("""COMPUTED_VALUE"""),"D49V")</f>
        <v>D49V</v>
      </c>
      <c r="B8547" s="226" t="str">
        <f>IFERROR(__xludf.DUMMYFUNCTION("""COMPUTED_VALUE"""),"34860")</f>
        <v>34860</v>
      </c>
      <c r="C8547" t="str">
        <f>IFERROR(__xludf.DUMMYFUNCTION("""COMPUTED_VALUE"""),"Autohak")</f>
        <v>Autohak</v>
      </c>
    </row>
    <row r="8548">
      <c r="A8548" t="str">
        <f>IFERROR(__xludf.DUMMYFUNCTION("""COMPUTED_VALUE"""),"D49")</f>
        <v>D49</v>
      </c>
      <c r="B8548" s="226" t="str">
        <f>IFERROR(__xludf.DUMMYFUNCTION("""COMPUTED_VALUE"""),"32408")</f>
        <v>32408</v>
      </c>
      <c r="C8548" t="str">
        <f>IFERROR(__xludf.DUMMYFUNCTION("""COMPUTED_VALUE"""),"Autohak")</f>
        <v>Autohak</v>
      </c>
    </row>
    <row r="8549">
      <c r="A8549" t="str">
        <f>IFERROR(__xludf.DUMMYFUNCTION("""COMPUTED_VALUE"""),"D49A")</f>
        <v>D49A</v>
      </c>
      <c r="B8549" s="226" t="str">
        <f>IFERROR(__xludf.DUMMYFUNCTION("""COMPUTED_VALUE"""),"34396")</f>
        <v>34396</v>
      </c>
      <c r="C8549" t="str">
        <f>IFERROR(__xludf.DUMMYFUNCTION("""COMPUTED_VALUE"""),"Autohak")</f>
        <v>Autohak</v>
      </c>
    </row>
    <row r="8550">
      <c r="A8550" t="str">
        <f>IFERROR(__xludf.DUMMYFUNCTION("""COMPUTED_VALUE"""),"D49V")</f>
        <v>D49V</v>
      </c>
      <c r="B8550" s="226" t="str">
        <f>IFERROR(__xludf.DUMMYFUNCTION("""COMPUTED_VALUE"""),"34860")</f>
        <v>34860</v>
      </c>
      <c r="C8550" t="str">
        <f>IFERROR(__xludf.DUMMYFUNCTION("""COMPUTED_VALUE"""),"Autohak")</f>
        <v>Autohak</v>
      </c>
    </row>
    <row r="8551">
      <c r="A8551" t="str">
        <f>IFERROR(__xludf.DUMMYFUNCTION("""COMPUTED_VALUE"""),"D46")</f>
        <v>D46</v>
      </c>
      <c r="B8551" s="226" t="str">
        <f>IFERROR(__xludf.DUMMYFUNCTION("""COMPUTED_VALUE"""),"32378")</f>
        <v>32378</v>
      </c>
      <c r="C8551" t="str">
        <f>IFERROR(__xludf.DUMMYFUNCTION("""COMPUTED_VALUE"""),"Autohak")</f>
        <v>Autohak</v>
      </c>
    </row>
    <row r="8552">
      <c r="A8552" t="str">
        <f>IFERROR(__xludf.DUMMYFUNCTION("""COMPUTED_VALUE"""),"D46A")</f>
        <v>D46A</v>
      </c>
      <c r="B8552" s="226" t="str">
        <f>IFERROR(__xludf.DUMMYFUNCTION("""COMPUTED_VALUE"""),"34365")</f>
        <v>34365</v>
      </c>
      <c r="C8552" t="str">
        <f>IFERROR(__xludf.DUMMYFUNCTION("""COMPUTED_VALUE"""),"Autohak")</f>
        <v>Autohak</v>
      </c>
    </row>
    <row r="8553">
      <c r="A8553" t="str">
        <f>IFERROR(__xludf.DUMMYFUNCTION("""COMPUTED_VALUE"""),"D46V")</f>
        <v>D46V</v>
      </c>
      <c r="B8553" s="226" t="str">
        <f>IFERROR(__xludf.DUMMYFUNCTION("""COMPUTED_VALUE"""),"34914")</f>
        <v>34914</v>
      </c>
      <c r="C8553" t="str">
        <f>IFERROR(__xludf.DUMMYFUNCTION("""COMPUTED_VALUE"""),"Autohak")</f>
        <v>Autohak</v>
      </c>
    </row>
    <row r="8554">
      <c r="A8554" t="str">
        <f>IFERROR(__xludf.DUMMYFUNCTION("""COMPUTED_VALUE"""),"D52")</f>
        <v>D52</v>
      </c>
      <c r="B8554" s="226" t="str">
        <f>IFERROR(__xludf.DUMMYFUNCTION("""COMPUTED_VALUE"""),"32439")</f>
        <v>32439</v>
      </c>
      <c r="C8554" t="str">
        <f>IFERROR(__xludf.DUMMYFUNCTION("""COMPUTED_VALUE"""),"Autohak")</f>
        <v>Autohak</v>
      </c>
    </row>
    <row r="8555">
      <c r="A8555" t="str">
        <f>IFERROR(__xludf.DUMMYFUNCTION("""COMPUTED_VALUE"""),"D52A")</f>
        <v>D52A</v>
      </c>
      <c r="B8555" s="226" t="str">
        <f>IFERROR(__xludf.DUMMYFUNCTION("""COMPUTED_VALUE"""),"34426")</f>
        <v>34426</v>
      </c>
      <c r="C8555" t="str">
        <f>IFERROR(__xludf.DUMMYFUNCTION("""COMPUTED_VALUE"""),"Autohak")</f>
        <v>Autohak</v>
      </c>
    </row>
    <row r="8556">
      <c r="A8556" t="str">
        <f>IFERROR(__xludf.DUMMYFUNCTION("""COMPUTED_VALUE"""),"D52V")</f>
        <v>D52V</v>
      </c>
      <c r="B8556" s="226" t="str">
        <f>IFERROR(__xludf.DUMMYFUNCTION("""COMPUTED_VALUE"""),"34839")</f>
        <v>34839</v>
      </c>
      <c r="C8556" t="str">
        <f>IFERROR(__xludf.DUMMYFUNCTION("""COMPUTED_VALUE"""),"Autohak")</f>
        <v>Autohak</v>
      </c>
    </row>
    <row r="8557">
      <c r="A8557" t="str">
        <f>IFERROR(__xludf.DUMMYFUNCTION("""COMPUTED_VALUE"""),"D52")</f>
        <v>D52</v>
      </c>
      <c r="B8557" s="226" t="str">
        <f>IFERROR(__xludf.DUMMYFUNCTION("""COMPUTED_VALUE"""),"32439")</f>
        <v>32439</v>
      </c>
      <c r="C8557" t="str">
        <f>IFERROR(__xludf.DUMMYFUNCTION("""COMPUTED_VALUE"""),"Autohak")</f>
        <v>Autohak</v>
      </c>
    </row>
    <row r="8558">
      <c r="A8558" t="str">
        <f>IFERROR(__xludf.DUMMYFUNCTION("""COMPUTED_VALUE"""),"D52A")</f>
        <v>D52A</v>
      </c>
      <c r="B8558" s="226" t="str">
        <f>IFERROR(__xludf.DUMMYFUNCTION("""COMPUTED_VALUE"""),"34426")</f>
        <v>34426</v>
      </c>
      <c r="C8558" t="str">
        <f>IFERROR(__xludf.DUMMYFUNCTION("""COMPUTED_VALUE"""),"Autohak")</f>
        <v>Autohak</v>
      </c>
    </row>
    <row r="8559">
      <c r="A8559" t="str">
        <f>IFERROR(__xludf.DUMMYFUNCTION("""COMPUTED_VALUE"""),"D52V")</f>
        <v>D52V</v>
      </c>
      <c r="B8559" s="226" t="str">
        <f>IFERROR(__xludf.DUMMYFUNCTION("""COMPUTED_VALUE"""),"34839")</f>
        <v>34839</v>
      </c>
      <c r="C8559" t="str">
        <f>IFERROR(__xludf.DUMMYFUNCTION("""COMPUTED_VALUE"""),"Autohak")</f>
        <v>Autohak</v>
      </c>
    </row>
    <row r="8560">
      <c r="A8560" t="str">
        <f>IFERROR(__xludf.DUMMYFUNCTION("""COMPUTED_VALUE"""),"D50")</f>
        <v>D50</v>
      </c>
      <c r="B8560" s="226" t="str">
        <f>IFERROR(__xludf.DUMMYFUNCTION("""COMPUTED_VALUE"""),"32415")</f>
        <v>32415</v>
      </c>
      <c r="C8560" t="str">
        <f>IFERROR(__xludf.DUMMYFUNCTION("""COMPUTED_VALUE"""),"Autohak")</f>
        <v>Autohak</v>
      </c>
    </row>
    <row r="8561">
      <c r="A8561" t="str">
        <f>IFERROR(__xludf.DUMMYFUNCTION("""COMPUTED_VALUE"""),"D50A")</f>
        <v>D50A</v>
      </c>
      <c r="B8561" s="226" t="str">
        <f>IFERROR(__xludf.DUMMYFUNCTION("""COMPUTED_VALUE"""),"34402")</f>
        <v>34402</v>
      </c>
      <c r="C8561" t="str">
        <f>IFERROR(__xludf.DUMMYFUNCTION("""COMPUTED_VALUE"""),"Autohak")</f>
        <v>Autohak</v>
      </c>
    </row>
    <row r="8562">
      <c r="A8562" t="str">
        <f>IFERROR(__xludf.DUMMYFUNCTION("""COMPUTED_VALUE"""),"D50V")</f>
        <v>D50V</v>
      </c>
      <c r="B8562" s="226" t="str">
        <f>IFERROR(__xludf.DUMMYFUNCTION("""COMPUTED_VALUE"""),"34853")</f>
        <v>34853</v>
      </c>
      <c r="C8562" t="str">
        <f>IFERROR(__xludf.DUMMYFUNCTION("""COMPUTED_VALUE"""),"Autohak")</f>
        <v>Autohak</v>
      </c>
    </row>
    <row r="8563">
      <c r="A8563" t="str">
        <f>IFERROR(__xludf.DUMMYFUNCTION("""COMPUTED_VALUE"""),"D61")</f>
        <v>D61</v>
      </c>
      <c r="B8563" s="226" t="str">
        <f>IFERROR(__xludf.DUMMYFUNCTION("""COMPUTED_VALUE"""),"32521")</f>
        <v>32521</v>
      </c>
      <c r="C8563" t="str">
        <f>IFERROR(__xludf.DUMMYFUNCTION("""COMPUTED_VALUE"""),"Autohak")</f>
        <v>Autohak</v>
      </c>
    </row>
    <row r="8564">
      <c r="A8564" t="str">
        <f>IFERROR(__xludf.DUMMYFUNCTION("""COMPUTED_VALUE"""),"D61A")</f>
        <v>D61A</v>
      </c>
      <c r="B8564" s="226" t="str">
        <f>IFERROR(__xludf.DUMMYFUNCTION("""COMPUTED_VALUE"""),"34495")</f>
        <v>34495</v>
      </c>
      <c r="C8564" t="str">
        <f>IFERROR(__xludf.DUMMYFUNCTION("""COMPUTED_VALUE"""),"Autohak")</f>
        <v>Autohak</v>
      </c>
    </row>
    <row r="8565">
      <c r="A8565" t="str">
        <f>IFERROR(__xludf.DUMMYFUNCTION("""COMPUTED_VALUE"""),"D61V")</f>
        <v>D61V</v>
      </c>
      <c r="B8565" s="226" t="str">
        <f>IFERROR(__xludf.DUMMYFUNCTION("""COMPUTED_VALUE"""),"34754")</f>
        <v>34754</v>
      </c>
      <c r="C8565" t="str">
        <f>IFERROR(__xludf.DUMMYFUNCTION("""COMPUTED_VALUE"""),"Autohak")</f>
        <v>Autohak</v>
      </c>
    </row>
    <row r="8566">
      <c r="A8566" t="str">
        <f>IFERROR(__xludf.DUMMYFUNCTION("""COMPUTED_VALUE"""),"D53")</f>
        <v>D53</v>
      </c>
      <c r="B8566" s="226" t="str">
        <f>IFERROR(__xludf.DUMMYFUNCTION("""COMPUTED_VALUE"""),"32446")</f>
        <v>32446</v>
      </c>
      <c r="C8566" t="str">
        <f>IFERROR(__xludf.DUMMYFUNCTION("""COMPUTED_VALUE"""),"Autohak")</f>
        <v>Autohak</v>
      </c>
    </row>
    <row r="8567">
      <c r="A8567" t="str">
        <f>IFERROR(__xludf.DUMMYFUNCTION("""COMPUTED_VALUE"""),"D53A")</f>
        <v>D53A</v>
      </c>
      <c r="B8567" s="226" t="str">
        <f>IFERROR(__xludf.DUMMYFUNCTION("""COMPUTED_VALUE"""),"34433")</f>
        <v>34433</v>
      </c>
      <c r="C8567" t="str">
        <f>IFERROR(__xludf.DUMMYFUNCTION("""COMPUTED_VALUE"""),"Autohak")</f>
        <v>Autohak</v>
      </c>
    </row>
    <row r="8568">
      <c r="A8568" t="str">
        <f>IFERROR(__xludf.DUMMYFUNCTION("""COMPUTED_VALUE"""),"D53V")</f>
        <v>D53V</v>
      </c>
      <c r="B8568" s="226" t="str">
        <f>IFERROR(__xludf.DUMMYFUNCTION("""COMPUTED_VALUE"""),"34822")</f>
        <v>34822</v>
      </c>
      <c r="C8568" t="str">
        <f>IFERROR(__xludf.DUMMYFUNCTION("""COMPUTED_VALUE"""),"Autohak")</f>
        <v>Autohak</v>
      </c>
    </row>
    <row r="8569">
      <c r="A8569" t="str">
        <f>IFERROR(__xludf.DUMMYFUNCTION("""COMPUTED_VALUE"""),"D41")</f>
        <v>D41</v>
      </c>
      <c r="B8569" s="226" t="str">
        <f>IFERROR(__xludf.DUMMYFUNCTION("""COMPUTED_VALUE"""),"32323")</f>
        <v>32323</v>
      </c>
      <c r="C8569" t="str">
        <f>IFERROR(__xludf.DUMMYFUNCTION("""COMPUTED_VALUE"""),"Autohak")</f>
        <v>Autohak</v>
      </c>
    </row>
    <row r="8570">
      <c r="A8570" t="str">
        <f>IFERROR(__xludf.DUMMYFUNCTION("""COMPUTED_VALUE"""),"D41A")</f>
        <v>D41A</v>
      </c>
      <c r="B8570" s="226" t="str">
        <f>IFERROR(__xludf.DUMMYFUNCTION("""COMPUTED_VALUE"""),"34310")</f>
        <v>34310</v>
      </c>
      <c r="C8570" t="str">
        <f>IFERROR(__xludf.DUMMYFUNCTION("""COMPUTED_VALUE"""),"Autohak")</f>
        <v>Autohak</v>
      </c>
    </row>
    <row r="8571">
      <c r="A8571" t="str">
        <f>IFERROR(__xludf.DUMMYFUNCTION("""COMPUTED_VALUE"""),"D41V")</f>
        <v>D41V</v>
      </c>
      <c r="B8571" s="226" t="str">
        <f>IFERROR(__xludf.DUMMYFUNCTION("""COMPUTED_VALUE"""),"34976")</f>
        <v>34976</v>
      </c>
      <c r="C8571" t="str">
        <f>IFERROR(__xludf.DUMMYFUNCTION("""COMPUTED_VALUE"""),"Autohak")</f>
        <v>Autohak</v>
      </c>
    </row>
    <row r="8572">
      <c r="A8572" t="str">
        <f>IFERROR(__xludf.DUMMYFUNCTION("""COMPUTED_VALUE"""),"D23")</f>
        <v>D23</v>
      </c>
      <c r="B8572" s="226" t="str">
        <f>IFERROR(__xludf.DUMMYFUNCTION("""COMPUTED_VALUE"""),"32132")</f>
        <v>32132</v>
      </c>
      <c r="C8572" t="str">
        <f>IFERROR(__xludf.DUMMYFUNCTION("""COMPUTED_VALUE"""),"Autohak")</f>
        <v>Autohak</v>
      </c>
    </row>
    <row r="8573">
      <c r="A8573" t="str">
        <f>IFERROR(__xludf.DUMMYFUNCTION("""COMPUTED_VALUE"""),"D37")</f>
        <v>D37</v>
      </c>
      <c r="B8573" s="226" t="str">
        <f>IFERROR(__xludf.DUMMYFUNCTION("""COMPUTED_VALUE"""),"32286")</f>
        <v>32286</v>
      </c>
      <c r="C8573" t="str">
        <f>IFERROR(__xludf.DUMMYFUNCTION("""COMPUTED_VALUE"""),"Autohak")</f>
        <v>Autohak</v>
      </c>
    </row>
    <row r="8574">
      <c r="A8574" t="str">
        <f>IFERROR(__xludf.DUMMYFUNCTION("""COMPUTED_VALUE"""),"D37A")</f>
        <v>D37A</v>
      </c>
      <c r="B8574" s="226" t="str">
        <f>IFERROR(__xludf.DUMMYFUNCTION("""COMPUTED_VALUE"""),"34280")</f>
        <v>34280</v>
      </c>
      <c r="C8574" t="str">
        <f>IFERROR(__xludf.DUMMYFUNCTION("""COMPUTED_VALUE"""),"Autohak")</f>
        <v>Autohak</v>
      </c>
    </row>
    <row r="8575">
      <c r="A8575" t="str">
        <f>IFERROR(__xludf.DUMMYFUNCTION("""COMPUTED_VALUE"""),"D37V")</f>
        <v>D37V</v>
      </c>
      <c r="B8575" s="226" t="str">
        <f>IFERROR(__xludf.DUMMYFUNCTION("""COMPUTED_VALUE"""),"34815")</f>
        <v>34815</v>
      </c>
      <c r="C8575" t="str">
        <f>IFERROR(__xludf.DUMMYFUNCTION("""COMPUTED_VALUE"""),"Autohak")</f>
        <v>Autohak</v>
      </c>
    </row>
    <row r="8576">
      <c r="A8576" t="str">
        <f>IFERROR(__xludf.DUMMYFUNCTION("""COMPUTED_VALUE"""),"D50")</f>
        <v>D50</v>
      </c>
      <c r="B8576" s="226" t="str">
        <f>IFERROR(__xludf.DUMMYFUNCTION("""COMPUTED_VALUE"""),"32415")</f>
        <v>32415</v>
      </c>
      <c r="C8576" t="str">
        <f>IFERROR(__xludf.DUMMYFUNCTION("""COMPUTED_VALUE"""),"Autohak")</f>
        <v>Autohak</v>
      </c>
    </row>
    <row r="8577">
      <c r="A8577" t="str">
        <f>IFERROR(__xludf.DUMMYFUNCTION("""COMPUTED_VALUE"""),"D50A")</f>
        <v>D50A</v>
      </c>
      <c r="B8577" s="226" t="str">
        <f>IFERROR(__xludf.DUMMYFUNCTION("""COMPUTED_VALUE"""),"34402")</f>
        <v>34402</v>
      </c>
      <c r="C8577" t="str">
        <f>IFERROR(__xludf.DUMMYFUNCTION("""COMPUTED_VALUE"""),"Autohak")</f>
        <v>Autohak</v>
      </c>
    </row>
    <row r="8578">
      <c r="A8578" t="str">
        <f>IFERROR(__xludf.DUMMYFUNCTION("""COMPUTED_VALUE"""),"D50V")</f>
        <v>D50V</v>
      </c>
      <c r="B8578" s="226" t="str">
        <f>IFERROR(__xludf.DUMMYFUNCTION("""COMPUTED_VALUE"""),"34853")</f>
        <v>34853</v>
      </c>
      <c r="C8578" t="str">
        <f>IFERROR(__xludf.DUMMYFUNCTION("""COMPUTED_VALUE"""),"Autohak")</f>
        <v>Autohak</v>
      </c>
    </row>
    <row r="8579">
      <c r="A8579" t="str">
        <f>IFERROR(__xludf.DUMMYFUNCTION("""COMPUTED_VALUE"""),"D51")</f>
        <v>D51</v>
      </c>
      <c r="B8579" s="226" t="str">
        <f>IFERROR(__xludf.DUMMYFUNCTION("""COMPUTED_VALUE"""),"32422")</f>
        <v>32422</v>
      </c>
      <c r="C8579" t="str">
        <f>IFERROR(__xludf.DUMMYFUNCTION("""COMPUTED_VALUE"""),"Autohak")</f>
        <v>Autohak</v>
      </c>
    </row>
    <row r="8580">
      <c r="A8580" t="str">
        <f>IFERROR(__xludf.DUMMYFUNCTION("""COMPUTED_VALUE"""),"D51A")</f>
        <v>D51A</v>
      </c>
      <c r="B8580" s="226" t="str">
        <f>IFERROR(__xludf.DUMMYFUNCTION("""COMPUTED_VALUE"""),"34419")</f>
        <v>34419</v>
      </c>
      <c r="C8580" t="str">
        <f>IFERROR(__xludf.DUMMYFUNCTION("""COMPUTED_VALUE"""),"Autohak")</f>
        <v>Autohak</v>
      </c>
    </row>
    <row r="8581">
      <c r="A8581" t="str">
        <f>IFERROR(__xludf.DUMMYFUNCTION("""COMPUTED_VALUE"""),"D51V")</f>
        <v>D51V</v>
      </c>
      <c r="B8581" s="226" t="str">
        <f>IFERROR(__xludf.DUMMYFUNCTION("""COMPUTED_VALUE"""),"34846")</f>
        <v>34846</v>
      </c>
      <c r="C8581" t="str">
        <f>IFERROR(__xludf.DUMMYFUNCTION("""COMPUTED_VALUE"""),"Autohak")</f>
        <v>Autohak</v>
      </c>
    </row>
    <row r="8582">
      <c r="A8582" t="str">
        <f>IFERROR(__xludf.DUMMYFUNCTION("""COMPUTED_VALUE"""),"D26")</f>
        <v>D26</v>
      </c>
      <c r="B8582" s="226" t="str">
        <f>IFERROR(__xludf.DUMMYFUNCTION("""COMPUTED_VALUE"""),"32125")</f>
        <v>32125</v>
      </c>
      <c r="C8582" t="str">
        <f>IFERROR(__xludf.DUMMYFUNCTION("""COMPUTED_VALUE"""),"Autohak")</f>
        <v>Autohak</v>
      </c>
    </row>
    <row r="8583">
      <c r="A8583" t="str">
        <f>IFERROR(__xludf.DUMMYFUNCTION("""COMPUTED_VALUE"""),"D26A")</f>
        <v>D26A</v>
      </c>
      <c r="B8583" s="226" t="str">
        <f>IFERROR(__xludf.DUMMYFUNCTION("""COMPUTED_VALUE"""),"34129")</f>
        <v>34129</v>
      </c>
      <c r="C8583" t="str">
        <f>IFERROR(__xludf.DUMMYFUNCTION("""COMPUTED_VALUE"""),"Autohak")</f>
        <v>Autohak</v>
      </c>
    </row>
    <row r="8584">
      <c r="A8584" t="str">
        <f>IFERROR(__xludf.DUMMYFUNCTION("""COMPUTED_VALUE"""),"D36")</f>
        <v>D36</v>
      </c>
      <c r="B8584" s="226" t="str">
        <f>IFERROR(__xludf.DUMMYFUNCTION("""COMPUTED_VALUE"""),"32279")</f>
        <v>32279</v>
      </c>
      <c r="C8584" t="str">
        <f>IFERROR(__xludf.DUMMYFUNCTION("""COMPUTED_VALUE"""),"Autohak")</f>
        <v>Autohak</v>
      </c>
    </row>
    <row r="8585">
      <c r="A8585" t="str">
        <f>IFERROR(__xludf.DUMMYFUNCTION("""COMPUTED_VALUE"""),"D36A")</f>
        <v>D36A</v>
      </c>
      <c r="B8585" s="226" t="str">
        <f>IFERROR(__xludf.DUMMYFUNCTION("""COMPUTED_VALUE"""),"34273")</f>
        <v>34273</v>
      </c>
      <c r="C8585" t="str">
        <f>IFERROR(__xludf.DUMMYFUNCTION("""COMPUTED_VALUE"""),"Autohak")</f>
        <v>Autohak</v>
      </c>
    </row>
    <row r="8586">
      <c r="A8586" t="str">
        <f>IFERROR(__xludf.DUMMYFUNCTION("""COMPUTED_VALUE"""),"D44")</f>
        <v>D44</v>
      </c>
      <c r="B8586" s="226" t="str">
        <f>IFERROR(__xludf.DUMMYFUNCTION("""COMPUTED_VALUE"""),"32354")</f>
        <v>32354</v>
      </c>
      <c r="C8586" t="str">
        <f>IFERROR(__xludf.DUMMYFUNCTION("""COMPUTED_VALUE"""),"Autohak")</f>
        <v>Autohak</v>
      </c>
    </row>
    <row r="8587">
      <c r="A8587" t="str">
        <f>IFERROR(__xludf.DUMMYFUNCTION("""COMPUTED_VALUE"""),"D44A")</f>
        <v>D44A</v>
      </c>
      <c r="B8587" s="226" t="str">
        <f>IFERROR(__xludf.DUMMYFUNCTION("""COMPUTED_VALUE"""),"34341")</f>
        <v>34341</v>
      </c>
      <c r="C8587" t="str">
        <f>IFERROR(__xludf.DUMMYFUNCTION("""COMPUTED_VALUE"""),"Autohak")</f>
        <v>Autohak</v>
      </c>
    </row>
    <row r="8588">
      <c r="A8588" t="str">
        <f>IFERROR(__xludf.DUMMYFUNCTION("""COMPUTED_VALUE"""),"D44V")</f>
        <v>D44V</v>
      </c>
      <c r="B8588" s="226" t="str">
        <f>IFERROR(__xludf.DUMMYFUNCTION("""COMPUTED_VALUE"""),"34938")</f>
        <v>34938</v>
      </c>
      <c r="C8588" t="str">
        <f>IFERROR(__xludf.DUMMYFUNCTION("""COMPUTED_VALUE"""),"Autohak")</f>
        <v>Autohak</v>
      </c>
    </row>
    <row r="8589">
      <c r="A8589" t="str">
        <f>IFERROR(__xludf.DUMMYFUNCTION("""COMPUTED_VALUE"""),"D56")</f>
        <v>D56</v>
      </c>
      <c r="B8589" s="226" t="str">
        <f>IFERROR(__xludf.DUMMYFUNCTION("""COMPUTED_VALUE"""),"32477")</f>
        <v>32477</v>
      </c>
      <c r="C8589" t="str">
        <f>IFERROR(__xludf.DUMMYFUNCTION("""COMPUTED_VALUE"""),"Autohak")</f>
        <v>Autohak</v>
      </c>
    </row>
    <row r="8590">
      <c r="A8590" t="str">
        <f>IFERROR(__xludf.DUMMYFUNCTION("""COMPUTED_VALUE"""),"D56A")</f>
        <v>D56A</v>
      </c>
      <c r="B8590" s="226" t="str">
        <f>IFERROR(__xludf.DUMMYFUNCTION("""COMPUTED_VALUE"""),"34457")</f>
        <v>34457</v>
      </c>
      <c r="C8590" t="str">
        <f>IFERROR(__xludf.DUMMYFUNCTION("""COMPUTED_VALUE"""),"Autohak")</f>
        <v>Autohak</v>
      </c>
    </row>
    <row r="8591">
      <c r="A8591" t="str">
        <f>IFERROR(__xludf.DUMMYFUNCTION("""COMPUTED_VALUE"""),"D56V")</f>
        <v>D56V</v>
      </c>
      <c r="B8591" s="226" t="str">
        <f>IFERROR(__xludf.DUMMYFUNCTION("""COMPUTED_VALUE"""),"34792")</f>
        <v>34792</v>
      </c>
      <c r="C8591" t="str">
        <f>IFERROR(__xludf.DUMMYFUNCTION("""COMPUTED_VALUE"""),"Autohak")</f>
        <v>Autohak</v>
      </c>
    </row>
    <row r="8592">
      <c r="A8592" t="str">
        <f>IFERROR(__xludf.DUMMYFUNCTION("""COMPUTED_VALUE"""),"D12")</f>
        <v>D12</v>
      </c>
      <c r="B8592" s="226" t="str">
        <f>IFERROR(__xludf.DUMMYFUNCTION("""COMPUTED_VALUE"""),"32088")</f>
        <v>32088</v>
      </c>
      <c r="C8592" t="str">
        <f>IFERROR(__xludf.DUMMYFUNCTION("""COMPUTED_VALUE"""),"Autohak")</f>
        <v>Autohak</v>
      </c>
    </row>
    <row r="8593">
      <c r="A8593" t="str">
        <f>IFERROR(__xludf.DUMMYFUNCTION("""COMPUTED_VALUE"""),"D13")</f>
        <v>D13</v>
      </c>
      <c r="B8593" s="226" t="str">
        <f>IFERROR(__xludf.DUMMYFUNCTION("""COMPUTED_VALUE"""),"32095")</f>
        <v>32095</v>
      </c>
      <c r="C8593" t="str">
        <f>IFERROR(__xludf.DUMMYFUNCTION("""COMPUTED_VALUE"""),"Autohak")</f>
        <v>Autohak</v>
      </c>
    </row>
    <row r="8594">
      <c r="A8594" t="str">
        <f>IFERROR(__xludf.DUMMYFUNCTION("""COMPUTED_VALUE"""),"D19")</f>
        <v>D19</v>
      </c>
      <c r="B8594" s="226" t="str">
        <f>IFERROR(__xludf.DUMMYFUNCTION("""COMPUTED_VALUE"""),"32101")</f>
        <v>32101</v>
      </c>
      <c r="C8594" t="str">
        <f>IFERROR(__xludf.DUMMYFUNCTION("""COMPUTED_VALUE"""),"Autohak")</f>
        <v>Autohak</v>
      </c>
    </row>
    <row r="8595">
      <c r="A8595" t="str">
        <f>IFERROR(__xludf.DUMMYFUNCTION("""COMPUTED_VALUE"""),"D13")</f>
        <v>D13</v>
      </c>
      <c r="B8595" s="226" t="str">
        <f>IFERROR(__xludf.DUMMYFUNCTION("""COMPUTED_VALUE"""),"32095")</f>
        <v>32095</v>
      </c>
      <c r="C8595" t="str">
        <f>IFERROR(__xludf.DUMMYFUNCTION("""COMPUTED_VALUE"""),"Autohak")</f>
        <v>Autohak</v>
      </c>
    </row>
    <row r="8596">
      <c r="A8596" t="str">
        <f>IFERROR(__xludf.DUMMYFUNCTION("""COMPUTED_VALUE"""),"D15")</f>
        <v>D15</v>
      </c>
      <c r="B8596" s="226" t="str">
        <f>IFERROR(__xludf.DUMMYFUNCTION("""COMPUTED_VALUE"""),"32118")</f>
        <v>32118</v>
      </c>
      <c r="C8596" t="str">
        <f>IFERROR(__xludf.DUMMYFUNCTION("""COMPUTED_VALUE"""),"Autohak")</f>
        <v>Autohak</v>
      </c>
    </row>
    <row r="8597">
      <c r="A8597" t="str">
        <f>IFERROR(__xludf.DUMMYFUNCTION("""COMPUTED_VALUE"""),"D17")</f>
        <v>D17</v>
      </c>
      <c r="B8597" s="226" t="str">
        <f>IFERROR(__xludf.DUMMYFUNCTION("""COMPUTED_VALUE"""),"32262")</f>
        <v>32262</v>
      </c>
      <c r="C8597" t="str">
        <f>IFERROR(__xludf.DUMMYFUNCTION("""COMPUTED_VALUE"""),"Autohak")</f>
        <v>Autohak</v>
      </c>
    </row>
    <row r="8598">
      <c r="A8598" t="str">
        <f>IFERROR(__xludf.DUMMYFUNCTION("""COMPUTED_VALUE"""),"D34")</f>
        <v>D34</v>
      </c>
      <c r="B8598" s="226" t="str">
        <f>IFERROR(__xludf.DUMMYFUNCTION("""COMPUTED_VALUE"""),"32248")</f>
        <v>32248</v>
      </c>
      <c r="C8598" t="str">
        <f>IFERROR(__xludf.DUMMYFUNCTION("""COMPUTED_VALUE"""),"Autohak")</f>
        <v>Autohak</v>
      </c>
    </row>
    <row r="8599">
      <c r="A8599" t="str">
        <f>IFERROR(__xludf.DUMMYFUNCTION("""COMPUTED_VALUE"""),"D34")</f>
        <v>D34</v>
      </c>
      <c r="B8599" s="226" t="str">
        <f>IFERROR(__xludf.DUMMYFUNCTION("""COMPUTED_VALUE"""),"32248")</f>
        <v>32248</v>
      </c>
      <c r="C8599" t="str">
        <f>IFERROR(__xludf.DUMMYFUNCTION("""COMPUTED_VALUE"""),"Autohak")</f>
        <v>Autohak</v>
      </c>
    </row>
    <row r="8600">
      <c r="A8600" t="str">
        <f>IFERROR(__xludf.DUMMYFUNCTION("""COMPUTED_VALUE"""),"D35")</f>
        <v>D35</v>
      </c>
      <c r="B8600" s="226" t="str">
        <f>IFERROR(__xludf.DUMMYFUNCTION("""COMPUTED_VALUE"""),"32255")</f>
        <v>32255</v>
      </c>
      <c r="C8600" t="str">
        <f>IFERROR(__xludf.DUMMYFUNCTION("""COMPUTED_VALUE"""),"Autohak")</f>
        <v>Autohak</v>
      </c>
    </row>
    <row r="8601">
      <c r="A8601" t="str">
        <f>IFERROR(__xludf.DUMMYFUNCTION("""COMPUTED_VALUE"""),"D35")</f>
        <v>D35</v>
      </c>
      <c r="B8601" s="226" t="str">
        <f>IFERROR(__xludf.DUMMYFUNCTION("""COMPUTED_VALUE"""),"32255")</f>
        <v>32255</v>
      </c>
      <c r="C8601" t="str">
        <f>IFERROR(__xludf.DUMMYFUNCTION("""COMPUTED_VALUE"""),"Autohak")</f>
        <v>Autohak</v>
      </c>
    </row>
    <row r="8602">
      <c r="A8602" t="str">
        <f>IFERROR(__xludf.DUMMYFUNCTION("""COMPUTED_VALUE"""),"D35")</f>
        <v>D35</v>
      </c>
      <c r="B8602" s="226" t="str">
        <f>IFERROR(__xludf.DUMMYFUNCTION("""COMPUTED_VALUE"""),"32255")</f>
        <v>32255</v>
      </c>
      <c r="C8602" t="str">
        <f>IFERROR(__xludf.DUMMYFUNCTION("""COMPUTED_VALUE"""),"Autohak")</f>
        <v>Autohak</v>
      </c>
    </row>
    <row r="8603">
      <c r="A8603" t="str">
        <f>IFERROR(__xludf.DUMMYFUNCTION("""COMPUTED_VALUE"""),"D60")</f>
        <v>D60</v>
      </c>
      <c r="B8603" s="226" t="str">
        <f>IFERROR(__xludf.DUMMYFUNCTION("""COMPUTED_VALUE"""),"32514")</f>
        <v>32514</v>
      </c>
      <c r="C8603" t="str">
        <f>IFERROR(__xludf.DUMMYFUNCTION("""COMPUTED_VALUE"""),"Autohak")</f>
        <v>Autohak</v>
      </c>
    </row>
    <row r="8604">
      <c r="A8604" t="str">
        <f>IFERROR(__xludf.DUMMYFUNCTION("""COMPUTED_VALUE"""),"D40")</f>
        <v>D40</v>
      </c>
      <c r="B8604" s="226" t="str">
        <f>IFERROR(__xludf.DUMMYFUNCTION("""COMPUTED_VALUE"""),"32316")</f>
        <v>32316</v>
      </c>
      <c r="C8604" t="str">
        <f>IFERROR(__xludf.DUMMYFUNCTION("""COMPUTED_VALUE"""),"Autohak")</f>
        <v>Autohak</v>
      </c>
    </row>
    <row r="8605">
      <c r="A8605" t="str">
        <f>IFERROR(__xludf.DUMMYFUNCTION("""COMPUTED_VALUE"""),"D27")</f>
        <v>D27</v>
      </c>
      <c r="B8605" s="226" t="str">
        <f>IFERROR(__xludf.DUMMYFUNCTION("""COMPUTED_VALUE"""),"32194")</f>
        <v>32194</v>
      </c>
      <c r="C8605" t="str">
        <f>IFERROR(__xludf.DUMMYFUNCTION("""COMPUTED_VALUE"""),"Autohak")</f>
        <v>Autohak</v>
      </c>
    </row>
    <row r="8606">
      <c r="A8606" t="str">
        <f>IFERROR(__xludf.DUMMYFUNCTION("""COMPUTED_VALUE"""),"D27A")</f>
        <v>D27A</v>
      </c>
      <c r="B8606" s="226" t="str">
        <f>IFERROR(__xludf.DUMMYFUNCTION("""COMPUTED_VALUE"""),"34198")</f>
        <v>34198</v>
      </c>
      <c r="C8606" t="str">
        <f>IFERROR(__xludf.DUMMYFUNCTION("""COMPUTED_VALUE"""),"Autohak")</f>
        <v>Autohak</v>
      </c>
    </row>
    <row r="8607">
      <c r="A8607" t="str">
        <f>IFERROR(__xludf.DUMMYFUNCTION("""COMPUTED_VALUE"""),"D11")</f>
        <v>D11</v>
      </c>
      <c r="B8607" s="226" t="str">
        <f>IFERROR(__xludf.DUMMYFUNCTION("""COMPUTED_VALUE"""),"32200")</f>
        <v>32200</v>
      </c>
      <c r="C8607" t="str">
        <f>IFERROR(__xludf.DUMMYFUNCTION("""COMPUTED_VALUE"""),"Autohak")</f>
        <v>Autohak</v>
      </c>
    </row>
    <row r="8608">
      <c r="A8608" t="str">
        <f>IFERROR(__xludf.DUMMYFUNCTION("""COMPUTED_VALUE"""),"D11A")</f>
        <v>D11A</v>
      </c>
      <c r="B8608" s="226" t="str">
        <f>IFERROR(__xludf.DUMMYFUNCTION("""COMPUTED_VALUE"""),"34204")</f>
        <v>34204</v>
      </c>
      <c r="C8608" t="str">
        <f>IFERROR(__xludf.DUMMYFUNCTION("""COMPUTED_VALUE"""),"Autohak")</f>
        <v>Autohak</v>
      </c>
    </row>
    <row r="8609">
      <c r="A8609" t="str">
        <f>IFERROR(__xludf.DUMMYFUNCTION("""COMPUTED_VALUE"""),"D30")</f>
        <v>D30</v>
      </c>
      <c r="B8609" s="226" t="str">
        <f>IFERROR(__xludf.DUMMYFUNCTION("""COMPUTED_VALUE"""),"32217")</f>
        <v>32217</v>
      </c>
      <c r="C8609" t="str">
        <f>IFERROR(__xludf.DUMMYFUNCTION("""COMPUTED_VALUE"""),"Autohak")</f>
        <v>Autohak</v>
      </c>
    </row>
    <row r="8610">
      <c r="A8610" t="str">
        <f>IFERROR(__xludf.DUMMYFUNCTION("""COMPUTED_VALUE"""),"D30A")</f>
        <v>D30A</v>
      </c>
      <c r="B8610" s="226" t="str">
        <f>IFERROR(__xludf.DUMMYFUNCTION("""COMPUTED_VALUE"""),"34211")</f>
        <v>34211</v>
      </c>
      <c r="C8610" t="str">
        <f>IFERROR(__xludf.DUMMYFUNCTION("""COMPUTED_VALUE"""),"Autohak")</f>
        <v>Autohak</v>
      </c>
    </row>
    <row r="8611">
      <c r="A8611" t="str">
        <f>IFERROR(__xludf.DUMMYFUNCTION("""COMPUTED_VALUE"""),"D30")</f>
        <v>D30</v>
      </c>
      <c r="B8611" s="226" t="str">
        <f>IFERROR(__xludf.DUMMYFUNCTION("""COMPUTED_VALUE"""),"32217")</f>
        <v>32217</v>
      </c>
      <c r="C8611" t="str">
        <f>IFERROR(__xludf.DUMMYFUNCTION("""COMPUTED_VALUE"""),"Autohak")</f>
        <v>Autohak</v>
      </c>
    </row>
    <row r="8612">
      <c r="A8612" t="str">
        <f>IFERROR(__xludf.DUMMYFUNCTION("""COMPUTED_VALUE"""),"D30A")</f>
        <v>D30A</v>
      </c>
      <c r="B8612" s="226" t="str">
        <f>IFERROR(__xludf.DUMMYFUNCTION("""COMPUTED_VALUE"""),"34211")</f>
        <v>34211</v>
      </c>
      <c r="C8612" t="str">
        <f>IFERROR(__xludf.DUMMYFUNCTION("""COMPUTED_VALUE"""),"Autohak")</f>
        <v>Autohak</v>
      </c>
    </row>
    <row r="8613">
      <c r="A8613" t="str">
        <f>IFERROR(__xludf.DUMMYFUNCTION("""COMPUTED_VALUE"""),"D47")</f>
        <v>D47</v>
      </c>
      <c r="B8613" s="226" t="str">
        <f>IFERROR(__xludf.DUMMYFUNCTION("""COMPUTED_VALUE"""),"32385")</f>
        <v>32385</v>
      </c>
      <c r="C8613" t="str">
        <f>IFERROR(__xludf.DUMMYFUNCTION("""COMPUTED_VALUE"""),"Autohak")</f>
        <v>Autohak</v>
      </c>
    </row>
    <row r="8614">
      <c r="A8614" t="str">
        <f>IFERROR(__xludf.DUMMYFUNCTION("""COMPUTED_VALUE"""),"D47A")</f>
        <v>D47A</v>
      </c>
      <c r="B8614" s="226" t="str">
        <f>IFERROR(__xludf.DUMMYFUNCTION("""COMPUTED_VALUE"""),"34372")</f>
        <v>34372</v>
      </c>
      <c r="C8614" t="str">
        <f>IFERROR(__xludf.DUMMYFUNCTION("""COMPUTED_VALUE"""),"Autohak")</f>
        <v>Autohak</v>
      </c>
    </row>
    <row r="8615">
      <c r="A8615" t="str">
        <f>IFERROR(__xludf.DUMMYFUNCTION("""COMPUTED_VALUE"""),"D47V")</f>
        <v>D47V</v>
      </c>
      <c r="B8615" s="226" t="str">
        <f>IFERROR(__xludf.DUMMYFUNCTION("""COMPUTED_VALUE"""),"34884")</f>
        <v>34884</v>
      </c>
      <c r="C8615" t="str">
        <f>IFERROR(__xludf.DUMMYFUNCTION("""COMPUTED_VALUE"""),"Autohak")</f>
        <v>Autohak</v>
      </c>
    </row>
    <row r="8616">
      <c r="A8616" t="str">
        <f>IFERROR(__xludf.DUMMYFUNCTION("""COMPUTED_VALUE"""),"D55")</f>
        <v>D55</v>
      </c>
      <c r="B8616" s="226" t="str">
        <f>IFERROR(__xludf.DUMMYFUNCTION("""COMPUTED_VALUE"""),"32460")</f>
        <v>32460</v>
      </c>
      <c r="C8616" t="str">
        <f>IFERROR(__xludf.DUMMYFUNCTION("""COMPUTED_VALUE"""),"Autohak")</f>
        <v>Autohak</v>
      </c>
    </row>
    <row r="8617">
      <c r="A8617" t="str">
        <f>IFERROR(__xludf.DUMMYFUNCTION("""COMPUTED_VALUE"""),"MC01")</f>
        <v>MC01</v>
      </c>
      <c r="B8617" s="226" t="str">
        <f>IFERROR(__xludf.DUMMYFUNCTION("""COMPUTED_VALUE"""),"29064")</f>
        <v>29064</v>
      </c>
      <c r="C8617" t="str">
        <f>IFERROR(__xludf.DUMMYFUNCTION("""COMPUTED_VALUE"""),"Autohak")</f>
        <v>Autohak</v>
      </c>
    </row>
    <row r="8618">
      <c r="A8618" t="str">
        <f>IFERROR(__xludf.DUMMYFUNCTION("""COMPUTED_VALUE"""),"MC01A")</f>
        <v>MC01A</v>
      </c>
      <c r="B8618" s="226" t="str">
        <f>IFERROR(__xludf.DUMMYFUNCTION("""COMPUTED_VALUE"""),"29071")</f>
        <v>29071</v>
      </c>
      <c r="C8618" t="str">
        <f>IFERROR(__xludf.DUMMYFUNCTION("""COMPUTED_VALUE"""),"Autohak")</f>
        <v>Autohak</v>
      </c>
    </row>
    <row r="8619">
      <c r="A8619" t="str">
        <f>IFERROR(__xludf.DUMMYFUNCTION("""COMPUTED_VALUE"""),"MC01V")</f>
        <v>MC01V</v>
      </c>
      <c r="B8619" s="226" t="str">
        <f>IFERROR(__xludf.DUMMYFUNCTION("""COMPUTED_VALUE"""),"29088")</f>
        <v>29088</v>
      </c>
      <c r="C8619" t="str">
        <f>IFERROR(__xludf.DUMMYFUNCTION("""COMPUTED_VALUE"""),"Autohak")</f>
        <v>Autohak</v>
      </c>
    </row>
    <row r="8620">
      <c r="A8620" t="str">
        <f>IFERROR(__xludf.DUMMYFUNCTION("""COMPUTED_VALUE"""),"MC01")</f>
        <v>MC01</v>
      </c>
      <c r="B8620" s="226" t="str">
        <f>IFERROR(__xludf.DUMMYFUNCTION("""COMPUTED_VALUE"""),"29064")</f>
        <v>29064</v>
      </c>
      <c r="C8620" t="str">
        <f>IFERROR(__xludf.DUMMYFUNCTION("""COMPUTED_VALUE"""),"Autohak")</f>
        <v>Autohak</v>
      </c>
    </row>
    <row r="8621">
      <c r="A8621" t="str">
        <f>IFERROR(__xludf.DUMMYFUNCTION("""COMPUTED_VALUE"""),"MC01A")</f>
        <v>MC01A</v>
      </c>
      <c r="B8621" s="226" t="str">
        <f>IFERROR(__xludf.DUMMYFUNCTION("""COMPUTED_VALUE"""),"29071")</f>
        <v>29071</v>
      </c>
      <c r="C8621" t="str">
        <f>IFERROR(__xludf.DUMMYFUNCTION("""COMPUTED_VALUE"""),"Autohak")</f>
        <v>Autohak</v>
      </c>
    </row>
    <row r="8622">
      <c r="A8622" t="str">
        <f>IFERROR(__xludf.DUMMYFUNCTION("""COMPUTED_VALUE"""),"MC01V")</f>
        <v>MC01V</v>
      </c>
      <c r="B8622" s="226" t="str">
        <f>IFERROR(__xludf.DUMMYFUNCTION("""COMPUTED_VALUE"""),"29088")</f>
        <v>29088</v>
      </c>
      <c r="C8622" t="str">
        <f>IFERROR(__xludf.DUMMYFUNCTION("""COMPUTED_VALUE"""),"Autohak")</f>
        <v>Autohak</v>
      </c>
    </row>
    <row r="8623">
      <c r="A8623" t="str">
        <f>IFERROR(__xludf.DUMMYFUNCTION("""COMPUTED_VALUE"""),"MC02")</f>
        <v>MC02</v>
      </c>
      <c r="B8623" s="226" t="str">
        <f>IFERROR(__xludf.DUMMYFUNCTION("""COMPUTED_VALUE"""),"29095")</f>
        <v>29095</v>
      </c>
      <c r="C8623" t="str">
        <f>IFERROR(__xludf.DUMMYFUNCTION("""COMPUTED_VALUE"""),"Autohak")</f>
        <v>Autohak</v>
      </c>
    </row>
    <row r="8624">
      <c r="A8624" t="str">
        <f>IFERROR(__xludf.DUMMYFUNCTION("""COMPUTED_VALUE"""),"MC02A")</f>
        <v>MC02A</v>
      </c>
      <c r="B8624" s="226" t="str">
        <f>IFERROR(__xludf.DUMMYFUNCTION("""COMPUTED_VALUE"""),"29101")</f>
        <v>29101</v>
      </c>
      <c r="C8624" t="str">
        <f>IFERROR(__xludf.DUMMYFUNCTION("""COMPUTED_VALUE"""),"Autohak")</f>
        <v>Autohak</v>
      </c>
    </row>
    <row r="8625">
      <c r="A8625" t="str">
        <f>IFERROR(__xludf.DUMMYFUNCTION("""COMPUTED_VALUE"""),"MC02V")</f>
        <v>MC02V</v>
      </c>
      <c r="B8625" s="226" t="str">
        <f>IFERROR(__xludf.DUMMYFUNCTION("""COMPUTED_VALUE"""),"29118")</f>
        <v>29118</v>
      </c>
      <c r="C8625" t="str">
        <f>IFERROR(__xludf.DUMMYFUNCTION("""COMPUTED_VALUE"""),"Autohak")</f>
        <v>Autohak</v>
      </c>
    </row>
    <row r="8626">
      <c r="A8626" t="str">
        <f>IFERROR(__xludf.DUMMYFUNCTION("""COMPUTED_VALUE"""),"MC03")</f>
        <v>MC03</v>
      </c>
      <c r="B8626" s="226" t="str">
        <f>IFERROR(__xludf.DUMMYFUNCTION("""COMPUTED_VALUE"""),"29125")</f>
        <v>29125</v>
      </c>
      <c r="C8626" t="str">
        <f>IFERROR(__xludf.DUMMYFUNCTION("""COMPUTED_VALUE"""),"Autohak")</f>
        <v>Autohak</v>
      </c>
    </row>
    <row r="8627">
      <c r="A8627" t="str">
        <f>IFERROR(__xludf.DUMMYFUNCTION("""COMPUTED_VALUE"""),"MC03A")</f>
        <v>MC03A</v>
      </c>
      <c r="B8627" s="226" t="str">
        <f>IFERROR(__xludf.DUMMYFUNCTION("""COMPUTED_VALUE"""),"29132")</f>
        <v>29132</v>
      </c>
      <c r="C8627" t="str">
        <f>IFERROR(__xludf.DUMMYFUNCTION("""COMPUTED_VALUE"""),"Autohak")</f>
        <v>Autohak</v>
      </c>
    </row>
    <row r="8628">
      <c r="A8628" t="str">
        <f>IFERROR(__xludf.DUMMYFUNCTION("""COMPUTED_VALUE"""),"MC03V")</f>
        <v>MC03V</v>
      </c>
      <c r="B8628" s="226" t="str">
        <f>IFERROR(__xludf.DUMMYFUNCTION("""COMPUTED_VALUE"""),"29149")</f>
        <v>29149</v>
      </c>
      <c r="C8628" t="str">
        <f>IFERROR(__xludf.DUMMYFUNCTION("""COMPUTED_VALUE"""),"Autohak")</f>
        <v>Autohak</v>
      </c>
    </row>
    <row r="8629">
      <c r="A8629" t="str">
        <f>IFERROR(__xludf.DUMMYFUNCTION("""COMPUTED_VALUE"""),"Z41")</f>
        <v>Z41</v>
      </c>
      <c r="B8629" s="226" t="str">
        <f>IFERROR(__xludf.DUMMYFUNCTION("""COMPUTED_VALUE"""),"35249")</f>
        <v>35249</v>
      </c>
      <c r="C8629" t="str">
        <f>IFERROR(__xludf.DUMMYFUNCTION("""COMPUTED_VALUE"""),"Autohak")</f>
        <v>Autohak</v>
      </c>
    </row>
    <row r="8630">
      <c r="A8630" t="str">
        <f>IFERROR(__xludf.DUMMYFUNCTION("""COMPUTED_VALUE"""),"Z41A")</f>
        <v>Z41A</v>
      </c>
      <c r="B8630" s="226" t="str">
        <f>IFERROR(__xludf.DUMMYFUNCTION("""COMPUTED_VALUE"""),"37236")</f>
        <v>37236</v>
      </c>
      <c r="C8630" t="str">
        <f>IFERROR(__xludf.DUMMYFUNCTION("""COMPUTED_VALUE"""),"Autohak")</f>
        <v>Autohak</v>
      </c>
    </row>
    <row r="8631">
      <c r="A8631" t="str">
        <f>IFERROR(__xludf.DUMMYFUNCTION("""COMPUTED_VALUE"""),"Z43")</f>
        <v>Z43</v>
      </c>
      <c r="B8631" s="226" t="str">
        <f>IFERROR(__xludf.DUMMYFUNCTION("""COMPUTED_VALUE"""),"35263")</f>
        <v>35263</v>
      </c>
      <c r="C8631" t="str">
        <f>IFERROR(__xludf.DUMMYFUNCTION("""COMPUTED_VALUE"""),"Autohak")</f>
        <v>Autohak</v>
      </c>
    </row>
    <row r="8632">
      <c r="A8632" t="str">
        <f>IFERROR(__xludf.DUMMYFUNCTION("""COMPUTED_VALUE"""),"Z43A")</f>
        <v>Z43A</v>
      </c>
      <c r="B8632" s="226" t="str">
        <f>IFERROR(__xludf.DUMMYFUNCTION("""COMPUTED_VALUE"""),"37250")</f>
        <v>37250</v>
      </c>
      <c r="C8632" t="str">
        <f>IFERROR(__xludf.DUMMYFUNCTION("""COMPUTED_VALUE"""),"Autohak")</f>
        <v>Autohak</v>
      </c>
    </row>
    <row r="8633">
      <c r="A8633" t="str">
        <f>IFERROR(__xludf.DUMMYFUNCTION("""COMPUTED_VALUE"""),"Z43V")</f>
        <v>Z43V</v>
      </c>
      <c r="B8633" s="226" t="str">
        <f>IFERROR(__xludf.DUMMYFUNCTION("""COMPUTED_VALUE"""),"37984")</f>
        <v>37984</v>
      </c>
      <c r="C8633" t="str">
        <f>IFERROR(__xludf.DUMMYFUNCTION("""COMPUTED_VALUE"""),"Autohak")</f>
        <v>Autohak</v>
      </c>
    </row>
    <row r="8634">
      <c r="A8634" t="str">
        <f>IFERROR(__xludf.DUMMYFUNCTION("""COMPUTED_VALUE"""),"Z43")</f>
        <v>Z43</v>
      </c>
      <c r="B8634" s="226" t="str">
        <f>IFERROR(__xludf.DUMMYFUNCTION("""COMPUTED_VALUE"""),"35263")</f>
        <v>35263</v>
      </c>
      <c r="C8634" t="str">
        <f>IFERROR(__xludf.DUMMYFUNCTION("""COMPUTED_VALUE"""),"Autohak")</f>
        <v>Autohak</v>
      </c>
    </row>
    <row r="8635">
      <c r="A8635" t="str">
        <f>IFERROR(__xludf.DUMMYFUNCTION("""COMPUTED_VALUE"""),"Z43A")</f>
        <v>Z43A</v>
      </c>
      <c r="B8635" s="226" t="str">
        <f>IFERROR(__xludf.DUMMYFUNCTION("""COMPUTED_VALUE"""),"37250")</f>
        <v>37250</v>
      </c>
      <c r="C8635" t="str">
        <f>IFERROR(__xludf.DUMMYFUNCTION("""COMPUTED_VALUE"""),"Autohak")</f>
        <v>Autohak</v>
      </c>
    </row>
    <row r="8636">
      <c r="A8636" t="str">
        <f>IFERROR(__xludf.DUMMYFUNCTION("""COMPUTED_VALUE"""),"Z43V")</f>
        <v>Z43V</v>
      </c>
      <c r="B8636" s="226" t="str">
        <f>IFERROR(__xludf.DUMMYFUNCTION("""COMPUTED_VALUE"""),"37984")</f>
        <v>37984</v>
      </c>
      <c r="C8636" t="str">
        <f>IFERROR(__xludf.DUMMYFUNCTION("""COMPUTED_VALUE"""),"Autohak")</f>
        <v>Autohak</v>
      </c>
    </row>
    <row r="8637">
      <c r="A8637" t="str">
        <f>IFERROR(__xludf.DUMMYFUNCTION("""COMPUTED_VALUE"""),"Z32")</f>
        <v>Z32</v>
      </c>
      <c r="B8637" s="226" t="str">
        <f>IFERROR(__xludf.DUMMYFUNCTION("""COMPUTED_VALUE"""),"35003")</f>
        <v>35003</v>
      </c>
      <c r="C8637" t="str">
        <f>IFERROR(__xludf.DUMMYFUNCTION("""COMPUTED_VALUE"""),"Autohak")</f>
        <v>Autohak</v>
      </c>
    </row>
    <row r="8638">
      <c r="A8638" t="str">
        <f>IFERROR(__xludf.DUMMYFUNCTION("""COMPUTED_VALUE"""),"Z23")</f>
        <v>Z23</v>
      </c>
      <c r="B8638" s="226" t="str">
        <f>IFERROR(__xludf.DUMMYFUNCTION("""COMPUTED_VALUE"""),"35010")</f>
        <v>35010</v>
      </c>
      <c r="C8638" t="str">
        <f>IFERROR(__xludf.DUMMYFUNCTION("""COMPUTED_VALUE"""),"Autohak")</f>
        <v>Autohak</v>
      </c>
    </row>
    <row r="8639">
      <c r="A8639" t="str">
        <f>IFERROR(__xludf.DUMMYFUNCTION("""COMPUTED_VALUE"""),"Z23A")</f>
        <v>Z23A</v>
      </c>
      <c r="B8639" s="226" t="str">
        <f>IFERROR(__xludf.DUMMYFUNCTION("""COMPUTED_VALUE"""),"37014")</f>
        <v>37014</v>
      </c>
      <c r="C8639" t="str">
        <f>IFERROR(__xludf.DUMMYFUNCTION("""COMPUTED_VALUE"""),"Autohak")</f>
        <v>Autohak</v>
      </c>
    </row>
    <row r="8640">
      <c r="A8640" t="str">
        <f>IFERROR(__xludf.DUMMYFUNCTION("""COMPUTED_VALUE"""),"Z33")</f>
        <v>Z33</v>
      </c>
      <c r="B8640" s="226" t="str">
        <f>IFERROR(__xludf.DUMMYFUNCTION("""COMPUTED_VALUE"""),"35027")</f>
        <v>35027</v>
      </c>
      <c r="C8640" t="str">
        <f>IFERROR(__xludf.DUMMYFUNCTION("""COMPUTED_VALUE"""),"Autohak")</f>
        <v>Autohak</v>
      </c>
    </row>
    <row r="8641">
      <c r="A8641" t="str">
        <f>IFERROR(__xludf.DUMMYFUNCTION("""COMPUTED_VALUE"""),"Z33A")</f>
        <v>Z33A</v>
      </c>
      <c r="B8641" s="226" t="str">
        <f>IFERROR(__xludf.DUMMYFUNCTION("""COMPUTED_VALUE"""),"37021")</f>
        <v>37021</v>
      </c>
      <c r="C8641" t="str">
        <f>IFERROR(__xludf.DUMMYFUNCTION("""COMPUTED_VALUE"""),"Autohak")</f>
        <v>Autohak</v>
      </c>
    </row>
    <row r="8642">
      <c r="A8642" t="str">
        <f>IFERROR(__xludf.DUMMYFUNCTION("""COMPUTED_VALUE"""),"Z33")</f>
        <v>Z33</v>
      </c>
      <c r="B8642" s="226" t="str">
        <f>IFERROR(__xludf.DUMMYFUNCTION("""COMPUTED_VALUE"""),"35027")</f>
        <v>35027</v>
      </c>
      <c r="C8642" t="str">
        <f>IFERROR(__xludf.DUMMYFUNCTION("""COMPUTED_VALUE"""),"Autohak")</f>
        <v>Autohak</v>
      </c>
    </row>
    <row r="8643">
      <c r="A8643" t="str">
        <f>IFERROR(__xludf.DUMMYFUNCTION("""COMPUTED_VALUE"""),"Z33A")</f>
        <v>Z33A</v>
      </c>
      <c r="B8643" s="226" t="str">
        <f>IFERROR(__xludf.DUMMYFUNCTION("""COMPUTED_VALUE"""),"37021")</f>
        <v>37021</v>
      </c>
      <c r="C8643" t="str">
        <f>IFERROR(__xludf.DUMMYFUNCTION("""COMPUTED_VALUE"""),"Autohak")</f>
        <v>Autohak</v>
      </c>
    </row>
    <row r="8644">
      <c r="A8644" t="str">
        <f>IFERROR(__xludf.DUMMYFUNCTION("""COMPUTED_VALUE"""),"Z12")</f>
        <v>Z12</v>
      </c>
      <c r="B8644" s="226" t="str">
        <f>IFERROR(__xludf.DUMMYFUNCTION("""COMPUTED_VALUE"""),"35041")</f>
        <v>35041</v>
      </c>
      <c r="C8644" t="str">
        <f>IFERROR(__xludf.DUMMYFUNCTION("""COMPUTED_VALUE"""),"Autohak")</f>
        <v>Autohak</v>
      </c>
    </row>
    <row r="8645">
      <c r="A8645" t="str">
        <f>IFERROR(__xludf.DUMMYFUNCTION("""COMPUTED_VALUE"""),"Z12A")</f>
        <v>Z12A</v>
      </c>
      <c r="B8645" s="226" t="str">
        <f>IFERROR(__xludf.DUMMYFUNCTION("""COMPUTED_VALUE"""),"37045")</f>
        <v>37045</v>
      </c>
      <c r="C8645" t="str">
        <f>IFERROR(__xludf.DUMMYFUNCTION("""COMPUTED_VALUE"""),"Autohak")</f>
        <v>Autohak</v>
      </c>
    </row>
    <row r="8646">
      <c r="A8646" t="str">
        <f>IFERROR(__xludf.DUMMYFUNCTION("""COMPUTED_VALUE"""),"Z12")</f>
        <v>Z12</v>
      </c>
      <c r="B8646" s="226" t="str">
        <f>IFERROR(__xludf.DUMMYFUNCTION("""COMPUTED_VALUE"""),"35041")</f>
        <v>35041</v>
      </c>
      <c r="C8646" t="str">
        <f>IFERROR(__xludf.DUMMYFUNCTION("""COMPUTED_VALUE"""),"Autohak")</f>
        <v>Autohak</v>
      </c>
    </row>
    <row r="8647">
      <c r="A8647" t="str">
        <f>IFERROR(__xludf.DUMMYFUNCTION("""COMPUTED_VALUE"""),"Z12A")</f>
        <v>Z12A</v>
      </c>
      <c r="B8647" s="226" t="str">
        <f>IFERROR(__xludf.DUMMYFUNCTION("""COMPUTED_VALUE"""),"37045")</f>
        <v>37045</v>
      </c>
      <c r="C8647" t="str">
        <f>IFERROR(__xludf.DUMMYFUNCTION("""COMPUTED_VALUE"""),"Autohak")</f>
        <v>Autohak</v>
      </c>
    </row>
    <row r="8648">
      <c r="A8648" t="str">
        <f>IFERROR(__xludf.DUMMYFUNCTION("""COMPUTED_VALUE"""),"Z34")</f>
        <v>Z34</v>
      </c>
      <c r="B8648" s="226" t="str">
        <f>IFERROR(__xludf.DUMMYFUNCTION("""COMPUTED_VALUE"""),"35171")</f>
        <v>35171</v>
      </c>
      <c r="C8648" t="str">
        <f>IFERROR(__xludf.DUMMYFUNCTION("""COMPUTED_VALUE"""),"Autohak")</f>
        <v>Autohak</v>
      </c>
    </row>
    <row r="8649">
      <c r="A8649" t="str">
        <f>IFERROR(__xludf.DUMMYFUNCTION("""COMPUTED_VALUE"""),"Z34A")</f>
        <v>Z34A</v>
      </c>
      <c r="B8649" s="226" t="str">
        <f>IFERROR(__xludf.DUMMYFUNCTION("""COMPUTED_VALUE"""),"37175")</f>
        <v>37175</v>
      </c>
      <c r="C8649" t="str">
        <f>IFERROR(__xludf.DUMMYFUNCTION("""COMPUTED_VALUE"""),"Autohak")</f>
        <v>Autohak</v>
      </c>
    </row>
    <row r="8650">
      <c r="A8650" t="str">
        <f>IFERROR(__xludf.DUMMYFUNCTION("""COMPUTED_VALUE"""),"Z01")</f>
        <v>Z01</v>
      </c>
      <c r="B8650" s="226" t="str">
        <f>IFERROR(__xludf.DUMMYFUNCTION("""COMPUTED_VALUE"""),"35058")</f>
        <v>35058</v>
      </c>
      <c r="C8650" t="str">
        <f>IFERROR(__xludf.DUMMYFUNCTION("""COMPUTED_VALUE"""),"Autohak")</f>
        <v>Autohak</v>
      </c>
    </row>
    <row r="8651">
      <c r="A8651" t="str">
        <f>IFERROR(__xludf.DUMMYFUNCTION("""COMPUTED_VALUE"""),"Z01")</f>
        <v>Z01</v>
      </c>
      <c r="B8651" s="226" t="str">
        <f>IFERROR(__xludf.DUMMYFUNCTION("""COMPUTED_VALUE"""),"35058")</f>
        <v>35058</v>
      </c>
      <c r="C8651" t="str">
        <f>IFERROR(__xludf.DUMMYFUNCTION("""COMPUTED_VALUE"""),"Autohak")</f>
        <v>Autohak</v>
      </c>
    </row>
    <row r="8652">
      <c r="A8652" t="str">
        <f>IFERROR(__xludf.DUMMYFUNCTION("""COMPUTED_VALUE"""),"Z36")</f>
        <v>Z36</v>
      </c>
      <c r="B8652" s="226" t="str">
        <f>IFERROR(__xludf.DUMMYFUNCTION("""COMPUTED_VALUE"""),"35195")</f>
        <v>35195</v>
      </c>
      <c r="C8652" t="str">
        <f>IFERROR(__xludf.DUMMYFUNCTION("""COMPUTED_VALUE"""),"Autohak")</f>
        <v>Autohak</v>
      </c>
    </row>
    <row r="8653">
      <c r="A8653" t="str">
        <f>IFERROR(__xludf.DUMMYFUNCTION("""COMPUTED_VALUE"""),"Z40")</f>
        <v>Z40</v>
      </c>
      <c r="B8653" s="226" t="str">
        <f>IFERROR(__xludf.DUMMYFUNCTION("""COMPUTED_VALUE"""),"35232")</f>
        <v>35232</v>
      </c>
      <c r="C8653" t="str">
        <f>IFERROR(__xludf.DUMMYFUNCTION("""COMPUTED_VALUE"""),"Autohak")</f>
        <v>Autohak</v>
      </c>
    </row>
    <row r="8654">
      <c r="A8654" t="str">
        <f>IFERROR(__xludf.DUMMYFUNCTION("""COMPUTED_VALUE"""),"R58")</f>
        <v>R58</v>
      </c>
      <c r="B8654" s="226" t="str">
        <f>IFERROR(__xludf.DUMMYFUNCTION("""COMPUTED_VALUE"""),"13551")</f>
        <v>13551</v>
      </c>
      <c r="C8654" t="str">
        <f>IFERROR(__xludf.DUMMYFUNCTION("""COMPUTED_VALUE"""),"Autohak")</f>
        <v>Autohak</v>
      </c>
    </row>
    <row r="8655">
      <c r="A8655" t="str">
        <f>IFERROR(__xludf.DUMMYFUNCTION("""COMPUTED_VALUE"""),"R58A")</f>
        <v>R58A</v>
      </c>
      <c r="B8655" s="226" t="str">
        <f>IFERROR(__xludf.DUMMYFUNCTION("""COMPUTED_VALUE"""),"16521")</f>
        <v>16521</v>
      </c>
      <c r="C8655" t="str">
        <f>IFERROR(__xludf.DUMMYFUNCTION("""COMPUTED_VALUE"""),"Autohak")</f>
        <v>Autohak</v>
      </c>
    </row>
    <row r="8656">
      <c r="A8656" t="str">
        <f>IFERROR(__xludf.DUMMYFUNCTION("""COMPUTED_VALUE"""),"Z21")</f>
        <v>Z21</v>
      </c>
      <c r="B8656" s="226" t="str">
        <f>IFERROR(__xludf.DUMMYFUNCTION("""COMPUTED_VALUE"""),"35065")</f>
        <v>35065</v>
      </c>
      <c r="C8656" t="str">
        <f>IFERROR(__xludf.DUMMYFUNCTION("""COMPUTED_VALUE"""),"Autohak")</f>
        <v>Autohak</v>
      </c>
    </row>
    <row r="8657">
      <c r="A8657" t="str">
        <f>IFERROR(__xludf.DUMMYFUNCTION("""COMPUTED_VALUE"""),"Z21A")</f>
        <v>Z21A</v>
      </c>
      <c r="B8657" s="226" t="str">
        <f>IFERROR(__xludf.DUMMYFUNCTION("""COMPUTED_VALUE"""),"37069")</f>
        <v>37069</v>
      </c>
      <c r="C8657" t="str">
        <f>IFERROR(__xludf.DUMMYFUNCTION("""COMPUTED_VALUE"""),"Autohak")</f>
        <v>Autohak</v>
      </c>
    </row>
    <row r="8658">
      <c r="A8658" t="str">
        <f>IFERROR(__xludf.DUMMYFUNCTION("""COMPUTED_VALUE"""),"Z35")</f>
        <v>Z35</v>
      </c>
      <c r="B8658" s="226" t="str">
        <f>IFERROR(__xludf.DUMMYFUNCTION("""COMPUTED_VALUE"""),"35188")</f>
        <v>35188</v>
      </c>
      <c r="C8658" t="str">
        <f>IFERROR(__xludf.DUMMYFUNCTION("""COMPUTED_VALUE"""),"Autohak")</f>
        <v>Autohak</v>
      </c>
    </row>
    <row r="8659">
      <c r="A8659" t="str">
        <f>IFERROR(__xludf.DUMMYFUNCTION("""COMPUTED_VALUE"""),"Z35A")</f>
        <v>Z35A</v>
      </c>
      <c r="B8659" s="226" t="str">
        <f>IFERROR(__xludf.DUMMYFUNCTION("""COMPUTED_VALUE"""),"37182")</f>
        <v>37182</v>
      </c>
      <c r="C8659" t="str">
        <f>IFERROR(__xludf.DUMMYFUNCTION("""COMPUTED_VALUE"""),"Autohak")</f>
        <v>Autohak</v>
      </c>
    </row>
    <row r="8660">
      <c r="A8660" t="str">
        <f>IFERROR(__xludf.DUMMYFUNCTION("""COMPUTED_VALUE"""),"Z39")</f>
        <v>Z39</v>
      </c>
      <c r="B8660" s="226" t="str">
        <f>IFERROR(__xludf.DUMMYFUNCTION("""COMPUTED_VALUE"""),"35225")</f>
        <v>35225</v>
      </c>
      <c r="C8660" t="str">
        <f>IFERROR(__xludf.DUMMYFUNCTION("""COMPUTED_VALUE"""),"Autohak")</f>
        <v>Autohak</v>
      </c>
    </row>
    <row r="8661">
      <c r="A8661" t="str">
        <f>IFERROR(__xludf.DUMMYFUNCTION("""COMPUTED_VALUE"""),"Z39A")</f>
        <v>Z39A</v>
      </c>
      <c r="B8661" s="226" t="str">
        <f>IFERROR(__xludf.DUMMYFUNCTION("""COMPUTED_VALUE"""),"37229")</f>
        <v>37229</v>
      </c>
      <c r="C8661" t="str">
        <f>IFERROR(__xludf.DUMMYFUNCTION("""COMPUTED_VALUE"""),"Autohak")</f>
        <v>Autohak</v>
      </c>
    </row>
    <row r="8662">
      <c r="A8662" t="str">
        <f>IFERROR(__xludf.DUMMYFUNCTION("""COMPUTED_VALUE"""),"Z39V")</f>
        <v>Z39V</v>
      </c>
      <c r="B8662" s="226" t="str">
        <f>IFERROR(__xludf.DUMMYFUNCTION("""COMPUTED_VALUE"""),"37991")</f>
        <v>37991</v>
      </c>
      <c r="C8662" t="str">
        <f>IFERROR(__xludf.DUMMYFUNCTION("""COMPUTED_VALUE"""),"Autohak")</f>
        <v>Autohak</v>
      </c>
    </row>
    <row r="8663">
      <c r="A8663" t="str">
        <f>IFERROR(__xludf.DUMMYFUNCTION("""COMPUTED_VALUE"""),"Z39")</f>
        <v>Z39</v>
      </c>
      <c r="B8663" s="226" t="str">
        <f>IFERROR(__xludf.DUMMYFUNCTION("""COMPUTED_VALUE"""),"35225")</f>
        <v>35225</v>
      </c>
      <c r="C8663" t="str">
        <f>IFERROR(__xludf.DUMMYFUNCTION("""COMPUTED_VALUE"""),"Autohak")</f>
        <v>Autohak</v>
      </c>
    </row>
    <row r="8664">
      <c r="A8664" t="str">
        <f>IFERROR(__xludf.DUMMYFUNCTION("""COMPUTED_VALUE"""),"Z39A")</f>
        <v>Z39A</v>
      </c>
      <c r="B8664" s="226" t="str">
        <f>IFERROR(__xludf.DUMMYFUNCTION("""COMPUTED_VALUE"""),"37229")</f>
        <v>37229</v>
      </c>
      <c r="C8664" t="str">
        <f>IFERROR(__xludf.DUMMYFUNCTION("""COMPUTED_VALUE"""),"Autohak")</f>
        <v>Autohak</v>
      </c>
    </row>
    <row r="8665">
      <c r="A8665" t="str">
        <f>IFERROR(__xludf.DUMMYFUNCTION("""COMPUTED_VALUE"""),"Z39V")</f>
        <v>Z39V</v>
      </c>
      <c r="B8665" s="226" t="str">
        <f>IFERROR(__xludf.DUMMYFUNCTION("""COMPUTED_VALUE"""),"37991")</f>
        <v>37991</v>
      </c>
      <c r="C8665" t="str">
        <f>IFERROR(__xludf.DUMMYFUNCTION("""COMPUTED_VALUE"""),"Autohak")</f>
        <v>Autohak</v>
      </c>
    </row>
    <row r="8666">
      <c r="A8666" t="str">
        <f>IFERROR(__xludf.DUMMYFUNCTION("""COMPUTED_VALUE"""),"Z30")</f>
        <v>Z30</v>
      </c>
      <c r="B8666" s="226" t="str">
        <f>IFERROR(__xludf.DUMMYFUNCTION("""COMPUTED_VALUE"""),"35072")</f>
        <v>35072</v>
      </c>
      <c r="C8666" t="str">
        <f>IFERROR(__xludf.DUMMYFUNCTION("""COMPUTED_VALUE"""),"Autohak")</f>
        <v>Autohak</v>
      </c>
    </row>
    <row r="8667">
      <c r="A8667" t="str">
        <f>IFERROR(__xludf.DUMMYFUNCTION("""COMPUTED_VALUE"""),"Z30A")</f>
        <v>Z30A</v>
      </c>
      <c r="B8667" s="226" t="str">
        <f>IFERROR(__xludf.DUMMYFUNCTION("""COMPUTED_VALUE"""),"37076")</f>
        <v>37076</v>
      </c>
      <c r="C8667" t="str">
        <f>IFERROR(__xludf.DUMMYFUNCTION("""COMPUTED_VALUE"""),"Autohak")</f>
        <v>Autohak</v>
      </c>
    </row>
    <row r="8668">
      <c r="A8668" t="str">
        <f>IFERROR(__xludf.DUMMYFUNCTION("""COMPUTED_VALUE"""),"Z39")</f>
        <v>Z39</v>
      </c>
      <c r="B8668" s="226" t="str">
        <f>IFERROR(__xludf.DUMMYFUNCTION("""COMPUTED_VALUE"""),"35225")</f>
        <v>35225</v>
      </c>
      <c r="C8668" t="str">
        <f>IFERROR(__xludf.DUMMYFUNCTION("""COMPUTED_VALUE"""),"Autohak")</f>
        <v>Autohak</v>
      </c>
    </row>
    <row r="8669">
      <c r="A8669" t="str">
        <f>IFERROR(__xludf.DUMMYFUNCTION("""COMPUTED_VALUE"""),"Z39A")</f>
        <v>Z39A</v>
      </c>
      <c r="B8669" s="226" t="str">
        <f>IFERROR(__xludf.DUMMYFUNCTION("""COMPUTED_VALUE"""),"37229")</f>
        <v>37229</v>
      </c>
      <c r="C8669" t="str">
        <f>IFERROR(__xludf.DUMMYFUNCTION("""COMPUTED_VALUE"""),"Autohak")</f>
        <v>Autohak</v>
      </c>
    </row>
    <row r="8670">
      <c r="A8670" t="str">
        <f>IFERROR(__xludf.DUMMYFUNCTION("""COMPUTED_VALUE"""),"Z39V")</f>
        <v>Z39V</v>
      </c>
      <c r="B8670" s="226" t="str">
        <f>IFERROR(__xludf.DUMMYFUNCTION("""COMPUTED_VALUE"""),"37991")</f>
        <v>37991</v>
      </c>
      <c r="C8670" t="str">
        <f>IFERROR(__xludf.DUMMYFUNCTION("""COMPUTED_VALUE"""),"Autohak")</f>
        <v>Autohak</v>
      </c>
    </row>
    <row r="8671">
      <c r="A8671" t="str">
        <f>IFERROR(__xludf.DUMMYFUNCTION("""COMPUTED_VALUE"""),"Z39")</f>
        <v>Z39</v>
      </c>
      <c r="B8671" s="226" t="str">
        <f>IFERROR(__xludf.DUMMYFUNCTION("""COMPUTED_VALUE"""),"35225")</f>
        <v>35225</v>
      </c>
      <c r="C8671" t="str">
        <f>IFERROR(__xludf.DUMMYFUNCTION("""COMPUTED_VALUE"""),"Autohak")</f>
        <v>Autohak</v>
      </c>
    </row>
    <row r="8672">
      <c r="A8672" t="str">
        <f>IFERROR(__xludf.DUMMYFUNCTION("""COMPUTED_VALUE"""),"Z39A")</f>
        <v>Z39A</v>
      </c>
      <c r="B8672" s="226" t="str">
        <f>IFERROR(__xludf.DUMMYFUNCTION("""COMPUTED_VALUE"""),"37229")</f>
        <v>37229</v>
      </c>
      <c r="C8672" t="str">
        <f>IFERROR(__xludf.DUMMYFUNCTION("""COMPUTED_VALUE"""),"Autohak")</f>
        <v>Autohak</v>
      </c>
    </row>
    <row r="8673">
      <c r="A8673" t="str">
        <f>IFERROR(__xludf.DUMMYFUNCTION("""COMPUTED_VALUE"""),"Z39V")</f>
        <v>Z39V</v>
      </c>
      <c r="B8673" s="226" t="str">
        <f>IFERROR(__xludf.DUMMYFUNCTION("""COMPUTED_VALUE"""),"37991")</f>
        <v>37991</v>
      </c>
      <c r="C8673" t="str">
        <f>IFERROR(__xludf.DUMMYFUNCTION("""COMPUTED_VALUE"""),"Autohak")</f>
        <v>Autohak</v>
      </c>
    </row>
    <row r="8674">
      <c r="A8674" t="str">
        <f>IFERROR(__xludf.DUMMYFUNCTION("""COMPUTED_VALUE"""),"Z31")</f>
        <v>Z31</v>
      </c>
      <c r="B8674" s="226" t="str">
        <f>IFERROR(__xludf.DUMMYFUNCTION("""COMPUTED_VALUE"""),"35089")</f>
        <v>35089</v>
      </c>
      <c r="C8674" t="str">
        <f>IFERROR(__xludf.DUMMYFUNCTION("""COMPUTED_VALUE"""),"Autohak")</f>
        <v>Autohak</v>
      </c>
    </row>
    <row r="8675">
      <c r="A8675" t="str">
        <f>IFERROR(__xludf.DUMMYFUNCTION("""COMPUTED_VALUE"""),"Z31A")</f>
        <v>Z31A</v>
      </c>
      <c r="B8675" s="226" t="str">
        <f>IFERROR(__xludf.DUMMYFUNCTION("""COMPUTED_VALUE"""),"37083")</f>
        <v>37083</v>
      </c>
      <c r="C8675" t="str">
        <f>IFERROR(__xludf.DUMMYFUNCTION("""COMPUTED_VALUE"""),"Autohak")</f>
        <v>Autohak</v>
      </c>
    </row>
    <row r="8676">
      <c r="A8676" t="str">
        <f>IFERROR(__xludf.DUMMYFUNCTION("""COMPUTED_VALUE"""),"Z38")</f>
        <v>Z38</v>
      </c>
      <c r="B8676" s="226" t="str">
        <f>IFERROR(__xludf.DUMMYFUNCTION("""COMPUTED_VALUE"""),"35218")</f>
        <v>35218</v>
      </c>
      <c r="C8676" t="str">
        <f>IFERROR(__xludf.DUMMYFUNCTION("""COMPUTED_VALUE"""),"Autohak")</f>
        <v>Autohak</v>
      </c>
    </row>
    <row r="8677">
      <c r="A8677" t="str">
        <f>IFERROR(__xludf.DUMMYFUNCTION("""COMPUTED_VALUE"""),"Z38A")</f>
        <v>Z38A</v>
      </c>
      <c r="B8677" s="226" t="str">
        <f>IFERROR(__xludf.DUMMYFUNCTION("""COMPUTED_VALUE"""),"37212")</f>
        <v>37212</v>
      </c>
      <c r="C8677" t="str">
        <f>IFERROR(__xludf.DUMMYFUNCTION("""COMPUTED_VALUE"""),"Autohak")</f>
        <v>Autohak</v>
      </c>
    </row>
    <row r="8678">
      <c r="A8678" t="str">
        <f>IFERROR(__xludf.DUMMYFUNCTION("""COMPUTED_VALUE"""),"Z42")</f>
        <v>Z42</v>
      </c>
      <c r="B8678" s="226" t="str">
        <f>IFERROR(__xludf.DUMMYFUNCTION("""COMPUTED_VALUE"""),"35256")</f>
        <v>35256</v>
      </c>
      <c r="C8678" t="str">
        <f>IFERROR(__xludf.DUMMYFUNCTION("""COMPUTED_VALUE"""),"Autohak")</f>
        <v>Autohak</v>
      </c>
    </row>
    <row r="8679">
      <c r="A8679" t="str">
        <f>IFERROR(__xludf.DUMMYFUNCTION("""COMPUTED_VALUE"""),"Z42A")</f>
        <v>Z42A</v>
      </c>
      <c r="B8679" s="226" t="str">
        <f>IFERROR(__xludf.DUMMYFUNCTION("""COMPUTED_VALUE"""),"37243")</f>
        <v>37243</v>
      </c>
      <c r="C8679" t="str">
        <f>IFERROR(__xludf.DUMMYFUNCTION("""COMPUTED_VALUE"""),"Autohak")</f>
        <v>Autohak</v>
      </c>
    </row>
    <row r="8680">
      <c r="A8680" t="str">
        <f>IFERROR(__xludf.DUMMYFUNCTION("""COMPUTED_VALUE"""),"Z42V")</f>
        <v>Z42V</v>
      </c>
      <c r="B8680" s="226" t="str">
        <f>IFERROR(__xludf.DUMMYFUNCTION("""COMPUTED_VALUE"""),"37977")</f>
        <v>37977</v>
      </c>
      <c r="C8680" t="str">
        <f>IFERROR(__xludf.DUMMYFUNCTION("""COMPUTED_VALUE"""),"Autohak")</f>
        <v>Autohak</v>
      </c>
    </row>
    <row r="8681">
      <c r="A8681" t="str">
        <f>IFERROR(__xludf.DUMMYFUNCTION("""COMPUTED_VALUE"""),"Z42")</f>
        <v>Z42</v>
      </c>
      <c r="B8681" s="226" t="str">
        <f>IFERROR(__xludf.DUMMYFUNCTION("""COMPUTED_VALUE"""),"35256")</f>
        <v>35256</v>
      </c>
      <c r="C8681" t="str">
        <f>IFERROR(__xludf.DUMMYFUNCTION("""COMPUTED_VALUE"""),"Autohak")</f>
        <v>Autohak</v>
      </c>
    </row>
    <row r="8682">
      <c r="A8682" t="str">
        <f>IFERROR(__xludf.DUMMYFUNCTION("""COMPUTED_VALUE"""),"Z42A")</f>
        <v>Z42A</v>
      </c>
      <c r="B8682" s="226" t="str">
        <f>IFERROR(__xludf.DUMMYFUNCTION("""COMPUTED_VALUE"""),"37243")</f>
        <v>37243</v>
      </c>
      <c r="C8682" t="str">
        <f>IFERROR(__xludf.DUMMYFUNCTION("""COMPUTED_VALUE"""),"Autohak")</f>
        <v>Autohak</v>
      </c>
    </row>
    <row r="8683">
      <c r="A8683" t="str">
        <f>IFERROR(__xludf.DUMMYFUNCTION("""COMPUTED_VALUE"""),"Z42V")</f>
        <v>Z42V</v>
      </c>
      <c r="B8683" s="226" t="str">
        <f>IFERROR(__xludf.DUMMYFUNCTION("""COMPUTED_VALUE"""),"37977")</f>
        <v>37977</v>
      </c>
      <c r="C8683" t="str">
        <f>IFERROR(__xludf.DUMMYFUNCTION("""COMPUTED_VALUE"""),"Autohak")</f>
        <v>Autohak</v>
      </c>
    </row>
    <row r="8684">
      <c r="A8684" t="str">
        <f>IFERROR(__xludf.DUMMYFUNCTION("""COMPUTED_VALUE"""),"Z02")</f>
        <v>Z02</v>
      </c>
      <c r="B8684" s="226" t="str">
        <f>IFERROR(__xludf.DUMMYFUNCTION("""COMPUTED_VALUE"""),"35096")</f>
        <v>35096</v>
      </c>
      <c r="C8684" t="str">
        <f>IFERROR(__xludf.DUMMYFUNCTION("""COMPUTED_VALUE"""),"Autohak")</f>
        <v>Autohak</v>
      </c>
    </row>
    <row r="8685">
      <c r="A8685" t="str">
        <f>IFERROR(__xludf.DUMMYFUNCTION("""COMPUTED_VALUE"""),"Z45")</f>
        <v>Z45</v>
      </c>
      <c r="B8685" s="226" t="str">
        <f>IFERROR(__xludf.DUMMYFUNCTION("""COMPUTED_VALUE"""),"35287")</f>
        <v>35287</v>
      </c>
      <c r="C8685" t="str">
        <f>IFERROR(__xludf.DUMMYFUNCTION("""COMPUTED_VALUE"""),"Autohak")</f>
        <v>Autohak</v>
      </c>
    </row>
    <row r="8686">
      <c r="A8686" t="str">
        <f>IFERROR(__xludf.DUMMYFUNCTION("""COMPUTED_VALUE"""),"Z45A")</f>
        <v>Z45A</v>
      </c>
      <c r="B8686" s="226" t="str">
        <f>IFERROR(__xludf.DUMMYFUNCTION("""COMPUTED_VALUE"""),"37274")</f>
        <v>37274</v>
      </c>
      <c r="C8686" t="str">
        <f>IFERROR(__xludf.DUMMYFUNCTION("""COMPUTED_VALUE"""),"Autohak")</f>
        <v>Autohak</v>
      </c>
    </row>
    <row r="8687">
      <c r="A8687" t="str">
        <f>IFERROR(__xludf.DUMMYFUNCTION("""COMPUTED_VALUE"""),"Z25")</f>
        <v>Z25</v>
      </c>
      <c r="B8687" s="226" t="str">
        <f>IFERROR(__xludf.DUMMYFUNCTION("""COMPUTED_VALUE"""),"35102")</f>
        <v>35102</v>
      </c>
      <c r="C8687" t="str">
        <f>IFERROR(__xludf.DUMMYFUNCTION("""COMPUTED_VALUE"""),"Autohak")</f>
        <v>Autohak</v>
      </c>
    </row>
    <row r="8688">
      <c r="A8688" t="str">
        <f>IFERROR(__xludf.DUMMYFUNCTION("""COMPUTED_VALUE"""),"Z25A")</f>
        <v>Z25A</v>
      </c>
      <c r="B8688" s="226" t="str">
        <f>IFERROR(__xludf.DUMMYFUNCTION("""COMPUTED_VALUE"""),"37106")</f>
        <v>37106</v>
      </c>
      <c r="C8688" t="str">
        <f>IFERROR(__xludf.DUMMYFUNCTION("""COMPUTED_VALUE"""),"Autohak")</f>
        <v>Autohak</v>
      </c>
    </row>
    <row r="8689">
      <c r="A8689" t="str">
        <f>IFERROR(__xludf.DUMMYFUNCTION("""COMPUTED_VALUE"""),"Z28")</f>
        <v>Z28</v>
      </c>
      <c r="B8689" s="226" t="str">
        <f>IFERROR(__xludf.DUMMYFUNCTION("""COMPUTED_VALUE"""),"35119")</f>
        <v>35119</v>
      </c>
      <c r="C8689" t="str">
        <f>IFERROR(__xludf.DUMMYFUNCTION("""COMPUTED_VALUE"""),"Autohak")</f>
        <v>Autohak</v>
      </c>
    </row>
    <row r="8690">
      <c r="A8690" t="str">
        <f>IFERROR(__xludf.DUMMYFUNCTION("""COMPUTED_VALUE"""),"Z37")</f>
        <v>Z37</v>
      </c>
      <c r="B8690" s="226" t="str">
        <f>IFERROR(__xludf.DUMMYFUNCTION("""COMPUTED_VALUE"""),"35201")</f>
        <v>35201</v>
      </c>
      <c r="C8690" t="str">
        <f>IFERROR(__xludf.DUMMYFUNCTION("""COMPUTED_VALUE"""),"Autohak")</f>
        <v>Autohak</v>
      </c>
    </row>
    <row r="8691">
      <c r="A8691" t="str">
        <f>IFERROR(__xludf.DUMMYFUNCTION("""COMPUTED_VALUE"""),"Z37A")</f>
        <v>Z37A</v>
      </c>
      <c r="B8691" s="226" t="str">
        <f>IFERROR(__xludf.DUMMYFUNCTION("""COMPUTED_VALUE"""),"37205")</f>
        <v>37205</v>
      </c>
      <c r="C8691" t="str">
        <f>IFERROR(__xludf.DUMMYFUNCTION("""COMPUTED_VALUE"""),"Autohak")</f>
        <v>Autohak</v>
      </c>
    </row>
    <row r="8692">
      <c r="A8692" t="str">
        <f>IFERROR(__xludf.DUMMYFUNCTION("""COMPUTED_VALUE"""),"Z37")</f>
        <v>Z37</v>
      </c>
      <c r="B8692" s="226" t="str">
        <f>IFERROR(__xludf.DUMMYFUNCTION("""COMPUTED_VALUE"""),"35201")</f>
        <v>35201</v>
      </c>
      <c r="C8692" t="str">
        <f>IFERROR(__xludf.DUMMYFUNCTION("""COMPUTED_VALUE"""),"Autohak")</f>
        <v>Autohak</v>
      </c>
    </row>
    <row r="8693">
      <c r="A8693" t="str">
        <f>IFERROR(__xludf.DUMMYFUNCTION("""COMPUTED_VALUE"""),"Z37A")</f>
        <v>Z37A</v>
      </c>
      <c r="B8693" s="226" t="str">
        <f>IFERROR(__xludf.DUMMYFUNCTION("""COMPUTED_VALUE"""),"37205")</f>
        <v>37205</v>
      </c>
      <c r="C8693" t="str">
        <f>IFERROR(__xludf.DUMMYFUNCTION("""COMPUTED_VALUE"""),"Autohak")</f>
        <v>Autohak</v>
      </c>
    </row>
    <row r="8694">
      <c r="A8694" t="str">
        <f>IFERROR(__xludf.DUMMYFUNCTION("""COMPUTED_VALUE"""),"Z29")</f>
        <v>Z29</v>
      </c>
      <c r="B8694" s="226" t="str">
        <f>IFERROR(__xludf.DUMMYFUNCTION("""COMPUTED_VALUE"""),"35126")</f>
        <v>35126</v>
      </c>
      <c r="C8694" t="str">
        <f>IFERROR(__xludf.DUMMYFUNCTION("""COMPUTED_VALUE"""),"Autohak")</f>
        <v>Autohak</v>
      </c>
    </row>
    <row r="8695">
      <c r="A8695" t="str">
        <f>IFERROR(__xludf.DUMMYFUNCTION("""COMPUTED_VALUE"""),"Z26")</f>
        <v>Z26</v>
      </c>
      <c r="B8695" s="226" t="str">
        <f>IFERROR(__xludf.DUMMYFUNCTION("""COMPUTED_VALUE"""),"35133")</f>
        <v>35133</v>
      </c>
      <c r="C8695" t="str">
        <f>IFERROR(__xludf.DUMMYFUNCTION("""COMPUTED_VALUE"""),"Autohak")</f>
        <v>Autohak</v>
      </c>
    </row>
    <row r="8696">
      <c r="A8696" t="str">
        <f>IFERROR(__xludf.DUMMYFUNCTION("""COMPUTED_VALUE"""),"Z26A")</f>
        <v>Z26A</v>
      </c>
      <c r="B8696" s="226" t="str">
        <f>IFERROR(__xludf.DUMMYFUNCTION("""COMPUTED_VALUE"""),"37137")</f>
        <v>37137</v>
      </c>
      <c r="C8696" t="str">
        <f>IFERROR(__xludf.DUMMYFUNCTION("""COMPUTED_VALUE"""),"Autohak")</f>
        <v>Autohak</v>
      </c>
    </row>
    <row r="8697">
      <c r="A8697" t="str">
        <f>IFERROR(__xludf.DUMMYFUNCTION("""COMPUTED_VALUE"""),"Z44")</f>
        <v>Z44</v>
      </c>
      <c r="B8697" s="226" t="str">
        <f>IFERROR(__xludf.DUMMYFUNCTION("""COMPUTED_VALUE"""),"35270")</f>
        <v>35270</v>
      </c>
      <c r="C8697" t="str">
        <f>IFERROR(__xludf.DUMMYFUNCTION("""COMPUTED_VALUE"""),"Autohak")</f>
        <v>Autohak</v>
      </c>
    </row>
    <row r="8698">
      <c r="A8698" t="str">
        <f>IFERROR(__xludf.DUMMYFUNCTION("""COMPUTED_VALUE"""),"Z44A")</f>
        <v>Z44A</v>
      </c>
      <c r="B8698" s="226" t="str">
        <f>IFERROR(__xludf.DUMMYFUNCTION("""COMPUTED_VALUE"""),"37267")</f>
        <v>37267</v>
      </c>
      <c r="C8698" t="str">
        <f>IFERROR(__xludf.DUMMYFUNCTION("""COMPUTED_VALUE"""),"Autohak")</f>
        <v>Autohak</v>
      </c>
    </row>
    <row r="8699">
      <c r="A8699" t="str">
        <f>IFERROR(__xludf.DUMMYFUNCTION("""COMPUTED_VALUE"""),"Z16")</f>
        <v>Z16</v>
      </c>
      <c r="B8699" s="226" t="str">
        <f>IFERROR(__xludf.DUMMYFUNCTION("""COMPUTED_VALUE"""),"35140")</f>
        <v>35140</v>
      </c>
      <c r="C8699" t="str">
        <f>IFERROR(__xludf.DUMMYFUNCTION("""COMPUTED_VALUE"""),"Autohak")</f>
        <v>Autohak</v>
      </c>
    </row>
    <row r="8700">
      <c r="A8700" t="str">
        <f>IFERROR(__xludf.DUMMYFUNCTION("""COMPUTED_VALUE"""),"Z16A")</f>
        <v>Z16A</v>
      </c>
      <c r="B8700" s="226" t="str">
        <f>IFERROR(__xludf.DUMMYFUNCTION("""COMPUTED_VALUE"""),"37144")</f>
        <v>37144</v>
      </c>
      <c r="C8700" t="str">
        <f>IFERROR(__xludf.DUMMYFUNCTION("""COMPUTED_VALUE"""),"Autohak")</f>
        <v>Autohak</v>
      </c>
    </row>
    <row r="8701">
      <c r="A8701" t="str">
        <f>IFERROR(__xludf.DUMMYFUNCTION("""COMPUTED_VALUE"""),"Z24")</f>
        <v>Z24</v>
      </c>
      <c r="B8701" s="226" t="str">
        <f>IFERROR(__xludf.DUMMYFUNCTION("""COMPUTED_VALUE"""),"35157")</f>
        <v>35157</v>
      </c>
      <c r="C8701" t="str">
        <f>IFERROR(__xludf.DUMMYFUNCTION("""COMPUTED_VALUE"""),"Autohak")</f>
        <v>Autohak</v>
      </c>
    </row>
    <row r="8702">
      <c r="A8702" t="str">
        <f>IFERROR(__xludf.DUMMYFUNCTION("""COMPUTED_VALUE"""),"Z24A")</f>
        <v>Z24A</v>
      </c>
      <c r="B8702" s="226" t="str">
        <f>IFERROR(__xludf.DUMMYFUNCTION("""COMPUTED_VALUE"""),"37151")</f>
        <v>37151</v>
      </c>
      <c r="C8702" t="str">
        <f>IFERROR(__xludf.DUMMYFUNCTION("""COMPUTED_VALUE"""),"Autohak")</f>
        <v>Autohak</v>
      </c>
    </row>
    <row r="8703">
      <c r="A8703" t="str">
        <f>IFERROR(__xludf.DUMMYFUNCTION("""COMPUTED_VALUE"""),"Z27")</f>
        <v>Z27</v>
      </c>
      <c r="B8703" s="226" t="str">
        <f>IFERROR(__xludf.DUMMYFUNCTION("""COMPUTED_VALUE"""),"35164")</f>
        <v>35164</v>
      </c>
      <c r="C8703" t="str">
        <f>IFERROR(__xludf.DUMMYFUNCTION("""COMPUTED_VALUE"""),"Autohak")</f>
        <v>Autohak</v>
      </c>
    </row>
    <row r="8704">
      <c r="A8704" t="str">
        <f>IFERROR(__xludf.DUMMYFUNCTION("""COMPUTED_VALUE"""),"Z27A")</f>
        <v>Z27A</v>
      </c>
      <c r="B8704" s="226" t="str">
        <f>IFERROR(__xludf.DUMMYFUNCTION("""COMPUTED_VALUE"""),"37168")</f>
        <v>37168</v>
      </c>
      <c r="C8704" t="str">
        <f>IFERROR(__xludf.DUMMYFUNCTION("""COMPUTED_VALUE"""),"Autohak")</f>
        <v>Autohak</v>
      </c>
    </row>
    <row r="8705">
      <c r="A8705" t="str">
        <f>IFERROR(__xludf.DUMMYFUNCTION("""COMPUTED_VALUE"""),"V08")</f>
        <v>V08</v>
      </c>
      <c r="B8705" s="226" t="str">
        <f>IFERROR(__xludf.DUMMYFUNCTION("""COMPUTED_VALUE"""),"38004")</f>
        <v>38004</v>
      </c>
      <c r="C8705" t="str">
        <f>IFERROR(__xludf.DUMMYFUNCTION("""COMPUTED_VALUE"""),"Autohak")</f>
        <v>Autohak</v>
      </c>
    </row>
    <row r="8706">
      <c r="A8706" t="str">
        <f>IFERROR(__xludf.DUMMYFUNCTION("""COMPUTED_VALUE"""),"V08A")</f>
        <v>V08A</v>
      </c>
      <c r="B8706" s="226" t="str">
        <f>IFERROR(__xludf.DUMMYFUNCTION("""COMPUTED_VALUE"""),"39001")</f>
        <v>39001</v>
      </c>
      <c r="C8706" t="str">
        <f>IFERROR(__xludf.DUMMYFUNCTION("""COMPUTED_VALUE"""),"Autohak")</f>
        <v>Autohak</v>
      </c>
    </row>
    <row r="8707">
      <c r="A8707" t="str">
        <f>IFERROR(__xludf.DUMMYFUNCTION("""COMPUTED_VALUE"""),"V48")</f>
        <v>V48</v>
      </c>
      <c r="B8707" s="226" t="str">
        <f>IFERROR(__xludf.DUMMYFUNCTION("""COMPUTED_VALUE"""),"38028")</f>
        <v>38028</v>
      </c>
      <c r="C8707" t="str">
        <f>IFERROR(__xludf.DUMMYFUNCTION("""COMPUTED_VALUE"""),"Autohak")</f>
        <v>Autohak</v>
      </c>
    </row>
    <row r="8708">
      <c r="A8708" t="str">
        <f>IFERROR(__xludf.DUMMYFUNCTION("""COMPUTED_VALUE"""),"V48A")</f>
        <v>V48A</v>
      </c>
      <c r="B8708" s="226" t="str">
        <f>IFERROR(__xludf.DUMMYFUNCTION("""COMPUTED_VALUE"""),"39025")</f>
        <v>39025</v>
      </c>
      <c r="C8708" t="str">
        <f>IFERROR(__xludf.DUMMYFUNCTION("""COMPUTED_VALUE"""),"Autohak")</f>
        <v>Autohak</v>
      </c>
    </row>
    <row r="8709">
      <c r="A8709" t="str">
        <f>IFERROR(__xludf.DUMMYFUNCTION("""COMPUTED_VALUE"""),"V10")</f>
        <v>V10</v>
      </c>
      <c r="B8709" s="226" t="str">
        <f>IFERROR(__xludf.DUMMYFUNCTION("""COMPUTED_VALUE"""),"38011")</f>
        <v>38011</v>
      </c>
      <c r="C8709" t="str">
        <f>IFERROR(__xludf.DUMMYFUNCTION("""COMPUTED_VALUE"""),"Autohak")</f>
        <v>Autohak</v>
      </c>
    </row>
    <row r="8710">
      <c r="A8710" t="str">
        <f>IFERROR(__xludf.DUMMYFUNCTION("""COMPUTED_VALUE"""),"V10A")</f>
        <v>V10A</v>
      </c>
      <c r="B8710" s="226" t="str">
        <f>IFERROR(__xludf.DUMMYFUNCTION("""COMPUTED_VALUE"""),"39018")</f>
        <v>39018</v>
      </c>
      <c r="C8710" t="str">
        <f>IFERROR(__xludf.DUMMYFUNCTION("""COMPUTED_VALUE"""),"Autohak")</f>
        <v>Autohak</v>
      </c>
    </row>
    <row r="8711">
      <c r="A8711" t="str">
        <f>IFERROR(__xludf.DUMMYFUNCTION("""COMPUTED_VALUE"""),"V49")</f>
        <v>V49</v>
      </c>
      <c r="B8711" s="226" t="str">
        <f>IFERROR(__xludf.DUMMYFUNCTION("""COMPUTED_VALUE"""),"38035")</f>
        <v>38035</v>
      </c>
      <c r="C8711" t="str">
        <f>IFERROR(__xludf.DUMMYFUNCTION("""COMPUTED_VALUE"""),"Autohak")</f>
        <v>Autohak</v>
      </c>
    </row>
    <row r="8712">
      <c r="A8712" t="str">
        <f>IFERROR(__xludf.DUMMYFUNCTION("""COMPUTED_VALUE"""),"V49A")</f>
        <v>V49A</v>
      </c>
      <c r="B8712" s="226" t="str">
        <f>IFERROR(__xludf.DUMMYFUNCTION("""COMPUTED_VALUE"""),"39032")</f>
        <v>39032</v>
      </c>
      <c r="C8712" t="str">
        <f>IFERROR(__xludf.DUMMYFUNCTION("""COMPUTED_VALUE"""),"Autohak")</f>
        <v>Autohak</v>
      </c>
    </row>
    <row r="8713">
      <c r="A8713" t="str">
        <f>IFERROR(__xludf.DUMMYFUNCTION("""COMPUTED_VALUE"""),"V78")</f>
        <v>V78</v>
      </c>
      <c r="B8713" s="226" t="str">
        <f>IFERROR(__xludf.DUMMYFUNCTION("""COMPUTED_VALUE"""),"38394")</f>
        <v>38394</v>
      </c>
      <c r="C8713" t="str">
        <f>IFERROR(__xludf.DUMMYFUNCTION("""COMPUTED_VALUE"""),"Autohak")</f>
        <v>Autohak</v>
      </c>
    </row>
    <row r="8714">
      <c r="A8714" t="str">
        <f>IFERROR(__xludf.DUMMYFUNCTION("""COMPUTED_VALUE"""),"V78A")</f>
        <v>V78A</v>
      </c>
      <c r="B8714" s="226" t="str">
        <f>IFERROR(__xludf.DUMMYFUNCTION("""COMPUTED_VALUE"""),"39384")</f>
        <v>39384</v>
      </c>
      <c r="C8714" t="str">
        <f>IFERROR(__xludf.DUMMYFUNCTION("""COMPUTED_VALUE"""),"Autohak")</f>
        <v>Autohak</v>
      </c>
    </row>
    <row r="8715">
      <c r="A8715" t="str">
        <f>IFERROR(__xludf.DUMMYFUNCTION("""COMPUTED_VALUE"""),"V22")</f>
        <v>V22</v>
      </c>
      <c r="B8715" s="226" t="str">
        <f>IFERROR(__xludf.DUMMYFUNCTION("""COMPUTED_VALUE"""),"38042")</f>
        <v>38042</v>
      </c>
      <c r="C8715" t="str">
        <f>IFERROR(__xludf.DUMMYFUNCTION("""COMPUTED_VALUE"""),"Autohak")</f>
        <v>Autohak</v>
      </c>
    </row>
    <row r="8716">
      <c r="A8716" t="str">
        <f>IFERROR(__xludf.DUMMYFUNCTION("""COMPUTED_VALUE"""),"G28")</f>
        <v>G28</v>
      </c>
      <c r="B8716" s="226" t="str">
        <f>IFERROR(__xludf.DUMMYFUNCTION("""COMPUTED_VALUE"""),"49147")</f>
        <v>49147</v>
      </c>
      <c r="C8716" t="str">
        <f>IFERROR(__xludf.DUMMYFUNCTION("""COMPUTED_VALUE"""),"Autohak")</f>
        <v>Autohak</v>
      </c>
    </row>
    <row r="8717">
      <c r="A8717" t="str">
        <f>IFERROR(__xludf.DUMMYFUNCTION("""COMPUTED_VALUE"""),"V71")</f>
        <v>V71</v>
      </c>
      <c r="B8717" s="226" t="str">
        <f>IFERROR(__xludf.DUMMYFUNCTION("""COMPUTED_VALUE"""),"38325")</f>
        <v>38325</v>
      </c>
      <c r="C8717" t="str">
        <f>IFERROR(__xludf.DUMMYFUNCTION("""COMPUTED_VALUE"""),"Autohak")</f>
        <v>Autohak</v>
      </c>
    </row>
    <row r="8718">
      <c r="A8718" t="str">
        <f>IFERROR(__xludf.DUMMYFUNCTION("""COMPUTED_VALUE"""),"V71A")</f>
        <v>V71A</v>
      </c>
      <c r="B8718" s="226" t="str">
        <f>IFERROR(__xludf.DUMMYFUNCTION("""COMPUTED_VALUE"""),"39322")</f>
        <v>39322</v>
      </c>
      <c r="C8718" t="str">
        <f>IFERROR(__xludf.DUMMYFUNCTION("""COMPUTED_VALUE"""),"Autohak")</f>
        <v>Autohak</v>
      </c>
    </row>
    <row r="8719">
      <c r="A8719" t="str">
        <f>IFERROR(__xludf.DUMMYFUNCTION("""COMPUTED_VALUE"""),"V71")</f>
        <v>V71</v>
      </c>
      <c r="B8719" s="226" t="str">
        <f>IFERROR(__xludf.DUMMYFUNCTION("""COMPUTED_VALUE"""),"38325")</f>
        <v>38325</v>
      </c>
      <c r="C8719" t="str">
        <f>IFERROR(__xludf.DUMMYFUNCTION("""COMPUTED_VALUE"""),"Autohak")</f>
        <v>Autohak</v>
      </c>
    </row>
    <row r="8720">
      <c r="A8720" t="str">
        <f>IFERROR(__xludf.DUMMYFUNCTION("""COMPUTED_VALUE"""),"V71A")</f>
        <v>V71A</v>
      </c>
      <c r="B8720" s="226" t="str">
        <f>IFERROR(__xludf.DUMMYFUNCTION("""COMPUTED_VALUE"""),"39322")</f>
        <v>39322</v>
      </c>
      <c r="C8720" t="str">
        <f>IFERROR(__xludf.DUMMYFUNCTION("""COMPUTED_VALUE"""),"Autohak")</f>
        <v>Autohak</v>
      </c>
    </row>
    <row r="8721">
      <c r="A8721" t="str">
        <f>IFERROR(__xludf.DUMMYFUNCTION("""COMPUTED_VALUE"""),"V71V")</f>
        <v>V71V</v>
      </c>
      <c r="B8721" s="226" t="str">
        <f>IFERROR(__xludf.DUMMYFUNCTION("""COMPUTED_VALUE"""),"39940")</f>
        <v>39940</v>
      </c>
      <c r="C8721" t="str">
        <f>IFERROR(__xludf.DUMMYFUNCTION("""COMPUTED_VALUE"""),"Autohak")</f>
        <v>Autohak</v>
      </c>
    </row>
    <row r="8722">
      <c r="A8722" t="str">
        <f>IFERROR(__xludf.DUMMYFUNCTION("""COMPUTED_VALUE"""),"G27")</f>
        <v>G27</v>
      </c>
      <c r="B8722" s="226" t="str">
        <f>IFERROR(__xludf.DUMMYFUNCTION("""COMPUTED_VALUE"""),"49086")</f>
        <v>49086</v>
      </c>
      <c r="C8722" t="str">
        <f>IFERROR(__xludf.DUMMYFUNCTION("""COMPUTED_VALUE"""),"Autohak")</f>
        <v>Autohak</v>
      </c>
    </row>
    <row r="8723">
      <c r="A8723" t="str">
        <f>IFERROR(__xludf.DUMMYFUNCTION("""COMPUTED_VALUE"""),"G27A")</f>
        <v>G27A</v>
      </c>
      <c r="B8723" s="226" t="str">
        <f>IFERROR(__xludf.DUMMYFUNCTION("""COMPUTED_VALUE"""),"52086")</f>
        <v>52086</v>
      </c>
      <c r="C8723" t="str">
        <f>IFERROR(__xludf.DUMMYFUNCTION("""COMPUTED_VALUE"""),"Autohak")</f>
        <v>Autohak</v>
      </c>
    </row>
    <row r="8724">
      <c r="A8724" t="str">
        <f>IFERROR(__xludf.DUMMYFUNCTION("""COMPUTED_VALUE"""),"V50")</f>
        <v>V50</v>
      </c>
      <c r="B8724" s="226" t="str">
        <f>IFERROR(__xludf.DUMMYFUNCTION("""COMPUTED_VALUE"""),"38059")</f>
        <v>38059</v>
      </c>
      <c r="C8724" t="str">
        <f>IFERROR(__xludf.DUMMYFUNCTION("""COMPUTED_VALUE"""),"Autohak")</f>
        <v>Autohak</v>
      </c>
    </row>
    <row r="8725">
      <c r="A8725" t="str">
        <f>IFERROR(__xludf.DUMMYFUNCTION("""COMPUTED_VALUE"""),"V50A")</f>
        <v>V50A</v>
      </c>
      <c r="B8725" s="226" t="str">
        <f>IFERROR(__xludf.DUMMYFUNCTION("""COMPUTED_VALUE"""),"39056")</f>
        <v>39056</v>
      </c>
      <c r="C8725" t="str">
        <f>IFERROR(__xludf.DUMMYFUNCTION("""COMPUTED_VALUE"""),"Autohak")</f>
        <v>Autohak</v>
      </c>
    </row>
    <row r="8726">
      <c r="A8726" t="str">
        <f>IFERROR(__xludf.DUMMYFUNCTION("""COMPUTED_VALUE"""),"V60")</f>
        <v>V60</v>
      </c>
      <c r="B8726" s="226" t="str">
        <f>IFERROR(__xludf.DUMMYFUNCTION("""COMPUTED_VALUE"""),"38066")</f>
        <v>38066</v>
      </c>
      <c r="C8726" t="str">
        <f>IFERROR(__xludf.DUMMYFUNCTION("""COMPUTED_VALUE"""),"Autohak")</f>
        <v>Autohak</v>
      </c>
    </row>
    <row r="8727">
      <c r="A8727" t="str">
        <f>IFERROR(__xludf.DUMMYFUNCTION("""COMPUTED_VALUE"""),"V60A")</f>
        <v>V60A</v>
      </c>
      <c r="B8727" s="226" t="str">
        <f>IFERROR(__xludf.DUMMYFUNCTION("""COMPUTED_VALUE"""),"39063")</f>
        <v>39063</v>
      </c>
      <c r="C8727" t="str">
        <f>IFERROR(__xludf.DUMMYFUNCTION("""COMPUTED_VALUE"""),"Autohak")</f>
        <v>Autohak</v>
      </c>
    </row>
    <row r="8728">
      <c r="A8728" t="str">
        <f>IFERROR(__xludf.DUMMYFUNCTION("""COMPUTED_VALUE"""),"V79")</f>
        <v>V79</v>
      </c>
      <c r="B8728" s="226" t="str">
        <f>IFERROR(__xludf.DUMMYFUNCTION("""COMPUTED_VALUE"""),"38400")</f>
        <v>38400</v>
      </c>
      <c r="C8728" t="str">
        <f>IFERROR(__xludf.DUMMYFUNCTION("""COMPUTED_VALUE"""),"Autohak")</f>
        <v>Autohak</v>
      </c>
    </row>
    <row r="8729">
      <c r="A8729" t="str">
        <f>IFERROR(__xludf.DUMMYFUNCTION("""COMPUTED_VALUE"""),"V79A")</f>
        <v>V79A</v>
      </c>
      <c r="B8729" s="226" t="str">
        <f>IFERROR(__xludf.DUMMYFUNCTION("""COMPUTED_VALUE"""),"39391")</f>
        <v>39391</v>
      </c>
      <c r="C8729" t="str">
        <f>IFERROR(__xludf.DUMMYFUNCTION("""COMPUTED_VALUE"""),"Autohak")</f>
        <v>Autohak</v>
      </c>
    </row>
    <row r="8730">
      <c r="A8730" t="str">
        <f>IFERROR(__xludf.DUMMYFUNCTION("""COMPUTED_VALUE"""),"V62")</f>
        <v>V62</v>
      </c>
      <c r="B8730" s="226" t="str">
        <f>IFERROR(__xludf.DUMMYFUNCTION("""COMPUTED_VALUE"""),"38233")</f>
        <v>38233</v>
      </c>
      <c r="C8730" t="str">
        <f>IFERROR(__xludf.DUMMYFUNCTION("""COMPUTED_VALUE"""),"Autohak")</f>
        <v>Autohak</v>
      </c>
    </row>
    <row r="8731">
      <c r="A8731" t="str">
        <f>IFERROR(__xludf.DUMMYFUNCTION("""COMPUTED_VALUE"""),"V63")</f>
        <v>V63</v>
      </c>
      <c r="B8731" s="226" t="str">
        <f>IFERROR(__xludf.DUMMYFUNCTION("""COMPUTED_VALUE"""),"38240")</f>
        <v>38240</v>
      </c>
      <c r="C8731" t="str">
        <f>IFERROR(__xludf.DUMMYFUNCTION("""COMPUTED_VALUE"""),"Autohak")</f>
        <v>Autohak</v>
      </c>
    </row>
    <row r="8732">
      <c r="A8732" t="str">
        <f>IFERROR(__xludf.DUMMYFUNCTION("""COMPUTED_VALUE"""),"V63A")</f>
        <v>V63A</v>
      </c>
      <c r="B8732" s="226" t="str">
        <f>IFERROR(__xludf.DUMMYFUNCTION("""COMPUTED_VALUE"""),"39247")</f>
        <v>39247</v>
      </c>
      <c r="C8732" t="str">
        <f>IFERROR(__xludf.DUMMYFUNCTION("""COMPUTED_VALUE"""),"Autohak")</f>
        <v>Autohak</v>
      </c>
    </row>
    <row r="8733">
      <c r="A8733" t="str">
        <f>IFERROR(__xludf.DUMMYFUNCTION("""COMPUTED_VALUE"""),"V63")</f>
        <v>V63</v>
      </c>
      <c r="B8733" s="226" t="str">
        <f>IFERROR(__xludf.DUMMYFUNCTION("""COMPUTED_VALUE"""),"38240")</f>
        <v>38240</v>
      </c>
      <c r="C8733" t="str">
        <f>IFERROR(__xludf.DUMMYFUNCTION("""COMPUTED_VALUE"""),"Autohak")</f>
        <v>Autohak</v>
      </c>
    </row>
    <row r="8734">
      <c r="A8734" t="str">
        <f>IFERROR(__xludf.DUMMYFUNCTION("""COMPUTED_VALUE"""),"V63A")</f>
        <v>V63A</v>
      </c>
      <c r="B8734" s="226" t="str">
        <f>IFERROR(__xludf.DUMMYFUNCTION("""COMPUTED_VALUE"""),"39247")</f>
        <v>39247</v>
      </c>
      <c r="C8734" t="str">
        <f>IFERROR(__xludf.DUMMYFUNCTION("""COMPUTED_VALUE"""),"Autohak")</f>
        <v>Autohak</v>
      </c>
    </row>
    <row r="8735">
      <c r="A8735" t="str">
        <f>IFERROR(__xludf.DUMMYFUNCTION("""COMPUTED_VALUE"""),"V64")</f>
        <v>V64</v>
      </c>
      <c r="B8735" s="226" t="str">
        <f>IFERROR(__xludf.DUMMYFUNCTION("""COMPUTED_VALUE"""),"38257")</f>
        <v>38257</v>
      </c>
      <c r="C8735" t="str">
        <f>IFERROR(__xludf.DUMMYFUNCTION("""COMPUTED_VALUE"""),"Autohak")</f>
        <v>Autohak</v>
      </c>
    </row>
    <row r="8736">
      <c r="A8736" t="str">
        <f>IFERROR(__xludf.DUMMYFUNCTION("""COMPUTED_VALUE"""),"V64A")</f>
        <v>V64A</v>
      </c>
      <c r="B8736" s="226" t="str">
        <f>IFERROR(__xludf.DUMMYFUNCTION("""COMPUTED_VALUE"""),"39254")</f>
        <v>39254</v>
      </c>
      <c r="C8736" t="str">
        <f>IFERROR(__xludf.DUMMYFUNCTION("""COMPUTED_VALUE"""),"Autohak")</f>
        <v>Autohak</v>
      </c>
    </row>
    <row r="8737">
      <c r="A8737" t="str">
        <f>IFERROR(__xludf.DUMMYFUNCTION("""COMPUTED_VALUE"""),"V64")</f>
        <v>V64</v>
      </c>
      <c r="B8737" s="226" t="str">
        <f>IFERROR(__xludf.DUMMYFUNCTION("""COMPUTED_VALUE"""),"38257")</f>
        <v>38257</v>
      </c>
      <c r="C8737" t="str">
        <f>IFERROR(__xludf.DUMMYFUNCTION("""COMPUTED_VALUE"""),"Autohak")</f>
        <v>Autohak</v>
      </c>
    </row>
    <row r="8738">
      <c r="A8738" t="str">
        <f>IFERROR(__xludf.DUMMYFUNCTION("""COMPUTED_VALUE"""),"V64A")</f>
        <v>V64A</v>
      </c>
      <c r="B8738" s="226" t="str">
        <f>IFERROR(__xludf.DUMMYFUNCTION("""COMPUTED_VALUE"""),"39254")</f>
        <v>39254</v>
      </c>
      <c r="C8738" t="str">
        <f>IFERROR(__xludf.DUMMYFUNCTION("""COMPUTED_VALUE"""),"Autohak")</f>
        <v>Autohak</v>
      </c>
    </row>
    <row r="8739">
      <c r="A8739" t="str">
        <f>IFERROR(__xludf.DUMMYFUNCTION("""COMPUTED_VALUE"""),"V77")</f>
        <v>V77</v>
      </c>
      <c r="B8739" s="226" t="str">
        <f>IFERROR(__xludf.DUMMYFUNCTION("""COMPUTED_VALUE"""),"38387")</f>
        <v>38387</v>
      </c>
      <c r="C8739" t="str">
        <f>IFERROR(__xludf.DUMMYFUNCTION("""COMPUTED_VALUE"""),"Autohak")</f>
        <v>Autohak</v>
      </c>
    </row>
    <row r="8740">
      <c r="A8740" t="str">
        <f>IFERROR(__xludf.DUMMYFUNCTION("""COMPUTED_VALUE"""),"V77A")</f>
        <v>V77A</v>
      </c>
      <c r="B8740" s="226" t="str">
        <f>IFERROR(__xludf.DUMMYFUNCTION("""COMPUTED_VALUE"""),"39377")</f>
        <v>39377</v>
      </c>
      <c r="C8740" t="str">
        <f>IFERROR(__xludf.DUMMYFUNCTION("""COMPUTED_VALUE"""),"Autohak")</f>
        <v>Autohak</v>
      </c>
    </row>
    <row r="8741">
      <c r="A8741" t="str">
        <f>IFERROR(__xludf.DUMMYFUNCTION("""COMPUTED_VALUE"""),"V77V")</f>
        <v>V77V</v>
      </c>
      <c r="B8741" s="226" t="str">
        <f>IFERROR(__xludf.DUMMYFUNCTION("""COMPUTED_VALUE"""),"39933")</f>
        <v>39933</v>
      </c>
      <c r="C8741" t="str">
        <f>IFERROR(__xludf.DUMMYFUNCTION("""COMPUTED_VALUE"""),"Autohak")</f>
        <v>Autohak</v>
      </c>
    </row>
    <row r="8742">
      <c r="A8742" t="str">
        <f>IFERROR(__xludf.DUMMYFUNCTION("""COMPUTED_VALUE"""),"V77")</f>
        <v>V77</v>
      </c>
      <c r="B8742" s="226" t="str">
        <f>IFERROR(__xludf.DUMMYFUNCTION("""COMPUTED_VALUE"""),"38387")</f>
        <v>38387</v>
      </c>
      <c r="C8742" t="str">
        <f>IFERROR(__xludf.DUMMYFUNCTION("""COMPUTED_VALUE"""),"Autohak")</f>
        <v>Autohak</v>
      </c>
    </row>
    <row r="8743">
      <c r="A8743" t="str">
        <f>IFERROR(__xludf.DUMMYFUNCTION("""COMPUTED_VALUE"""),"V77A")</f>
        <v>V77A</v>
      </c>
      <c r="B8743" s="226" t="str">
        <f>IFERROR(__xludf.DUMMYFUNCTION("""COMPUTED_VALUE"""),"39377")</f>
        <v>39377</v>
      </c>
      <c r="C8743" t="str">
        <f>IFERROR(__xludf.DUMMYFUNCTION("""COMPUTED_VALUE"""),"Autohak")</f>
        <v>Autohak</v>
      </c>
    </row>
    <row r="8744">
      <c r="A8744" t="str">
        <f>IFERROR(__xludf.DUMMYFUNCTION("""COMPUTED_VALUE"""),"V77V")</f>
        <v>V77V</v>
      </c>
      <c r="B8744" s="226" t="str">
        <f>IFERROR(__xludf.DUMMYFUNCTION("""COMPUTED_VALUE"""),"39933")</f>
        <v>39933</v>
      </c>
      <c r="C8744" t="str">
        <f>IFERROR(__xludf.DUMMYFUNCTION("""COMPUTED_VALUE"""),"Autohak")</f>
        <v>Autohak</v>
      </c>
    </row>
    <row r="8745">
      <c r="A8745" t="str">
        <f>IFERROR(__xludf.DUMMYFUNCTION("""COMPUTED_VALUE"""),"V65")</f>
        <v>V65</v>
      </c>
      <c r="B8745" s="226" t="str">
        <f>IFERROR(__xludf.DUMMYFUNCTION("""COMPUTED_VALUE"""),"38264")</f>
        <v>38264</v>
      </c>
      <c r="C8745" t="str">
        <f>IFERROR(__xludf.DUMMYFUNCTION("""COMPUTED_VALUE"""),"Autohak")</f>
        <v>Autohak</v>
      </c>
    </row>
    <row r="8746">
      <c r="A8746" t="str">
        <f>IFERROR(__xludf.DUMMYFUNCTION("""COMPUTED_VALUE"""),"V65A")</f>
        <v>V65A</v>
      </c>
      <c r="B8746" s="226" t="str">
        <f>IFERROR(__xludf.DUMMYFUNCTION("""COMPUTED_VALUE"""),"39261")</f>
        <v>39261</v>
      </c>
      <c r="C8746" t="str">
        <f>IFERROR(__xludf.DUMMYFUNCTION("""COMPUTED_VALUE"""),"Autohak")</f>
        <v>Autohak</v>
      </c>
    </row>
    <row r="8747">
      <c r="A8747" t="str">
        <f>IFERROR(__xludf.DUMMYFUNCTION("""COMPUTED_VALUE"""),"V74")</f>
        <v>V74</v>
      </c>
      <c r="B8747" s="226" t="str">
        <f>IFERROR(__xludf.DUMMYFUNCTION("""COMPUTED_VALUE"""),"38356")</f>
        <v>38356</v>
      </c>
      <c r="C8747" t="str">
        <f>IFERROR(__xludf.DUMMYFUNCTION("""COMPUTED_VALUE"""),"Autohak")</f>
        <v>Autohak</v>
      </c>
    </row>
    <row r="8748">
      <c r="A8748" t="str">
        <f>IFERROR(__xludf.DUMMYFUNCTION("""COMPUTED_VALUE"""),"V74A")</f>
        <v>V74A</v>
      </c>
      <c r="B8748" s="226" t="str">
        <f>IFERROR(__xludf.DUMMYFUNCTION("""COMPUTED_VALUE"""),"39346")</f>
        <v>39346</v>
      </c>
      <c r="C8748" t="str">
        <f>IFERROR(__xludf.DUMMYFUNCTION("""COMPUTED_VALUE"""),"Autohak")</f>
        <v>Autohak</v>
      </c>
    </row>
    <row r="8749">
      <c r="A8749" t="str">
        <f>IFERROR(__xludf.DUMMYFUNCTION("""COMPUTED_VALUE"""),"V74V")</f>
        <v>V74V</v>
      </c>
      <c r="B8749" s="226" t="str">
        <f>IFERROR(__xludf.DUMMYFUNCTION("""COMPUTED_VALUE"""),"39971")</f>
        <v>39971</v>
      </c>
      <c r="C8749" t="str">
        <f>IFERROR(__xludf.DUMMYFUNCTION("""COMPUTED_VALUE"""),"Autohak")</f>
        <v>Autohak</v>
      </c>
    </row>
    <row r="8750">
      <c r="A8750" t="str">
        <f>IFERROR(__xludf.DUMMYFUNCTION("""COMPUTED_VALUE"""),"V68")</f>
        <v>V68</v>
      </c>
      <c r="B8750" s="226" t="str">
        <f>IFERROR(__xludf.DUMMYFUNCTION("""COMPUTED_VALUE"""),"38295")</f>
        <v>38295</v>
      </c>
      <c r="C8750" t="str">
        <f>IFERROR(__xludf.DUMMYFUNCTION("""COMPUTED_VALUE"""),"Autohak")</f>
        <v>Autohak</v>
      </c>
    </row>
    <row r="8751">
      <c r="A8751" t="str">
        <f>IFERROR(__xludf.DUMMYFUNCTION("""COMPUTED_VALUE"""),"V68A")</f>
        <v>V68A</v>
      </c>
      <c r="B8751" s="226" t="str">
        <f>IFERROR(__xludf.DUMMYFUNCTION("""COMPUTED_VALUE"""),"39292")</f>
        <v>39292</v>
      </c>
      <c r="C8751" t="str">
        <f>IFERROR(__xludf.DUMMYFUNCTION("""COMPUTED_VALUE"""),"Autohak")</f>
        <v>Autohak</v>
      </c>
    </row>
    <row r="8752">
      <c r="A8752" t="str">
        <f>IFERROR(__xludf.DUMMYFUNCTION("""COMPUTED_VALUE"""),"V70")</f>
        <v>V70</v>
      </c>
      <c r="B8752" s="226" t="str">
        <f>IFERROR(__xludf.DUMMYFUNCTION("""COMPUTED_VALUE"""),"38318")</f>
        <v>38318</v>
      </c>
      <c r="C8752" t="str">
        <f>IFERROR(__xludf.DUMMYFUNCTION("""COMPUTED_VALUE"""),"Autohak")</f>
        <v>Autohak</v>
      </c>
    </row>
    <row r="8753">
      <c r="A8753" t="str">
        <f>IFERROR(__xludf.DUMMYFUNCTION("""COMPUTED_VALUE"""),"V70A")</f>
        <v>V70A</v>
      </c>
      <c r="B8753" s="226" t="str">
        <f>IFERROR(__xludf.DUMMYFUNCTION("""COMPUTED_VALUE"""),"39315")</f>
        <v>39315</v>
      </c>
      <c r="C8753" t="str">
        <f>IFERROR(__xludf.DUMMYFUNCTION("""COMPUTED_VALUE"""),"Autohak")</f>
        <v>Autohak</v>
      </c>
    </row>
    <row r="8754">
      <c r="A8754" t="str">
        <f>IFERROR(__xludf.DUMMYFUNCTION("""COMPUTED_VALUE"""),"G83")</f>
        <v>G83</v>
      </c>
      <c r="B8754" s="226" t="str">
        <f>IFERROR(__xludf.DUMMYFUNCTION("""COMPUTED_VALUE"""),"49673")</f>
        <v>49673</v>
      </c>
      <c r="C8754" t="str">
        <f>IFERROR(__xludf.DUMMYFUNCTION("""COMPUTED_VALUE"""),"Autohak")</f>
        <v>Autohak</v>
      </c>
    </row>
    <row r="8755">
      <c r="A8755" t="str">
        <f>IFERROR(__xludf.DUMMYFUNCTION("""COMPUTED_VALUE"""),"G83A")</f>
        <v>G83A</v>
      </c>
      <c r="B8755" s="226" t="str">
        <f>IFERROR(__xludf.DUMMYFUNCTION("""COMPUTED_VALUE"""),"52642")</f>
        <v>52642</v>
      </c>
      <c r="C8755" t="str">
        <f>IFERROR(__xludf.DUMMYFUNCTION("""COMPUTED_VALUE"""),"Autohak")</f>
        <v>Autohak</v>
      </c>
    </row>
    <row r="8756">
      <c r="A8756" t="str">
        <f>IFERROR(__xludf.DUMMYFUNCTION("""COMPUTED_VALUE"""),"G83V")</f>
        <v>G83V</v>
      </c>
      <c r="B8756" s="226" t="str">
        <f>IFERROR(__xludf.DUMMYFUNCTION("""COMPUTED_VALUE"""),"52772")</f>
        <v>52772</v>
      </c>
      <c r="C8756" t="str">
        <f>IFERROR(__xludf.DUMMYFUNCTION("""COMPUTED_VALUE"""),"Autohak")</f>
        <v>Autohak</v>
      </c>
    </row>
    <row r="8757">
      <c r="A8757" t="str">
        <f>IFERROR(__xludf.DUMMYFUNCTION("""COMPUTED_VALUE"""),"G65")</f>
        <v>G65</v>
      </c>
      <c r="B8757" s="226" t="str">
        <f>IFERROR(__xludf.DUMMYFUNCTION("""COMPUTED_VALUE"""),"49499")</f>
        <v>49499</v>
      </c>
      <c r="C8757" t="str">
        <f>IFERROR(__xludf.DUMMYFUNCTION("""COMPUTED_VALUE"""),"Autohak")</f>
        <v>Autohak</v>
      </c>
    </row>
    <row r="8758">
      <c r="A8758" t="str">
        <f>IFERROR(__xludf.DUMMYFUNCTION("""COMPUTED_VALUE"""),"G65")</f>
        <v>G65</v>
      </c>
      <c r="B8758" s="226" t="str">
        <f>IFERROR(__xludf.DUMMYFUNCTION("""COMPUTED_VALUE"""),"49499")</f>
        <v>49499</v>
      </c>
      <c r="C8758" t="str">
        <f>IFERROR(__xludf.DUMMYFUNCTION("""COMPUTED_VALUE"""),"Autohak")</f>
        <v>Autohak</v>
      </c>
    </row>
    <row r="8759">
      <c r="A8759" t="str">
        <f>IFERROR(__xludf.DUMMYFUNCTION("""COMPUTED_VALUE"""),"G67")</f>
        <v>G67</v>
      </c>
      <c r="B8759" s="226" t="str">
        <f>IFERROR(__xludf.DUMMYFUNCTION("""COMPUTED_VALUE"""),"49512")</f>
        <v>49512</v>
      </c>
      <c r="C8759" t="str">
        <f>IFERROR(__xludf.DUMMYFUNCTION("""COMPUTED_VALUE"""),"Autohak")</f>
        <v>Autohak</v>
      </c>
    </row>
    <row r="8760">
      <c r="A8760" t="str">
        <f>IFERROR(__xludf.DUMMYFUNCTION("""COMPUTED_VALUE"""),"G67")</f>
        <v>G67</v>
      </c>
      <c r="B8760" s="226" t="str">
        <f>IFERROR(__xludf.DUMMYFUNCTION("""COMPUTED_VALUE"""),"49512")</f>
        <v>49512</v>
      </c>
      <c r="C8760" t="str">
        <f>IFERROR(__xludf.DUMMYFUNCTION("""COMPUTED_VALUE"""),"Autohak")</f>
        <v>Autohak</v>
      </c>
    </row>
    <row r="8761">
      <c r="A8761" t="str">
        <f>IFERROR(__xludf.DUMMYFUNCTION("""COMPUTED_VALUE"""),"G90")</f>
        <v>G90</v>
      </c>
      <c r="B8761" s="226" t="str">
        <f>IFERROR(__xludf.DUMMYFUNCTION("""COMPUTED_VALUE"""),"49741")</f>
        <v>49741</v>
      </c>
      <c r="C8761" t="str">
        <f>IFERROR(__xludf.DUMMYFUNCTION("""COMPUTED_VALUE"""),"Autohak")</f>
        <v>Autohak</v>
      </c>
    </row>
    <row r="8762">
      <c r="A8762" t="str">
        <f>IFERROR(__xludf.DUMMYFUNCTION("""COMPUTED_VALUE"""),"G90")</f>
        <v>G90</v>
      </c>
      <c r="B8762" s="226" t="str">
        <f>IFERROR(__xludf.DUMMYFUNCTION("""COMPUTED_VALUE"""),"49741")</f>
        <v>49741</v>
      </c>
      <c r="C8762" t="str">
        <f>IFERROR(__xludf.DUMMYFUNCTION("""COMPUTED_VALUE"""),"Autohak")</f>
        <v>Autohak</v>
      </c>
    </row>
    <row r="8763">
      <c r="A8763" t="str">
        <f>IFERROR(__xludf.DUMMYFUNCTION("""COMPUTED_VALUE"""),"G66")</f>
        <v>G66</v>
      </c>
      <c r="B8763" s="226" t="str">
        <f>IFERROR(__xludf.DUMMYFUNCTION("""COMPUTED_VALUE"""),"49505")</f>
        <v>49505</v>
      </c>
      <c r="C8763" t="str">
        <f>IFERROR(__xludf.DUMMYFUNCTION("""COMPUTED_VALUE"""),"Autohak")</f>
        <v>Autohak</v>
      </c>
    </row>
    <row r="8764">
      <c r="A8764" t="str">
        <f>IFERROR(__xludf.DUMMYFUNCTION("""COMPUTED_VALUE"""),"G66")</f>
        <v>G66</v>
      </c>
      <c r="B8764" s="226" t="str">
        <f>IFERROR(__xludf.DUMMYFUNCTION("""COMPUTED_VALUE"""),"49505")</f>
        <v>49505</v>
      </c>
      <c r="C8764" t="str">
        <f>IFERROR(__xludf.DUMMYFUNCTION("""COMPUTED_VALUE"""),"Autohak")</f>
        <v>Autohak</v>
      </c>
    </row>
    <row r="8765">
      <c r="A8765" t="str">
        <f>IFERROR(__xludf.DUMMYFUNCTION("""COMPUTED_VALUE"""),"G70")</f>
        <v>G70</v>
      </c>
      <c r="B8765" s="226" t="str">
        <f>IFERROR(__xludf.DUMMYFUNCTION("""COMPUTED_VALUE"""),"49543")</f>
        <v>49543</v>
      </c>
      <c r="C8765" t="str">
        <f>IFERROR(__xludf.DUMMYFUNCTION("""COMPUTED_VALUE"""),"Autohak")</f>
        <v>Autohak</v>
      </c>
    </row>
    <row r="8766">
      <c r="A8766" t="str">
        <f>IFERROR(__xludf.DUMMYFUNCTION("""COMPUTED_VALUE"""),"G70")</f>
        <v>G70</v>
      </c>
      <c r="B8766" s="226" t="str">
        <f>IFERROR(__xludf.DUMMYFUNCTION("""COMPUTED_VALUE"""),"49543")</f>
        <v>49543</v>
      </c>
      <c r="C8766" t="str">
        <f>IFERROR(__xludf.DUMMYFUNCTION("""COMPUTED_VALUE"""),"Autohak")</f>
        <v>Autohak</v>
      </c>
    </row>
    <row r="8767">
      <c r="A8767" t="str">
        <f>IFERROR(__xludf.DUMMYFUNCTION("""COMPUTED_VALUE"""),"V61")</f>
        <v>V61</v>
      </c>
      <c r="B8767" s="226" t="str">
        <f>IFERROR(__xludf.DUMMYFUNCTION("""COMPUTED_VALUE"""),"38073")</f>
        <v>38073</v>
      </c>
      <c r="C8767" t="str">
        <f>IFERROR(__xludf.DUMMYFUNCTION("""COMPUTED_VALUE"""),"Autohak")</f>
        <v>Autohak</v>
      </c>
    </row>
    <row r="8768">
      <c r="A8768" t="str">
        <f>IFERROR(__xludf.DUMMYFUNCTION("""COMPUTED_VALUE"""),"V61A")</f>
        <v>V61A</v>
      </c>
      <c r="B8768" s="226" t="str">
        <f>IFERROR(__xludf.DUMMYFUNCTION("""COMPUTED_VALUE"""),"39070")</f>
        <v>39070</v>
      </c>
      <c r="C8768" t="str">
        <f>IFERROR(__xludf.DUMMYFUNCTION("""COMPUTED_VALUE"""),"Autohak")</f>
        <v>Autohak</v>
      </c>
    </row>
    <row r="8769">
      <c r="A8769" t="str">
        <f>IFERROR(__xludf.DUMMYFUNCTION("""COMPUTED_VALUE"""),"V09")</f>
        <v>V09</v>
      </c>
      <c r="B8769" s="226" t="str">
        <f>IFERROR(__xludf.DUMMYFUNCTION("""COMPUTED_VALUE"""),"38080")</f>
        <v>38080</v>
      </c>
      <c r="C8769" t="str">
        <f>IFERROR(__xludf.DUMMYFUNCTION("""COMPUTED_VALUE"""),"Autohak")</f>
        <v>Autohak</v>
      </c>
    </row>
    <row r="8770">
      <c r="A8770" t="str">
        <f>IFERROR(__xludf.DUMMYFUNCTION("""COMPUTED_VALUE"""),"V02")</f>
        <v>V02</v>
      </c>
      <c r="B8770" s="226" t="str">
        <f>IFERROR(__xludf.DUMMYFUNCTION("""COMPUTED_VALUE"""),"38097")</f>
        <v>38097</v>
      </c>
      <c r="C8770" t="str">
        <f>IFERROR(__xludf.DUMMYFUNCTION("""COMPUTED_VALUE"""),"Autohak")</f>
        <v>Autohak</v>
      </c>
    </row>
    <row r="8771">
      <c r="A8771" t="str">
        <f>IFERROR(__xludf.DUMMYFUNCTION("""COMPUTED_VALUE"""),"V51")</f>
        <v>V51</v>
      </c>
      <c r="B8771" s="226" t="str">
        <f>IFERROR(__xludf.DUMMYFUNCTION("""COMPUTED_VALUE"""),"38103")</f>
        <v>38103</v>
      </c>
      <c r="C8771" t="str">
        <f>IFERROR(__xludf.DUMMYFUNCTION("""COMPUTED_VALUE"""),"Autohak")</f>
        <v>Autohak</v>
      </c>
    </row>
    <row r="8772">
      <c r="A8772" t="str">
        <f>IFERROR(__xludf.DUMMYFUNCTION("""COMPUTED_VALUE"""),"V51A")</f>
        <v>V51A</v>
      </c>
      <c r="B8772" s="226" t="str">
        <f>IFERROR(__xludf.DUMMYFUNCTION("""COMPUTED_VALUE"""),"39100")</f>
        <v>39100</v>
      </c>
      <c r="C8772" t="str">
        <f>IFERROR(__xludf.DUMMYFUNCTION("""COMPUTED_VALUE"""),"Autohak")</f>
        <v>Autohak</v>
      </c>
    </row>
    <row r="8773">
      <c r="A8773" t="str">
        <f>IFERROR(__xludf.DUMMYFUNCTION("""COMPUTED_VALUE"""),"V68")</f>
        <v>V68</v>
      </c>
      <c r="B8773" s="226" t="str">
        <f>IFERROR(__xludf.DUMMYFUNCTION("""COMPUTED_VALUE"""),"38295")</f>
        <v>38295</v>
      </c>
      <c r="C8773" t="str">
        <f>IFERROR(__xludf.DUMMYFUNCTION("""COMPUTED_VALUE"""),"Autohak")</f>
        <v>Autohak</v>
      </c>
    </row>
    <row r="8774">
      <c r="A8774" t="str">
        <f>IFERROR(__xludf.DUMMYFUNCTION("""COMPUTED_VALUE"""),"V68A")</f>
        <v>V68A</v>
      </c>
      <c r="B8774" s="226" t="str">
        <f>IFERROR(__xludf.DUMMYFUNCTION("""COMPUTED_VALUE"""),"39292")</f>
        <v>39292</v>
      </c>
      <c r="C8774" t="str">
        <f>IFERROR(__xludf.DUMMYFUNCTION("""COMPUTED_VALUE"""),"Autohak")</f>
        <v>Autohak</v>
      </c>
    </row>
    <row r="8775">
      <c r="A8775" t="str">
        <f>IFERROR(__xludf.DUMMYFUNCTION("""COMPUTED_VALUE"""),"V69")</f>
        <v>V69</v>
      </c>
      <c r="B8775" s="226" t="str">
        <f>IFERROR(__xludf.DUMMYFUNCTION("""COMPUTED_VALUE"""),"38301")</f>
        <v>38301</v>
      </c>
      <c r="C8775" t="str">
        <f>IFERROR(__xludf.DUMMYFUNCTION("""COMPUTED_VALUE"""),"Autohak")</f>
        <v>Autohak</v>
      </c>
    </row>
    <row r="8776">
      <c r="A8776" t="str">
        <f>IFERROR(__xludf.DUMMYFUNCTION("""COMPUTED_VALUE"""),"V69A")</f>
        <v>V69A</v>
      </c>
      <c r="B8776" s="226" t="str">
        <f>IFERROR(__xludf.DUMMYFUNCTION("""COMPUTED_VALUE"""),"39308")</f>
        <v>39308</v>
      </c>
      <c r="C8776" t="str">
        <f>IFERROR(__xludf.DUMMYFUNCTION("""COMPUTED_VALUE"""),"Autohak")</f>
        <v>Autohak</v>
      </c>
    </row>
    <row r="8777">
      <c r="A8777" t="str">
        <f>IFERROR(__xludf.DUMMYFUNCTION("""COMPUTED_VALUE"""),"G40")</f>
        <v>G40</v>
      </c>
      <c r="B8777" s="226" t="str">
        <f>IFERROR(__xludf.DUMMYFUNCTION("""COMPUTED_VALUE"""),"49307")</f>
        <v>49307</v>
      </c>
      <c r="C8777" t="str">
        <f>IFERROR(__xludf.DUMMYFUNCTION("""COMPUTED_VALUE"""),"Autohak")</f>
        <v>Autohak</v>
      </c>
    </row>
    <row r="8778">
      <c r="A8778" t="str">
        <f>IFERROR(__xludf.DUMMYFUNCTION("""COMPUTED_VALUE"""),"G40A")</f>
        <v>G40A</v>
      </c>
      <c r="B8778" s="226" t="str">
        <f>IFERROR(__xludf.DUMMYFUNCTION("""COMPUTED_VALUE"""),"52628")</f>
        <v>52628</v>
      </c>
      <c r="C8778" t="str">
        <f>IFERROR(__xludf.DUMMYFUNCTION("""COMPUTED_VALUE"""),"Autohak")</f>
        <v>Autohak</v>
      </c>
    </row>
    <row r="8779">
      <c r="A8779" t="str">
        <f>IFERROR(__xludf.DUMMYFUNCTION("""COMPUTED_VALUE"""),"G40")</f>
        <v>G40</v>
      </c>
      <c r="B8779" s="226" t="str">
        <f>IFERROR(__xludf.DUMMYFUNCTION("""COMPUTED_VALUE"""),"49307")</f>
        <v>49307</v>
      </c>
      <c r="C8779" t="str">
        <f>IFERROR(__xludf.DUMMYFUNCTION("""COMPUTED_VALUE"""),"Autohak")</f>
        <v>Autohak</v>
      </c>
    </row>
    <row r="8780">
      <c r="A8780" t="str">
        <f>IFERROR(__xludf.DUMMYFUNCTION("""COMPUTED_VALUE"""),"G40A")</f>
        <v>G40A</v>
      </c>
      <c r="B8780" s="226" t="str">
        <f>IFERROR(__xludf.DUMMYFUNCTION("""COMPUTED_VALUE"""),"52628")</f>
        <v>52628</v>
      </c>
      <c r="C8780" t="str">
        <f>IFERROR(__xludf.DUMMYFUNCTION("""COMPUTED_VALUE"""),"Autohak")</f>
        <v>Autohak</v>
      </c>
    </row>
    <row r="8781">
      <c r="A8781" t="str">
        <f>IFERROR(__xludf.DUMMYFUNCTION("""COMPUTED_VALUE"""),"V12")</f>
        <v>V12</v>
      </c>
      <c r="B8781" s="226" t="str">
        <f>IFERROR(__xludf.DUMMYFUNCTION("""COMPUTED_VALUE"""),"38110")</f>
        <v>38110</v>
      </c>
      <c r="C8781" t="str">
        <f>IFERROR(__xludf.DUMMYFUNCTION("""COMPUTED_VALUE"""),"Autohak")</f>
        <v>Autohak</v>
      </c>
    </row>
    <row r="8782">
      <c r="A8782" t="str">
        <f>IFERROR(__xludf.DUMMYFUNCTION("""COMPUTED_VALUE"""),"V12A")</f>
        <v>V12A</v>
      </c>
      <c r="B8782" s="226" t="str">
        <f>IFERROR(__xludf.DUMMYFUNCTION("""COMPUTED_VALUE"""),"39117")</f>
        <v>39117</v>
      </c>
      <c r="C8782" t="str">
        <f>IFERROR(__xludf.DUMMYFUNCTION("""COMPUTED_VALUE"""),"Autohak")</f>
        <v>Autohak</v>
      </c>
    </row>
    <row r="8783">
      <c r="A8783" t="str">
        <f>IFERROR(__xludf.DUMMYFUNCTION("""COMPUTED_VALUE"""),"V54")</f>
        <v>V54</v>
      </c>
      <c r="B8783" s="226" t="str">
        <f>IFERROR(__xludf.DUMMYFUNCTION("""COMPUTED_VALUE"""),"38127")</f>
        <v>38127</v>
      </c>
      <c r="C8783" t="str">
        <f>IFERROR(__xludf.DUMMYFUNCTION("""COMPUTED_VALUE"""),"Autohak")</f>
        <v>Autohak</v>
      </c>
    </row>
    <row r="8784">
      <c r="A8784" t="str">
        <f>IFERROR(__xludf.DUMMYFUNCTION("""COMPUTED_VALUE"""),"V54A")</f>
        <v>V54A</v>
      </c>
      <c r="B8784" s="226" t="str">
        <f>IFERROR(__xludf.DUMMYFUNCTION("""COMPUTED_VALUE"""),"39124")</f>
        <v>39124</v>
      </c>
      <c r="C8784" t="str">
        <f>IFERROR(__xludf.DUMMYFUNCTION("""COMPUTED_VALUE"""),"Autohak")</f>
        <v>Autohak</v>
      </c>
    </row>
    <row r="8785">
      <c r="A8785" t="str">
        <f>IFERROR(__xludf.DUMMYFUNCTION("""COMPUTED_VALUE"""),"V55")</f>
        <v>V55</v>
      </c>
      <c r="B8785" s="226" t="str">
        <f>IFERROR(__xludf.DUMMYFUNCTION("""COMPUTED_VALUE"""),"38134")</f>
        <v>38134</v>
      </c>
      <c r="C8785" t="str">
        <f>IFERROR(__xludf.DUMMYFUNCTION("""COMPUTED_VALUE"""),"Autohak")</f>
        <v>Autohak</v>
      </c>
    </row>
    <row r="8786">
      <c r="A8786" t="str">
        <f>IFERROR(__xludf.DUMMYFUNCTION("""COMPUTED_VALUE"""),"V56")</f>
        <v>V56</v>
      </c>
      <c r="B8786" s="226" t="str">
        <f>IFERROR(__xludf.DUMMYFUNCTION("""COMPUTED_VALUE"""),"38141")</f>
        <v>38141</v>
      </c>
      <c r="C8786" t="str">
        <f>IFERROR(__xludf.DUMMYFUNCTION("""COMPUTED_VALUE"""),"Autohak")</f>
        <v>Autohak</v>
      </c>
    </row>
    <row r="8787">
      <c r="A8787" t="str">
        <f>IFERROR(__xludf.DUMMYFUNCTION("""COMPUTED_VALUE"""),"V57")</f>
        <v>V57</v>
      </c>
      <c r="B8787" s="226" t="str">
        <f>IFERROR(__xludf.DUMMYFUNCTION("""COMPUTED_VALUE"""),"38165")</f>
        <v>38165</v>
      </c>
      <c r="C8787" t="str">
        <f>IFERROR(__xludf.DUMMYFUNCTION("""COMPUTED_VALUE"""),"Autohak")</f>
        <v>Autohak</v>
      </c>
    </row>
    <row r="8788">
      <c r="A8788" t="str">
        <f>IFERROR(__xludf.DUMMYFUNCTION("""COMPUTED_VALUE"""),"V52")</f>
        <v>V52</v>
      </c>
      <c r="B8788" s="226" t="str">
        <f>IFERROR(__xludf.DUMMYFUNCTION("""COMPUTED_VALUE"""),"38158")</f>
        <v>38158</v>
      </c>
      <c r="C8788" t="str">
        <f>IFERROR(__xludf.DUMMYFUNCTION("""COMPUTED_VALUE"""),"Autohak")</f>
        <v>Autohak</v>
      </c>
    </row>
    <row r="8789">
      <c r="A8789" t="str">
        <f>IFERROR(__xludf.DUMMYFUNCTION("""COMPUTED_VALUE"""),"V52A")</f>
        <v>V52A</v>
      </c>
      <c r="B8789" s="226" t="str">
        <f>IFERROR(__xludf.DUMMYFUNCTION("""COMPUTED_VALUE"""),"39155")</f>
        <v>39155</v>
      </c>
      <c r="C8789" t="str">
        <f>IFERROR(__xludf.DUMMYFUNCTION("""COMPUTED_VALUE"""),"Autohak")</f>
        <v>Autohak</v>
      </c>
    </row>
    <row r="8790">
      <c r="A8790" t="str">
        <f>IFERROR(__xludf.DUMMYFUNCTION("""COMPUTED_VALUE"""),"V75")</f>
        <v>V75</v>
      </c>
      <c r="B8790" s="226" t="str">
        <f>IFERROR(__xludf.DUMMYFUNCTION("""COMPUTED_VALUE"""),"38363")</f>
        <v>38363</v>
      </c>
      <c r="C8790" t="str">
        <f>IFERROR(__xludf.DUMMYFUNCTION("""COMPUTED_VALUE"""),"Autohak")</f>
        <v>Autohak</v>
      </c>
    </row>
    <row r="8791">
      <c r="A8791" t="str">
        <f>IFERROR(__xludf.DUMMYFUNCTION("""COMPUTED_VALUE"""),"V75A")</f>
        <v>V75A</v>
      </c>
      <c r="B8791" s="226" t="str">
        <f>IFERROR(__xludf.DUMMYFUNCTION("""COMPUTED_VALUE"""),"39353")</f>
        <v>39353</v>
      </c>
      <c r="C8791" t="str">
        <f>IFERROR(__xludf.DUMMYFUNCTION("""COMPUTED_VALUE"""),"Autohak")</f>
        <v>Autohak</v>
      </c>
    </row>
    <row r="8792">
      <c r="A8792" t="str">
        <f>IFERROR(__xludf.DUMMYFUNCTION("""COMPUTED_VALUE"""),"V75V")</f>
        <v>V75V</v>
      </c>
      <c r="B8792" s="226" t="str">
        <f>IFERROR(__xludf.DUMMYFUNCTION("""COMPUTED_VALUE"""),"39964")</f>
        <v>39964</v>
      </c>
      <c r="C8792" t="str">
        <f>IFERROR(__xludf.DUMMYFUNCTION("""COMPUTED_VALUE"""),"Autohak")</f>
        <v>Autohak</v>
      </c>
    </row>
    <row r="8793">
      <c r="A8793" t="str">
        <f>IFERROR(__xludf.DUMMYFUNCTION("""COMPUTED_VALUE"""),"V66")</f>
        <v>V66</v>
      </c>
      <c r="B8793" s="226" t="str">
        <f>IFERROR(__xludf.DUMMYFUNCTION("""COMPUTED_VALUE"""),"38271")</f>
        <v>38271</v>
      </c>
      <c r="C8793" t="str">
        <f>IFERROR(__xludf.DUMMYFUNCTION("""COMPUTED_VALUE"""),"Autohak")</f>
        <v>Autohak</v>
      </c>
    </row>
    <row r="8794">
      <c r="A8794" t="str">
        <f>IFERROR(__xludf.DUMMYFUNCTION("""COMPUTED_VALUE"""),"V66A")</f>
        <v>V66A</v>
      </c>
      <c r="B8794" s="226" t="str">
        <f>IFERROR(__xludf.DUMMYFUNCTION("""COMPUTED_VALUE"""),"39278")</f>
        <v>39278</v>
      </c>
      <c r="C8794" t="str">
        <f>IFERROR(__xludf.DUMMYFUNCTION("""COMPUTED_VALUE"""),"Autohak")</f>
        <v>Autohak</v>
      </c>
    </row>
    <row r="8795">
      <c r="A8795" t="str">
        <f>IFERROR(__xludf.DUMMYFUNCTION("""COMPUTED_VALUE"""),"V66V")</f>
        <v>V66V</v>
      </c>
      <c r="B8795" s="226" t="str">
        <f>IFERROR(__xludf.DUMMYFUNCTION("""COMPUTED_VALUE"""),"39995")</f>
        <v>39995</v>
      </c>
      <c r="C8795" t="str">
        <f>IFERROR(__xludf.DUMMYFUNCTION("""COMPUTED_VALUE"""),"Autohak")</f>
        <v>Autohak</v>
      </c>
    </row>
    <row r="8796">
      <c r="A8796" t="str">
        <f>IFERROR(__xludf.DUMMYFUNCTION("""COMPUTED_VALUE"""),"V73")</f>
        <v>V73</v>
      </c>
      <c r="B8796" s="226" t="str">
        <f>IFERROR(__xludf.DUMMYFUNCTION("""COMPUTED_VALUE"""),"38349")</f>
        <v>38349</v>
      </c>
      <c r="C8796" t="str">
        <f>IFERROR(__xludf.DUMMYFUNCTION("""COMPUTED_VALUE"""),"Autohak")</f>
        <v>Autohak</v>
      </c>
    </row>
    <row r="8797">
      <c r="A8797" t="str">
        <f>IFERROR(__xludf.DUMMYFUNCTION("""COMPUTED_VALUE"""),"V73A")</f>
        <v>V73A</v>
      </c>
      <c r="B8797" s="226" t="str">
        <f>IFERROR(__xludf.DUMMYFUNCTION("""COMPUTED_VALUE"""),"39339")</f>
        <v>39339</v>
      </c>
      <c r="C8797" t="str">
        <f>IFERROR(__xludf.DUMMYFUNCTION("""COMPUTED_VALUE"""),"Autohak")</f>
        <v>Autohak</v>
      </c>
    </row>
    <row r="8798">
      <c r="A8798" t="str">
        <f>IFERROR(__xludf.DUMMYFUNCTION("""COMPUTED_VALUE"""),"V73V")</f>
        <v>V73V</v>
      </c>
      <c r="B8798" s="226" t="str">
        <f>IFERROR(__xludf.DUMMYFUNCTION("""COMPUTED_VALUE"""),"39988")</f>
        <v>39988</v>
      </c>
      <c r="C8798" t="str">
        <f>IFERROR(__xludf.DUMMYFUNCTION("""COMPUTED_VALUE"""),"Autohak")</f>
        <v>Autohak</v>
      </c>
    </row>
    <row r="8799">
      <c r="A8799" t="str">
        <f>IFERROR(__xludf.DUMMYFUNCTION("""COMPUTED_VALUE"""),"V80")</f>
        <v>V80</v>
      </c>
      <c r="B8799" s="226" t="str">
        <f>IFERROR(__xludf.DUMMYFUNCTION("""COMPUTED_VALUE"""),"38417")</f>
        <v>38417</v>
      </c>
      <c r="C8799" t="str">
        <f>IFERROR(__xludf.DUMMYFUNCTION("""COMPUTED_VALUE"""),"Autohak")</f>
        <v>Autohak</v>
      </c>
    </row>
    <row r="8800">
      <c r="A8800" t="str">
        <f>IFERROR(__xludf.DUMMYFUNCTION("""COMPUTED_VALUE"""),"V80A")</f>
        <v>V80A</v>
      </c>
      <c r="B8800" s="226" t="str">
        <f>IFERROR(__xludf.DUMMYFUNCTION("""COMPUTED_VALUE"""),"39407")</f>
        <v>39407</v>
      </c>
      <c r="C8800" t="str">
        <f>IFERROR(__xludf.DUMMYFUNCTION("""COMPUTED_VALUE"""),"Autohak")</f>
        <v>Autohak</v>
      </c>
    </row>
    <row r="8801">
      <c r="A8801" t="str">
        <f>IFERROR(__xludf.DUMMYFUNCTION("""COMPUTED_VALUE"""),"V80V")</f>
        <v>V80V</v>
      </c>
      <c r="B8801" s="226" t="str">
        <f>IFERROR(__xludf.DUMMYFUNCTION("""COMPUTED_VALUE"""),"39926")</f>
        <v>39926</v>
      </c>
      <c r="C8801" t="str">
        <f>IFERROR(__xludf.DUMMYFUNCTION("""COMPUTED_VALUE"""),"Autohak")</f>
        <v>Autohak</v>
      </c>
    </row>
    <row r="8802">
      <c r="A8802" t="str">
        <f>IFERROR(__xludf.DUMMYFUNCTION("""COMPUTED_VALUE"""),"V36")</f>
        <v>V36</v>
      </c>
      <c r="B8802" s="226" t="str">
        <f>IFERROR(__xludf.DUMMYFUNCTION("""COMPUTED_VALUE"""),"38189")</f>
        <v>38189</v>
      </c>
      <c r="C8802" t="str">
        <f>IFERROR(__xludf.DUMMYFUNCTION("""COMPUTED_VALUE"""),"Autohak")</f>
        <v>Autohak</v>
      </c>
    </row>
    <row r="8803">
      <c r="A8803" t="str">
        <f>IFERROR(__xludf.DUMMYFUNCTION("""COMPUTED_VALUE"""),"V36A")</f>
        <v>V36A</v>
      </c>
      <c r="B8803" s="226" t="str">
        <f>IFERROR(__xludf.DUMMYFUNCTION("""COMPUTED_VALUE"""),"39186")</f>
        <v>39186</v>
      </c>
      <c r="C8803" t="str">
        <f>IFERROR(__xludf.DUMMYFUNCTION("""COMPUTED_VALUE"""),"Autohak")</f>
        <v>Autohak</v>
      </c>
    </row>
    <row r="8804">
      <c r="A8804" t="str">
        <f>IFERROR(__xludf.DUMMYFUNCTION("""COMPUTED_VALUE"""),"V18")</f>
        <v>V18</v>
      </c>
      <c r="B8804" s="226" t="str">
        <f>IFERROR(__xludf.DUMMYFUNCTION("""COMPUTED_VALUE"""),"38202")</f>
        <v>38202</v>
      </c>
      <c r="C8804" t="str">
        <f>IFERROR(__xludf.DUMMYFUNCTION("""COMPUTED_VALUE"""),"Autohak")</f>
        <v>Autohak</v>
      </c>
    </row>
    <row r="8805">
      <c r="A8805" t="str">
        <f>IFERROR(__xludf.DUMMYFUNCTION("""COMPUTED_VALUE"""),"V72")</f>
        <v>V72</v>
      </c>
      <c r="B8805" s="226" t="str">
        <f>IFERROR(__xludf.DUMMYFUNCTION("""COMPUTED_VALUE"""),"38332")</f>
        <v>38332</v>
      </c>
      <c r="C8805" t="str">
        <f>IFERROR(__xludf.DUMMYFUNCTION("""COMPUTED_VALUE"""),"Autohak")</f>
        <v>Autohak</v>
      </c>
    </row>
    <row r="8806">
      <c r="A8806" t="str">
        <f>IFERROR(__xludf.DUMMYFUNCTION("""COMPUTED_VALUE"""),"V58")</f>
        <v>V58</v>
      </c>
      <c r="B8806" s="226" t="str">
        <f>IFERROR(__xludf.DUMMYFUNCTION("""COMPUTED_VALUE"""),"38219")</f>
        <v>38219</v>
      </c>
      <c r="C8806" t="str">
        <f>IFERROR(__xludf.DUMMYFUNCTION("""COMPUTED_VALUE"""),"Autohak")</f>
        <v>Autohak</v>
      </c>
    </row>
    <row r="8807">
      <c r="A8807" t="str">
        <f>IFERROR(__xludf.DUMMYFUNCTION("""COMPUTED_VALUE"""),"V58A")</f>
        <v>V58A</v>
      </c>
      <c r="B8807" s="226" t="str">
        <f>IFERROR(__xludf.DUMMYFUNCTION("""COMPUTED_VALUE"""),"39216")</f>
        <v>39216</v>
      </c>
      <c r="C8807" t="str">
        <f>IFERROR(__xludf.DUMMYFUNCTION("""COMPUTED_VALUE"""),"Autohak")</f>
        <v>Autohak</v>
      </c>
    </row>
    <row r="8808">
      <c r="A8808" t="str">
        <f>IFERROR(__xludf.DUMMYFUNCTION("""COMPUTED_VALUE"""),"V59")</f>
        <v>V59</v>
      </c>
      <c r="B8808" s="226" t="str">
        <f>IFERROR(__xludf.DUMMYFUNCTION("""COMPUTED_VALUE"""),"38226")</f>
        <v>38226</v>
      </c>
      <c r="C8808" t="str">
        <f>IFERROR(__xludf.DUMMYFUNCTION("""COMPUTED_VALUE"""),"Autohak")</f>
        <v>Autohak</v>
      </c>
    </row>
    <row r="8809">
      <c r="A8809" t="str">
        <f>IFERROR(__xludf.DUMMYFUNCTION("""COMPUTED_VALUE"""),"V59A")</f>
        <v>V59A</v>
      </c>
      <c r="B8809" s="226" t="str">
        <f>IFERROR(__xludf.DUMMYFUNCTION("""COMPUTED_VALUE"""),"39223")</f>
        <v>39223</v>
      </c>
      <c r="C8809" t="str">
        <f>IFERROR(__xludf.DUMMYFUNCTION("""COMPUTED_VALUE"""),"Autohak")</f>
        <v>Autohak</v>
      </c>
    </row>
    <row r="8810">
      <c r="A8810" t="str">
        <f>IFERROR(__xludf.DUMMYFUNCTION("""COMPUTED_VALUE"""),"V67")</f>
        <v>V67</v>
      </c>
      <c r="B8810" s="226" t="str">
        <f>IFERROR(__xludf.DUMMYFUNCTION("""COMPUTED_VALUE"""),"38288")</f>
        <v>38288</v>
      </c>
      <c r="C8810" t="str">
        <f>IFERROR(__xludf.DUMMYFUNCTION("""COMPUTED_VALUE"""),"Autohak")</f>
        <v>Autohak</v>
      </c>
    </row>
    <row r="8811">
      <c r="A8811" t="str">
        <f>IFERROR(__xludf.DUMMYFUNCTION("""COMPUTED_VALUE"""),"V67A")</f>
        <v>V67A</v>
      </c>
      <c r="B8811" s="226" t="str">
        <f>IFERROR(__xludf.DUMMYFUNCTION("""COMPUTED_VALUE"""),"39285")</f>
        <v>39285</v>
      </c>
      <c r="C8811" t="str">
        <f>IFERROR(__xludf.DUMMYFUNCTION("""COMPUTED_VALUE"""),"Autohak")</f>
        <v>Autohak</v>
      </c>
    </row>
    <row r="8812">
      <c r="A8812" t="str">
        <f>IFERROR(__xludf.DUMMYFUNCTION("""COMPUTED_VALUE"""),"V76")</f>
        <v>V76</v>
      </c>
      <c r="B8812" s="226" t="str">
        <f>IFERROR(__xludf.DUMMYFUNCTION("""COMPUTED_VALUE"""),"38370")</f>
        <v>38370</v>
      </c>
      <c r="C8812" t="str">
        <f>IFERROR(__xludf.DUMMYFUNCTION("""COMPUTED_VALUE"""),"Autohak")</f>
        <v>Autohak</v>
      </c>
    </row>
    <row r="8813">
      <c r="A8813" t="str">
        <f>IFERROR(__xludf.DUMMYFUNCTION("""COMPUTED_VALUE"""),"V76A")</f>
        <v>V76A</v>
      </c>
      <c r="B8813" s="226" t="str">
        <f>IFERROR(__xludf.DUMMYFUNCTION("""COMPUTED_VALUE"""),"39360")</f>
        <v>39360</v>
      </c>
      <c r="C8813" t="str">
        <f>IFERROR(__xludf.DUMMYFUNCTION("""COMPUTED_VALUE"""),"Autohak")</f>
        <v>Autohak</v>
      </c>
    </row>
    <row r="8814">
      <c r="A8814" t="str">
        <f>IFERROR(__xludf.DUMMYFUNCTION("""COMPUTED_VALUE"""),"V76V")</f>
        <v>V76V</v>
      </c>
      <c r="B8814" s="226" t="str">
        <f>IFERROR(__xludf.DUMMYFUNCTION("""COMPUTED_VALUE"""),"39957")</f>
        <v>39957</v>
      </c>
      <c r="C8814" t="str">
        <f>IFERROR(__xludf.DUMMYFUNCTION("""COMPUTED_VALUE"""),"Autohak")</f>
        <v>Autohak</v>
      </c>
    </row>
    <row r="8815">
      <c r="A8815" t="str">
        <f>IFERROR(__xludf.DUMMYFUNCTION("""COMPUTED_VALUE"""),"G94")</f>
        <v>G94</v>
      </c>
      <c r="B8815" s="226" t="str">
        <f>IFERROR(__xludf.DUMMYFUNCTION("""COMPUTED_VALUE"""),"49789")</f>
        <v>49789</v>
      </c>
      <c r="C8815" t="str">
        <f>IFERROR(__xludf.DUMMYFUNCTION("""COMPUTED_VALUE"""),"Autohak")</f>
        <v>Autohak</v>
      </c>
    </row>
    <row r="8816">
      <c r="A8816" t="str">
        <f>IFERROR(__xludf.DUMMYFUNCTION("""COMPUTED_VALUE"""),"G94A")</f>
        <v>G94A</v>
      </c>
      <c r="B8816" s="226" t="str">
        <f>IFERROR(__xludf.DUMMYFUNCTION("""COMPUTED_VALUE"""),"51003")</f>
        <v>51003</v>
      </c>
      <c r="C8816" t="str">
        <f>IFERROR(__xludf.DUMMYFUNCTION("""COMPUTED_VALUE"""),"Autohak")</f>
        <v>Autohak</v>
      </c>
    </row>
    <row r="8817">
      <c r="A8817" t="str">
        <f>IFERROR(__xludf.DUMMYFUNCTION("""COMPUTED_VALUE"""),"G94V")</f>
        <v>G94V</v>
      </c>
      <c r="B8817" s="226" t="str">
        <f>IFERROR(__xludf.DUMMYFUNCTION("""COMPUTED_VALUE"""),"51997")</f>
        <v>51997</v>
      </c>
      <c r="C8817" t="str">
        <f>IFERROR(__xludf.DUMMYFUNCTION("""COMPUTED_VALUE"""),"Autohak")</f>
        <v>Autohak</v>
      </c>
    </row>
    <row r="8818">
      <c r="A8818" t="str">
        <f>IFERROR(__xludf.DUMMYFUNCTION("""COMPUTED_VALUE"""),"W14")</f>
        <v>W14</v>
      </c>
      <c r="B8818" s="226" t="str">
        <f>IFERROR(__xludf.DUMMYFUNCTION("""COMPUTED_VALUE"""),"61149")</f>
        <v>61149</v>
      </c>
      <c r="C8818" t="str">
        <f>IFERROR(__xludf.DUMMYFUNCTION("""COMPUTED_VALUE"""),"Autohak")</f>
        <v>Autohak</v>
      </c>
    </row>
    <row r="8819">
      <c r="A8819" t="str">
        <f>IFERROR(__xludf.DUMMYFUNCTION("""COMPUTED_VALUE"""),"W14A")</f>
        <v>W14A</v>
      </c>
      <c r="B8819" s="226" t="str">
        <f>IFERROR(__xludf.DUMMYFUNCTION("""COMPUTED_VALUE"""),"62146")</f>
        <v>62146</v>
      </c>
      <c r="C8819" t="str">
        <f>IFERROR(__xludf.DUMMYFUNCTION("""COMPUTED_VALUE"""),"Autohak")</f>
        <v>Autohak</v>
      </c>
    </row>
    <row r="8820">
      <c r="A8820" t="str">
        <f>IFERROR(__xludf.DUMMYFUNCTION("""COMPUTED_VALUE"""),"W17")</f>
        <v>W17</v>
      </c>
      <c r="B8820" s="226" t="str">
        <f>IFERROR(__xludf.DUMMYFUNCTION("""COMPUTED_VALUE"""),"61156")</f>
        <v>61156</v>
      </c>
      <c r="C8820" t="str">
        <f>IFERROR(__xludf.DUMMYFUNCTION("""COMPUTED_VALUE"""),"Autohak")</f>
        <v>Autohak</v>
      </c>
    </row>
    <row r="8821">
      <c r="A8821" t="str">
        <f>IFERROR(__xludf.DUMMYFUNCTION("""COMPUTED_VALUE"""),"W17A")</f>
        <v>W17A</v>
      </c>
      <c r="B8821" s="226" t="str">
        <f>IFERROR(__xludf.DUMMYFUNCTION("""COMPUTED_VALUE"""),"62153")</f>
        <v>62153</v>
      </c>
      <c r="C8821" t="str">
        <f>IFERROR(__xludf.DUMMYFUNCTION("""COMPUTED_VALUE"""),"Autohak")</f>
        <v>Autohak</v>
      </c>
    </row>
    <row r="8822">
      <c r="A8822" t="str">
        <f>IFERROR(__xludf.DUMMYFUNCTION("""COMPUTED_VALUE"""),"W28")</f>
        <v>W28</v>
      </c>
      <c r="B8822" s="226" t="str">
        <f>IFERROR(__xludf.DUMMYFUNCTION("""COMPUTED_VALUE"""),"61224")</f>
        <v>61224</v>
      </c>
      <c r="C8822" t="str">
        <f>IFERROR(__xludf.DUMMYFUNCTION("""COMPUTED_VALUE"""),"Autohak")</f>
        <v>Autohak</v>
      </c>
    </row>
    <row r="8823">
      <c r="A8823" t="str">
        <f>IFERROR(__xludf.DUMMYFUNCTION("""COMPUTED_VALUE"""),"W28A")</f>
        <v>W28A</v>
      </c>
      <c r="B8823" s="226" t="str">
        <f>IFERROR(__xludf.DUMMYFUNCTION("""COMPUTED_VALUE"""),"62221")</f>
        <v>62221</v>
      </c>
      <c r="C8823" t="str">
        <f>IFERROR(__xludf.DUMMYFUNCTION("""COMPUTED_VALUE"""),"Autohak")</f>
        <v>Autohak</v>
      </c>
    </row>
    <row r="8824">
      <c r="A8824" t="str">
        <f>IFERROR(__xludf.DUMMYFUNCTION("""COMPUTED_VALUE"""),"E51")</f>
        <v>E51</v>
      </c>
      <c r="B8824" s="226" t="str">
        <f>IFERROR(__xludf.DUMMYFUNCTION("""COMPUTED_VALUE"""),"40427")</f>
        <v>40427</v>
      </c>
      <c r="C8824" t="str">
        <f>IFERROR(__xludf.DUMMYFUNCTION("""COMPUTED_VALUE"""),"Autohak")</f>
        <v>Autohak</v>
      </c>
    </row>
    <row r="8825">
      <c r="A8825" t="str">
        <f>IFERROR(__xludf.DUMMYFUNCTION("""COMPUTED_VALUE"""),"E51A")</f>
        <v>E51A</v>
      </c>
      <c r="B8825" s="226" t="str">
        <f>IFERROR(__xludf.DUMMYFUNCTION("""COMPUTED_VALUE"""),"43428")</f>
        <v>43428</v>
      </c>
      <c r="C8825" t="str">
        <f>IFERROR(__xludf.DUMMYFUNCTION("""COMPUTED_VALUE"""),"Autohak")</f>
        <v>Autohak</v>
      </c>
    </row>
    <row r="8826">
      <c r="A8826" t="str">
        <f>IFERROR(__xludf.DUMMYFUNCTION("""COMPUTED_VALUE"""),"E51")</f>
        <v>E51</v>
      </c>
      <c r="B8826" s="226" t="str">
        <f>IFERROR(__xludf.DUMMYFUNCTION("""COMPUTED_VALUE"""),"40427")</f>
        <v>40427</v>
      </c>
      <c r="C8826" t="str">
        <f>IFERROR(__xludf.DUMMYFUNCTION("""COMPUTED_VALUE"""),"Autohak")</f>
        <v>Autohak</v>
      </c>
    </row>
    <row r="8827">
      <c r="A8827" t="str">
        <f>IFERROR(__xludf.DUMMYFUNCTION("""COMPUTED_VALUE"""),"E51A")</f>
        <v>E51A</v>
      </c>
      <c r="B8827" s="226" t="str">
        <f>IFERROR(__xludf.DUMMYFUNCTION("""COMPUTED_VALUE"""),"43428")</f>
        <v>43428</v>
      </c>
      <c r="C8827" t="str">
        <f>IFERROR(__xludf.DUMMYFUNCTION("""COMPUTED_VALUE"""),"Autohak")</f>
        <v>Autohak</v>
      </c>
    </row>
    <row r="8828">
      <c r="A8828" t="str">
        <f>IFERROR(__xludf.DUMMYFUNCTION("""COMPUTED_VALUE"""),"E51")</f>
        <v>E51</v>
      </c>
      <c r="B8828" s="226" t="str">
        <f>IFERROR(__xludf.DUMMYFUNCTION("""COMPUTED_VALUE"""),"40427")</f>
        <v>40427</v>
      </c>
      <c r="C8828" t="str">
        <f>IFERROR(__xludf.DUMMYFUNCTION("""COMPUTED_VALUE"""),"Autohak")</f>
        <v>Autohak</v>
      </c>
    </row>
    <row r="8829">
      <c r="A8829" t="str">
        <f>IFERROR(__xludf.DUMMYFUNCTION("""COMPUTED_VALUE"""),"E51A")</f>
        <v>E51A</v>
      </c>
      <c r="B8829" s="226" t="str">
        <f>IFERROR(__xludf.DUMMYFUNCTION("""COMPUTED_VALUE"""),"43428")</f>
        <v>43428</v>
      </c>
      <c r="C8829" t="str">
        <f>IFERROR(__xludf.DUMMYFUNCTION("""COMPUTED_VALUE"""),"Autohak")</f>
        <v>Autohak</v>
      </c>
    </row>
    <row r="8830">
      <c r="A8830" t="str">
        <f>IFERROR(__xludf.DUMMYFUNCTION("""COMPUTED_VALUE"""),"E07")</f>
        <v>E07</v>
      </c>
      <c r="B8830" s="226" t="str">
        <f>IFERROR(__xludf.DUMMYFUNCTION("""COMPUTED_VALUE"""),"40038")</f>
        <v>40038</v>
      </c>
      <c r="C8830" t="str">
        <f>IFERROR(__xludf.DUMMYFUNCTION("""COMPUTED_VALUE"""),"Autohak")</f>
        <v>Autohak</v>
      </c>
    </row>
    <row r="8831">
      <c r="A8831" t="str">
        <f>IFERROR(__xludf.DUMMYFUNCTION("""COMPUTED_VALUE"""),"E33")</f>
        <v>E33</v>
      </c>
      <c r="B8831" s="226" t="str">
        <f>IFERROR(__xludf.DUMMYFUNCTION("""COMPUTED_VALUE"""),"40045")</f>
        <v>40045</v>
      </c>
      <c r="C8831" t="str">
        <f>IFERROR(__xludf.DUMMYFUNCTION("""COMPUTED_VALUE"""),"Autohak")</f>
        <v>Autohak</v>
      </c>
    </row>
    <row r="8832">
      <c r="A8832" t="str">
        <f>IFERROR(__xludf.DUMMYFUNCTION("""COMPUTED_VALUE"""),"E33A")</f>
        <v>E33A</v>
      </c>
      <c r="B8832" s="226" t="str">
        <f>IFERROR(__xludf.DUMMYFUNCTION("""COMPUTED_VALUE"""),"43046")</f>
        <v>43046</v>
      </c>
      <c r="C8832" t="str">
        <f>IFERROR(__xludf.DUMMYFUNCTION("""COMPUTED_VALUE"""),"Autohak")</f>
        <v>Autohak</v>
      </c>
    </row>
    <row r="8833">
      <c r="A8833" t="str">
        <f>IFERROR(__xludf.DUMMYFUNCTION("""COMPUTED_VALUE"""),"E21")</f>
        <v>E21</v>
      </c>
      <c r="B8833" s="226" t="str">
        <f>IFERROR(__xludf.DUMMYFUNCTION("""COMPUTED_VALUE"""),"40076")</f>
        <v>40076</v>
      </c>
      <c r="C8833" t="str">
        <f>IFERROR(__xludf.DUMMYFUNCTION("""COMPUTED_VALUE"""),"Autohak")</f>
        <v>Autohak</v>
      </c>
    </row>
    <row r="8834">
      <c r="A8834" t="str">
        <f>IFERROR(__xludf.DUMMYFUNCTION("""COMPUTED_VALUE"""),"E21A")</f>
        <v>E21A</v>
      </c>
      <c r="B8834" s="226" t="str">
        <f>IFERROR(__xludf.DUMMYFUNCTION("""COMPUTED_VALUE"""),"43077")</f>
        <v>43077</v>
      </c>
      <c r="C8834" t="str">
        <f>IFERROR(__xludf.DUMMYFUNCTION("""COMPUTED_VALUE"""),"Autohak")</f>
        <v>Autohak</v>
      </c>
    </row>
    <row r="8835">
      <c r="A8835" t="str">
        <f>IFERROR(__xludf.DUMMYFUNCTION("""COMPUTED_VALUE"""),"E45")</f>
        <v>E45</v>
      </c>
      <c r="B8835" s="226" t="str">
        <f>IFERROR(__xludf.DUMMYFUNCTION("""COMPUTED_VALUE"""),"40090")</f>
        <v>40090</v>
      </c>
      <c r="C8835" t="str">
        <f>IFERROR(__xludf.DUMMYFUNCTION("""COMPUTED_VALUE"""),"Autohak")</f>
        <v>Autohak</v>
      </c>
    </row>
    <row r="8836">
      <c r="A8836" t="str">
        <f>IFERROR(__xludf.DUMMYFUNCTION("""COMPUTED_VALUE"""),"E45A")</f>
        <v>E45A</v>
      </c>
      <c r="B8836" s="226" t="str">
        <f>IFERROR(__xludf.DUMMYFUNCTION("""COMPUTED_VALUE"""),"43091")</f>
        <v>43091</v>
      </c>
      <c r="C8836" t="str">
        <f>IFERROR(__xludf.DUMMYFUNCTION("""COMPUTED_VALUE"""),"Autohak")</f>
        <v>Autohak</v>
      </c>
    </row>
    <row r="8837">
      <c r="A8837" t="str">
        <f>IFERROR(__xludf.DUMMYFUNCTION("""COMPUTED_VALUE"""),"E54")</f>
        <v>E54</v>
      </c>
      <c r="B8837" s="226" t="str">
        <f>IFERROR(__xludf.DUMMYFUNCTION("""COMPUTED_VALUE"""),"40458")</f>
        <v>40458</v>
      </c>
      <c r="C8837" t="str">
        <f>IFERROR(__xludf.DUMMYFUNCTION("""COMPUTED_VALUE"""),"Autohak")</f>
        <v>Autohak</v>
      </c>
    </row>
    <row r="8838">
      <c r="A8838" t="str">
        <f>IFERROR(__xludf.DUMMYFUNCTION("""COMPUTED_VALUE"""),"E54A")</f>
        <v>E54A</v>
      </c>
      <c r="B8838" s="226" t="str">
        <f>IFERROR(__xludf.DUMMYFUNCTION("""COMPUTED_VALUE"""),"43459")</f>
        <v>43459</v>
      </c>
      <c r="C8838" t="str">
        <f>IFERROR(__xludf.DUMMYFUNCTION("""COMPUTED_VALUE"""),"Autohak")</f>
        <v>Autohak</v>
      </c>
    </row>
    <row r="8839">
      <c r="A8839" t="str">
        <f>IFERROR(__xludf.DUMMYFUNCTION("""COMPUTED_VALUE"""),"E54V")</f>
        <v>E54V</v>
      </c>
      <c r="B8839" s="226" t="str">
        <f>IFERROR(__xludf.DUMMYFUNCTION("""COMPUTED_VALUE"""),"43923")</f>
        <v>43923</v>
      </c>
      <c r="C8839" t="str">
        <f>IFERROR(__xludf.DUMMYFUNCTION("""COMPUTED_VALUE"""),"Autohak")</f>
        <v>Autohak</v>
      </c>
    </row>
    <row r="8840">
      <c r="A8840" t="str">
        <f>IFERROR(__xludf.DUMMYFUNCTION("""COMPUTED_VALUE"""),"E08")</f>
        <v>E08</v>
      </c>
      <c r="B8840" s="226" t="str">
        <f>IFERROR(__xludf.DUMMYFUNCTION("""COMPUTED_VALUE"""),"40021")</f>
        <v>40021</v>
      </c>
      <c r="C8840" t="str">
        <f>IFERROR(__xludf.DUMMYFUNCTION("""COMPUTED_VALUE"""),"Autohak")</f>
        <v>Autohak</v>
      </c>
    </row>
    <row r="8841">
      <c r="A8841" t="str">
        <f>IFERROR(__xludf.DUMMYFUNCTION("""COMPUTED_VALUE"""),"E08A")</f>
        <v>E08A</v>
      </c>
      <c r="B8841" s="226" t="str">
        <f>IFERROR(__xludf.DUMMYFUNCTION("""COMPUTED_VALUE"""),"43022")</f>
        <v>43022</v>
      </c>
      <c r="C8841" t="str">
        <f>IFERROR(__xludf.DUMMYFUNCTION("""COMPUTED_VALUE"""),"Autohak")</f>
        <v>Autohak</v>
      </c>
    </row>
    <row r="8842">
      <c r="A8842" t="str">
        <f>IFERROR(__xludf.DUMMYFUNCTION("""COMPUTED_VALUE"""),"E21")</f>
        <v>E21</v>
      </c>
      <c r="B8842" s="226" t="str">
        <f>IFERROR(__xludf.DUMMYFUNCTION("""COMPUTED_VALUE"""),"40076")</f>
        <v>40076</v>
      </c>
      <c r="C8842" t="str">
        <f>IFERROR(__xludf.DUMMYFUNCTION("""COMPUTED_VALUE"""),"Autohak")</f>
        <v>Autohak</v>
      </c>
    </row>
    <row r="8843">
      <c r="A8843" t="str">
        <f>IFERROR(__xludf.DUMMYFUNCTION("""COMPUTED_VALUE"""),"E21A")</f>
        <v>E21A</v>
      </c>
      <c r="B8843" s="226" t="str">
        <f>IFERROR(__xludf.DUMMYFUNCTION("""COMPUTED_VALUE"""),"43077")</f>
        <v>43077</v>
      </c>
      <c r="C8843" t="str">
        <f>IFERROR(__xludf.DUMMYFUNCTION("""COMPUTED_VALUE"""),"Autohak")</f>
        <v>Autohak</v>
      </c>
    </row>
    <row r="8844">
      <c r="A8844" t="str">
        <f>IFERROR(__xludf.DUMMYFUNCTION("""COMPUTED_VALUE"""),"E53")</f>
        <v>E53</v>
      </c>
      <c r="B8844" s="226" t="str">
        <f>IFERROR(__xludf.DUMMYFUNCTION("""COMPUTED_VALUE"""),"40441")</f>
        <v>40441</v>
      </c>
      <c r="C8844" t="str">
        <f>IFERROR(__xludf.DUMMYFUNCTION("""COMPUTED_VALUE"""),"Autohak")</f>
        <v>Autohak</v>
      </c>
    </row>
    <row r="8845">
      <c r="A8845" t="str">
        <f>IFERROR(__xludf.DUMMYFUNCTION("""COMPUTED_VALUE"""),"E53A")</f>
        <v>E53A</v>
      </c>
      <c r="B8845" s="226" t="str">
        <f>IFERROR(__xludf.DUMMYFUNCTION("""COMPUTED_VALUE"""),"43442")</f>
        <v>43442</v>
      </c>
      <c r="C8845" t="str">
        <f>IFERROR(__xludf.DUMMYFUNCTION("""COMPUTED_VALUE"""),"Autohak")</f>
        <v>Autohak</v>
      </c>
    </row>
    <row r="8846">
      <c r="A8846" t="str">
        <f>IFERROR(__xludf.DUMMYFUNCTION("""COMPUTED_VALUE"""),"E60")</f>
        <v>E60</v>
      </c>
      <c r="B8846" s="226" t="str">
        <f>IFERROR(__xludf.DUMMYFUNCTION("""COMPUTED_VALUE"""),"40519")</f>
        <v>40519</v>
      </c>
      <c r="C8846" t="str">
        <f>IFERROR(__xludf.DUMMYFUNCTION("""COMPUTED_VALUE"""),"Autohak")</f>
        <v>Autohak</v>
      </c>
    </row>
    <row r="8847">
      <c r="A8847" t="str">
        <f>IFERROR(__xludf.DUMMYFUNCTION("""COMPUTED_VALUE"""),"E60A")</f>
        <v>E60A</v>
      </c>
      <c r="B8847" s="226" t="str">
        <f>IFERROR(__xludf.DUMMYFUNCTION("""COMPUTED_VALUE"""),"43510")</f>
        <v>43510</v>
      </c>
      <c r="C8847" t="str">
        <f>IFERROR(__xludf.DUMMYFUNCTION("""COMPUTED_VALUE"""),"Autohak")</f>
        <v>Autohak</v>
      </c>
    </row>
    <row r="8848">
      <c r="A8848" t="str">
        <f>IFERROR(__xludf.DUMMYFUNCTION("""COMPUTED_VALUE"""),"E60V")</f>
        <v>E60V</v>
      </c>
      <c r="B8848" s="226" t="str">
        <f>IFERROR(__xludf.DUMMYFUNCTION("""COMPUTED_VALUE"""),"43909")</f>
        <v>43909</v>
      </c>
      <c r="C8848" t="str">
        <f>IFERROR(__xludf.DUMMYFUNCTION("""COMPUTED_VALUE"""),"Autohak")</f>
        <v>Autohak</v>
      </c>
    </row>
    <row r="8849">
      <c r="A8849" t="str">
        <f>IFERROR(__xludf.DUMMYFUNCTION("""COMPUTED_VALUE"""),"E61")</f>
        <v>E61</v>
      </c>
      <c r="B8849" s="226" t="str">
        <f>IFERROR(__xludf.DUMMYFUNCTION("""COMPUTED_VALUE"""),"40526")</f>
        <v>40526</v>
      </c>
      <c r="C8849" t="str">
        <f>IFERROR(__xludf.DUMMYFUNCTION("""COMPUTED_VALUE"""),"Autohak")</f>
        <v>Autohak</v>
      </c>
    </row>
    <row r="8850">
      <c r="A8850" t="str">
        <f>IFERROR(__xludf.DUMMYFUNCTION("""COMPUTED_VALUE"""),"E61A")</f>
        <v>E61A</v>
      </c>
      <c r="B8850" s="226" t="str">
        <f>IFERROR(__xludf.DUMMYFUNCTION("""COMPUTED_VALUE"""),"43527")</f>
        <v>43527</v>
      </c>
      <c r="C8850" t="str">
        <f>IFERROR(__xludf.DUMMYFUNCTION("""COMPUTED_VALUE"""),"Autohak")</f>
        <v>Autohak</v>
      </c>
    </row>
    <row r="8851">
      <c r="A8851" t="str">
        <f>IFERROR(__xludf.DUMMYFUNCTION("""COMPUTED_VALUE"""),"E61V")</f>
        <v>E61V</v>
      </c>
      <c r="B8851" s="226" t="str">
        <f>IFERROR(__xludf.DUMMYFUNCTION("""COMPUTED_VALUE"""),"43893")</f>
        <v>43893</v>
      </c>
      <c r="C8851" t="str">
        <f>IFERROR(__xludf.DUMMYFUNCTION("""COMPUTED_VALUE"""),"Autohak")</f>
        <v>Autohak</v>
      </c>
    </row>
    <row r="8852">
      <c r="A8852" t="str">
        <f>IFERROR(__xludf.DUMMYFUNCTION("""COMPUTED_VALUE"""),"E19")</f>
        <v>E19</v>
      </c>
      <c r="B8852" s="226" t="str">
        <f>IFERROR(__xludf.DUMMYFUNCTION("""COMPUTED_VALUE"""),"40052")</f>
        <v>40052</v>
      </c>
      <c r="C8852" t="str">
        <f>IFERROR(__xludf.DUMMYFUNCTION("""COMPUTED_VALUE"""),"Autohak")</f>
        <v>Autohak</v>
      </c>
    </row>
    <row r="8853">
      <c r="A8853" t="str">
        <f>IFERROR(__xludf.DUMMYFUNCTION("""COMPUTED_VALUE"""),"E36")</f>
        <v>E36</v>
      </c>
      <c r="B8853" s="226" t="str">
        <f>IFERROR(__xludf.DUMMYFUNCTION("""COMPUTED_VALUE"""),"40069")</f>
        <v>40069</v>
      </c>
      <c r="C8853" t="str">
        <f>IFERROR(__xludf.DUMMYFUNCTION("""COMPUTED_VALUE"""),"Autohak")</f>
        <v>Autohak</v>
      </c>
    </row>
    <row r="8854">
      <c r="A8854" t="str">
        <f>IFERROR(__xludf.DUMMYFUNCTION("""COMPUTED_VALUE"""),"E36A")</f>
        <v>E36A</v>
      </c>
      <c r="B8854" s="226" t="str">
        <f>IFERROR(__xludf.DUMMYFUNCTION("""COMPUTED_VALUE"""),"43060")</f>
        <v>43060</v>
      </c>
      <c r="C8854" t="str">
        <f>IFERROR(__xludf.DUMMYFUNCTION("""COMPUTED_VALUE"""),"Autohak")</f>
        <v>Autohak</v>
      </c>
    </row>
    <row r="8855">
      <c r="A8855" t="str">
        <f>IFERROR(__xludf.DUMMYFUNCTION("""COMPUTED_VALUE"""),"E23")</f>
        <v>E23</v>
      </c>
      <c r="B8855" s="226" t="str">
        <f>IFERROR(__xludf.DUMMYFUNCTION("""COMPUTED_VALUE"""),"40083")</f>
        <v>40083</v>
      </c>
      <c r="C8855" t="str">
        <f>IFERROR(__xludf.DUMMYFUNCTION("""COMPUTED_VALUE"""),"Autohak")</f>
        <v>Autohak</v>
      </c>
    </row>
    <row r="8856">
      <c r="A8856" t="str">
        <f>IFERROR(__xludf.DUMMYFUNCTION("""COMPUTED_VALUE"""),"E23A")</f>
        <v>E23A</v>
      </c>
      <c r="B8856" s="226" t="str">
        <f>IFERROR(__xludf.DUMMYFUNCTION("""COMPUTED_VALUE"""),"43084")</f>
        <v>43084</v>
      </c>
      <c r="C8856" t="str">
        <f>IFERROR(__xludf.DUMMYFUNCTION("""COMPUTED_VALUE"""),"Autohak")</f>
        <v>Autohak</v>
      </c>
    </row>
    <row r="8857">
      <c r="A8857" t="str">
        <f>IFERROR(__xludf.DUMMYFUNCTION("""COMPUTED_VALUE"""),"E46")</f>
        <v>E46</v>
      </c>
      <c r="B8857" s="226" t="str">
        <f>IFERROR(__xludf.DUMMYFUNCTION("""COMPUTED_VALUE"""),"40380")</f>
        <v>40380</v>
      </c>
      <c r="C8857" t="str">
        <f>IFERROR(__xludf.DUMMYFUNCTION("""COMPUTED_VALUE"""),"Autohak")</f>
        <v>Autohak</v>
      </c>
    </row>
    <row r="8858">
      <c r="A8858" t="str">
        <f>IFERROR(__xludf.DUMMYFUNCTION("""COMPUTED_VALUE"""),"E46A")</f>
        <v>E46A</v>
      </c>
      <c r="B8858" s="226" t="str">
        <f>IFERROR(__xludf.DUMMYFUNCTION("""COMPUTED_VALUE"""),"43381")</f>
        <v>43381</v>
      </c>
      <c r="C8858" t="str">
        <f>IFERROR(__xludf.DUMMYFUNCTION("""COMPUTED_VALUE"""),"Autohak")</f>
        <v>Autohak</v>
      </c>
    </row>
    <row r="8859">
      <c r="A8859" t="str">
        <f>IFERROR(__xludf.DUMMYFUNCTION("""COMPUTED_VALUE"""),"E46V")</f>
        <v>E46V</v>
      </c>
      <c r="B8859" s="226" t="str">
        <f>IFERROR(__xludf.DUMMYFUNCTION("""COMPUTED_VALUE"""),"43992")</f>
        <v>43992</v>
      </c>
      <c r="C8859" t="str">
        <f>IFERROR(__xludf.DUMMYFUNCTION("""COMPUTED_VALUE"""),"Autohak")</f>
        <v>Autohak</v>
      </c>
    </row>
    <row r="8860">
      <c r="A8860" t="str">
        <f>IFERROR(__xludf.DUMMYFUNCTION("""COMPUTED_VALUE"""),"E56")</f>
        <v>E56</v>
      </c>
      <c r="B8860" s="226" t="str">
        <f>IFERROR(__xludf.DUMMYFUNCTION("""COMPUTED_VALUE"""),"40472")</f>
        <v>40472</v>
      </c>
      <c r="C8860" t="str">
        <f>IFERROR(__xludf.DUMMYFUNCTION("""COMPUTED_VALUE"""),"Autohak")</f>
        <v>Autohak</v>
      </c>
    </row>
    <row r="8861">
      <c r="A8861" t="str">
        <f>IFERROR(__xludf.DUMMYFUNCTION("""COMPUTED_VALUE"""),"E56A")</f>
        <v>E56A</v>
      </c>
      <c r="B8861" s="226" t="str">
        <f>IFERROR(__xludf.DUMMYFUNCTION("""COMPUTED_VALUE"""),"43473")</f>
        <v>43473</v>
      </c>
      <c r="C8861" t="str">
        <f>IFERROR(__xludf.DUMMYFUNCTION("""COMPUTED_VALUE"""),"Autohak")</f>
        <v>Autohak</v>
      </c>
    </row>
    <row r="8862">
      <c r="A8862" t="str">
        <f>IFERROR(__xludf.DUMMYFUNCTION("""COMPUTED_VALUE"""),"E56V")</f>
        <v>E56V</v>
      </c>
      <c r="B8862" s="226" t="str">
        <f>IFERROR(__xludf.DUMMYFUNCTION("""COMPUTED_VALUE"""),"43961")</f>
        <v>43961</v>
      </c>
      <c r="C8862" t="str">
        <f>IFERROR(__xludf.DUMMYFUNCTION("""COMPUTED_VALUE"""),"Autohak")</f>
        <v>Autohak</v>
      </c>
    </row>
    <row r="8863">
      <c r="A8863" t="str">
        <f>IFERROR(__xludf.DUMMYFUNCTION("""COMPUTED_VALUE"""),"E62")</f>
        <v>E62</v>
      </c>
      <c r="B8863" s="226" t="str">
        <f>IFERROR(__xludf.DUMMYFUNCTION("""COMPUTED_VALUE"""),"40533")</f>
        <v>40533</v>
      </c>
      <c r="C8863" t="str">
        <f>IFERROR(__xludf.DUMMYFUNCTION("""COMPUTED_VALUE"""),"Autohak")</f>
        <v>Autohak</v>
      </c>
    </row>
    <row r="8864">
      <c r="A8864" t="str">
        <f>IFERROR(__xludf.DUMMYFUNCTION("""COMPUTED_VALUE"""),"E62A")</f>
        <v>E62A</v>
      </c>
      <c r="B8864" s="226" t="str">
        <f>IFERROR(__xludf.DUMMYFUNCTION("""COMPUTED_VALUE"""),"43534")</f>
        <v>43534</v>
      </c>
      <c r="C8864" t="str">
        <f>IFERROR(__xludf.DUMMYFUNCTION("""COMPUTED_VALUE"""),"Autohak")</f>
        <v>Autohak</v>
      </c>
    </row>
    <row r="8865">
      <c r="A8865" t="str">
        <f>IFERROR(__xludf.DUMMYFUNCTION("""COMPUTED_VALUE"""),"E62V")</f>
        <v>E62V</v>
      </c>
      <c r="B8865" s="226" t="str">
        <f>IFERROR(__xludf.DUMMYFUNCTION("""COMPUTED_VALUE"""),"43886")</f>
        <v>43886</v>
      </c>
      <c r="C8865" t="str">
        <f>IFERROR(__xludf.DUMMYFUNCTION("""COMPUTED_VALUE"""),"Autohak")</f>
        <v>Autohak</v>
      </c>
    </row>
    <row r="8866">
      <c r="A8866" t="str">
        <f>IFERROR(__xludf.DUMMYFUNCTION("""COMPUTED_VALUE"""),"E20")</f>
        <v>E20</v>
      </c>
      <c r="B8866" s="226" t="str">
        <f>IFERROR(__xludf.DUMMYFUNCTION("""COMPUTED_VALUE"""),"40113")</f>
        <v>40113</v>
      </c>
      <c r="C8866" t="str">
        <f>IFERROR(__xludf.DUMMYFUNCTION("""COMPUTED_VALUE"""),"Autohak")</f>
        <v>Autohak</v>
      </c>
    </row>
    <row r="8867">
      <c r="A8867" t="str">
        <f>IFERROR(__xludf.DUMMYFUNCTION("""COMPUTED_VALUE"""),"E20A")</f>
        <v>E20A</v>
      </c>
      <c r="B8867" s="226" t="str">
        <f>IFERROR(__xludf.DUMMYFUNCTION("""COMPUTED_VALUE"""),"43114")</f>
        <v>43114</v>
      </c>
      <c r="C8867" t="str">
        <f>IFERROR(__xludf.DUMMYFUNCTION("""COMPUTED_VALUE"""),"Autohak")</f>
        <v>Autohak</v>
      </c>
    </row>
    <row r="8868">
      <c r="A8868" t="str">
        <f>IFERROR(__xludf.DUMMYFUNCTION("""COMPUTED_VALUE"""),"E39")</f>
        <v>E39</v>
      </c>
      <c r="B8868" s="226" t="str">
        <f>IFERROR(__xludf.DUMMYFUNCTION("""COMPUTED_VALUE"""),"40120")</f>
        <v>40120</v>
      </c>
      <c r="C8868" t="str">
        <f>IFERROR(__xludf.DUMMYFUNCTION("""COMPUTED_VALUE"""),"Autohak")</f>
        <v>Autohak</v>
      </c>
    </row>
    <row r="8869">
      <c r="A8869" t="str">
        <f>IFERROR(__xludf.DUMMYFUNCTION("""COMPUTED_VALUE"""),"E39A")</f>
        <v>E39A</v>
      </c>
      <c r="B8869" s="226" t="str">
        <f>IFERROR(__xludf.DUMMYFUNCTION("""COMPUTED_VALUE"""),"43121")</f>
        <v>43121</v>
      </c>
      <c r="C8869" t="str">
        <f>IFERROR(__xludf.DUMMYFUNCTION("""COMPUTED_VALUE"""),"Autohak")</f>
        <v>Autohak</v>
      </c>
    </row>
    <row r="8870">
      <c r="A8870" t="str">
        <f>IFERROR(__xludf.DUMMYFUNCTION("""COMPUTED_VALUE"""),"R48")</f>
        <v>R48</v>
      </c>
      <c r="B8870" s="226" t="str">
        <f>IFERROR(__xludf.DUMMYFUNCTION("""COMPUTED_VALUE"""),"13445")</f>
        <v>13445</v>
      </c>
      <c r="C8870" t="str">
        <f>IFERROR(__xludf.DUMMYFUNCTION("""COMPUTED_VALUE"""),"Autohak")</f>
        <v>Autohak</v>
      </c>
    </row>
    <row r="8871">
      <c r="A8871" t="str">
        <f>IFERROR(__xludf.DUMMYFUNCTION("""COMPUTED_VALUE"""),"R48A")</f>
        <v>R48A</v>
      </c>
      <c r="B8871" s="226" t="str">
        <f>IFERROR(__xludf.DUMMYFUNCTION("""COMPUTED_VALUE"""),"16439")</f>
        <v>16439</v>
      </c>
      <c r="C8871" t="str">
        <f>IFERROR(__xludf.DUMMYFUNCTION("""COMPUTED_VALUE"""),"Autohak")</f>
        <v>Autohak</v>
      </c>
    </row>
    <row r="8872">
      <c r="A8872" t="str">
        <f>IFERROR(__xludf.DUMMYFUNCTION("""COMPUTED_VALUE"""),"R48V")</f>
        <v>R48V</v>
      </c>
      <c r="B8872" s="226" t="str">
        <f>IFERROR(__xludf.DUMMYFUNCTION("""COMPUTED_VALUE"""),"16996")</f>
        <v>16996</v>
      </c>
      <c r="C8872" t="str">
        <f>IFERROR(__xludf.DUMMYFUNCTION("""COMPUTED_VALUE"""),"Autohak")</f>
        <v>Autohak</v>
      </c>
    </row>
    <row r="8873">
      <c r="A8873" t="str">
        <f>IFERROR(__xludf.DUMMYFUNCTION("""COMPUTED_VALUE"""),"R48")</f>
        <v>R48</v>
      </c>
      <c r="B8873" s="226" t="str">
        <f>IFERROR(__xludf.DUMMYFUNCTION("""COMPUTED_VALUE"""),"13445")</f>
        <v>13445</v>
      </c>
      <c r="C8873" t="str">
        <f>IFERROR(__xludf.DUMMYFUNCTION("""COMPUTED_VALUE"""),"Autohak")</f>
        <v>Autohak</v>
      </c>
    </row>
    <row r="8874">
      <c r="A8874" t="str">
        <f>IFERROR(__xludf.DUMMYFUNCTION("""COMPUTED_VALUE"""),"R48A")</f>
        <v>R48A</v>
      </c>
      <c r="B8874" s="226" t="str">
        <f>IFERROR(__xludf.DUMMYFUNCTION("""COMPUTED_VALUE"""),"16439")</f>
        <v>16439</v>
      </c>
      <c r="C8874" t="str">
        <f>IFERROR(__xludf.DUMMYFUNCTION("""COMPUTED_VALUE"""),"Autohak")</f>
        <v>Autohak</v>
      </c>
    </row>
    <row r="8875">
      <c r="A8875" t="str">
        <f>IFERROR(__xludf.DUMMYFUNCTION("""COMPUTED_VALUE"""),"R48V")</f>
        <v>R48V</v>
      </c>
      <c r="B8875" s="226" t="str">
        <f>IFERROR(__xludf.DUMMYFUNCTION("""COMPUTED_VALUE"""),"16996")</f>
        <v>16996</v>
      </c>
      <c r="C8875" t="str">
        <f>IFERROR(__xludf.DUMMYFUNCTION("""COMPUTED_VALUE"""),"Autohak")</f>
        <v>Autohak</v>
      </c>
    </row>
    <row r="8876">
      <c r="A8876" t="str">
        <f>IFERROR(__xludf.DUMMYFUNCTION("""COMPUTED_VALUE"""),"F31")</f>
        <v>F31</v>
      </c>
      <c r="B8876" s="226" t="str">
        <f>IFERROR(__xludf.DUMMYFUNCTION("""COMPUTED_VALUE"""),"44227")</f>
        <v>44227</v>
      </c>
      <c r="C8876" t="str">
        <f>IFERROR(__xludf.DUMMYFUNCTION("""COMPUTED_VALUE"""),"Autohak")</f>
        <v>Autohak</v>
      </c>
    </row>
    <row r="8877">
      <c r="A8877" t="str">
        <f>IFERROR(__xludf.DUMMYFUNCTION("""COMPUTED_VALUE"""),"F31A")</f>
        <v>F31A</v>
      </c>
      <c r="B8877" s="226" t="str">
        <f>IFERROR(__xludf.DUMMYFUNCTION("""COMPUTED_VALUE"""),"46221")</f>
        <v>46221</v>
      </c>
      <c r="C8877" t="str">
        <f>IFERROR(__xludf.DUMMYFUNCTION("""COMPUTED_VALUE"""),"Autohak")</f>
        <v>Autohak</v>
      </c>
    </row>
    <row r="8878">
      <c r="A8878" t="str">
        <f>IFERROR(__xludf.DUMMYFUNCTION("""COMPUTED_VALUE"""),"F31V")</f>
        <v>F31V</v>
      </c>
      <c r="B8878" s="226" t="str">
        <f>IFERROR(__xludf.DUMMYFUNCTION("""COMPUTED_VALUE"""),"46993")</f>
        <v>46993</v>
      </c>
      <c r="C8878" t="str">
        <f>IFERROR(__xludf.DUMMYFUNCTION("""COMPUTED_VALUE"""),"Autohak")</f>
        <v>Autohak</v>
      </c>
    </row>
    <row r="8879">
      <c r="A8879" t="str">
        <f>IFERROR(__xludf.DUMMYFUNCTION("""COMPUTED_VALUE"""),"F50")</f>
        <v>F50</v>
      </c>
      <c r="B8879" s="226" t="str">
        <f>IFERROR(__xludf.DUMMYFUNCTION("""COMPUTED_VALUE"""),"44401")</f>
        <v>44401</v>
      </c>
      <c r="C8879" t="str">
        <f>IFERROR(__xludf.DUMMYFUNCTION("""COMPUTED_VALUE"""),"Autohak")</f>
        <v>Autohak</v>
      </c>
    </row>
    <row r="8880">
      <c r="A8880" t="str">
        <f>IFERROR(__xludf.DUMMYFUNCTION("""COMPUTED_VALUE"""),"F50A")</f>
        <v>F50A</v>
      </c>
      <c r="B8880" s="226" t="str">
        <f>IFERROR(__xludf.DUMMYFUNCTION("""COMPUTED_VALUE"""),"46412")</f>
        <v>46412</v>
      </c>
      <c r="C8880" t="str">
        <f>IFERROR(__xludf.DUMMYFUNCTION("""COMPUTED_VALUE"""),"Autohak")</f>
        <v>Autohak</v>
      </c>
    </row>
    <row r="8881">
      <c r="A8881" t="str">
        <f>IFERROR(__xludf.DUMMYFUNCTION("""COMPUTED_VALUE"""),"F50V")</f>
        <v>F50V</v>
      </c>
      <c r="B8881" s="226" t="str">
        <f>IFERROR(__xludf.DUMMYFUNCTION("""COMPUTED_VALUE"""),"46825")</f>
        <v>46825</v>
      </c>
      <c r="C8881" t="str">
        <f>IFERROR(__xludf.DUMMYFUNCTION("""COMPUTED_VALUE"""),"Autohak")</f>
        <v>Autohak</v>
      </c>
    </row>
    <row r="8882">
      <c r="A8882" t="str">
        <f>IFERROR(__xludf.DUMMYFUNCTION("""COMPUTED_VALUE"""),"E03")</f>
        <v>E03</v>
      </c>
      <c r="B8882" s="226" t="str">
        <f>IFERROR(__xludf.DUMMYFUNCTION("""COMPUTED_VALUE"""),"40144")</f>
        <v>40144</v>
      </c>
      <c r="C8882" t="str">
        <f>IFERROR(__xludf.DUMMYFUNCTION("""COMPUTED_VALUE"""),"Autohak")</f>
        <v>Autohak</v>
      </c>
    </row>
    <row r="8883">
      <c r="A8883" t="str">
        <f>IFERROR(__xludf.DUMMYFUNCTION("""COMPUTED_VALUE"""),"E03A")</f>
        <v>E03A</v>
      </c>
      <c r="B8883" s="226" t="str">
        <f>IFERROR(__xludf.DUMMYFUNCTION("""COMPUTED_VALUE"""),"43145")</f>
        <v>43145</v>
      </c>
      <c r="C8883" t="str">
        <f>IFERROR(__xludf.DUMMYFUNCTION("""COMPUTED_VALUE"""),"Autohak")</f>
        <v>Autohak</v>
      </c>
    </row>
    <row r="8884">
      <c r="A8884" t="str">
        <f>IFERROR(__xludf.DUMMYFUNCTION("""COMPUTED_VALUE"""),"E38")</f>
        <v>E38</v>
      </c>
      <c r="B8884" s="226" t="str">
        <f>IFERROR(__xludf.DUMMYFUNCTION("""COMPUTED_VALUE"""),"40151")</f>
        <v>40151</v>
      </c>
      <c r="C8884" t="str">
        <f>IFERROR(__xludf.DUMMYFUNCTION("""COMPUTED_VALUE"""),"Autohak")</f>
        <v>Autohak</v>
      </c>
    </row>
    <row r="8885">
      <c r="A8885" t="str">
        <f>IFERROR(__xludf.DUMMYFUNCTION("""COMPUTED_VALUE"""),"E38A")</f>
        <v>E38A</v>
      </c>
      <c r="B8885" s="226" t="str">
        <f>IFERROR(__xludf.DUMMYFUNCTION("""COMPUTED_VALUE"""),"43152")</f>
        <v>43152</v>
      </c>
      <c r="C8885" t="str">
        <f>IFERROR(__xludf.DUMMYFUNCTION("""COMPUTED_VALUE"""),"Autohak")</f>
        <v>Autohak</v>
      </c>
    </row>
    <row r="8886">
      <c r="A8886" t="str">
        <f>IFERROR(__xludf.DUMMYFUNCTION("""COMPUTED_VALUE"""),"E50")</f>
        <v>E50</v>
      </c>
      <c r="B8886" s="226" t="str">
        <f>IFERROR(__xludf.DUMMYFUNCTION("""COMPUTED_VALUE"""),"40410")</f>
        <v>40410</v>
      </c>
      <c r="C8886" t="str">
        <f>IFERROR(__xludf.DUMMYFUNCTION("""COMPUTED_VALUE"""),"Autohak")</f>
        <v>Autohak</v>
      </c>
    </row>
    <row r="8887">
      <c r="A8887" t="str">
        <f>IFERROR(__xludf.DUMMYFUNCTION("""COMPUTED_VALUE"""),"E50A")</f>
        <v>E50A</v>
      </c>
      <c r="B8887" s="226" t="str">
        <f>IFERROR(__xludf.DUMMYFUNCTION("""COMPUTED_VALUE"""),"43411")</f>
        <v>43411</v>
      </c>
      <c r="C8887" t="str">
        <f>IFERROR(__xludf.DUMMYFUNCTION("""COMPUTED_VALUE"""),"Autohak")</f>
        <v>Autohak</v>
      </c>
    </row>
    <row r="8888">
      <c r="A8888" t="str">
        <f>IFERROR(__xludf.DUMMYFUNCTION("""COMPUTED_VALUE"""),"E50V")</f>
        <v>E50V</v>
      </c>
      <c r="B8888" s="226" t="str">
        <f>IFERROR(__xludf.DUMMYFUNCTION("""COMPUTED_VALUE"""),"43985")</f>
        <v>43985</v>
      </c>
      <c r="C8888" t="str">
        <f>IFERROR(__xludf.DUMMYFUNCTION("""COMPUTED_VALUE"""),"Autohak")</f>
        <v>Autohak</v>
      </c>
    </row>
    <row r="8889">
      <c r="A8889" t="str">
        <f>IFERROR(__xludf.DUMMYFUNCTION("""COMPUTED_VALUE"""),"E50")</f>
        <v>E50</v>
      </c>
      <c r="B8889" s="226" t="str">
        <f>IFERROR(__xludf.DUMMYFUNCTION("""COMPUTED_VALUE"""),"40410")</f>
        <v>40410</v>
      </c>
      <c r="C8889" t="str">
        <f>IFERROR(__xludf.DUMMYFUNCTION("""COMPUTED_VALUE"""),"Autohak")</f>
        <v>Autohak</v>
      </c>
    </row>
    <row r="8890">
      <c r="A8890" t="str">
        <f>IFERROR(__xludf.DUMMYFUNCTION("""COMPUTED_VALUE"""),"E50A")</f>
        <v>E50A</v>
      </c>
      <c r="B8890" s="226" t="str">
        <f>IFERROR(__xludf.DUMMYFUNCTION("""COMPUTED_VALUE"""),"43411")</f>
        <v>43411</v>
      </c>
      <c r="C8890" t="str">
        <f>IFERROR(__xludf.DUMMYFUNCTION("""COMPUTED_VALUE"""),"Autohak")</f>
        <v>Autohak</v>
      </c>
    </row>
    <row r="8891">
      <c r="A8891" t="str">
        <f>IFERROR(__xludf.DUMMYFUNCTION("""COMPUTED_VALUE"""),"E50V")</f>
        <v>E50V</v>
      </c>
      <c r="B8891" s="226" t="str">
        <f>IFERROR(__xludf.DUMMYFUNCTION("""COMPUTED_VALUE"""),"43985")</f>
        <v>43985</v>
      </c>
      <c r="C8891" t="str">
        <f>IFERROR(__xludf.DUMMYFUNCTION("""COMPUTED_VALUE"""),"Autohak")</f>
        <v>Autohak</v>
      </c>
    </row>
    <row r="8892">
      <c r="A8892" t="str">
        <f>IFERROR(__xludf.DUMMYFUNCTION("""COMPUTED_VALUE"""),"E67")</f>
        <v>E67</v>
      </c>
      <c r="B8892" s="226" t="str">
        <f>IFERROR(__xludf.DUMMYFUNCTION("""COMPUTED_VALUE"""),"40588")</f>
        <v>40588</v>
      </c>
      <c r="C8892" t="str">
        <f>IFERROR(__xludf.DUMMYFUNCTION("""COMPUTED_VALUE"""),"Autohak")</f>
        <v>Autohak</v>
      </c>
    </row>
    <row r="8893">
      <c r="A8893" t="str">
        <f>IFERROR(__xludf.DUMMYFUNCTION("""COMPUTED_VALUE"""),"E67A")</f>
        <v>E67A</v>
      </c>
      <c r="B8893" s="226" t="str">
        <f>IFERROR(__xludf.DUMMYFUNCTION("""COMPUTED_VALUE"""),"43589")</f>
        <v>43589</v>
      </c>
      <c r="C8893" t="str">
        <f>IFERROR(__xludf.DUMMYFUNCTION("""COMPUTED_VALUE"""),"Autohak")</f>
        <v>Autohak</v>
      </c>
    </row>
    <row r="8894">
      <c r="A8894" t="str">
        <f>IFERROR(__xludf.DUMMYFUNCTION("""COMPUTED_VALUE"""),"E67V")</f>
        <v>E67V</v>
      </c>
      <c r="B8894" s="226" t="str">
        <f>IFERROR(__xludf.DUMMYFUNCTION("""COMPUTED_VALUE"""),"43817")</f>
        <v>43817</v>
      </c>
      <c r="C8894" t="str">
        <f>IFERROR(__xludf.DUMMYFUNCTION("""COMPUTED_VALUE"""),"Autohak")</f>
        <v>Autohak</v>
      </c>
    </row>
    <row r="8895">
      <c r="A8895" t="str">
        <f>IFERROR(__xludf.DUMMYFUNCTION("""COMPUTED_VALUE"""),"E63")</f>
        <v>E63</v>
      </c>
      <c r="B8895" s="226" t="str">
        <f>IFERROR(__xludf.DUMMYFUNCTION("""COMPUTED_VALUE"""),"40540")</f>
        <v>40540</v>
      </c>
      <c r="C8895" t="str">
        <f>IFERROR(__xludf.DUMMYFUNCTION("""COMPUTED_VALUE"""),"Autohak")</f>
        <v>Autohak</v>
      </c>
    </row>
    <row r="8896">
      <c r="A8896" t="str">
        <f>IFERROR(__xludf.DUMMYFUNCTION("""COMPUTED_VALUE"""),"E63A")</f>
        <v>E63A</v>
      </c>
      <c r="B8896" s="226" t="str">
        <f>IFERROR(__xludf.DUMMYFUNCTION("""COMPUTED_VALUE"""),"43541")</f>
        <v>43541</v>
      </c>
      <c r="C8896" t="str">
        <f>IFERROR(__xludf.DUMMYFUNCTION("""COMPUTED_VALUE"""),"Autohak")</f>
        <v>Autohak</v>
      </c>
    </row>
    <row r="8897">
      <c r="A8897" t="str">
        <f>IFERROR(__xludf.DUMMYFUNCTION("""COMPUTED_VALUE"""),"E63V")</f>
        <v>E63V</v>
      </c>
      <c r="B8897" s="226" t="str">
        <f>IFERROR(__xludf.DUMMYFUNCTION("""COMPUTED_VALUE"""),"43855")</f>
        <v>43855</v>
      </c>
      <c r="C8897" t="str">
        <f>IFERROR(__xludf.DUMMYFUNCTION("""COMPUTED_VALUE"""),"Autohak")</f>
        <v>Autohak</v>
      </c>
    </row>
    <row r="8898">
      <c r="A8898" t="str">
        <f>IFERROR(__xludf.DUMMYFUNCTION("""COMPUTED_VALUE"""),"E41")</f>
        <v>E41</v>
      </c>
      <c r="B8898" s="226" t="str">
        <f>IFERROR(__xludf.DUMMYFUNCTION("""COMPUTED_VALUE"""),"40168")</f>
        <v>40168</v>
      </c>
      <c r="C8898" t="str">
        <f>IFERROR(__xludf.DUMMYFUNCTION("""COMPUTED_VALUE"""),"Autohak")</f>
        <v>Autohak</v>
      </c>
    </row>
    <row r="8899">
      <c r="A8899" t="str">
        <f>IFERROR(__xludf.DUMMYFUNCTION("""COMPUTED_VALUE"""),"E44")</f>
        <v>E44</v>
      </c>
      <c r="B8899" s="226" t="str">
        <f>IFERROR(__xludf.DUMMYFUNCTION("""COMPUTED_VALUE"""),"40175")</f>
        <v>40175</v>
      </c>
      <c r="C8899" t="str">
        <f>IFERROR(__xludf.DUMMYFUNCTION("""COMPUTED_VALUE"""),"Autohak")</f>
        <v>Autohak</v>
      </c>
    </row>
    <row r="8900">
      <c r="A8900" t="str">
        <f>IFERROR(__xludf.DUMMYFUNCTION("""COMPUTED_VALUE"""),"E66")</f>
        <v>E66</v>
      </c>
      <c r="B8900" s="226" t="str">
        <f>IFERROR(__xludf.DUMMYFUNCTION("""COMPUTED_VALUE"""),"40571")</f>
        <v>40571</v>
      </c>
      <c r="C8900" t="str">
        <f>IFERROR(__xludf.DUMMYFUNCTION("""COMPUTED_VALUE"""),"Autohak")</f>
        <v>Autohak</v>
      </c>
    </row>
    <row r="8901">
      <c r="A8901" t="str">
        <f>IFERROR(__xludf.DUMMYFUNCTION("""COMPUTED_VALUE"""),"E66A")</f>
        <v>E66A</v>
      </c>
      <c r="B8901" s="226" t="str">
        <f>IFERROR(__xludf.DUMMYFUNCTION("""COMPUTED_VALUE"""),"43572")</f>
        <v>43572</v>
      </c>
      <c r="C8901" t="str">
        <f>IFERROR(__xludf.DUMMYFUNCTION("""COMPUTED_VALUE"""),"Autohak")</f>
        <v>Autohak</v>
      </c>
    </row>
    <row r="8902">
      <c r="A8902" t="str">
        <f>IFERROR(__xludf.DUMMYFUNCTION("""COMPUTED_VALUE"""),"E66V")</f>
        <v>E66V</v>
      </c>
      <c r="B8902" s="226" t="str">
        <f>IFERROR(__xludf.DUMMYFUNCTION("""COMPUTED_VALUE"""),"43824")</f>
        <v>43824</v>
      </c>
      <c r="C8902" t="str">
        <f>IFERROR(__xludf.DUMMYFUNCTION("""COMPUTED_VALUE"""),"Autohak")</f>
        <v>Autohak</v>
      </c>
    </row>
    <row r="8903">
      <c r="A8903" t="str">
        <f>IFERROR(__xludf.DUMMYFUNCTION("""COMPUTED_VALUE"""),"E66")</f>
        <v>E66</v>
      </c>
      <c r="B8903" s="226" t="str">
        <f>IFERROR(__xludf.DUMMYFUNCTION("""COMPUTED_VALUE"""),"40571")</f>
        <v>40571</v>
      </c>
      <c r="C8903" t="str">
        <f>IFERROR(__xludf.DUMMYFUNCTION("""COMPUTED_VALUE"""),"Autohak")</f>
        <v>Autohak</v>
      </c>
    </row>
    <row r="8904">
      <c r="A8904" t="str">
        <f>IFERROR(__xludf.DUMMYFUNCTION("""COMPUTED_VALUE"""),"E66A")</f>
        <v>E66A</v>
      </c>
      <c r="B8904" s="226" t="str">
        <f>IFERROR(__xludf.DUMMYFUNCTION("""COMPUTED_VALUE"""),"43572")</f>
        <v>43572</v>
      </c>
      <c r="C8904" t="str">
        <f>IFERROR(__xludf.DUMMYFUNCTION("""COMPUTED_VALUE"""),"Autohak")</f>
        <v>Autohak</v>
      </c>
    </row>
    <row r="8905">
      <c r="A8905" t="str">
        <f>IFERROR(__xludf.DUMMYFUNCTION("""COMPUTED_VALUE"""),"E66V")</f>
        <v>E66V</v>
      </c>
      <c r="B8905" s="226" t="str">
        <f>IFERROR(__xludf.DUMMYFUNCTION("""COMPUTED_VALUE"""),"43824")</f>
        <v>43824</v>
      </c>
      <c r="C8905" t="str">
        <f>IFERROR(__xludf.DUMMYFUNCTION("""COMPUTED_VALUE"""),"Autohak")</f>
        <v>Autohak</v>
      </c>
    </row>
    <row r="8906">
      <c r="A8906" t="str">
        <f>IFERROR(__xludf.DUMMYFUNCTION("""COMPUTED_VALUE"""),"E52")</f>
        <v>E52</v>
      </c>
      <c r="B8906" s="226" t="str">
        <f>IFERROR(__xludf.DUMMYFUNCTION("""COMPUTED_VALUE"""),"40434")</f>
        <v>40434</v>
      </c>
      <c r="C8906" t="str">
        <f>IFERROR(__xludf.DUMMYFUNCTION("""COMPUTED_VALUE"""),"Autohak")</f>
        <v>Autohak</v>
      </c>
    </row>
    <row r="8907">
      <c r="A8907" t="str">
        <f>IFERROR(__xludf.DUMMYFUNCTION("""COMPUTED_VALUE"""),"E52A")</f>
        <v>E52A</v>
      </c>
      <c r="B8907" s="226" t="str">
        <f>IFERROR(__xludf.DUMMYFUNCTION("""COMPUTED_VALUE"""),"43435")</f>
        <v>43435</v>
      </c>
      <c r="C8907" t="str">
        <f>IFERROR(__xludf.DUMMYFUNCTION("""COMPUTED_VALUE"""),"Autohak")</f>
        <v>Autohak</v>
      </c>
    </row>
    <row r="8908">
      <c r="A8908" t="str">
        <f>IFERROR(__xludf.DUMMYFUNCTION("""COMPUTED_VALUE"""),"E52V")</f>
        <v>E52V</v>
      </c>
      <c r="B8908" s="226" t="str">
        <f>IFERROR(__xludf.DUMMYFUNCTION("""COMPUTED_VALUE"""),"43978")</f>
        <v>43978</v>
      </c>
      <c r="C8908" t="str">
        <f>IFERROR(__xludf.DUMMYFUNCTION("""COMPUTED_VALUE"""),"Autohak")</f>
        <v>Autohak</v>
      </c>
    </row>
    <row r="8909">
      <c r="A8909" t="str">
        <f>IFERROR(__xludf.DUMMYFUNCTION("""COMPUTED_VALUE"""),"E65")</f>
        <v>E65</v>
      </c>
      <c r="B8909" s="226" t="str">
        <f>IFERROR(__xludf.DUMMYFUNCTION("""COMPUTED_VALUE"""),"40564")</f>
        <v>40564</v>
      </c>
      <c r="C8909" t="str">
        <f>IFERROR(__xludf.DUMMYFUNCTION("""COMPUTED_VALUE"""),"Autohak")</f>
        <v>Autohak</v>
      </c>
    </row>
    <row r="8910">
      <c r="A8910" t="str">
        <f>IFERROR(__xludf.DUMMYFUNCTION("""COMPUTED_VALUE"""),"E65A")</f>
        <v>E65A</v>
      </c>
      <c r="B8910" s="226" t="str">
        <f>IFERROR(__xludf.DUMMYFUNCTION("""COMPUTED_VALUE"""),"43565")</f>
        <v>43565</v>
      </c>
      <c r="C8910" t="str">
        <f>IFERROR(__xludf.DUMMYFUNCTION("""COMPUTED_VALUE"""),"Autohak")</f>
        <v>Autohak</v>
      </c>
    </row>
    <row r="8911">
      <c r="A8911" t="str">
        <f>IFERROR(__xludf.DUMMYFUNCTION("""COMPUTED_VALUE"""),"E65V")</f>
        <v>E65V</v>
      </c>
      <c r="B8911" s="226" t="str">
        <f>IFERROR(__xludf.DUMMYFUNCTION("""COMPUTED_VALUE"""),"43831")</f>
        <v>43831</v>
      </c>
      <c r="C8911" t="str">
        <f>IFERROR(__xludf.DUMMYFUNCTION("""COMPUTED_VALUE"""),"Autohak")</f>
        <v>Autohak</v>
      </c>
    </row>
    <row r="8912">
      <c r="A8912" t="str">
        <f>IFERROR(__xludf.DUMMYFUNCTION("""COMPUTED_VALUE"""),"E64")</f>
        <v>E64</v>
      </c>
      <c r="B8912" s="226" t="str">
        <f>IFERROR(__xludf.DUMMYFUNCTION("""COMPUTED_VALUE"""),"40557")</f>
        <v>40557</v>
      </c>
      <c r="C8912" t="str">
        <f>IFERROR(__xludf.DUMMYFUNCTION("""COMPUTED_VALUE"""),"Autohak")</f>
        <v>Autohak</v>
      </c>
    </row>
    <row r="8913">
      <c r="A8913" t="str">
        <f>IFERROR(__xludf.DUMMYFUNCTION("""COMPUTED_VALUE"""),"E64A")</f>
        <v>E64A</v>
      </c>
      <c r="B8913" s="226" t="str">
        <f>IFERROR(__xludf.DUMMYFUNCTION("""COMPUTED_VALUE"""),"43558")</f>
        <v>43558</v>
      </c>
      <c r="C8913" t="str">
        <f>IFERROR(__xludf.DUMMYFUNCTION("""COMPUTED_VALUE"""),"Autohak")</f>
        <v>Autohak</v>
      </c>
    </row>
    <row r="8914">
      <c r="A8914" t="str">
        <f>IFERROR(__xludf.DUMMYFUNCTION("""COMPUTED_VALUE"""),"E64V")</f>
        <v>E64V</v>
      </c>
      <c r="B8914" s="226" t="str">
        <f>IFERROR(__xludf.DUMMYFUNCTION("""COMPUTED_VALUE"""),"43848")</f>
        <v>43848</v>
      </c>
      <c r="C8914" t="str">
        <f>IFERROR(__xludf.DUMMYFUNCTION("""COMPUTED_VALUE"""),"Autohak")</f>
        <v>Autohak</v>
      </c>
    </row>
    <row r="8915">
      <c r="A8915" t="str">
        <f>IFERROR(__xludf.DUMMYFUNCTION("""COMPUTED_VALUE"""),"E34")</f>
        <v>E34</v>
      </c>
      <c r="B8915" s="226" t="str">
        <f>IFERROR(__xludf.DUMMYFUNCTION("""COMPUTED_VALUE"""),"40205")</f>
        <v>40205</v>
      </c>
      <c r="C8915" t="str">
        <f>IFERROR(__xludf.DUMMYFUNCTION("""COMPUTED_VALUE"""),"Autohak")</f>
        <v>Autohak</v>
      </c>
    </row>
    <row r="8916">
      <c r="A8916" t="str">
        <f>IFERROR(__xludf.DUMMYFUNCTION("""COMPUTED_VALUE"""),"E42")</f>
        <v>E42</v>
      </c>
      <c r="B8916" s="226" t="str">
        <f>IFERROR(__xludf.DUMMYFUNCTION("""COMPUTED_VALUE"""),"40243")</f>
        <v>40243</v>
      </c>
      <c r="C8916" t="str">
        <f>IFERROR(__xludf.DUMMYFUNCTION("""COMPUTED_VALUE"""),"Autohak")</f>
        <v>Autohak</v>
      </c>
    </row>
    <row r="8917">
      <c r="A8917" t="str">
        <f>IFERROR(__xludf.DUMMYFUNCTION("""COMPUTED_VALUE"""),"E42A")</f>
        <v>E42A</v>
      </c>
      <c r="B8917" s="226" t="str">
        <f>IFERROR(__xludf.DUMMYFUNCTION("""COMPUTED_VALUE"""),"43244")</f>
        <v>43244</v>
      </c>
      <c r="C8917" t="str">
        <f>IFERROR(__xludf.DUMMYFUNCTION("""COMPUTED_VALUE"""),"Autohak")</f>
        <v>Autohak</v>
      </c>
    </row>
    <row r="8918">
      <c r="A8918" t="str">
        <f>IFERROR(__xludf.DUMMYFUNCTION("""COMPUTED_VALUE"""),"E42V")</f>
        <v>E42V</v>
      </c>
      <c r="B8918" s="226" t="str">
        <f>IFERROR(__xludf.DUMMYFUNCTION("""COMPUTED_VALUE"""),"43954")</f>
        <v>43954</v>
      </c>
      <c r="C8918" t="str">
        <f>IFERROR(__xludf.DUMMYFUNCTION("""COMPUTED_VALUE"""),"Autohak")</f>
        <v>Autohak</v>
      </c>
    </row>
    <row r="8919">
      <c r="A8919" t="str">
        <f>IFERROR(__xludf.DUMMYFUNCTION("""COMPUTED_VALUE"""),"E55")</f>
        <v>E55</v>
      </c>
      <c r="B8919" s="226" t="str">
        <f>IFERROR(__xludf.DUMMYFUNCTION("""COMPUTED_VALUE"""),"40465")</f>
        <v>40465</v>
      </c>
      <c r="C8919" t="str">
        <f>IFERROR(__xludf.DUMMYFUNCTION("""COMPUTED_VALUE"""),"Autohak")</f>
        <v>Autohak</v>
      </c>
    </row>
    <row r="8920">
      <c r="A8920" t="str">
        <f>IFERROR(__xludf.DUMMYFUNCTION("""COMPUTED_VALUE"""),"E55A")</f>
        <v>E55A</v>
      </c>
      <c r="B8920" s="226" t="str">
        <f>IFERROR(__xludf.DUMMYFUNCTION("""COMPUTED_VALUE"""),"43466")</f>
        <v>43466</v>
      </c>
      <c r="C8920" t="str">
        <f>IFERROR(__xludf.DUMMYFUNCTION("""COMPUTED_VALUE"""),"Autohak")</f>
        <v>Autohak</v>
      </c>
    </row>
    <row r="8921">
      <c r="A8921" t="str">
        <f>IFERROR(__xludf.DUMMYFUNCTION("""COMPUTED_VALUE"""),"E55V")</f>
        <v>E55V</v>
      </c>
      <c r="B8921" s="226" t="str">
        <f>IFERROR(__xludf.DUMMYFUNCTION("""COMPUTED_VALUE"""),"43879")</f>
        <v>43879</v>
      </c>
      <c r="C8921" t="str">
        <f>IFERROR(__xludf.DUMMYFUNCTION("""COMPUTED_VALUE"""),"Autohak")</f>
        <v>Autohak</v>
      </c>
    </row>
    <row r="8922">
      <c r="A8922" t="str">
        <f>IFERROR(__xludf.DUMMYFUNCTION("""COMPUTED_VALUE"""),"G28")</f>
        <v>G28</v>
      </c>
      <c r="B8922" s="226" t="str">
        <f>IFERROR(__xludf.DUMMYFUNCTION("""COMPUTED_VALUE"""),"49147")</f>
        <v>49147</v>
      </c>
      <c r="C8922" t="str">
        <f>IFERROR(__xludf.DUMMYFUNCTION("""COMPUTED_VALUE"""),"Autohak")</f>
        <v>Autohak</v>
      </c>
    </row>
    <row r="8923">
      <c r="A8923" t="str">
        <f>IFERROR(__xludf.DUMMYFUNCTION("""COMPUTED_VALUE"""),"G65")</f>
        <v>G65</v>
      </c>
      <c r="B8923" s="226" t="str">
        <f>IFERROR(__xludf.DUMMYFUNCTION("""COMPUTED_VALUE"""),"49499")</f>
        <v>49499</v>
      </c>
      <c r="C8923" t="str">
        <f>IFERROR(__xludf.DUMMYFUNCTION("""COMPUTED_VALUE"""),"Autohak")</f>
        <v>Autohak</v>
      </c>
    </row>
    <row r="8924">
      <c r="A8924" t="str">
        <f>IFERROR(__xludf.DUMMYFUNCTION("""COMPUTED_VALUE"""),"G65")</f>
        <v>G65</v>
      </c>
      <c r="B8924" s="226" t="str">
        <f>IFERROR(__xludf.DUMMYFUNCTION("""COMPUTED_VALUE"""),"49499")</f>
        <v>49499</v>
      </c>
      <c r="C8924" t="str">
        <f>IFERROR(__xludf.DUMMYFUNCTION("""COMPUTED_VALUE"""),"Autohak")</f>
        <v>Autohak</v>
      </c>
    </row>
    <row r="8925">
      <c r="A8925" t="str">
        <f>IFERROR(__xludf.DUMMYFUNCTION("""COMPUTED_VALUE"""),"G67")</f>
        <v>G67</v>
      </c>
      <c r="B8925" s="226" t="str">
        <f>IFERROR(__xludf.DUMMYFUNCTION("""COMPUTED_VALUE"""),"49512")</f>
        <v>49512</v>
      </c>
      <c r="C8925" t="str">
        <f>IFERROR(__xludf.DUMMYFUNCTION("""COMPUTED_VALUE"""),"Autohak")</f>
        <v>Autohak</v>
      </c>
    </row>
    <row r="8926">
      <c r="A8926" t="str">
        <f>IFERROR(__xludf.DUMMYFUNCTION("""COMPUTED_VALUE"""),"G67")</f>
        <v>G67</v>
      </c>
      <c r="B8926" s="226" t="str">
        <f>IFERROR(__xludf.DUMMYFUNCTION("""COMPUTED_VALUE"""),"49512")</f>
        <v>49512</v>
      </c>
      <c r="C8926" t="str">
        <f>IFERROR(__xludf.DUMMYFUNCTION("""COMPUTED_VALUE"""),"Autohak")</f>
        <v>Autohak</v>
      </c>
    </row>
    <row r="8927">
      <c r="A8927" t="str">
        <f>IFERROR(__xludf.DUMMYFUNCTION("""COMPUTED_VALUE"""),"G90")</f>
        <v>G90</v>
      </c>
      <c r="B8927" s="226" t="str">
        <f>IFERROR(__xludf.DUMMYFUNCTION("""COMPUTED_VALUE"""),"49741")</f>
        <v>49741</v>
      </c>
      <c r="C8927" t="str">
        <f>IFERROR(__xludf.DUMMYFUNCTION("""COMPUTED_VALUE"""),"Autohak")</f>
        <v>Autohak</v>
      </c>
    </row>
    <row r="8928">
      <c r="A8928" t="str">
        <f>IFERROR(__xludf.DUMMYFUNCTION("""COMPUTED_VALUE"""),"G90")</f>
        <v>G90</v>
      </c>
      <c r="B8928" s="226" t="str">
        <f>IFERROR(__xludf.DUMMYFUNCTION("""COMPUTED_VALUE"""),"49741")</f>
        <v>49741</v>
      </c>
      <c r="C8928" t="str">
        <f>IFERROR(__xludf.DUMMYFUNCTION("""COMPUTED_VALUE"""),"Autohak")</f>
        <v>Autohak</v>
      </c>
    </row>
    <row r="8929">
      <c r="A8929" t="str">
        <f>IFERROR(__xludf.DUMMYFUNCTION("""COMPUTED_VALUE"""),"G36")</f>
        <v>G36</v>
      </c>
      <c r="B8929" s="226" t="str">
        <f>IFERROR(__xludf.DUMMYFUNCTION("""COMPUTED_VALUE"""),"49154")</f>
        <v>49154</v>
      </c>
      <c r="C8929" t="str">
        <f>IFERROR(__xludf.DUMMYFUNCTION("""COMPUTED_VALUE"""),"Autohak")</f>
        <v>Autohak</v>
      </c>
    </row>
    <row r="8930">
      <c r="A8930" t="str">
        <f>IFERROR(__xludf.DUMMYFUNCTION("""COMPUTED_VALUE"""),"G66")</f>
        <v>G66</v>
      </c>
      <c r="B8930" s="226" t="str">
        <f>IFERROR(__xludf.DUMMYFUNCTION("""COMPUTED_VALUE"""),"49505")</f>
        <v>49505</v>
      </c>
      <c r="C8930" t="str">
        <f>IFERROR(__xludf.DUMMYFUNCTION("""COMPUTED_VALUE"""),"Autohak")</f>
        <v>Autohak</v>
      </c>
    </row>
    <row r="8931">
      <c r="A8931" t="str">
        <f>IFERROR(__xludf.DUMMYFUNCTION("""COMPUTED_VALUE"""),"G66")</f>
        <v>G66</v>
      </c>
      <c r="B8931" s="226" t="str">
        <f>IFERROR(__xludf.DUMMYFUNCTION("""COMPUTED_VALUE"""),"49505")</f>
        <v>49505</v>
      </c>
      <c r="C8931" t="str">
        <f>IFERROR(__xludf.DUMMYFUNCTION("""COMPUTED_VALUE"""),"Autohak")</f>
        <v>Autohak</v>
      </c>
    </row>
    <row r="8932">
      <c r="A8932" t="str">
        <f>IFERROR(__xludf.DUMMYFUNCTION("""COMPUTED_VALUE"""),"G70")</f>
        <v>G70</v>
      </c>
      <c r="B8932" s="226" t="str">
        <f>IFERROR(__xludf.DUMMYFUNCTION("""COMPUTED_VALUE"""),"49543")</f>
        <v>49543</v>
      </c>
      <c r="C8932" t="str">
        <f>IFERROR(__xludf.DUMMYFUNCTION("""COMPUTED_VALUE"""),"Autohak")</f>
        <v>Autohak</v>
      </c>
    </row>
    <row r="8933">
      <c r="A8933" t="str">
        <f>IFERROR(__xludf.DUMMYFUNCTION("""COMPUTED_VALUE"""),"G70")</f>
        <v>G70</v>
      </c>
      <c r="B8933" s="226" t="str">
        <f>IFERROR(__xludf.DUMMYFUNCTION("""COMPUTED_VALUE"""),"49543")</f>
        <v>49543</v>
      </c>
      <c r="C8933" t="str">
        <f>IFERROR(__xludf.DUMMYFUNCTION("""COMPUTED_VALUE"""),"Autohak")</f>
        <v>Autohak</v>
      </c>
    </row>
    <row r="8934">
      <c r="A8934" t="str">
        <f>IFERROR(__xludf.DUMMYFUNCTION("""COMPUTED_VALUE"""),"E58")</f>
        <v>E58</v>
      </c>
      <c r="B8934" s="226" t="str">
        <f>IFERROR(__xludf.DUMMYFUNCTION("""COMPUTED_VALUE"""),"40496")</f>
        <v>40496</v>
      </c>
      <c r="C8934" t="str">
        <f>IFERROR(__xludf.DUMMYFUNCTION("""COMPUTED_VALUE"""),"Autohak")</f>
        <v>Autohak</v>
      </c>
    </row>
    <row r="8935">
      <c r="A8935" t="str">
        <f>IFERROR(__xludf.DUMMYFUNCTION("""COMPUTED_VALUE"""),"E58A")</f>
        <v>E58A</v>
      </c>
      <c r="B8935" s="226" t="str">
        <f>IFERROR(__xludf.DUMMYFUNCTION("""COMPUTED_VALUE"""),"843497")</f>
        <v>843497</v>
      </c>
      <c r="C8935" t="str">
        <f>IFERROR(__xludf.DUMMYFUNCTION("""COMPUTED_VALUE"""),"Autohak")</f>
        <v>Autohak</v>
      </c>
    </row>
    <row r="8936">
      <c r="A8936" t="str">
        <f>IFERROR(__xludf.DUMMYFUNCTION("""COMPUTED_VALUE"""),"E58V")</f>
        <v>E58V</v>
      </c>
      <c r="B8936" s="226" t="str">
        <f>IFERROR(__xludf.DUMMYFUNCTION("""COMPUTED_VALUE"""),"43947")</f>
        <v>43947</v>
      </c>
      <c r="C8936" t="str">
        <f>IFERROR(__xludf.DUMMYFUNCTION("""COMPUTED_VALUE"""),"Autohak")</f>
        <v>Autohak</v>
      </c>
    </row>
    <row r="8937">
      <c r="A8937" t="str">
        <f>IFERROR(__xludf.DUMMYFUNCTION("""COMPUTED_VALUE"""),"E14")</f>
        <v>E14</v>
      </c>
      <c r="B8937" s="226" t="str">
        <f>IFERROR(__xludf.DUMMYFUNCTION("""COMPUTED_VALUE"""),"40250")</f>
        <v>40250</v>
      </c>
      <c r="C8937" t="str">
        <f>IFERROR(__xludf.DUMMYFUNCTION("""COMPUTED_VALUE"""),"Autohak")</f>
        <v>Autohak</v>
      </c>
    </row>
    <row r="8938">
      <c r="A8938" t="str">
        <f>IFERROR(__xludf.DUMMYFUNCTION("""COMPUTED_VALUE"""),"E14A")</f>
        <v>E14A</v>
      </c>
      <c r="B8938" s="226" t="str">
        <f>IFERROR(__xludf.DUMMYFUNCTION("""COMPUTED_VALUE"""),"43251")</f>
        <v>43251</v>
      </c>
      <c r="C8938" t="str">
        <f>IFERROR(__xludf.DUMMYFUNCTION("""COMPUTED_VALUE"""),"Autohak")</f>
        <v>Autohak</v>
      </c>
    </row>
    <row r="8939">
      <c r="A8939" t="str">
        <f>IFERROR(__xludf.DUMMYFUNCTION("""COMPUTED_VALUE"""),"E16")</f>
        <v>E16</v>
      </c>
      <c r="B8939" s="226" t="str">
        <f>IFERROR(__xludf.DUMMYFUNCTION("""COMPUTED_VALUE"""),"40267")</f>
        <v>40267</v>
      </c>
      <c r="C8939" t="str">
        <f>IFERROR(__xludf.DUMMYFUNCTION("""COMPUTED_VALUE"""),"Autohak")</f>
        <v>Autohak</v>
      </c>
    </row>
    <row r="8940">
      <c r="A8940" t="str">
        <f>IFERROR(__xludf.DUMMYFUNCTION("""COMPUTED_VALUE"""),"E16A")</f>
        <v>E16A</v>
      </c>
      <c r="B8940" s="226" t="str">
        <f>IFERROR(__xludf.DUMMYFUNCTION("""COMPUTED_VALUE"""),"43268")</f>
        <v>43268</v>
      </c>
      <c r="C8940" t="str">
        <f>IFERROR(__xludf.DUMMYFUNCTION("""COMPUTED_VALUE"""),"Autohak")</f>
        <v>Autohak</v>
      </c>
    </row>
    <row r="8941">
      <c r="A8941" t="str">
        <f>IFERROR(__xludf.DUMMYFUNCTION("""COMPUTED_VALUE"""),"E15")</f>
        <v>E15</v>
      </c>
      <c r="B8941" s="226" t="str">
        <f>IFERROR(__xludf.DUMMYFUNCTION("""COMPUTED_VALUE"""),"40274")</f>
        <v>40274</v>
      </c>
      <c r="C8941" t="str">
        <f>IFERROR(__xludf.DUMMYFUNCTION("""COMPUTED_VALUE"""),"Autohak")</f>
        <v>Autohak</v>
      </c>
    </row>
    <row r="8942">
      <c r="A8942" t="str">
        <f>IFERROR(__xludf.DUMMYFUNCTION("""COMPUTED_VALUE"""),"E15A")</f>
        <v>E15A</v>
      </c>
      <c r="B8942" s="226" t="str">
        <f>IFERROR(__xludf.DUMMYFUNCTION("""COMPUTED_VALUE"""),"43275")</f>
        <v>43275</v>
      </c>
      <c r="C8942" t="str">
        <f>IFERROR(__xludf.DUMMYFUNCTION("""COMPUTED_VALUE"""),"Autohak")</f>
        <v>Autohak</v>
      </c>
    </row>
    <row r="8943">
      <c r="A8943" t="str">
        <f>IFERROR(__xludf.DUMMYFUNCTION("""COMPUTED_VALUE"""),"E17")</f>
        <v>E17</v>
      </c>
      <c r="B8943" s="226" t="str">
        <f>IFERROR(__xludf.DUMMYFUNCTION("""COMPUTED_VALUE"""),"40281")</f>
        <v>40281</v>
      </c>
      <c r="C8943" t="str">
        <f>IFERROR(__xludf.DUMMYFUNCTION("""COMPUTED_VALUE"""),"Autohak")</f>
        <v>Autohak</v>
      </c>
    </row>
    <row r="8944">
      <c r="A8944" t="str">
        <f>IFERROR(__xludf.DUMMYFUNCTION("""COMPUTED_VALUE"""),"E17A")</f>
        <v>E17A</v>
      </c>
      <c r="B8944" s="226" t="str">
        <f>IFERROR(__xludf.DUMMYFUNCTION("""COMPUTED_VALUE"""),"43282")</f>
        <v>43282</v>
      </c>
      <c r="C8944" t="str">
        <f>IFERROR(__xludf.DUMMYFUNCTION("""COMPUTED_VALUE"""),"Autohak")</f>
        <v>Autohak</v>
      </c>
    </row>
    <row r="8945">
      <c r="A8945" t="str">
        <f>IFERROR(__xludf.DUMMYFUNCTION("""COMPUTED_VALUE"""),"E49")</f>
        <v>E49</v>
      </c>
      <c r="B8945" s="226" t="str">
        <f>IFERROR(__xludf.DUMMYFUNCTION("""COMPUTED_VALUE"""),"40403")</f>
        <v>40403</v>
      </c>
      <c r="C8945" t="str">
        <f>IFERROR(__xludf.DUMMYFUNCTION("""COMPUTED_VALUE"""),"Autohak")</f>
        <v>Autohak</v>
      </c>
    </row>
    <row r="8946">
      <c r="A8946" t="str">
        <f>IFERROR(__xludf.DUMMYFUNCTION("""COMPUTED_VALUE"""),"E49A")</f>
        <v>E49A</v>
      </c>
      <c r="B8946" s="226" t="str">
        <f>IFERROR(__xludf.DUMMYFUNCTION("""COMPUTED_VALUE"""),"43404")</f>
        <v>43404</v>
      </c>
      <c r="C8946" t="str">
        <f>IFERROR(__xludf.DUMMYFUNCTION("""COMPUTED_VALUE"""),"Autohak")</f>
        <v>Autohak</v>
      </c>
    </row>
    <row r="8947">
      <c r="A8947" t="str">
        <f>IFERROR(__xludf.DUMMYFUNCTION("""COMPUTED_VALUE"""),"E59")</f>
        <v>E59</v>
      </c>
      <c r="B8947" s="226" t="str">
        <f>IFERROR(__xludf.DUMMYFUNCTION("""COMPUTED_VALUE"""),"40502")</f>
        <v>40502</v>
      </c>
      <c r="C8947" t="str">
        <f>IFERROR(__xludf.DUMMYFUNCTION("""COMPUTED_VALUE"""),"Autohak")</f>
        <v>Autohak</v>
      </c>
    </row>
    <row r="8948">
      <c r="A8948" t="str">
        <f>IFERROR(__xludf.DUMMYFUNCTION("""COMPUTED_VALUE"""),"E59A")</f>
        <v>E59A</v>
      </c>
      <c r="B8948" s="226" t="str">
        <f>IFERROR(__xludf.DUMMYFUNCTION("""COMPUTED_VALUE"""),"43503")</f>
        <v>43503</v>
      </c>
      <c r="C8948" t="str">
        <f>IFERROR(__xludf.DUMMYFUNCTION("""COMPUTED_VALUE"""),"Autohak")</f>
        <v>Autohak</v>
      </c>
    </row>
    <row r="8949">
      <c r="A8949" t="str">
        <f>IFERROR(__xludf.DUMMYFUNCTION("""COMPUTED_VALUE"""),"E59V")</f>
        <v>E59V</v>
      </c>
      <c r="B8949" s="226" t="str">
        <f>IFERROR(__xludf.DUMMYFUNCTION("""COMPUTED_VALUE"""),"43930")</f>
        <v>43930</v>
      </c>
      <c r="C8949" t="str">
        <f>IFERROR(__xludf.DUMMYFUNCTION("""COMPUTED_VALUE"""),"Autohak")</f>
        <v>Autohak</v>
      </c>
    </row>
    <row r="8950">
      <c r="A8950" t="str">
        <f>IFERROR(__xludf.DUMMYFUNCTION("""COMPUTED_VALUE"""),"E11")</f>
        <v>E11</v>
      </c>
      <c r="B8950" s="226" t="str">
        <f>IFERROR(__xludf.DUMMYFUNCTION("""COMPUTED_VALUE"""),"40298")</f>
        <v>40298</v>
      </c>
      <c r="C8950" t="str">
        <f>IFERROR(__xludf.DUMMYFUNCTION("""COMPUTED_VALUE"""),"Autohak")</f>
        <v>Autohak</v>
      </c>
    </row>
    <row r="8951">
      <c r="A8951" t="str">
        <f>IFERROR(__xludf.DUMMYFUNCTION("""COMPUTED_VALUE"""),"E11A")</f>
        <v>E11A</v>
      </c>
      <c r="B8951" s="226" t="str">
        <f>IFERROR(__xludf.DUMMYFUNCTION("""COMPUTED_VALUE"""),"43299")</f>
        <v>43299</v>
      </c>
      <c r="C8951" t="str">
        <f>IFERROR(__xludf.DUMMYFUNCTION("""COMPUTED_VALUE"""),"Autohak")</f>
        <v>Autohak</v>
      </c>
    </row>
    <row r="8952">
      <c r="A8952" t="str">
        <f>IFERROR(__xludf.DUMMYFUNCTION("""COMPUTED_VALUE"""),"E011")</f>
        <v>E011</v>
      </c>
      <c r="B8952" s="226" t="str">
        <f>IFERROR(__xludf.DUMMYFUNCTION("""COMPUTED_VALUE"""),"40328")</f>
        <v>40328</v>
      </c>
      <c r="C8952" t="str">
        <f>IFERROR(__xludf.DUMMYFUNCTION("""COMPUTED_VALUE"""),"Autohak")</f>
        <v>Autohak</v>
      </c>
    </row>
    <row r="8953">
      <c r="A8953" t="str">
        <f>IFERROR(__xludf.DUMMYFUNCTION("""COMPUTED_VALUE"""),"E011A")</f>
        <v>E011A</v>
      </c>
      <c r="B8953" s="226" t="str">
        <f>IFERROR(__xludf.DUMMYFUNCTION("""COMPUTED_VALUE"""),"43329")</f>
        <v>43329</v>
      </c>
      <c r="C8953" t="str">
        <f>IFERROR(__xludf.DUMMYFUNCTION("""COMPUTED_VALUE"""),"Autohak")</f>
        <v>Autohak</v>
      </c>
    </row>
    <row r="8954">
      <c r="A8954" t="str">
        <f>IFERROR(__xludf.DUMMYFUNCTION("""COMPUTED_VALUE"""),"E12")</f>
        <v>E12</v>
      </c>
      <c r="B8954" s="226" t="str">
        <f>IFERROR(__xludf.DUMMYFUNCTION("""COMPUTED_VALUE"""),"40304")</f>
        <v>40304</v>
      </c>
      <c r="C8954" t="str">
        <f>IFERROR(__xludf.DUMMYFUNCTION("""COMPUTED_VALUE"""),"Autohak")</f>
        <v>Autohak</v>
      </c>
    </row>
    <row r="8955">
      <c r="A8955" t="str">
        <f>IFERROR(__xludf.DUMMYFUNCTION("""COMPUTED_VALUE"""),"E12A")</f>
        <v>E12A</v>
      </c>
      <c r="B8955" s="226" t="str">
        <f>IFERROR(__xludf.DUMMYFUNCTION("""COMPUTED_VALUE"""),"43305")</f>
        <v>43305</v>
      </c>
      <c r="C8955" t="str">
        <f>IFERROR(__xludf.DUMMYFUNCTION("""COMPUTED_VALUE"""),"Autohak")</f>
        <v>Autohak</v>
      </c>
    </row>
    <row r="8956">
      <c r="A8956" t="str">
        <f>IFERROR(__xludf.DUMMYFUNCTION("""COMPUTED_VALUE"""),"E40")</f>
        <v>E40</v>
      </c>
      <c r="B8956" s="226" t="str">
        <f>IFERROR(__xludf.DUMMYFUNCTION("""COMPUTED_VALUE"""),"40342")</f>
        <v>40342</v>
      </c>
      <c r="C8956" t="str">
        <f>IFERROR(__xludf.DUMMYFUNCTION("""COMPUTED_VALUE"""),"Autohak")</f>
        <v>Autohak</v>
      </c>
    </row>
    <row r="8957">
      <c r="A8957" t="str">
        <f>IFERROR(__xludf.DUMMYFUNCTION("""COMPUTED_VALUE"""),"E40A")</f>
        <v>E40A</v>
      </c>
      <c r="B8957" s="226" t="str">
        <f>IFERROR(__xludf.DUMMYFUNCTION("""COMPUTED_VALUE"""),"43343")</f>
        <v>43343</v>
      </c>
      <c r="C8957" t="str">
        <f>IFERROR(__xludf.DUMMYFUNCTION("""COMPUTED_VALUE"""),"Autohak")</f>
        <v>Autohak</v>
      </c>
    </row>
    <row r="8958">
      <c r="A8958" t="str">
        <f>IFERROR(__xludf.DUMMYFUNCTION("""COMPUTED_VALUE"""),"E27")</f>
        <v>E27</v>
      </c>
      <c r="B8958" s="226" t="str">
        <f>IFERROR(__xludf.DUMMYFUNCTION("""COMPUTED_VALUE"""),"40359")</f>
        <v>40359</v>
      </c>
      <c r="C8958" t="str">
        <f>IFERROR(__xludf.DUMMYFUNCTION("""COMPUTED_VALUE"""),"Autohak")</f>
        <v>Autohak</v>
      </c>
    </row>
    <row r="8959">
      <c r="A8959" t="str">
        <f>IFERROR(__xludf.DUMMYFUNCTION("""COMPUTED_VALUE"""),"E27A")</f>
        <v>E27A</v>
      </c>
      <c r="B8959" s="226" t="str">
        <f>IFERROR(__xludf.DUMMYFUNCTION("""COMPUTED_VALUE"""),"43350")</f>
        <v>43350</v>
      </c>
      <c r="C8959" t="str">
        <f>IFERROR(__xludf.DUMMYFUNCTION("""COMPUTED_VALUE"""),"Autohak")</f>
        <v>Autohak</v>
      </c>
    </row>
    <row r="8960">
      <c r="A8960" t="str">
        <f>IFERROR(__xludf.DUMMYFUNCTION("""COMPUTED_VALUE"""),"E47")</f>
        <v>E47</v>
      </c>
      <c r="B8960" s="226" t="str">
        <f>IFERROR(__xludf.DUMMYFUNCTION("""COMPUTED_VALUE"""),"40373")</f>
        <v>40373</v>
      </c>
      <c r="C8960" t="str">
        <f>IFERROR(__xludf.DUMMYFUNCTION("""COMPUTED_VALUE"""),"Autohak")</f>
        <v>Autohak</v>
      </c>
    </row>
    <row r="8961">
      <c r="A8961" t="str">
        <f>IFERROR(__xludf.DUMMYFUNCTION("""COMPUTED_VALUE"""),"E47A")</f>
        <v>E47A</v>
      </c>
      <c r="B8961" s="226" t="str">
        <f>IFERROR(__xludf.DUMMYFUNCTION("""COMPUTED_VALUE"""),"43374")</f>
        <v>43374</v>
      </c>
      <c r="C8961" t="str">
        <f>IFERROR(__xludf.DUMMYFUNCTION("""COMPUTED_VALUE"""),"Autohak")</f>
        <v>Autohak</v>
      </c>
    </row>
    <row r="8962">
      <c r="A8962" t="str">
        <f>IFERROR(__xludf.DUMMYFUNCTION("""COMPUTED_VALUE"""),"G40")</f>
        <v>G40</v>
      </c>
      <c r="B8962" s="226" t="str">
        <f>IFERROR(__xludf.DUMMYFUNCTION("""COMPUTED_VALUE"""),"49307")</f>
        <v>49307</v>
      </c>
      <c r="C8962" t="str">
        <f>IFERROR(__xludf.DUMMYFUNCTION("""COMPUTED_VALUE"""),"Autohak")</f>
        <v>Autohak</v>
      </c>
    </row>
    <row r="8963">
      <c r="A8963" t="str">
        <f>IFERROR(__xludf.DUMMYFUNCTION("""COMPUTED_VALUE"""),"G40A")</f>
        <v>G40A</v>
      </c>
      <c r="B8963" s="226" t="str">
        <f>IFERROR(__xludf.DUMMYFUNCTION("""COMPUTED_VALUE"""),"52628")</f>
        <v>52628</v>
      </c>
      <c r="C8963" t="str">
        <f>IFERROR(__xludf.DUMMYFUNCTION("""COMPUTED_VALUE"""),"Autohak")</f>
        <v>Autohak</v>
      </c>
    </row>
    <row r="8964">
      <c r="A8964" t="str">
        <f>IFERROR(__xludf.DUMMYFUNCTION("""COMPUTED_VALUE"""),"G40")</f>
        <v>G40</v>
      </c>
      <c r="B8964" s="226" t="str">
        <f>IFERROR(__xludf.DUMMYFUNCTION("""COMPUTED_VALUE"""),"49307")</f>
        <v>49307</v>
      </c>
      <c r="C8964" t="str">
        <f>IFERROR(__xludf.DUMMYFUNCTION("""COMPUTED_VALUE"""),"Autohak")</f>
        <v>Autohak</v>
      </c>
    </row>
    <row r="8965">
      <c r="A8965" t="str">
        <f>IFERROR(__xludf.DUMMYFUNCTION("""COMPUTED_VALUE"""),"G40A")</f>
        <v>G40A</v>
      </c>
      <c r="B8965" s="226" t="str">
        <f>IFERROR(__xludf.DUMMYFUNCTION("""COMPUTED_VALUE"""),"52628")</f>
        <v>52628</v>
      </c>
      <c r="C8965" t="str">
        <f>IFERROR(__xludf.DUMMYFUNCTION("""COMPUTED_VALUE"""),"Autohak")</f>
        <v>Autohak</v>
      </c>
    </row>
    <row r="8966">
      <c r="A8966" t="str">
        <f>IFERROR(__xludf.DUMMYFUNCTION("""COMPUTED_VALUE"""),"G83")</f>
        <v>G83</v>
      </c>
      <c r="B8966" s="226" t="str">
        <f>IFERROR(__xludf.DUMMYFUNCTION("""COMPUTED_VALUE"""),"49673")</f>
        <v>49673</v>
      </c>
      <c r="C8966" t="str">
        <f>IFERROR(__xludf.DUMMYFUNCTION("""COMPUTED_VALUE"""),"Autohak")</f>
        <v>Autohak</v>
      </c>
    </row>
    <row r="8967">
      <c r="A8967" t="str">
        <f>IFERROR(__xludf.DUMMYFUNCTION("""COMPUTED_VALUE"""),"G83A")</f>
        <v>G83A</v>
      </c>
      <c r="B8967" s="226" t="str">
        <f>IFERROR(__xludf.DUMMYFUNCTION("""COMPUTED_VALUE"""),"52642")</f>
        <v>52642</v>
      </c>
      <c r="C8967" t="str">
        <f>IFERROR(__xludf.DUMMYFUNCTION("""COMPUTED_VALUE"""),"Autohak")</f>
        <v>Autohak</v>
      </c>
    </row>
    <row r="8968">
      <c r="A8968" t="str">
        <f>IFERROR(__xludf.DUMMYFUNCTION("""COMPUTED_VALUE"""),"G83V")</f>
        <v>G83V</v>
      </c>
      <c r="B8968" s="226" t="str">
        <f>IFERROR(__xludf.DUMMYFUNCTION("""COMPUTED_VALUE"""),"52772")</f>
        <v>52772</v>
      </c>
      <c r="C8968" t="str">
        <f>IFERROR(__xludf.DUMMYFUNCTION("""COMPUTED_VALUE"""),"Autohak")</f>
        <v>Autohak</v>
      </c>
    </row>
    <row r="8969">
      <c r="A8969" t="str">
        <f>IFERROR(__xludf.DUMMYFUNCTION("""COMPUTED_VALUE"""),"E35")</f>
        <v>E35</v>
      </c>
      <c r="B8969" s="226" t="str">
        <f>IFERROR(__xludf.DUMMYFUNCTION("""COMPUTED_VALUE"""),"40366")</f>
        <v>40366</v>
      </c>
      <c r="C8969" t="str">
        <f>IFERROR(__xludf.DUMMYFUNCTION("""COMPUTED_VALUE"""),"Autohak")</f>
        <v>Autohak</v>
      </c>
    </row>
    <row r="8970">
      <c r="A8970" t="str">
        <f>IFERROR(__xludf.DUMMYFUNCTION("""COMPUTED_VALUE"""),"E35A")</f>
        <v>E35A</v>
      </c>
      <c r="B8970" s="226" t="str">
        <f>IFERROR(__xludf.DUMMYFUNCTION("""COMPUTED_VALUE"""),"43367")</f>
        <v>43367</v>
      </c>
      <c r="C8970" t="str">
        <f>IFERROR(__xludf.DUMMYFUNCTION("""COMPUTED_VALUE"""),"Autohak")</f>
        <v>Autohak</v>
      </c>
    </row>
    <row r="8971">
      <c r="A8971" t="str">
        <f>IFERROR(__xludf.DUMMYFUNCTION("""COMPUTED_VALUE"""),"E48")</f>
        <v>E48</v>
      </c>
      <c r="B8971" s="226" t="str">
        <f>IFERROR(__xludf.DUMMYFUNCTION("""COMPUTED_VALUE"""),"40397")</f>
        <v>40397</v>
      </c>
      <c r="C8971" t="str">
        <f>IFERROR(__xludf.DUMMYFUNCTION("""COMPUTED_VALUE"""),"Autohak")</f>
        <v>Autohak</v>
      </c>
    </row>
    <row r="8972">
      <c r="A8972" t="str">
        <f>IFERROR(__xludf.DUMMYFUNCTION("""COMPUTED_VALUE"""),"E48A")</f>
        <v>E48A</v>
      </c>
      <c r="B8972" s="226" t="str">
        <f>IFERROR(__xludf.DUMMYFUNCTION("""COMPUTED_VALUE"""),"43398")</f>
        <v>43398</v>
      </c>
      <c r="C8972" t="str">
        <f>IFERROR(__xludf.DUMMYFUNCTION("""COMPUTED_VALUE"""),"Autohak")</f>
        <v>Autohak</v>
      </c>
    </row>
    <row r="8973">
      <c r="A8973" t="str">
        <f>IFERROR(__xludf.DUMMYFUNCTION("""COMPUTED_VALUE"""),"E48V")</f>
        <v>E48V</v>
      </c>
      <c r="B8973" s="226" t="str">
        <f>IFERROR(__xludf.DUMMYFUNCTION("""COMPUTED_VALUE"""),"43862")</f>
        <v>43862</v>
      </c>
      <c r="C8973" t="str">
        <f>IFERROR(__xludf.DUMMYFUNCTION("""COMPUTED_VALUE"""),"Autohak")</f>
        <v>Autohak</v>
      </c>
    </row>
    <row r="8974">
      <c r="A8974" t="str">
        <f>IFERROR(__xludf.DUMMYFUNCTION("""COMPUTED_VALUE"""),"E57")</f>
        <v>E57</v>
      </c>
      <c r="B8974" s="226" t="str">
        <f>IFERROR(__xludf.DUMMYFUNCTION("""COMPUTED_VALUE"""),"40489")</f>
        <v>40489</v>
      </c>
      <c r="C8974" t="str">
        <f>IFERROR(__xludf.DUMMYFUNCTION("""COMPUTED_VALUE"""),"Autohak")</f>
        <v>Autohak</v>
      </c>
    </row>
    <row r="8975">
      <c r="A8975" t="str">
        <f>IFERROR(__xludf.DUMMYFUNCTION("""COMPUTED_VALUE"""),"E57A")</f>
        <v>E57A</v>
      </c>
      <c r="B8975" s="226" t="str">
        <f>IFERROR(__xludf.DUMMYFUNCTION("""COMPUTED_VALUE"""),"43480")</f>
        <v>43480</v>
      </c>
      <c r="C8975" t="str">
        <f>IFERROR(__xludf.DUMMYFUNCTION("""COMPUTED_VALUE"""),"Autohak")</f>
        <v>Autohak</v>
      </c>
    </row>
    <row r="8976">
      <c r="A8976" t="str">
        <f>IFERROR(__xludf.DUMMYFUNCTION("""COMPUTED_VALUE"""),"E57V")</f>
        <v>E57V</v>
      </c>
      <c r="B8976" s="226" t="str">
        <f>IFERROR(__xludf.DUMMYFUNCTION("""COMPUTED_VALUE"""),"43916")</f>
        <v>43916</v>
      </c>
      <c r="C8976" t="str">
        <f>IFERROR(__xludf.DUMMYFUNCTION("""COMPUTED_VALUE"""),"Autohak")</f>
        <v>Autohak</v>
      </c>
    </row>
    <row r="8977">
      <c r="A8977" t="str">
        <f>IFERROR(__xludf.DUMMYFUNCTION("""COMPUTED_VALUE"""),"F17")</f>
        <v>F17</v>
      </c>
      <c r="B8977" s="226" t="str">
        <f>IFERROR(__xludf.DUMMYFUNCTION("""COMPUTED_VALUE"""),"44005")</f>
        <v>44005</v>
      </c>
      <c r="C8977" t="str">
        <f>IFERROR(__xludf.DUMMYFUNCTION("""COMPUTED_VALUE"""),"Autohak")</f>
        <v>Autohak</v>
      </c>
    </row>
    <row r="8978">
      <c r="A8978" t="str">
        <f>IFERROR(__xludf.DUMMYFUNCTION("""COMPUTED_VALUE"""),"F17A")</f>
        <v>F17A</v>
      </c>
      <c r="B8978" s="226" t="str">
        <f>IFERROR(__xludf.DUMMYFUNCTION("""COMPUTED_VALUE"""),"46009")</f>
        <v>46009</v>
      </c>
      <c r="C8978" t="str">
        <f>IFERROR(__xludf.DUMMYFUNCTION("""COMPUTED_VALUE"""),"Autohak")</f>
        <v>Autohak</v>
      </c>
    </row>
    <row r="8979">
      <c r="A8979" t="str">
        <f>IFERROR(__xludf.DUMMYFUNCTION("""COMPUTED_VALUE"""),"F01")</f>
        <v>F01</v>
      </c>
      <c r="B8979" s="226" t="str">
        <f>IFERROR(__xludf.DUMMYFUNCTION("""COMPUTED_VALUE"""),"44012")</f>
        <v>44012</v>
      </c>
      <c r="C8979" t="str">
        <f>IFERROR(__xludf.DUMMYFUNCTION("""COMPUTED_VALUE"""),"Autohak")</f>
        <v>Autohak</v>
      </c>
    </row>
    <row r="8980">
      <c r="A8980" t="str">
        <f>IFERROR(__xludf.DUMMYFUNCTION("""COMPUTED_VALUE"""),"F01A")</f>
        <v>F01A</v>
      </c>
      <c r="B8980" s="226" t="str">
        <f>IFERROR(__xludf.DUMMYFUNCTION("""COMPUTED_VALUE"""),"46016")</f>
        <v>46016</v>
      </c>
      <c r="C8980" t="str">
        <f>IFERROR(__xludf.DUMMYFUNCTION("""COMPUTED_VALUE"""),"Autohak")</f>
        <v>Autohak</v>
      </c>
    </row>
    <row r="8981">
      <c r="A8981" t="str">
        <f>IFERROR(__xludf.DUMMYFUNCTION("""COMPUTED_VALUE"""),"F02")</f>
        <v>F02</v>
      </c>
      <c r="B8981" s="226" t="str">
        <f>IFERROR(__xludf.DUMMYFUNCTION("""COMPUTED_VALUE"""),"44029")</f>
        <v>44029</v>
      </c>
      <c r="C8981" t="str">
        <f>IFERROR(__xludf.DUMMYFUNCTION("""COMPUTED_VALUE"""),"Autohak")</f>
        <v>Autohak</v>
      </c>
    </row>
    <row r="8982">
      <c r="A8982" t="str">
        <f>IFERROR(__xludf.DUMMYFUNCTION("""COMPUTED_VALUE"""),"F02A")</f>
        <v>F02A</v>
      </c>
      <c r="B8982" s="226" t="str">
        <f>IFERROR(__xludf.DUMMYFUNCTION("""COMPUTED_VALUE"""),"46023")</f>
        <v>46023</v>
      </c>
      <c r="C8982" t="str">
        <f>IFERROR(__xludf.DUMMYFUNCTION("""COMPUTED_VALUE"""),"Autohak")</f>
        <v>Autohak</v>
      </c>
    </row>
    <row r="8983">
      <c r="A8983" t="str">
        <f>IFERROR(__xludf.DUMMYFUNCTION("""COMPUTED_VALUE"""),"F14")</f>
        <v>F14</v>
      </c>
      <c r="B8983" s="226" t="str">
        <f>IFERROR(__xludf.DUMMYFUNCTION("""COMPUTED_VALUE"""),"44036")</f>
        <v>44036</v>
      </c>
      <c r="C8983" t="str">
        <f>IFERROR(__xludf.DUMMYFUNCTION("""COMPUTED_VALUE"""),"Autohak")</f>
        <v>Autohak</v>
      </c>
    </row>
    <row r="8984">
      <c r="A8984" t="str">
        <f>IFERROR(__xludf.DUMMYFUNCTION("""COMPUTED_VALUE"""),"F14A")</f>
        <v>F14A</v>
      </c>
      <c r="B8984" s="226" t="str">
        <f>IFERROR(__xludf.DUMMYFUNCTION("""COMPUTED_VALUE"""),"46030")</f>
        <v>46030</v>
      </c>
      <c r="C8984" t="str">
        <f>IFERROR(__xludf.DUMMYFUNCTION("""COMPUTED_VALUE"""),"Autohak")</f>
        <v>Autohak</v>
      </c>
    </row>
    <row r="8985">
      <c r="A8985" t="str">
        <f>IFERROR(__xludf.DUMMYFUNCTION("""COMPUTED_VALUE"""),"F27")</f>
        <v>F27</v>
      </c>
      <c r="B8985" s="226" t="str">
        <f>IFERROR(__xludf.DUMMYFUNCTION("""COMPUTED_VALUE"""),"44043")</f>
        <v>44043</v>
      </c>
      <c r="C8985" t="str">
        <f>IFERROR(__xludf.DUMMYFUNCTION("""COMPUTED_VALUE"""),"Autohak")</f>
        <v>Autohak</v>
      </c>
    </row>
    <row r="8986">
      <c r="A8986" t="str">
        <f>IFERROR(__xludf.DUMMYFUNCTION("""COMPUTED_VALUE"""),"F27A")</f>
        <v>F27A</v>
      </c>
      <c r="B8986" s="226" t="str">
        <f>IFERROR(__xludf.DUMMYFUNCTION("""COMPUTED_VALUE"""),"46047")</f>
        <v>46047</v>
      </c>
      <c r="C8986" t="str">
        <f>IFERROR(__xludf.DUMMYFUNCTION("""COMPUTED_VALUE"""),"Autohak")</f>
        <v>Autohak</v>
      </c>
    </row>
    <row r="8987">
      <c r="A8987" t="str">
        <f>IFERROR(__xludf.DUMMYFUNCTION("""COMPUTED_VALUE"""),"F27")</f>
        <v>F27</v>
      </c>
      <c r="B8987" s="226" t="str">
        <f>IFERROR(__xludf.DUMMYFUNCTION("""COMPUTED_VALUE"""),"44043")</f>
        <v>44043</v>
      </c>
      <c r="C8987" t="str">
        <f>IFERROR(__xludf.DUMMYFUNCTION("""COMPUTED_VALUE"""),"Autohak")</f>
        <v>Autohak</v>
      </c>
    </row>
    <row r="8988">
      <c r="A8988" t="str">
        <f>IFERROR(__xludf.DUMMYFUNCTION("""COMPUTED_VALUE"""),"F27A")</f>
        <v>F27A</v>
      </c>
      <c r="B8988" s="226" t="str">
        <f>IFERROR(__xludf.DUMMYFUNCTION("""COMPUTED_VALUE"""),"46047")</f>
        <v>46047</v>
      </c>
      <c r="C8988" t="str">
        <f>IFERROR(__xludf.DUMMYFUNCTION("""COMPUTED_VALUE"""),"Autohak")</f>
        <v>Autohak</v>
      </c>
    </row>
    <row r="8989">
      <c r="A8989" t="str">
        <f>IFERROR(__xludf.DUMMYFUNCTION("""COMPUTED_VALUE"""),"F22")</f>
        <v>F22</v>
      </c>
      <c r="B8989" s="226" t="str">
        <f>IFERROR(__xludf.DUMMYFUNCTION("""COMPUTED_VALUE"""),"44050")</f>
        <v>44050</v>
      </c>
      <c r="C8989" t="str">
        <f>IFERROR(__xludf.DUMMYFUNCTION("""COMPUTED_VALUE"""),"Autohak")</f>
        <v>Autohak</v>
      </c>
    </row>
    <row r="8990">
      <c r="A8990" t="str">
        <f>IFERROR(__xludf.DUMMYFUNCTION("""COMPUTED_VALUE"""),"F22A")</f>
        <v>F22A</v>
      </c>
      <c r="B8990" s="226" t="str">
        <f>IFERROR(__xludf.DUMMYFUNCTION("""COMPUTED_VALUE"""),"46054")</f>
        <v>46054</v>
      </c>
      <c r="C8990" t="str">
        <f>IFERROR(__xludf.DUMMYFUNCTION("""COMPUTED_VALUE"""),"Autohak")</f>
        <v>Autohak</v>
      </c>
    </row>
    <row r="8991">
      <c r="A8991" t="str">
        <f>IFERROR(__xludf.DUMMYFUNCTION("""COMPUTED_VALUE"""),"F30")</f>
        <v>F30</v>
      </c>
      <c r="B8991" s="226" t="str">
        <f>IFERROR(__xludf.DUMMYFUNCTION("""COMPUTED_VALUE"""),"44210")</f>
        <v>44210</v>
      </c>
      <c r="C8991" t="str">
        <f>IFERROR(__xludf.DUMMYFUNCTION("""COMPUTED_VALUE"""),"Autohak")</f>
        <v>Autohak</v>
      </c>
    </row>
    <row r="8992">
      <c r="A8992" t="str">
        <f>IFERROR(__xludf.DUMMYFUNCTION("""COMPUTED_VALUE"""),"F30A")</f>
        <v>F30A</v>
      </c>
      <c r="B8992" s="226" t="str">
        <f>IFERROR(__xludf.DUMMYFUNCTION("""COMPUTED_VALUE"""),"46214")</f>
        <v>46214</v>
      </c>
      <c r="C8992" t="str">
        <f>IFERROR(__xludf.DUMMYFUNCTION("""COMPUTED_VALUE"""),"Autohak")</f>
        <v>Autohak</v>
      </c>
    </row>
    <row r="8993">
      <c r="A8993" t="str">
        <f>IFERROR(__xludf.DUMMYFUNCTION("""COMPUTED_VALUE"""),"F30V")</f>
        <v>F30V</v>
      </c>
      <c r="B8993" s="226" t="str">
        <f>IFERROR(__xludf.DUMMYFUNCTION("""COMPUTED_VALUE"""),"46832")</f>
        <v>46832</v>
      </c>
      <c r="C8993" t="str">
        <f>IFERROR(__xludf.DUMMYFUNCTION("""COMPUTED_VALUE"""),"Autohak")</f>
        <v>Autohak</v>
      </c>
    </row>
    <row r="8994">
      <c r="A8994" t="str">
        <f>IFERROR(__xludf.DUMMYFUNCTION("""COMPUTED_VALUE"""),"F34")</f>
        <v>F34</v>
      </c>
      <c r="B8994" s="226" t="str">
        <f>IFERROR(__xludf.DUMMYFUNCTION("""COMPUTED_VALUE"""),"44258")</f>
        <v>44258</v>
      </c>
      <c r="C8994" t="str">
        <f>IFERROR(__xludf.DUMMYFUNCTION("""COMPUTED_VALUE"""),"Autohak")</f>
        <v>Autohak</v>
      </c>
    </row>
    <row r="8995">
      <c r="A8995" t="str">
        <f>IFERROR(__xludf.DUMMYFUNCTION("""COMPUTED_VALUE"""),"F34A")</f>
        <v>F34A</v>
      </c>
      <c r="B8995" s="226" t="str">
        <f>IFERROR(__xludf.DUMMYFUNCTION("""COMPUTED_VALUE"""),"46252")</f>
        <v>46252</v>
      </c>
      <c r="C8995" t="str">
        <f>IFERROR(__xludf.DUMMYFUNCTION("""COMPUTED_VALUE"""),"Autohak")</f>
        <v>Autohak</v>
      </c>
    </row>
    <row r="8996">
      <c r="A8996" t="str">
        <f>IFERROR(__xludf.DUMMYFUNCTION("""COMPUTED_VALUE"""),"F41")</f>
        <v>F41</v>
      </c>
      <c r="B8996" s="226" t="str">
        <f>IFERROR(__xludf.DUMMYFUNCTION("""COMPUTED_VALUE"""),"44326")</f>
        <v>44326</v>
      </c>
      <c r="C8996" t="str">
        <f>IFERROR(__xludf.DUMMYFUNCTION("""COMPUTED_VALUE"""),"Autohak")</f>
        <v>Autohak</v>
      </c>
    </row>
    <row r="8997">
      <c r="A8997" t="str">
        <f>IFERROR(__xludf.DUMMYFUNCTION("""COMPUTED_VALUE"""),"F41A")</f>
        <v>F41A</v>
      </c>
      <c r="B8997" s="226" t="str">
        <f>IFERROR(__xludf.DUMMYFUNCTION("""COMPUTED_VALUE"""),"46320")</f>
        <v>46320</v>
      </c>
      <c r="C8997" t="str">
        <f>IFERROR(__xludf.DUMMYFUNCTION("""COMPUTED_VALUE"""),"Autohak")</f>
        <v>Autohak</v>
      </c>
    </row>
    <row r="8998">
      <c r="A8998" t="str">
        <f>IFERROR(__xludf.DUMMYFUNCTION("""COMPUTED_VALUE"""),"F41V")</f>
        <v>F41V</v>
      </c>
      <c r="B8998" s="226" t="str">
        <f>IFERROR(__xludf.DUMMYFUNCTION("""COMPUTED_VALUE"""),"46924")</f>
        <v>46924</v>
      </c>
      <c r="C8998" t="str">
        <f>IFERROR(__xludf.DUMMYFUNCTION("""COMPUTED_VALUE"""),"Autohak")</f>
        <v>Autohak</v>
      </c>
    </row>
    <row r="8999">
      <c r="A8999" t="str">
        <f>IFERROR(__xludf.DUMMYFUNCTION("""COMPUTED_VALUE"""),"E67")</f>
        <v>E67</v>
      </c>
      <c r="B8999" s="226" t="str">
        <f>IFERROR(__xludf.DUMMYFUNCTION("""COMPUTED_VALUE"""),"40588")</f>
        <v>40588</v>
      </c>
      <c r="C8999" t="str">
        <f>IFERROR(__xludf.DUMMYFUNCTION("""COMPUTED_VALUE"""),"Autohak")</f>
        <v>Autohak</v>
      </c>
    </row>
    <row r="9000">
      <c r="A9000" t="str">
        <f>IFERROR(__xludf.DUMMYFUNCTION("""COMPUTED_VALUE"""),"E67A")</f>
        <v>E67A</v>
      </c>
      <c r="B9000" s="226" t="str">
        <f>IFERROR(__xludf.DUMMYFUNCTION("""COMPUTED_VALUE"""),"43589")</f>
        <v>43589</v>
      </c>
      <c r="C9000" t="str">
        <f>IFERROR(__xludf.DUMMYFUNCTION("""COMPUTED_VALUE"""),"Autohak")</f>
        <v>Autohak</v>
      </c>
    </row>
    <row r="9001">
      <c r="A9001" t="str">
        <f>IFERROR(__xludf.DUMMYFUNCTION("""COMPUTED_VALUE"""),"E67V")</f>
        <v>E67V</v>
      </c>
      <c r="B9001" s="226" t="str">
        <f>IFERROR(__xludf.DUMMYFUNCTION("""COMPUTED_VALUE"""),"43817")</f>
        <v>43817</v>
      </c>
      <c r="C9001" t="str">
        <f>IFERROR(__xludf.DUMMYFUNCTION("""COMPUTED_VALUE"""),"Autohak")</f>
        <v>Autohak</v>
      </c>
    </row>
    <row r="9002">
      <c r="A9002" t="str">
        <f>IFERROR(__xludf.DUMMYFUNCTION("""COMPUTED_VALUE"""),"F43")</f>
        <v>F43</v>
      </c>
      <c r="B9002" s="226" t="str">
        <f>IFERROR(__xludf.DUMMYFUNCTION("""COMPUTED_VALUE"""),"44340")</f>
        <v>44340</v>
      </c>
      <c r="C9002" t="str">
        <f>IFERROR(__xludf.DUMMYFUNCTION("""COMPUTED_VALUE"""),"Autohak")</f>
        <v>Autohak</v>
      </c>
    </row>
    <row r="9003">
      <c r="A9003" t="str">
        <f>IFERROR(__xludf.DUMMYFUNCTION("""COMPUTED_VALUE"""),"F43A")</f>
        <v>F43A</v>
      </c>
      <c r="B9003" s="226" t="str">
        <f>IFERROR(__xludf.DUMMYFUNCTION("""COMPUTED_VALUE"""),"46344")</f>
        <v>46344</v>
      </c>
      <c r="C9003" t="str">
        <f>IFERROR(__xludf.DUMMYFUNCTION("""COMPUTED_VALUE"""),"Autohak")</f>
        <v>Autohak</v>
      </c>
    </row>
    <row r="9004">
      <c r="A9004" t="str">
        <f>IFERROR(__xludf.DUMMYFUNCTION("""COMPUTED_VALUE"""),"F43V")</f>
        <v>F43V</v>
      </c>
      <c r="B9004" s="226" t="str">
        <f>IFERROR(__xludf.DUMMYFUNCTION("""COMPUTED_VALUE"""),"46917")</f>
        <v>46917</v>
      </c>
      <c r="C9004" t="str">
        <f>IFERROR(__xludf.DUMMYFUNCTION("""COMPUTED_VALUE"""),"Autohak")</f>
        <v>Autohak</v>
      </c>
    </row>
    <row r="9005">
      <c r="A9005" t="str">
        <f>IFERROR(__xludf.DUMMYFUNCTION("""COMPUTED_VALUE"""),"P37")</f>
        <v>P37</v>
      </c>
      <c r="B9005" s="226" t="str">
        <f>IFERROR(__xludf.DUMMYFUNCTION("""COMPUTED_VALUE"""),"08243")</f>
        <v>08243</v>
      </c>
      <c r="C9005" t="str">
        <f>IFERROR(__xludf.DUMMYFUNCTION("""COMPUTED_VALUE"""),"Autohak")</f>
        <v>Autohak</v>
      </c>
    </row>
    <row r="9006">
      <c r="A9006" t="str">
        <f>IFERROR(__xludf.DUMMYFUNCTION("""COMPUTED_VALUE"""),"P37A")</f>
        <v>P37A</v>
      </c>
      <c r="B9006" s="226" t="str">
        <f>IFERROR(__xludf.DUMMYFUNCTION("""COMPUTED_VALUE"""),"09240")</f>
        <v>09240</v>
      </c>
      <c r="C9006" t="str">
        <f>IFERROR(__xludf.DUMMYFUNCTION("""COMPUTED_VALUE"""),"Autohak")</f>
        <v>Autohak</v>
      </c>
    </row>
    <row r="9007">
      <c r="A9007" t="str">
        <f>IFERROR(__xludf.DUMMYFUNCTION("""COMPUTED_VALUE"""),"F09")</f>
        <v>F09</v>
      </c>
      <c r="B9007" s="226" t="str">
        <f>IFERROR(__xludf.DUMMYFUNCTION("""COMPUTED_VALUE"""),"44067")</f>
        <v>44067</v>
      </c>
      <c r="C9007" t="str">
        <f>IFERROR(__xludf.DUMMYFUNCTION("""COMPUTED_VALUE"""),"Autohak")</f>
        <v>Autohak</v>
      </c>
    </row>
    <row r="9008">
      <c r="A9008" t="str">
        <f>IFERROR(__xludf.DUMMYFUNCTION("""COMPUTED_VALUE"""),"F09A")</f>
        <v>F09A</v>
      </c>
      <c r="B9008" s="226" t="str">
        <f>IFERROR(__xludf.DUMMYFUNCTION("""COMPUTED_VALUE"""),"46061")</f>
        <v>46061</v>
      </c>
      <c r="C9008" t="str">
        <f>IFERROR(__xludf.DUMMYFUNCTION("""COMPUTED_VALUE"""),"Autohak")</f>
        <v>Autohak</v>
      </c>
    </row>
    <row r="9009">
      <c r="A9009" t="str">
        <f>IFERROR(__xludf.DUMMYFUNCTION("""COMPUTED_VALUE"""),"F21")</f>
        <v>F21</v>
      </c>
      <c r="B9009" s="226" t="str">
        <f>IFERROR(__xludf.DUMMYFUNCTION("""COMPUTED_VALUE"""),"44074")</f>
        <v>44074</v>
      </c>
      <c r="C9009" t="str">
        <f>IFERROR(__xludf.DUMMYFUNCTION("""COMPUTED_VALUE"""),"Autohak")</f>
        <v>Autohak</v>
      </c>
    </row>
    <row r="9010">
      <c r="A9010" t="str">
        <f>IFERROR(__xludf.DUMMYFUNCTION("""COMPUTED_VALUE"""),"F21A")</f>
        <v>F21A</v>
      </c>
      <c r="B9010" s="226" t="str">
        <f>IFERROR(__xludf.DUMMYFUNCTION("""COMPUTED_VALUE"""),"46078")</f>
        <v>46078</v>
      </c>
      <c r="C9010" t="str">
        <f>IFERROR(__xludf.DUMMYFUNCTION("""COMPUTED_VALUE"""),"Autohak")</f>
        <v>Autohak</v>
      </c>
    </row>
    <row r="9011">
      <c r="A9011" t="str">
        <f>IFERROR(__xludf.DUMMYFUNCTION("""COMPUTED_VALUE"""),"F15")</f>
        <v>F15</v>
      </c>
      <c r="B9011" s="226" t="str">
        <f>IFERROR(__xludf.DUMMYFUNCTION("""COMPUTED_VALUE"""),"44081")</f>
        <v>44081</v>
      </c>
      <c r="C9011" t="str">
        <f>IFERROR(__xludf.DUMMYFUNCTION("""COMPUTED_VALUE"""),"Autohak")</f>
        <v>Autohak</v>
      </c>
    </row>
    <row r="9012">
      <c r="A9012" t="str">
        <f>IFERROR(__xludf.DUMMYFUNCTION("""COMPUTED_VALUE"""),"F15A")</f>
        <v>F15A</v>
      </c>
      <c r="B9012" s="226" t="str">
        <f>IFERROR(__xludf.DUMMYFUNCTION("""COMPUTED_VALUE"""),"46085")</f>
        <v>46085</v>
      </c>
      <c r="C9012" t="str">
        <f>IFERROR(__xludf.DUMMYFUNCTION("""COMPUTED_VALUE"""),"Autohak")</f>
        <v>Autohak</v>
      </c>
    </row>
    <row r="9013">
      <c r="A9013" t="str">
        <f>IFERROR(__xludf.DUMMYFUNCTION("""COMPUTED_VALUE"""),"F24")</f>
        <v>F24</v>
      </c>
      <c r="B9013" s="226" t="str">
        <f>IFERROR(__xludf.DUMMYFUNCTION("""COMPUTED_VALUE"""),"44098")</f>
        <v>44098</v>
      </c>
      <c r="C9013" t="str">
        <f>IFERROR(__xludf.DUMMYFUNCTION("""COMPUTED_VALUE"""),"Autohak")</f>
        <v>Autohak</v>
      </c>
    </row>
    <row r="9014">
      <c r="A9014" t="str">
        <f>IFERROR(__xludf.DUMMYFUNCTION("""COMPUTED_VALUE"""),"F24A")</f>
        <v>F24A</v>
      </c>
      <c r="B9014" s="226" t="str">
        <f>IFERROR(__xludf.DUMMYFUNCTION("""COMPUTED_VALUE"""),"46092")</f>
        <v>46092</v>
      </c>
      <c r="C9014" t="str">
        <f>IFERROR(__xludf.DUMMYFUNCTION("""COMPUTED_VALUE"""),"Autohak")</f>
        <v>Autohak</v>
      </c>
    </row>
    <row r="9015">
      <c r="A9015" t="str">
        <f>IFERROR(__xludf.DUMMYFUNCTION("""COMPUTED_VALUE"""),"F25")</f>
        <v>F25</v>
      </c>
      <c r="B9015" s="226" t="str">
        <f>IFERROR(__xludf.DUMMYFUNCTION("""COMPUTED_VALUE"""),"44104")</f>
        <v>44104</v>
      </c>
      <c r="C9015" t="str">
        <f>IFERROR(__xludf.DUMMYFUNCTION("""COMPUTED_VALUE"""),"Autohak")</f>
        <v>Autohak</v>
      </c>
    </row>
    <row r="9016">
      <c r="A9016" t="str">
        <f>IFERROR(__xludf.DUMMYFUNCTION("""COMPUTED_VALUE"""),"F25A")</f>
        <v>F25A</v>
      </c>
      <c r="B9016" s="226" t="str">
        <f>IFERROR(__xludf.DUMMYFUNCTION("""COMPUTED_VALUE"""),"46108")</f>
        <v>46108</v>
      </c>
      <c r="C9016" t="str">
        <f>IFERROR(__xludf.DUMMYFUNCTION("""COMPUTED_VALUE"""),"Autohak")</f>
        <v>Autohak</v>
      </c>
    </row>
    <row r="9017">
      <c r="A9017" t="str">
        <f>IFERROR(__xludf.DUMMYFUNCTION("""COMPUTED_VALUE"""),"F25")</f>
        <v>F25</v>
      </c>
      <c r="B9017" s="226" t="str">
        <f>IFERROR(__xludf.DUMMYFUNCTION("""COMPUTED_VALUE"""),"44104")</f>
        <v>44104</v>
      </c>
      <c r="C9017" t="str">
        <f>IFERROR(__xludf.DUMMYFUNCTION("""COMPUTED_VALUE"""),"Autohak")</f>
        <v>Autohak</v>
      </c>
    </row>
    <row r="9018">
      <c r="A9018" t="str">
        <f>IFERROR(__xludf.DUMMYFUNCTION("""COMPUTED_VALUE"""),"F25A")</f>
        <v>F25A</v>
      </c>
      <c r="B9018" s="226" t="str">
        <f>IFERROR(__xludf.DUMMYFUNCTION("""COMPUTED_VALUE"""),"46108")</f>
        <v>46108</v>
      </c>
      <c r="C9018" t="str">
        <f>IFERROR(__xludf.DUMMYFUNCTION("""COMPUTED_VALUE"""),"Autohak")</f>
        <v>Autohak</v>
      </c>
    </row>
    <row r="9019">
      <c r="A9019" t="str">
        <f>IFERROR(__xludf.DUMMYFUNCTION("""COMPUTED_VALUE"""),"F24")</f>
        <v>F24</v>
      </c>
      <c r="B9019" s="226" t="str">
        <f>IFERROR(__xludf.DUMMYFUNCTION("""COMPUTED_VALUE"""),"44098")</f>
        <v>44098</v>
      </c>
      <c r="C9019" t="str">
        <f>IFERROR(__xludf.DUMMYFUNCTION("""COMPUTED_VALUE"""),"Autohak")</f>
        <v>Autohak</v>
      </c>
    </row>
    <row r="9020">
      <c r="A9020" t="str">
        <f>IFERROR(__xludf.DUMMYFUNCTION("""COMPUTED_VALUE"""),"F24A")</f>
        <v>F24A</v>
      </c>
      <c r="B9020" s="226" t="str">
        <f>IFERROR(__xludf.DUMMYFUNCTION("""COMPUTED_VALUE"""),"46092")</f>
        <v>46092</v>
      </c>
      <c r="C9020" t="str">
        <f>IFERROR(__xludf.DUMMYFUNCTION("""COMPUTED_VALUE"""),"Autohak")</f>
        <v>Autohak</v>
      </c>
    </row>
    <row r="9021">
      <c r="A9021" t="str">
        <f>IFERROR(__xludf.DUMMYFUNCTION("""COMPUTED_VALUE"""),"F42")</f>
        <v>F42</v>
      </c>
      <c r="B9021" s="226" t="str">
        <f>IFERROR(__xludf.DUMMYFUNCTION("""COMPUTED_VALUE"""),"44333")</f>
        <v>44333</v>
      </c>
      <c r="C9021" t="str">
        <f>IFERROR(__xludf.DUMMYFUNCTION("""COMPUTED_VALUE"""),"Autohak")</f>
        <v>Autohak</v>
      </c>
    </row>
    <row r="9022">
      <c r="A9022" t="str">
        <f>IFERROR(__xludf.DUMMYFUNCTION("""COMPUTED_VALUE"""),"F42A")</f>
        <v>F42A</v>
      </c>
      <c r="B9022" s="226" t="str">
        <f>IFERROR(__xludf.DUMMYFUNCTION("""COMPUTED_VALUE"""),"46337")</f>
        <v>46337</v>
      </c>
      <c r="C9022" t="str">
        <f>IFERROR(__xludf.DUMMYFUNCTION("""COMPUTED_VALUE"""),"Autohak")</f>
        <v>Autohak</v>
      </c>
    </row>
    <row r="9023">
      <c r="A9023" t="str">
        <f>IFERROR(__xludf.DUMMYFUNCTION("""COMPUTED_VALUE"""),"F44")</f>
        <v>F44</v>
      </c>
      <c r="B9023" s="226" t="str">
        <f>IFERROR(__xludf.DUMMYFUNCTION("""COMPUTED_VALUE"""),"44357")</f>
        <v>44357</v>
      </c>
      <c r="C9023" t="str">
        <f>IFERROR(__xludf.DUMMYFUNCTION("""COMPUTED_VALUE"""),"Autohak")</f>
        <v>Autohak</v>
      </c>
    </row>
    <row r="9024">
      <c r="A9024" t="str">
        <f>IFERROR(__xludf.DUMMYFUNCTION("""COMPUTED_VALUE"""),"F44A")</f>
        <v>F44A</v>
      </c>
      <c r="B9024" s="226" t="str">
        <f>IFERROR(__xludf.DUMMYFUNCTION("""COMPUTED_VALUE"""),"46351")</f>
        <v>46351</v>
      </c>
      <c r="C9024" t="str">
        <f>IFERROR(__xludf.DUMMYFUNCTION("""COMPUTED_VALUE"""),"Autohak")</f>
        <v>Autohak</v>
      </c>
    </row>
    <row r="9025">
      <c r="A9025" t="str">
        <f>IFERROR(__xludf.DUMMYFUNCTION("""COMPUTED_VALUE"""),"F44V")</f>
        <v>F44V</v>
      </c>
      <c r="B9025" s="226" t="str">
        <f>IFERROR(__xludf.DUMMYFUNCTION("""COMPUTED_VALUE"""),"46900")</f>
        <v>46900</v>
      </c>
      <c r="C9025" t="str">
        <f>IFERROR(__xludf.DUMMYFUNCTION("""COMPUTED_VALUE"""),"Autohak")</f>
        <v>Autohak</v>
      </c>
    </row>
    <row r="9026">
      <c r="A9026" t="str">
        <f>IFERROR(__xludf.DUMMYFUNCTION("""COMPUTED_VALUE"""),"F33")</f>
        <v>F33</v>
      </c>
      <c r="B9026" s="226" t="str">
        <f>IFERROR(__xludf.DUMMYFUNCTION("""COMPUTED_VALUE"""),"44241")</f>
        <v>44241</v>
      </c>
      <c r="C9026" t="str">
        <f>IFERROR(__xludf.DUMMYFUNCTION("""COMPUTED_VALUE"""),"Autohak")</f>
        <v>Autohak</v>
      </c>
    </row>
    <row r="9027">
      <c r="A9027" t="str">
        <f>IFERROR(__xludf.DUMMYFUNCTION("""COMPUTED_VALUE"""),"F33A")</f>
        <v>F33A</v>
      </c>
      <c r="B9027" s="226" t="str">
        <f>IFERROR(__xludf.DUMMYFUNCTION("""COMPUTED_VALUE"""),"46245")</f>
        <v>46245</v>
      </c>
      <c r="C9027" t="str">
        <f>IFERROR(__xludf.DUMMYFUNCTION("""COMPUTED_VALUE"""),"Autohak")</f>
        <v>Autohak</v>
      </c>
    </row>
    <row r="9028">
      <c r="A9028" t="str">
        <f>IFERROR(__xludf.DUMMYFUNCTION("""COMPUTED_VALUE"""),"F33V")</f>
        <v>F33V</v>
      </c>
      <c r="B9028" s="226" t="str">
        <f>IFERROR(__xludf.DUMMYFUNCTION("""COMPUTED_VALUE"""),"46856")</f>
        <v>46856</v>
      </c>
      <c r="C9028" t="str">
        <f>IFERROR(__xludf.DUMMYFUNCTION("""COMPUTED_VALUE"""),"Autohak")</f>
        <v>Autohak</v>
      </c>
    </row>
    <row r="9029">
      <c r="A9029" t="str">
        <f>IFERROR(__xludf.DUMMYFUNCTION("""COMPUTED_VALUE"""),"F46")</f>
        <v>F46</v>
      </c>
      <c r="B9029" s="226" t="str">
        <f>IFERROR(__xludf.DUMMYFUNCTION("""COMPUTED_VALUE"""),"44364")</f>
        <v>44364</v>
      </c>
      <c r="C9029" t="str">
        <f>IFERROR(__xludf.DUMMYFUNCTION("""COMPUTED_VALUE"""),"Autohak")</f>
        <v>Autohak</v>
      </c>
    </row>
    <row r="9030">
      <c r="A9030" t="str">
        <f>IFERROR(__xludf.DUMMYFUNCTION("""COMPUTED_VALUE"""),"F46A")</f>
        <v>F46A</v>
      </c>
      <c r="B9030" s="226" t="str">
        <f>IFERROR(__xludf.DUMMYFUNCTION("""COMPUTED_VALUE"""),"46375")</f>
        <v>46375</v>
      </c>
      <c r="C9030" t="str">
        <f>IFERROR(__xludf.DUMMYFUNCTION("""COMPUTED_VALUE"""),"Autohak")</f>
        <v>Autohak</v>
      </c>
    </row>
    <row r="9031">
      <c r="A9031" t="str">
        <f>IFERROR(__xludf.DUMMYFUNCTION("""COMPUTED_VALUE"""),"F46V")</f>
        <v>F46V</v>
      </c>
      <c r="B9031" s="226" t="str">
        <f>IFERROR(__xludf.DUMMYFUNCTION("""COMPUTED_VALUE"""),"46887")</f>
        <v>46887</v>
      </c>
      <c r="C9031" t="str">
        <f>IFERROR(__xludf.DUMMYFUNCTION("""COMPUTED_VALUE"""),"Autohak")</f>
        <v>Autohak</v>
      </c>
    </row>
    <row r="9032">
      <c r="A9032" t="str">
        <f>IFERROR(__xludf.DUMMYFUNCTION("""COMPUTED_VALUE"""),"F35")</f>
        <v>F35</v>
      </c>
      <c r="B9032" s="226" t="str">
        <f>IFERROR(__xludf.DUMMYFUNCTION("""COMPUTED_VALUE"""),"44265")</f>
        <v>44265</v>
      </c>
      <c r="C9032" t="str">
        <f>IFERROR(__xludf.DUMMYFUNCTION("""COMPUTED_VALUE"""),"Autohak")</f>
        <v>Autohak</v>
      </c>
    </row>
    <row r="9033">
      <c r="A9033" t="str">
        <f>IFERROR(__xludf.DUMMYFUNCTION("""COMPUTED_VALUE"""),"F35A")</f>
        <v>F35A</v>
      </c>
      <c r="B9033" s="226" t="str">
        <f>IFERROR(__xludf.DUMMYFUNCTION("""COMPUTED_VALUE"""),"46269")</f>
        <v>46269</v>
      </c>
      <c r="C9033" t="str">
        <f>IFERROR(__xludf.DUMMYFUNCTION("""COMPUTED_VALUE"""),"Autohak")</f>
        <v>Autohak</v>
      </c>
    </row>
    <row r="9034">
      <c r="A9034" t="str">
        <f>IFERROR(__xludf.DUMMYFUNCTION("""COMPUTED_VALUE"""),"F35V")</f>
        <v>F35V</v>
      </c>
      <c r="B9034" s="226" t="str">
        <f>IFERROR(__xludf.DUMMYFUNCTION("""COMPUTED_VALUE"""),"46986")</f>
        <v>46986</v>
      </c>
      <c r="C9034" t="str">
        <f>IFERROR(__xludf.DUMMYFUNCTION("""COMPUTED_VALUE"""),"Autohak")</f>
        <v>Autohak</v>
      </c>
    </row>
    <row r="9035">
      <c r="A9035" t="str">
        <f>IFERROR(__xludf.DUMMYFUNCTION("""COMPUTED_VALUE"""),"F47")</f>
        <v>F47</v>
      </c>
      <c r="B9035" s="226" t="str">
        <f>IFERROR(__xludf.DUMMYFUNCTION("""COMPUTED_VALUE"""),"44371")</f>
        <v>44371</v>
      </c>
      <c r="C9035" t="str">
        <f>IFERROR(__xludf.DUMMYFUNCTION("""COMPUTED_VALUE"""),"Autohak")</f>
        <v>Autohak</v>
      </c>
    </row>
    <row r="9036">
      <c r="A9036" t="str">
        <f>IFERROR(__xludf.DUMMYFUNCTION("""COMPUTED_VALUE"""),"F47A")</f>
        <v>F47A</v>
      </c>
      <c r="B9036" s="226" t="str">
        <f>IFERROR(__xludf.DUMMYFUNCTION("""COMPUTED_VALUE"""),"46382")</f>
        <v>46382</v>
      </c>
      <c r="C9036" t="str">
        <f>IFERROR(__xludf.DUMMYFUNCTION("""COMPUTED_VALUE"""),"Autohak")</f>
        <v>Autohak</v>
      </c>
    </row>
    <row r="9037">
      <c r="A9037" t="str">
        <f>IFERROR(__xludf.DUMMYFUNCTION("""COMPUTED_VALUE"""),"F47V")</f>
        <v>F47V</v>
      </c>
      <c r="B9037" s="226" t="str">
        <f>IFERROR(__xludf.DUMMYFUNCTION("""COMPUTED_VALUE"""),"46870")</f>
        <v>46870</v>
      </c>
      <c r="C9037" t="str">
        <f>IFERROR(__xludf.DUMMYFUNCTION("""COMPUTED_VALUE"""),"Autohak")</f>
        <v>Autohak</v>
      </c>
    </row>
    <row r="9038">
      <c r="A9038" t="str">
        <f>IFERROR(__xludf.DUMMYFUNCTION("""COMPUTED_VALUE"""),"F47")</f>
        <v>F47</v>
      </c>
      <c r="B9038" s="226" t="str">
        <f>IFERROR(__xludf.DUMMYFUNCTION("""COMPUTED_VALUE"""),"44371")</f>
        <v>44371</v>
      </c>
      <c r="C9038" t="str">
        <f>IFERROR(__xludf.DUMMYFUNCTION("""COMPUTED_VALUE"""),"Autohak")</f>
        <v>Autohak</v>
      </c>
    </row>
    <row r="9039">
      <c r="A9039" t="str">
        <f>IFERROR(__xludf.DUMMYFUNCTION("""COMPUTED_VALUE"""),"F47A")</f>
        <v>F47A</v>
      </c>
      <c r="B9039" s="226" t="str">
        <f>IFERROR(__xludf.DUMMYFUNCTION("""COMPUTED_VALUE"""),"46382")</f>
        <v>46382</v>
      </c>
      <c r="C9039" t="str">
        <f>IFERROR(__xludf.DUMMYFUNCTION("""COMPUTED_VALUE"""),"Autohak")</f>
        <v>Autohak</v>
      </c>
    </row>
    <row r="9040">
      <c r="A9040" t="str">
        <f>IFERROR(__xludf.DUMMYFUNCTION("""COMPUTED_VALUE"""),"F47V")</f>
        <v>F47V</v>
      </c>
      <c r="B9040" s="226" t="str">
        <f>IFERROR(__xludf.DUMMYFUNCTION("""COMPUTED_VALUE"""),"46870")</f>
        <v>46870</v>
      </c>
      <c r="C9040" t="str">
        <f>IFERROR(__xludf.DUMMYFUNCTION("""COMPUTED_VALUE"""),"Autohak")</f>
        <v>Autohak</v>
      </c>
    </row>
    <row r="9041">
      <c r="A9041" t="str">
        <f>IFERROR(__xludf.DUMMYFUNCTION("""COMPUTED_VALUE"""),"F04")</f>
        <v>F04</v>
      </c>
      <c r="B9041" s="226" t="str">
        <f>IFERROR(__xludf.DUMMYFUNCTION("""COMPUTED_VALUE"""),"44111")</f>
        <v>44111</v>
      </c>
      <c r="C9041" t="str">
        <f>IFERROR(__xludf.DUMMYFUNCTION("""COMPUTED_VALUE"""),"Autohak")</f>
        <v>Autohak</v>
      </c>
    </row>
    <row r="9042">
      <c r="A9042" t="str">
        <f>IFERROR(__xludf.DUMMYFUNCTION("""COMPUTED_VALUE"""),"F04A")</f>
        <v>F04A</v>
      </c>
      <c r="B9042" s="226" t="str">
        <f>IFERROR(__xludf.DUMMYFUNCTION("""COMPUTED_VALUE"""),"46115")</f>
        <v>46115</v>
      </c>
      <c r="C9042" t="str">
        <f>IFERROR(__xludf.DUMMYFUNCTION("""COMPUTED_VALUE"""),"Autohak")</f>
        <v>Autohak</v>
      </c>
    </row>
    <row r="9043">
      <c r="A9043" t="str">
        <f>IFERROR(__xludf.DUMMYFUNCTION("""COMPUTED_VALUE"""),"F05")</f>
        <v>F05</v>
      </c>
      <c r="B9043" s="226" t="str">
        <f>IFERROR(__xludf.DUMMYFUNCTION("""COMPUTED_VALUE"""),"44128")</f>
        <v>44128</v>
      </c>
      <c r="C9043" t="str">
        <f>IFERROR(__xludf.DUMMYFUNCTION("""COMPUTED_VALUE"""),"Autohak")</f>
        <v>Autohak</v>
      </c>
    </row>
    <row r="9044">
      <c r="A9044" t="str">
        <f>IFERROR(__xludf.DUMMYFUNCTION("""COMPUTED_VALUE"""),"F05A")</f>
        <v>F05A</v>
      </c>
      <c r="B9044" s="226" t="str">
        <f>IFERROR(__xludf.DUMMYFUNCTION("""COMPUTED_VALUE"""),"46122")</f>
        <v>46122</v>
      </c>
      <c r="C9044" t="str">
        <f>IFERROR(__xludf.DUMMYFUNCTION("""COMPUTED_VALUE"""),"Autohak")</f>
        <v>Autohak</v>
      </c>
    </row>
    <row r="9045">
      <c r="A9045" t="str">
        <f>IFERROR(__xludf.DUMMYFUNCTION("""COMPUTED_VALUE"""),"F06")</f>
        <v>F06</v>
      </c>
      <c r="B9045" s="226" t="str">
        <f>IFERROR(__xludf.DUMMYFUNCTION("""COMPUTED_VALUE"""),"44142")</f>
        <v>44142</v>
      </c>
      <c r="C9045" t="str">
        <f>IFERROR(__xludf.DUMMYFUNCTION("""COMPUTED_VALUE"""),"Autohak")</f>
        <v>Autohak</v>
      </c>
    </row>
    <row r="9046">
      <c r="A9046" t="str">
        <f>IFERROR(__xludf.DUMMYFUNCTION("""COMPUTED_VALUE"""),"F06A")</f>
        <v>F06A</v>
      </c>
      <c r="B9046" s="226" t="str">
        <f>IFERROR(__xludf.DUMMYFUNCTION("""COMPUTED_VALUE"""),"46146")</f>
        <v>46146</v>
      </c>
      <c r="C9046" t="str">
        <f>IFERROR(__xludf.DUMMYFUNCTION("""COMPUTED_VALUE"""),"Autohak")</f>
        <v>Autohak</v>
      </c>
    </row>
    <row r="9047">
      <c r="A9047" t="str">
        <f>IFERROR(__xludf.DUMMYFUNCTION("""COMPUTED_VALUE"""),"F08")</f>
        <v>F08</v>
      </c>
      <c r="B9047" s="226" t="str">
        <f>IFERROR(__xludf.DUMMYFUNCTION("""COMPUTED_VALUE"""),"44159")</f>
        <v>44159</v>
      </c>
      <c r="C9047" t="str">
        <f>IFERROR(__xludf.DUMMYFUNCTION("""COMPUTED_VALUE"""),"Autohak")</f>
        <v>Autohak</v>
      </c>
    </row>
    <row r="9048">
      <c r="A9048" t="str">
        <f>IFERROR(__xludf.DUMMYFUNCTION("""COMPUTED_VALUE"""),"F08A")</f>
        <v>F08A</v>
      </c>
      <c r="B9048" s="226" t="str">
        <f>IFERROR(__xludf.DUMMYFUNCTION("""COMPUTED_VALUE"""),"46153")</f>
        <v>46153</v>
      </c>
      <c r="C9048" t="str">
        <f>IFERROR(__xludf.DUMMYFUNCTION("""COMPUTED_VALUE"""),"Autohak")</f>
        <v>Autohak</v>
      </c>
    </row>
    <row r="9049">
      <c r="A9049" t="str">
        <f>IFERROR(__xludf.DUMMYFUNCTION("""COMPUTED_VALUE"""),"F29")</f>
        <v>F29</v>
      </c>
      <c r="B9049" s="226" t="str">
        <f>IFERROR(__xludf.DUMMYFUNCTION("""COMPUTED_VALUE"""),"44166")</f>
        <v>44166</v>
      </c>
      <c r="C9049" t="str">
        <f>IFERROR(__xludf.DUMMYFUNCTION("""COMPUTED_VALUE"""),"Autohak")</f>
        <v>Autohak</v>
      </c>
    </row>
    <row r="9050">
      <c r="A9050" t="str">
        <f>IFERROR(__xludf.DUMMYFUNCTION("""COMPUTED_VALUE"""),"F29A")</f>
        <v>F29A</v>
      </c>
      <c r="B9050" s="226" t="str">
        <f>IFERROR(__xludf.DUMMYFUNCTION("""COMPUTED_VALUE"""),"46160")</f>
        <v>46160</v>
      </c>
      <c r="C9050" t="str">
        <f>IFERROR(__xludf.DUMMYFUNCTION("""COMPUTED_VALUE"""),"Autohak")</f>
        <v>Autohak</v>
      </c>
    </row>
    <row r="9051">
      <c r="A9051" t="str">
        <f>IFERROR(__xludf.DUMMYFUNCTION("""COMPUTED_VALUE"""),"P35")</f>
        <v>P35</v>
      </c>
      <c r="B9051" s="226" t="str">
        <f>IFERROR(__xludf.DUMMYFUNCTION("""COMPUTED_VALUE"""),"08229")</f>
        <v>08229</v>
      </c>
      <c r="C9051" t="str">
        <f>IFERROR(__xludf.DUMMYFUNCTION("""COMPUTED_VALUE"""),"Autohak")</f>
        <v>Autohak</v>
      </c>
    </row>
    <row r="9052">
      <c r="A9052" t="str">
        <f>IFERROR(__xludf.DUMMYFUNCTION("""COMPUTED_VALUE"""),"P35A")</f>
        <v>P35A</v>
      </c>
      <c r="B9052" s="226" t="str">
        <f>IFERROR(__xludf.DUMMYFUNCTION("""COMPUTED_VALUE"""),"09226")</f>
        <v>09226</v>
      </c>
      <c r="C9052" t="str">
        <f>IFERROR(__xludf.DUMMYFUNCTION("""COMPUTED_VALUE"""),"Autohak")</f>
        <v>Autohak</v>
      </c>
    </row>
    <row r="9053">
      <c r="A9053" t="str">
        <f>IFERROR(__xludf.DUMMYFUNCTION("""COMPUTED_VALUE"""),"P35V")</f>
        <v>P35V</v>
      </c>
      <c r="B9053" s="226" t="str">
        <f>IFERROR(__xludf.DUMMYFUNCTION("""COMPUTED_VALUE"""),"09967")</f>
        <v>09967</v>
      </c>
      <c r="C9053" t="str">
        <f>IFERROR(__xludf.DUMMYFUNCTION("""COMPUTED_VALUE"""),"Autohak")</f>
        <v>Autohak</v>
      </c>
    </row>
    <row r="9054">
      <c r="A9054" t="str">
        <f>IFERROR(__xludf.DUMMYFUNCTION("""COMPUTED_VALUE"""),"F28")</f>
        <v>F28</v>
      </c>
      <c r="B9054" s="226" t="str">
        <f>IFERROR(__xludf.DUMMYFUNCTION("""COMPUTED_VALUE"""),"44173")</f>
        <v>44173</v>
      </c>
      <c r="C9054" t="str">
        <f>IFERROR(__xludf.DUMMYFUNCTION("""COMPUTED_VALUE"""),"Autohak")</f>
        <v>Autohak</v>
      </c>
    </row>
    <row r="9055">
      <c r="A9055" t="str">
        <f>IFERROR(__xludf.DUMMYFUNCTION("""COMPUTED_VALUE"""),"F28A")</f>
        <v>F28A</v>
      </c>
      <c r="B9055" s="226" t="str">
        <f>IFERROR(__xludf.DUMMYFUNCTION("""COMPUTED_VALUE"""),"46177")</f>
        <v>46177</v>
      </c>
      <c r="C9055" t="str">
        <f>IFERROR(__xludf.DUMMYFUNCTION("""COMPUTED_VALUE"""),"Autohak")</f>
        <v>Autohak</v>
      </c>
    </row>
    <row r="9056">
      <c r="A9056" t="str">
        <f>IFERROR(__xludf.DUMMYFUNCTION("""COMPUTED_VALUE"""),"P33")</f>
        <v>P33</v>
      </c>
      <c r="B9056" s="226" t="str">
        <f>IFERROR(__xludf.DUMMYFUNCTION("""COMPUTED_VALUE"""),"08205")</f>
        <v>08205</v>
      </c>
      <c r="C9056" t="str">
        <f>IFERROR(__xludf.DUMMYFUNCTION("""COMPUTED_VALUE"""),"Autohak")</f>
        <v>Autohak</v>
      </c>
    </row>
    <row r="9057">
      <c r="A9057" t="str">
        <f>IFERROR(__xludf.DUMMYFUNCTION("""COMPUTED_VALUE"""),"P33A")</f>
        <v>P33A</v>
      </c>
      <c r="B9057" s="226" t="str">
        <f>IFERROR(__xludf.DUMMYFUNCTION("""COMPUTED_VALUE"""),"09202")</f>
        <v>09202</v>
      </c>
      <c r="C9057" t="str">
        <f>IFERROR(__xludf.DUMMYFUNCTION("""COMPUTED_VALUE"""),"Autohak")</f>
        <v>Autohak</v>
      </c>
    </row>
    <row r="9058">
      <c r="A9058" t="str">
        <f>IFERROR(__xludf.DUMMYFUNCTION("""COMPUTED_VALUE"""),"P33V")</f>
        <v>P33V</v>
      </c>
      <c r="B9058" s="226" t="str">
        <f>IFERROR(__xludf.DUMMYFUNCTION("""COMPUTED_VALUE"""),"09974")</f>
        <v>09974</v>
      </c>
      <c r="C9058" t="str">
        <f>IFERROR(__xludf.DUMMYFUNCTION("""COMPUTED_VALUE"""),"Autohak")</f>
        <v>Autohak</v>
      </c>
    </row>
    <row r="9059">
      <c r="A9059" t="str">
        <f>IFERROR(__xludf.DUMMYFUNCTION("""COMPUTED_VALUE"""),"Z38")</f>
        <v>Z38</v>
      </c>
      <c r="B9059" s="226" t="str">
        <f>IFERROR(__xludf.DUMMYFUNCTION("""COMPUTED_VALUE"""),"35218")</f>
        <v>35218</v>
      </c>
      <c r="C9059" t="str">
        <f>IFERROR(__xludf.DUMMYFUNCTION("""COMPUTED_VALUE"""),"Autohak")</f>
        <v>Autohak</v>
      </c>
    </row>
    <row r="9060">
      <c r="A9060" t="str">
        <f>IFERROR(__xludf.DUMMYFUNCTION("""COMPUTED_VALUE"""),"Z38A")</f>
        <v>Z38A</v>
      </c>
      <c r="B9060" s="226" t="str">
        <f>IFERROR(__xludf.DUMMYFUNCTION("""COMPUTED_VALUE"""),"37212")</f>
        <v>37212</v>
      </c>
      <c r="C9060" t="str">
        <f>IFERROR(__xludf.DUMMYFUNCTION("""COMPUTED_VALUE"""),"Autohak")</f>
        <v>Autohak</v>
      </c>
    </row>
    <row r="9061">
      <c r="A9061" t="str">
        <f>IFERROR(__xludf.DUMMYFUNCTION("""COMPUTED_VALUE"""),"Z43")</f>
        <v>Z43</v>
      </c>
      <c r="B9061" s="226" t="str">
        <f>IFERROR(__xludf.DUMMYFUNCTION("""COMPUTED_VALUE"""),"35263")</f>
        <v>35263</v>
      </c>
      <c r="C9061" t="str">
        <f>IFERROR(__xludf.DUMMYFUNCTION("""COMPUTED_VALUE"""),"Autohak")</f>
        <v>Autohak</v>
      </c>
    </row>
    <row r="9062">
      <c r="A9062" t="str">
        <f>IFERROR(__xludf.DUMMYFUNCTION("""COMPUTED_VALUE"""),"Z43A")</f>
        <v>Z43A</v>
      </c>
      <c r="B9062" s="226" t="str">
        <f>IFERROR(__xludf.DUMMYFUNCTION("""COMPUTED_VALUE"""),"37250")</f>
        <v>37250</v>
      </c>
      <c r="C9062" t="str">
        <f>IFERROR(__xludf.DUMMYFUNCTION("""COMPUTED_VALUE"""),"Autohak")</f>
        <v>Autohak</v>
      </c>
    </row>
    <row r="9063">
      <c r="A9063" t="str">
        <f>IFERROR(__xludf.DUMMYFUNCTION("""COMPUTED_VALUE"""),"Z43V")</f>
        <v>Z43V</v>
      </c>
      <c r="B9063" s="226" t="str">
        <f>IFERROR(__xludf.DUMMYFUNCTION("""COMPUTED_VALUE"""),"37984")</f>
        <v>37984</v>
      </c>
      <c r="C9063" t="str">
        <f>IFERROR(__xludf.DUMMYFUNCTION("""COMPUTED_VALUE"""),"Autohak")</f>
        <v>Autohak</v>
      </c>
    </row>
    <row r="9064">
      <c r="A9064" t="str">
        <f>IFERROR(__xludf.DUMMYFUNCTION("""COMPUTED_VALUE"""),"F39")</f>
        <v>F39</v>
      </c>
      <c r="B9064" s="226" t="str">
        <f>IFERROR(__xludf.DUMMYFUNCTION("""COMPUTED_VALUE"""),"44302")</f>
        <v>44302</v>
      </c>
      <c r="C9064" t="str">
        <f>IFERROR(__xludf.DUMMYFUNCTION("""COMPUTED_VALUE"""),"Autohak")</f>
        <v>Autohak</v>
      </c>
    </row>
    <row r="9065">
      <c r="A9065" t="str">
        <f>IFERROR(__xludf.DUMMYFUNCTION("""COMPUTED_VALUE"""),"F39A")</f>
        <v>F39A</v>
      </c>
      <c r="B9065" s="226" t="str">
        <f>IFERROR(__xludf.DUMMYFUNCTION("""COMPUTED_VALUE"""),"46306")</f>
        <v>46306</v>
      </c>
      <c r="C9065" t="str">
        <f>IFERROR(__xludf.DUMMYFUNCTION("""COMPUTED_VALUE"""),"Autohak")</f>
        <v>Autohak</v>
      </c>
    </row>
    <row r="9066">
      <c r="A9066" t="str">
        <f>IFERROR(__xludf.DUMMYFUNCTION("""COMPUTED_VALUE"""),"F39V")</f>
        <v>F39V</v>
      </c>
      <c r="B9066" s="226" t="str">
        <f>IFERROR(__xludf.DUMMYFUNCTION("""COMPUTED_VALUE"""),"46948")</f>
        <v>46948</v>
      </c>
      <c r="C9066" t="str">
        <f>IFERROR(__xludf.DUMMYFUNCTION("""COMPUTED_VALUE"""),"Autohak")</f>
        <v>Autohak</v>
      </c>
    </row>
    <row r="9067">
      <c r="A9067" t="str">
        <f>IFERROR(__xludf.DUMMYFUNCTION("""COMPUTED_VALUE"""),"F45A")</f>
        <v>F45A</v>
      </c>
      <c r="B9067" s="226" t="str">
        <f>IFERROR(__xludf.DUMMYFUNCTION("""COMPUTED_VALUE"""),"46368")</f>
        <v>46368</v>
      </c>
      <c r="C9067" t="str">
        <f>IFERROR(__xludf.DUMMYFUNCTION("""COMPUTED_VALUE"""),"Autohak")</f>
        <v>Autohak</v>
      </c>
    </row>
    <row r="9068">
      <c r="A9068" t="str">
        <f>IFERROR(__xludf.DUMMYFUNCTION("""COMPUTED_VALUE"""),"F45V")</f>
        <v>F45V</v>
      </c>
      <c r="B9068" s="226" t="str">
        <f>IFERROR(__xludf.DUMMYFUNCTION("""COMPUTED_VALUE"""),"46894")</f>
        <v>46894</v>
      </c>
      <c r="C9068" t="str">
        <f>IFERROR(__xludf.DUMMYFUNCTION("""COMPUTED_VALUE"""),"Autohak")</f>
        <v>Autohak</v>
      </c>
    </row>
    <row r="9069">
      <c r="A9069" t="str">
        <f>IFERROR(__xludf.DUMMYFUNCTION("""COMPUTED_VALUE"""),"F40")</f>
        <v>F40</v>
      </c>
      <c r="B9069" s="226" t="str">
        <f>IFERROR(__xludf.DUMMYFUNCTION("""COMPUTED_VALUE"""),"44319")</f>
        <v>44319</v>
      </c>
      <c r="C9069" t="str">
        <f>IFERROR(__xludf.DUMMYFUNCTION("""COMPUTED_VALUE"""),"Autohak")</f>
        <v>Autohak</v>
      </c>
    </row>
    <row r="9070">
      <c r="A9070" t="str">
        <f>IFERROR(__xludf.DUMMYFUNCTION("""COMPUTED_VALUE"""),"F40A")</f>
        <v>F40A</v>
      </c>
      <c r="B9070" s="226" t="str">
        <f>IFERROR(__xludf.DUMMYFUNCTION("""COMPUTED_VALUE"""),"46313")</f>
        <v>46313</v>
      </c>
      <c r="C9070" t="str">
        <f>IFERROR(__xludf.DUMMYFUNCTION("""COMPUTED_VALUE"""),"Autohak")</f>
        <v>Autohak</v>
      </c>
    </row>
    <row r="9071">
      <c r="A9071" t="str">
        <f>IFERROR(__xludf.DUMMYFUNCTION("""COMPUTED_VALUE"""),"F40V")</f>
        <v>F40V</v>
      </c>
      <c r="B9071" s="226" t="str">
        <f>IFERROR(__xludf.DUMMYFUNCTION("""COMPUTED_VALUE"""),"46931")</f>
        <v>46931</v>
      </c>
      <c r="C9071" t="str">
        <f>IFERROR(__xludf.DUMMYFUNCTION("""COMPUTED_VALUE"""),"Autohak")</f>
        <v>Autohak</v>
      </c>
    </row>
    <row r="9072">
      <c r="A9072" t="str">
        <f>IFERROR(__xludf.DUMMYFUNCTION("""COMPUTED_VALUE"""),"F37")</f>
        <v>F37</v>
      </c>
      <c r="B9072" s="226" t="str">
        <f>IFERROR(__xludf.DUMMYFUNCTION("""COMPUTED_VALUE"""),"44289")</f>
        <v>44289</v>
      </c>
      <c r="C9072" t="str">
        <f>IFERROR(__xludf.DUMMYFUNCTION("""COMPUTED_VALUE"""),"Autohak")</f>
        <v>Autohak</v>
      </c>
    </row>
    <row r="9073">
      <c r="A9073" t="str">
        <f>IFERROR(__xludf.DUMMYFUNCTION("""COMPUTED_VALUE"""),"F37A")</f>
        <v>F37A</v>
      </c>
      <c r="B9073" s="226" t="str">
        <f>IFERROR(__xludf.DUMMYFUNCTION("""COMPUTED_VALUE"""),"46283")</f>
        <v>46283</v>
      </c>
      <c r="C9073" t="str">
        <f>IFERROR(__xludf.DUMMYFUNCTION("""COMPUTED_VALUE"""),"Autohak")</f>
        <v>Autohak</v>
      </c>
    </row>
    <row r="9074">
      <c r="A9074" t="str">
        <f>IFERROR(__xludf.DUMMYFUNCTION("""COMPUTED_VALUE"""),"F37V")</f>
        <v>F37V</v>
      </c>
      <c r="B9074" s="226" t="str">
        <f>IFERROR(__xludf.DUMMYFUNCTION("""COMPUTED_VALUE"""),"46962")</f>
        <v>46962</v>
      </c>
      <c r="C9074" t="str">
        <f>IFERROR(__xludf.DUMMYFUNCTION("""COMPUTED_VALUE"""),"Autohak")</f>
        <v>Autohak</v>
      </c>
    </row>
    <row r="9075">
      <c r="A9075" t="str">
        <f>IFERROR(__xludf.DUMMYFUNCTION("""COMPUTED_VALUE"""),"F48")</f>
        <v>F48</v>
      </c>
      <c r="B9075" s="226" t="str">
        <f>IFERROR(__xludf.DUMMYFUNCTION("""COMPUTED_VALUE"""),"44388")</f>
        <v>44388</v>
      </c>
      <c r="C9075" t="str">
        <f>IFERROR(__xludf.DUMMYFUNCTION("""COMPUTED_VALUE"""),"Autohak")</f>
        <v>Autohak</v>
      </c>
    </row>
    <row r="9076">
      <c r="A9076" t="str">
        <f>IFERROR(__xludf.DUMMYFUNCTION("""COMPUTED_VALUE"""),"F48A")</f>
        <v>F48A</v>
      </c>
      <c r="B9076" s="226" t="str">
        <f>IFERROR(__xludf.DUMMYFUNCTION("""COMPUTED_VALUE"""),"46399")</f>
        <v>46399</v>
      </c>
      <c r="C9076" t="str">
        <f>IFERROR(__xludf.DUMMYFUNCTION("""COMPUTED_VALUE"""),"Autohak")</f>
        <v>Autohak</v>
      </c>
    </row>
    <row r="9077">
      <c r="A9077" t="str">
        <f>IFERROR(__xludf.DUMMYFUNCTION("""COMPUTED_VALUE"""),"F48V")</f>
        <v>F48V</v>
      </c>
      <c r="B9077" s="226" t="str">
        <f>IFERROR(__xludf.DUMMYFUNCTION("""COMPUTED_VALUE"""),"46863")</f>
        <v>46863</v>
      </c>
      <c r="C9077" t="str">
        <f>IFERROR(__xludf.DUMMYFUNCTION("""COMPUTED_VALUE"""),"Autohak")</f>
        <v>Autohak</v>
      </c>
    </row>
    <row r="9078">
      <c r="A9078" t="str">
        <f>IFERROR(__xludf.DUMMYFUNCTION("""COMPUTED_VALUE"""),"F48")</f>
        <v>F48</v>
      </c>
      <c r="B9078" s="226" t="str">
        <f>IFERROR(__xludf.DUMMYFUNCTION("""COMPUTED_VALUE"""),"44388")</f>
        <v>44388</v>
      </c>
      <c r="C9078" t="str">
        <f>IFERROR(__xludf.DUMMYFUNCTION("""COMPUTED_VALUE"""),"Autohak")</f>
        <v>Autohak</v>
      </c>
    </row>
    <row r="9079">
      <c r="A9079" t="str">
        <f>IFERROR(__xludf.DUMMYFUNCTION("""COMPUTED_VALUE"""),"F48A")</f>
        <v>F48A</v>
      </c>
      <c r="B9079" s="226" t="str">
        <f>IFERROR(__xludf.DUMMYFUNCTION("""COMPUTED_VALUE"""),"46399")</f>
        <v>46399</v>
      </c>
      <c r="C9079" t="str">
        <f>IFERROR(__xludf.DUMMYFUNCTION("""COMPUTED_VALUE"""),"Autohak")</f>
        <v>Autohak</v>
      </c>
    </row>
    <row r="9080">
      <c r="A9080" t="str">
        <f>IFERROR(__xludf.DUMMYFUNCTION("""COMPUTED_VALUE"""),"F48V")</f>
        <v>F48V</v>
      </c>
      <c r="B9080" s="226" t="str">
        <f>IFERROR(__xludf.DUMMYFUNCTION("""COMPUTED_VALUE"""),"46863")</f>
        <v>46863</v>
      </c>
      <c r="C9080" t="str">
        <f>IFERROR(__xludf.DUMMYFUNCTION("""COMPUTED_VALUE"""),"Autohak")</f>
        <v>Autohak</v>
      </c>
    </row>
    <row r="9081">
      <c r="A9081" t="str">
        <f>IFERROR(__xludf.DUMMYFUNCTION("""COMPUTED_VALUE"""),"F49")</f>
        <v>F49</v>
      </c>
      <c r="B9081" s="226" t="str">
        <f>IFERROR(__xludf.DUMMYFUNCTION("""COMPUTED_VALUE"""),"44395")</f>
        <v>44395</v>
      </c>
      <c r="C9081" t="str">
        <f>IFERROR(__xludf.DUMMYFUNCTION("""COMPUTED_VALUE"""),"Autohak")</f>
        <v>Autohak</v>
      </c>
    </row>
    <row r="9082">
      <c r="A9082" t="str">
        <f>IFERROR(__xludf.DUMMYFUNCTION("""COMPUTED_VALUE"""),"F49A")</f>
        <v>F49A</v>
      </c>
      <c r="B9082" s="226" t="str">
        <f>IFERROR(__xludf.DUMMYFUNCTION("""COMPUTED_VALUE"""),"46405")</f>
        <v>46405</v>
      </c>
      <c r="C9082" t="str">
        <f>IFERROR(__xludf.DUMMYFUNCTION("""COMPUTED_VALUE"""),"Autohak")</f>
        <v>Autohak</v>
      </c>
    </row>
    <row r="9083">
      <c r="A9083" t="str">
        <f>IFERROR(__xludf.DUMMYFUNCTION("""COMPUTED_VALUE"""),"F49V")</f>
        <v>F49V</v>
      </c>
      <c r="B9083" s="226" t="str">
        <f>IFERROR(__xludf.DUMMYFUNCTION("""COMPUTED_VALUE"""),"46849")</f>
        <v>46849</v>
      </c>
      <c r="C9083" t="str">
        <f>IFERROR(__xludf.DUMMYFUNCTION("""COMPUTED_VALUE"""),"Autohak")</f>
        <v>Autohak</v>
      </c>
    </row>
    <row r="9084">
      <c r="A9084" t="str">
        <f>IFERROR(__xludf.DUMMYFUNCTION("""COMPUTED_VALUE"""),"F49")</f>
        <v>F49</v>
      </c>
      <c r="B9084" s="226" t="str">
        <f>IFERROR(__xludf.DUMMYFUNCTION("""COMPUTED_VALUE"""),"44395")</f>
        <v>44395</v>
      </c>
      <c r="C9084" t="str">
        <f>IFERROR(__xludf.DUMMYFUNCTION("""COMPUTED_VALUE"""),"Autohak")</f>
        <v>Autohak</v>
      </c>
    </row>
    <row r="9085">
      <c r="A9085" t="str">
        <f>IFERROR(__xludf.DUMMYFUNCTION("""COMPUTED_VALUE"""),"F49A")</f>
        <v>F49A</v>
      </c>
      <c r="B9085" s="226" t="str">
        <f>IFERROR(__xludf.DUMMYFUNCTION("""COMPUTED_VALUE"""),"46405")</f>
        <v>46405</v>
      </c>
      <c r="C9085" t="str">
        <f>IFERROR(__xludf.DUMMYFUNCTION("""COMPUTED_VALUE"""),"Autohak")</f>
        <v>Autohak</v>
      </c>
    </row>
    <row r="9086">
      <c r="A9086" t="str">
        <f>IFERROR(__xludf.DUMMYFUNCTION("""COMPUTED_VALUE"""),"F49V")</f>
        <v>F49V</v>
      </c>
      <c r="B9086" s="226" t="str">
        <f>IFERROR(__xludf.DUMMYFUNCTION("""COMPUTED_VALUE"""),"46849")</f>
        <v>46849</v>
      </c>
      <c r="C9086" t="str">
        <f>IFERROR(__xludf.DUMMYFUNCTION("""COMPUTED_VALUE"""),"Autohak")</f>
        <v>Autohak</v>
      </c>
    </row>
    <row r="9087">
      <c r="A9087" t="str">
        <f>IFERROR(__xludf.DUMMYFUNCTION("""COMPUTED_VALUE"""),"F10")</f>
        <v>F10</v>
      </c>
      <c r="B9087" s="226" t="str">
        <f>IFERROR(__xludf.DUMMYFUNCTION("""COMPUTED_VALUE"""),"44180")</f>
        <v>44180</v>
      </c>
      <c r="C9087" t="str">
        <f>IFERROR(__xludf.DUMMYFUNCTION("""COMPUTED_VALUE"""),"Autohak")</f>
        <v>Autohak</v>
      </c>
    </row>
    <row r="9088">
      <c r="A9088" t="str">
        <f>IFERROR(__xludf.DUMMYFUNCTION("""COMPUTED_VALUE"""),"F10A")</f>
        <v>F10A</v>
      </c>
      <c r="B9088" s="226" t="str">
        <f>IFERROR(__xludf.DUMMYFUNCTION("""COMPUTED_VALUE"""),"46184")</f>
        <v>46184</v>
      </c>
      <c r="C9088" t="str">
        <f>IFERROR(__xludf.DUMMYFUNCTION("""COMPUTED_VALUE"""),"Autohak")</f>
        <v>Autohak</v>
      </c>
    </row>
    <row r="9089">
      <c r="A9089" t="str">
        <f>IFERROR(__xludf.DUMMYFUNCTION("""COMPUTED_VALUE"""),"F36")</f>
        <v>F36</v>
      </c>
      <c r="B9089" s="226" t="str">
        <f>IFERROR(__xludf.DUMMYFUNCTION("""COMPUTED_VALUE"""),"44272")</f>
        <v>44272</v>
      </c>
      <c r="C9089" t="str">
        <f>IFERROR(__xludf.DUMMYFUNCTION("""COMPUTED_VALUE"""),"Autohak")</f>
        <v>Autohak</v>
      </c>
    </row>
    <row r="9090">
      <c r="A9090" t="str">
        <f>IFERROR(__xludf.DUMMYFUNCTION("""COMPUTED_VALUE"""),"F36A")</f>
        <v>F36A</v>
      </c>
      <c r="B9090" s="226" t="str">
        <f>IFERROR(__xludf.DUMMYFUNCTION("""COMPUTED_VALUE"""),"46276")</f>
        <v>46276</v>
      </c>
      <c r="C9090" t="str">
        <f>IFERROR(__xludf.DUMMYFUNCTION("""COMPUTED_VALUE"""),"Autohak")</f>
        <v>Autohak</v>
      </c>
    </row>
    <row r="9091">
      <c r="A9091" t="str">
        <f>IFERROR(__xludf.DUMMYFUNCTION("""COMPUTED_VALUE"""),"F36V")</f>
        <v>F36V</v>
      </c>
      <c r="B9091" s="226" t="str">
        <f>IFERROR(__xludf.DUMMYFUNCTION("""COMPUTED_VALUE"""),"46979")</f>
        <v>46979</v>
      </c>
      <c r="C9091" t="str">
        <f>IFERROR(__xludf.DUMMYFUNCTION("""COMPUTED_VALUE"""),"Autohak")</f>
        <v>Autohak</v>
      </c>
    </row>
    <row r="9092">
      <c r="A9092" t="str">
        <f>IFERROR(__xludf.DUMMYFUNCTION("""COMPUTED_VALUE"""),"R17")</f>
        <v>R17</v>
      </c>
      <c r="B9092" s="226" t="str">
        <f>IFERROR(__xludf.DUMMYFUNCTION("""COMPUTED_VALUE"""),"13230")</f>
        <v>13230</v>
      </c>
      <c r="C9092" t="str">
        <f>IFERROR(__xludf.DUMMYFUNCTION("""COMPUTED_VALUE"""),"Autohak")</f>
        <v>Autohak</v>
      </c>
    </row>
    <row r="9093">
      <c r="A9093" t="str">
        <f>IFERROR(__xludf.DUMMYFUNCTION("""COMPUTED_VALUE"""),"R17A")</f>
        <v>R17A</v>
      </c>
      <c r="B9093" s="226" t="str">
        <f>IFERROR(__xludf.DUMMYFUNCTION("""COMPUTED_VALUE"""),"16231")</f>
        <v>16231</v>
      </c>
      <c r="C9093" t="str">
        <f>IFERROR(__xludf.DUMMYFUNCTION("""COMPUTED_VALUE"""),"Autohak")</f>
        <v>Autohak</v>
      </c>
    </row>
    <row r="9094">
      <c r="A9094" t="str">
        <f>IFERROR(__xludf.DUMMYFUNCTION("""COMPUTED_VALUE"""),"F26")</f>
        <v>F26</v>
      </c>
      <c r="B9094" s="226" t="str">
        <f>IFERROR(__xludf.DUMMYFUNCTION("""COMPUTED_VALUE"""),"44197")</f>
        <v>44197</v>
      </c>
      <c r="C9094" t="str">
        <f>IFERROR(__xludf.DUMMYFUNCTION("""COMPUTED_VALUE"""),"Autohak")</f>
        <v>Autohak</v>
      </c>
    </row>
    <row r="9095">
      <c r="A9095" t="str">
        <f>IFERROR(__xludf.DUMMYFUNCTION("""COMPUTED_VALUE"""),"F26A")</f>
        <v>F26A</v>
      </c>
      <c r="B9095" s="226" t="str">
        <f>IFERROR(__xludf.DUMMYFUNCTION("""COMPUTED_VALUE"""),"46191")</f>
        <v>46191</v>
      </c>
      <c r="C9095" t="str">
        <f>IFERROR(__xludf.DUMMYFUNCTION("""COMPUTED_VALUE"""),"Autohak")</f>
        <v>Autohak</v>
      </c>
    </row>
    <row r="9096">
      <c r="A9096" t="str">
        <f>IFERROR(__xludf.DUMMYFUNCTION("""COMPUTED_VALUE"""),"F26")</f>
        <v>F26</v>
      </c>
      <c r="B9096" s="226" t="str">
        <f>IFERROR(__xludf.DUMMYFUNCTION("""COMPUTED_VALUE"""),"44197")</f>
        <v>44197</v>
      </c>
      <c r="C9096" t="str">
        <f>IFERROR(__xludf.DUMMYFUNCTION("""COMPUTED_VALUE"""),"Autohak")</f>
        <v>Autohak</v>
      </c>
    </row>
    <row r="9097">
      <c r="A9097" t="str">
        <f>IFERROR(__xludf.DUMMYFUNCTION("""COMPUTED_VALUE"""),"F26A")</f>
        <v>F26A</v>
      </c>
      <c r="B9097" s="226" t="str">
        <f>IFERROR(__xludf.DUMMYFUNCTION("""COMPUTED_VALUE"""),"46191")</f>
        <v>46191</v>
      </c>
      <c r="C9097" t="str">
        <f>IFERROR(__xludf.DUMMYFUNCTION("""COMPUTED_VALUE"""),"Autohak")</f>
        <v>Autohak</v>
      </c>
    </row>
    <row r="9098">
      <c r="A9098" t="str">
        <f>IFERROR(__xludf.DUMMYFUNCTION("""COMPUTED_VALUE"""),"F32")</f>
        <v>F32</v>
      </c>
      <c r="B9098" s="226" t="str">
        <f>IFERROR(__xludf.DUMMYFUNCTION("""COMPUTED_VALUE"""),"44234")</f>
        <v>44234</v>
      </c>
      <c r="C9098" t="str">
        <f>IFERROR(__xludf.DUMMYFUNCTION("""COMPUTED_VALUE"""),"Autohak")</f>
        <v>Autohak</v>
      </c>
    </row>
    <row r="9099">
      <c r="A9099" t="str">
        <f>IFERROR(__xludf.DUMMYFUNCTION("""COMPUTED_VALUE"""),"F32A")</f>
        <v>F32A</v>
      </c>
      <c r="B9099" s="226" t="str">
        <f>IFERROR(__xludf.DUMMYFUNCTION("""COMPUTED_VALUE"""),"46238")</f>
        <v>46238</v>
      </c>
      <c r="C9099" t="str">
        <f>IFERROR(__xludf.DUMMYFUNCTION("""COMPUTED_VALUE"""),"Autohak")</f>
        <v>Autohak</v>
      </c>
    </row>
    <row r="9100">
      <c r="A9100" t="str">
        <f>IFERROR(__xludf.DUMMYFUNCTION("""COMPUTED_VALUE"""),"F32")</f>
        <v>F32</v>
      </c>
      <c r="B9100" s="226" t="str">
        <f>IFERROR(__xludf.DUMMYFUNCTION("""COMPUTED_VALUE"""),"44234")</f>
        <v>44234</v>
      </c>
      <c r="C9100" t="str">
        <f>IFERROR(__xludf.DUMMYFUNCTION("""COMPUTED_VALUE"""),"Autohak")</f>
        <v>Autohak</v>
      </c>
    </row>
    <row r="9101">
      <c r="A9101" t="str">
        <f>IFERROR(__xludf.DUMMYFUNCTION("""COMPUTED_VALUE"""),"F32A")</f>
        <v>F32A</v>
      </c>
      <c r="B9101" s="226" t="str">
        <f>IFERROR(__xludf.DUMMYFUNCTION("""COMPUTED_VALUE"""),"46238")</f>
        <v>46238</v>
      </c>
      <c r="C9101" t="str">
        <f>IFERROR(__xludf.DUMMYFUNCTION("""COMPUTED_VALUE"""),"Autohak")</f>
        <v>Autohak</v>
      </c>
    </row>
    <row r="9102">
      <c r="A9102" t="str">
        <f>IFERROR(__xludf.DUMMYFUNCTION("""COMPUTED_VALUE"""),"R08")</f>
        <v>R08</v>
      </c>
      <c r="B9102" s="226" t="str">
        <f>IFERROR(__xludf.DUMMYFUNCTION("""COMPUTED_VALUE"""),"13094")</f>
        <v>13094</v>
      </c>
      <c r="C9102" t="str">
        <f>IFERROR(__xludf.DUMMYFUNCTION("""COMPUTED_VALUE"""),"Autohak")</f>
        <v>Autohak</v>
      </c>
    </row>
    <row r="9103">
      <c r="A9103" t="str">
        <f>IFERROR(__xludf.DUMMYFUNCTION("""COMPUTED_VALUE"""),"R24")</f>
        <v>R24</v>
      </c>
      <c r="B9103" s="226" t="str">
        <f>IFERROR(__xludf.DUMMYFUNCTION("""COMPUTED_VALUE"""),"13100")</f>
        <v>13100</v>
      </c>
      <c r="C9103" t="str">
        <f>IFERROR(__xludf.DUMMYFUNCTION("""COMPUTED_VALUE"""),"Autohak")</f>
        <v>Autohak</v>
      </c>
    </row>
    <row r="9104">
      <c r="A9104" t="str">
        <f>IFERROR(__xludf.DUMMYFUNCTION("""COMPUTED_VALUE"""),"R39")</f>
        <v>R39</v>
      </c>
      <c r="B9104" s="226" t="str">
        <f>IFERROR(__xludf.DUMMYFUNCTION("""COMPUTED_VALUE"""),"13353")</f>
        <v>13353</v>
      </c>
      <c r="C9104" t="str">
        <f>IFERROR(__xludf.DUMMYFUNCTION("""COMPUTED_VALUE"""),"Autohak")</f>
        <v>Autohak</v>
      </c>
    </row>
    <row r="9105">
      <c r="A9105" t="str">
        <f>IFERROR(__xludf.DUMMYFUNCTION("""COMPUTED_VALUE"""),"R39A")</f>
        <v>R39A</v>
      </c>
      <c r="B9105" s="226" t="str">
        <f>IFERROR(__xludf.DUMMYFUNCTION("""COMPUTED_VALUE"""),"16354")</f>
        <v>16354</v>
      </c>
      <c r="C9105" t="str">
        <f>IFERROR(__xludf.DUMMYFUNCTION("""COMPUTED_VALUE"""),"Autohak")</f>
        <v>Autohak</v>
      </c>
    </row>
    <row r="9106">
      <c r="A9106" t="str">
        <f>IFERROR(__xludf.DUMMYFUNCTION("""COMPUTED_VALUE"""),"R60")</f>
        <v>R60</v>
      </c>
      <c r="B9106" s="226" t="str">
        <f>IFERROR(__xludf.DUMMYFUNCTION("""COMPUTED_VALUE"""),"13575")</f>
        <v>13575</v>
      </c>
      <c r="C9106" t="str">
        <f>IFERROR(__xludf.DUMMYFUNCTION("""COMPUTED_VALUE"""),"Autohak")</f>
        <v>Autohak</v>
      </c>
    </row>
    <row r="9107">
      <c r="A9107" t="str">
        <f>IFERROR(__xludf.DUMMYFUNCTION("""COMPUTED_VALUE"""),"R39")</f>
        <v>R39</v>
      </c>
      <c r="B9107" s="226" t="str">
        <f>IFERROR(__xludf.DUMMYFUNCTION("""COMPUTED_VALUE"""),"13353")</f>
        <v>13353</v>
      </c>
      <c r="C9107" t="str">
        <f>IFERROR(__xludf.DUMMYFUNCTION("""COMPUTED_VALUE"""),"Autohak")</f>
        <v>Autohak</v>
      </c>
    </row>
    <row r="9108">
      <c r="A9108" t="str">
        <f>IFERROR(__xludf.DUMMYFUNCTION("""COMPUTED_VALUE"""),"R39A")</f>
        <v>R39A</v>
      </c>
      <c r="B9108" s="226" t="str">
        <f>IFERROR(__xludf.DUMMYFUNCTION("""COMPUTED_VALUE"""),"16354")</f>
        <v>16354</v>
      </c>
      <c r="C9108" t="str">
        <f>IFERROR(__xludf.DUMMYFUNCTION("""COMPUTED_VALUE"""),"Autohak")</f>
        <v>Autohak</v>
      </c>
    </row>
    <row r="9109">
      <c r="A9109" t="str">
        <f>IFERROR(__xludf.DUMMYFUNCTION("""COMPUTED_VALUE"""),"R60")</f>
        <v>R60</v>
      </c>
      <c r="B9109" s="226" t="str">
        <f>IFERROR(__xludf.DUMMYFUNCTION("""COMPUTED_VALUE"""),"13575")</f>
        <v>13575</v>
      </c>
      <c r="C9109" t="str">
        <f>IFERROR(__xludf.DUMMYFUNCTION("""COMPUTED_VALUE"""),"Autohak")</f>
        <v>Autohak</v>
      </c>
    </row>
    <row r="9110">
      <c r="A9110" t="str">
        <f>IFERROR(__xludf.DUMMYFUNCTION("""COMPUTED_VALUE"""),"R39")</f>
        <v>R39</v>
      </c>
      <c r="B9110" s="226" t="str">
        <f>IFERROR(__xludf.DUMMYFUNCTION("""COMPUTED_VALUE"""),"13353")</f>
        <v>13353</v>
      </c>
      <c r="C9110" t="str">
        <f>IFERROR(__xludf.DUMMYFUNCTION("""COMPUTED_VALUE"""),"Autohak")</f>
        <v>Autohak</v>
      </c>
    </row>
    <row r="9111">
      <c r="A9111" t="str">
        <f>IFERROR(__xludf.DUMMYFUNCTION("""COMPUTED_VALUE"""),"R39A")</f>
        <v>R39A</v>
      </c>
      <c r="B9111" s="226" t="str">
        <f>IFERROR(__xludf.DUMMYFUNCTION("""COMPUTED_VALUE"""),"16354")</f>
        <v>16354</v>
      </c>
      <c r="C9111" t="str">
        <f>IFERROR(__xludf.DUMMYFUNCTION("""COMPUTED_VALUE"""),"Autohak")</f>
        <v>Autohak</v>
      </c>
    </row>
    <row r="9112">
      <c r="A9112" t="str">
        <f>IFERROR(__xludf.DUMMYFUNCTION("""COMPUTED_VALUE"""),"R60")</f>
        <v>R60</v>
      </c>
      <c r="B9112" s="226" t="str">
        <f>IFERROR(__xludf.DUMMYFUNCTION("""COMPUTED_VALUE"""),"13575")</f>
        <v>13575</v>
      </c>
      <c r="C9112" t="str">
        <f>IFERROR(__xludf.DUMMYFUNCTION("""COMPUTED_VALUE"""),"Autohak")</f>
        <v>Autohak</v>
      </c>
    </row>
    <row r="9113">
      <c r="A9113" t="str">
        <f>IFERROR(__xludf.DUMMYFUNCTION("""COMPUTED_VALUE"""),"R39")</f>
        <v>R39</v>
      </c>
      <c r="B9113" s="226" t="str">
        <f>IFERROR(__xludf.DUMMYFUNCTION("""COMPUTED_VALUE"""),"13353")</f>
        <v>13353</v>
      </c>
      <c r="C9113" t="str">
        <f>IFERROR(__xludf.DUMMYFUNCTION("""COMPUTED_VALUE"""),"Autohak")</f>
        <v>Autohak</v>
      </c>
    </row>
    <row r="9114">
      <c r="A9114" t="str">
        <f>IFERROR(__xludf.DUMMYFUNCTION("""COMPUTED_VALUE"""),"R39A")</f>
        <v>R39A</v>
      </c>
      <c r="B9114" s="226" t="str">
        <f>IFERROR(__xludf.DUMMYFUNCTION("""COMPUTED_VALUE"""),"16354")</f>
        <v>16354</v>
      </c>
      <c r="C9114" t="str">
        <f>IFERROR(__xludf.DUMMYFUNCTION("""COMPUTED_VALUE"""),"Autohak")</f>
        <v>Autohak</v>
      </c>
    </row>
    <row r="9115">
      <c r="A9115" t="str">
        <f>IFERROR(__xludf.DUMMYFUNCTION("""COMPUTED_VALUE"""),"R60")</f>
        <v>R60</v>
      </c>
      <c r="B9115" s="226" t="str">
        <f>IFERROR(__xludf.DUMMYFUNCTION("""COMPUTED_VALUE"""),"13575")</f>
        <v>13575</v>
      </c>
      <c r="C9115" t="str">
        <f>IFERROR(__xludf.DUMMYFUNCTION("""COMPUTED_VALUE"""),"Autohak")</f>
        <v>Autohak</v>
      </c>
    </row>
    <row r="9116">
      <c r="A9116" t="str">
        <f>IFERROR(__xludf.DUMMYFUNCTION("""COMPUTED_VALUE"""),"R41")</f>
        <v>R41</v>
      </c>
      <c r="B9116" s="226" t="str">
        <f>IFERROR(__xludf.DUMMYFUNCTION("""COMPUTED_VALUE"""),"13377")</f>
        <v>13377</v>
      </c>
      <c r="C9116" t="str">
        <f>IFERROR(__xludf.DUMMYFUNCTION("""COMPUTED_VALUE"""),"Autohak")</f>
        <v>Autohak</v>
      </c>
    </row>
    <row r="9117">
      <c r="A9117" t="str">
        <f>IFERROR(__xludf.DUMMYFUNCTION("""COMPUTED_VALUE"""),"R42")</f>
        <v>R42</v>
      </c>
      <c r="B9117" s="226" t="str">
        <f>IFERROR(__xludf.DUMMYFUNCTION("""COMPUTED_VALUE"""),"13384")</f>
        <v>13384</v>
      </c>
      <c r="C9117" t="str">
        <f>IFERROR(__xludf.DUMMYFUNCTION("""COMPUTED_VALUE"""),"Autohak")</f>
        <v>Autohak</v>
      </c>
    </row>
    <row r="9118">
      <c r="A9118" t="str">
        <f>IFERROR(__xludf.DUMMYFUNCTION("""COMPUTED_VALUE"""),"R42A")</f>
        <v>R42A</v>
      </c>
      <c r="B9118" s="226" t="str">
        <f>IFERROR(__xludf.DUMMYFUNCTION("""COMPUTED_VALUE"""),"16385")</f>
        <v>16385</v>
      </c>
      <c r="C9118" t="str">
        <f>IFERROR(__xludf.DUMMYFUNCTION("""COMPUTED_VALUE"""),"Autohak")</f>
        <v>Autohak</v>
      </c>
    </row>
    <row r="9119">
      <c r="A9119" t="str">
        <f>IFERROR(__xludf.DUMMYFUNCTION("""COMPUTED_VALUE"""),"R61")</f>
        <v>R61</v>
      </c>
      <c r="B9119" s="226" t="str">
        <f>IFERROR(__xludf.DUMMYFUNCTION("""COMPUTED_VALUE"""),"13582")</f>
        <v>13582</v>
      </c>
      <c r="C9119" t="str">
        <f>IFERROR(__xludf.DUMMYFUNCTION("""COMPUTED_VALUE"""),"Autohak")</f>
        <v>Autohak</v>
      </c>
    </row>
    <row r="9120">
      <c r="A9120" t="str">
        <f>IFERROR(__xludf.DUMMYFUNCTION("""COMPUTED_VALUE"""),"R42")</f>
        <v>R42</v>
      </c>
      <c r="B9120" s="226" t="str">
        <f>IFERROR(__xludf.DUMMYFUNCTION("""COMPUTED_VALUE"""),"13384")</f>
        <v>13384</v>
      </c>
      <c r="C9120" t="str">
        <f>IFERROR(__xludf.DUMMYFUNCTION("""COMPUTED_VALUE"""),"Autohak")</f>
        <v>Autohak</v>
      </c>
    </row>
    <row r="9121">
      <c r="A9121" t="str">
        <f>IFERROR(__xludf.DUMMYFUNCTION("""COMPUTED_VALUE"""),"R42A")</f>
        <v>R42A</v>
      </c>
      <c r="B9121" s="226" t="str">
        <f>IFERROR(__xludf.DUMMYFUNCTION("""COMPUTED_VALUE"""),"16385")</f>
        <v>16385</v>
      </c>
      <c r="C9121" t="str">
        <f>IFERROR(__xludf.DUMMYFUNCTION("""COMPUTED_VALUE"""),"Autohak")</f>
        <v>Autohak</v>
      </c>
    </row>
    <row r="9122">
      <c r="A9122" t="str">
        <f>IFERROR(__xludf.DUMMYFUNCTION("""COMPUTED_VALUE"""),"R61")</f>
        <v>R61</v>
      </c>
      <c r="B9122" s="226" t="str">
        <f>IFERROR(__xludf.DUMMYFUNCTION("""COMPUTED_VALUE"""),"13582")</f>
        <v>13582</v>
      </c>
      <c r="C9122" t="str">
        <f>IFERROR(__xludf.DUMMYFUNCTION("""COMPUTED_VALUE"""),"Autohak")</f>
        <v>Autohak</v>
      </c>
    </row>
    <row r="9123">
      <c r="A9123" t="str">
        <f>IFERROR(__xludf.DUMMYFUNCTION("""COMPUTED_VALUE"""),"R42")</f>
        <v>R42</v>
      </c>
      <c r="B9123" s="226" t="str">
        <f>IFERROR(__xludf.DUMMYFUNCTION("""COMPUTED_VALUE"""),"13384")</f>
        <v>13384</v>
      </c>
      <c r="C9123" t="str">
        <f>IFERROR(__xludf.DUMMYFUNCTION("""COMPUTED_VALUE"""),"Autohak")</f>
        <v>Autohak</v>
      </c>
    </row>
    <row r="9124">
      <c r="A9124" t="str">
        <f>IFERROR(__xludf.DUMMYFUNCTION("""COMPUTED_VALUE"""),"R42A")</f>
        <v>R42A</v>
      </c>
      <c r="B9124" s="226" t="str">
        <f>IFERROR(__xludf.DUMMYFUNCTION("""COMPUTED_VALUE"""),"16385")</f>
        <v>16385</v>
      </c>
      <c r="C9124" t="str">
        <f>IFERROR(__xludf.DUMMYFUNCTION("""COMPUTED_VALUE"""),"Autohak")</f>
        <v>Autohak</v>
      </c>
    </row>
    <row r="9125">
      <c r="A9125" t="str">
        <f>IFERROR(__xludf.DUMMYFUNCTION("""COMPUTED_VALUE"""),"R61")</f>
        <v>R61</v>
      </c>
      <c r="B9125" s="226" t="str">
        <f>IFERROR(__xludf.DUMMYFUNCTION("""COMPUTED_VALUE"""),"13582")</f>
        <v>13582</v>
      </c>
      <c r="C9125" t="str">
        <f>IFERROR(__xludf.DUMMYFUNCTION("""COMPUTED_VALUE"""),"Autohak")</f>
        <v>Autohak</v>
      </c>
    </row>
    <row r="9126">
      <c r="A9126" t="str">
        <f>IFERROR(__xludf.DUMMYFUNCTION("""COMPUTED_VALUE"""),"R42")</f>
        <v>R42</v>
      </c>
      <c r="B9126" s="226" t="str">
        <f>IFERROR(__xludf.DUMMYFUNCTION("""COMPUTED_VALUE"""),"13384")</f>
        <v>13384</v>
      </c>
      <c r="C9126" t="str">
        <f>IFERROR(__xludf.DUMMYFUNCTION("""COMPUTED_VALUE"""),"Autohak")</f>
        <v>Autohak</v>
      </c>
    </row>
    <row r="9127">
      <c r="A9127" t="str">
        <f>IFERROR(__xludf.DUMMYFUNCTION("""COMPUTED_VALUE"""),"R42A")</f>
        <v>R42A</v>
      </c>
      <c r="B9127" s="226" t="str">
        <f>IFERROR(__xludf.DUMMYFUNCTION("""COMPUTED_VALUE"""),"16385")</f>
        <v>16385</v>
      </c>
      <c r="C9127" t="str">
        <f>IFERROR(__xludf.DUMMYFUNCTION("""COMPUTED_VALUE"""),"Autohak")</f>
        <v>Autohak</v>
      </c>
    </row>
    <row r="9128">
      <c r="A9128" t="str">
        <f>IFERROR(__xludf.DUMMYFUNCTION("""COMPUTED_VALUE"""),"R61")</f>
        <v>R61</v>
      </c>
      <c r="B9128" s="226" t="str">
        <f>IFERROR(__xludf.DUMMYFUNCTION("""COMPUTED_VALUE"""),"13582")</f>
        <v>13582</v>
      </c>
      <c r="C9128" t="str">
        <f>IFERROR(__xludf.DUMMYFUNCTION("""COMPUTED_VALUE"""),"Autohak")</f>
        <v>Autohak</v>
      </c>
    </row>
    <row r="9129">
      <c r="A9129" t="str">
        <f>IFERROR(__xludf.DUMMYFUNCTION("""COMPUTED_VALUE"""),"R46")</f>
        <v>R46</v>
      </c>
      <c r="B9129" s="226" t="str">
        <f>IFERROR(__xludf.DUMMYFUNCTION("""COMPUTED_VALUE"""),"13421")</f>
        <v>13421</v>
      </c>
      <c r="C9129" t="str">
        <f>IFERROR(__xludf.DUMMYFUNCTION("""COMPUTED_VALUE"""),"Autohak")</f>
        <v>Autohak</v>
      </c>
    </row>
    <row r="9130">
      <c r="A9130" t="str">
        <f>IFERROR(__xludf.DUMMYFUNCTION("""COMPUTED_VALUE"""),"R17")</f>
        <v>R17</v>
      </c>
      <c r="B9130" s="226" t="str">
        <f>IFERROR(__xludf.DUMMYFUNCTION("""COMPUTED_VALUE"""),"13230")</f>
        <v>13230</v>
      </c>
      <c r="C9130" t="str">
        <f>IFERROR(__xludf.DUMMYFUNCTION("""COMPUTED_VALUE"""),"Autohak")</f>
        <v>Autohak</v>
      </c>
    </row>
    <row r="9131">
      <c r="A9131" t="str">
        <f>IFERROR(__xludf.DUMMYFUNCTION("""COMPUTED_VALUE"""),"R17A")</f>
        <v>R17A</v>
      </c>
      <c r="B9131" s="226" t="str">
        <f>IFERROR(__xludf.DUMMYFUNCTION("""COMPUTED_VALUE"""),"16231")</f>
        <v>16231</v>
      </c>
      <c r="C9131" t="str">
        <f>IFERROR(__xludf.DUMMYFUNCTION("""COMPUTED_VALUE"""),"Autohak")</f>
        <v>Autohak</v>
      </c>
    </row>
    <row r="9132">
      <c r="A9132" t="str">
        <f>IFERROR(__xludf.DUMMYFUNCTION("""COMPUTED_VALUE"""),"R40")</f>
        <v>R40</v>
      </c>
      <c r="B9132" s="226" t="str">
        <f>IFERROR(__xludf.DUMMYFUNCTION("""COMPUTED_VALUE"""),"13360")</f>
        <v>13360</v>
      </c>
      <c r="C9132" t="str">
        <f>IFERROR(__xludf.DUMMYFUNCTION("""COMPUTED_VALUE"""),"Autohak")</f>
        <v>Autohak</v>
      </c>
    </row>
    <row r="9133">
      <c r="A9133" t="str">
        <f>IFERROR(__xludf.DUMMYFUNCTION("""COMPUTED_VALUE"""),"R40A")</f>
        <v>R40A</v>
      </c>
      <c r="B9133" s="226" t="str">
        <f>IFERROR(__xludf.DUMMYFUNCTION("""COMPUTED_VALUE"""),"16361")</f>
        <v>16361</v>
      </c>
      <c r="C9133" t="str">
        <f>IFERROR(__xludf.DUMMYFUNCTION("""COMPUTED_VALUE"""),"Autohak")</f>
        <v>Autohak</v>
      </c>
    </row>
    <row r="9134">
      <c r="A9134" t="str">
        <f>IFERROR(__xludf.DUMMYFUNCTION("""COMPUTED_VALUE"""),"P44")</f>
        <v>P44</v>
      </c>
      <c r="B9134" s="226" t="str">
        <f>IFERROR(__xludf.DUMMYFUNCTION("""COMPUTED_VALUE"""),"08311")</f>
        <v>08311</v>
      </c>
      <c r="C9134" t="str">
        <f>IFERROR(__xludf.DUMMYFUNCTION("""COMPUTED_VALUE"""),"Autohak")</f>
        <v>Autohak</v>
      </c>
    </row>
    <row r="9135">
      <c r="A9135" t="str">
        <f>IFERROR(__xludf.DUMMYFUNCTION("""COMPUTED_VALUE"""),"P44A")</f>
        <v>P44A</v>
      </c>
      <c r="B9135" s="226" t="str">
        <f>IFERROR(__xludf.DUMMYFUNCTION("""COMPUTED_VALUE"""),"09318")</f>
        <v>09318</v>
      </c>
      <c r="C9135" t="str">
        <f>IFERROR(__xludf.DUMMYFUNCTION("""COMPUTED_VALUE"""),"Autohak")</f>
        <v>Autohak</v>
      </c>
    </row>
    <row r="9136">
      <c r="A9136" t="str">
        <f>IFERROR(__xludf.DUMMYFUNCTION("""COMPUTED_VALUE"""),"P44V")</f>
        <v>P44V</v>
      </c>
      <c r="B9136" s="226" t="str">
        <f>IFERROR(__xludf.DUMMYFUNCTION("""COMPUTED_VALUE"""),"09899")</f>
        <v>09899</v>
      </c>
      <c r="C9136" t="str">
        <f>IFERROR(__xludf.DUMMYFUNCTION("""COMPUTED_VALUE"""),"Autohak")</f>
        <v>Autohak</v>
      </c>
    </row>
    <row r="9137">
      <c r="A9137" t="str">
        <f>IFERROR(__xludf.DUMMYFUNCTION("""COMPUTED_VALUE"""),"P44")</f>
        <v>P44</v>
      </c>
      <c r="B9137" s="226" t="str">
        <f>IFERROR(__xludf.DUMMYFUNCTION("""COMPUTED_VALUE"""),"08311")</f>
        <v>08311</v>
      </c>
      <c r="C9137" t="str">
        <f>IFERROR(__xludf.DUMMYFUNCTION("""COMPUTED_VALUE"""),"Autohak")</f>
        <v>Autohak</v>
      </c>
    </row>
    <row r="9138">
      <c r="A9138" t="str">
        <f>IFERROR(__xludf.DUMMYFUNCTION("""COMPUTED_VALUE"""),"P44A")</f>
        <v>P44A</v>
      </c>
      <c r="B9138" s="226" t="str">
        <f>IFERROR(__xludf.DUMMYFUNCTION("""COMPUTED_VALUE"""),"09318")</f>
        <v>09318</v>
      </c>
      <c r="C9138" t="str">
        <f>IFERROR(__xludf.DUMMYFUNCTION("""COMPUTED_VALUE"""),"Autohak")</f>
        <v>Autohak</v>
      </c>
    </row>
    <row r="9139">
      <c r="A9139" t="str">
        <f>IFERROR(__xludf.DUMMYFUNCTION("""COMPUTED_VALUE"""),"P44V")</f>
        <v>P44V</v>
      </c>
      <c r="B9139" s="226" t="str">
        <f>IFERROR(__xludf.DUMMYFUNCTION("""COMPUTED_VALUE"""),"09899")</f>
        <v>09899</v>
      </c>
      <c r="C9139" t="str">
        <f>IFERROR(__xludf.DUMMYFUNCTION("""COMPUTED_VALUE"""),"Autohak")</f>
        <v>Autohak</v>
      </c>
    </row>
    <row r="9140">
      <c r="A9140" t="str">
        <f>IFERROR(__xludf.DUMMYFUNCTION("""COMPUTED_VALUE"""),"F13")</f>
        <v>F13</v>
      </c>
      <c r="B9140" s="226" t="str">
        <f>IFERROR(__xludf.DUMMYFUNCTION("""COMPUTED_VALUE"""),"44203")</f>
        <v>44203</v>
      </c>
      <c r="C9140" t="str">
        <f>IFERROR(__xludf.DUMMYFUNCTION("""COMPUTED_VALUE"""),"Autohak")</f>
        <v>Autohak</v>
      </c>
    </row>
    <row r="9141">
      <c r="A9141" t="str">
        <f>IFERROR(__xludf.DUMMYFUNCTION("""COMPUTED_VALUE"""),"F13A")</f>
        <v>F13A</v>
      </c>
      <c r="B9141" s="226" t="str">
        <f>IFERROR(__xludf.DUMMYFUNCTION("""COMPUTED_VALUE"""),"46207")</f>
        <v>46207</v>
      </c>
      <c r="C9141" t="str">
        <f>IFERROR(__xludf.DUMMYFUNCTION("""COMPUTED_VALUE"""),"Autohak")</f>
        <v>Autohak</v>
      </c>
    </row>
    <row r="9142">
      <c r="A9142" t="str">
        <f>IFERROR(__xludf.DUMMYFUNCTION("""COMPUTED_VALUE"""),"F13")</f>
        <v>F13</v>
      </c>
      <c r="B9142" s="226" t="str">
        <f>IFERROR(__xludf.DUMMYFUNCTION("""COMPUTED_VALUE"""),"44203")</f>
        <v>44203</v>
      </c>
      <c r="C9142" t="str">
        <f>IFERROR(__xludf.DUMMYFUNCTION("""COMPUTED_VALUE"""),"Autohak")</f>
        <v>Autohak</v>
      </c>
    </row>
    <row r="9143">
      <c r="A9143" t="str">
        <f>IFERROR(__xludf.DUMMYFUNCTION("""COMPUTED_VALUE"""),"F13A")</f>
        <v>F13A</v>
      </c>
      <c r="B9143" s="226" t="str">
        <f>IFERROR(__xludf.DUMMYFUNCTION("""COMPUTED_VALUE"""),"46207")</f>
        <v>46207</v>
      </c>
      <c r="C9143" t="str">
        <f>IFERROR(__xludf.DUMMYFUNCTION("""COMPUTED_VALUE"""),"Autohak")</f>
        <v>Autohak</v>
      </c>
    </row>
    <row r="9144">
      <c r="A9144" t="str">
        <f>IFERROR(__xludf.DUMMYFUNCTION("""COMPUTED_VALUE"""),"F31")</f>
        <v>F31</v>
      </c>
      <c r="B9144" s="226" t="str">
        <f>IFERROR(__xludf.DUMMYFUNCTION("""COMPUTED_VALUE"""),"44227")</f>
        <v>44227</v>
      </c>
      <c r="C9144" t="str">
        <f>IFERROR(__xludf.DUMMYFUNCTION("""COMPUTED_VALUE"""),"Autohak")</f>
        <v>Autohak</v>
      </c>
    </row>
    <row r="9145">
      <c r="A9145" t="str">
        <f>IFERROR(__xludf.DUMMYFUNCTION("""COMPUTED_VALUE"""),"F31A")</f>
        <v>F31A</v>
      </c>
      <c r="B9145" s="226" t="str">
        <f>IFERROR(__xludf.DUMMYFUNCTION("""COMPUTED_VALUE"""),"46221")</f>
        <v>46221</v>
      </c>
      <c r="C9145" t="str">
        <f>IFERROR(__xludf.DUMMYFUNCTION("""COMPUTED_VALUE"""),"Autohak")</f>
        <v>Autohak</v>
      </c>
    </row>
    <row r="9146">
      <c r="A9146" t="str">
        <f>IFERROR(__xludf.DUMMYFUNCTION("""COMPUTED_VALUE"""),"F31V")</f>
        <v>F31V</v>
      </c>
      <c r="B9146" s="226" t="str">
        <f>IFERROR(__xludf.DUMMYFUNCTION("""COMPUTED_VALUE"""),"46993")</f>
        <v>46993</v>
      </c>
      <c r="C9146" t="str">
        <f>IFERROR(__xludf.DUMMYFUNCTION("""COMPUTED_VALUE"""),"Autohak")</f>
        <v>Autohak</v>
      </c>
    </row>
    <row r="9147">
      <c r="A9147" t="str">
        <f>IFERROR(__xludf.DUMMYFUNCTION("""COMPUTED_VALUE"""),"F38")</f>
        <v>F38</v>
      </c>
      <c r="B9147" s="226" t="str">
        <f>IFERROR(__xludf.DUMMYFUNCTION("""COMPUTED_VALUE"""),"44296")</f>
        <v>44296</v>
      </c>
      <c r="C9147" t="str">
        <f>IFERROR(__xludf.DUMMYFUNCTION("""COMPUTED_VALUE"""),"Autohak")</f>
        <v>Autohak</v>
      </c>
    </row>
    <row r="9148">
      <c r="A9148" t="str">
        <f>IFERROR(__xludf.DUMMYFUNCTION("""COMPUTED_VALUE"""),"F38A")</f>
        <v>F38A</v>
      </c>
      <c r="B9148" s="226" t="str">
        <f>IFERROR(__xludf.DUMMYFUNCTION("""COMPUTED_VALUE"""),"46290")</f>
        <v>46290</v>
      </c>
      <c r="C9148" t="str">
        <f>IFERROR(__xludf.DUMMYFUNCTION("""COMPUTED_VALUE"""),"Autohak")</f>
        <v>Autohak</v>
      </c>
    </row>
    <row r="9149">
      <c r="A9149" t="str">
        <f>IFERROR(__xludf.DUMMYFUNCTION("""COMPUTED_VALUE"""),"F38V")</f>
        <v>F38V</v>
      </c>
      <c r="B9149" s="226" t="str">
        <f>IFERROR(__xludf.DUMMYFUNCTION("""COMPUTED_VALUE"""),"46955")</f>
        <v>46955</v>
      </c>
      <c r="C9149" t="str">
        <f>IFERROR(__xludf.DUMMYFUNCTION("""COMPUTED_VALUE"""),"Autohak")</f>
        <v>Autohak</v>
      </c>
    </row>
    <row r="9150">
      <c r="A9150" t="str">
        <f>IFERROR(__xludf.DUMMYFUNCTION("""COMPUTED_VALUE"""),"F31")</f>
        <v>F31</v>
      </c>
      <c r="B9150" s="226" t="str">
        <f>IFERROR(__xludf.DUMMYFUNCTION("""COMPUTED_VALUE"""),"44227")</f>
        <v>44227</v>
      </c>
      <c r="C9150" t="str">
        <f>IFERROR(__xludf.DUMMYFUNCTION("""COMPUTED_VALUE"""),"Autohak")</f>
        <v>Autohak</v>
      </c>
    </row>
    <row r="9151">
      <c r="A9151" t="str">
        <f>IFERROR(__xludf.DUMMYFUNCTION("""COMPUTED_VALUE"""),"F31A")</f>
        <v>F31A</v>
      </c>
      <c r="B9151" s="226" t="str">
        <f>IFERROR(__xludf.DUMMYFUNCTION("""COMPUTED_VALUE"""),"46221")</f>
        <v>46221</v>
      </c>
      <c r="C9151" t="str">
        <f>IFERROR(__xludf.DUMMYFUNCTION("""COMPUTED_VALUE"""),"Autohak")</f>
        <v>Autohak</v>
      </c>
    </row>
    <row r="9152">
      <c r="A9152" t="str">
        <f>IFERROR(__xludf.DUMMYFUNCTION("""COMPUTED_VALUE"""),"F31V")</f>
        <v>F31V</v>
      </c>
      <c r="B9152" s="226" t="str">
        <f>IFERROR(__xludf.DUMMYFUNCTION("""COMPUTED_VALUE"""),"46993")</f>
        <v>46993</v>
      </c>
      <c r="C9152" t="str">
        <f>IFERROR(__xludf.DUMMYFUNCTION("""COMPUTED_VALUE"""),"Autohak")</f>
        <v>Autohak</v>
      </c>
    </row>
    <row r="9153">
      <c r="A9153" t="str">
        <f>IFERROR(__xludf.DUMMYFUNCTION("""COMPUTED_VALUE"""),"F50")</f>
        <v>F50</v>
      </c>
      <c r="B9153" s="226" t="str">
        <f>IFERROR(__xludf.DUMMYFUNCTION("""COMPUTED_VALUE"""),"44401")</f>
        <v>44401</v>
      </c>
      <c r="C9153" t="str">
        <f>IFERROR(__xludf.DUMMYFUNCTION("""COMPUTED_VALUE"""),"Autohak")</f>
        <v>Autohak</v>
      </c>
    </row>
    <row r="9154">
      <c r="A9154" t="str">
        <f>IFERROR(__xludf.DUMMYFUNCTION("""COMPUTED_VALUE"""),"F50A")</f>
        <v>F50A</v>
      </c>
      <c r="B9154" s="226" t="str">
        <f>IFERROR(__xludf.DUMMYFUNCTION("""COMPUTED_VALUE"""),"46412")</f>
        <v>46412</v>
      </c>
      <c r="C9154" t="str">
        <f>IFERROR(__xludf.DUMMYFUNCTION("""COMPUTED_VALUE"""),"Autohak")</f>
        <v>Autohak</v>
      </c>
    </row>
    <row r="9155">
      <c r="A9155" t="str">
        <f>IFERROR(__xludf.DUMMYFUNCTION("""COMPUTED_VALUE"""),"F50V")</f>
        <v>F50V</v>
      </c>
      <c r="B9155" s="226" t="str">
        <f>IFERROR(__xludf.DUMMYFUNCTION("""COMPUTED_VALUE"""),"46825")</f>
        <v>46825</v>
      </c>
      <c r="C9155" t="str">
        <f>IFERROR(__xludf.DUMMYFUNCTION("""COMPUTED_VALUE"""),"Autohak")</f>
        <v>Autohak</v>
      </c>
    </row>
    <row r="9156">
      <c r="A9156" t="str">
        <f>IFERROR(__xludf.DUMMYFUNCTION("""COMPUTED_VALUE"""),"F31")</f>
        <v>F31</v>
      </c>
      <c r="B9156" s="226" t="str">
        <f>IFERROR(__xludf.DUMMYFUNCTION("""COMPUTED_VALUE"""),"44227")</f>
        <v>44227</v>
      </c>
      <c r="C9156" t="str">
        <f>IFERROR(__xludf.DUMMYFUNCTION("""COMPUTED_VALUE"""),"Autohak")</f>
        <v>Autohak</v>
      </c>
    </row>
    <row r="9157">
      <c r="A9157" t="str">
        <f>IFERROR(__xludf.DUMMYFUNCTION("""COMPUTED_VALUE"""),"F31A")</f>
        <v>F31A</v>
      </c>
      <c r="B9157" s="226" t="str">
        <f>IFERROR(__xludf.DUMMYFUNCTION("""COMPUTED_VALUE"""),"46221")</f>
        <v>46221</v>
      </c>
      <c r="C9157" t="str">
        <f>IFERROR(__xludf.DUMMYFUNCTION("""COMPUTED_VALUE"""),"Autohak")</f>
        <v>Autohak</v>
      </c>
    </row>
    <row r="9158">
      <c r="A9158" t="str">
        <f>IFERROR(__xludf.DUMMYFUNCTION("""COMPUTED_VALUE"""),"F31V")</f>
        <v>F31V</v>
      </c>
      <c r="B9158" s="226" t="str">
        <f>IFERROR(__xludf.DUMMYFUNCTION("""COMPUTED_VALUE"""),"46993")</f>
        <v>46993</v>
      </c>
      <c r="C9158" t="str">
        <f>IFERROR(__xludf.DUMMYFUNCTION("""COMPUTED_VALUE"""),"Autohak")</f>
        <v>Autohak</v>
      </c>
    </row>
    <row r="9159">
      <c r="A9159" t="str">
        <f>IFERROR(__xludf.DUMMYFUNCTION("""COMPUTED_VALUE"""),"F50")</f>
        <v>F50</v>
      </c>
      <c r="B9159" s="226" t="str">
        <f>IFERROR(__xludf.DUMMYFUNCTION("""COMPUTED_VALUE"""),"44401")</f>
        <v>44401</v>
      </c>
      <c r="C9159" t="str">
        <f>IFERROR(__xludf.DUMMYFUNCTION("""COMPUTED_VALUE"""),"Autohak")</f>
        <v>Autohak</v>
      </c>
    </row>
    <row r="9160">
      <c r="A9160" t="str">
        <f>IFERROR(__xludf.DUMMYFUNCTION("""COMPUTED_VALUE"""),"F50A")</f>
        <v>F50A</v>
      </c>
      <c r="B9160" s="226" t="str">
        <f>IFERROR(__xludf.DUMMYFUNCTION("""COMPUTED_VALUE"""),"46412")</f>
        <v>46412</v>
      </c>
      <c r="C9160" t="str">
        <f>IFERROR(__xludf.DUMMYFUNCTION("""COMPUTED_VALUE"""),"Autohak")</f>
        <v>Autohak</v>
      </c>
    </row>
    <row r="9161">
      <c r="A9161" t="str">
        <f>IFERROR(__xludf.DUMMYFUNCTION("""COMPUTED_VALUE"""),"F50V")</f>
        <v>F50V</v>
      </c>
      <c r="B9161" s="226" t="str">
        <f>IFERROR(__xludf.DUMMYFUNCTION("""COMPUTED_VALUE"""),"46825")</f>
        <v>46825</v>
      </c>
      <c r="C9161" t="str">
        <f>IFERROR(__xludf.DUMMYFUNCTION("""COMPUTED_VALUE"""),"Autohak")</f>
        <v>Autohak</v>
      </c>
    </row>
    <row r="9162">
      <c r="A9162" t="str">
        <f>IFERROR(__xludf.DUMMYFUNCTION("""COMPUTED_VALUE"""),"CH47")</f>
        <v>CH47</v>
      </c>
      <c r="B9162" s="226" t="str">
        <f>IFERROR(__xludf.DUMMYFUNCTION("""COMPUTED_VALUE"""),"07000")</f>
        <v>07000</v>
      </c>
      <c r="C9162" t="str">
        <f>IFERROR(__xludf.DUMMYFUNCTION("""COMPUTED_VALUE"""),"Autohak")</f>
        <v>Autohak</v>
      </c>
    </row>
    <row r="9163">
      <c r="A9163" t="str">
        <f>IFERROR(__xludf.DUMMYFUNCTION("""COMPUTED_VALUE"""),"K46")</f>
        <v>K46</v>
      </c>
      <c r="B9163" s="226" t="str">
        <f>IFERROR(__xludf.DUMMYFUNCTION("""COMPUTED_VALUE"""),"69275")</f>
        <v>69275</v>
      </c>
      <c r="C9163" t="str">
        <f>IFERROR(__xludf.DUMMYFUNCTION("""COMPUTED_VALUE"""),"Autohak")</f>
        <v>Autohak</v>
      </c>
    </row>
    <row r="9164">
      <c r="A9164" t="str">
        <f>IFERROR(__xludf.DUMMYFUNCTION("""COMPUTED_VALUE"""),"K46A")</f>
        <v>K46A</v>
      </c>
      <c r="B9164" s="226" t="str">
        <f>IFERROR(__xludf.DUMMYFUNCTION("""COMPUTED_VALUE"""),"72275")</f>
        <v>72275</v>
      </c>
      <c r="C9164" t="str">
        <f>IFERROR(__xludf.DUMMYFUNCTION("""COMPUTED_VALUE"""),"Autohak")</f>
        <v>Autohak</v>
      </c>
    </row>
    <row r="9165">
      <c r="A9165" t="str">
        <f>IFERROR(__xludf.DUMMYFUNCTION("""COMPUTED_VALUE"""),"K46V")</f>
        <v>K46V</v>
      </c>
      <c r="B9165" s="226" t="str">
        <f>IFERROR(__xludf.DUMMYFUNCTION("""COMPUTED_VALUE"""),"72978")</f>
        <v>72978</v>
      </c>
      <c r="C9165" t="str">
        <f>IFERROR(__xludf.DUMMYFUNCTION("""COMPUTED_VALUE"""),"Autohak")</f>
        <v>Autohak</v>
      </c>
    </row>
    <row r="9166">
      <c r="A9166" t="str">
        <f>IFERROR(__xludf.DUMMYFUNCTION("""COMPUTED_VALUE"""),"K67")</f>
        <v>K67</v>
      </c>
      <c r="B9166" s="226" t="str">
        <f>IFERROR(__xludf.DUMMYFUNCTION("""COMPUTED_VALUE"""),"69541")</f>
        <v>69541</v>
      </c>
      <c r="C9166" t="str">
        <f>IFERROR(__xludf.DUMMYFUNCTION("""COMPUTED_VALUE"""),"Autohak")</f>
        <v>Autohak</v>
      </c>
    </row>
    <row r="9167">
      <c r="A9167" t="str">
        <f>IFERROR(__xludf.DUMMYFUNCTION("""COMPUTED_VALUE"""),"K67V")</f>
        <v>K67V</v>
      </c>
      <c r="B9167" s="226" t="str">
        <f>IFERROR(__xludf.DUMMYFUNCTION("""COMPUTED_VALUE"""),"72763")</f>
        <v>72763</v>
      </c>
      <c r="C9167" t="str">
        <f>IFERROR(__xludf.DUMMYFUNCTION("""COMPUTED_VALUE"""),"Autohak")</f>
        <v>Autohak</v>
      </c>
    </row>
    <row r="9168">
      <c r="A9168" t="str">
        <f>IFERROR(__xludf.DUMMYFUNCTION("""COMPUTED_VALUE"""),"G05")</f>
        <v>G05</v>
      </c>
      <c r="B9168" s="226" t="str">
        <f>IFERROR(__xludf.DUMMYFUNCTION("""COMPUTED_VALUE"""),"49024")</f>
        <v>49024</v>
      </c>
      <c r="C9168" t="str">
        <f>IFERROR(__xludf.DUMMYFUNCTION("""COMPUTED_VALUE"""),"Autohak")</f>
        <v>Autohak</v>
      </c>
    </row>
    <row r="9169">
      <c r="A9169" t="str">
        <f>IFERROR(__xludf.DUMMYFUNCTION("""COMPUTED_VALUE"""),"G05A")</f>
        <v>G05A</v>
      </c>
      <c r="B9169" s="226" t="str">
        <f>IFERROR(__xludf.DUMMYFUNCTION("""COMPUTED_VALUE"""),"52024")</f>
        <v>52024</v>
      </c>
      <c r="C9169" t="str">
        <f>IFERROR(__xludf.DUMMYFUNCTION("""COMPUTED_VALUE"""),"Autohak")</f>
        <v>Autohak</v>
      </c>
    </row>
    <row r="9170">
      <c r="A9170" t="str">
        <f>IFERROR(__xludf.DUMMYFUNCTION("""COMPUTED_VALUE"""),"G79")</f>
        <v>G79</v>
      </c>
      <c r="B9170" s="226" t="str">
        <f>IFERROR(__xludf.DUMMYFUNCTION("""COMPUTED_VALUE"""),"49635")</f>
        <v>49635</v>
      </c>
      <c r="C9170" t="str">
        <f>IFERROR(__xludf.DUMMYFUNCTION("""COMPUTED_VALUE"""),"Autohak")</f>
        <v>Autohak</v>
      </c>
    </row>
    <row r="9171">
      <c r="A9171" t="str">
        <f>IFERROR(__xludf.DUMMYFUNCTION("""COMPUTED_VALUE"""),"G79A")</f>
        <v>G79A</v>
      </c>
      <c r="B9171" s="226" t="str">
        <f>IFERROR(__xludf.DUMMYFUNCTION("""COMPUTED_VALUE"""),"52598")</f>
        <v>52598</v>
      </c>
      <c r="C9171" t="str">
        <f>IFERROR(__xludf.DUMMYFUNCTION("""COMPUTED_VALUE"""),"Autohak")</f>
        <v>Autohak</v>
      </c>
    </row>
    <row r="9172">
      <c r="A9172" t="str">
        <f>IFERROR(__xludf.DUMMYFUNCTION("""COMPUTED_VALUE"""),"G79V")</f>
        <v>G79V</v>
      </c>
      <c r="B9172" s="226" t="str">
        <f>IFERROR(__xludf.DUMMYFUNCTION("""COMPUTED_VALUE"""),"52895")</f>
        <v>52895</v>
      </c>
      <c r="C9172" t="str">
        <f>IFERROR(__xludf.DUMMYFUNCTION("""COMPUTED_VALUE"""),"Autohak")</f>
        <v>Autohak</v>
      </c>
    </row>
    <row r="9173">
      <c r="A9173" t="str">
        <f>IFERROR(__xludf.DUMMYFUNCTION("""COMPUTED_VALUE"""),"G34")</f>
        <v>G34</v>
      </c>
      <c r="B9173" s="226" t="str">
        <f>IFERROR(__xludf.DUMMYFUNCTION("""COMPUTED_VALUE"""),"49048")</f>
        <v>49048</v>
      </c>
      <c r="C9173" t="str">
        <f>IFERROR(__xludf.DUMMYFUNCTION("""COMPUTED_VALUE"""),"Autohak")</f>
        <v>Autohak</v>
      </c>
    </row>
    <row r="9174">
      <c r="A9174" t="str">
        <f>IFERROR(__xludf.DUMMYFUNCTION("""COMPUTED_VALUE"""),"G34A")</f>
        <v>G34A</v>
      </c>
      <c r="B9174" s="226" t="str">
        <f>IFERROR(__xludf.DUMMYFUNCTION("""COMPUTED_VALUE"""),"52048")</f>
        <v>52048</v>
      </c>
      <c r="C9174" t="str">
        <f>IFERROR(__xludf.DUMMYFUNCTION("""COMPUTED_VALUE"""),"Autohak")</f>
        <v>Autohak</v>
      </c>
    </row>
    <row r="9175">
      <c r="A9175" t="str">
        <f>IFERROR(__xludf.DUMMYFUNCTION("""COMPUTED_VALUE"""),"G29")</f>
        <v>G29</v>
      </c>
      <c r="B9175" s="226" t="str">
        <f>IFERROR(__xludf.DUMMYFUNCTION("""COMPUTED_VALUE"""),"49055")</f>
        <v>49055</v>
      </c>
      <c r="C9175" t="str">
        <f>IFERROR(__xludf.DUMMYFUNCTION("""COMPUTED_VALUE"""),"Autohak")</f>
        <v>Autohak</v>
      </c>
    </row>
    <row r="9176">
      <c r="A9176" t="str">
        <f>IFERROR(__xludf.DUMMYFUNCTION("""COMPUTED_VALUE"""),"G29A")</f>
        <v>G29A</v>
      </c>
      <c r="B9176" s="226" t="str">
        <f>IFERROR(__xludf.DUMMYFUNCTION("""COMPUTED_VALUE"""),"52055")</f>
        <v>52055</v>
      </c>
      <c r="C9176" t="str">
        <f>IFERROR(__xludf.DUMMYFUNCTION("""COMPUTED_VALUE"""),"Autohak")</f>
        <v>Autohak</v>
      </c>
    </row>
    <row r="9177">
      <c r="A9177" t="str">
        <f>IFERROR(__xludf.DUMMYFUNCTION("""COMPUTED_VALUE"""),"G29")</f>
        <v>G29</v>
      </c>
      <c r="B9177" s="226" t="str">
        <f>IFERROR(__xludf.DUMMYFUNCTION("""COMPUTED_VALUE"""),"49055")</f>
        <v>49055</v>
      </c>
      <c r="C9177" t="str">
        <f>IFERROR(__xludf.DUMMYFUNCTION("""COMPUTED_VALUE"""),"Autohak")</f>
        <v>Autohak</v>
      </c>
    </row>
    <row r="9178">
      <c r="A9178" t="str">
        <f>IFERROR(__xludf.DUMMYFUNCTION("""COMPUTED_VALUE"""),"G29A")</f>
        <v>G29A</v>
      </c>
      <c r="B9178" s="226" t="str">
        <f>IFERROR(__xludf.DUMMYFUNCTION("""COMPUTED_VALUE"""),"52055")</f>
        <v>52055</v>
      </c>
      <c r="C9178" t="str">
        <f>IFERROR(__xludf.DUMMYFUNCTION("""COMPUTED_VALUE"""),"Autohak")</f>
        <v>Autohak</v>
      </c>
    </row>
    <row r="9179">
      <c r="A9179" t="str">
        <f>IFERROR(__xludf.DUMMYFUNCTION("""COMPUTED_VALUE"""),"G50")</f>
        <v>G50</v>
      </c>
      <c r="B9179" s="226" t="str">
        <f>IFERROR(__xludf.DUMMYFUNCTION("""COMPUTED_VALUE"""),"49345")</f>
        <v>49345</v>
      </c>
      <c r="C9179" t="str">
        <f>IFERROR(__xludf.DUMMYFUNCTION("""COMPUTED_VALUE"""),"Autohak")</f>
        <v>Autohak</v>
      </c>
    </row>
    <row r="9180">
      <c r="A9180" t="str">
        <f>IFERROR(__xludf.DUMMYFUNCTION("""COMPUTED_VALUE"""),"G50A")</f>
        <v>G50A</v>
      </c>
      <c r="B9180" s="226" t="str">
        <f>IFERROR(__xludf.DUMMYFUNCTION("""COMPUTED_VALUE"""),"52345")</f>
        <v>52345</v>
      </c>
      <c r="C9180" t="str">
        <f>IFERROR(__xludf.DUMMYFUNCTION("""COMPUTED_VALUE"""),"Autohak")</f>
        <v>Autohak</v>
      </c>
    </row>
    <row r="9181">
      <c r="A9181" t="str">
        <f>IFERROR(__xludf.DUMMYFUNCTION("""COMPUTED_VALUE"""),"G50")</f>
        <v>G50</v>
      </c>
      <c r="B9181" s="226" t="str">
        <f>IFERROR(__xludf.DUMMYFUNCTION("""COMPUTED_VALUE"""),"49345")</f>
        <v>49345</v>
      </c>
      <c r="C9181" t="str">
        <f>IFERROR(__xludf.DUMMYFUNCTION("""COMPUTED_VALUE"""),"Autohak")</f>
        <v>Autohak</v>
      </c>
    </row>
    <row r="9182">
      <c r="A9182" t="str">
        <f>IFERROR(__xludf.DUMMYFUNCTION("""COMPUTED_VALUE"""),"G50A")</f>
        <v>G50A</v>
      </c>
      <c r="B9182" s="226" t="str">
        <f>IFERROR(__xludf.DUMMYFUNCTION("""COMPUTED_VALUE"""),"52345")</f>
        <v>52345</v>
      </c>
      <c r="C9182" t="str">
        <f>IFERROR(__xludf.DUMMYFUNCTION("""COMPUTED_VALUE"""),"Autohak")</f>
        <v>Autohak</v>
      </c>
    </row>
    <row r="9183">
      <c r="A9183" t="str">
        <f>IFERROR(__xludf.DUMMYFUNCTION("""COMPUTED_VALUE"""),"G74")</f>
        <v>G74</v>
      </c>
      <c r="B9183" s="226" t="str">
        <f>IFERROR(__xludf.DUMMYFUNCTION("""COMPUTED_VALUE"""),"49581")</f>
        <v>49581</v>
      </c>
      <c r="C9183" t="str">
        <f>IFERROR(__xludf.DUMMYFUNCTION("""COMPUTED_VALUE"""),"Autohak")</f>
        <v>Autohak</v>
      </c>
    </row>
    <row r="9184">
      <c r="A9184" t="str">
        <f>IFERROR(__xludf.DUMMYFUNCTION("""COMPUTED_VALUE"""),"G74A")</f>
        <v>G74A</v>
      </c>
      <c r="B9184" s="226" t="str">
        <f>IFERROR(__xludf.DUMMYFUNCTION("""COMPUTED_VALUE"""),"52543")</f>
        <v>52543</v>
      </c>
      <c r="C9184" t="str">
        <f>IFERROR(__xludf.DUMMYFUNCTION("""COMPUTED_VALUE"""),"Autohak")</f>
        <v>Autohak</v>
      </c>
    </row>
    <row r="9185">
      <c r="A9185" t="str">
        <f>IFERROR(__xludf.DUMMYFUNCTION("""COMPUTED_VALUE"""),"G74")</f>
        <v>G74</v>
      </c>
      <c r="B9185" s="226" t="str">
        <f>IFERROR(__xludf.DUMMYFUNCTION("""COMPUTED_VALUE"""),"49581")</f>
        <v>49581</v>
      </c>
      <c r="C9185" t="str">
        <f>IFERROR(__xludf.DUMMYFUNCTION("""COMPUTED_VALUE"""),"Autohak")</f>
        <v>Autohak</v>
      </c>
    </row>
    <row r="9186">
      <c r="A9186" t="str">
        <f>IFERROR(__xludf.DUMMYFUNCTION("""COMPUTED_VALUE"""),"G74A")</f>
        <v>G74A</v>
      </c>
      <c r="B9186" s="226" t="str">
        <f>IFERROR(__xludf.DUMMYFUNCTION("""COMPUTED_VALUE"""),"52543")</f>
        <v>52543</v>
      </c>
      <c r="C9186" t="str">
        <f>IFERROR(__xludf.DUMMYFUNCTION("""COMPUTED_VALUE"""),"Autohak")</f>
        <v>Autohak</v>
      </c>
    </row>
    <row r="9187">
      <c r="A9187" t="str">
        <f>IFERROR(__xludf.DUMMYFUNCTION("""COMPUTED_VALUE"""),"G74")</f>
        <v>G74</v>
      </c>
      <c r="B9187" s="226" t="str">
        <f>IFERROR(__xludf.DUMMYFUNCTION("""COMPUTED_VALUE"""),"49581")</f>
        <v>49581</v>
      </c>
      <c r="C9187" t="str">
        <f>IFERROR(__xludf.DUMMYFUNCTION("""COMPUTED_VALUE"""),"Autohak")</f>
        <v>Autohak</v>
      </c>
    </row>
    <row r="9188">
      <c r="A9188" t="str">
        <f>IFERROR(__xludf.DUMMYFUNCTION("""COMPUTED_VALUE"""),"G74A")</f>
        <v>G74A</v>
      </c>
      <c r="B9188" s="226" t="str">
        <f>IFERROR(__xludf.DUMMYFUNCTION("""COMPUTED_VALUE"""),"52543")</f>
        <v>52543</v>
      </c>
      <c r="C9188" t="str">
        <f>IFERROR(__xludf.DUMMYFUNCTION("""COMPUTED_VALUE"""),"Autohak")</f>
        <v>Autohak</v>
      </c>
    </row>
    <row r="9189">
      <c r="A9189" t="str">
        <f>IFERROR(__xludf.DUMMYFUNCTION("""COMPUTED_VALUE"""),"G56")</f>
        <v>G56</v>
      </c>
      <c r="B9189" s="226" t="str">
        <f>IFERROR(__xludf.DUMMYFUNCTION("""COMPUTED_VALUE"""),"49406")</f>
        <v>49406</v>
      </c>
      <c r="C9189" t="str">
        <f>IFERROR(__xludf.DUMMYFUNCTION("""COMPUTED_VALUE"""),"Autohak")</f>
        <v>Autohak</v>
      </c>
    </row>
    <row r="9190">
      <c r="A9190" t="str">
        <f>IFERROR(__xludf.DUMMYFUNCTION("""COMPUTED_VALUE"""),"G56A")</f>
        <v>G56A</v>
      </c>
      <c r="B9190" s="226" t="str">
        <f>IFERROR(__xludf.DUMMYFUNCTION("""COMPUTED_VALUE"""),"52406")</f>
        <v>52406</v>
      </c>
      <c r="C9190" t="str">
        <f>IFERROR(__xludf.DUMMYFUNCTION("""COMPUTED_VALUE"""),"Autohak")</f>
        <v>Autohak</v>
      </c>
    </row>
    <row r="9191">
      <c r="A9191" t="str">
        <f>IFERROR(__xludf.DUMMYFUNCTION("""COMPUTED_VALUE"""),"G76")</f>
        <v>G76</v>
      </c>
      <c r="B9191" s="226" t="str">
        <f>IFERROR(__xludf.DUMMYFUNCTION("""COMPUTED_VALUE"""),"49604")</f>
        <v>49604</v>
      </c>
      <c r="C9191" t="str">
        <f>IFERROR(__xludf.DUMMYFUNCTION("""COMPUTED_VALUE"""),"Autohak")</f>
        <v>Autohak</v>
      </c>
    </row>
    <row r="9192">
      <c r="A9192" t="str">
        <f>IFERROR(__xludf.DUMMYFUNCTION("""COMPUTED_VALUE"""),"G76A")</f>
        <v>G76A</v>
      </c>
      <c r="B9192" s="226" t="str">
        <f>IFERROR(__xludf.DUMMYFUNCTION("""COMPUTED_VALUE"""),"52567")</f>
        <v>52567</v>
      </c>
      <c r="C9192" t="str">
        <f>IFERROR(__xludf.DUMMYFUNCTION("""COMPUTED_VALUE"""),"Autohak")</f>
        <v>Autohak</v>
      </c>
    </row>
    <row r="9193">
      <c r="A9193" t="str">
        <f>IFERROR(__xludf.DUMMYFUNCTION("""COMPUTED_VALUE"""),"G76")</f>
        <v>G76</v>
      </c>
      <c r="B9193" s="226" t="str">
        <f>IFERROR(__xludf.DUMMYFUNCTION("""COMPUTED_VALUE"""),"49604")</f>
        <v>49604</v>
      </c>
      <c r="C9193" t="str">
        <f>IFERROR(__xludf.DUMMYFUNCTION("""COMPUTED_VALUE"""),"Autohak")</f>
        <v>Autohak</v>
      </c>
    </row>
    <row r="9194">
      <c r="A9194" t="str">
        <f>IFERROR(__xludf.DUMMYFUNCTION("""COMPUTED_VALUE"""),"G76A")</f>
        <v>G76A</v>
      </c>
      <c r="B9194" s="226" t="str">
        <f>IFERROR(__xludf.DUMMYFUNCTION("""COMPUTED_VALUE"""),"52567")</f>
        <v>52567</v>
      </c>
      <c r="C9194" t="str">
        <f>IFERROR(__xludf.DUMMYFUNCTION("""COMPUTED_VALUE"""),"Autohak")</f>
        <v>Autohak</v>
      </c>
    </row>
    <row r="9195">
      <c r="A9195" t="str">
        <f>IFERROR(__xludf.DUMMYFUNCTION("""COMPUTED_VALUE"""),"G26")</f>
        <v>G26</v>
      </c>
      <c r="B9195" s="226" t="str">
        <f>IFERROR(__xludf.DUMMYFUNCTION("""COMPUTED_VALUE"""),"49062")</f>
        <v>49062</v>
      </c>
      <c r="C9195" t="str">
        <f>IFERROR(__xludf.DUMMYFUNCTION("""COMPUTED_VALUE"""),"Autohak")</f>
        <v>Autohak</v>
      </c>
    </row>
    <row r="9196">
      <c r="A9196" t="str">
        <f>IFERROR(__xludf.DUMMYFUNCTION("""COMPUTED_VALUE"""),"G49")</f>
        <v>G49</v>
      </c>
      <c r="B9196" s="226" t="str">
        <f>IFERROR(__xludf.DUMMYFUNCTION("""COMPUTED_VALUE"""),"49338")</f>
        <v>49338</v>
      </c>
      <c r="C9196" t="str">
        <f>IFERROR(__xludf.DUMMYFUNCTION("""COMPUTED_VALUE"""),"Autohak")</f>
        <v>Autohak</v>
      </c>
    </row>
    <row r="9197">
      <c r="A9197" t="str">
        <f>IFERROR(__xludf.DUMMYFUNCTION("""COMPUTED_VALUE"""),"G49A")</f>
        <v>G49A</v>
      </c>
      <c r="B9197" s="226" t="str">
        <f>IFERROR(__xludf.DUMMYFUNCTION("""COMPUTED_VALUE"""),"52338")</f>
        <v>52338</v>
      </c>
      <c r="C9197" t="str">
        <f>IFERROR(__xludf.DUMMYFUNCTION("""COMPUTED_VALUE"""),"Autohak")</f>
        <v>Autohak</v>
      </c>
    </row>
    <row r="9198">
      <c r="A9198" t="str">
        <f>IFERROR(__xludf.DUMMYFUNCTION("""COMPUTED_VALUE"""),"G85")</f>
        <v>G85</v>
      </c>
      <c r="B9198" s="226" t="str">
        <f>IFERROR(__xludf.DUMMYFUNCTION("""COMPUTED_VALUE"""),"49697")</f>
        <v>49697</v>
      </c>
      <c r="C9198" t="str">
        <f>IFERROR(__xludf.DUMMYFUNCTION("""COMPUTED_VALUE"""),"Autohak")</f>
        <v>Autohak</v>
      </c>
    </row>
    <row r="9199">
      <c r="A9199" t="str">
        <f>IFERROR(__xludf.DUMMYFUNCTION("""COMPUTED_VALUE"""),"G85A")</f>
        <v>G85A</v>
      </c>
      <c r="B9199" s="226" t="str">
        <f>IFERROR(__xludf.DUMMYFUNCTION("""COMPUTED_VALUE"""),"52666")</f>
        <v>52666</v>
      </c>
      <c r="C9199" t="str">
        <f>IFERROR(__xludf.DUMMYFUNCTION("""COMPUTED_VALUE"""),"Autohak")</f>
        <v>Autohak</v>
      </c>
    </row>
    <row r="9200">
      <c r="A9200" t="str">
        <f>IFERROR(__xludf.DUMMYFUNCTION("""COMPUTED_VALUE"""),"G85V")</f>
        <v>G85V</v>
      </c>
      <c r="B9200" s="226" t="str">
        <f>IFERROR(__xludf.DUMMYFUNCTION("""COMPUTED_VALUE"""),"52840")</f>
        <v>52840</v>
      </c>
      <c r="C9200" t="str">
        <f>IFERROR(__xludf.DUMMYFUNCTION("""COMPUTED_VALUE"""),"Autohak")</f>
        <v>Autohak</v>
      </c>
    </row>
    <row r="9201">
      <c r="A9201" t="str">
        <f>IFERROR(__xludf.DUMMYFUNCTION("""COMPUTED_VALUE"""),"G68")</f>
        <v>G68</v>
      </c>
      <c r="B9201" s="226" t="str">
        <f>IFERROR(__xludf.DUMMYFUNCTION("""COMPUTED_VALUE"""),"49529")</f>
        <v>49529</v>
      </c>
      <c r="C9201" t="str">
        <f>IFERROR(__xludf.DUMMYFUNCTION("""COMPUTED_VALUE"""),"Autohak")</f>
        <v>Autohak</v>
      </c>
    </row>
    <row r="9202">
      <c r="A9202" t="str">
        <f>IFERROR(__xludf.DUMMYFUNCTION("""COMPUTED_VALUE"""),"G68A")</f>
        <v>G68A</v>
      </c>
      <c r="B9202" s="226" t="str">
        <f>IFERROR(__xludf.DUMMYFUNCTION("""COMPUTED_VALUE"""),"52499")</f>
        <v>52499</v>
      </c>
      <c r="C9202" t="str">
        <f>IFERROR(__xludf.DUMMYFUNCTION("""COMPUTED_VALUE"""),"Autohak")</f>
        <v>Autohak</v>
      </c>
    </row>
    <row r="9203">
      <c r="A9203" t="str">
        <f>IFERROR(__xludf.DUMMYFUNCTION("""COMPUTED_VALUE"""),"G68V")</f>
        <v>G68V</v>
      </c>
      <c r="B9203" s="226" t="str">
        <f>IFERROR(__xludf.DUMMYFUNCTION("""COMPUTED_VALUE"""),"52932")</f>
        <v>52932</v>
      </c>
      <c r="C9203" t="str">
        <f>IFERROR(__xludf.DUMMYFUNCTION("""COMPUTED_VALUE"""),"Autohak")</f>
        <v>Autohak</v>
      </c>
    </row>
    <row r="9204">
      <c r="A9204" t="str">
        <f>IFERROR(__xludf.DUMMYFUNCTION("""COMPUTED_VALUE"""),"G59")</f>
        <v>G59</v>
      </c>
      <c r="B9204" s="226" t="str">
        <f>IFERROR(__xludf.DUMMYFUNCTION("""COMPUTED_VALUE"""),"49437")</f>
        <v>49437</v>
      </c>
      <c r="C9204" t="str">
        <f>IFERROR(__xludf.DUMMYFUNCTION("""COMPUTED_VALUE"""),"Autohak")</f>
        <v>Autohak</v>
      </c>
    </row>
    <row r="9205">
      <c r="A9205" t="str">
        <f>IFERROR(__xludf.DUMMYFUNCTION("""COMPUTED_VALUE"""),"G59A")</f>
        <v>G59A</v>
      </c>
      <c r="B9205" s="226" t="str">
        <f>IFERROR(__xludf.DUMMYFUNCTION("""COMPUTED_VALUE"""),"52437")</f>
        <v>52437</v>
      </c>
      <c r="C9205" t="str">
        <f>IFERROR(__xludf.DUMMYFUNCTION("""COMPUTED_VALUE"""),"Autohak")</f>
        <v>Autohak</v>
      </c>
    </row>
    <row r="9206">
      <c r="A9206" t="str">
        <f>IFERROR(__xludf.DUMMYFUNCTION("""COMPUTED_VALUE"""),"G82")</f>
        <v>G82</v>
      </c>
      <c r="B9206" s="226" t="str">
        <f>IFERROR(__xludf.DUMMYFUNCTION("""COMPUTED_VALUE"""),"49666")</f>
        <v>49666</v>
      </c>
      <c r="C9206" t="str">
        <f>IFERROR(__xludf.DUMMYFUNCTION("""COMPUTED_VALUE"""),"Autohak")</f>
        <v>Autohak</v>
      </c>
    </row>
    <row r="9207">
      <c r="A9207" t="str">
        <f>IFERROR(__xludf.DUMMYFUNCTION("""COMPUTED_VALUE"""),"G82A")</f>
        <v>G82A</v>
      </c>
      <c r="B9207" s="226" t="str">
        <f>IFERROR(__xludf.DUMMYFUNCTION("""COMPUTED_VALUE"""),"52635")</f>
        <v>52635</v>
      </c>
      <c r="C9207" t="str">
        <f>IFERROR(__xludf.DUMMYFUNCTION("""COMPUTED_VALUE"""),"Autohak")</f>
        <v>Autohak</v>
      </c>
    </row>
    <row r="9208">
      <c r="A9208" t="str">
        <f>IFERROR(__xludf.DUMMYFUNCTION("""COMPUTED_VALUE"""),"G82V")</f>
        <v>G82V</v>
      </c>
      <c r="B9208" s="226" t="str">
        <f>IFERROR(__xludf.DUMMYFUNCTION("""COMPUTED_VALUE"""),"52864")</f>
        <v>52864</v>
      </c>
      <c r="C9208" t="str">
        <f>IFERROR(__xludf.DUMMYFUNCTION("""COMPUTED_VALUE"""),"Autohak")</f>
        <v>Autohak</v>
      </c>
    </row>
    <row r="9209">
      <c r="A9209" t="str">
        <f>IFERROR(__xludf.DUMMYFUNCTION("""COMPUTED_VALUE"""),"G60")</f>
        <v>G60</v>
      </c>
      <c r="B9209" s="226" t="str">
        <f>IFERROR(__xludf.DUMMYFUNCTION("""COMPUTED_VALUE"""),"49444")</f>
        <v>49444</v>
      </c>
      <c r="C9209" t="str">
        <f>IFERROR(__xludf.DUMMYFUNCTION("""COMPUTED_VALUE"""),"Autohak")</f>
        <v>Autohak</v>
      </c>
    </row>
    <row r="9210">
      <c r="A9210" t="str">
        <f>IFERROR(__xludf.DUMMYFUNCTION("""COMPUTED_VALUE"""),"G60A")</f>
        <v>G60A</v>
      </c>
      <c r="B9210" s="226" t="str">
        <f>IFERROR(__xludf.DUMMYFUNCTION("""COMPUTED_VALUE"""),"52444")</f>
        <v>52444</v>
      </c>
      <c r="C9210" t="str">
        <f>IFERROR(__xludf.DUMMYFUNCTION("""COMPUTED_VALUE"""),"Autohak")</f>
        <v>Autohak</v>
      </c>
    </row>
    <row r="9211">
      <c r="A9211" t="str">
        <f>IFERROR(__xludf.DUMMYFUNCTION("""COMPUTED_VALUE"""),"G60V")</f>
        <v>G60V</v>
      </c>
      <c r="B9211" s="226" t="str">
        <f>IFERROR(__xludf.DUMMYFUNCTION("""COMPUTED_VALUE"""),"52987")</f>
        <v>52987</v>
      </c>
      <c r="C9211" t="str">
        <f>IFERROR(__xludf.DUMMYFUNCTION("""COMPUTED_VALUE"""),"Autohak")</f>
        <v>Autohak</v>
      </c>
    </row>
    <row r="9212">
      <c r="A9212" t="str">
        <f>IFERROR(__xludf.DUMMYFUNCTION("""COMPUTED_VALUE"""),"G92")</f>
        <v>G92</v>
      </c>
      <c r="B9212" s="226" t="str">
        <f>IFERROR(__xludf.DUMMYFUNCTION("""COMPUTED_VALUE"""),"49765")</f>
        <v>49765</v>
      </c>
      <c r="C9212" t="str">
        <f>IFERROR(__xludf.DUMMYFUNCTION("""COMPUTED_VALUE"""),"Autohak")</f>
        <v>Autohak</v>
      </c>
    </row>
    <row r="9213">
      <c r="A9213" t="str">
        <f>IFERROR(__xludf.DUMMYFUNCTION("""COMPUTED_VALUE"""),"G92A")</f>
        <v>G92A</v>
      </c>
      <c r="B9213" s="226" t="str">
        <f>IFERROR(__xludf.DUMMYFUNCTION("""COMPUTED_VALUE"""),"52727")</f>
        <v>52727</v>
      </c>
      <c r="C9213" t="str">
        <f>IFERROR(__xludf.DUMMYFUNCTION("""COMPUTED_VALUE"""),"Autohak")</f>
        <v>Autohak</v>
      </c>
    </row>
    <row r="9214">
      <c r="A9214" t="str">
        <f>IFERROR(__xludf.DUMMYFUNCTION("""COMPUTED_VALUE"""),"G92V")</f>
        <v>G92V</v>
      </c>
      <c r="B9214" s="226" t="str">
        <f>IFERROR(__xludf.DUMMYFUNCTION("""COMPUTED_VALUE"""),"52765")</f>
        <v>52765</v>
      </c>
      <c r="C9214" t="str">
        <f>IFERROR(__xludf.DUMMYFUNCTION("""COMPUTED_VALUE"""),"Autohak")</f>
        <v>Autohak</v>
      </c>
    </row>
    <row r="9215">
      <c r="A9215" t="str">
        <f>IFERROR(__xludf.DUMMYFUNCTION("""COMPUTED_VALUE"""),"G92")</f>
        <v>G92</v>
      </c>
      <c r="B9215" s="226" t="str">
        <f>IFERROR(__xludf.DUMMYFUNCTION("""COMPUTED_VALUE"""),"49765")</f>
        <v>49765</v>
      </c>
      <c r="C9215" t="str">
        <f>IFERROR(__xludf.DUMMYFUNCTION("""COMPUTED_VALUE"""),"Autohak")</f>
        <v>Autohak</v>
      </c>
    </row>
    <row r="9216">
      <c r="A9216" t="str">
        <f>IFERROR(__xludf.DUMMYFUNCTION("""COMPUTED_VALUE"""),"G92A")</f>
        <v>G92A</v>
      </c>
      <c r="B9216" s="226" t="str">
        <f>IFERROR(__xludf.DUMMYFUNCTION("""COMPUTED_VALUE"""),"52727")</f>
        <v>52727</v>
      </c>
      <c r="C9216" t="str">
        <f>IFERROR(__xludf.DUMMYFUNCTION("""COMPUTED_VALUE"""),"Autohak")</f>
        <v>Autohak</v>
      </c>
    </row>
    <row r="9217">
      <c r="A9217" t="str">
        <f>IFERROR(__xludf.DUMMYFUNCTION("""COMPUTED_VALUE"""),"G92V")</f>
        <v>G92V</v>
      </c>
      <c r="B9217" s="226" t="str">
        <f>IFERROR(__xludf.DUMMYFUNCTION("""COMPUTED_VALUE"""),"52765")</f>
        <v>52765</v>
      </c>
      <c r="C9217" t="str">
        <f>IFERROR(__xludf.DUMMYFUNCTION("""COMPUTED_VALUE"""),"Autohak")</f>
        <v>Autohak</v>
      </c>
    </row>
    <row r="9218">
      <c r="A9218" t="str">
        <f>IFERROR(__xludf.DUMMYFUNCTION("""COMPUTED_VALUE"""),"G84")</f>
        <v>G84</v>
      </c>
      <c r="B9218" s="226" t="str">
        <f>IFERROR(__xludf.DUMMYFUNCTION("""COMPUTED_VALUE"""),"49796")</f>
        <v>49796</v>
      </c>
      <c r="C9218" t="str">
        <f>IFERROR(__xludf.DUMMYFUNCTION("""COMPUTED_VALUE"""),"Autohak")</f>
        <v>Autohak</v>
      </c>
    </row>
    <row r="9219">
      <c r="A9219" t="str">
        <f>IFERROR(__xludf.DUMMYFUNCTION("""COMPUTED_VALUE"""),"G84A")</f>
        <v>G84A</v>
      </c>
      <c r="B9219" s="226" t="str">
        <f>IFERROR(__xludf.DUMMYFUNCTION("""COMPUTED_VALUE"""),"51027")</f>
        <v>51027</v>
      </c>
      <c r="C9219" t="str">
        <f>IFERROR(__xludf.DUMMYFUNCTION("""COMPUTED_VALUE"""),"Autohak")</f>
        <v>Autohak</v>
      </c>
    </row>
    <row r="9220">
      <c r="A9220" t="str">
        <f>IFERROR(__xludf.DUMMYFUNCTION("""COMPUTED_VALUE"""),"G84V")</f>
        <v>G84V</v>
      </c>
      <c r="B9220" s="226" t="str">
        <f>IFERROR(__xludf.DUMMYFUNCTION("""COMPUTED_VALUE"""),"51966")</f>
        <v>51966</v>
      </c>
      <c r="C9220" t="str">
        <f>IFERROR(__xludf.DUMMYFUNCTION("""COMPUTED_VALUE"""),"Autohak")</f>
        <v>Autohak</v>
      </c>
    </row>
    <row r="9221">
      <c r="A9221" t="str">
        <f>IFERROR(__xludf.DUMMYFUNCTION("""COMPUTED_VALUE"""),"G84")</f>
        <v>G84</v>
      </c>
      <c r="B9221" s="226" t="str">
        <f>IFERROR(__xludf.DUMMYFUNCTION("""COMPUTED_VALUE"""),"49796")</f>
        <v>49796</v>
      </c>
      <c r="C9221" t="str">
        <f>IFERROR(__xludf.DUMMYFUNCTION("""COMPUTED_VALUE"""),"Autohak")</f>
        <v>Autohak</v>
      </c>
    </row>
    <row r="9222">
      <c r="A9222" t="str">
        <f>IFERROR(__xludf.DUMMYFUNCTION("""COMPUTED_VALUE"""),"G84A")</f>
        <v>G84A</v>
      </c>
      <c r="B9222" s="226" t="str">
        <f>IFERROR(__xludf.DUMMYFUNCTION("""COMPUTED_VALUE"""),"51027")</f>
        <v>51027</v>
      </c>
      <c r="C9222" t="str">
        <f>IFERROR(__xludf.DUMMYFUNCTION("""COMPUTED_VALUE"""),"Autohak")</f>
        <v>Autohak</v>
      </c>
    </row>
    <row r="9223">
      <c r="A9223" t="str">
        <f>IFERROR(__xludf.DUMMYFUNCTION("""COMPUTED_VALUE"""),"G84V")</f>
        <v>G84V</v>
      </c>
      <c r="B9223" s="226" t="str">
        <f>IFERROR(__xludf.DUMMYFUNCTION("""COMPUTED_VALUE"""),"51966")</f>
        <v>51966</v>
      </c>
      <c r="C9223" t="str">
        <f>IFERROR(__xludf.DUMMYFUNCTION("""COMPUTED_VALUE"""),"Autohak")</f>
        <v>Autohak</v>
      </c>
    </row>
    <row r="9224">
      <c r="A9224" t="str">
        <f>IFERROR(__xludf.DUMMYFUNCTION("""COMPUTED_VALUE"""),"G27")</f>
        <v>G27</v>
      </c>
      <c r="B9224" s="226" t="str">
        <f>IFERROR(__xludf.DUMMYFUNCTION("""COMPUTED_VALUE"""),"49086")</f>
        <v>49086</v>
      </c>
      <c r="C9224" t="str">
        <f>IFERROR(__xludf.DUMMYFUNCTION("""COMPUTED_VALUE"""),"Autohak")</f>
        <v>Autohak</v>
      </c>
    </row>
    <row r="9225">
      <c r="A9225" t="str">
        <f>IFERROR(__xludf.DUMMYFUNCTION("""COMPUTED_VALUE"""),"G27A")</f>
        <v>G27A</v>
      </c>
      <c r="B9225" s="226" t="str">
        <f>IFERROR(__xludf.DUMMYFUNCTION("""COMPUTED_VALUE"""),"52086")</f>
        <v>52086</v>
      </c>
      <c r="C9225" t="str">
        <f>IFERROR(__xludf.DUMMYFUNCTION("""COMPUTED_VALUE"""),"Autohak")</f>
        <v>Autohak</v>
      </c>
    </row>
    <row r="9226">
      <c r="A9226" t="str">
        <f>IFERROR(__xludf.DUMMYFUNCTION("""COMPUTED_VALUE"""),"G42")</f>
        <v>G42</v>
      </c>
      <c r="B9226" s="226" t="str">
        <f>IFERROR(__xludf.DUMMYFUNCTION("""COMPUTED_VALUE"""),"49093")</f>
        <v>49093</v>
      </c>
      <c r="C9226" t="str">
        <f>IFERROR(__xludf.DUMMYFUNCTION("""COMPUTED_VALUE"""),"Autohak")</f>
        <v>Autohak</v>
      </c>
    </row>
    <row r="9227">
      <c r="A9227" t="str">
        <f>IFERROR(__xludf.DUMMYFUNCTION("""COMPUTED_VALUE"""),"G42A")</f>
        <v>G42A</v>
      </c>
      <c r="B9227" s="226" t="str">
        <f>IFERROR(__xludf.DUMMYFUNCTION("""COMPUTED_VALUE"""),"52093")</f>
        <v>52093</v>
      </c>
      <c r="C9227" t="str">
        <f>IFERROR(__xludf.DUMMYFUNCTION("""COMPUTED_VALUE"""),"Autohak")</f>
        <v>Autohak</v>
      </c>
    </row>
    <row r="9228">
      <c r="A9228" t="str">
        <f>IFERROR(__xludf.DUMMYFUNCTION("""COMPUTED_VALUE"""),"G54")</f>
        <v>G54</v>
      </c>
      <c r="B9228" s="226" t="str">
        <f>IFERROR(__xludf.DUMMYFUNCTION("""COMPUTED_VALUE"""),"49383")</f>
        <v>49383</v>
      </c>
      <c r="C9228" t="str">
        <f>IFERROR(__xludf.DUMMYFUNCTION("""COMPUTED_VALUE"""),"Autohak")</f>
        <v>Autohak</v>
      </c>
    </row>
    <row r="9229">
      <c r="A9229" t="str">
        <f>IFERROR(__xludf.DUMMYFUNCTION("""COMPUTED_VALUE"""),"G54A")</f>
        <v>G54A</v>
      </c>
      <c r="B9229" s="226" t="str">
        <f>IFERROR(__xludf.DUMMYFUNCTION("""COMPUTED_VALUE"""),"52383")</f>
        <v>52383</v>
      </c>
      <c r="C9229" t="str">
        <f>IFERROR(__xludf.DUMMYFUNCTION("""COMPUTED_VALUE"""),"Autohak")</f>
        <v>Autohak</v>
      </c>
    </row>
    <row r="9230">
      <c r="A9230" t="str">
        <f>IFERROR(__xludf.DUMMYFUNCTION("""COMPUTED_VALUE"""),"G54")</f>
        <v>G54</v>
      </c>
      <c r="B9230" s="226" t="str">
        <f>IFERROR(__xludf.DUMMYFUNCTION("""COMPUTED_VALUE"""),"49383")</f>
        <v>49383</v>
      </c>
      <c r="C9230" t="str">
        <f>IFERROR(__xludf.DUMMYFUNCTION("""COMPUTED_VALUE"""),"Autohak")</f>
        <v>Autohak</v>
      </c>
    </row>
    <row r="9231">
      <c r="A9231" t="str">
        <f>IFERROR(__xludf.DUMMYFUNCTION("""COMPUTED_VALUE"""),"G54A")</f>
        <v>G54A</v>
      </c>
      <c r="B9231" s="226" t="str">
        <f>IFERROR(__xludf.DUMMYFUNCTION("""COMPUTED_VALUE"""),"52383")</f>
        <v>52383</v>
      </c>
      <c r="C9231" t="str">
        <f>IFERROR(__xludf.DUMMYFUNCTION("""COMPUTED_VALUE"""),"Autohak")</f>
        <v>Autohak</v>
      </c>
    </row>
    <row r="9232">
      <c r="A9232" t="str">
        <f>IFERROR(__xludf.DUMMYFUNCTION("""COMPUTED_VALUE"""),"G55")</f>
        <v>G55</v>
      </c>
      <c r="B9232" s="226" t="str">
        <f>IFERROR(__xludf.DUMMYFUNCTION("""COMPUTED_VALUE"""),"49390")</f>
        <v>49390</v>
      </c>
      <c r="C9232" t="str">
        <f>IFERROR(__xludf.DUMMYFUNCTION("""COMPUTED_VALUE"""),"Autohak")</f>
        <v>Autohak</v>
      </c>
    </row>
    <row r="9233">
      <c r="A9233" t="str">
        <f>IFERROR(__xludf.DUMMYFUNCTION("""COMPUTED_VALUE"""),"G55A")</f>
        <v>G55A</v>
      </c>
      <c r="B9233" s="226" t="str">
        <f>IFERROR(__xludf.DUMMYFUNCTION("""COMPUTED_VALUE"""),"52390")</f>
        <v>52390</v>
      </c>
      <c r="C9233" t="str">
        <f>IFERROR(__xludf.DUMMYFUNCTION("""COMPUTED_VALUE"""),"Autohak")</f>
        <v>Autohak</v>
      </c>
    </row>
    <row r="9234">
      <c r="A9234" t="str">
        <f>IFERROR(__xludf.DUMMYFUNCTION("""COMPUTED_VALUE"""),"G55V")</f>
        <v>G55V</v>
      </c>
      <c r="B9234" s="226" t="str">
        <f>IFERROR(__xludf.DUMMYFUNCTION("""COMPUTED_VALUE"""),"51973")</f>
        <v>51973</v>
      </c>
      <c r="C9234" t="str">
        <f>IFERROR(__xludf.DUMMYFUNCTION("""COMPUTED_VALUE"""),"Autohak")</f>
        <v>Autohak</v>
      </c>
    </row>
    <row r="9235">
      <c r="A9235" t="str">
        <f>IFERROR(__xludf.DUMMYFUNCTION("""COMPUTED_VALUE"""),"G94")</f>
        <v>G94</v>
      </c>
      <c r="B9235" s="226" t="str">
        <f>IFERROR(__xludf.DUMMYFUNCTION("""COMPUTED_VALUE"""),"49789")</f>
        <v>49789</v>
      </c>
      <c r="C9235" t="str">
        <f>IFERROR(__xludf.DUMMYFUNCTION("""COMPUTED_VALUE"""),"Autohak")</f>
        <v>Autohak</v>
      </c>
    </row>
    <row r="9236">
      <c r="A9236" t="str">
        <f>IFERROR(__xludf.DUMMYFUNCTION("""COMPUTED_VALUE"""),"G94A")</f>
        <v>G94A</v>
      </c>
      <c r="B9236" s="226" t="str">
        <f>IFERROR(__xludf.DUMMYFUNCTION("""COMPUTED_VALUE"""),"51003")</f>
        <v>51003</v>
      </c>
      <c r="C9236" t="str">
        <f>IFERROR(__xludf.DUMMYFUNCTION("""COMPUTED_VALUE"""),"Autohak")</f>
        <v>Autohak</v>
      </c>
    </row>
    <row r="9237">
      <c r="A9237" t="str">
        <f>IFERROR(__xludf.DUMMYFUNCTION("""COMPUTED_VALUE"""),"G94V")</f>
        <v>G94V</v>
      </c>
      <c r="B9237" s="226" t="str">
        <f>IFERROR(__xludf.DUMMYFUNCTION("""COMPUTED_VALUE"""),"51997")</f>
        <v>51997</v>
      </c>
      <c r="C9237" t="str">
        <f>IFERROR(__xludf.DUMMYFUNCTION("""COMPUTED_VALUE"""),"Autohak")</f>
        <v>Autohak</v>
      </c>
    </row>
    <row r="9238">
      <c r="A9238" t="str">
        <f>IFERROR(__xludf.DUMMYFUNCTION("""COMPUTED_VALUE"""),"G18")</f>
        <v>G18</v>
      </c>
      <c r="B9238" s="226" t="str">
        <f>IFERROR(__xludf.DUMMYFUNCTION("""COMPUTED_VALUE"""),"49109")</f>
        <v>49109</v>
      </c>
      <c r="C9238" t="str">
        <f>IFERROR(__xludf.DUMMYFUNCTION("""COMPUTED_VALUE"""),"Autohak")</f>
        <v>Autohak</v>
      </c>
    </row>
    <row r="9239">
      <c r="A9239" t="str">
        <f>IFERROR(__xludf.DUMMYFUNCTION("""COMPUTED_VALUE"""),"G18A")</f>
        <v>G18A</v>
      </c>
      <c r="B9239" s="226" t="str">
        <f>IFERROR(__xludf.DUMMYFUNCTION("""COMPUTED_VALUE"""),"52109")</f>
        <v>52109</v>
      </c>
      <c r="C9239" t="str">
        <f>IFERROR(__xludf.DUMMYFUNCTION("""COMPUTED_VALUE"""),"Autohak")</f>
        <v>Autohak</v>
      </c>
    </row>
    <row r="9240">
      <c r="A9240" t="str">
        <f>IFERROR(__xludf.DUMMYFUNCTION("""COMPUTED_VALUE"""),"G39")</f>
        <v>G39</v>
      </c>
      <c r="B9240" s="226" t="str">
        <f>IFERROR(__xludf.DUMMYFUNCTION("""COMPUTED_VALUE"""),"49116")</f>
        <v>49116</v>
      </c>
      <c r="C9240" t="str">
        <f>IFERROR(__xludf.DUMMYFUNCTION("""COMPUTED_VALUE"""),"Autohak")</f>
        <v>Autohak</v>
      </c>
    </row>
    <row r="9241">
      <c r="A9241" t="str">
        <f>IFERROR(__xludf.DUMMYFUNCTION("""COMPUTED_VALUE"""),"G39A")</f>
        <v>G39A</v>
      </c>
      <c r="B9241" s="226" t="str">
        <f>IFERROR(__xludf.DUMMYFUNCTION("""COMPUTED_VALUE"""),"52116")</f>
        <v>52116</v>
      </c>
      <c r="C9241" t="str">
        <f>IFERROR(__xludf.DUMMYFUNCTION("""COMPUTED_VALUE"""),"Autohak")</f>
        <v>Autohak</v>
      </c>
    </row>
    <row r="9242">
      <c r="A9242" t="str">
        <f>IFERROR(__xludf.DUMMYFUNCTION("""COMPUTED_VALUE"""),"G58")</f>
        <v>G58</v>
      </c>
      <c r="B9242" s="226" t="str">
        <f>IFERROR(__xludf.DUMMYFUNCTION("""COMPUTED_VALUE"""),"49420")</f>
        <v>49420</v>
      </c>
      <c r="C9242" t="str">
        <f>IFERROR(__xludf.DUMMYFUNCTION("""COMPUTED_VALUE"""),"Autohak")</f>
        <v>Autohak</v>
      </c>
    </row>
    <row r="9243">
      <c r="A9243" t="str">
        <f>IFERROR(__xludf.DUMMYFUNCTION("""COMPUTED_VALUE"""),"G58A")</f>
        <v>G58A</v>
      </c>
      <c r="B9243" s="226" t="str">
        <f>IFERROR(__xludf.DUMMYFUNCTION("""COMPUTED_VALUE"""),"52420")</f>
        <v>52420</v>
      </c>
      <c r="C9243" t="str">
        <f>IFERROR(__xludf.DUMMYFUNCTION("""COMPUTED_VALUE"""),"Autohak")</f>
        <v>Autohak</v>
      </c>
    </row>
    <row r="9244">
      <c r="A9244" t="str">
        <f>IFERROR(__xludf.DUMMYFUNCTION("""COMPUTED_VALUE"""),"G19")</f>
        <v>G19</v>
      </c>
      <c r="B9244" s="226" t="str">
        <f>IFERROR(__xludf.DUMMYFUNCTION("""COMPUTED_VALUE"""),"49123")</f>
        <v>49123</v>
      </c>
      <c r="C9244" t="str">
        <f>IFERROR(__xludf.DUMMYFUNCTION("""COMPUTED_VALUE"""),"Autohak")</f>
        <v>Autohak</v>
      </c>
    </row>
    <row r="9245">
      <c r="A9245" t="str">
        <f>IFERROR(__xludf.DUMMYFUNCTION("""COMPUTED_VALUE"""),"G19A")</f>
        <v>G19A</v>
      </c>
      <c r="B9245" s="226" t="str">
        <f>IFERROR(__xludf.DUMMYFUNCTION("""COMPUTED_VALUE"""),"52123")</f>
        <v>52123</v>
      </c>
      <c r="C9245" t="str">
        <f>IFERROR(__xludf.DUMMYFUNCTION("""COMPUTED_VALUE"""),"Autohak")</f>
        <v>Autohak</v>
      </c>
    </row>
    <row r="9246">
      <c r="A9246" t="str">
        <f>IFERROR(__xludf.DUMMYFUNCTION("""COMPUTED_VALUE"""),"G38")</f>
        <v>G38</v>
      </c>
      <c r="B9246" s="226" t="str">
        <f>IFERROR(__xludf.DUMMYFUNCTION("""COMPUTED_VALUE"""),"49130")</f>
        <v>49130</v>
      </c>
      <c r="C9246" t="str">
        <f>IFERROR(__xludf.DUMMYFUNCTION("""COMPUTED_VALUE"""),"Autohak")</f>
        <v>Autohak</v>
      </c>
    </row>
    <row r="9247">
      <c r="A9247" t="str">
        <f>IFERROR(__xludf.DUMMYFUNCTION("""COMPUTED_VALUE"""),"G38A")</f>
        <v>G38A</v>
      </c>
      <c r="B9247" s="226" t="str">
        <f>IFERROR(__xludf.DUMMYFUNCTION("""COMPUTED_VALUE"""),"52130")</f>
        <v>52130</v>
      </c>
      <c r="C9247" t="str">
        <f>IFERROR(__xludf.DUMMYFUNCTION("""COMPUTED_VALUE"""),"Autohak")</f>
        <v>Autohak</v>
      </c>
    </row>
    <row r="9248">
      <c r="A9248" t="str">
        <f>IFERROR(__xludf.DUMMYFUNCTION("""COMPUTED_VALUE"""),"G52")</f>
        <v>G52</v>
      </c>
      <c r="B9248" s="226" t="str">
        <f>IFERROR(__xludf.DUMMYFUNCTION("""COMPUTED_VALUE"""),"49369")</f>
        <v>49369</v>
      </c>
      <c r="C9248" t="str">
        <f>IFERROR(__xludf.DUMMYFUNCTION("""COMPUTED_VALUE"""),"Autohak")</f>
        <v>Autohak</v>
      </c>
    </row>
    <row r="9249">
      <c r="A9249" t="str">
        <f>IFERROR(__xludf.DUMMYFUNCTION("""COMPUTED_VALUE"""),"G52A")</f>
        <v>G52A</v>
      </c>
      <c r="B9249" s="226" t="str">
        <f>IFERROR(__xludf.DUMMYFUNCTION("""COMPUTED_VALUE"""),"52369")</f>
        <v>52369</v>
      </c>
      <c r="C9249" t="str">
        <f>IFERROR(__xludf.DUMMYFUNCTION("""COMPUTED_VALUE"""),"Autohak")</f>
        <v>Autohak</v>
      </c>
    </row>
    <row r="9250">
      <c r="A9250" t="str">
        <f>IFERROR(__xludf.DUMMYFUNCTION("""COMPUTED_VALUE"""),"G52V")</f>
        <v>G52V</v>
      </c>
      <c r="B9250" s="226" t="str">
        <f>IFERROR(__xludf.DUMMYFUNCTION("""COMPUTED_VALUE"""),"52758")</f>
        <v>52758</v>
      </c>
      <c r="C9250" t="str">
        <f>IFERROR(__xludf.DUMMYFUNCTION("""COMPUTED_VALUE"""),"Autohak")</f>
        <v>Autohak</v>
      </c>
    </row>
    <row r="9251">
      <c r="A9251" t="str">
        <f>IFERROR(__xludf.DUMMYFUNCTION("""COMPUTED_VALUE"""),"G52")</f>
        <v>G52</v>
      </c>
      <c r="B9251" s="226" t="str">
        <f>IFERROR(__xludf.DUMMYFUNCTION("""COMPUTED_VALUE"""),"49369")</f>
        <v>49369</v>
      </c>
      <c r="C9251" t="str">
        <f>IFERROR(__xludf.DUMMYFUNCTION("""COMPUTED_VALUE"""),"Autohak")</f>
        <v>Autohak</v>
      </c>
    </row>
    <row r="9252">
      <c r="A9252" t="str">
        <f>IFERROR(__xludf.DUMMYFUNCTION("""COMPUTED_VALUE"""),"G52A")</f>
        <v>G52A</v>
      </c>
      <c r="B9252" s="226" t="str">
        <f>IFERROR(__xludf.DUMMYFUNCTION("""COMPUTED_VALUE"""),"52369")</f>
        <v>52369</v>
      </c>
      <c r="C9252" t="str">
        <f>IFERROR(__xludf.DUMMYFUNCTION("""COMPUTED_VALUE"""),"Autohak")</f>
        <v>Autohak</v>
      </c>
    </row>
    <row r="9253">
      <c r="A9253" t="str">
        <f>IFERROR(__xludf.DUMMYFUNCTION("""COMPUTED_VALUE"""),"G52V")</f>
        <v>G52V</v>
      </c>
      <c r="B9253" s="226" t="str">
        <f>IFERROR(__xludf.DUMMYFUNCTION("""COMPUTED_VALUE"""),"52758")</f>
        <v>52758</v>
      </c>
      <c r="C9253" t="str">
        <f>IFERROR(__xludf.DUMMYFUNCTION("""COMPUTED_VALUE"""),"Autohak")</f>
        <v>Autohak</v>
      </c>
    </row>
    <row r="9254">
      <c r="A9254" t="str">
        <f>IFERROR(__xludf.DUMMYFUNCTION("""COMPUTED_VALUE"""),"G69")</f>
        <v>G69</v>
      </c>
      <c r="B9254" s="226" t="str">
        <f>IFERROR(__xludf.DUMMYFUNCTION("""COMPUTED_VALUE"""),"49536")</f>
        <v>49536</v>
      </c>
      <c r="C9254" t="str">
        <f>IFERROR(__xludf.DUMMYFUNCTION("""COMPUTED_VALUE"""),"Autohak")</f>
        <v>Autohak</v>
      </c>
    </row>
    <row r="9255">
      <c r="A9255" t="str">
        <f>IFERROR(__xludf.DUMMYFUNCTION("""COMPUTED_VALUE"""),"G69A")</f>
        <v>G69A</v>
      </c>
      <c r="B9255" s="226" t="str">
        <f>IFERROR(__xludf.DUMMYFUNCTION("""COMPUTED_VALUE"""),"52505")</f>
        <v>52505</v>
      </c>
      <c r="C9255" t="str">
        <f>IFERROR(__xludf.DUMMYFUNCTION("""COMPUTED_VALUE"""),"Autohak")</f>
        <v>Autohak</v>
      </c>
    </row>
    <row r="9256">
      <c r="A9256" t="str">
        <f>IFERROR(__xludf.DUMMYFUNCTION("""COMPUTED_VALUE"""),"G28")</f>
        <v>G28</v>
      </c>
      <c r="B9256" s="226" t="str">
        <f>IFERROR(__xludf.DUMMYFUNCTION("""COMPUTED_VALUE"""),"49147")</f>
        <v>49147</v>
      </c>
      <c r="C9256" t="str">
        <f>IFERROR(__xludf.DUMMYFUNCTION("""COMPUTED_VALUE"""),"Autohak")</f>
        <v>Autohak</v>
      </c>
    </row>
    <row r="9257">
      <c r="A9257" t="str">
        <f>IFERROR(__xludf.DUMMYFUNCTION("""COMPUTED_VALUE"""),"G65")</f>
        <v>G65</v>
      </c>
      <c r="B9257" s="226" t="str">
        <f>IFERROR(__xludf.DUMMYFUNCTION("""COMPUTED_VALUE"""),"49499")</f>
        <v>49499</v>
      </c>
      <c r="C9257" t="str">
        <f>IFERROR(__xludf.DUMMYFUNCTION("""COMPUTED_VALUE"""),"Autohak")</f>
        <v>Autohak</v>
      </c>
    </row>
    <row r="9258">
      <c r="A9258" t="str">
        <f>IFERROR(__xludf.DUMMYFUNCTION("""COMPUTED_VALUE"""),"G65")</f>
        <v>G65</v>
      </c>
      <c r="B9258" s="226" t="str">
        <f>IFERROR(__xludf.DUMMYFUNCTION("""COMPUTED_VALUE"""),"49499")</f>
        <v>49499</v>
      </c>
      <c r="C9258" t="str">
        <f>IFERROR(__xludf.DUMMYFUNCTION("""COMPUTED_VALUE"""),"Autohak")</f>
        <v>Autohak</v>
      </c>
    </row>
    <row r="9259">
      <c r="A9259" t="str">
        <f>IFERROR(__xludf.DUMMYFUNCTION("""COMPUTED_VALUE"""),"G67")</f>
        <v>G67</v>
      </c>
      <c r="B9259" s="226" t="str">
        <f>IFERROR(__xludf.DUMMYFUNCTION("""COMPUTED_VALUE"""),"49512")</f>
        <v>49512</v>
      </c>
      <c r="C9259" t="str">
        <f>IFERROR(__xludf.DUMMYFUNCTION("""COMPUTED_VALUE"""),"Autohak")</f>
        <v>Autohak</v>
      </c>
    </row>
    <row r="9260">
      <c r="A9260" t="str">
        <f>IFERROR(__xludf.DUMMYFUNCTION("""COMPUTED_VALUE"""),"G67")</f>
        <v>G67</v>
      </c>
      <c r="B9260" s="226" t="str">
        <f>IFERROR(__xludf.DUMMYFUNCTION("""COMPUTED_VALUE"""),"49512")</f>
        <v>49512</v>
      </c>
      <c r="C9260" t="str">
        <f>IFERROR(__xludf.DUMMYFUNCTION("""COMPUTED_VALUE"""),"Autohak")</f>
        <v>Autohak</v>
      </c>
    </row>
    <row r="9261">
      <c r="A9261" t="str">
        <f>IFERROR(__xludf.DUMMYFUNCTION("""COMPUTED_VALUE"""),"G90")</f>
        <v>G90</v>
      </c>
      <c r="B9261" s="226" t="str">
        <f>IFERROR(__xludf.DUMMYFUNCTION("""COMPUTED_VALUE"""),"49741")</f>
        <v>49741</v>
      </c>
      <c r="C9261" t="str">
        <f>IFERROR(__xludf.DUMMYFUNCTION("""COMPUTED_VALUE"""),"Autohak")</f>
        <v>Autohak</v>
      </c>
    </row>
    <row r="9262">
      <c r="A9262" t="str">
        <f>IFERROR(__xludf.DUMMYFUNCTION("""COMPUTED_VALUE"""),"G90")</f>
        <v>G90</v>
      </c>
      <c r="B9262" s="226" t="str">
        <f>IFERROR(__xludf.DUMMYFUNCTION("""COMPUTED_VALUE"""),"49741")</f>
        <v>49741</v>
      </c>
      <c r="C9262" t="str">
        <f>IFERROR(__xludf.DUMMYFUNCTION("""COMPUTED_VALUE"""),"Autohak")</f>
        <v>Autohak</v>
      </c>
    </row>
    <row r="9263">
      <c r="A9263" t="str">
        <f>IFERROR(__xludf.DUMMYFUNCTION("""COMPUTED_VALUE"""),"G90")</f>
        <v>G90</v>
      </c>
      <c r="B9263" s="226" t="str">
        <f>IFERROR(__xludf.DUMMYFUNCTION("""COMPUTED_VALUE"""),"49741")</f>
        <v>49741</v>
      </c>
      <c r="C9263" t="str">
        <f>IFERROR(__xludf.DUMMYFUNCTION("""COMPUTED_VALUE"""),"Autohak")</f>
        <v>Autohak</v>
      </c>
    </row>
    <row r="9264">
      <c r="A9264" t="str">
        <f>IFERROR(__xludf.DUMMYFUNCTION("""COMPUTED_VALUE"""),"G90")</f>
        <v>G90</v>
      </c>
      <c r="B9264" s="226" t="str">
        <f>IFERROR(__xludf.DUMMYFUNCTION("""COMPUTED_VALUE"""),"49741")</f>
        <v>49741</v>
      </c>
      <c r="C9264" t="str">
        <f>IFERROR(__xludf.DUMMYFUNCTION("""COMPUTED_VALUE"""),"Autohak")</f>
        <v>Autohak</v>
      </c>
    </row>
    <row r="9265">
      <c r="A9265" t="str">
        <f>IFERROR(__xludf.DUMMYFUNCTION("""COMPUTED_VALUE"""),"G36")</f>
        <v>G36</v>
      </c>
      <c r="B9265" s="226" t="str">
        <f>IFERROR(__xludf.DUMMYFUNCTION("""COMPUTED_VALUE"""),"49154")</f>
        <v>49154</v>
      </c>
      <c r="C9265" t="str">
        <f>IFERROR(__xludf.DUMMYFUNCTION("""COMPUTED_VALUE"""),"Autohak")</f>
        <v>Autohak</v>
      </c>
    </row>
    <row r="9266">
      <c r="A9266" t="str">
        <f>IFERROR(__xludf.DUMMYFUNCTION("""COMPUTED_VALUE"""),"G66")</f>
        <v>G66</v>
      </c>
      <c r="B9266" s="226" t="str">
        <f>IFERROR(__xludf.DUMMYFUNCTION("""COMPUTED_VALUE"""),"49505")</f>
        <v>49505</v>
      </c>
      <c r="C9266" t="str">
        <f>IFERROR(__xludf.DUMMYFUNCTION("""COMPUTED_VALUE"""),"Autohak")</f>
        <v>Autohak</v>
      </c>
    </row>
    <row r="9267">
      <c r="A9267" t="str">
        <f>IFERROR(__xludf.DUMMYFUNCTION("""COMPUTED_VALUE"""),"G66")</f>
        <v>G66</v>
      </c>
      <c r="B9267" s="226" t="str">
        <f>IFERROR(__xludf.DUMMYFUNCTION("""COMPUTED_VALUE"""),"49505")</f>
        <v>49505</v>
      </c>
      <c r="C9267" t="str">
        <f>IFERROR(__xludf.DUMMYFUNCTION("""COMPUTED_VALUE"""),"Autohak")</f>
        <v>Autohak</v>
      </c>
    </row>
    <row r="9268">
      <c r="A9268" t="str">
        <f>IFERROR(__xludf.DUMMYFUNCTION("""COMPUTED_VALUE"""),"G66")</f>
        <v>G66</v>
      </c>
      <c r="B9268" s="226" t="str">
        <f>IFERROR(__xludf.DUMMYFUNCTION("""COMPUTED_VALUE"""),"49505")</f>
        <v>49505</v>
      </c>
      <c r="C9268" t="str">
        <f>IFERROR(__xludf.DUMMYFUNCTION("""COMPUTED_VALUE"""),"Autohak")</f>
        <v>Autohak</v>
      </c>
    </row>
    <row r="9269">
      <c r="A9269" t="str">
        <f>IFERROR(__xludf.DUMMYFUNCTION("""COMPUTED_VALUE"""),"G66")</f>
        <v>G66</v>
      </c>
      <c r="B9269" s="226" t="str">
        <f>IFERROR(__xludf.DUMMYFUNCTION("""COMPUTED_VALUE"""),"49505")</f>
        <v>49505</v>
      </c>
      <c r="C9269" t="str">
        <f>IFERROR(__xludf.DUMMYFUNCTION("""COMPUTED_VALUE"""),"Autohak")</f>
        <v>Autohak</v>
      </c>
    </row>
    <row r="9270">
      <c r="A9270" t="str">
        <f>IFERROR(__xludf.DUMMYFUNCTION("""COMPUTED_VALUE"""),"G70")</f>
        <v>G70</v>
      </c>
      <c r="B9270" s="226" t="str">
        <f>IFERROR(__xludf.DUMMYFUNCTION("""COMPUTED_VALUE"""),"49543")</f>
        <v>49543</v>
      </c>
      <c r="C9270" t="str">
        <f>IFERROR(__xludf.DUMMYFUNCTION("""COMPUTED_VALUE"""),"Autohak")</f>
        <v>Autohak</v>
      </c>
    </row>
    <row r="9271">
      <c r="A9271" t="str">
        <f>IFERROR(__xludf.DUMMYFUNCTION("""COMPUTED_VALUE"""),"G70")</f>
        <v>G70</v>
      </c>
      <c r="B9271" s="226" t="str">
        <f>IFERROR(__xludf.DUMMYFUNCTION("""COMPUTED_VALUE"""),"49543")</f>
        <v>49543</v>
      </c>
      <c r="C9271" t="str">
        <f>IFERROR(__xludf.DUMMYFUNCTION("""COMPUTED_VALUE"""),"Autohak")</f>
        <v>Autohak</v>
      </c>
    </row>
    <row r="9272">
      <c r="A9272" t="str">
        <f>IFERROR(__xludf.DUMMYFUNCTION("""COMPUTED_VALUE"""),"G70")</f>
        <v>G70</v>
      </c>
      <c r="B9272" s="226" t="str">
        <f>IFERROR(__xludf.DUMMYFUNCTION("""COMPUTED_VALUE"""),"49543")</f>
        <v>49543</v>
      </c>
      <c r="C9272" t="str">
        <f>IFERROR(__xludf.DUMMYFUNCTION("""COMPUTED_VALUE"""),"Autohak")</f>
        <v>Autohak</v>
      </c>
    </row>
    <row r="9273">
      <c r="A9273" t="str">
        <f>IFERROR(__xludf.DUMMYFUNCTION("""COMPUTED_VALUE"""),"G70")</f>
        <v>G70</v>
      </c>
      <c r="B9273" s="226" t="str">
        <f>IFERROR(__xludf.DUMMYFUNCTION("""COMPUTED_VALUE"""),"49543")</f>
        <v>49543</v>
      </c>
      <c r="C9273" t="str">
        <f>IFERROR(__xludf.DUMMYFUNCTION("""COMPUTED_VALUE"""),"Autohak")</f>
        <v>Autohak</v>
      </c>
    </row>
    <row r="9274">
      <c r="A9274" t="str">
        <f>IFERROR(__xludf.DUMMYFUNCTION("""COMPUTED_VALUE"""),"G21")</f>
        <v>G21</v>
      </c>
      <c r="B9274" s="226" t="str">
        <f>IFERROR(__xludf.DUMMYFUNCTION("""COMPUTED_VALUE"""),"49161")</f>
        <v>49161</v>
      </c>
      <c r="C9274" t="str">
        <f>IFERROR(__xludf.DUMMYFUNCTION("""COMPUTED_VALUE"""),"Autohak")</f>
        <v>Autohak</v>
      </c>
    </row>
    <row r="9275">
      <c r="A9275" t="str">
        <f>IFERROR(__xludf.DUMMYFUNCTION("""COMPUTED_VALUE"""),"G21A")</f>
        <v>G21A</v>
      </c>
      <c r="B9275" s="226" t="str">
        <f>IFERROR(__xludf.DUMMYFUNCTION("""COMPUTED_VALUE"""),"52161")</f>
        <v>52161</v>
      </c>
      <c r="C9275" t="str">
        <f>IFERROR(__xludf.DUMMYFUNCTION("""COMPUTED_VALUE"""),"Autohak")</f>
        <v>Autohak</v>
      </c>
    </row>
    <row r="9276">
      <c r="A9276" t="str">
        <f>IFERROR(__xludf.DUMMYFUNCTION("""COMPUTED_VALUE"""),"G30")</f>
        <v>G30</v>
      </c>
      <c r="B9276" s="226" t="str">
        <f>IFERROR(__xludf.DUMMYFUNCTION("""COMPUTED_VALUE"""),"49178")</f>
        <v>49178</v>
      </c>
      <c r="C9276" t="str">
        <f>IFERROR(__xludf.DUMMYFUNCTION("""COMPUTED_VALUE"""),"Autohak")</f>
        <v>Autohak</v>
      </c>
    </row>
    <row r="9277">
      <c r="A9277" t="str">
        <f>IFERROR(__xludf.DUMMYFUNCTION("""COMPUTED_VALUE"""),"G30A")</f>
        <v>G30A</v>
      </c>
      <c r="B9277" s="226" t="str">
        <f>IFERROR(__xludf.DUMMYFUNCTION("""COMPUTED_VALUE"""),"52178")</f>
        <v>52178</v>
      </c>
      <c r="C9277" t="str">
        <f>IFERROR(__xludf.DUMMYFUNCTION("""COMPUTED_VALUE"""),"Autohak")</f>
        <v>Autohak</v>
      </c>
    </row>
    <row r="9278">
      <c r="A9278" t="str">
        <f>IFERROR(__xludf.DUMMYFUNCTION("""COMPUTED_VALUE"""),"G41")</f>
        <v>G41</v>
      </c>
      <c r="B9278" s="226" t="str">
        <f>IFERROR(__xludf.DUMMYFUNCTION("""COMPUTED_VALUE"""),"49185")</f>
        <v>49185</v>
      </c>
      <c r="C9278" t="str">
        <f>IFERROR(__xludf.DUMMYFUNCTION("""COMPUTED_VALUE"""),"Autohak")</f>
        <v>Autohak</v>
      </c>
    </row>
    <row r="9279">
      <c r="A9279" t="str">
        <f>IFERROR(__xludf.DUMMYFUNCTION("""COMPUTED_VALUE"""),"G41A")</f>
        <v>G41A</v>
      </c>
      <c r="B9279" s="226" t="str">
        <f>IFERROR(__xludf.DUMMYFUNCTION("""COMPUTED_VALUE"""),"52185")</f>
        <v>52185</v>
      </c>
      <c r="C9279" t="str">
        <f>IFERROR(__xludf.DUMMYFUNCTION("""COMPUTED_VALUE"""),"Autohak")</f>
        <v>Autohak</v>
      </c>
    </row>
    <row r="9280">
      <c r="A9280" t="str">
        <f>IFERROR(__xludf.DUMMYFUNCTION("""COMPUTED_VALUE"""),"G41V")</f>
        <v>G41V</v>
      </c>
      <c r="B9280" s="226" t="str">
        <f>IFERROR(__xludf.DUMMYFUNCTION("""COMPUTED_VALUE"""),"52925")</f>
        <v>52925</v>
      </c>
      <c r="C9280" t="str">
        <f>IFERROR(__xludf.DUMMYFUNCTION("""COMPUTED_VALUE"""),"Autohak")</f>
        <v>Autohak</v>
      </c>
    </row>
    <row r="9281">
      <c r="A9281" t="str">
        <f>IFERROR(__xludf.DUMMYFUNCTION("""COMPUTED_VALUE"""),"G41")</f>
        <v>G41</v>
      </c>
      <c r="B9281" s="226" t="str">
        <f>IFERROR(__xludf.DUMMYFUNCTION("""COMPUTED_VALUE"""),"49185")</f>
        <v>49185</v>
      </c>
      <c r="C9281" t="str">
        <f>IFERROR(__xludf.DUMMYFUNCTION("""COMPUTED_VALUE"""),"Autohak")</f>
        <v>Autohak</v>
      </c>
    </row>
    <row r="9282">
      <c r="A9282" t="str">
        <f>IFERROR(__xludf.DUMMYFUNCTION("""COMPUTED_VALUE"""),"G41A")</f>
        <v>G41A</v>
      </c>
      <c r="B9282" s="226" t="str">
        <f>IFERROR(__xludf.DUMMYFUNCTION("""COMPUTED_VALUE"""),"52185")</f>
        <v>52185</v>
      </c>
      <c r="C9282" t="str">
        <f>IFERROR(__xludf.DUMMYFUNCTION("""COMPUTED_VALUE"""),"Autohak")</f>
        <v>Autohak</v>
      </c>
    </row>
    <row r="9283">
      <c r="A9283" t="str">
        <f>IFERROR(__xludf.DUMMYFUNCTION("""COMPUTED_VALUE"""),"G41V")</f>
        <v>G41V</v>
      </c>
      <c r="B9283" s="226" t="str">
        <f>IFERROR(__xludf.DUMMYFUNCTION("""COMPUTED_VALUE"""),"52925")</f>
        <v>52925</v>
      </c>
      <c r="C9283" t="str">
        <f>IFERROR(__xludf.DUMMYFUNCTION("""COMPUTED_VALUE"""),"Autohak")</f>
        <v>Autohak</v>
      </c>
    </row>
    <row r="9284">
      <c r="A9284" t="str">
        <f>IFERROR(__xludf.DUMMYFUNCTION("""COMPUTED_VALUE"""),"G57")</f>
        <v>G57</v>
      </c>
      <c r="B9284" s="226" t="str">
        <f>IFERROR(__xludf.DUMMYFUNCTION("""COMPUTED_VALUE"""),"49413")</f>
        <v>49413</v>
      </c>
      <c r="C9284" t="str">
        <f>IFERROR(__xludf.DUMMYFUNCTION("""COMPUTED_VALUE"""),"Autohak")</f>
        <v>Autohak</v>
      </c>
    </row>
    <row r="9285">
      <c r="A9285" t="str">
        <f>IFERROR(__xludf.DUMMYFUNCTION("""COMPUTED_VALUE"""),"G57A")</f>
        <v>G57A</v>
      </c>
      <c r="B9285" s="226" t="str">
        <f>IFERROR(__xludf.DUMMYFUNCTION("""COMPUTED_VALUE"""),"52413")</f>
        <v>52413</v>
      </c>
      <c r="C9285" t="str">
        <f>IFERROR(__xludf.DUMMYFUNCTION("""COMPUTED_VALUE"""),"Autohak")</f>
        <v>Autohak</v>
      </c>
    </row>
    <row r="9286">
      <c r="A9286" t="str">
        <f>IFERROR(__xludf.DUMMYFUNCTION("""COMPUTED_VALUE"""),"G57V")</f>
        <v>G57V</v>
      </c>
      <c r="B9286" s="226" t="str">
        <f>IFERROR(__xludf.DUMMYFUNCTION("""COMPUTED_VALUE"""),"52819")</f>
        <v>52819</v>
      </c>
      <c r="C9286" t="str">
        <f>IFERROR(__xludf.DUMMYFUNCTION("""COMPUTED_VALUE"""),"Autohak")</f>
        <v>Autohak</v>
      </c>
    </row>
    <row r="9287">
      <c r="A9287" t="str">
        <f>IFERROR(__xludf.DUMMYFUNCTION("""COMPUTED_VALUE"""),"G57")</f>
        <v>G57</v>
      </c>
      <c r="B9287" s="226" t="str">
        <f>IFERROR(__xludf.DUMMYFUNCTION("""COMPUTED_VALUE"""),"49413")</f>
        <v>49413</v>
      </c>
      <c r="C9287" t="str">
        <f>IFERROR(__xludf.DUMMYFUNCTION("""COMPUTED_VALUE"""),"Autohak")</f>
        <v>Autohak</v>
      </c>
    </row>
    <row r="9288">
      <c r="A9288" t="str">
        <f>IFERROR(__xludf.DUMMYFUNCTION("""COMPUTED_VALUE"""),"G57A")</f>
        <v>G57A</v>
      </c>
      <c r="B9288" s="226" t="str">
        <f>IFERROR(__xludf.DUMMYFUNCTION("""COMPUTED_VALUE"""),"52413")</f>
        <v>52413</v>
      </c>
      <c r="C9288" t="str">
        <f>IFERROR(__xludf.DUMMYFUNCTION("""COMPUTED_VALUE"""),"Autohak")</f>
        <v>Autohak</v>
      </c>
    </row>
    <row r="9289">
      <c r="A9289" t="str">
        <f>IFERROR(__xludf.DUMMYFUNCTION("""COMPUTED_VALUE"""),"G57V")</f>
        <v>G57V</v>
      </c>
      <c r="B9289" s="226" t="str">
        <f>IFERROR(__xludf.DUMMYFUNCTION("""COMPUTED_VALUE"""),"52819")</f>
        <v>52819</v>
      </c>
      <c r="C9289" t="str">
        <f>IFERROR(__xludf.DUMMYFUNCTION("""COMPUTED_VALUE"""),"Autohak")</f>
        <v>Autohak</v>
      </c>
    </row>
    <row r="9290">
      <c r="A9290" t="str">
        <f>IFERROR(__xludf.DUMMYFUNCTION("""COMPUTED_VALUE"""),"G57")</f>
        <v>G57</v>
      </c>
      <c r="B9290" s="226" t="str">
        <f>IFERROR(__xludf.DUMMYFUNCTION("""COMPUTED_VALUE"""),"49413")</f>
        <v>49413</v>
      </c>
      <c r="C9290" t="str">
        <f>IFERROR(__xludf.DUMMYFUNCTION("""COMPUTED_VALUE"""),"Autohak")</f>
        <v>Autohak</v>
      </c>
    </row>
    <row r="9291">
      <c r="A9291" t="str">
        <f>IFERROR(__xludf.DUMMYFUNCTION("""COMPUTED_VALUE"""),"G57A")</f>
        <v>G57A</v>
      </c>
      <c r="B9291" s="226" t="str">
        <f>IFERROR(__xludf.DUMMYFUNCTION("""COMPUTED_VALUE"""),"52413")</f>
        <v>52413</v>
      </c>
      <c r="C9291" t="str">
        <f>IFERROR(__xludf.DUMMYFUNCTION("""COMPUTED_VALUE"""),"Autohak")</f>
        <v>Autohak</v>
      </c>
    </row>
    <row r="9292">
      <c r="A9292" t="str">
        <f>IFERROR(__xludf.DUMMYFUNCTION("""COMPUTED_VALUE"""),"G57V")</f>
        <v>G57V</v>
      </c>
      <c r="B9292" s="226" t="str">
        <f>IFERROR(__xludf.DUMMYFUNCTION("""COMPUTED_VALUE"""),"52819")</f>
        <v>52819</v>
      </c>
      <c r="C9292" t="str">
        <f>IFERROR(__xludf.DUMMYFUNCTION("""COMPUTED_VALUE"""),"Autohak")</f>
        <v>Autohak</v>
      </c>
    </row>
    <row r="9293">
      <c r="A9293" t="str">
        <f>IFERROR(__xludf.DUMMYFUNCTION("""COMPUTED_VALUE"""),"G57")</f>
        <v>G57</v>
      </c>
      <c r="B9293" s="226" t="str">
        <f>IFERROR(__xludf.DUMMYFUNCTION("""COMPUTED_VALUE"""),"49413")</f>
        <v>49413</v>
      </c>
      <c r="C9293" t="str">
        <f>IFERROR(__xludf.DUMMYFUNCTION("""COMPUTED_VALUE"""),"Autohak")</f>
        <v>Autohak</v>
      </c>
    </row>
    <row r="9294">
      <c r="A9294" t="str">
        <f>IFERROR(__xludf.DUMMYFUNCTION("""COMPUTED_VALUE"""),"G57A")</f>
        <v>G57A</v>
      </c>
      <c r="B9294" s="226" t="str">
        <f>IFERROR(__xludf.DUMMYFUNCTION("""COMPUTED_VALUE"""),"52413")</f>
        <v>52413</v>
      </c>
      <c r="C9294" t="str">
        <f>IFERROR(__xludf.DUMMYFUNCTION("""COMPUTED_VALUE"""),"Autohak")</f>
        <v>Autohak</v>
      </c>
    </row>
    <row r="9295">
      <c r="A9295" t="str">
        <f>IFERROR(__xludf.DUMMYFUNCTION("""COMPUTED_VALUE"""),"G57V")</f>
        <v>G57V</v>
      </c>
      <c r="B9295" s="226" t="str">
        <f>IFERROR(__xludf.DUMMYFUNCTION("""COMPUTED_VALUE"""),"52819")</f>
        <v>52819</v>
      </c>
      <c r="C9295" t="str">
        <f>IFERROR(__xludf.DUMMYFUNCTION("""COMPUTED_VALUE"""),"Autohak")</f>
        <v>Autohak</v>
      </c>
    </row>
    <row r="9296">
      <c r="A9296" t="str">
        <f>IFERROR(__xludf.DUMMYFUNCTION("""COMPUTED_VALUE"""),"G87")</f>
        <v>G87</v>
      </c>
      <c r="B9296" s="226" t="str">
        <f>IFERROR(__xludf.DUMMYFUNCTION("""COMPUTED_VALUE"""),"49710")</f>
        <v>49710</v>
      </c>
      <c r="C9296" t="str">
        <f>IFERROR(__xludf.DUMMYFUNCTION("""COMPUTED_VALUE"""),"Autohak")</f>
        <v>Autohak</v>
      </c>
    </row>
    <row r="9297">
      <c r="A9297" t="str">
        <f>IFERROR(__xludf.DUMMYFUNCTION("""COMPUTED_VALUE"""),"G87A")</f>
        <v>G87A</v>
      </c>
      <c r="B9297" s="226" t="str">
        <f>IFERROR(__xludf.DUMMYFUNCTION("""COMPUTED_VALUE"""),"52680")</f>
        <v>52680</v>
      </c>
      <c r="C9297" t="str">
        <f>IFERROR(__xludf.DUMMYFUNCTION("""COMPUTED_VALUE"""),"Autohak")</f>
        <v>Autohak</v>
      </c>
    </row>
    <row r="9298">
      <c r="A9298" t="str">
        <f>IFERROR(__xludf.DUMMYFUNCTION("""COMPUTED_VALUE"""),"G87V")</f>
        <v>G87V</v>
      </c>
      <c r="B9298" s="226" t="str">
        <f>IFERROR(__xludf.DUMMYFUNCTION("""COMPUTED_VALUE"""),"52826")</f>
        <v>52826</v>
      </c>
      <c r="C9298" t="str">
        <f>IFERROR(__xludf.DUMMYFUNCTION("""COMPUTED_VALUE"""),"Autohak")</f>
        <v>Autohak</v>
      </c>
    </row>
    <row r="9299">
      <c r="A9299" t="str">
        <f>IFERROR(__xludf.DUMMYFUNCTION("""COMPUTED_VALUE"""),"G22")</f>
        <v>G22</v>
      </c>
      <c r="B9299" s="226" t="str">
        <f>IFERROR(__xludf.DUMMYFUNCTION("""COMPUTED_VALUE"""),"49222")</f>
        <v>49222</v>
      </c>
      <c r="C9299" t="str">
        <f>IFERROR(__xludf.DUMMYFUNCTION("""COMPUTED_VALUE"""),"Autohak")</f>
        <v>Autohak</v>
      </c>
    </row>
    <row r="9300">
      <c r="A9300" t="str">
        <f>IFERROR(__xludf.DUMMYFUNCTION("""COMPUTED_VALUE"""),"G22A")</f>
        <v>G22A</v>
      </c>
      <c r="B9300" s="226" t="str">
        <f>IFERROR(__xludf.DUMMYFUNCTION("""COMPUTED_VALUE"""),"52222")</f>
        <v>52222</v>
      </c>
      <c r="C9300" t="str">
        <f>IFERROR(__xludf.DUMMYFUNCTION("""COMPUTED_VALUE"""),"Autohak")</f>
        <v>Autohak</v>
      </c>
    </row>
    <row r="9301">
      <c r="A9301" t="str">
        <f>IFERROR(__xludf.DUMMYFUNCTION("""COMPUTED_VALUE"""),"G43")</f>
        <v>G43</v>
      </c>
      <c r="B9301" s="226" t="str">
        <f>IFERROR(__xludf.DUMMYFUNCTION("""COMPUTED_VALUE"""),"49192")</f>
        <v>49192</v>
      </c>
      <c r="C9301" t="str">
        <f>IFERROR(__xludf.DUMMYFUNCTION("""COMPUTED_VALUE"""),"Autohak")</f>
        <v>Autohak</v>
      </c>
    </row>
    <row r="9302">
      <c r="A9302" t="str">
        <f>IFERROR(__xludf.DUMMYFUNCTION("""COMPUTED_VALUE"""),"G43A")</f>
        <v>G43A</v>
      </c>
      <c r="B9302" s="226" t="str">
        <f>IFERROR(__xludf.DUMMYFUNCTION("""COMPUTED_VALUE"""),"52192")</f>
        <v>52192</v>
      </c>
      <c r="C9302" t="str">
        <f>IFERROR(__xludf.DUMMYFUNCTION("""COMPUTED_VALUE"""),"Autohak")</f>
        <v>Autohak</v>
      </c>
    </row>
    <row r="9303">
      <c r="A9303" t="str">
        <f>IFERROR(__xludf.DUMMYFUNCTION("""COMPUTED_VALUE"""),"G93")</f>
        <v>G93</v>
      </c>
      <c r="B9303" s="226" t="str">
        <f>IFERROR(__xludf.DUMMYFUNCTION("""COMPUTED_VALUE"""),"49772")</f>
        <v>49772</v>
      </c>
      <c r="C9303" t="str">
        <f>IFERROR(__xludf.DUMMYFUNCTION("""COMPUTED_VALUE"""),"Autohak")</f>
        <v>Autohak</v>
      </c>
    </row>
    <row r="9304">
      <c r="A9304" t="str">
        <f>IFERROR(__xludf.DUMMYFUNCTION("""COMPUTED_VALUE"""),"G93A")</f>
        <v>G93A</v>
      </c>
      <c r="B9304" s="226" t="str">
        <f>IFERROR(__xludf.DUMMYFUNCTION("""COMPUTED_VALUE"""),"52734")</f>
        <v>52734</v>
      </c>
      <c r="C9304" t="str">
        <f>IFERROR(__xludf.DUMMYFUNCTION("""COMPUTED_VALUE"""),"Autohak")</f>
        <v>Autohak</v>
      </c>
    </row>
    <row r="9305">
      <c r="A9305" t="str">
        <f>IFERROR(__xludf.DUMMYFUNCTION("""COMPUTED_VALUE"""),"G93V")</f>
        <v>G93V</v>
      </c>
      <c r="B9305" s="226" t="str">
        <f>IFERROR(__xludf.DUMMYFUNCTION("""COMPUTED_VALUE"""),"52741")</f>
        <v>52741</v>
      </c>
      <c r="C9305" t="str">
        <f>IFERROR(__xludf.DUMMYFUNCTION("""COMPUTED_VALUE"""),"Autohak")</f>
        <v>Autohak</v>
      </c>
    </row>
    <row r="9306">
      <c r="A9306" t="str">
        <f>IFERROR(__xludf.DUMMYFUNCTION("""COMPUTED_VALUE"""),"G33")</f>
        <v>G33</v>
      </c>
      <c r="B9306" s="226" t="str">
        <f>IFERROR(__xludf.DUMMYFUNCTION("""COMPUTED_VALUE"""),"49208")</f>
        <v>49208</v>
      </c>
      <c r="C9306" t="str">
        <f>IFERROR(__xludf.DUMMYFUNCTION("""COMPUTED_VALUE"""),"Autohak")</f>
        <v>Autohak</v>
      </c>
    </row>
    <row r="9307">
      <c r="A9307" t="str">
        <f>IFERROR(__xludf.DUMMYFUNCTION("""COMPUTED_VALUE"""),"G33A")</f>
        <v>G33A</v>
      </c>
      <c r="B9307" s="226" t="str">
        <f>IFERROR(__xludf.DUMMYFUNCTION("""COMPUTED_VALUE"""),"52208")</f>
        <v>52208</v>
      </c>
      <c r="C9307" t="str">
        <f>IFERROR(__xludf.DUMMYFUNCTION("""COMPUTED_VALUE"""),"Autohak")</f>
        <v>Autohak</v>
      </c>
    </row>
    <row r="9308">
      <c r="A9308" t="str">
        <f>IFERROR(__xludf.DUMMYFUNCTION("""COMPUTED_VALUE"""),"G46")</f>
        <v>G46</v>
      </c>
      <c r="B9308" s="226" t="str">
        <f>IFERROR(__xludf.DUMMYFUNCTION("""COMPUTED_VALUE"""),"49215")</f>
        <v>49215</v>
      </c>
      <c r="C9308" t="str">
        <f>IFERROR(__xludf.DUMMYFUNCTION("""COMPUTED_VALUE"""),"Autohak")</f>
        <v>Autohak</v>
      </c>
    </row>
    <row r="9309">
      <c r="A9309" t="str">
        <f>IFERROR(__xludf.DUMMYFUNCTION("""COMPUTED_VALUE"""),"G46A")</f>
        <v>G46A</v>
      </c>
      <c r="B9309" s="226" t="str">
        <f>IFERROR(__xludf.DUMMYFUNCTION("""COMPUTED_VALUE"""),"52215")</f>
        <v>52215</v>
      </c>
      <c r="C9309" t="str">
        <f>IFERROR(__xludf.DUMMYFUNCTION("""COMPUTED_VALUE"""),"Autohak")</f>
        <v>Autohak</v>
      </c>
    </row>
    <row r="9310">
      <c r="A9310" t="str">
        <f>IFERROR(__xludf.DUMMYFUNCTION("""COMPUTED_VALUE"""),"G46V")</f>
        <v>G46V</v>
      </c>
      <c r="B9310" s="226" t="str">
        <f>IFERROR(__xludf.DUMMYFUNCTION("""COMPUTED_VALUE"""),"52918")</f>
        <v>52918</v>
      </c>
      <c r="C9310" t="str">
        <f>IFERROR(__xludf.DUMMYFUNCTION("""COMPUTED_VALUE"""),"Autohak")</f>
        <v>Autohak</v>
      </c>
    </row>
    <row r="9311">
      <c r="A9311" t="str">
        <f>IFERROR(__xludf.DUMMYFUNCTION("""COMPUTED_VALUE"""),"G64")</f>
        <v>G64</v>
      </c>
      <c r="B9311" s="226" t="str">
        <f>IFERROR(__xludf.DUMMYFUNCTION("""COMPUTED_VALUE"""),"49482")</f>
        <v>49482</v>
      </c>
      <c r="C9311" t="str">
        <f>IFERROR(__xludf.DUMMYFUNCTION("""COMPUTED_VALUE"""),"Autohak")</f>
        <v>Autohak</v>
      </c>
    </row>
    <row r="9312">
      <c r="A9312" t="str">
        <f>IFERROR(__xludf.DUMMYFUNCTION("""COMPUTED_VALUE"""),"G64A")</f>
        <v>G64A</v>
      </c>
      <c r="B9312" s="226" t="str">
        <f>IFERROR(__xludf.DUMMYFUNCTION("""COMPUTED_VALUE"""),"52482")</f>
        <v>52482</v>
      </c>
      <c r="C9312" t="str">
        <f>IFERROR(__xludf.DUMMYFUNCTION("""COMPUTED_VALUE"""),"Autohak")</f>
        <v>Autohak</v>
      </c>
    </row>
    <row r="9313">
      <c r="A9313" t="str">
        <f>IFERROR(__xludf.DUMMYFUNCTION("""COMPUTED_VALUE"""),"G64V")</f>
        <v>G64V</v>
      </c>
      <c r="B9313" s="226" t="str">
        <f>IFERROR(__xludf.DUMMYFUNCTION("""COMPUTED_VALUE"""),"52949")</f>
        <v>52949</v>
      </c>
      <c r="C9313" t="str">
        <f>IFERROR(__xludf.DUMMYFUNCTION("""COMPUTED_VALUE"""),"Autohak")</f>
        <v>Autohak</v>
      </c>
    </row>
    <row r="9314">
      <c r="A9314" t="str">
        <f>IFERROR(__xludf.DUMMYFUNCTION("""COMPUTED_VALUE"""),"G64")</f>
        <v>G64</v>
      </c>
      <c r="B9314" s="226" t="str">
        <f>IFERROR(__xludf.DUMMYFUNCTION("""COMPUTED_VALUE"""),"49482")</f>
        <v>49482</v>
      </c>
      <c r="C9314" t="str">
        <f>IFERROR(__xludf.DUMMYFUNCTION("""COMPUTED_VALUE"""),"Autohak")</f>
        <v>Autohak</v>
      </c>
    </row>
    <row r="9315">
      <c r="A9315" t="str">
        <f>IFERROR(__xludf.DUMMYFUNCTION("""COMPUTED_VALUE"""),"G64A")</f>
        <v>G64A</v>
      </c>
      <c r="B9315" s="226" t="str">
        <f>IFERROR(__xludf.DUMMYFUNCTION("""COMPUTED_VALUE"""),"52482")</f>
        <v>52482</v>
      </c>
      <c r="C9315" t="str">
        <f>IFERROR(__xludf.DUMMYFUNCTION("""COMPUTED_VALUE"""),"Autohak")</f>
        <v>Autohak</v>
      </c>
    </row>
    <row r="9316">
      <c r="A9316" t="str">
        <f>IFERROR(__xludf.DUMMYFUNCTION("""COMPUTED_VALUE"""),"G64V")</f>
        <v>G64V</v>
      </c>
      <c r="B9316" s="226" t="str">
        <f>IFERROR(__xludf.DUMMYFUNCTION("""COMPUTED_VALUE"""),"52949")</f>
        <v>52949</v>
      </c>
      <c r="C9316" t="str">
        <f>IFERROR(__xludf.DUMMYFUNCTION("""COMPUTED_VALUE"""),"Autohak")</f>
        <v>Autohak</v>
      </c>
    </row>
    <row r="9317">
      <c r="A9317" t="str">
        <f>IFERROR(__xludf.DUMMYFUNCTION("""COMPUTED_VALUE"""),"G89")</f>
        <v>G89</v>
      </c>
      <c r="B9317" s="226" t="str">
        <f>IFERROR(__xludf.DUMMYFUNCTION("""COMPUTED_VALUE"""),"49734")</f>
        <v>49734</v>
      </c>
      <c r="C9317" t="str">
        <f>IFERROR(__xludf.DUMMYFUNCTION("""COMPUTED_VALUE"""),"Autohak")</f>
        <v>Autohak</v>
      </c>
    </row>
    <row r="9318">
      <c r="A9318" t="str">
        <f>IFERROR(__xludf.DUMMYFUNCTION("""COMPUTED_VALUE"""),"G89A")</f>
        <v>G89A</v>
      </c>
      <c r="B9318" s="226" t="str">
        <f>IFERROR(__xludf.DUMMYFUNCTION("""COMPUTED_VALUE"""),"52703")</f>
        <v>52703</v>
      </c>
      <c r="C9318" t="str">
        <f>IFERROR(__xludf.DUMMYFUNCTION("""COMPUTED_VALUE"""),"Autohak")</f>
        <v>Autohak</v>
      </c>
    </row>
    <row r="9319">
      <c r="A9319" t="str">
        <f>IFERROR(__xludf.DUMMYFUNCTION("""COMPUTED_VALUE"""),"G89V")</f>
        <v>G89V</v>
      </c>
      <c r="B9319" s="226" t="str">
        <f>IFERROR(__xludf.DUMMYFUNCTION("""COMPUTED_VALUE"""),"52796")</f>
        <v>52796</v>
      </c>
      <c r="C9319" t="str">
        <f>IFERROR(__xludf.DUMMYFUNCTION("""COMPUTED_VALUE"""),"Autohak")</f>
        <v>Autohak</v>
      </c>
    </row>
    <row r="9320">
      <c r="A9320" t="str">
        <f>IFERROR(__xludf.DUMMYFUNCTION("""COMPUTED_VALUE"""),"G25")</f>
        <v>G25</v>
      </c>
      <c r="B9320" s="226" t="str">
        <f>IFERROR(__xludf.DUMMYFUNCTION("""COMPUTED_VALUE"""),"49239")</f>
        <v>49239</v>
      </c>
      <c r="C9320" t="str">
        <f>IFERROR(__xludf.DUMMYFUNCTION("""COMPUTED_VALUE"""),"Autohak")</f>
        <v>Autohak</v>
      </c>
    </row>
    <row r="9321">
      <c r="A9321" t="str">
        <f>IFERROR(__xludf.DUMMYFUNCTION("""COMPUTED_VALUE"""),"G25A")</f>
        <v>G25A</v>
      </c>
      <c r="B9321" s="226" t="str">
        <f>IFERROR(__xludf.DUMMYFUNCTION("""COMPUTED_VALUE"""),"52239")</f>
        <v>52239</v>
      </c>
      <c r="C9321" t="str">
        <f>IFERROR(__xludf.DUMMYFUNCTION("""COMPUTED_VALUE"""),"Autohak")</f>
        <v>Autohak</v>
      </c>
    </row>
    <row r="9322">
      <c r="A9322" t="str">
        <f>IFERROR(__xludf.DUMMYFUNCTION("""COMPUTED_VALUE"""),"G48")</f>
        <v>G48</v>
      </c>
      <c r="B9322" s="226" t="str">
        <f>IFERROR(__xludf.DUMMYFUNCTION("""COMPUTED_VALUE"""),"49321")</f>
        <v>49321</v>
      </c>
      <c r="C9322" t="str">
        <f>IFERROR(__xludf.DUMMYFUNCTION("""COMPUTED_VALUE"""),"Autohak")</f>
        <v>Autohak</v>
      </c>
    </row>
    <row r="9323">
      <c r="A9323" t="str">
        <f>IFERROR(__xludf.DUMMYFUNCTION("""COMPUTED_VALUE"""),"G48A")</f>
        <v>G48A</v>
      </c>
      <c r="B9323" s="226" t="str">
        <f>IFERROR(__xludf.DUMMYFUNCTION("""COMPUTED_VALUE"""),"52321")</f>
        <v>52321</v>
      </c>
      <c r="C9323" t="str">
        <f>IFERROR(__xludf.DUMMYFUNCTION("""COMPUTED_VALUE"""),"Autohak")</f>
        <v>Autohak</v>
      </c>
    </row>
    <row r="9324">
      <c r="A9324" t="str">
        <f>IFERROR(__xludf.DUMMYFUNCTION("""COMPUTED_VALUE"""),"G25")</f>
        <v>G25</v>
      </c>
      <c r="B9324" s="226" t="str">
        <f>IFERROR(__xludf.DUMMYFUNCTION("""COMPUTED_VALUE"""),"49239")</f>
        <v>49239</v>
      </c>
      <c r="C9324" t="str">
        <f>IFERROR(__xludf.DUMMYFUNCTION("""COMPUTED_VALUE"""),"Autohak")</f>
        <v>Autohak</v>
      </c>
    </row>
    <row r="9325">
      <c r="A9325" t="str">
        <f>IFERROR(__xludf.DUMMYFUNCTION("""COMPUTED_VALUE"""),"G25A")</f>
        <v>G25A</v>
      </c>
      <c r="B9325" s="226" t="str">
        <f>IFERROR(__xludf.DUMMYFUNCTION("""COMPUTED_VALUE"""),"52239")</f>
        <v>52239</v>
      </c>
      <c r="C9325" t="str">
        <f>IFERROR(__xludf.DUMMYFUNCTION("""COMPUTED_VALUE"""),"Autohak")</f>
        <v>Autohak</v>
      </c>
    </row>
    <row r="9326">
      <c r="A9326" t="str">
        <f>IFERROR(__xludf.DUMMYFUNCTION("""COMPUTED_VALUE"""),"G25")</f>
        <v>G25</v>
      </c>
      <c r="B9326" s="226" t="str">
        <f>IFERROR(__xludf.DUMMYFUNCTION("""COMPUTED_VALUE"""),"49239")</f>
        <v>49239</v>
      </c>
      <c r="C9326" t="str">
        <f>IFERROR(__xludf.DUMMYFUNCTION("""COMPUTED_VALUE"""),"Autohak")</f>
        <v>Autohak</v>
      </c>
    </row>
    <row r="9327">
      <c r="A9327" t="str">
        <f>IFERROR(__xludf.DUMMYFUNCTION("""COMPUTED_VALUE"""),"G25A")</f>
        <v>G25A</v>
      </c>
      <c r="B9327" s="226" t="str">
        <f>IFERROR(__xludf.DUMMYFUNCTION("""COMPUTED_VALUE"""),"52239")</f>
        <v>52239</v>
      </c>
      <c r="C9327" t="str">
        <f>IFERROR(__xludf.DUMMYFUNCTION("""COMPUTED_VALUE"""),"Autohak")</f>
        <v>Autohak</v>
      </c>
    </row>
    <row r="9328">
      <c r="A9328" t="str">
        <f>IFERROR(__xludf.DUMMYFUNCTION("""COMPUTED_VALUE"""),"G45")</f>
        <v>G45</v>
      </c>
      <c r="B9328" s="226" t="str">
        <f>IFERROR(__xludf.DUMMYFUNCTION("""COMPUTED_VALUE"""),"49253")</f>
        <v>49253</v>
      </c>
      <c r="C9328" t="str">
        <f>IFERROR(__xludf.DUMMYFUNCTION("""COMPUTED_VALUE"""),"Autohak")</f>
        <v>Autohak</v>
      </c>
    </row>
    <row r="9329">
      <c r="A9329" t="str">
        <f>IFERROR(__xludf.DUMMYFUNCTION("""COMPUTED_VALUE"""),"G45A")</f>
        <v>G45A</v>
      </c>
      <c r="B9329" s="226" t="str">
        <f>IFERROR(__xludf.DUMMYFUNCTION("""COMPUTED_VALUE"""),"52253")</f>
        <v>52253</v>
      </c>
      <c r="C9329" t="str">
        <f>IFERROR(__xludf.DUMMYFUNCTION("""COMPUTED_VALUE"""),"Autohak")</f>
        <v>Autohak</v>
      </c>
    </row>
    <row r="9330">
      <c r="A9330" t="str">
        <f>IFERROR(__xludf.DUMMYFUNCTION("""COMPUTED_VALUE"""),"G45V")</f>
        <v>G45V</v>
      </c>
      <c r="B9330" s="226" t="str">
        <f>IFERROR(__xludf.DUMMYFUNCTION("""COMPUTED_VALUE"""),"52994")</f>
        <v>52994</v>
      </c>
      <c r="C9330" t="str">
        <f>IFERROR(__xludf.DUMMYFUNCTION("""COMPUTED_VALUE"""),"Autohak")</f>
        <v>Autohak</v>
      </c>
    </row>
    <row r="9331">
      <c r="A9331" t="str">
        <f>IFERROR(__xludf.DUMMYFUNCTION("""COMPUTED_VALUE"""),"G63")</f>
        <v>G63</v>
      </c>
      <c r="B9331" s="226" t="str">
        <f>IFERROR(__xludf.DUMMYFUNCTION("""COMPUTED_VALUE"""),"49475")</f>
        <v>49475</v>
      </c>
      <c r="C9331" t="str">
        <f>IFERROR(__xludf.DUMMYFUNCTION("""COMPUTED_VALUE"""),"Autohak")</f>
        <v>Autohak</v>
      </c>
    </row>
    <row r="9332">
      <c r="A9332" t="str">
        <f>IFERROR(__xludf.DUMMYFUNCTION("""COMPUTED_VALUE"""),"G63A")</f>
        <v>G63A</v>
      </c>
      <c r="B9332" s="226" t="str">
        <f>IFERROR(__xludf.DUMMYFUNCTION("""COMPUTED_VALUE"""),"52475")</f>
        <v>52475</v>
      </c>
      <c r="C9332" t="str">
        <f>IFERROR(__xludf.DUMMYFUNCTION("""COMPUTED_VALUE"""),"Autohak")</f>
        <v>Autohak</v>
      </c>
    </row>
    <row r="9333">
      <c r="A9333" t="str">
        <f>IFERROR(__xludf.DUMMYFUNCTION("""COMPUTED_VALUE"""),"G63V")</f>
        <v>G63V</v>
      </c>
      <c r="B9333" s="226" t="str">
        <f>IFERROR(__xludf.DUMMYFUNCTION("""COMPUTED_VALUE"""),"52956")</f>
        <v>52956</v>
      </c>
      <c r="C9333" t="str">
        <f>IFERROR(__xludf.DUMMYFUNCTION("""COMPUTED_VALUE"""),"Autohak")</f>
        <v>Autohak</v>
      </c>
    </row>
    <row r="9334">
      <c r="A9334" t="str">
        <f>IFERROR(__xludf.DUMMYFUNCTION("""COMPUTED_VALUE"""),"G91")</f>
        <v>G91</v>
      </c>
      <c r="B9334" s="226" t="str">
        <f>IFERROR(__xludf.DUMMYFUNCTION("""COMPUTED_VALUE"""),"49758")</f>
        <v>49758</v>
      </c>
      <c r="C9334" t="str">
        <f>IFERROR(__xludf.DUMMYFUNCTION("""COMPUTED_VALUE"""),"Autohak")</f>
        <v>Autohak</v>
      </c>
    </row>
    <row r="9335">
      <c r="A9335" t="str">
        <f>IFERROR(__xludf.DUMMYFUNCTION("""COMPUTED_VALUE"""),"G91A")</f>
        <v>G91A</v>
      </c>
      <c r="B9335" s="226" t="str">
        <f>IFERROR(__xludf.DUMMYFUNCTION("""COMPUTED_VALUE"""),"52710")</f>
        <v>52710</v>
      </c>
      <c r="C9335" t="str">
        <f>IFERROR(__xludf.DUMMYFUNCTION("""COMPUTED_VALUE"""),"Autohak")</f>
        <v>Autohak</v>
      </c>
    </row>
    <row r="9336">
      <c r="A9336" t="str">
        <f>IFERROR(__xludf.DUMMYFUNCTION("""COMPUTED_VALUE"""),"G91V")</f>
        <v>G91V</v>
      </c>
      <c r="B9336" s="226" t="str">
        <f>IFERROR(__xludf.DUMMYFUNCTION("""COMPUTED_VALUE"""),"52789")</f>
        <v>52789</v>
      </c>
      <c r="C9336" t="str">
        <f>IFERROR(__xludf.DUMMYFUNCTION("""COMPUTED_VALUE"""),"Autohak")</f>
        <v>Autohak</v>
      </c>
    </row>
    <row r="9337">
      <c r="A9337" t="str">
        <f>IFERROR(__xludf.DUMMYFUNCTION("""COMPUTED_VALUE"""),"G91")</f>
        <v>G91</v>
      </c>
      <c r="B9337" s="226" t="str">
        <f>IFERROR(__xludf.DUMMYFUNCTION("""COMPUTED_VALUE"""),"49758")</f>
        <v>49758</v>
      </c>
      <c r="C9337" t="str">
        <f>IFERROR(__xludf.DUMMYFUNCTION("""COMPUTED_VALUE"""),"Autohak")</f>
        <v>Autohak</v>
      </c>
    </row>
    <row r="9338">
      <c r="A9338" t="str">
        <f>IFERROR(__xludf.DUMMYFUNCTION("""COMPUTED_VALUE"""),"G91A")</f>
        <v>G91A</v>
      </c>
      <c r="B9338" s="226" t="str">
        <f>IFERROR(__xludf.DUMMYFUNCTION("""COMPUTED_VALUE"""),"52710")</f>
        <v>52710</v>
      </c>
      <c r="C9338" t="str">
        <f>IFERROR(__xludf.DUMMYFUNCTION("""COMPUTED_VALUE"""),"Autohak")</f>
        <v>Autohak</v>
      </c>
    </row>
    <row r="9339">
      <c r="A9339" t="str">
        <f>IFERROR(__xludf.DUMMYFUNCTION("""COMPUTED_VALUE"""),"G91V")</f>
        <v>G91V</v>
      </c>
      <c r="B9339" s="226" t="str">
        <f>IFERROR(__xludf.DUMMYFUNCTION("""COMPUTED_VALUE"""),"52789")</f>
        <v>52789</v>
      </c>
      <c r="C9339" t="str">
        <f>IFERROR(__xludf.DUMMYFUNCTION("""COMPUTED_VALUE"""),"Autohak")</f>
        <v>Autohak</v>
      </c>
    </row>
    <row r="9340">
      <c r="A9340" t="str">
        <f>IFERROR(__xludf.DUMMYFUNCTION("""COMPUTED_VALUE"""),"G20")</f>
        <v>G20</v>
      </c>
      <c r="B9340" s="226" t="str">
        <f>IFERROR(__xludf.DUMMYFUNCTION("""COMPUTED_VALUE"""),"49277")</f>
        <v>49277</v>
      </c>
      <c r="C9340" t="str">
        <f>IFERROR(__xludf.DUMMYFUNCTION("""COMPUTED_VALUE"""),"Autohak")</f>
        <v>Autohak</v>
      </c>
    </row>
    <row r="9341">
      <c r="A9341" t="str">
        <f>IFERROR(__xludf.DUMMYFUNCTION("""COMPUTED_VALUE"""),"G20A")</f>
        <v>G20A</v>
      </c>
      <c r="B9341" s="226" t="str">
        <f>IFERROR(__xludf.DUMMYFUNCTION("""COMPUTED_VALUE"""),"52277")</f>
        <v>52277</v>
      </c>
      <c r="C9341" t="str">
        <f>IFERROR(__xludf.DUMMYFUNCTION("""COMPUTED_VALUE"""),"Autohak")</f>
        <v>Autohak</v>
      </c>
    </row>
    <row r="9342">
      <c r="A9342" t="str">
        <f>IFERROR(__xludf.DUMMYFUNCTION("""COMPUTED_VALUE"""),"G86")</f>
        <v>G86</v>
      </c>
      <c r="B9342" s="226" t="str">
        <f>IFERROR(__xludf.DUMMYFUNCTION("""COMPUTED_VALUE"""),"49703")</f>
        <v>49703</v>
      </c>
      <c r="C9342" t="str">
        <f>IFERROR(__xludf.DUMMYFUNCTION("""COMPUTED_VALUE"""),"Autohak")</f>
        <v>Autohak</v>
      </c>
    </row>
    <row r="9343">
      <c r="A9343" t="str">
        <f>IFERROR(__xludf.DUMMYFUNCTION("""COMPUTED_VALUE"""),"G86A")</f>
        <v>G86A</v>
      </c>
      <c r="B9343" s="226" t="str">
        <f>IFERROR(__xludf.DUMMYFUNCTION("""COMPUTED_VALUE"""),"52673")</f>
        <v>52673</v>
      </c>
      <c r="C9343" t="str">
        <f>IFERROR(__xludf.DUMMYFUNCTION("""COMPUTED_VALUE"""),"Autohak")</f>
        <v>Autohak</v>
      </c>
    </row>
    <row r="9344">
      <c r="A9344" t="str">
        <f>IFERROR(__xludf.DUMMYFUNCTION("""COMPUTED_VALUE"""),"G86V")</f>
        <v>G86V</v>
      </c>
      <c r="B9344" s="226" t="str">
        <f>IFERROR(__xludf.DUMMYFUNCTION("""COMPUTED_VALUE"""),"52833")</f>
        <v>52833</v>
      </c>
      <c r="C9344" t="str">
        <f>IFERROR(__xludf.DUMMYFUNCTION("""COMPUTED_VALUE"""),"Autohak")</f>
        <v>Autohak</v>
      </c>
    </row>
    <row r="9345">
      <c r="A9345" t="str">
        <f>IFERROR(__xludf.DUMMYFUNCTION("""COMPUTED_VALUE"""),"G88")</f>
        <v>G88</v>
      </c>
      <c r="B9345" s="226" t="str">
        <f>IFERROR(__xludf.DUMMYFUNCTION("""COMPUTED_VALUE"""),"49727")</f>
        <v>49727</v>
      </c>
      <c r="C9345" t="str">
        <f>IFERROR(__xludf.DUMMYFUNCTION("""COMPUTED_VALUE"""),"Autohak")</f>
        <v>Autohak</v>
      </c>
    </row>
    <row r="9346">
      <c r="A9346" t="str">
        <f>IFERROR(__xludf.DUMMYFUNCTION("""COMPUTED_VALUE"""),"G88A")</f>
        <v>G88A</v>
      </c>
      <c r="B9346" s="226" t="str">
        <f>IFERROR(__xludf.DUMMYFUNCTION("""COMPUTED_VALUE"""),"52697")</f>
        <v>52697</v>
      </c>
      <c r="C9346" t="str">
        <f>IFERROR(__xludf.DUMMYFUNCTION("""COMPUTED_VALUE"""),"Autohak")</f>
        <v>Autohak</v>
      </c>
    </row>
    <row r="9347">
      <c r="A9347" t="str">
        <f>IFERROR(__xludf.DUMMYFUNCTION("""COMPUTED_VALUE"""),"G88V")</f>
        <v>G88V</v>
      </c>
      <c r="B9347" s="226" t="str">
        <f>IFERROR(__xludf.DUMMYFUNCTION("""COMPUTED_VALUE"""),"52802")</f>
        <v>52802</v>
      </c>
      <c r="C9347" t="str">
        <f>IFERROR(__xludf.DUMMYFUNCTION("""COMPUTED_VALUE"""),"Autohak")</f>
        <v>Autohak</v>
      </c>
    </row>
    <row r="9348">
      <c r="A9348" t="str">
        <f>IFERROR(__xludf.DUMMYFUNCTION("""COMPUTED_VALUE"""),"G37")</f>
        <v>G37</v>
      </c>
      <c r="B9348" s="226" t="str">
        <f>IFERROR(__xludf.DUMMYFUNCTION("""COMPUTED_VALUE"""),"49284")</f>
        <v>49284</v>
      </c>
      <c r="C9348" t="str">
        <f>IFERROR(__xludf.DUMMYFUNCTION("""COMPUTED_VALUE"""),"Autohak")</f>
        <v>Autohak</v>
      </c>
    </row>
    <row r="9349">
      <c r="A9349" t="str">
        <f>IFERROR(__xludf.DUMMYFUNCTION("""COMPUTED_VALUE"""),"G37A")</f>
        <v>G37A</v>
      </c>
      <c r="B9349" s="226" t="str">
        <f>IFERROR(__xludf.DUMMYFUNCTION("""COMPUTED_VALUE"""),"52284")</f>
        <v>52284</v>
      </c>
      <c r="C9349" t="str">
        <f>IFERROR(__xludf.DUMMYFUNCTION("""COMPUTED_VALUE"""),"Autohak")</f>
        <v>Autohak</v>
      </c>
    </row>
    <row r="9350">
      <c r="A9350" t="str">
        <f>IFERROR(__xludf.DUMMYFUNCTION("""COMPUTED_VALUE"""),"G37")</f>
        <v>G37</v>
      </c>
      <c r="B9350" s="226" t="str">
        <f>IFERROR(__xludf.DUMMYFUNCTION("""COMPUTED_VALUE"""),"49284")</f>
        <v>49284</v>
      </c>
      <c r="C9350" t="str">
        <f>IFERROR(__xludf.DUMMYFUNCTION("""COMPUTED_VALUE"""),"Autohak")</f>
        <v>Autohak</v>
      </c>
    </row>
    <row r="9351">
      <c r="A9351" t="str">
        <f>IFERROR(__xludf.DUMMYFUNCTION("""COMPUTED_VALUE"""),"G37A")</f>
        <v>G37A</v>
      </c>
      <c r="B9351" s="226" t="str">
        <f>IFERROR(__xludf.DUMMYFUNCTION("""COMPUTED_VALUE"""),"52284")</f>
        <v>52284</v>
      </c>
      <c r="C9351" t="str">
        <f>IFERROR(__xludf.DUMMYFUNCTION("""COMPUTED_VALUE"""),"Autohak")</f>
        <v>Autohak</v>
      </c>
    </row>
    <row r="9352">
      <c r="A9352" t="str">
        <f>IFERROR(__xludf.DUMMYFUNCTION("""COMPUTED_VALUE"""),"G40")</f>
        <v>G40</v>
      </c>
      <c r="B9352" s="226" t="str">
        <f>IFERROR(__xludf.DUMMYFUNCTION("""COMPUTED_VALUE"""),"49307")</f>
        <v>49307</v>
      </c>
      <c r="C9352" t="str">
        <f>IFERROR(__xludf.DUMMYFUNCTION("""COMPUTED_VALUE"""),"Autohak")</f>
        <v>Autohak</v>
      </c>
    </row>
    <row r="9353">
      <c r="A9353" t="str">
        <f>IFERROR(__xludf.DUMMYFUNCTION("""COMPUTED_VALUE"""),"G40A")</f>
        <v>G40A</v>
      </c>
      <c r="B9353" s="226" t="str">
        <f>IFERROR(__xludf.DUMMYFUNCTION("""COMPUTED_VALUE"""),"52628")</f>
        <v>52628</v>
      </c>
      <c r="C9353" t="str">
        <f>IFERROR(__xludf.DUMMYFUNCTION("""COMPUTED_VALUE"""),"Autohak")</f>
        <v>Autohak</v>
      </c>
    </row>
    <row r="9354">
      <c r="A9354" t="str">
        <f>IFERROR(__xludf.DUMMYFUNCTION("""COMPUTED_VALUE"""),"G40")</f>
        <v>G40</v>
      </c>
      <c r="B9354" s="226" t="str">
        <f>IFERROR(__xludf.DUMMYFUNCTION("""COMPUTED_VALUE"""),"49307")</f>
        <v>49307</v>
      </c>
      <c r="C9354" t="str">
        <f>IFERROR(__xludf.DUMMYFUNCTION("""COMPUTED_VALUE"""),"Autohak")</f>
        <v>Autohak</v>
      </c>
    </row>
    <row r="9355">
      <c r="A9355" t="str">
        <f>IFERROR(__xludf.DUMMYFUNCTION("""COMPUTED_VALUE"""),"G40A")</f>
        <v>G40A</v>
      </c>
      <c r="B9355" s="226" t="str">
        <f>IFERROR(__xludf.DUMMYFUNCTION("""COMPUTED_VALUE"""),"52628")</f>
        <v>52628</v>
      </c>
      <c r="C9355" t="str">
        <f>IFERROR(__xludf.DUMMYFUNCTION("""COMPUTED_VALUE"""),"Autohak")</f>
        <v>Autohak</v>
      </c>
    </row>
    <row r="9356">
      <c r="A9356" t="str">
        <f>IFERROR(__xludf.DUMMYFUNCTION("""COMPUTED_VALUE"""),"G83")</f>
        <v>G83</v>
      </c>
      <c r="B9356" s="226" t="str">
        <f>IFERROR(__xludf.DUMMYFUNCTION("""COMPUTED_VALUE"""),"49673")</f>
        <v>49673</v>
      </c>
      <c r="C9356" t="str">
        <f>IFERROR(__xludf.DUMMYFUNCTION("""COMPUTED_VALUE"""),"Autohak")</f>
        <v>Autohak</v>
      </c>
    </row>
    <row r="9357">
      <c r="A9357" t="str">
        <f>IFERROR(__xludf.DUMMYFUNCTION("""COMPUTED_VALUE"""),"G83A")</f>
        <v>G83A</v>
      </c>
      <c r="B9357" s="226" t="str">
        <f>IFERROR(__xludf.DUMMYFUNCTION("""COMPUTED_VALUE"""),"52642")</f>
        <v>52642</v>
      </c>
      <c r="C9357" t="str">
        <f>IFERROR(__xludf.DUMMYFUNCTION("""COMPUTED_VALUE"""),"Autohak")</f>
        <v>Autohak</v>
      </c>
    </row>
    <row r="9358">
      <c r="A9358" t="str">
        <f>IFERROR(__xludf.DUMMYFUNCTION("""COMPUTED_VALUE"""),"G83V")</f>
        <v>G83V</v>
      </c>
      <c r="B9358" s="226" t="str">
        <f>IFERROR(__xludf.DUMMYFUNCTION("""COMPUTED_VALUE"""),"52772")</f>
        <v>52772</v>
      </c>
      <c r="C9358" t="str">
        <f>IFERROR(__xludf.DUMMYFUNCTION("""COMPUTED_VALUE"""),"Autohak")</f>
        <v>Autohak</v>
      </c>
    </row>
    <row r="9359">
      <c r="A9359" t="str">
        <f>IFERROR(__xludf.DUMMYFUNCTION("""COMPUTED_VALUE"""),"G71")</f>
        <v>G71</v>
      </c>
      <c r="B9359" s="226" t="str">
        <f>IFERROR(__xludf.DUMMYFUNCTION("""COMPUTED_VALUE"""),"49550")</f>
        <v>49550</v>
      </c>
      <c r="C9359" t="str">
        <f>IFERROR(__xludf.DUMMYFUNCTION("""COMPUTED_VALUE"""),"Autohak")</f>
        <v>Autohak</v>
      </c>
    </row>
    <row r="9360">
      <c r="A9360" t="str">
        <f>IFERROR(__xludf.DUMMYFUNCTION("""COMPUTED_VALUE"""),"G71A")</f>
        <v>G71A</v>
      </c>
      <c r="B9360" s="226" t="str">
        <f>IFERROR(__xludf.DUMMYFUNCTION("""COMPUTED_VALUE"""),"52512")</f>
        <v>52512</v>
      </c>
      <c r="C9360" t="str">
        <f>IFERROR(__xludf.DUMMYFUNCTION("""COMPUTED_VALUE"""),"Autohak")</f>
        <v>Autohak</v>
      </c>
    </row>
    <row r="9361">
      <c r="A9361" t="str">
        <f>IFERROR(__xludf.DUMMYFUNCTION("""COMPUTED_VALUE"""),"SA01")</f>
        <v>SA01</v>
      </c>
      <c r="B9361" s="226" t="str">
        <f>IFERROR(__xludf.DUMMYFUNCTION("""COMPUTED_VALUE"""),"67509")</f>
        <v>67509</v>
      </c>
      <c r="C9361" t="str">
        <f>IFERROR(__xludf.DUMMYFUNCTION("""COMPUTED_VALUE"""),"Autohak")</f>
        <v>Autohak</v>
      </c>
    </row>
    <row r="9362">
      <c r="A9362" t="str">
        <f>IFERROR(__xludf.DUMMYFUNCTION("""COMPUTED_VALUE"""),"SA01A")</f>
        <v>SA01A</v>
      </c>
      <c r="B9362" s="226" t="str">
        <f>IFERROR(__xludf.DUMMYFUNCTION("""COMPUTED_VALUE"""),"68506")</f>
        <v>68506</v>
      </c>
      <c r="C9362" t="str">
        <f>IFERROR(__xludf.DUMMYFUNCTION("""COMPUTED_VALUE"""),"Autohak")</f>
        <v>Autohak</v>
      </c>
    </row>
    <row r="9363">
      <c r="A9363" t="str">
        <f>IFERROR(__xludf.DUMMYFUNCTION("""COMPUTED_VALUE"""),"SA01V")</f>
        <v>SA01V</v>
      </c>
      <c r="B9363" s="226" t="str">
        <f>IFERROR(__xludf.DUMMYFUNCTION("""COMPUTED_VALUE"""),"68971")</f>
        <v>68971</v>
      </c>
      <c r="C9363" t="str">
        <f>IFERROR(__xludf.DUMMYFUNCTION("""COMPUTED_VALUE"""),"Autohak")</f>
        <v>Autohak</v>
      </c>
    </row>
    <row r="9364">
      <c r="A9364" t="str">
        <f>IFERROR(__xludf.DUMMYFUNCTION("""COMPUTED_VALUE"""),"SA02")</f>
        <v>SA02</v>
      </c>
      <c r="B9364" s="226" t="str">
        <f>IFERROR(__xludf.DUMMYFUNCTION("""COMPUTED_VALUE"""),"67516")</f>
        <v>67516</v>
      </c>
      <c r="C9364" t="str">
        <f>IFERROR(__xludf.DUMMYFUNCTION("""COMPUTED_VALUE"""),"Autohak")</f>
        <v>Autohak</v>
      </c>
    </row>
    <row r="9365">
      <c r="A9365" t="str">
        <f>IFERROR(__xludf.DUMMYFUNCTION("""COMPUTED_VALUE"""),"SA02A")</f>
        <v>SA02A</v>
      </c>
      <c r="B9365" s="226" t="str">
        <f>IFERROR(__xludf.DUMMYFUNCTION("""COMPUTED_VALUE"""),"68513")</f>
        <v>68513</v>
      </c>
      <c r="C9365" t="str">
        <f>IFERROR(__xludf.DUMMYFUNCTION("""COMPUTED_VALUE"""),"Autohak")</f>
        <v>Autohak</v>
      </c>
    </row>
    <row r="9366">
      <c r="A9366" t="str">
        <f>IFERROR(__xludf.DUMMYFUNCTION("""COMPUTED_VALUE"""),"C33")</f>
        <v>C33</v>
      </c>
      <c r="B9366" s="226" t="str">
        <f>IFERROR(__xludf.DUMMYFUNCTION("""COMPUTED_VALUE"""),"17214")</f>
        <v>17214</v>
      </c>
      <c r="C9366" t="str">
        <f>IFERROR(__xludf.DUMMYFUNCTION("""COMPUTED_VALUE"""),"Autohak")</f>
        <v>Autohak</v>
      </c>
    </row>
    <row r="9367">
      <c r="A9367" t="str">
        <f>IFERROR(__xludf.DUMMYFUNCTION("""COMPUTED_VALUE"""),"C33A")</f>
        <v>C33A</v>
      </c>
      <c r="B9367" s="226" t="str">
        <f>IFERROR(__xludf.DUMMYFUNCTION("""COMPUTED_VALUE"""),"19218")</f>
        <v>19218</v>
      </c>
      <c r="C9367" t="str">
        <f>IFERROR(__xludf.DUMMYFUNCTION("""COMPUTED_VALUE"""),"Autohak")</f>
        <v>Autohak</v>
      </c>
    </row>
    <row r="9368">
      <c r="A9368" t="str">
        <f>IFERROR(__xludf.DUMMYFUNCTION("""COMPUTED_VALUE"""),"C39")</f>
        <v>C39</v>
      </c>
      <c r="B9368" s="226" t="str">
        <f>IFERROR(__xludf.DUMMYFUNCTION("""COMPUTED_VALUE"""),"17221")</f>
        <v>17221</v>
      </c>
      <c r="C9368" t="str">
        <f>IFERROR(__xludf.DUMMYFUNCTION("""COMPUTED_VALUE"""),"Autohak")</f>
        <v>Autohak</v>
      </c>
    </row>
    <row r="9369">
      <c r="A9369" t="str">
        <f>IFERROR(__xludf.DUMMYFUNCTION("""COMPUTED_VALUE"""),"C39A")</f>
        <v>C39A</v>
      </c>
      <c r="B9369" s="226" t="str">
        <f>IFERROR(__xludf.DUMMYFUNCTION("""COMPUTED_VALUE"""),"19225")</f>
        <v>19225</v>
      </c>
      <c r="C9369" t="str">
        <f>IFERROR(__xludf.DUMMYFUNCTION("""COMPUTED_VALUE"""),"Autohak")</f>
        <v>Autohak</v>
      </c>
    </row>
    <row r="9370">
      <c r="A9370" t="str">
        <f>IFERROR(__xludf.DUMMYFUNCTION("""COMPUTED_VALUE"""),"C39V")</f>
        <v>C39V</v>
      </c>
      <c r="B9370" s="226" t="str">
        <f>IFERROR(__xludf.DUMMYFUNCTION("""COMPUTED_VALUE"""),"19997")</f>
        <v>19997</v>
      </c>
      <c r="C9370" t="str">
        <f>IFERROR(__xludf.DUMMYFUNCTION("""COMPUTED_VALUE"""),"Autohak")</f>
        <v>Autohak</v>
      </c>
    </row>
    <row r="9371">
      <c r="A9371" t="str">
        <f>IFERROR(__xludf.DUMMYFUNCTION("""COMPUTED_VALUE"""),"K54")</f>
        <v>K54</v>
      </c>
      <c r="B9371" s="226" t="str">
        <f>IFERROR(__xludf.DUMMYFUNCTION("""COMPUTED_VALUE"""),"69411")</f>
        <v>69411</v>
      </c>
      <c r="C9371" t="str">
        <f>IFERROR(__xludf.DUMMYFUNCTION("""COMPUTED_VALUE"""),"Autohak")</f>
        <v>Autohak</v>
      </c>
    </row>
    <row r="9372">
      <c r="A9372" t="str">
        <f>IFERROR(__xludf.DUMMYFUNCTION("""COMPUTED_VALUE"""),"K54A")</f>
        <v>K54A</v>
      </c>
      <c r="B9372" s="226" t="str">
        <f>IFERROR(__xludf.DUMMYFUNCTION("""COMPUTED_VALUE"""),"72411")</f>
        <v>72411</v>
      </c>
      <c r="C9372" t="str">
        <f>IFERROR(__xludf.DUMMYFUNCTION("""COMPUTED_VALUE"""),"Autohak")</f>
        <v>Autohak</v>
      </c>
    </row>
    <row r="9373">
      <c r="A9373" t="str">
        <f>IFERROR(__xludf.DUMMYFUNCTION("""COMPUTED_VALUE"""),"K54V")</f>
        <v>K54V</v>
      </c>
      <c r="B9373" s="226" t="str">
        <f>IFERROR(__xludf.DUMMYFUNCTION("""COMPUTED_VALUE"""),"72930")</f>
        <v>72930</v>
      </c>
      <c r="C9373" t="str">
        <f>IFERROR(__xludf.DUMMYFUNCTION("""COMPUTED_VALUE"""),"Autohak")</f>
        <v>Autohak</v>
      </c>
    </row>
    <row r="9374">
      <c r="A9374" t="str">
        <f>IFERROR(__xludf.DUMMYFUNCTION("""COMPUTED_VALUE"""),"K60")</f>
        <v>K60</v>
      </c>
      <c r="B9374" s="226" t="str">
        <f>IFERROR(__xludf.DUMMYFUNCTION("""COMPUTED_VALUE"""),"69473")</f>
        <v>69473</v>
      </c>
      <c r="C9374" t="str">
        <f>IFERROR(__xludf.DUMMYFUNCTION("""COMPUTED_VALUE"""),"Autohak")</f>
        <v>Autohak</v>
      </c>
    </row>
    <row r="9375">
      <c r="A9375" t="str">
        <f>IFERROR(__xludf.DUMMYFUNCTION("""COMPUTED_VALUE"""),"K60A")</f>
        <v>K60A</v>
      </c>
      <c r="B9375" s="226" t="str">
        <f>IFERROR(__xludf.DUMMYFUNCTION("""COMPUTED_VALUE"""),"72466")</f>
        <v>72466</v>
      </c>
      <c r="C9375" t="str">
        <f>IFERROR(__xludf.DUMMYFUNCTION("""COMPUTED_VALUE"""),"Autohak")</f>
        <v>Autohak</v>
      </c>
    </row>
    <row r="9376">
      <c r="A9376" t="str">
        <f>IFERROR(__xludf.DUMMYFUNCTION("""COMPUTED_VALUE"""),"K60V")</f>
        <v>K60V</v>
      </c>
      <c r="B9376" s="226" t="str">
        <f>IFERROR(__xludf.DUMMYFUNCTION("""COMPUTED_VALUE"""),"72855")</f>
        <v>72855</v>
      </c>
      <c r="C9376" t="str">
        <f>IFERROR(__xludf.DUMMYFUNCTION("""COMPUTED_VALUE"""),"Autohak")</f>
        <v>Autohak</v>
      </c>
    </row>
    <row r="9377">
      <c r="A9377" t="str">
        <f>IFERROR(__xludf.DUMMYFUNCTION("""COMPUTED_VALUE"""),"SC43")</f>
        <v>SC43</v>
      </c>
      <c r="B9377" s="226" t="str">
        <f>IFERROR(__xludf.DUMMYFUNCTION("""COMPUTED_VALUE"""),"53113")</f>
        <v>53113</v>
      </c>
      <c r="C9377" t="str">
        <f>IFERROR(__xludf.DUMMYFUNCTION("""COMPUTED_VALUE"""),"Autohak")</f>
        <v>Autohak</v>
      </c>
    </row>
    <row r="9378">
      <c r="A9378" t="str">
        <f>IFERROR(__xludf.DUMMYFUNCTION("""COMPUTED_VALUE"""),"SC43A")</f>
        <v>SC43A</v>
      </c>
      <c r="B9378" s="226" t="str">
        <f>IFERROR(__xludf.DUMMYFUNCTION("""COMPUTED_VALUE"""),"54110")</f>
        <v>54110</v>
      </c>
      <c r="C9378" t="str">
        <f>IFERROR(__xludf.DUMMYFUNCTION("""COMPUTED_VALUE"""),"Autohak")</f>
        <v>Autohak</v>
      </c>
    </row>
    <row r="9379">
      <c r="A9379" t="str">
        <f>IFERROR(__xludf.DUMMYFUNCTION("""COMPUTED_VALUE"""),"SC43V")</f>
        <v>SC43V</v>
      </c>
      <c r="B9379" s="226" t="str">
        <f>IFERROR(__xludf.DUMMYFUNCTION("""COMPUTED_VALUE"""),"54998")</f>
        <v>54998</v>
      </c>
      <c r="C9379" t="str">
        <f>IFERROR(__xludf.DUMMYFUNCTION("""COMPUTED_VALUE"""),"Autohak")</f>
        <v>Autohak</v>
      </c>
    </row>
    <row r="9380">
      <c r="A9380" t="str">
        <f>IFERROR(__xludf.DUMMYFUNCTION("""COMPUTED_VALUE"""),"SC47")</f>
        <v>SC47</v>
      </c>
      <c r="B9380" s="226" t="str">
        <f>IFERROR(__xludf.DUMMYFUNCTION("""COMPUTED_VALUE"""),"53151")</f>
        <v>53151</v>
      </c>
      <c r="C9380" t="str">
        <f>IFERROR(__xludf.DUMMYFUNCTION("""COMPUTED_VALUE"""),"Autohak")</f>
        <v>Autohak</v>
      </c>
    </row>
    <row r="9381">
      <c r="A9381" t="str">
        <f>IFERROR(__xludf.DUMMYFUNCTION("""COMPUTED_VALUE"""),"SC47A")</f>
        <v>SC47A</v>
      </c>
      <c r="B9381" s="226" t="str">
        <f>IFERROR(__xludf.DUMMYFUNCTION("""COMPUTED_VALUE"""),"54158")</f>
        <v>54158</v>
      </c>
      <c r="C9381" t="str">
        <f>IFERROR(__xludf.DUMMYFUNCTION("""COMPUTED_VALUE"""),"Autohak")</f>
        <v>Autohak</v>
      </c>
    </row>
    <row r="9382">
      <c r="A9382" t="str">
        <f>IFERROR(__xludf.DUMMYFUNCTION("""COMPUTED_VALUE"""),"SC47V")</f>
        <v>SC47V</v>
      </c>
      <c r="B9382" s="226" t="str">
        <f>IFERROR(__xludf.DUMMYFUNCTION("""COMPUTED_VALUE"""),"54967")</f>
        <v>54967</v>
      </c>
      <c r="C9382" t="str">
        <f>IFERROR(__xludf.DUMMYFUNCTION("""COMPUTED_VALUE"""),"Autohak")</f>
        <v>Autohak</v>
      </c>
    </row>
    <row r="9383">
      <c r="A9383" t="str">
        <f>IFERROR(__xludf.DUMMYFUNCTION("""COMPUTED_VALUE"""),"K07")</f>
        <v>K07</v>
      </c>
      <c r="B9383" s="226" t="str">
        <f>IFERROR(__xludf.DUMMYFUNCTION("""COMPUTED_VALUE"""),"69107")</f>
        <v>69107</v>
      </c>
      <c r="C9383" t="str">
        <f>IFERROR(__xludf.DUMMYFUNCTION("""COMPUTED_VALUE"""),"Autohak")</f>
        <v>Autohak</v>
      </c>
    </row>
    <row r="9384">
      <c r="A9384" t="str">
        <f>IFERROR(__xludf.DUMMYFUNCTION("""COMPUTED_VALUE"""),"K07A")</f>
        <v>K07A</v>
      </c>
      <c r="B9384" s="226" t="str">
        <f>IFERROR(__xludf.DUMMYFUNCTION("""COMPUTED_VALUE"""),"72107")</f>
        <v>72107</v>
      </c>
      <c r="C9384" t="str">
        <f>IFERROR(__xludf.DUMMYFUNCTION("""COMPUTED_VALUE"""),"Autohak")</f>
        <v>Autohak</v>
      </c>
    </row>
    <row r="9385">
      <c r="A9385" t="str">
        <f>IFERROR(__xludf.DUMMYFUNCTION("""COMPUTED_VALUE"""),"K07")</f>
        <v>K07</v>
      </c>
      <c r="B9385" s="226" t="str">
        <f>IFERROR(__xludf.DUMMYFUNCTION("""COMPUTED_VALUE"""),"69107")</f>
        <v>69107</v>
      </c>
      <c r="C9385" t="str">
        <f>IFERROR(__xludf.DUMMYFUNCTION("""COMPUTED_VALUE"""),"Autohak")</f>
        <v>Autohak</v>
      </c>
    </row>
    <row r="9386">
      <c r="A9386" t="str">
        <f>IFERROR(__xludf.DUMMYFUNCTION("""COMPUTED_VALUE"""),"K07A")</f>
        <v>K07A</v>
      </c>
      <c r="B9386" s="226" t="str">
        <f>IFERROR(__xludf.DUMMYFUNCTION("""COMPUTED_VALUE"""),"72107")</f>
        <v>72107</v>
      </c>
      <c r="C9386" t="str">
        <f>IFERROR(__xludf.DUMMYFUNCTION("""COMPUTED_VALUE"""),"Autohak")</f>
        <v>Autohak</v>
      </c>
    </row>
    <row r="9387">
      <c r="A9387" t="str">
        <f>IFERROR(__xludf.DUMMYFUNCTION("""COMPUTED_VALUE"""),"K66")</f>
        <v>K66</v>
      </c>
      <c r="B9387" s="226" t="str">
        <f>IFERROR(__xludf.DUMMYFUNCTION("""COMPUTED_VALUE"""),"69572")</f>
        <v>69572</v>
      </c>
      <c r="C9387" t="str">
        <f>IFERROR(__xludf.DUMMYFUNCTION("""COMPUTED_VALUE"""),"Autohak")</f>
        <v>Autohak</v>
      </c>
    </row>
    <row r="9388">
      <c r="A9388" t="str">
        <f>IFERROR(__xludf.DUMMYFUNCTION("""COMPUTED_VALUE"""),"K66A")</f>
        <v>K66A</v>
      </c>
      <c r="B9388" s="226" t="str">
        <f>IFERROR(__xludf.DUMMYFUNCTION("""COMPUTED_VALUE"""),"72541")</f>
        <v>72541</v>
      </c>
      <c r="C9388" t="str">
        <f>IFERROR(__xludf.DUMMYFUNCTION("""COMPUTED_VALUE"""),"Autohak")</f>
        <v>Autohak</v>
      </c>
    </row>
    <row r="9389">
      <c r="A9389" t="str">
        <f>IFERROR(__xludf.DUMMYFUNCTION("""COMPUTED_VALUE"""),"K66V")</f>
        <v>K66V</v>
      </c>
      <c r="B9389" s="226" t="str">
        <f>IFERROR(__xludf.DUMMYFUNCTION("""COMPUTED_VALUE"""),"72749")</f>
        <v>72749</v>
      </c>
      <c r="C9389" t="str">
        <f>IFERROR(__xludf.DUMMYFUNCTION("""COMPUTED_VALUE"""),"Autohak")</f>
        <v>Autohak</v>
      </c>
    </row>
    <row r="9390">
      <c r="A9390" t="str">
        <f>IFERROR(__xludf.DUMMYFUNCTION("""COMPUTED_VALUE"""),"SC45")</f>
        <v>SC45</v>
      </c>
      <c r="B9390" s="226" t="str">
        <f>IFERROR(__xludf.DUMMYFUNCTION("""COMPUTED_VALUE"""),"53137")</f>
        <v>53137</v>
      </c>
      <c r="C9390" t="str">
        <f>IFERROR(__xludf.DUMMYFUNCTION("""COMPUTED_VALUE"""),"Autohak")</f>
        <v>Autohak</v>
      </c>
    </row>
    <row r="9391">
      <c r="A9391" t="str">
        <f>IFERROR(__xludf.DUMMYFUNCTION("""COMPUTED_VALUE"""),"SC45A")</f>
        <v>SC45A</v>
      </c>
      <c r="B9391" s="226" t="str">
        <f>IFERROR(__xludf.DUMMYFUNCTION("""COMPUTED_VALUE"""),"54134")</f>
        <v>54134</v>
      </c>
      <c r="C9391" t="str">
        <f>IFERROR(__xludf.DUMMYFUNCTION("""COMPUTED_VALUE"""),"Autohak")</f>
        <v>Autohak</v>
      </c>
    </row>
    <row r="9392">
      <c r="A9392" t="str">
        <f>IFERROR(__xludf.DUMMYFUNCTION("""COMPUTED_VALUE"""),"SC45V")</f>
        <v>SC45V</v>
      </c>
      <c r="B9392" s="226" t="str">
        <f>IFERROR(__xludf.DUMMYFUNCTION("""COMPUTED_VALUE"""),"54974")</f>
        <v>54974</v>
      </c>
      <c r="C9392" t="str">
        <f>IFERROR(__xludf.DUMMYFUNCTION("""COMPUTED_VALUE"""),"Autohak")</f>
        <v>Autohak</v>
      </c>
    </row>
    <row r="9393">
      <c r="A9393" t="str">
        <f>IFERROR(__xludf.DUMMYFUNCTION("""COMPUTED_VALUE"""),"SC40")</f>
        <v>SC40</v>
      </c>
      <c r="B9393" s="226" t="str">
        <f>IFERROR(__xludf.DUMMYFUNCTION("""COMPUTED_VALUE"""),"53007")</f>
        <v>53007</v>
      </c>
      <c r="C9393" t="str">
        <f>IFERROR(__xludf.DUMMYFUNCTION("""COMPUTED_VALUE"""),"Autohak")</f>
        <v>Autohak</v>
      </c>
    </row>
    <row r="9394">
      <c r="A9394" t="str">
        <f>IFERROR(__xludf.DUMMYFUNCTION("""COMPUTED_VALUE"""),"SC40A")</f>
        <v>SC40A</v>
      </c>
      <c r="B9394" s="226" t="str">
        <f>IFERROR(__xludf.DUMMYFUNCTION("""COMPUTED_VALUE"""),"54004")</f>
        <v>54004</v>
      </c>
      <c r="C9394" t="str">
        <f>IFERROR(__xludf.DUMMYFUNCTION("""COMPUTED_VALUE"""),"Autohak")</f>
        <v>Autohak</v>
      </c>
    </row>
    <row r="9395">
      <c r="A9395" t="str">
        <f>IFERROR(__xludf.DUMMYFUNCTION("""COMPUTED_VALUE"""),"K22")</f>
        <v>K22</v>
      </c>
      <c r="B9395" s="226" t="str">
        <f>IFERROR(__xludf.DUMMYFUNCTION("""COMPUTED_VALUE"""),"69251")</f>
        <v>69251</v>
      </c>
      <c r="C9395" t="str">
        <f>IFERROR(__xludf.DUMMYFUNCTION("""COMPUTED_VALUE"""),"Autohak")</f>
        <v>Autohak</v>
      </c>
    </row>
    <row r="9396">
      <c r="A9396" t="str">
        <f>IFERROR(__xludf.DUMMYFUNCTION("""COMPUTED_VALUE"""),"K22A")</f>
        <v>K22A</v>
      </c>
      <c r="B9396" s="226" t="str">
        <f>IFERROR(__xludf.DUMMYFUNCTION("""COMPUTED_VALUE"""),"72251")</f>
        <v>72251</v>
      </c>
      <c r="C9396" t="str">
        <f>IFERROR(__xludf.DUMMYFUNCTION("""COMPUTED_VALUE"""),"Autohak")</f>
        <v>Autohak</v>
      </c>
    </row>
    <row r="9397">
      <c r="A9397" t="str">
        <f>IFERROR(__xludf.DUMMYFUNCTION("""COMPUTED_VALUE"""),"K22")</f>
        <v>K22</v>
      </c>
      <c r="B9397" s="226" t="str">
        <f>IFERROR(__xludf.DUMMYFUNCTION("""COMPUTED_VALUE"""),"69251")</f>
        <v>69251</v>
      </c>
      <c r="C9397" t="str">
        <f>IFERROR(__xludf.DUMMYFUNCTION("""COMPUTED_VALUE"""),"Autohak")</f>
        <v>Autohak</v>
      </c>
    </row>
    <row r="9398">
      <c r="A9398" t="str">
        <f>IFERROR(__xludf.DUMMYFUNCTION("""COMPUTED_VALUE"""),"K22A")</f>
        <v>K22A</v>
      </c>
      <c r="B9398" s="226" t="str">
        <f>IFERROR(__xludf.DUMMYFUNCTION("""COMPUTED_VALUE"""),"72251")</f>
        <v>72251</v>
      </c>
      <c r="C9398" t="str">
        <f>IFERROR(__xludf.DUMMYFUNCTION("""COMPUTED_VALUE"""),"Autohak")</f>
        <v>Autohak</v>
      </c>
    </row>
    <row r="9399">
      <c r="A9399" s="226" t="str">
        <f>IFERROR(__xludf.DUMMYFUNCTION("""COMPUTED_VALUE"""),"SC41")</f>
        <v>SC41</v>
      </c>
      <c r="B9399" s="226" t="str">
        <f>IFERROR(__xludf.DUMMYFUNCTION("""COMPUTED_VALUE"""),"53014")</f>
        <v>53014</v>
      </c>
      <c r="C9399" t="str">
        <f>IFERROR(__xludf.DUMMYFUNCTION("""COMPUTED_VALUE"""),"Autohak")</f>
        <v>Autohak</v>
      </c>
    </row>
    <row r="9400">
      <c r="A9400" s="226" t="str">
        <f>IFERROR(__xludf.DUMMYFUNCTION("""COMPUTED_VALUE"""),"SC41A")</f>
        <v>SC41A</v>
      </c>
      <c r="B9400" s="226" t="str">
        <f>IFERROR(__xludf.DUMMYFUNCTION("""COMPUTED_VALUE"""),"54011")</f>
        <v>54011</v>
      </c>
      <c r="C9400" t="str">
        <f>IFERROR(__xludf.DUMMYFUNCTION("""COMPUTED_VALUE"""),"Autohak")</f>
        <v>Autohak</v>
      </c>
    </row>
    <row r="9401">
      <c r="A9401" t="str">
        <f>IFERROR(__xludf.DUMMYFUNCTION("""COMPUTED_VALUE"""),"K22")</f>
        <v>K22</v>
      </c>
      <c r="B9401" s="226" t="str">
        <f>IFERROR(__xludf.DUMMYFUNCTION("""COMPUTED_VALUE"""),"69251")</f>
        <v>69251</v>
      </c>
      <c r="C9401" t="str">
        <f>IFERROR(__xludf.DUMMYFUNCTION("""COMPUTED_VALUE"""),"Autohak")</f>
        <v>Autohak</v>
      </c>
    </row>
    <row r="9402">
      <c r="A9402" t="str">
        <f>IFERROR(__xludf.DUMMYFUNCTION("""COMPUTED_VALUE"""),"K22A")</f>
        <v>K22A</v>
      </c>
      <c r="B9402" s="226" t="str">
        <f>IFERROR(__xludf.DUMMYFUNCTION("""COMPUTED_VALUE"""),"72251")</f>
        <v>72251</v>
      </c>
      <c r="C9402" t="str">
        <f>IFERROR(__xludf.DUMMYFUNCTION("""COMPUTED_VALUE"""),"Autohak")</f>
        <v>Autohak</v>
      </c>
    </row>
    <row r="9403">
      <c r="A9403" t="str">
        <f>IFERROR(__xludf.DUMMYFUNCTION("""COMPUTED_VALUE"""),"K22")</f>
        <v>K22</v>
      </c>
      <c r="B9403" s="226" t="str">
        <f>IFERROR(__xludf.DUMMYFUNCTION("""COMPUTED_VALUE"""),"69251")</f>
        <v>69251</v>
      </c>
      <c r="C9403" t="str">
        <f>IFERROR(__xludf.DUMMYFUNCTION("""COMPUTED_VALUE"""),"Autohak")</f>
        <v>Autohak</v>
      </c>
    </row>
    <row r="9404">
      <c r="A9404" t="str">
        <f>IFERROR(__xludf.DUMMYFUNCTION("""COMPUTED_VALUE"""),"K22A")</f>
        <v>K22A</v>
      </c>
      <c r="B9404" s="226" t="str">
        <f>IFERROR(__xludf.DUMMYFUNCTION("""COMPUTED_VALUE"""),"72251")</f>
        <v>72251</v>
      </c>
      <c r="C9404" t="str">
        <f>IFERROR(__xludf.DUMMYFUNCTION("""COMPUTED_VALUE"""),"Autohak")</f>
        <v>Autohak</v>
      </c>
    </row>
    <row r="9405">
      <c r="A9405" t="str">
        <f>IFERROR(__xludf.DUMMYFUNCTION("""COMPUTED_VALUE"""),"SC01")</f>
        <v>SC01</v>
      </c>
      <c r="B9405" s="226" t="str">
        <f>IFERROR(__xludf.DUMMYFUNCTION("""COMPUTED_VALUE"""),"53038")</f>
        <v>53038</v>
      </c>
      <c r="C9405" t="str">
        <f>IFERROR(__xludf.DUMMYFUNCTION("""COMPUTED_VALUE"""),"Autohak")</f>
        <v>Autohak</v>
      </c>
    </row>
    <row r="9406">
      <c r="A9406" t="str">
        <f>IFERROR(__xludf.DUMMYFUNCTION("""COMPUTED_VALUE"""),"SC01A")</f>
        <v>SC01A</v>
      </c>
      <c r="B9406" s="226" t="str">
        <f>IFERROR(__xludf.DUMMYFUNCTION("""COMPUTED_VALUE"""),"54035")</f>
        <v>54035</v>
      </c>
      <c r="C9406" t="str">
        <f>IFERROR(__xludf.DUMMYFUNCTION("""COMPUTED_VALUE"""),"Autohak")</f>
        <v>Autohak</v>
      </c>
    </row>
    <row r="9407">
      <c r="A9407" t="str">
        <f>IFERROR(__xludf.DUMMYFUNCTION("""COMPUTED_VALUE"""),"SC07")</f>
        <v>SC07</v>
      </c>
      <c r="B9407" s="226" t="str">
        <f>IFERROR(__xludf.DUMMYFUNCTION("""COMPUTED_VALUE"""),"53045")</f>
        <v>53045</v>
      </c>
      <c r="C9407" t="str">
        <f>IFERROR(__xludf.DUMMYFUNCTION("""COMPUTED_VALUE"""),"Autohak")</f>
        <v>Autohak</v>
      </c>
    </row>
    <row r="9408">
      <c r="A9408" t="str">
        <f>IFERROR(__xludf.DUMMYFUNCTION("""COMPUTED_VALUE"""),"SC07A")</f>
        <v>SC07A</v>
      </c>
      <c r="B9408" s="226" t="str">
        <f>IFERROR(__xludf.DUMMYFUNCTION("""COMPUTED_VALUE"""),"54042")</f>
        <v>54042</v>
      </c>
      <c r="C9408" t="str">
        <f>IFERROR(__xludf.DUMMYFUNCTION("""COMPUTED_VALUE"""),"Autohak")</f>
        <v>Autohak</v>
      </c>
    </row>
    <row r="9409">
      <c r="A9409" t="str">
        <f>IFERROR(__xludf.DUMMYFUNCTION("""COMPUTED_VALUE"""),"SC03")</f>
        <v>SC03</v>
      </c>
      <c r="B9409" s="226" t="str">
        <f>IFERROR(__xludf.DUMMYFUNCTION("""COMPUTED_VALUE"""),"53052")</f>
        <v>53052</v>
      </c>
      <c r="C9409" t="str">
        <f>IFERROR(__xludf.DUMMYFUNCTION("""COMPUTED_VALUE"""),"Autohak")</f>
        <v>Autohak</v>
      </c>
    </row>
    <row r="9410">
      <c r="A9410" t="str">
        <f>IFERROR(__xludf.DUMMYFUNCTION("""COMPUTED_VALUE"""),"SC03A")</f>
        <v>SC03A</v>
      </c>
      <c r="B9410" s="226" t="str">
        <f>IFERROR(__xludf.DUMMYFUNCTION("""COMPUTED_VALUE"""),"54059")</f>
        <v>54059</v>
      </c>
      <c r="C9410" t="str">
        <f>IFERROR(__xludf.DUMMYFUNCTION("""COMPUTED_VALUE"""),"Autohak")</f>
        <v>Autohak</v>
      </c>
    </row>
    <row r="9411">
      <c r="A9411" t="str">
        <f>IFERROR(__xludf.DUMMYFUNCTION("""COMPUTED_VALUE"""),"SC42")</f>
        <v>SC42</v>
      </c>
      <c r="B9411" s="226" t="str">
        <f>IFERROR(__xludf.DUMMYFUNCTION("""COMPUTED_VALUE"""),"53069")</f>
        <v>53069</v>
      </c>
      <c r="C9411" t="str">
        <f>IFERROR(__xludf.DUMMYFUNCTION("""COMPUTED_VALUE"""),"Autohak")</f>
        <v>Autohak</v>
      </c>
    </row>
    <row r="9412">
      <c r="A9412" t="str">
        <f>IFERROR(__xludf.DUMMYFUNCTION("""COMPUTED_VALUE"""),"SC42A")</f>
        <v>SC42A</v>
      </c>
      <c r="B9412" s="226" t="str">
        <f>IFERROR(__xludf.DUMMYFUNCTION("""COMPUTED_VALUE"""),"54066")</f>
        <v>54066</v>
      </c>
      <c r="C9412" t="str">
        <f>IFERROR(__xludf.DUMMYFUNCTION("""COMPUTED_VALUE"""),"Autohak")</f>
        <v>Autohak</v>
      </c>
    </row>
    <row r="9413">
      <c r="A9413" t="str">
        <f>IFERROR(__xludf.DUMMYFUNCTION("""COMPUTED_VALUE"""),"SC44")</f>
        <v>SC44</v>
      </c>
      <c r="B9413" s="226" t="str">
        <f>IFERROR(__xludf.DUMMYFUNCTION("""COMPUTED_VALUE"""),"53120")</f>
        <v>53120</v>
      </c>
      <c r="C9413" t="str">
        <f>IFERROR(__xludf.DUMMYFUNCTION("""COMPUTED_VALUE"""),"Autohak")</f>
        <v>Autohak</v>
      </c>
    </row>
    <row r="9414">
      <c r="A9414" t="str">
        <f>IFERROR(__xludf.DUMMYFUNCTION("""COMPUTED_VALUE"""),"SC44A")</f>
        <v>SC44A</v>
      </c>
      <c r="B9414" s="226" t="str">
        <f>IFERROR(__xludf.DUMMYFUNCTION("""COMPUTED_VALUE"""),"54127")</f>
        <v>54127</v>
      </c>
      <c r="C9414" t="str">
        <f>IFERROR(__xludf.DUMMYFUNCTION("""COMPUTED_VALUE"""),"Autohak")</f>
        <v>Autohak</v>
      </c>
    </row>
    <row r="9415">
      <c r="A9415" t="str">
        <f>IFERROR(__xludf.DUMMYFUNCTION("""COMPUTED_VALUE"""),"SC44V")</f>
        <v>SC44V</v>
      </c>
      <c r="B9415" s="226" t="str">
        <f>IFERROR(__xludf.DUMMYFUNCTION("""COMPUTED_VALUE"""),"54981")</f>
        <v>54981</v>
      </c>
      <c r="C9415" t="str">
        <f>IFERROR(__xludf.DUMMYFUNCTION("""COMPUTED_VALUE"""),"Autohak")</f>
        <v>Autohak</v>
      </c>
    </row>
    <row r="9416">
      <c r="A9416" t="str">
        <f>IFERROR(__xludf.DUMMYFUNCTION("""COMPUTED_VALUE"""),"SC44")</f>
        <v>SC44</v>
      </c>
      <c r="B9416" s="226" t="str">
        <f>IFERROR(__xludf.DUMMYFUNCTION("""COMPUTED_VALUE"""),"53120")</f>
        <v>53120</v>
      </c>
      <c r="C9416" t="str">
        <f>IFERROR(__xludf.DUMMYFUNCTION("""COMPUTED_VALUE"""),"Autohak")</f>
        <v>Autohak</v>
      </c>
    </row>
    <row r="9417">
      <c r="A9417" t="str">
        <f>IFERROR(__xludf.DUMMYFUNCTION("""COMPUTED_VALUE"""),"SC44A")</f>
        <v>SC44A</v>
      </c>
      <c r="B9417" s="226" t="str">
        <f>IFERROR(__xludf.DUMMYFUNCTION("""COMPUTED_VALUE"""),"54127")</f>
        <v>54127</v>
      </c>
      <c r="C9417" t="str">
        <f>IFERROR(__xludf.DUMMYFUNCTION("""COMPUTED_VALUE"""),"Autohak")</f>
        <v>Autohak</v>
      </c>
    </row>
    <row r="9418">
      <c r="A9418" t="str">
        <f>IFERROR(__xludf.DUMMYFUNCTION("""COMPUTED_VALUE"""),"SC44V")</f>
        <v>SC44V</v>
      </c>
      <c r="B9418" s="226" t="str">
        <f>IFERROR(__xludf.DUMMYFUNCTION("""COMPUTED_VALUE"""),"54981")</f>
        <v>54981</v>
      </c>
      <c r="C9418" t="str">
        <f>IFERROR(__xludf.DUMMYFUNCTION("""COMPUTED_VALUE"""),"Autohak")</f>
        <v>Autohak</v>
      </c>
    </row>
    <row r="9419">
      <c r="A9419" t="str">
        <f>IFERROR(__xludf.DUMMYFUNCTION("""COMPUTED_VALUE"""),"K72")</f>
        <v>K72</v>
      </c>
      <c r="B9419" s="226" t="str">
        <f>IFERROR(__xludf.DUMMYFUNCTION("""COMPUTED_VALUE"""),"69602")</f>
        <v>69602</v>
      </c>
      <c r="C9419" t="str">
        <f>IFERROR(__xludf.DUMMYFUNCTION("""COMPUTED_VALUE"""),"Autohak")</f>
        <v>Autohak</v>
      </c>
    </row>
    <row r="9420">
      <c r="A9420" t="str">
        <f>IFERROR(__xludf.DUMMYFUNCTION("""COMPUTED_VALUE"""),"K72A")</f>
        <v>K72A</v>
      </c>
      <c r="B9420" s="226" t="str">
        <f>IFERROR(__xludf.DUMMYFUNCTION("""COMPUTED_VALUE"""),"72572")</f>
        <v>72572</v>
      </c>
      <c r="C9420" t="str">
        <f>IFERROR(__xludf.DUMMYFUNCTION("""COMPUTED_VALUE"""),"Autohak")</f>
        <v>Autohak</v>
      </c>
    </row>
    <row r="9421">
      <c r="A9421" t="str">
        <f>IFERROR(__xludf.DUMMYFUNCTION("""COMPUTED_VALUE"""),"K72V")</f>
        <v>K72V</v>
      </c>
      <c r="B9421" s="226" t="str">
        <f>IFERROR(__xludf.DUMMYFUNCTION("""COMPUTED_VALUE"""),"72718")</f>
        <v>72718</v>
      </c>
      <c r="C9421" t="str">
        <f>IFERROR(__xludf.DUMMYFUNCTION("""COMPUTED_VALUE"""),"Autohak")</f>
        <v>Autohak</v>
      </c>
    </row>
    <row r="9422">
      <c r="A9422" t="str">
        <f>IFERROR(__xludf.DUMMYFUNCTION("""COMPUTED_VALUE"""),"SC46")</f>
        <v>SC46</v>
      </c>
      <c r="B9422" s="226" t="str">
        <f>IFERROR(__xludf.DUMMYFUNCTION("""COMPUTED_VALUE"""),"53144")</f>
        <v>53144</v>
      </c>
      <c r="C9422" t="str">
        <f>IFERROR(__xludf.DUMMYFUNCTION("""COMPUTED_VALUE"""),"Autohak")</f>
        <v>Autohak</v>
      </c>
    </row>
    <row r="9423">
      <c r="A9423" t="str">
        <f>IFERROR(__xludf.DUMMYFUNCTION("""COMPUTED_VALUE"""),"SC46A")</f>
        <v>SC46A</v>
      </c>
      <c r="B9423" s="226" t="str">
        <f>IFERROR(__xludf.DUMMYFUNCTION("""COMPUTED_VALUE"""),"54141")</f>
        <v>54141</v>
      </c>
      <c r="C9423" t="str">
        <f>IFERROR(__xludf.DUMMYFUNCTION("""COMPUTED_VALUE"""),"Autohak")</f>
        <v>Autohak</v>
      </c>
    </row>
    <row r="9424">
      <c r="A9424" t="str">
        <f>IFERROR(__xludf.DUMMYFUNCTION("""COMPUTED_VALUE"""),"SC46")</f>
        <v>SC46</v>
      </c>
      <c r="B9424" s="226" t="str">
        <f>IFERROR(__xludf.DUMMYFUNCTION("""COMPUTED_VALUE"""),"53144")</f>
        <v>53144</v>
      </c>
      <c r="C9424" t="str">
        <f>IFERROR(__xludf.DUMMYFUNCTION("""COMPUTED_VALUE"""),"Autohak")</f>
        <v>Autohak</v>
      </c>
    </row>
    <row r="9425">
      <c r="A9425" t="str">
        <f>IFERROR(__xludf.DUMMYFUNCTION("""COMPUTED_VALUE"""),"SC46A")</f>
        <v>SC46A</v>
      </c>
      <c r="B9425" s="226" t="str">
        <f>IFERROR(__xludf.DUMMYFUNCTION("""COMPUTED_VALUE"""),"54141")</f>
        <v>54141</v>
      </c>
      <c r="C9425" t="str">
        <f>IFERROR(__xludf.DUMMYFUNCTION("""COMPUTED_VALUE"""),"Autohak")</f>
        <v>Autohak</v>
      </c>
    </row>
    <row r="9426">
      <c r="A9426" t="str">
        <f>IFERROR(__xludf.DUMMYFUNCTION("""COMPUTED_VALUE"""),"K31")</f>
        <v>K31</v>
      </c>
      <c r="B9426" s="226" t="str">
        <f>IFERROR(__xludf.DUMMYFUNCTION("""COMPUTED_VALUE"""),"69008")</f>
        <v>69008</v>
      </c>
      <c r="C9426" t="str">
        <f>IFERROR(__xludf.DUMMYFUNCTION("""COMPUTED_VALUE"""),"Autohak")</f>
        <v>Autohak</v>
      </c>
    </row>
    <row r="9427">
      <c r="A9427" t="str">
        <f>IFERROR(__xludf.DUMMYFUNCTION("""COMPUTED_VALUE"""),"K31A")</f>
        <v>K31A</v>
      </c>
      <c r="B9427" s="226" t="str">
        <f>IFERROR(__xludf.DUMMYFUNCTION("""COMPUTED_VALUE"""),"72008")</f>
        <v>72008</v>
      </c>
      <c r="C9427" t="str">
        <f>IFERROR(__xludf.DUMMYFUNCTION("""COMPUTED_VALUE"""),"Autohak")</f>
        <v>Autohak</v>
      </c>
    </row>
    <row r="9428">
      <c r="A9428" t="str">
        <f>IFERROR(__xludf.DUMMYFUNCTION("""COMPUTED_VALUE"""),"SC28")</f>
        <v>SC28</v>
      </c>
      <c r="B9428" s="226" t="str">
        <f>IFERROR(__xludf.DUMMYFUNCTION("""COMPUTED_VALUE"""),"53076")</f>
        <v>53076</v>
      </c>
      <c r="C9428" t="str">
        <f>IFERROR(__xludf.DUMMYFUNCTION("""COMPUTED_VALUE"""),"Autohak")</f>
        <v>Autohak</v>
      </c>
    </row>
    <row r="9429">
      <c r="A9429" t="str">
        <f>IFERROR(__xludf.DUMMYFUNCTION("""COMPUTED_VALUE"""),"SC28A")</f>
        <v>SC28A</v>
      </c>
      <c r="B9429" s="226" t="str">
        <f>IFERROR(__xludf.DUMMYFUNCTION("""COMPUTED_VALUE"""),"54073")</f>
        <v>54073</v>
      </c>
      <c r="C9429" t="str">
        <f>IFERROR(__xludf.DUMMYFUNCTION("""COMPUTED_VALUE"""),"Autohak")</f>
        <v>Autohak</v>
      </c>
    </row>
    <row r="9430">
      <c r="A9430" t="str">
        <f>IFERROR(__xludf.DUMMYFUNCTION("""COMPUTED_VALUE"""),"SC43")</f>
        <v>SC43</v>
      </c>
      <c r="B9430" s="226" t="str">
        <f>IFERROR(__xludf.DUMMYFUNCTION("""COMPUTED_VALUE"""),"53113")</f>
        <v>53113</v>
      </c>
      <c r="C9430" t="str">
        <f>IFERROR(__xludf.DUMMYFUNCTION("""COMPUTED_VALUE"""),"Autohak")</f>
        <v>Autohak</v>
      </c>
    </row>
    <row r="9431">
      <c r="A9431" t="str">
        <f>IFERROR(__xludf.DUMMYFUNCTION("""COMPUTED_VALUE"""),"SC43A")</f>
        <v>SC43A</v>
      </c>
      <c r="B9431" s="226" t="str">
        <f>IFERROR(__xludf.DUMMYFUNCTION("""COMPUTED_VALUE"""),"54110")</f>
        <v>54110</v>
      </c>
      <c r="C9431" t="str">
        <f>IFERROR(__xludf.DUMMYFUNCTION("""COMPUTED_VALUE"""),"Autohak")</f>
        <v>Autohak</v>
      </c>
    </row>
    <row r="9432">
      <c r="A9432" t="str">
        <f>IFERROR(__xludf.DUMMYFUNCTION("""COMPUTED_VALUE"""),"SC43V")</f>
        <v>SC43V</v>
      </c>
      <c r="B9432" s="226" t="str">
        <f>IFERROR(__xludf.DUMMYFUNCTION("""COMPUTED_VALUE"""),"54998")</f>
        <v>54998</v>
      </c>
      <c r="C9432" t="str">
        <f>IFERROR(__xludf.DUMMYFUNCTION("""COMPUTED_VALUE"""),"Autohak")</f>
        <v>Autohak</v>
      </c>
    </row>
    <row r="9433">
      <c r="A9433" t="str">
        <f>IFERROR(__xludf.DUMMYFUNCTION("""COMPUTED_VALUE"""),"K58")</f>
        <v>K58</v>
      </c>
      <c r="B9433" s="226" t="str">
        <f>IFERROR(__xludf.DUMMYFUNCTION("""COMPUTED_VALUE"""),"69459")</f>
        <v>69459</v>
      </c>
      <c r="C9433" t="str">
        <f>IFERROR(__xludf.DUMMYFUNCTION("""COMPUTED_VALUE"""),"Autohak")</f>
        <v>Autohak</v>
      </c>
    </row>
    <row r="9434">
      <c r="A9434" t="str">
        <f>IFERROR(__xludf.DUMMYFUNCTION("""COMPUTED_VALUE"""),"K58A")</f>
        <v>K58A</v>
      </c>
      <c r="B9434" s="226" t="str">
        <f>IFERROR(__xludf.DUMMYFUNCTION("""COMPUTED_VALUE"""),"72442")</f>
        <v>72442</v>
      </c>
      <c r="C9434" t="str">
        <f>IFERROR(__xludf.DUMMYFUNCTION("""COMPUTED_VALUE"""),"Autohak")</f>
        <v>Autohak</v>
      </c>
    </row>
    <row r="9435">
      <c r="A9435" t="str">
        <f>IFERROR(__xludf.DUMMYFUNCTION("""COMPUTED_VALUE"""),"K58V")</f>
        <v>K58V</v>
      </c>
      <c r="B9435" s="226" t="str">
        <f>IFERROR(__xludf.DUMMYFUNCTION("""COMPUTED_VALUE"""),"72886")</f>
        <v>72886</v>
      </c>
      <c r="C9435" t="str">
        <f>IFERROR(__xludf.DUMMYFUNCTION("""COMPUTED_VALUE"""),"Autohak")</f>
        <v>Autohak</v>
      </c>
    </row>
    <row r="9436">
      <c r="A9436" t="str">
        <f>IFERROR(__xludf.DUMMYFUNCTION("""COMPUTED_VALUE"""),"SC49")</f>
        <v>SC49</v>
      </c>
      <c r="B9436" s="226" t="str">
        <f>IFERROR(__xludf.DUMMYFUNCTION("""COMPUTED_VALUE"""),"53175")</f>
        <v>53175</v>
      </c>
      <c r="C9436" t="str">
        <f>IFERROR(__xludf.DUMMYFUNCTION("""COMPUTED_VALUE"""),"Autohak")</f>
        <v>Autohak</v>
      </c>
    </row>
    <row r="9437">
      <c r="A9437" t="str">
        <f>IFERROR(__xludf.DUMMYFUNCTION("""COMPUTED_VALUE"""),"SC49A")</f>
        <v>SC49A</v>
      </c>
      <c r="B9437" s="226" t="str">
        <f>IFERROR(__xludf.DUMMYFUNCTION("""COMPUTED_VALUE"""),"54172")</f>
        <v>54172</v>
      </c>
      <c r="C9437" t="str">
        <f>IFERROR(__xludf.DUMMYFUNCTION("""COMPUTED_VALUE"""),"Autohak")</f>
        <v>Autohak</v>
      </c>
    </row>
    <row r="9438">
      <c r="A9438" t="str">
        <f>IFERROR(__xludf.DUMMYFUNCTION("""COMPUTED_VALUE"""),"SC49V")</f>
        <v>SC49V</v>
      </c>
      <c r="B9438" s="226" t="str">
        <f>IFERROR(__xludf.DUMMYFUNCTION("""COMPUTED_VALUE"""),"54943")</f>
        <v>54943</v>
      </c>
      <c r="C9438" t="str">
        <f>IFERROR(__xludf.DUMMYFUNCTION("""COMPUTED_VALUE"""),"Autohak")</f>
        <v>Autohak</v>
      </c>
    </row>
    <row r="9439">
      <c r="A9439" t="str">
        <f>IFERROR(__xludf.DUMMYFUNCTION("""COMPUTED_VALUE"""),"SC48")</f>
        <v>SC48</v>
      </c>
      <c r="B9439" s="226" t="str">
        <f>IFERROR(__xludf.DUMMYFUNCTION("""COMPUTED_VALUE"""),"53168")</f>
        <v>53168</v>
      </c>
      <c r="C9439" t="str">
        <f>IFERROR(__xludf.DUMMYFUNCTION("""COMPUTED_VALUE"""),"Autohak")</f>
        <v>Autohak</v>
      </c>
    </row>
    <row r="9440">
      <c r="A9440" t="str">
        <f>IFERROR(__xludf.DUMMYFUNCTION("""COMPUTED_VALUE"""),"SC48A")</f>
        <v>SC48A</v>
      </c>
      <c r="B9440" s="226" t="str">
        <f>IFERROR(__xludf.DUMMYFUNCTION("""COMPUTED_VALUE"""),"54165")</f>
        <v>54165</v>
      </c>
      <c r="C9440" t="str">
        <f>IFERROR(__xludf.DUMMYFUNCTION("""COMPUTED_VALUE"""),"Autohak")</f>
        <v>Autohak</v>
      </c>
    </row>
    <row r="9441">
      <c r="A9441" t="str">
        <f>IFERROR(__xludf.DUMMYFUNCTION("""COMPUTED_VALUE"""),"SC48V")</f>
        <v>SC48V</v>
      </c>
      <c r="B9441" s="226" t="str">
        <f>IFERROR(__xludf.DUMMYFUNCTION("""COMPUTED_VALUE"""),"54950")</f>
        <v>54950</v>
      </c>
      <c r="C9441" t="str">
        <f>IFERROR(__xludf.DUMMYFUNCTION("""COMPUTED_VALUE"""),"Autohak")</f>
        <v>Autohak</v>
      </c>
    </row>
    <row r="9442">
      <c r="A9442" t="str">
        <f>IFERROR(__xludf.DUMMYFUNCTION("""COMPUTED_VALUE"""),"SC04")</f>
        <v>SC04</v>
      </c>
      <c r="B9442" s="226" t="str">
        <f>IFERROR(__xludf.DUMMYFUNCTION("""COMPUTED_VALUE"""),"53083")</f>
        <v>53083</v>
      </c>
      <c r="C9442" t="str">
        <f>IFERROR(__xludf.DUMMYFUNCTION("""COMPUTED_VALUE"""),"Autohak")</f>
        <v>Autohak</v>
      </c>
    </row>
    <row r="9443">
      <c r="A9443" t="str">
        <f>IFERROR(__xludf.DUMMYFUNCTION("""COMPUTED_VALUE"""),"SC04A")</f>
        <v>SC04A</v>
      </c>
      <c r="B9443" s="226" t="str">
        <f>IFERROR(__xludf.DUMMYFUNCTION("""COMPUTED_VALUE"""),"54080")</f>
        <v>54080</v>
      </c>
      <c r="C9443" t="str">
        <f>IFERROR(__xludf.DUMMYFUNCTION("""COMPUTED_VALUE"""),"Autohak")</f>
        <v>Autohak</v>
      </c>
    </row>
    <row r="9444">
      <c r="A9444" t="str">
        <f>IFERROR(__xludf.DUMMYFUNCTION("""COMPUTED_VALUE"""),"SC27")</f>
        <v>SC27</v>
      </c>
      <c r="B9444" s="226" t="str">
        <f>IFERROR(__xludf.DUMMYFUNCTION("""COMPUTED_VALUE"""),"53090")</f>
        <v>53090</v>
      </c>
      <c r="C9444" t="str">
        <f>IFERROR(__xludf.DUMMYFUNCTION("""COMPUTED_VALUE"""),"Autohak")</f>
        <v>Autohak</v>
      </c>
    </row>
    <row r="9445">
      <c r="A9445" t="str">
        <f>IFERROR(__xludf.DUMMYFUNCTION("""COMPUTED_VALUE"""),"SC27A")</f>
        <v>SC27A</v>
      </c>
      <c r="B9445" s="226" t="str">
        <f>IFERROR(__xludf.DUMMYFUNCTION("""COMPUTED_VALUE"""),"54097")</f>
        <v>54097</v>
      </c>
      <c r="C9445" t="str">
        <f>IFERROR(__xludf.DUMMYFUNCTION("""COMPUTED_VALUE"""),"Autohak")</f>
        <v>Autohak</v>
      </c>
    </row>
    <row r="9446">
      <c r="A9446" t="str">
        <f>IFERROR(__xludf.DUMMYFUNCTION("""COMPUTED_VALUE"""),"SC19")</f>
        <v>SC19</v>
      </c>
      <c r="B9446" s="226" t="str">
        <f>IFERROR(__xludf.DUMMYFUNCTION("""COMPUTED_VALUE"""),"53106")</f>
        <v>53106</v>
      </c>
      <c r="C9446" t="str">
        <f>IFERROR(__xludf.DUMMYFUNCTION("""COMPUTED_VALUE"""),"Autohak")</f>
        <v>Autohak</v>
      </c>
    </row>
    <row r="9447">
      <c r="A9447" t="str">
        <f>IFERROR(__xludf.DUMMYFUNCTION("""COMPUTED_VALUE"""),"SC19A")</f>
        <v>SC19A</v>
      </c>
      <c r="B9447" s="226" t="str">
        <f>IFERROR(__xludf.DUMMYFUNCTION("""COMPUTED_VALUE"""),"54103")</f>
        <v>54103</v>
      </c>
      <c r="C9447" t="str">
        <f>IFERROR(__xludf.DUMMYFUNCTION("""COMPUTED_VALUE"""),"Autohak")</f>
        <v>Autohak</v>
      </c>
    </row>
    <row r="9448">
      <c r="A9448" t="str">
        <f>IFERROR(__xludf.DUMMYFUNCTION("""COMPUTED_VALUE"""),"SC43")</f>
        <v>SC43</v>
      </c>
      <c r="B9448" s="226" t="str">
        <f>IFERROR(__xludf.DUMMYFUNCTION("""COMPUTED_VALUE"""),"53113")</f>
        <v>53113</v>
      </c>
      <c r="C9448" t="str">
        <f>IFERROR(__xludf.DUMMYFUNCTION("""COMPUTED_VALUE"""),"Autohak")</f>
        <v>Autohak</v>
      </c>
    </row>
    <row r="9449">
      <c r="A9449" t="str">
        <f>IFERROR(__xludf.DUMMYFUNCTION("""COMPUTED_VALUE"""),"SC43A")</f>
        <v>SC43A</v>
      </c>
      <c r="B9449" s="226" t="str">
        <f>IFERROR(__xludf.DUMMYFUNCTION("""COMPUTED_VALUE"""),"54110")</f>
        <v>54110</v>
      </c>
      <c r="C9449" t="str">
        <f>IFERROR(__xludf.DUMMYFUNCTION("""COMPUTED_VALUE"""),"Autohak")</f>
        <v>Autohak</v>
      </c>
    </row>
    <row r="9450">
      <c r="A9450" t="str">
        <f>IFERROR(__xludf.DUMMYFUNCTION("""COMPUTED_VALUE"""),"SC43V")</f>
        <v>SC43V</v>
      </c>
      <c r="B9450" s="226" t="str">
        <f>IFERROR(__xludf.DUMMYFUNCTION("""COMPUTED_VALUE"""),"54998")</f>
        <v>54998</v>
      </c>
      <c r="C9450" t="str">
        <f>IFERROR(__xludf.DUMMYFUNCTION("""COMPUTED_VALUE"""),"Autohak")</f>
        <v>Autohak</v>
      </c>
    </row>
    <row r="9451">
      <c r="A9451" t="str">
        <f>IFERROR(__xludf.DUMMYFUNCTION("""COMPUTED_VALUE"""),"H19")</f>
        <v>H19</v>
      </c>
      <c r="B9451" s="226" t="str">
        <f>IFERROR(__xludf.DUMMYFUNCTION("""COMPUTED_VALUE"""),"55155")</f>
        <v>55155</v>
      </c>
      <c r="C9451" t="str">
        <f>IFERROR(__xludf.DUMMYFUNCTION("""COMPUTED_VALUE"""),"Autohak")</f>
        <v>Autohak</v>
      </c>
    </row>
    <row r="9452">
      <c r="A9452" t="str">
        <f>IFERROR(__xludf.DUMMYFUNCTION("""COMPUTED_VALUE"""),"H19A")</f>
        <v>H19A</v>
      </c>
      <c r="B9452" s="226" t="str">
        <f>IFERROR(__xludf.DUMMYFUNCTION("""COMPUTED_VALUE"""),"58156")</f>
        <v>58156</v>
      </c>
      <c r="C9452" t="str">
        <f>IFERROR(__xludf.DUMMYFUNCTION("""COMPUTED_VALUE"""),"Autohak")</f>
        <v>Autohak</v>
      </c>
    </row>
    <row r="9453">
      <c r="A9453" t="str">
        <f>IFERROR(__xludf.DUMMYFUNCTION("""COMPUTED_VALUE"""),"H19V")</f>
        <v>H19V</v>
      </c>
      <c r="B9453" s="226" t="str">
        <f>IFERROR(__xludf.DUMMYFUNCTION("""COMPUTED_VALUE"""),"58958")</f>
        <v>58958</v>
      </c>
      <c r="C9453" t="str">
        <f>IFERROR(__xludf.DUMMYFUNCTION("""COMPUTED_VALUE"""),"Autohak")</f>
        <v>Autohak</v>
      </c>
    </row>
    <row r="9454">
      <c r="A9454" t="str">
        <f>IFERROR(__xludf.DUMMYFUNCTION("""COMPUTED_VALUE"""),"H19")</f>
        <v>H19</v>
      </c>
      <c r="B9454" s="226" t="str">
        <f>IFERROR(__xludf.DUMMYFUNCTION("""COMPUTED_VALUE"""),"55155")</f>
        <v>55155</v>
      </c>
      <c r="C9454" t="str">
        <f>IFERROR(__xludf.DUMMYFUNCTION("""COMPUTED_VALUE"""),"Autohak")</f>
        <v>Autohak</v>
      </c>
    </row>
    <row r="9455">
      <c r="A9455" t="str">
        <f>IFERROR(__xludf.DUMMYFUNCTION("""COMPUTED_VALUE"""),"H19A")</f>
        <v>H19A</v>
      </c>
      <c r="B9455" s="226" t="str">
        <f>IFERROR(__xludf.DUMMYFUNCTION("""COMPUTED_VALUE"""),"58156")</f>
        <v>58156</v>
      </c>
      <c r="C9455" t="str">
        <f>IFERROR(__xludf.DUMMYFUNCTION("""COMPUTED_VALUE"""),"Autohak")</f>
        <v>Autohak</v>
      </c>
    </row>
    <row r="9456">
      <c r="A9456" t="str">
        <f>IFERROR(__xludf.DUMMYFUNCTION("""COMPUTED_VALUE"""),"H19V")</f>
        <v>H19V</v>
      </c>
      <c r="B9456" s="226" t="str">
        <f>IFERROR(__xludf.DUMMYFUNCTION("""COMPUTED_VALUE"""),"58958")</f>
        <v>58958</v>
      </c>
      <c r="C9456" t="str">
        <f>IFERROR(__xludf.DUMMYFUNCTION("""COMPUTED_VALUE"""),"Autohak")</f>
        <v>Autohak</v>
      </c>
    </row>
    <row r="9457">
      <c r="A9457" t="str">
        <f>IFERROR(__xludf.DUMMYFUNCTION("""COMPUTED_VALUE"""),"H01")</f>
        <v>H01</v>
      </c>
      <c r="B9457" s="226" t="str">
        <f>IFERROR(__xludf.DUMMYFUNCTION("""COMPUTED_VALUE"""),"55001")</f>
        <v>55001</v>
      </c>
      <c r="C9457" t="str">
        <f>IFERROR(__xludf.DUMMYFUNCTION("""COMPUTED_VALUE"""),"Autohak")</f>
        <v>Autohak</v>
      </c>
    </row>
    <row r="9458">
      <c r="A9458" t="str">
        <f>IFERROR(__xludf.DUMMYFUNCTION("""COMPUTED_VALUE"""),"H12")</f>
        <v>H12</v>
      </c>
      <c r="B9458" s="226" t="str">
        <f>IFERROR(__xludf.DUMMYFUNCTION("""COMPUTED_VALUE"""),"55025")</f>
        <v>55025</v>
      </c>
      <c r="C9458" t="str">
        <f>IFERROR(__xludf.DUMMYFUNCTION("""COMPUTED_VALUE"""),"Autohak")</f>
        <v>Autohak</v>
      </c>
    </row>
    <row r="9459">
      <c r="A9459" t="str">
        <f>IFERROR(__xludf.DUMMYFUNCTION("""COMPUTED_VALUE"""),"H12A")</f>
        <v>H12A</v>
      </c>
      <c r="B9459" s="226" t="str">
        <f>IFERROR(__xludf.DUMMYFUNCTION("""COMPUTED_VALUE"""),"58026")</f>
        <v>58026</v>
      </c>
      <c r="C9459" t="str">
        <f>IFERROR(__xludf.DUMMYFUNCTION("""COMPUTED_VALUE"""),"Autohak")</f>
        <v>Autohak</v>
      </c>
    </row>
    <row r="9460">
      <c r="A9460" t="str">
        <f>IFERROR(__xludf.DUMMYFUNCTION("""COMPUTED_VALUE"""),"H10")</f>
        <v>H10</v>
      </c>
      <c r="B9460" s="226" t="str">
        <f>IFERROR(__xludf.DUMMYFUNCTION("""COMPUTED_VALUE"""),"55018")</f>
        <v>55018</v>
      </c>
      <c r="C9460" t="str">
        <f>IFERROR(__xludf.DUMMYFUNCTION("""COMPUTED_VALUE"""),"Autohak")</f>
        <v>Autohak</v>
      </c>
    </row>
    <row r="9461">
      <c r="A9461" t="str">
        <f>IFERROR(__xludf.DUMMYFUNCTION("""COMPUTED_VALUE"""),"H10A")</f>
        <v>H10A</v>
      </c>
      <c r="B9461" s="226" t="str">
        <f>IFERROR(__xludf.DUMMYFUNCTION("""COMPUTED_VALUE"""),"58019")</f>
        <v>58019</v>
      </c>
      <c r="C9461" t="str">
        <f>IFERROR(__xludf.DUMMYFUNCTION("""COMPUTED_VALUE"""),"Autohak")</f>
        <v>Autohak</v>
      </c>
    </row>
    <row r="9462">
      <c r="A9462" t="str">
        <f>IFERROR(__xludf.DUMMYFUNCTION("""COMPUTED_VALUE"""),"H10")</f>
        <v>H10</v>
      </c>
      <c r="B9462" s="226" t="str">
        <f>IFERROR(__xludf.DUMMYFUNCTION("""COMPUTED_VALUE"""),"55018")</f>
        <v>55018</v>
      </c>
      <c r="C9462" t="str">
        <f>IFERROR(__xludf.DUMMYFUNCTION("""COMPUTED_VALUE"""),"Autohak")</f>
        <v>Autohak</v>
      </c>
    </row>
    <row r="9463">
      <c r="A9463" t="str">
        <f>IFERROR(__xludf.DUMMYFUNCTION("""COMPUTED_VALUE"""),"H10A")</f>
        <v>H10A</v>
      </c>
      <c r="B9463" s="226" t="str">
        <f>IFERROR(__xludf.DUMMYFUNCTION("""COMPUTED_VALUE"""),"58019")</f>
        <v>58019</v>
      </c>
      <c r="C9463" t="str">
        <f>IFERROR(__xludf.DUMMYFUNCTION("""COMPUTED_VALUE"""),"Autohak")</f>
        <v>Autohak</v>
      </c>
    </row>
    <row r="9464">
      <c r="A9464" t="str">
        <f>IFERROR(__xludf.DUMMYFUNCTION("""COMPUTED_VALUE"""),"H10")</f>
        <v>H10</v>
      </c>
      <c r="B9464" s="226" t="str">
        <f>IFERROR(__xludf.DUMMYFUNCTION("""COMPUTED_VALUE"""),"55018")</f>
        <v>55018</v>
      </c>
      <c r="C9464" t="str">
        <f>IFERROR(__xludf.DUMMYFUNCTION("""COMPUTED_VALUE"""),"Autohak")</f>
        <v>Autohak</v>
      </c>
    </row>
    <row r="9465">
      <c r="A9465" t="str">
        <f>IFERROR(__xludf.DUMMYFUNCTION("""COMPUTED_VALUE"""),"H10A")</f>
        <v>H10A</v>
      </c>
      <c r="B9465" s="226" t="str">
        <f>IFERROR(__xludf.DUMMYFUNCTION("""COMPUTED_VALUE"""),"58019")</f>
        <v>58019</v>
      </c>
      <c r="C9465" t="str">
        <f>IFERROR(__xludf.DUMMYFUNCTION("""COMPUTED_VALUE"""),"Autohak")</f>
        <v>Autohak</v>
      </c>
    </row>
    <row r="9466">
      <c r="A9466" t="str">
        <f>IFERROR(__xludf.DUMMYFUNCTION("""COMPUTED_VALUE"""),"H24")</f>
        <v>H24</v>
      </c>
      <c r="B9466" s="226" t="str">
        <f>IFERROR(__xludf.DUMMYFUNCTION("""COMPUTED_VALUE"""),"55216")</f>
        <v>55216</v>
      </c>
      <c r="C9466" t="str">
        <f>IFERROR(__xludf.DUMMYFUNCTION("""COMPUTED_VALUE"""),"Autohak")</f>
        <v>Autohak</v>
      </c>
    </row>
    <row r="9467">
      <c r="A9467" t="str">
        <f>IFERROR(__xludf.DUMMYFUNCTION("""COMPUTED_VALUE"""),"H24A")</f>
        <v>H24A</v>
      </c>
      <c r="B9467" s="226" t="str">
        <f>IFERROR(__xludf.DUMMYFUNCTION("""COMPUTED_VALUE"""),"58200")</f>
        <v>58200</v>
      </c>
      <c r="C9467" t="str">
        <f>IFERROR(__xludf.DUMMYFUNCTION("""COMPUTED_VALUE"""),"Autohak")</f>
        <v>Autohak</v>
      </c>
    </row>
    <row r="9468">
      <c r="A9468" t="str">
        <f>IFERROR(__xludf.DUMMYFUNCTION("""COMPUTED_VALUE"""),"H24V")</f>
        <v>H24V</v>
      </c>
      <c r="B9468" s="226" t="str">
        <f>IFERROR(__xludf.DUMMYFUNCTION("""COMPUTED_VALUE"""),"58903")</f>
        <v>58903</v>
      </c>
      <c r="C9468" t="str">
        <f>IFERROR(__xludf.DUMMYFUNCTION("""COMPUTED_VALUE"""),"Autohak")</f>
        <v>Autohak</v>
      </c>
    </row>
    <row r="9469">
      <c r="A9469" t="str">
        <f>IFERROR(__xludf.DUMMYFUNCTION("""COMPUTED_VALUE"""),"H30")</f>
        <v>H30</v>
      </c>
      <c r="B9469" s="226" t="str">
        <f>IFERROR(__xludf.DUMMYFUNCTION("""COMPUTED_VALUE"""),"55278")</f>
        <v>55278</v>
      </c>
      <c r="C9469" t="str">
        <f>IFERROR(__xludf.DUMMYFUNCTION("""COMPUTED_VALUE"""),"Autohak")</f>
        <v>Autohak</v>
      </c>
    </row>
    <row r="9470">
      <c r="A9470" t="str">
        <f>IFERROR(__xludf.DUMMYFUNCTION("""COMPUTED_VALUE"""),"H30A")</f>
        <v>H30A</v>
      </c>
      <c r="B9470" s="226" t="str">
        <f>IFERROR(__xludf.DUMMYFUNCTION("""COMPUTED_VALUE"""),"58255")</f>
        <v>58255</v>
      </c>
      <c r="C9470" t="str">
        <f>IFERROR(__xludf.DUMMYFUNCTION("""COMPUTED_VALUE"""),"Autohak")</f>
        <v>Autohak</v>
      </c>
    </row>
    <row r="9471">
      <c r="A9471" t="str">
        <f>IFERROR(__xludf.DUMMYFUNCTION("""COMPUTED_VALUE"""),"H30V")</f>
        <v>H30V</v>
      </c>
      <c r="B9471" s="226" t="str">
        <f>IFERROR(__xludf.DUMMYFUNCTION("""COMPUTED_VALUE"""),"58842")</f>
        <v>58842</v>
      </c>
      <c r="C9471" t="str">
        <f>IFERROR(__xludf.DUMMYFUNCTION("""COMPUTED_VALUE"""),"Autohak")</f>
        <v>Autohak</v>
      </c>
    </row>
    <row r="9472">
      <c r="A9472" t="str">
        <f>IFERROR(__xludf.DUMMYFUNCTION("""COMPUTED_VALUE"""),"H12")</f>
        <v>H12</v>
      </c>
      <c r="B9472" s="226" t="str">
        <f>IFERROR(__xludf.DUMMYFUNCTION("""COMPUTED_VALUE"""),"55025")</f>
        <v>55025</v>
      </c>
      <c r="C9472" t="str">
        <f>IFERROR(__xludf.DUMMYFUNCTION("""COMPUTED_VALUE"""),"Autohak")</f>
        <v>Autohak</v>
      </c>
    </row>
    <row r="9473">
      <c r="A9473" t="str">
        <f>IFERROR(__xludf.DUMMYFUNCTION("""COMPUTED_VALUE"""),"H12A")</f>
        <v>H12A</v>
      </c>
      <c r="B9473" s="226" t="str">
        <f>IFERROR(__xludf.DUMMYFUNCTION("""COMPUTED_VALUE"""),"58026")</f>
        <v>58026</v>
      </c>
      <c r="C9473" t="str">
        <f>IFERROR(__xludf.DUMMYFUNCTION("""COMPUTED_VALUE"""),"Autohak")</f>
        <v>Autohak</v>
      </c>
    </row>
    <row r="9474">
      <c r="A9474" t="str">
        <f>IFERROR(__xludf.DUMMYFUNCTION("""COMPUTED_VALUE"""),"H12")</f>
        <v>H12</v>
      </c>
      <c r="B9474" s="226" t="str">
        <f>IFERROR(__xludf.DUMMYFUNCTION("""COMPUTED_VALUE"""),"55025")</f>
        <v>55025</v>
      </c>
      <c r="C9474" t="str">
        <f>IFERROR(__xludf.DUMMYFUNCTION("""COMPUTED_VALUE"""),"Autohak")</f>
        <v>Autohak</v>
      </c>
    </row>
    <row r="9475">
      <c r="A9475" t="str">
        <f>IFERROR(__xludf.DUMMYFUNCTION("""COMPUTED_VALUE"""),"H12A")</f>
        <v>H12A</v>
      </c>
      <c r="B9475" s="226" t="str">
        <f>IFERROR(__xludf.DUMMYFUNCTION("""COMPUTED_VALUE"""),"58026")</f>
        <v>58026</v>
      </c>
      <c r="C9475" t="str">
        <f>IFERROR(__xludf.DUMMYFUNCTION("""COMPUTED_VALUE"""),"Autohak")</f>
        <v>Autohak</v>
      </c>
    </row>
    <row r="9476">
      <c r="A9476" t="str">
        <f>IFERROR(__xludf.DUMMYFUNCTION("""COMPUTED_VALUE"""),"H12")</f>
        <v>H12</v>
      </c>
      <c r="B9476" s="226" t="str">
        <f>IFERROR(__xludf.DUMMYFUNCTION("""COMPUTED_VALUE"""),"55025")</f>
        <v>55025</v>
      </c>
      <c r="C9476" t="str">
        <f>IFERROR(__xludf.DUMMYFUNCTION("""COMPUTED_VALUE"""),"Autohak")</f>
        <v>Autohak</v>
      </c>
    </row>
    <row r="9477">
      <c r="A9477" t="str">
        <f>IFERROR(__xludf.DUMMYFUNCTION("""COMPUTED_VALUE"""),"H12A")</f>
        <v>H12A</v>
      </c>
      <c r="B9477" s="226" t="str">
        <f>IFERROR(__xludf.DUMMYFUNCTION("""COMPUTED_VALUE"""),"58026")</f>
        <v>58026</v>
      </c>
      <c r="C9477" t="str">
        <f>IFERROR(__xludf.DUMMYFUNCTION("""COMPUTED_VALUE"""),"Autohak")</f>
        <v>Autohak</v>
      </c>
    </row>
    <row r="9478">
      <c r="A9478" t="str">
        <f>IFERROR(__xludf.DUMMYFUNCTION("""COMPUTED_VALUE"""),"H25")</f>
        <v>H25</v>
      </c>
      <c r="B9478" s="226" t="str">
        <f>IFERROR(__xludf.DUMMYFUNCTION("""COMPUTED_VALUE"""),"55223")</f>
        <v>55223</v>
      </c>
      <c r="C9478" t="str">
        <f>IFERROR(__xludf.DUMMYFUNCTION("""COMPUTED_VALUE"""),"Autohak")</f>
        <v>Autohak</v>
      </c>
    </row>
    <row r="9479">
      <c r="A9479" t="str">
        <f>IFERROR(__xludf.DUMMYFUNCTION("""COMPUTED_VALUE"""),"H25A")</f>
        <v>H25A</v>
      </c>
      <c r="B9479" s="226" t="str">
        <f>IFERROR(__xludf.DUMMYFUNCTION("""COMPUTED_VALUE"""),"58217")</f>
        <v>58217</v>
      </c>
      <c r="C9479" t="str">
        <f>IFERROR(__xludf.DUMMYFUNCTION("""COMPUTED_VALUE"""),"Autohak")</f>
        <v>Autohak</v>
      </c>
    </row>
    <row r="9480">
      <c r="A9480" t="str">
        <f>IFERROR(__xludf.DUMMYFUNCTION("""COMPUTED_VALUE"""),"H25V")</f>
        <v>H25V</v>
      </c>
      <c r="B9480" s="226" t="str">
        <f>IFERROR(__xludf.DUMMYFUNCTION("""COMPUTED_VALUE"""),"58897")</f>
        <v>58897</v>
      </c>
      <c r="C9480" t="str">
        <f>IFERROR(__xludf.DUMMYFUNCTION("""COMPUTED_VALUE"""),"Autohak")</f>
        <v>Autohak</v>
      </c>
    </row>
    <row r="9481">
      <c r="A9481" t="str">
        <f>IFERROR(__xludf.DUMMYFUNCTION("""COMPUTED_VALUE"""),"H31")</f>
        <v>H31</v>
      </c>
      <c r="B9481" s="226" t="str">
        <f>IFERROR(__xludf.DUMMYFUNCTION("""COMPUTED_VALUE"""),"855285")</f>
        <v>855285</v>
      </c>
      <c r="C9481" t="str">
        <f>IFERROR(__xludf.DUMMYFUNCTION("""COMPUTED_VALUE"""),"Autohak")</f>
        <v>Autohak</v>
      </c>
    </row>
    <row r="9482">
      <c r="A9482" t="str">
        <f>IFERROR(__xludf.DUMMYFUNCTION("""COMPUTED_VALUE"""),"H31A")</f>
        <v>H31A</v>
      </c>
      <c r="B9482" s="226" t="str">
        <f>IFERROR(__xludf.DUMMYFUNCTION("""COMPUTED_VALUE"""),"858262")</f>
        <v>858262</v>
      </c>
      <c r="C9482" t="str">
        <f>IFERROR(__xludf.DUMMYFUNCTION("""COMPUTED_VALUE"""),"Autohak")</f>
        <v>Autohak</v>
      </c>
    </row>
    <row r="9483">
      <c r="A9483" t="str">
        <f>IFERROR(__xludf.DUMMYFUNCTION("""COMPUTED_VALUE"""),"H31V")</f>
        <v>H31V</v>
      </c>
      <c r="B9483" s="226" t="str">
        <f>IFERROR(__xludf.DUMMYFUNCTION("""COMPUTED_VALUE"""),"858835")</f>
        <v>858835</v>
      </c>
      <c r="C9483" t="str">
        <f>IFERROR(__xludf.DUMMYFUNCTION("""COMPUTED_VALUE"""),"Autohak")</f>
        <v>Autohak</v>
      </c>
    </row>
    <row r="9484">
      <c r="A9484" t="str">
        <f>IFERROR(__xludf.DUMMYFUNCTION("""COMPUTED_VALUE"""),"H03")</f>
        <v>H03</v>
      </c>
      <c r="B9484" s="226" t="str">
        <f>IFERROR(__xludf.DUMMYFUNCTION("""COMPUTED_VALUE"""),"55032")</f>
        <v>55032</v>
      </c>
      <c r="C9484" t="str">
        <f>IFERROR(__xludf.DUMMYFUNCTION("""COMPUTED_VALUE"""),"Autohak")</f>
        <v>Autohak</v>
      </c>
    </row>
    <row r="9485">
      <c r="A9485" t="str">
        <f>IFERROR(__xludf.DUMMYFUNCTION("""COMPUTED_VALUE"""),"H04")</f>
        <v>H04</v>
      </c>
      <c r="B9485" s="226" t="str">
        <f>IFERROR(__xludf.DUMMYFUNCTION("""COMPUTED_VALUE"""),"55049")</f>
        <v>55049</v>
      </c>
      <c r="C9485" t="str">
        <f>IFERROR(__xludf.DUMMYFUNCTION("""COMPUTED_VALUE"""),"Autohak")</f>
        <v>Autohak</v>
      </c>
    </row>
    <row r="9486">
      <c r="A9486" t="str">
        <f>IFERROR(__xludf.DUMMYFUNCTION("""COMPUTED_VALUE"""),"H04A")</f>
        <v>H04A</v>
      </c>
      <c r="B9486" s="226" t="str">
        <f>IFERROR(__xludf.DUMMYFUNCTION("""COMPUTED_VALUE"""),"58040")</f>
        <v>58040</v>
      </c>
      <c r="C9486" t="str">
        <f>IFERROR(__xludf.DUMMYFUNCTION("""COMPUTED_VALUE"""),"Autohak")</f>
        <v>Autohak</v>
      </c>
    </row>
    <row r="9487">
      <c r="A9487" t="str">
        <f>IFERROR(__xludf.DUMMYFUNCTION("""COMPUTED_VALUE"""),"H05")</f>
        <v>H05</v>
      </c>
      <c r="B9487" s="226" t="str">
        <f>IFERROR(__xludf.DUMMYFUNCTION("""COMPUTED_VALUE"""),"55056")</f>
        <v>55056</v>
      </c>
      <c r="C9487" t="str">
        <f>IFERROR(__xludf.DUMMYFUNCTION("""COMPUTED_VALUE"""),"Autohak")</f>
        <v>Autohak</v>
      </c>
    </row>
    <row r="9488">
      <c r="A9488" t="str">
        <f>IFERROR(__xludf.DUMMYFUNCTION("""COMPUTED_VALUE"""),"H05A")</f>
        <v>H05A</v>
      </c>
      <c r="B9488" s="226" t="str">
        <f>IFERROR(__xludf.DUMMYFUNCTION("""COMPUTED_VALUE"""),"58057")</f>
        <v>58057</v>
      </c>
      <c r="C9488" t="str">
        <f>IFERROR(__xludf.DUMMYFUNCTION("""COMPUTED_VALUE"""),"Autohak")</f>
        <v>Autohak</v>
      </c>
    </row>
    <row r="9489">
      <c r="A9489" t="str">
        <f>IFERROR(__xludf.DUMMYFUNCTION("""COMPUTED_VALUE"""),"H06")</f>
        <v>H06</v>
      </c>
      <c r="B9489" s="226" t="str">
        <f>IFERROR(__xludf.DUMMYFUNCTION("""COMPUTED_VALUE"""),"55063")</f>
        <v>55063</v>
      </c>
      <c r="C9489" t="str">
        <f>IFERROR(__xludf.DUMMYFUNCTION("""COMPUTED_VALUE"""),"Autohak")</f>
        <v>Autohak</v>
      </c>
    </row>
    <row r="9490">
      <c r="A9490" t="str">
        <f>IFERROR(__xludf.DUMMYFUNCTION("""COMPUTED_VALUE"""),"H06A")</f>
        <v>H06A</v>
      </c>
      <c r="B9490" s="226" t="str">
        <f>IFERROR(__xludf.DUMMYFUNCTION("""COMPUTED_VALUE"""),"58064")</f>
        <v>58064</v>
      </c>
      <c r="C9490" t="str">
        <f>IFERROR(__xludf.DUMMYFUNCTION("""COMPUTED_VALUE"""),"Autohak")</f>
        <v>Autohak</v>
      </c>
    </row>
    <row r="9491">
      <c r="A9491" t="str">
        <f>IFERROR(__xludf.DUMMYFUNCTION("""COMPUTED_VALUE"""),"H11")</f>
        <v>H11</v>
      </c>
      <c r="B9491" s="226" t="str">
        <f>IFERROR(__xludf.DUMMYFUNCTION("""COMPUTED_VALUE"""),"55070")</f>
        <v>55070</v>
      </c>
      <c r="C9491" t="str">
        <f>IFERROR(__xludf.DUMMYFUNCTION("""COMPUTED_VALUE"""),"Autohak")</f>
        <v>Autohak</v>
      </c>
    </row>
    <row r="9492">
      <c r="A9492" t="str">
        <f>IFERROR(__xludf.DUMMYFUNCTION("""COMPUTED_VALUE"""),"H11A")</f>
        <v>H11A</v>
      </c>
      <c r="B9492" s="226" t="str">
        <f>IFERROR(__xludf.DUMMYFUNCTION("""COMPUTED_VALUE"""),"58071")</f>
        <v>58071</v>
      </c>
      <c r="C9492" t="str">
        <f>IFERROR(__xludf.DUMMYFUNCTION("""COMPUTED_VALUE"""),"Autohak")</f>
        <v>Autohak</v>
      </c>
    </row>
    <row r="9493">
      <c r="A9493" t="str">
        <f>IFERROR(__xludf.DUMMYFUNCTION("""COMPUTED_VALUE"""),"H33")</f>
        <v>H33</v>
      </c>
      <c r="B9493" s="226" t="str">
        <f>IFERROR(__xludf.DUMMYFUNCTION("""COMPUTED_VALUE"""),"55308")</f>
        <v>55308</v>
      </c>
      <c r="C9493" t="str">
        <f>IFERROR(__xludf.DUMMYFUNCTION("""COMPUTED_VALUE"""),"Autohak")</f>
        <v>Autohak</v>
      </c>
    </row>
    <row r="9494">
      <c r="A9494" t="str">
        <f>IFERROR(__xludf.DUMMYFUNCTION("""COMPUTED_VALUE"""),"H33A")</f>
        <v>H33A</v>
      </c>
      <c r="B9494" s="226" t="str">
        <f>IFERROR(__xludf.DUMMYFUNCTION("""COMPUTED_VALUE"""),"58286")</f>
        <v>58286</v>
      </c>
      <c r="C9494" t="str">
        <f>IFERROR(__xludf.DUMMYFUNCTION("""COMPUTED_VALUE"""),"Autohak")</f>
        <v>Autohak</v>
      </c>
    </row>
    <row r="9495">
      <c r="A9495" t="str">
        <f>IFERROR(__xludf.DUMMYFUNCTION("""COMPUTED_VALUE"""),"H33V")</f>
        <v>H33V</v>
      </c>
      <c r="B9495" s="226" t="str">
        <f>IFERROR(__xludf.DUMMYFUNCTION("""COMPUTED_VALUE"""),"58811")</f>
        <v>58811</v>
      </c>
      <c r="C9495" t="str">
        <f>IFERROR(__xludf.DUMMYFUNCTION("""COMPUTED_VALUE"""),"Autohak")</f>
        <v>Autohak</v>
      </c>
    </row>
    <row r="9496">
      <c r="A9496" t="str">
        <f>IFERROR(__xludf.DUMMYFUNCTION("""COMPUTED_VALUE"""),"H29")</f>
        <v>H29</v>
      </c>
      <c r="B9496" s="226" t="str">
        <f>IFERROR(__xludf.DUMMYFUNCTION("""COMPUTED_VALUE"""),"55261")</f>
        <v>55261</v>
      </c>
      <c r="C9496" t="str">
        <f>IFERROR(__xludf.DUMMYFUNCTION("""COMPUTED_VALUE"""),"Autohak")</f>
        <v>Autohak</v>
      </c>
    </row>
    <row r="9497">
      <c r="A9497" t="str">
        <f>IFERROR(__xludf.DUMMYFUNCTION("""COMPUTED_VALUE"""),"H29A")</f>
        <v>H29A</v>
      </c>
      <c r="B9497" s="226" t="str">
        <f>IFERROR(__xludf.DUMMYFUNCTION("""COMPUTED_VALUE"""),"58248")</f>
        <v>58248</v>
      </c>
      <c r="C9497" t="str">
        <f>IFERROR(__xludf.DUMMYFUNCTION("""COMPUTED_VALUE"""),"Autohak")</f>
        <v>Autohak</v>
      </c>
    </row>
    <row r="9498">
      <c r="A9498" t="str">
        <f>IFERROR(__xludf.DUMMYFUNCTION("""COMPUTED_VALUE"""),"H29V")</f>
        <v>H29V</v>
      </c>
      <c r="B9498" s="226" t="str">
        <f>IFERROR(__xludf.DUMMYFUNCTION("""COMPUTED_VALUE"""),"58859")</f>
        <v>58859</v>
      </c>
      <c r="C9498" t="str">
        <f>IFERROR(__xludf.DUMMYFUNCTION("""COMPUTED_VALUE"""),"Autohak")</f>
        <v>Autohak</v>
      </c>
    </row>
    <row r="9499">
      <c r="A9499" t="str">
        <f>IFERROR(__xludf.DUMMYFUNCTION("""COMPUTED_VALUE"""),"H28")</f>
        <v>H28</v>
      </c>
      <c r="B9499" s="226" t="str">
        <f>IFERROR(__xludf.DUMMYFUNCTION("""COMPUTED_VALUE"""),"55254")</f>
        <v>55254</v>
      </c>
      <c r="C9499" t="str">
        <f>IFERROR(__xludf.DUMMYFUNCTION("""COMPUTED_VALUE"""),"Autohak")</f>
        <v>Autohak</v>
      </c>
    </row>
    <row r="9500">
      <c r="A9500" t="str">
        <f>IFERROR(__xludf.DUMMYFUNCTION("""COMPUTED_VALUE"""),"H28V")</f>
        <v>H28V</v>
      </c>
      <c r="B9500" s="226" t="str">
        <f>IFERROR(__xludf.DUMMYFUNCTION("""COMPUTED_VALUE"""),"58866")</f>
        <v>58866</v>
      </c>
      <c r="C9500" t="str">
        <f>IFERROR(__xludf.DUMMYFUNCTION("""COMPUTED_VALUE"""),"Autohak")</f>
        <v>Autohak</v>
      </c>
    </row>
    <row r="9501">
      <c r="A9501" t="str">
        <f>IFERROR(__xludf.DUMMYFUNCTION("""COMPUTED_VALUE"""),"H28")</f>
        <v>H28</v>
      </c>
      <c r="B9501" s="226" t="str">
        <f>IFERROR(__xludf.DUMMYFUNCTION("""COMPUTED_VALUE"""),"55254")</f>
        <v>55254</v>
      </c>
      <c r="C9501" t="str">
        <f>IFERROR(__xludf.DUMMYFUNCTION("""COMPUTED_VALUE"""),"Autohak")</f>
        <v>Autohak</v>
      </c>
    </row>
    <row r="9502">
      <c r="A9502" t="str">
        <f>IFERROR(__xludf.DUMMYFUNCTION("""COMPUTED_VALUE"""),"H28V")</f>
        <v>H28V</v>
      </c>
      <c r="B9502" s="226" t="str">
        <f>IFERROR(__xludf.DUMMYFUNCTION("""COMPUTED_VALUE"""),"58866")</f>
        <v>58866</v>
      </c>
      <c r="C9502" t="str">
        <f>IFERROR(__xludf.DUMMYFUNCTION("""COMPUTED_VALUE"""),"Autohak")</f>
        <v>Autohak</v>
      </c>
    </row>
    <row r="9503">
      <c r="A9503" t="str">
        <f>IFERROR(__xludf.DUMMYFUNCTION("""COMPUTED_VALUE"""),"H07")</f>
        <v>H07</v>
      </c>
      <c r="B9503" s="226" t="str">
        <f>IFERROR(__xludf.DUMMYFUNCTION("""COMPUTED_VALUE"""),"55087")</f>
        <v>55087</v>
      </c>
      <c r="C9503" t="str">
        <f>IFERROR(__xludf.DUMMYFUNCTION("""COMPUTED_VALUE"""),"Autohak")</f>
        <v>Autohak</v>
      </c>
    </row>
    <row r="9504">
      <c r="A9504" t="str">
        <f>IFERROR(__xludf.DUMMYFUNCTION("""COMPUTED_VALUE"""),"H07A")</f>
        <v>H07A</v>
      </c>
      <c r="B9504" s="226" t="str">
        <f>IFERROR(__xludf.DUMMYFUNCTION("""COMPUTED_VALUE"""),"58088")</f>
        <v>58088</v>
      </c>
      <c r="C9504" t="str">
        <f>IFERROR(__xludf.DUMMYFUNCTION("""COMPUTED_VALUE"""),"Autohak")</f>
        <v>Autohak</v>
      </c>
    </row>
    <row r="9505">
      <c r="A9505" t="str">
        <f>IFERROR(__xludf.DUMMYFUNCTION("""COMPUTED_VALUE"""),"H07V")</f>
        <v>H07V</v>
      </c>
      <c r="B9505" s="226" t="str">
        <f>IFERROR(__xludf.DUMMYFUNCTION("""COMPUTED_VALUE"""),"58996")</f>
        <v>58996</v>
      </c>
      <c r="C9505" t="str">
        <f>IFERROR(__xludf.DUMMYFUNCTION("""COMPUTED_VALUE"""),"Autohak")</f>
        <v>Autohak</v>
      </c>
    </row>
    <row r="9506">
      <c r="A9506" t="str">
        <f>IFERROR(__xludf.DUMMYFUNCTION("""COMPUTED_VALUE"""),"H15")</f>
        <v>H15</v>
      </c>
      <c r="B9506" s="226" t="str">
        <f>IFERROR(__xludf.DUMMYFUNCTION("""COMPUTED_VALUE"""),"55094")</f>
        <v>55094</v>
      </c>
      <c r="C9506" t="str">
        <f>IFERROR(__xludf.DUMMYFUNCTION("""COMPUTED_VALUE"""),"Autohak")</f>
        <v>Autohak</v>
      </c>
    </row>
    <row r="9507">
      <c r="A9507" t="str">
        <f>IFERROR(__xludf.DUMMYFUNCTION("""COMPUTED_VALUE"""),"H15A")</f>
        <v>H15A</v>
      </c>
      <c r="B9507" s="226" t="str">
        <f>IFERROR(__xludf.DUMMYFUNCTION("""COMPUTED_VALUE"""),"58095")</f>
        <v>58095</v>
      </c>
      <c r="C9507" t="str">
        <f>IFERROR(__xludf.DUMMYFUNCTION("""COMPUTED_VALUE"""),"Autohak")</f>
        <v>Autohak</v>
      </c>
    </row>
    <row r="9508">
      <c r="A9508" t="str">
        <f>IFERROR(__xludf.DUMMYFUNCTION("""COMPUTED_VALUE"""),"H14")</f>
        <v>H14</v>
      </c>
      <c r="B9508" s="226" t="str">
        <f>IFERROR(__xludf.DUMMYFUNCTION("""COMPUTED_VALUE"""),"55315")</f>
        <v>55315</v>
      </c>
      <c r="C9508" t="str">
        <f>IFERROR(__xludf.DUMMYFUNCTION("""COMPUTED_VALUE"""),"Autohak")</f>
        <v>Autohak</v>
      </c>
    </row>
    <row r="9509">
      <c r="A9509" t="str">
        <f>IFERROR(__xludf.DUMMYFUNCTION("""COMPUTED_VALUE"""),"H14A")</f>
        <v>H14A</v>
      </c>
      <c r="B9509" s="226" t="str">
        <f>IFERROR(__xludf.DUMMYFUNCTION("""COMPUTED_VALUE"""),"58293")</f>
        <v>58293</v>
      </c>
      <c r="C9509" t="str">
        <f>IFERROR(__xludf.DUMMYFUNCTION("""COMPUTED_VALUE"""),"Autohak")</f>
        <v>Autohak</v>
      </c>
    </row>
    <row r="9510">
      <c r="A9510" t="str">
        <f>IFERROR(__xludf.DUMMYFUNCTION("""COMPUTED_VALUE"""),"H14V")</f>
        <v>H14V</v>
      </c>
      <c r="B9510" s="226" t="str">
        <f>IFERROR(__xludf.DUMMYFUNCTION("""COMPUTED_VALUE"""),"58804")</f>
        <v>58804</v>
      </c>
      <c r="C9510" t="str">
        <f>IFERROR(__xludf.DUMMYFUNCTION("""COMPUTED_VALUE"""),"Autohak")</f>
        <v>Autohak</v>
      </c>
    </row>
    <row r="9511">
      <c r="A9511" t="str">
        <f>IFERROR(__xludf.DUMMYFUNCTION("""COMPUTED_VALUE"""),"H20")</f>
        <v>H20</v>
      </c>
      <c r="B9511" s="226" t="str">
        <f>IFERROR(__xludf.DUMMYFUNCTION("""COMPUTED_VALUE"""),"55162")</f>
        <v>55162</v>
      </c>
      <c r="C9511" t="str">
        <f>IFERROR(__xludf.DUMMYFUNCTION("""COMPUTED_VALUE"""),"Autohak")</f>
        <v>Autohak</v>
      </c>
    </row>
    <row r="9512">
      <c r="A9512" t="str">
        <f>IFERROR(__xludf.DUMMYFUNCTION("""COMPUTED_VALUE"""),"H20A")</f>
        <v>H20A</v>
      </c>
      <c r="B9512" s="226" t="str">
        <f>IFERROR(__xludf.DUMMYFUNCTION("""COMPUTED_VALUE"""),"58163")</f>
        <v>58163</v>
      </c>
      <c r="C9512" t="str">
        <f>IFERROR(__xludf.DUMMYFUNCTION("""COMPUTED_VALUE"""),"Autohak")</f>
        <v>Autohak</v>
      </c>
    </row>
    <row r="9513">
      <c r="A9513" t="str">
        <f>IFERROR(__xludf.DUMMYFUNCTION("""COMPUTED_VALUE"""),"H20V")</f>
        <v>H20V</v>
      </c>
      <c r="B9513" s="226" t="str">
        <f>IFERROR(__xludf.DUMMYFUNCTION("""COMPUTED_VALUE"""),"58941")</f>
        <v>58941</v>
      </c>
      <c r="C9513" t="str">
        <f>IFERROR(__xludf.DUMMYFUNCTION("""COMPUTED_VALUE"""),"Autohak")</f>
        <v>Autohak</v>
      </c>
    </row>
    <row r="9514">
      <c r="A9514" t="str">
        <f>IFERROR(__xludf.DUMMYFUNCTION("""COMPUTED_VALUE"""),"H26")</f>
        <v>H26</v>
      </c>
      <c r="B9514" s="226" t="str">
        <f>IFERROR(__xludf.DUMMYFUNCTION("""COMPUTED_VALUE"""),"55230")</f>
        <v>55230</v>
      </c>
      <c r="C9514" t="str">
        <f>IFERROR(__xludf.DUMMYFUNCTION("""COMPUTED_VALUE"""),"Autohak")</f>
        <v>Autohak</v>
      </c>
    </row>
    <row r="9515">
      <c r="A9515" t="str">
        <f>IFERROR(__xludf.DUMMYFUNCTION("""COMPUTED_VALUE"""),"H26A")</f>
        <v>H26A</v>
      </c>
      <c r="B9515" s="226" t="str">
        <f>IFERROR(__xludf.DUMMYFUNCTION("""COMPUTED_VALUE"""),"58224")</f>
        <v>58224</v>
      </c>
      <c r="C9515" t="str">
        <f>IFERROR(__xludf.DUMMYFUNCTION("""COMPUTED_VALUE"""),"Autohak")</f>
        <v>Autohak</v>
      </c>
    </row>
    <row r="9516">
      <c r="A9516" t="str">
        <f>IFERROR(__xludf.DUMMYFUNCTION("""COMPUTED_VALUE"""),"H26V")</f>
        <v>H26V</v>
      </c>
      <c r="B9516" s="226" t="str">
        <f>IFERROR(__xludf.DUMMYFUNCTION("""COMPUTED_VALUE"""),"58880")</f>
        <v>58880</v>
      </c>
      <c r="C9516" t="str">
        <f>IFERROR(__xludf.DUMMYFUNCTION("""COMPUTED_VALUE"""),"Autohak")</f>
        <v>Autohak</v>
      </c>
    </row>
    <row r="9517">
      <c r="A9517" t="str">
        <f>IFERROR(__xludf.DUMMYFUNCTION("""COMPUTED_VALUE"""),"H19")</f>
        <v>H19</v>
      </c>
      <c r="B9517" s="226" t="str">
        <f>IFERROR(__xludf.DUMMYFUNCTION("""COMPUTED_VALUE"""),"55155")</f>
        <v>55155</v>
      </c>
      <c r="C9517" t="str">
        <f>IFERROR(__xludf.DUMMYFUNCTION("""COMPUTED_VALUE"""),"Autohak")</f>
        <v>Autohak</v>
      </c>
    </row>
    <row r="9518">
      <c r="A9518" t="str">
        <f>IFERROR(__xludf.DUMMYFUNCTION("""COMPUTED_VALUE"""),"H19A")</f>
        <v>H19A</v>
      </c>
      <c r="B9518" s="226" t="str">
        <f>IFERROR(__xludf.DUMMYFUNCTION("""COMPUTED_VALUE"""),"58156")</f>
        <v>58156</v>
      </c>
      <c r="C9518" t="str">
        <f>IFERROR(__xludf.DUMMYFUNCTION("""COMPUTED_VALUE"""),"Autohak")</f>
        <v>Autohak</v>
      </c>
    </row>
    <row r="9519">
      <c r="A9519" t="str">
        <f>IFERROR(__xludf.DUMMYFUNCTION("""COMPUTED_VALUE"""),"H19V")</f>
        <v>H19V</v>
      </c>
      <c r="B9519" s="226" t="str">
        <f>IFERROR(__xludf.DUMMYFUNCTION("""COMPUTED_VALUE"""),"58958")</f>
        <v>58958</v>
      </c>
      <c r="C9519" t="str">
        <f>IFERROR(__xludf.DUMMYFUNCTION("""COMPUTED_VALUE"""),"Autohak")</f>
        <v>Autohak</v>
      </c>
    </row>
    <row r="9520">
      <c r="A9520" t="str">
        <f>IFERROR(__xludf.DUMMYFUNCTION("""COMPUTED_VALUE"""),"H19")</f>
        <v>H19</v>
      </c>
      <c r="B9520" s="226" t="str">
        <f>IFERROR(__xludf.DUMMYFUNCTION("""COMPUTED_VALUE"""),"55155")</f>
        <v>55155</v>
      </c>
      <c r="C9520" t="str">
        <f>IFERROR(__xludf.DUMMYFUNCTION("""COMPUTED_VALUE"""),"Autohak")</f>
        <v>Autohak</v>
      </c>
    </row>
    <row r="9521">
      <c r="A9521" t="str">
        <f>IFERROR(__xludf.DUMMYFUNCTION("""COMPUTED_VALUE"""),"H19A")</f>
        <v>H19A</v>
      </c>
      <c r="B9521" s="226" t="str">
        <f>IFERROR(__xludf.DUMMYFUNCTION("""COMPUTED_VALUE"""),"58156")</f>
        <v>58156</v>
      </c>
      <c r="C9521" t="str">
        <f>IFERROR(__xludf.DUMMYFUNCTION("""COMPUTED_VALUE"""),"Autohak")</f>
        <v>Autohak</v>
      </c>
    </row>
    <row r="9522">
      <c r="A9522" t="str">
        <f>IFERROR(__xludf.DUMMYFUNCTION("""COMPUTED_VALUE"""),"H19V")</f>
        <v>H19V</v>
      </c>
      <c r="B9522" s="226" t="str">
        <f>IFERROR(__xludf.DUMMYFUNCTION("""COMPUTED_VALUE"""),"58958")</f>
        <v>58958</v>
      </c>
      <c r="C9522" t="str">
        <f>IFERROR(__xludf.DUMMYFUNCTION("""COMPUTED_VALUE"""),"Autohak")</f>
        <v>Autohak</v>
      </c>
    </row>
    <row r="9523">
      <c r="A9523" t="str">
        <f>IFERROR(__xludf.DUMMYFUNCTION("""COMPUTED_VALUE"""),"H21")</f>
        <v>H21</v>
      </c>
      <c r="B9523" s="226" t="str">
        <f>IFERROR(__xludf.DUMMYFUNCTION("""COMPUTED_VALUE"""),"55179")</f>
        <v>55179</v>
      </c>
      <c r="C9523" t="str">
        <f>IFERROR(__xludf.DUMMYFUNCTION("""COMPUTED_VALUE"""),"Autohak")</f>
        <v>Autohak</v>
      </c>
    </row>
    <row r="9524">
      <c r="A9524" t="str">
        <f>IFERROR(__xludf.DUMMYFUNCTION("""COMPUTED_VALUE"""),"H21A")</f>
        <v>H21A</v>
      </c>
      <c r="B9524" s="226" t="str">
        <f>IFERROR(__xludf.DUMMYFUNCTION("""COMPUTED_VALUE"""),"58170")</f>
        <v>58170</v>
      </c>
      <c r="C9524" t="str">
        <f>IFERROR(__xludf.DUMMYFUNCTION("""COMPUTED_VALUE"""),"Autohak")</f>
        <v>Autohak</v>
      </c>
    </row>
    <row r="9525">
      <c r="A9525" t="str">
        <f>IFERROR(__xludf.DUMMYFUNCTION("""COMPUTED_VALUE"""),"H21V")</f>
        <v>H21V</v>
      </c>
      <c r="B9525" s="226" t="str">
        <f>IFERROR(__xludf.DUMMYFUNCTION("""COMPUTED_VALUE"""),"58934")</f>
        <v>58934</v>
      </c>
      <c r="C9525" t="str">
        <f>IFERROR(__xludf.DUMMYFUNCTION("""COMPUTED_VALUE"""),"Autohak")</f>
        <v>Autohak</v>
      </c>
    </row>
    <row r="9526">
      <c r="A9526" t="str">
        <f>IFERROR(__xludf.DUMMYFUNCTION("""COMPUTED_VALUE"""),"H21")</f>
        <v>H21</v>
      </c>
      <c r="B9526" s="226" t="str">
        <f>IFERROR(__xludf.DUMMYFUNCTION("""COMPUTED_VALUE"""),"55179")</f>
        <v>55179</v>
      </c>
      <c r="C9526" t="str">
        <f>IFERROR(__xludf.DUMMYFUNCTION("""COMPUTED_VALUE"""),"Autohak")</f>
        <v>Autohak</v>
      </c>
    </row>
    <row r="9527">
      <c r="A9527" t="str">
        <f>IFERROR(__xludf.DUMMYFUNCTION("""COMPUTED_VALUE"""),"H21A")</f>
        <v>H21A</v>
      </c>
      <c r="B9527" s="226" t="str">
        <f>IFERROR(__xludf.DUMMYFUNCTION("""COMPUTED_VALUE"""),"58170")</f>
        <v>58170</v>
      </c>
      <c r="C9527" t="str">
        <f>IFERROR(__xludf.DUMMYFUNCTION("""COMPUTED_VALUE"""),"Autohak")</f>
        <v>Autohak</v>
      </c>
    </row>
    <row r="9528">
      <c r="A9528" t="str">
        <f>IFERROR(__xludf.DUMMYFUNCTION("""COMPUTED_VALUE"""),"H21V")</f>
        <v>H21V</v>
      </c>
      <c r="B9528" s="226" t="str">
        <f>IFERROR(__xludf.DUMMYFUNCTION("""COMPUTED_VALUE"""),"58934")</f>
        <v>58934</v>
      </c>
      <c r="C9528" t="str">
        <f>IFERROR(__xludf.DUMMYFUNCTION("""COMPUTED_VALUE"""),"Autohak")</f>
        <v>Autohak</v>
      </c>
    </row>
    <row r="9529">
      <c r="A9529" t="str">
        <f>IFERROR(__xludf.DUMMYFUNCTION("""COMPUTED_VALUE"""),"H16")</f>
        <v>H16</v>
      </c>
      <c r="B9529" s="226" t="str">
        <f>IFERROR(__xludf.DUMMYFUNCTION("""COMPUTED_VALUE"""),"55124")</f>
        <v>55124</v>
      </c>
      <c r="C9529" t="str">
        <f>IFERROR(__xludf.DUMMYFUNCTION("""COMPUTED_VALUE"""),"Autohak")</f>
        <v>Autohak</v>
      </c>
    </row>
    <row r="9530">
      <c r="A9530" t="str">
        <f>IFERROR(__xludf.DUMMYFUNCTION("""COMPUTED_VALUE"""),"H16A")</f>
        <v>H16A</v>
      </c>
      <c r="B9530" s="226" t="str">
        <f>IFERROR(__xludf.DUMMYFUNCTION("""COMPUTED_VALUE"""),"58125")</f>
        <v>58125</v>
      </c>
      <c r="C9530" t="str">
        <f>IFERROR(__xludf.DUMMYFUNCTION("""COMPUTED_VALUE"""),"Autohak")</f>
        <v>Autohak</v>
      </c>
    </row>
    <row r="9531">
      <c r="A9531" t="str">
        <f>IFERROR(__xludf.DUMMYFUNCTION("""COMPUTED_VALUE"""),"H16")</f>
        <v>H16</v>
      </c>
      <c r="B9531" s="226" t="str">
        <f>IFERROR(__xludf.DUMMYFUNCTION("""COMPUTED_VALUE"""),"55124")</f>
        <v>55124</v>
      </c>
      <c r="C9531" t="str">
        <f>IFERROR(__xludf.DUMMYFUNCTION("""COMPUTED_VALUE"""),"Autohak")</f>
        <v>Autohak</v>
      </c>
    </row>
    <row r="9532">
      <c r="A9532" t="str">
        <f>IFERROR(__xludf.DUMMYFUNCTION("""COMPUTED_VALUE"""),"H16A")</f>
        <v>H16A</v>
      </c>
      <c r="B9532" s="226" t="str">
        <f>IFERROR(__xludf.DUMMYFUNCTION("""COMPUTED_VALUE"""),"58125")</f>
        <v>58125</v>
      </c>
      <c r="C9532" t="str">
        <f>IFERROR(__xludf.DUMMYFUNCTION("""COMPUTED_VALUE"""),"Autohak")</f>
        <v>Autohak</v>
      </c>
    </row>
    <row r="9533">
      <c r="A9533" t="str">
        <f>IFERROR(__xludf.DUMMYFUNCTION("""COMPUTED_VALUE"""),"H32")</f>
        <v>H32</v>
      </c>
      <c r="B9533" s="226" t="str">
        <f>IFERROR(__xludf.DUMMYFUNCTION("""COMPUTED_VALUE"""),"55292")</f>
        <v>55292</v>
      </c>
      <c r="C9533" t="str">
        <f>IFERROR(__xludf.DUMMYFUNCTION("""COMPUTED_VALUE"""),"Autohak")</f>
        <v>Autohak</v>
      </c>
    </row>
    <row r="9534">
      <c r="A9534" t="str">
        <f>IFERROR(__xludf.DUMMYFUNCTION("""COMPUTED_VALUE"""),"H32A")</f>
        <v>H32A</v>
      </c>
      <c r="B9534" s="226" t="str">
        <f>IFERROR(__xludf.DUMMYFUNCTION("""COMPUTED_VALUE"""),"58279")</f>
        <v>58279</v>
      </c>
      <c r="C9534" t="str">
        <f>IFERROR(__xludf.DUMMYFUNCTION("""COMPUTED_VALUE"""),"Autohak")</f>
        <v>Autohak</v>
      </c>
    </row>
    <row r="9535">
      <c r="A9535" t="str">
        <f>IFERROR(__xludf.DUMMYFUNCTION("""COMPUTED_VALUE"""),"H32V")</f>
        <v>H32V</v>
      </c>
      <c r="B9535" s="226" t="str">
        <f>IFERROR(__xludf.DUMMYFUNCTION("""COMPUTED_VALUE"""),"58828")</f>
        <v>58828</v>
      </c>
      <c r="C9535" t="str">
        <f>IFERROR(__xludf.DUMMYFUNCTION("""COMPUTED_VALUE"""),"Autohak")</f>
        <v>Autohak</v>
      </c>
    </row>
    <row r="9536">
      <c r="A9536" t="str">
        <f>IFERROR(__xludf.DUMMYFUNCTION("""COMPUTED_VALUE"""),"H08")</f>
        <v>H08</v>
      </c>
      <c r="B9536" s="226" t="str">
        <f>IFERROR(__xludf.DUMMYFUNCTION("""COMPUTED_VALUE"""),"55117")</f>
        <v>55117</v>
      </c>
      <c r="C9536" t="str">
        <f>IFERROR(__xludf.DUMMYFUNCTION("""COMPUTED_VALUE"""),"Autohak")</f>
        <v>Autohak</v>
      </c>
    </row>
    <row r="9537">
      <c r="A9537" t="str">
        <f>IFERROR(__xludf.DUMMYFUNCTION("""COMPUTED_VALUE"""),"H08A")</f>
        <v>H08A</v>
      </c>
      <c r="B9537" s="226" t="str">
        <f>IFERROR(__xludf.DUMMYFUNCTION("""COMPUTED_VALUE"""),"58118")</f>
        <v>58118</v>
      </c>
      <c r="C9537" t="str">
        <f>IFERROR(__xludf.DUMMYFUNCTION("""COMPUTED_VALUE"""),"Autohak")</f>
        <v>Autohak</v>
      </c>
    </row>
    <row r="9538">
      <c r="A9538" t="str">
        <f>IFERROR(__xludf.DUMMYFUNCTION("""COMPUTED_VALUE"""),"H17")</f>
        <v>H17</v>
      </c>
      <c r="B9538" s="226" t="str">
        <f>IFERROR(__xludf.DUMMYFUNCTION("""COMPUTED_VALUE"""),"55131")</f>
        <v>55131</v>
      </c>
      <c r="C9538" t="str">
        <f>IFERROR(__xludf.DUMMYFUNCTION("""COMPUTED_VALUE"""),"Autohak")</f>
        <v>Autohak</v>
      </c>
    </row>
    <row r="9539">
      <c r="A9539" t="str">
        <f>IFERROR(__xludf.DUMMYFUNCTION("""COMPUTED_VALUE"""),"H17A")</f>
        <v>H17A</v>
      </c>
      <c r="B9539" s="226" t="str">
        <f>IFERROR(__xludf.DUMMYFUNCTION("""COMPUTED_VALUE"""),"58132")</f>
        <v>58132</v>
      </c>
      <c r="C9539" t="str">
        <f>IFERROR(__xludf.DUMMYFUNCTION("""COMPUTED_VALUE"""),"Autohak")</f>
        <v>Autohak</v>
      </c>
    </row>
    <row r="9540">
      <c r="A9540" t="str">
        <f>IFERROR(__xludf.DUMMYFUNCTION("""COMPUTED_VALUE"""),"H17V")</f>
        <v>H17V</v>
      </c>
      <c r="B9540" s="226" t="str">
        <f>IFERROR(__xludf.DUMMYFUNCTION("""COMPUTED_VALUE"""),"58965")</f>
        <v>58965</v>
      </c>
      <c r="C9540" t="str">
        <f>IFERROR(__xludf.DUMMYFUNCTION("""COMPUTED_VALUE"""),"Autohak")</f>
        <v>Autohak</v>
      </c>
    </row>
    <row r="9541">
      <c r="A9541" t="str">
        <f>IFERROR(__xludf.DUMMYFUNCTION("""COMPUTED_VALUE"""),"H27")</f>
        <v>H27</v>
      </c>
      <c r="B9541" s="226" t="str">
        <f>IFERROR(__xludf.DUMMYFUNCTION("""COMPUTED_VALUE"""),"55247")</f>
        <v>55247</v>
      </c>
      <c r="C9541" t="str">
        <f>IFERROR(__xludf.DUMMYFUNCTION("""COMPUTED_VALUE"""),"Autohak")</f>
        <v>Autohak</v>
      </c>
    </row>
    <row r="9542">
      <c r="A9542" t="str">
        <f>IFERROR(__xludf.DUMMYFUNCTION("""COMPUTED_VALUE"""),"H27A")</f>
        <v>H27A</v>
      </c>
      <c r="B9542" s="226" t="str">
        <f>IFERROR(__xludf.DUMMYFUNCTION("""COMPUTED_VALUE"""),"58231")</f>
        <v>58231</v>
      </c>
      <c r="C9542" t="str">
        <f>IFERROR(__xludf.DUMMYFUNCTION("""COMPUTED_VALUE"""),"Autohak")</f>
        <v>Autohak</v>
      </c>
    </row>
    <row r="9543">
      <c r="A9543" t="str">
        <f>IFERROR(__xludf.DUMMYFUNCTION("""COMPUTED_VALUE"""),"H27V")</f>
        <v>H27V</v>
      </c>
      <c r="B9543" s="226" t="str">
        <f>IFERROR(__xludf.DUMMYFUNCTION("""COMPUTED_VALUE"""),"58873")</f>
        <v>58873</v>
      </c>
      <c r="C9543" t="str">
        <f>IFERROR(__xludf.DUMMYFUNCTION("""COMPUTED_VALUE"""),"Autohak")</f>
        <v>Autohak</v>
      </c>
    </row>
    <row r="9544">
      <c r="A9544" t="str">
        <f>IFERROR(__xludf.DUMMYFUNCTION("""COMPUTED_VALUE"""),"H18")</f>
        <v>H18</v>
      </c>
      <c r="B9544" s="226" t="str">
        <f>IFERROR(__xludf.DUMMYFUNCTION("""COMPUTED_VALUE"""),"55148")</f>
        <v>55148</v>
      </c>
      <c r="C9544" t="str">
        <f>IFERROR(__xludf.DUMMYFUNCTION("""COMPUTED_VALUE"""),"Autohak")</f>
        <v>Autohak</v>
      </c>
    </row>
    <row r="9545">
      <c r="A9545" t="str">
        <f>IFERROR(__xludf.DUMMYFUNCTION("""COMPUTED_VALUE"""),"H18A")</f>
        <v>H18A</v>
      </c>
      <c r="B9545" s="226" t="str">
        <f>IFERROR(__xludf.DUMMYFUNCTION("""COMPUTED_VALUE"""),"58149")</f>
        <v>58149</v>
      </c>
      <c r="C9545" t="str">
        <f>IFERROR(__xludf.DUMMYFUNCTION("""COMPUTED_VALUE"""),"Autohak")</f>
        <v>Autohak</v>
      </c>
    </row>
    <row r="9546">
      <c r="A9546" t="str">
        <f>IFERROR(__xludf.DUMMYFUNCTION("""COMPUTED_VALUE"""),"H18V")</f>
        <v>H18V</v>
      </c>
      <c r="B9546" s="226" t="str">
        <f>IFERROR(__xludf.DUMMYFUNCTION("""COMPUTED_VALUE"""),"58972")</f>
        <v>58972</v>
      </c>
      <c r="C9546" t="str">
        <f>IFERROR(__xludf.DUMMYFUNCTION("""COMPUTED_VALUE"""),"Autohak")</f>
        <v>Autohak</v>
      </c>
    </row>
    <row r="9547">
      <c r="A9547" t="str">
        <f>IFERROR(__xludf.DUMMYFUNCTION("""COMPUTED_VALUE"""),"H22")</f>
        <v>H22</v>
      </c>
      <c r="B9547" s="226" t="str">
        <f>IFERROR(__xludf.DUMMYFUNCTION("""COMPUTED_VALUE"""),"55193")</f>
        <v>55193</v>
      </c>
      <c r="C9547" t="str">
        <f>IFERROR(__xludf.DUMMYFUNCTION("""COMPUTED_VALUE"""),"Autohak")</f>
        <v>Autohak</v>
      </c>
    </row>
    <row r="9548">
      <c r="A9548" t="str">
        <f>IFERROR(__xludf.DUMMYFUNCTION("""COMPUTED_VALUE"""),"H22A")</f>
        <v>H22A</v>
      </c>
      <c r="B9548" s="226" t="str">
        <f>IFERROR(__xludf.DUMMYFUNCTION("""COMPUTED_VALUE"""),"58187")</f>
        <v>58187</v>
      </c>
      <c r="C9548" t="str">
        <f>IFERROR(__xludf.DUMMYFUNCTION("""COMPUTED_VALUE"""),"Autohak")</f>
        <v>Autohak</v>
      </c>
    </row>
    <row r="9549">
      <c r="A9549" t="str">
        <f>IFERROR(__xludf.DUMMYFUNCTION("""COMPUTED_VALUE"""),"H22V")</f>
        <v>H22V</v>
      </c>
      <c r="B9549" s="226" t="str">
        <f>IFERROR(__xludf.DUMMYFUNCTION("""COMPUTED_VALUE"""),"58927")</f>
        <v>58927</v>
      </c>
      <c r="C9549" t="str">
        <f>IFERROR(__xludf.DUMMYFUNCTION("""COMPUTED_VALUE"""),"Autohak")</f>
        <v>Autohak</v>
      </c>
    </row>
    <row r="9550">
      <c r="A9550" t="str">
        <f>IFERROR(__xludf.DUMMYFUNCTION("""COMPUTED_VALUE"""),"SY02")</f>
        <v>SY02</v>
      </c>
      <c r="B9550" s="226" t="str">
        <f>IFERROR(__xludf.DUMMYFUNCTION("""COMPUTED_VALUE"""),"59016")</f>
        <v>59016</v>
      </c>
      <c r="C9550" t="str">
        <f>IFERROR(__xludf.DUMMYFUNCTION("""COMPUTED_VALUE"""),"Autohak")</f>
        <v>Autohak</v>
      </c>
    </row>
    <row r="9551">
      <c r="A9551" t="str">
        <f>IFERROR(__xludf.DUMMYFUNCTION("""COMPUTED_VALUE"""),"SY02A")</f>
        <v>SY02A</v>
      </c>
      <c r="B9551" s="226" t="str">
        <f>IFERROR(__xludf.DUMMYFUNCTION("""COMPUTED_VALUE"""),"60982")</f>
        <v>60982</v>
      </c>
      <c r="C9551" t="str">
        <f>IFERROR(__xludf.DUMMYFUNCTION("""COMPUTED_VALUE"""),"Autohak")</f>
        <v>Autohak</v>
      </c>
    </row>
    <row r="9552">
      <c r="A9552" t="str">
        <f>IFERROR(__xludf.DUMMYFUNCTION("""COMPUTED_VALUE"""),"SY02V")</f>
        <v>SY02V</v>
      </c>
      <c r="B9552" s="226" t="str">
        <f>IFERROR(__xludf.DUMMYFUNCTION("""COMPUTED_VALUE"""),"60999")</f>
        <v>60999</v>
      </c>
      <c r="C9552" t="str">
        <f>IFERROR(__xludf.DUMMYFUNCTION("""COMPUTED_VALUE"""),"Autohak")</f>
        <v>Autohak</v>
      </c>
    </row>
    <row r="9553">
      <c r="A9553" t="str">
        <f>IFERROR(__xludf.DUMMYFUNCTION("""COMPUTED_VALUE"""),"SY02")</f>
        <v>SY02</v>
      </c>
      <c r="B9553" s="226" t="str">
        <f>IFERROR(__xludf.DUMMYFUNCTION("""COMPUTED_VALUE"""),"59016")</f>
        <v>59016</v>
      </c>
      <c r="C9553" t="str">
        <f>IFERROR(__xludf.DUMMYFUNCTION("""COMPUTED_VALUE"""),"Autohak")</f>
        <v>Autohak</v>
      </c>
    </row>
    <row r="9554">
      <c r="A9554" t="str">
        <f>IFERROR(__xludf.DUMMYFUNCTION("""COMPUTED_VALUE"""),"SY02A")</f>
        <v>SY02A</v>
      </c>
      <c r="B9554" s="226" t="str">
        <f>IFERROR(__xludf.DUMMYFUNCTION("""COMPUTED_VALUE"""),"60982")</f>
        <v>60982</v>
      </c>
      <c r="C9554" t="str">
        <f>IFERROR(__xludf.DUMMYFUNCTION("""COMPUTED_VALUE"""),"Autohak")</f>
        <v>Autohak</v>
      </c>
    </row>
    <row r="9555">
      <c r="A9555" t="str">
        <f>IFERROR(__xludf.DUMMYFUNCTION("""COMPUTED_VALUE"""),"SY02V")</f>
        <v>SY02V</v>
      </c>
      <c r="B9555" s="226" t="str">
        <f>IFERROR(__xludf.DUMMYFUNCTION("""COMPUTED_VALUE"""),"60999")</f>
        <v>60999</v>
      </c>
      <c r="C9555" t="str">
        <f>IFERROR(__xludf.DUMMYFUNCTION("""COMPUTED_VALUE"""),"Autohak")</f>
        <v>Autohak</v>
      </c>
    </row>
    <row r="9556">
      <c r="A9556" t="str">
        <f>IFERROR(__xludf.DUMMYFUNCTION("""COMPUTED_VALUE"""),"SY03")</f>
        <v>SY03</v>
      </c>
      <c r="B9556" s="226" t="str">
        <f>IFERROR(__xludf.DUMMYFUNCTION("""COMPUTED_VALUE"""),"59023")</f>
        <v>59023</v>
      </c>
      <c r="C9556" t="str">
        <f>IFERROR(__xludf.DUMMYFUNCTION("""COMPUTED_VALUE"""),"Autohak")</f>
        <v>Autohak</v>
      </c>
    </row>
    <row r="9557">
      <c r="A9557" t="str">
        <f>IFERROR(__xludf.DUMMYFUNCTION("""COMPUTED_VALUE"""),"SY03A")</f>
        <v>SY03A</v>
      </c>
      <c r="B9557" s="226" t="str">
        <f>IFERROR(__xludf.DUMMYFUNCTION("""COMPUTED_VALUE"""),"60975")</f>
        <v>60975</v>
      </c>
      <c r="C9557" t="str">
        <f>IFERROR(__xludf.DUMMYFUNCTION("""COMPUTED_VALUE"""),"Autohak")</f>
        <v>Autohak</v>
      </c>
    </row>
    <row r="9558">
      <c r="A9558" t="str">
        <f>IFERROR(__xludf.DUMMYFUNCTION("""COMPUTED_VALUE"""),"SY01")</f>
        <v>SY01</v>
      </c>
      <c r="B9558" s="226" t="str">
        <f>IFERROR(__xludf.DUMMYFUNCTION("""COMPUTED_VALUE"""),"59009")</f>
        <v>59009</v>
      </c>
      <c r="C9558" t="str">
        <f>IFERROR(__xludf.DUMMYFUNCTION("""COMPUTED_VALUE"""),"Autohak")</f>
        <v>Autohak</v>
      </c>
    </row>
    <row r="9559">
      <c r="A9559" t="str">
        <f>IFERROR(__xludf.DUMMYFUNCTION("""COMPUTED_VALUE"""),"SU44")</f>
        <v>SU44</v>
      </c>
      <c r="B9559" s="226" t="str">
        <f>IFERROR(__xludf.DUMMYFUNCTION("""COMPUTED_VALUE"""),"60005")</f>
        <v>60005</v>
      </c>
      <c r="C9559" t="str">
        <f>IFERROR(__xludf.DUMMYFUNCTION("""COMPUTED_VALUE"""),"Autohak")</f>
        <v>Autohak</v>
      </c>
    </row>
    <row r="9560">
      <c r="A9560" t="str">
        <f>IFERROR(__xludf.DUMMYFUNCTION("""COMPUTED_VALUE"""),"SU44A")</f>
        <v>SU44A</v>
      </c>
      <c r="B9560" s="226" t="str">
        <f>IFERROR(__xludf.DUMMYFUNCTION("""COMPUTED_VALUE"""),"60500")</f>
        <v>60500</v>
      </c>
      <c r="C9560" t="str">
        <f>IFERROR(__xludf.DUMMYFUNCTION("""COMPUTED_VALUE"""),"Autohak")</f>
        <v>Autohak</v>
      </c>
    </row>
    <row r="9561">
      <c r="A9561" t="str">
        <f>IFERROR(__xludf.DUMMYFUNCTION("""COMPUTED_VALUE"""),"SU45")</f>
        <v>SU45</v>
      </c>
      <c r="B9561" s="226" t="str">
        <f>IFERROR(__xludf.DUMMYFUNCTION("""COMPUTED_VALUE"""),"60029")</f>
        <v>60029</v>
      </c>
      <c r="C9561" t="str">
        <f>IFERROR(__xludf.DUMMYFUNCTION("""COMPUTED_VALUE"""),"Autohak")</f>
        <v>Autohak</v>
      </c>
    </row>
    <row r="9562">
      <c r="A9562" t="str">
        <f>IFERROR(__xludf.DUMMYFUNCTION("""COMPUTED_VALUE"""),"SU45A")</f>
        <v>SU45A</v>
      </c>
      <c r="B9562" s="226" t="str">
        <f>IFERROR(__xludf.DUMMYFUNCTION("""COMPUTED_VALUE"""),"60524")</f>
        <v>60524</v>
      </c>
      <c r="C9562" t="str">
        <f>IFERROR(__xludf.DUMMYFUNCTION("""COMPUTED_VALUE"""),"Autohak")</f>
        <v>Autohak</v>
      </c>
    </row>
    <row r="9563">
      <c r="A9563" t="str">
        <f>IFERROR(__xludf.DUMMYFUNCTION("""COMPUTED_VALUE"""),"SU48")</f>
        <v>SU48</v>
      </c>
      <c r="B9563" s="226" t="str">
        <f>IFERROR(__xludf.DUMMYFUNCTION("""COMPUTED_VALUE"""),"60043")</f>
        <v>60043</v>
      </c>
      <c r="C9563" t="str">
        <f>IFERROR(__xludf.DUMMYFUNCTION("""COMPUTED_VALUE"""),"Autohak")</f>
        <v>Autohak</v>
      </c>
    </row>
    <row r="9564">
      <c r="A9564" t="str">
        <f>IFERROR(__xludf.DUMMYFUNCTION("""COMPUTED_VALUE"""),"SU48A")</f>
        <v>SU48A</v>
      </c>
      <c r="B9564" s="226" t="str">
        <f>IFERROR(__xludf.DUMMYFUNCTION("""COMPUTED_VALUE"""),"60555")</f>
        <v>60555</v>
      </c>
      <c r="C9564" t="str">
        <f>IFERROR(__xludf.DUMMYFUNCTION("""COMPUTED_VALUE"""),"Autohak")</f>
        <v>Autohak</v>
      </c>
    </row>
    <row r="9565">
      <c r="A9565" t="str">
        <f>IFERROR(__xludf.DUMMYFUNCTION("""COMPUTED_VALUE"""),"SU48V")</f>
        <v>SU48V</v>
      </c>
      <c r="B9565" s="226" t="str">
        <f>IFERROR(__xludf.DUMMYFUNCTION("""COMPUTED_VALUE"""),"60562")</f>
        <v>60562</v>
      </c>
      <c r="C9565" t="str">
        <f>IFERROR(__xludf.DUMMYFUNCTION("""COMPUTED_VALUE"""),"Autohak")</f>
        <v>Autohak</v>
      </c>
    </row>
    <row r="9566">
      <c r="A9566" t="str">
        <f>IFERROR(__xludf.DUMMYFUNCTION("""COMPUTED_VALUE"""),"SU51")</f>
        <v>SU51</v>
      </c>
      <c r="B9566" s="226" t="str">
        <f>IFERROR(__xludf.DUMMYFUNCTION("""COMPUTED_VALUE"""),"60074")</f>
        <v>60074</v>
      </c>
      <c r="C9566" t="str">
        <f>IFERROR(__xludf.DUMMYFUNCTION("""COMPUTED_VALUE"""),"Autohak")</f>
        <v>Autohak</v>
      </c>
    </row>
    <row r="9567">
      <c r="A9567" t="str">
        <f>IFERROR(__xludf.DUMMYFUNCTION("""COMPUTED_VALUE"""),"SU51A")</f>
        <v>SU51A</v>
      </c>
      <c r="B9567" s="226" t="str">
        <f>IFERROR(__xludf.DUMMYFUNCTION("""COMPUTED_VALUE"""),"60593")</f>
        <v>60593</v>
      </c>
      <c r="C9567" t="str">
        <f>IFERROR(__xludf.DUMMYFUNCTION("""COMPUTED_VALUE"""),"Autohak")</f>
        <v>Autohak</v>
      </c>
    </row>
    <row r="9568">
      <c r="A9568" t="str">
        <f>IFERROR(__xludf.DUMMYFUNCTION("""COMPUTED_VALUE"""),"SU50")</f>
        <v>SU50</v>
      </c>
      <c r="B9568" s="226" t="str">
        <f>IFERROR(__xludf.DUMMYFUNCTION("""COMPUTED_VALUE"""),"860067")</f>
        <v>860067</v>
      </c>
      <c r="C9568" t="str">
        <f>IFERROR(__xludf.DUMMYFUNCTION("""COMPUTED_VALUE"""),"Autohak")</f>
        <v>Autohak</v>
      </c>
    </row>
    <row r="9569">
      <c r="A9569" t="str">
        <f>IFERROR(__xludf.DUMMYFUNCTION("""COMPUTED_VALUE"""),"SU50")</f>
        <v>SU50</v>
      </c>
      <c r="B9569" s="226" t="str">
        <f>IFERROR(__xludf.DUMMYFUNCTION("""COMPUTED_VALUE"""),"860067")</f>
        <v>860067</v>
      </c>
      <c r="C9569" t="str">
        <f>IFERROR(__xludf.DUMMYFUNCTION("""COMPUTED_VALUE"""),"Autohak")</f>
        <v>Autohak</v>
      </c>
    </row>
    <row r="9570">
      <c r="A9570" t="str">
        <f>IFERROR(__xludf.DUMMYFUNCTION("""COMPUTED_VALUE"""),"SU43")</f>
        <v>SU43</v>
      </c>
      <c r="B9570" s="226" t="str">
        <f>IFERROR(__xludf.DUMMYFUNCTION("""COMPUTED_VALUE"""),"60012")</f>
        <v>60012</v>
      </c>
      <c r="C9570" t="str">
        <f>IFERROR(__xludf.DUMMYFUNCTION("""COMPUTED_VALUE"""),"Autohak")</f>
        <v>Autohak</v>
      </c>
    </row>
    <row r="9571">
      <c r="A9571" t="str">
        <f>IFERROR(__xludf.DUMMYFUNCTION("""COMPUTED_VALUE"""),"SU43A")</f>
        <v>SU43A</v>
      </c>
      <c r="B9571" s="226" t="str">
        <f>IFERROR(__xludf.DUMMYFUNCTION("""COMPUTED_VALUE"""),"60517")</f>
        <v>60517</v>
      </c>
      <c r="C9571" t="str">
        <f>IFERROR(__xludf.DUMMYFUNCTION("""COMPUTED_VALUE"""),"Autohak")</f>
        <v>Autohak</v>
      </c>
    </row>
    <row r="9572">
      <c r="A9572" t="str">
        <f>IFERROR(__xludf.DUMMYFUNCTION("""COMPUTED_VALUE"""),"SU46")</f>
        <v>SU46</v>
      </c>
      <c r="B9572" s="226" t="str">
        <f>IFERROR(__xludf.DUMMYFUNCTION("""COMPUTED_VALUE"""),"60036")</f>
        <v>60036</v>
      </c>
      <c r="C9572" t="str">
        <f>IFERROR(__xludf.DUMMYFUNCTION("""COMPUTED_VALUE"""),"Autohak")</f>
        <v>Autohak</v>
      </c>
    </row>
    <row r="9573">
      <c r="A9573" t="str">
        <f>IFERROR(__xludf.DUMMYFUNCTION("""COMPUTED_VALUE"""),"SU46A")</f>
        <v>SU46A</v>
      </c>
      <c r="B9573" s="226" t="str">
        <f>IFERROR(__xludf.DUMMYFUNCTION("""COMPUTED_VALUE"""),"60531")</f>
        <v>60531</v>
      </c>
      <c r="C9573" t="str">
        <f>IFERROR(__xludf.DUMMYFUNCTION("""COMPUTED_VALUE"""),"Autohak")</f>
        <v>Autohak</v>
      </c>
    </row>
    <row r="9574">
      <c r="A9574" t="str">
        <f>IFERROR(__xludf.DUMMYFUNCTION("""COMPUTED_VALUE"""),"SU49")</f>
        <v>SU49</v>
      </c>
      <c r="B9574" s="226" t="str">
        <f>IFERROR(__xludf.DUMMYFUNCTION("""COMPUTED_VALUE"""),"60050")</f>
        <v>60050</v>
      </c>
      <c r="C9574" t="str">
        <f>IFERROR(__xludf.DUMMYFUNCTION("""COMPUTED_VALUE"""),"Autohak")</f>
        <v>Autohak</v>
      </c>
    </row>
    <row r="9575">
      <c r="A9575" t="str">
        <f>IFERROR(__xludf.DUMMYFUNCTION("""COMPUTED_VALUE"""),"SU49A")</f>
        <v>SU49A</v>
      </c>
      <c r="B9575" s="226" t="str">
        <f>IFERROR(__xludf.DUMMYFUNCTION("""COMPUTED_VALUE"""),"60579")</f>
        <v>60579</v>
      </c>
      <c r="C9575" t="str">
        <f>IFERROR(__xludf.DUMMYFUNCTION("""COMPUTED_VALUE"""),"Autohak")</f>
        <v>Autohak</v>
      </c>
    </row>
    <row r="9576">
      <c r="A9576" t="str">
        <f>IFERROR(__xludf.DUMMYFUNCTION("""COMPUTED_VALUE"""),"SU49V")</f>
        <v>SU49V</v>
      </c>
      <c r="B9576" s="226" t="str">
        <f>IFERROR(__xludf.DUMMYFUNCTION("""COMPUTED_VALUE"""),"60586")</f>
        <v>60586</v>
      </c>
      <c r="C9576" t="str">
        <f>IFERROR(__xludf.DUMMYFUNCTION("""COMPUTED_VALUE"""),"Autohak")</f>
        <v>Autohak</v>
      </c>
    </row>
    <row r="9577">
      <c r="A9577" t="str">
        <f>IFERROR(__xludf.DUMMYFUNCTION("""COMPUTED_VALUE"""),"O83")</f>
        <v>O83</v>
      </c>
      <c r="B9577" s="226" t="str">
        <f>IFERROR(__xludf.DUMMYFUNCTION("""COMPUTED_VALUE"""),"63525")</f>
        <v>63525</v>
      </c>
      <c r="C9577" t="str">
        <f>IFERROR(__xludf.DUMMYFUNCTION("""COMPUTED_VALUE"""),"Autohak")</f>
        <v>Autohak</v>
      </c>
    </row>
    <row r="9578">
      <c r="A9578" t="str">
        <f>IFERROR(__xludf.DUMMYFUNCTION("""COMPUTED_VALUE"""),"O83A")</f>
        <v>O83A</v>
      </c>
      <c r="B9578" s="226" t="str">
        <f>IFERROR(__xludf.DUMMYFUNCTION("""COMPUTED_VALUE"""),"66502")</f>
        <v>66502</v>
      </c>
      <c r="C9578" t="str">
        <f>IFERROR(__xludf.DUMMYFUNCTION("""COMPUTED_VALUE"""),"Autohak")</f>
        <v>Autohak</v>
      </c>
    </row>
    <row r="9579">
      <c r="A9579" t="str">
        <f>IFERROR(__xludf.DUMMYFUNCTION("""COMPUTED_VALUE"""),"O83V")</f>
        <v>O83V</v>
      </c>
      <c r="B9579" s="226" t="str">
        <f>IFERROR(__xludf.DUMMYFUNCTION("""COMPUTED_VALUE"""),"66960")</f>
        <v>66960</v>
      </c>
      <c r="C9579" t="str">
        <f>IFERROR(__xludf.DUMMYFUNCTION("""COMPUTED_VALUE"""),"Autohak")</f>
        <v>Autohak</v>
      </c>
    </row>
    <row r="9580">
      <c r="A9580" t="str">
        <f>IFERROR(__xludf.DUMMYFUNCTION("""COMPUTED_VALUE"""),"SU47V")</f>
        <v>SU47V</v>
      </c>
      <c r="B9580" s="226" t="str">
        <f>IFERROR(__xludf.DUMMYFUNCTION("""COMPUTED_VALUE"""),"60548")</f>
        <v>60548</v>
      </c>
      <c r="C9580" t="str">
        <f>IFERROR(__xludf.DUMMYFUNCTION("""COMPUTED_VALUE"""),"Autohak")</f>
        <v>Autohak</v>
      </c>
    </row>
    <row r="9581">
      <c r="A9581" t="str">
        <f>IFERROR(__xludf.DUMMYFUNCTION("""COMPUTED_VALUE"""),"V69")</f>
        <v>V69</v>
      </c>
      <c r="B9581" s="226" t="str">
        <f>IFERROR(__xludf.DUMMYFUNCTION("""COMPUTED_VALUE"""),"38301")</f>
        <v>38301</v>
      </c>
      <c r="C9581" t="str">
        <f>IFERROR(__xludf.DUMMYFUNCTION("""COMPUTED_VALUE"""),"Autohak")</f>
        <v>Autohak</v>
      </c>
    </row>
    <row r="9582">
      <c r="A9582" t="str">
        <f>IFERROR(__xludf.DUMMYFUNCTION("""COMPUTED_VALUE"""),"V69A")</f>
        <v>V69A</v>
      </c>
      <c r="B9582" s="226" t="str">
        <f>IFERROR(__xludf.DUMMYFUNCTION("""COMPUTED_VALUE"""),"39308")</f>
        <v>39308</v>
      </c>
      <c r="C9582" t="str">
        <f>IFERROR(__xludf.DUMMYFUNCTION("""COMPUTED_VALUE"""),"Autohak")</f>
        <v>Autohak</v>
      </c>
    </row>
    <row r="9583">
      <c r="A9583" t="str">
        <f>IFERROR(__xludf.DUMMYFUNCTION("""COMPUTED_VALUE"""),"W09")</f>
        <v>W09</v>
      </c>
      <c r="B9583" s="226" t="str">
        <f>IFERROR(__xludf.DUMMYFUNCTION("""COMPUTED_VALUE"""),"61002")</f>
        <v>61002</v>
      </c>
      <c r="C9583" t="str">
        <f>IFERROR(__xludf.DUMMYFUNCTION("""COMPUTED_VALUE"""),"Autohak")</f>
        <v>Autohak</v>
      </c>
    </row>
    <row r="9584">
      <c r="A9584" t="str">
        <f>IFERROR(__xludf.DUMMYFUNCTION("""COMPUTED_VALUE"""),"W09A")</f>
        <v>W09A</v>
      </c>
      <c r="B9584" s="226" t="str">
        <f>IFERROR(__xludf.DUMMYFUNCTION("""COMPUTED_VALUE"""),"62009")</f>
        <v>62009</v>
      </c>
      <c r="C9584" t="str">
        <f>IFERROR(__xludf.DUMMYFUNCTION("""COMPUTED_VALUE"""),"Autohak")</f>
        <v>Autohak</v>
      </c>
    </row>
    <row r="9585">
      <c r="A9585" t="str">
        <f>IFERROR(__xludf.DUMMYFUNCTION("""COMPUTED_VALUE"""),"W04")</f>
        <v>W04</v>
      </c>
      <c r="B9585" s="226" t="str">
        <f>IFERROR(__xludf.DUMMYFUNCTION("""COMPUTED_VALUE"""),"61019")</f>
        <v>61019</v>
      </c>
      <c r="C9585" t="str">
        <f>IFERROR(__xludf.DUMMYFUNCTION("""COMPUTED_VALUE"""),"Autohak")</f>
        <v>Autohak</v>
      </c>
    </row>
    <row r="9586">
      <c r="A9586" t="str">
        <f>IFERROR(__xludf.DUMMYFUNCTION("""COMPUTED_VALUE"""),"W04A")</f>
        <v>W04A</v>
      </c>
      <c r="B9586" s="226" t="str">
        <f>IFERROR(__xludf.DUMMYFUNCTION("""COMPUTED_VALUE"""),"62016")</f>
        <v>62016</v>
      </c>
      <c r="C9586" t="str">
        <f>IFERROR(__xludf.DUMMYFUNCTION("""COMPUTED_VALUE"""),"Autohak")</f>
        <v>Autohak</v>
      </c>
    </row>
    <row r="9587">
      <c r="A9587" t="str">
        <f>IFERROR(__xludf.DUMMYFUNCTION("""COMPUTED_VALUE"""),"W33")</f>
        <v>W33</v>
      </c>
      <c r="B9587" s="226" t="str">
        <f>IFERROR(__xludf.DUMMYFUNCTION("""COMPUTED_VALUE"""),"61279")</f>
        <v>61279</v>
      </c>
      <c r="C9587" t="str">
        <f>IFERROR(__xludf.DUMMYFUNCTION("""COMPUTED_VALUE"""),"Autohak")</f>
        <v>Autohak</v>
      </c>
    </row>
    <row r="9588">
      <c r="A9588" t="str">
        <f>IFERROR(__xludf.DUMMYFUNCTION("""COMPUTED_VALUE"""),"W34")</f>
        <v>W34</v>
      </c>
      <c r="B9588" s="226" t="str">
        <f>IFERROR(__xludf.DUMMYFUNCTION("""COMPUTED_VALUE"""),"61286")</f>
        <v>61286</v>
      </c>
      <c r="C9588" t="str">
        <f>IFERROR(__xludf.DUMMYFUNCTION("""COMPUTED_VALUE"""),"Autohak")</f>
        <v>Autohak</v>
      </c>
    </row>
    <row r="9589">
      <c r="A9589" t="str">
        <f>IFERROR(__xludf.DUMMYFUNCTION("""COMPUTED_VALUE"""),"W34A")</f>
        <v>W34A</v>
      </c>
      <c r="B9589" s="226" t="str">
        <f>IFERROR(__xludf.DUMMYFUNCTION("""COMPUTED_VALUE"""),"62276")</f>
        <v>62276</v>
      </c>
      <c r="C9589" t="str">
        <f>IFERROR(__xludf.DUMMYFUNCTION("""COMPUTED_VALUE"""),"Autohak")</f>
        <v>Autohak</v>
      </c>
    </row>
    <row r="9590">
      <c r="A9590" t="str">
        <f>IFERROR(__xludf.DUMMYFUNCTION("""COMPUTED_VALUE"""),"W08")</f>
        <v>W08</v>
      </c>
      <c r="B9590" s="226" t="str">
        <f>IFERROR(__xludf.DUMMYFUNCTION("""COMPUTED_VALUE"""),"61026")</f>
        <v>61026</v>
      </c>
      <c r="C9590" t="str">
        <f>IFERROR(__xludf.DUMMYFUNCTION("""COMPUTED_VALUE"""),"Autohak")</f>
        <v>Autohak</v>
      </c>
    </row>
    <row r="9591">
      <c r="A9591" t="str">
        <f>IFERROR(__xludf.DUMMYFUNCTION("""COMPUTED_VALUE"""),"W08A")</f>
        <v>W08A</v>
      </c>
      <c r="B9591" s="226" t="str">
        <f>IFERROR(__xludf.DUMMYFUNCTION("""COMPUTED_VALUE"""),"62023")</f>
        <v>62023</v>
      </c>
      <c r="C9591" t="str">
        <f>IFERROR(__xludf.DUMMYFUNCTION("""COMPUTED_VALUE"""),"Autohak")</f>
        <v>Autohak</v>
      </c>
    </row>
    <row r="9592">
      <c r="A9592" t="str">
        <f>IFERROR(__xludf.DUMMYFUNCTION("""COMPUTED_VALUE"""),"W24")</f>
        <v>W24</v>
      </c>
      <c r="B9592" s="226" t="str">
        <f>IFERROR(__xludf.DUMMYFUNCTION("""COMPUTED_VALUE"""),"61187")</f>
        <v>61187</v>
      </c>
      <c r="C9592" t="str">
        <f>IFERROR(__xludf.DUMMYFUNCTION("""COMPUTED_VALUE"""),"Autohak")</f>
        <v>Autohak</v>
      </c>
    </row>
    <row r="9593">
      <c r="A9593" t="str">
        <f>IFERROR(__xludf.DUMMYFUNCTION("""COMPUTED_VALUE"""),"W24A")</f>
        <v>W24A</v>
      </c>
      <c r="B9593" s="226" t="str">
        <f>IFERROR(__xludf.DUMMYFUNCTION("""COMPUTED_VALUE"""),"62184")</f>
        <v>62184</v>
      </c>
      <c r="C9593" t="str">
        <f>IFERROR(__xludf.DUMMYFUNCTION("""COMPUTED_VALUE"""),"Autohak")</f>
        <v>Autohak</v>
      </c>
    </row>
    <row r="9594">
      <c r="A9594" t="str">
        <f>IFERROR(__xludf.DUMMYFUNCTION("""COMPUTED_VALUE"""),"W32")</f>
        <v>W32</v>
      </c>
      <c r="B9594" s="226" t="str">
        <f>IFERROR(__xludf.DUMMYFUNCTION("""COMPUTED_VALUE"""),"61262")</f>
        <v>61262</v>
      </c>
      <c r="C9594" t="str">
        <f>IFERROR(__xludf.DUMMYFUNCTION("""COMPUTED_VALUE"""),"Autohak")</f>
        <v>Autohak</v>
      </c>
    </row>
    <row r="9595">
      <c r="A9595" t="str">
        <f>IFERROR(__xludf.DUMMYFUNCTION("""COMPUTED_VALUE"""),"W32A")</f>
        <v>W32A</v>
      </c>
      <c r="B9595" s="226" t="str">
        <f>IFERROR(__xludf.DUMMYFUNCTION("""COMPUTED_VALUE"""),"62269")</f>
        <v>62269</v>
      </c>
      <c r="C9595" t="str">
        <f>IFERROR(__xludf.DUMMYFUNCTION("""COMPUTED_VALUE"""),"Autohak")</f>
        <v>Autohak</v>
      </c>
    </row>
    <row r="9596">
      <c r="A9596" t="str">
        <f>IFERROR(__xludf.DUMMYFUNCTION("""COMPUTED_VALUE"""),"W23")</f>
        <v>W23</v>
      </c>
      <c r="B9596" s="226" t="str">
        <f>IFERROR(__xludf.DUMMYFUNCTION("""COMPUTED_VALUE"""),"61170")</f>
        <v>61170</v>
      </c>
      <c r="C9596" t="str">
        <f>IFERROR(__xludf.DUMMYFUNCTION("""COMPUTED_VALUE"""),"Autohak")</f>
        <v>Autohak</v>
      </c>
    </row>
    <row r="9597">
      <c r="A9597" t="str">
        <f>IFERROR(__xludf.DUMMYFUNCTION("""COMPUTED_VALUE"""),"W23A")</f>
        <v>W23A</v>
      </c>
      <c r="B9597" s="226" t="str">
        <f>IFERROR(__xludf.DUMMYFUNCTION("""COMPUTED_VALUE"""),"62177")</f>
        <v>62177</v>
      </c>
      <c r="C9597" t="str">
        <f>IFERROR(__xludf.DUMMYFUNCTION("""COMPUTED_VALUE"""),"Autohak")</f>
        <v>Autohak</v>
      </c>
    </row>
    <row r="9598">
      <c r="A9598" t="str">
        <f>IFERROR(__xludf.DUMMYFUNCTION("""COMPUTED_VALUE"""),"W23V")</f>
        <v>W23V</v>
      </c>
      <c r="B9598" s="226" t="str">
        <f>IFERROR(__xludf.DUMMYFUNCTION("""COMPUTED_VALUE"""),"62993")</f>
        <v>62993</v>
      </c>
      <c r="C9598" t="str">
        <f>IFERROR(__xludf.DUMMYFUNCTION("""COMPUTED_VALUE"""),"Autohak")</f>
        <v>Autohak</v>
      </c>
    </row>
    <row r="9599">
      <c r="A9599" t="str">
        <f>IFERROR(__xludf.DUMMYFUNCTION("""COMPUTED_VALUE"""),"W08")</f>
        <v>W08</v>
      </c>
      <c r="B9599" s="226" t="str">
        <f>IFERROR(__xludf.DUMMYFUNCTION("""COMPUTED_VALUE"""),"61026")</f>
        <v>61026</v>
      </c>
      <c r="C9599" t="str">
        <f>IFERROR(__xludf.DUMMYFUNCTION("""COMPUTED_VALUE"""),"Autohak")</f>
        <v>Autohak</v>
      </c>
    </row>
    <row r="9600">
      <c r="A9600" t="str">
        <f>IFERROR(__xludf.DUMMYFUNCTION("""COMPUTED_VALUE"""),"W08A")</f>
        <v>W08A</v>
      </c>
      <c r="B9600" s="226" t="str">
        <f>IFERROR(__xludf.DUMMYFUNCTION("""COMPUTED_VALUE"""),"62023")</f>
        <v>62023</v>
      </c>
      <c r="C9600" t="str">
        <f>IFERROR(__xludf.DUMMYFUNCTION("""COMPUTED_VALUE"""),"Autohak")</f>
        <v>Autohak</v>
      </c>
    </row>
    <row r="9601">
      <c r="A9601" t="str">
        <f>IFERROR(__xludf.DUMMYFUNCTION("""COMPUTED_VALUE"""),"W19")</f>
        <v>W19</v>
      </c>
      <c r="B9601" s="226" t="str">
        <f>IFERROR(__xludf.DUMMYFUNCTION("""COMPUTED_VALUE"""),"61040")</f>
        <v>61040</v>
      </c>
      <c r="C9601" t="str">
        <f>IFERROR(__xludf.DUMMYFUNCTION("""COMPUTED_VALUE"""),"Autohak")</f>
        <v>Autohak</v>
      </c>
    </row>
    <row r="9602">
      <c r="A9602" t="str">
        <f>IFERROR(__xludf.DUMMYFUNCTION("""COMPUTED_VALUE"""),"W19A")</f>
        <v>W19A</v>
      </c>
      <c r="B9602" s="226" t="str">
        <f>IFERROR(__xludf.DUMMYFUNCTION("""COMPUTED_VALUE"""),"62047")</f>
        <v>62047</v>
      </c>
      <c r="C9602" t="str">
        <f>IFERROR(__xludf.DUMMYFUNCTION("""COMPUTED_VALUE"""),"Autohak")</f>
        <v>Autohak</v>
      </c>
    </row>
    <row r="9603">
      <c r="A9603" t="str">
        <f>IFERROR(__xludf.DUMMYFUNCTION("""COMPUTED_VALUE"""),"W16")</f>
        <v>W16</v>
      </c>
      <c r="B9603" s="226" t="str">
        <f>IFERROR(__xludf.DUMMYFUNCTION("""COMPUTED_VALUE"""),"61057")</f>
        <v>61057</v>
      </c>
      <c r="C9603" t="str">
        <f>IFERROR(__xludf.DUMMYFUNCTION("""COMPUTED_VALUE"""),"Autohak")</f>
        <v>Autohak</v>
      </c>
    </row>
    <row r="9604">
      <c r="A9604" t="str">
        <f>IFERROR(__xludf.DUMMYFUNCTION("""COMPUTED_VALUE"""),"W16A")</f>
        <v>W16A</v>
      </c>
      <c r="B9604" s="226" t="str">
        <f>IFERROR(__xludf.DUMMYFUNCTION("""COMPUTED_VALUE"""),"62054")</f>
        <v>62054</v>
      </c>
      <c r="C9604" t="str">
        <f>IFERROR(__xludf.DUMMYFUNCTION("""COMPUTED_VALUE"""),"Autohak")</f>
        <v>Autohak</v>
      </c>
    </row>
    <row r="9605">
      <c r="A9605" t="str">
        <f>IFERROR(__xludf.DUMMYFUNCTION("""COMPUTED_VALUE"""),"W18")</f>
        <v>W18</v>
      </c>
      <c r="B9605" s="226" t="str">
        <f>IFERROR(__xludf.DUMMYFUNCTION("""COMPUTED_VALUE"""),"61064")</f>
        <v>61064</v>
      </c>
      <c r="C9605" t="str">
        <f>IFERROR(__xludf.DUMMYFUNCTION("""COMPUTED_VALUE"""),"Autohak")</f>
        <v>Autohak</v>
      </c>
    </row>
    <row r="9606">
      <c r="A9606" t="str">
        <f>IFERROR(__xludf.DUMMYFUNCTION("""COMPUTED_VALUE"""),"W18A")</f>
        <v>W18A</v>
      </c>
      <c r="B9606" s="226" t="str">
        <f>IFERROR(__xludf.DUMMYFUNCTION("""COMPUTED_VALUE"""),"62061")</f>
        <v>62061</v>
      </c>
      <c r="C9606" t="str">
        <f>IFERROR(__xludf.DUMMYFUNCTION("""COMPUTED_VALUE"""),"Autohak")</f>
        <v>Autohak</v>
      </c>
    </row>
    <row r="9607">
      <c r="A9607" t="str">
        <f>IFERROR(__xludf.DUMMYFUNCTION("""COMPUTED_VALUE"""),"W20")</f>
        <v>W20</v>
      </c>
      <c r="B9607" s="226" t="str">
        <f>IFERROR(__xludf.DUMMYFUNCTION("""COMPUTED_VALUE"""),"61071")</f>
        <v>61071</v>
      </c>
      <c r="C9607" t="str">
        <f>IFERROR(__xludf.DUMMYFUNCTION("""COMPUTED_VALUE"""),"Autohak")</f>
        <v>Autohak</v>
      </c>
    </row>
    <row r="9608">
      <c r="A9608" t="str">
        <f>IFERROR(__xludf.DUMMYFUNCTION("""COMPUTED_VALUE"""),"W20A")</f>
        <v>W20A</v>
      </c>
      <c r="B9608" s="226" t="str">
        <f>IFERROR(__xludf.DUMMYFUNCTION("""COMPUTED_VALUE"""),"62078")</f>
        <v>62078</v>
      </c>
      <c r="C9608" t="str">
        <f>IFERROR(__xludf.DUMMYFUNCTION("""COMPUTED_VALUE"""),"Autohak")</f>
        <v>Autohak</v>
      </c>
    </row>
    <row r="9609">
      <c r="A9609" t="str">
        <f>IFERROR(__xludf.DUMMYFUNCTION("""COMPUTED_VALUE"""),"W06")</f>
        <v>W06</v>
      </c>
      <c r="B9609" s="226" t="str">
        <f>IFERROR(__xludf.DUMMYFUNCTION("""COMPUTED_VALUE"""),"61088")</f>
        <v>61088</v>
      </c>
      <c r="C9609" t="str">
        <f>IFERROR(__xludf.DUMMYFUNCTION("""COMPUTED_VALUE"""),"Autohak")</f>
        <v>Autohak</v>
      </c>
    </row>
    <row r="9610">
      <c r="A9610" t="str">
        <f>IFERROR(__xludf.DUMMYFUNCTION("""COMPUTED_VALUE"""),"W28")</f>
        <v>W28</v>
      </c>
      <c r="B9610" s="226" t="str">
        <f>IFERROR(__xludf.DUMMYFUNCTION("""COMPUTED_VALUE"""),"61224")</f>
        <v>61224</v>
      </c>
      <c r="C9610" t="str">
        <f>IFERROR(__xludf.DUMMYFUNCTION("""COMPUTED_VALUE"""),"Autohak")</f>
        <v>Autohak</v>
      </c>
    </row>
    <row r="9611">
      <c r="A9611" t="str">
        <f>IFERROR(__xludf.DUMMYFUNCTION("""COMPUTED_VALUE"""),"W28A")</f>
        <v>W28A</v>
      </c>
      <c r="B9611" s="226" t="str">
        <f>IFERROR(__xludf.DUMMYFUNCTION("""COMPUTED_VALUE"""),"62221")</f>
        <v>62221</v>
      </c>
      <c r="C9611" t="str">
        <f>IFERROR(__xludf.DUMMYFUNCTION("""COMPUTED_VALUE"""),"Autohak")</f>
        <v>Autohak</v>
      </c>
    </row>
    <row r="9612">
      <c r="A9612" t="str">
        <f>IFERROR(__xludf.DUMMYFUNCTION("""COMPUTED_VALUE"""),"W01")</f>
        <v>W01</v>
      </c>
      <c r="B9612" s="226" t="str">
        <f>IFERROR(__xludf.DUMMYFUNCTION("""COMPUTED_VALUE"""),"61095")</f>
        <v>61095</v>
      </c>
      <c r="C9612" t="str">
        <f>IFERROR(__xludf.DUMMYFUNCTION("""COMPUTED_VALUE"""),"Autohak")</f>
        <v>Autohak</v>
      </c>
    </row>
    <row r="9613">
      <c r="A9613" t="str">
        <f>IFERROR(__xludf.DUMMYFUNCTION("""COMPUTED_VALUE"""),"W01A")</f>
        <v>W01A</v>
      </c>
      <c r="B9613" s="226" t="str">
        <f>IFERROR(__xludf.DUMMYFUNCTION("""COMPUTED_VALUE"""),"62092")</f>
        <v>62092</v>
      </c>
      <c r="C9613" t="str">
        <f>IFERROR(__xludf.DUMMYFUNCTION("""COMPUTED_VALUE"""),"Autohak")</f>
        <v>Autohak</v>
      </c>
    </row>
    <row r="9614">
      <c r="A9614" t="str">
        <f>IFERROR(__xludf.DUMMYFUNCTION("""COMPUTED_VALUE"""),"W13")</f>
        <v>W13</v>
      </c>
      <c r="B9614" s="226" t="str">
        <f>IFERROR(__xludf.DUMMYFUNCTION("""COMPUTED_VALUE"""),"61101")</f>
        <v>61101</v>
      </c>
      <c r="C9614" t="str">
        <f>IFERROR(__xludf.DUMMYFUNCTION("""COMPUTED_VALUE"""),"Autohak")</f>
        <v>Autohak</v>
      </c>
    </row>
    <row r="9615">
      <c r="A9615" t="str">
        <f>IFERROR(__xludf.DUMMYFUNCTION("""COMPUTED_VALUE"""),"W13A")</f>
        <v>W13A</v>
      </c>
      <c r="B9615" s="226" t="str">
        <f>IFERROR(__xludf.DUMMYFUNCTION("""COMPUTED_VALUE"""),"62108")</f>
        <v>62108</v>
      </c>
      <c r="C9615" t="str">
        <f>IFERROR(__xludf.DUMMYFUNCTION("""COMPUTED_VALUE"""),"Autohak")</f>
        <v>Autohak</v>
      </c>
    </row>
    <row r="9616">
      <c r="A9616" t="str">
        <f>IFERROR(__xludf.DUMMYFUNCTION("""COMPUTED_VALUE"""),"W13")</f>
        <v>W13</v>
      </c>
      <c r="B9616" s="226" t="str">
        <f>IFERROR(__xludf.DUMMYFUNCTION("""COMPUTED_VALUE"""),"61101")</f>
        <v>61101</v>
      </c>
      <c r="C9616" t="str">
        <f>IFERROR(__xludf.DUMMYFUNCTION("""COMPUTED_VALUE"""),"Autohak")</f>
        <v>Autohak</v>
      </c>
    </row>
    <row r="9617">
      <c r="A9617" t="str">
        <f>IFERROR(__xludf.DUMMYFUNCTION("""COMPUTED_VALUE"""),"W13A")</f>
        <v>W13A</v>
      </c>
      <c r="B9617" s="226" t="str">
        <f>IFERROR(__xludf.DUMMYFUNCTION("""COMPUTED_VALUE"""),"62108")</f>
        <v>62108</v>
      </c>
      <c r="C9617" t="str">
        <f>IFERROR(__xludf.DUMMYFUNCTION("""COMPUTED_VALUE"""),"Autohak")</f>
        <v>Autohak</v>
      </c>
    </row>
    <row r="9618">
      <c r="A9618" t="str">
        <f>IFERROR(__xludf.DUMMYFUNCTION("""COMPUTED_VALUE"""),"W21")</f>
        <v>W21</v>
      </c>
      <c r="B9618" s="226" t="str">
        <f>IFERROR(__xludf.DUMMYFUNCTION("""COMPUTED_VALUE"""),"61118")</f>
        <v>61118</v>
      </c>
      <c r="C9618" t="str">
        <f>IFERROR(__xludf.DUMMYFUNCTION("""COMPUTED_VALUE"""),"Autohak")</f>
        <v>Autohak</v>
      </c>
    </row>
    <row r="9619">
      <c r="A9619" t="str">
        <f>IFERROR(__xludf.DUMMYFUNCTION("""COMPUTED_VALUE"""),"W21A")</f>
        <v>W21A</v>
      </c>
      <c r="B9619" s="226" t="str">
        <f>IFERROR(__xludf.DUMMYFUNCTION("""COMPUTED_VALUE"""),"62115")</f>
        <v>62115</v>
      </c>
      <c r="C9619" t="str">
        <f>IFERROR(__xludf.DUMMYFUNCTION("""COMPUTED_VALUE"""),"Autohak")</f>
        <v>Autohak</v>
      </c>
    </row>
    <row r="9620">
      <c r="A9620" t="str">
        <f>IFERROR(__xludf.DUMMYFUNCTION("""COMPUTED_VALUE"""),"W29")</f>
        <v>W29</v>
      </c>
      <c r="B9620" s="226" t="str">
        <f>IFERROR(__xludf.DUMMYFUNCTION("""COMPUTED_VALUE"""),"61231")</f>
        <v>61231</v>
      </c>
      <c r="C9620" t="str">
        <f>IFERROR(__xludf.DUMMYFUNCTION("""COMPUTED_VALUE"""),"Autohak")</f>
        <v>Autohak</v>
      </c>
    </row>
    <row r="9621">
      <c r="A9621" t="str">
        <f>IFERROR(__xludf.DUMMYFUNCTION("""COMPUTED_VALUE"""),"W29A")</f>
        <v>W29A</v>
      </c>
      <c r="B9621" s="226" t="str">
        <f>IFERROR(__xludf.DUMMYFUNCTION("""COMPUTED_VALUE"""),"62238")</f>
        <v>62238</v>
      </c>
      <c r="C9621" t="str">
        <f>IFERROR(__xludf.DUMMYFUNCTION("""COMPUTED_VALUE"""),"Autohak")</f>
        <v>Autohak</v>
      </c>
    </row>
    <row r="9622">
      <c r="A9622" t="str">
        <f>IFERROR(__xludf.DUMMYFUNCTION("""COMPUTED_VALUE"""),"W25")</f>
        <v>W25</v>
      </c>
      <c r="B9622" s="226" t="str">
        <f>IFERROR(__xludf.DUMMYFUNCTION("""COMPUTED_VALUE"""),"61194")</f>
        <v>61194</v>
      </c>
      <c r="C9622" t="str">
        <f>IFERROR(__xludf.DUMMYFUNCTION("""COMPUTED_VALUE"""),"Autohak")</f>
        <v>Autohak</v>
      </c>
    </row>
    <row r="9623">
      <c r="A9623" t="str">
        <f>IFERROR(__xludf.DUMMYFUNCTION("""COMPUTED_VALUE"""),"W25A")</f>
        <v>W25A</v>
      </c>
      <c r="B9623" s="226" t="str">
        <f>IFERROR(__xludf.DUMMYFUNCTION("""COMPUTED_VALUE"""),"62191")</f>
        <v>62191</v>
      </c>
      <c r="C9623" t="str">
        <f>IFERROR(__xludf.DUMMYFUNCTION("""COMPUTED_VALUE"""),"Autohak")</f>
        <v>Autohak</v>
      </c>
    </row>
    <row r="9624">
      <c r="A9624" t="str">
        <f>IFERROR(__xludf.DUMMYFUNCTION("""COMPUTED_VALUE"""),"W25V")</f>
        <v>W25V</v>
      </c>
      <c r="B9624" s="226" t="str">
        <f>IFERROR(__xludf.DUMMYFUNCTION("""COMPUTED_VALUE"""),"62979")</f>
        <v>62979</v>
      </c>
      <c r="C9624" t="str">
        <f>IFERROR(__xludf.DUMMYFUNCTION("""COMPUTED_VALUE"""),"Autohak")</f>
        <v>Autohak</v>
      </c>
    </row>
    <row r="9625">
      <c r="A9625" t="str">
        <f>IFERROR(__xludf.DUMMYFUNCTION("""COMPUTED_VALUE"""),"W26")</f>
        <v>W26</v>
      </c>
      <c r="B9625" s="226" t="str">
        <f>IFERROR(__xludf.DUMMYFUNCTION("""COMPUTED_VALUE"""),"61200")</f>
        <v>61200</v>
      </c>
      <c r="C9625" t="str">
        <f>IFERROR(__xludf.DUMMYFUNCTION("""COMPUTED_VALUE"""),"Autohak")</f>
        <v>Autohak</v>
      </c>
    </row>
    <row r="9626">
      <c r="A9626" t="str">
        <f>IFERROR(__xludf.DUMMYFUNCTION("""COMPUTED_VALUE"""),"W26A")</f>
        <v>W26A</v>
      </c>
      <c r="B9626" s="226" t="str">
        <f>IFERROR(__xludf.DUMMYFUNCTION("""COMPUTED_VALUE"""),"62207")</f>
        <v>62207</v>
      </c>
      <c r="C9626" t="str">
        <f>IFERROR(__xludf.DUMMYFUNCTION("""COMPUTED_VALUE"""),"Autohak")</f>
        <v>Autohak</v>
      </c>
    </row>
    <row r="9627">
      <c r="A9627" t="str">
        <f>IFERROR(__xludf.DUMMYFUNCTION("""COMPUTED_VALUE"""),"W26V")</f>
        <v>W26V</v>
      </c>
      <c r="B9627" s="226" t="str">
        <f>IFERROR(__xludf.DUMMYFUNCTION("""COMPUTED_VALUE"""),"62962")</f>
        <v>62962</v>
      </c>
      <c r="C9627" t="str">
        <f>IFERROR(__xludf.DUMMYFUNCTION("""COMPUTED_VALUE"""),"Autohak")</f>
        <v>Autohak</v>
      </c>
    </row>
    <row r="9628">
      <c r="A9628" t="str">
        <f>IFERROR(__xludf.DUMMYFUNCTION("""COMPUTED_VALUE"""),"W27")</f>
        <v>W27</v>
      </c>
      <c r="B9628" s="226" t="str">
        <f>IFERROR(__xludf.DUMMYFUNCTION("""COMPUTED_VALUE"""),"61217")</f>
        <v>61217</v>
      </c>
      <c r="C9628" t="str">
        <f>IFERROR(__xludf.DUMMYFUNCTION("""COMPUTED_VALUE"""),"Autohak")</f>
        <v>Autohak</v>
      </c>
    </row>
    <row r="9629">
      <c r="A9629" t="str">
        <f>IFERROR(__xludf.DUMMYFUNCTION("""COMPUTED_VALUE"""),"W27A")</f>
        <v>W27A</v>
      </c>
      <c r="B9629" s="226" t="str">
        <f>IFERROR(__xludf.DUMMYFUNCTION("""COMPUTED_VALUE"""),"62214")</f>
        <v>62214</v>
      </c>
      <c r="C9629" t="str">
        <f>IFERROR(__xludf.DUMMYFUNCTION("""COMPUTED_VALUE"""),"Autohak")</f>
        <v>Autohak</v>
      </c>
    </row>
    <row r="9630">
      <c r="A9630" t="str">
        <f>IFERROR(__xludf.DUMMYFUNCTION("""COMPUTED_VALUE"""),"W30")</f>
        <v>W30</v>
      </c>
      <c r="B9630" s="226" t="str">
        <f>IFERROR(__xludf.DUMMYFUNCTION("""COMPUTED_VALUE"""),"61248")</f>
        <v>61248</v>
      </c>
      <c r="C9630" t="str">
        <f>IFERROR(__xludf.DUMMYFUNCTION("""COMPUTED_VALUE"""),"Autohak")</f>
        <v>Autohak</v>
      </c>
    </row>
    <row r="9631">
      <c r="A9631" t="str">
        <f>IFERROR(__xludf.DUMMYFUNCTION("""COMPUTED_VALUE"""),"W30A")</f>
        <v>W30A</v>
      </c>
      <c r="B9631" s="226" t="str">
        <f>IFERROR(__xludf.DUMMYFUNCTION("""COMPUTED_VALUE"""),"62245")</f>
        <v>62245</v>
      </c>
      <c r="C9631" t="str">
        <f>IFERROR(__xludf.DUMMYFUNCTION("""COMPUTED_VALUE"""),"Autohak")</f>
        <v>Autohak</v>
      </c>
    </row>
    <row r="9632">
      <c r="A9632" t="str">
        <f>IFERROR(__xludf.DUMMYFUNCTION("""COMPUTED_VALUE"""),"W30V")</f>
        <v>W30V</v>
      </c>
      <c r="B9632" s="226" t="str">
        <f>IFERROR(__xludf.DUMMYFUNCTION("""COMPUTED_VALUE"""),"62955")</f>
        <v>62955</v>
      </c>
      <c r="C9632" t="str">
        <f>IFERROR(__xludf.DUMMYFUNCTION("""COMPUTED_VALUE"""),"Autohak")</f>
        <v>Autohak</v>
      </c>
    </row>
    <row r="9633">
      <c r="A9633" t="str">
        <f>IFERROR(__xludf.DUMMYFUNCTION("""COMPUTED_VALUE"""),"W07")</f>
        <v>W07</v>
      </c>
      <c r="B9633" s="226" t="str">
        <f>IFERROR(__xludf.DUMMYFUNCTION("""COMPUTED_VALUE"""),"61125")</f>
        <v>61125</v>
      </c>
      <c r="C9633" t="str">
        <f>IFERROR(__xludf.DUMMYFUNCTION("""COMPUTED_VALUE"""),"Autohak")</f>
        <v>Autohak</v>
      </c>
    </row>
    <row r="9634">
      <c r="A9634" t="str">
        <f>IFERROR(__xludf.DUMMYFUNCTION("""COMPUTED_VALUE"""),"W05")</f>
        <v>W05</v>
      </c>
      <c r="B9634" s="226" t="str">
        <f>IFERROR(__xludf.DUMMYFUNCTION("""COMPUTED_VALUE"""),"61132")</f>
        <v>61132</v>
      </c>
      <c r="C9634" t="str">
        <f>IFERROR(__xludf.DUMMYFUNCTION("""COMPUTED_VALUE"""),"Autohak")</f>
        <v>Autohak</v>
      </c>
    </row>
    <row r="9635">
      <c r="A9635" t="str">
        <f>IFERROR(__xludf.DUMMYFUNCTION("""COMPUTED_VALUE"""),"W22")</f>
        <v>W22</v>
      </c>
      <c r="B9635" s="226" t="str">
        <f>IFERROR(__xludf.DUMMYFUNCTION("""COMPUTED_VALUE"""),"61163")</f>
        <v>61163</v>
      </c>
      <c r="C9635" t="str">
        <f>IFERROR(__xludf.DUMMYFUNCTION("""COMPUTED_VALUE"""),"Autohak")</f>
        <v>Autohak</v>
      </c>
    </row>
    <row r="9636">
      <c r="A9636" t="str">
        <f>IFERROR(__xludf.DUMMYFUNCTION("""COMPUTED_VALUE"""),"W22A")</f>
        <v>W22A</v>
      </c>
      <c r="B9636" s="226" t="str">
        <f>IFERROR(__xludf.DUMMYFUNCTION("""COMPUTED_VALUE"""),"62160")</f>
        <v>62160</v>
      </c>
      <c r="C9636" t="str">
        <f>IFERROR(__xludf.DUMMYFUNCTION("""COMPUTED_VALUE"""),"Autohak")</f>
        <v>Autohak</v>
      </c>
    </row>
    <row r="9637">
      <c r="A9637" t="str">
        <f>IFERROR(__xludf.DUMMYFUNCTION("""COMPUTED_VALUE"""),"W22V")</f>
        <v>W22V</v>
      </c>
      <c r="B9637" s="226" t="str">
        <f>IFERROR(__xludf.DUMMYFUNCTION("""COMPUTED_VALUE"""),"62986")</f>
        <v>62986</v>
      </c>
      <c r="C9637" t="str">
        <f>IFERROR(__xludf.DUMMYFUNCTION("""COMPUTED_VALUE"""),"Autohak")</f>
        <v>Autohak</v>
      </c>
    </row>
    <row r="9638">
      <c r="A9638" t="str">
        <f>IFERROR(__xludf.DUMMYFUNCTION("""COMPUTED_VALUE"""),"W31")</f>
        <v>W31</v>
      </c>
      <c r="B9638" s="226" t="str">
        <f>IFERROR(__xludf.DUMMYFUNCTION("""COMPUTED_VALUE"""),"61255")</f>
        <v>61255</v>
      </c>
      <c r="C9638" t="str">
        <f>IFERROR(__xludf.DUMMYFUNCTION("""COMPUTED_VALUE"""),"Autohak")</f>
        <v>Autohak</v>
      </c>
    </row>
    <row r="9639">
      <c r="A9639" t="str">
        <f>IFERROR(__xludf.DUMMYFUNCTION("""COMPUTED_VALUE"""),"W31A")</f>
        <v>W31A</v>
      </c>
      <c r="B9639" s="226" t="str">
        <f>IFERROR(__xludf.DUMMYFUNCTION("""COMPUTED_VALUE"""),"62252")</f>
        <v>62252</v>
      </c>
      <c r="C9639" t="str">
        <f>IFERROR(__xludf.DUMMYFUNCTION("""COMPUTED_VALUE"""),"Autohak")</f>
        <v>Autohak</v>
      </c>
    </row>
    <row r="9640">
      <c r="A9640" t="str">
        <f>IFERROR(__xludf.DUMMYFUNCTION("""COMPUTED_VALUE"""),"W31V")</f>
        <v>W31V</v>
      </c>
      <c r="B9640" s="226" t="str">
        <f>IFERROR(__xludf.DUMMYFUNCTION("""COMPUTED_VALUE"""),"62948")</f>
        <v>62948</v>
      </c>
      <c r="C9640" t="str">
        <f>IFERROR(__xludf.DUMMYFUNCTION("""COMPUTED_VALUE"""),"Autohak")</f>
        <v>Autohak</v>
      </c>
    </row>
    <row r="9641">
      <c r="A9641" t="str">
        <f>IFERROR(__xludf.DUMMYFUNCTION("""COMPUTED_VALUE"""),"W14")</f>
        <v>W14</v>
      </c>
      <c r="B9641" s="226" t="str">
        <f>IFERROR(__xludf.DUMMYFUNCTION("""COMPUTED_VALUE"""),"61149")</f>
        <v>61149</v>
      </c>
      <c r="C9641" t="str">
        <f>IFERROR(__xludf.DUMMYFUNCTION("""COMPUTED_VALUE"""),"Autohak")</f>
        <v>Autohak</v>
      </c>
    </row>
    <row r="9642">
      <c r="A9642" t="str">
        <f>IFERROR(__xludf.DUMMYFUNCTION("""COMPUTED_VALUE"""),"W14A")</f>
        <v>W14A</v>
      </c>
      <c r="B9642" s="226" t="str">
        <f>IFERROR(__xludf.DUMMYFUNCTION("""COMPUTED_VALUE"""),"62146")</f>
        <v>62146</v>
      </c>
      <c r="C9642" t="str">
        <f>IFERROR(__xludf.DUMMYFUNCTION("""COMPUTED_VALUE"""),"Autohak")</f>
        <v>Autohak</v>
      </c>
    </row>
    <row r="9643">
      <c r="A9643" t="str">
        <f>IFERROR(__xludf.DUMMYFUNCTION("""COMPUTED_VALUE"""),"W17")</f>
        <v>W17</v>
      </c>
      <c r="B9643" s="226" t="str">
        <f>IFERROR(__xludf.DUMMYFUNCTION("""COMPUTED_VALUE"""),"61156")</f>
        <v>61156</v>
      </c>
      <c r="C9643" t="str">
        <f>IFERROR(__xludf.DUMMYFUNCTION("""COMPUTED_VALUE"""),"Autohak")</f>
        <v>Autohak</v>
      </c>
    </row>
    <row r="9644">
      <c r="A9644" t="str">
        <f>IFERROR(__xludf.DUMMYFUNCTION("""COMPUTED_VALUE"""),"W17A")</f>
        <v>W17A</v>
      </c>
      <c r="B9644" s="226" t="str">
        <f>IFERROR(__xludf.DUMMYFUNCTION("""COMPUTED_VALUE"""),"62153")</f>
        <v>62153</v>
      </c>
      <c r="C9644" t="str">
        <f>IFERROR(__xludf.DUMMYFUNCTION("""COMPUTED_VALUE"""),"Autohak")</f>
        <v>Autohak</v>
      </c>
    </row>
    <row r="9645">
      <c r="A9645" t="str">
        <f>IFERROR(__xludf.DUMMYFUNCTION("""COMPUTED_VALUE"""),"O68")</f>
        <v>O68</v>
      </c>
      <c r="B9645" s="226" t="str">
        <f>IFERROR(__xludf.DUMMYFUNCTION("""COMPUTED_VALUE"""),"63372")</f>
        <v>63372</v>
      </c>
      <c r="C9645" t="str">
        <f>IFERROR(__xludf.DUMMYFUNCTION("""COMPUTED_VALUE"""),"Autohak")</f>
        <v>Autohak</v>
      </c>
    </row>
    <row r="9646">
      <c r="A9646" t="str">
        <f>IFERROR(__xludf.DUMMYFUNCTION("""COMPUTED_VALUE"""),"O68A")</f>
        <v>O68A</v>
      </c>
      <c r="B9646" s="226" t="str">
        <f>IFERROR(__xludf.DUMMYFUNCTION("""COMPUTED_VALUE"""),"66373")</f>
        <v>66373</v>
      </c>
      <c r="C9646" t="str">
        <f>IFERROR(__xludf.DUMMYFUNCTION("""COMPUTED_VALUE"""),"Autohak")</f>
        <v>Autohak</v>
      </c>
    </row>
    <row r="9647">
      <c r="A9647" t="str">
        <f>IFERROR(__xludf.DUMMYFUNCTION("""COMPUTED_VALUE"""),"O84")</f>
        <v>O84</v>
      </c>
      <c r="B9647" s="226" t="str">
        <f>IFERROR(__xludf.DUMMYFUNCTION("""COMPUTED_VALUE"""),"63532")</f>
        <v>63532</v>
      </c>
      <c r="C9647" t="str">
        <f>IFERROR(__xludf.DUMMYFUNCTION("""COMPUTED_VALUE"""),"Autohak")</f>
        <v>Autohak</v>
      </c>
    </row>
    <row r="9648">
      <c r="A9648" t="str">
        <f>IFERROR(__xludf.DUMMYFUNCTION("""COMPUTED_VALUE"""),"O84A")</f>
        <v>O84A</v>
      </c>
      <c r="B9648" s="226" t="str">
        <f>IFERROR(__xludf.DUMMYFUNCTION("""COMPUTED_VALUE"""),"66519")</f>
        <v>66519</v>
      </c>
      <c r="C9648" t="str">
        <f>IFERROR(__xludf.DUMMYFUNCTION("""COMPUTED_VALUE"""),"Autohak")</f>
        <v>Autohak</v>
      </c>
    </row>
    <row r="9649">
      <c r="A9649" t="str">
        <f>IFERROR(__xludf.DUMMYFUNCTION("""COMPUTED_VALUE"""),"O84")</f>
        <v>O84</v>
      </c>
      <c r="B9649" s="226" t="str">
        <f>IFERROR(__xludf.DUMMYFUNCTION("""COMPUTED_VALUE"""),"63532")</f>
        <v>63532</v>
      </c>
      <c r="C9649" t="str">
        <f>IFERROR(__xludf.DUMMYFUNCTION("""COMPUTED_VALUE"""),"Autohak")</f>
        <v>Autohak</v>
      </c>
    </row>
    <row r="9650">
      <c r="A9650" t="str">
        <f>IFERROR(__xludf.DUMMYFUNCTION("""COMPUTED_VALUE"""),"O84A")</f>
        <v>O84A</v>
      </c>
      <c r="B9650" s="226" t="str">
        <f>IFERROR(__xludf.DUMMYFUNCTION("""COMPUTED_VALUE"""),"66519")</f>
        <v>66519</v>
      </c>
      <c r="C9650" t="str">
        <f>IFERROR(__xludf.DUMMYFUNCTION("""COMPUTED_VALUE"""),"Autohak")</f>
        <v>Autohak</v>
      </c>
    </row>
    <row r="9651">
      <c r="A9651" t="str">
        <f>IFERROR(__xludf.DUMMYFUNCTION("""COMPUTED_VALUE"""),"O87")</f>
        <v>O87</v>
      </c>
      <c r="B9651" s="226" t="str">
        <f>IFERROR(__xludf.DUMMYFUNCTION("""COMPUTED_VALUE"""),"63563")</f>
        <v>63563</v>
      </c>
      <c r="C9651" t="str">
        <f>IFERROR(__xludf.DUMMYFUNCTION("""COMPUTED_VALUE"""),"Autohak")</f>
        <v>Autohak</v>
      </c>
    </row>
    <row r="9652">
      <c r="A9652" t="str">
        <f>IFERROR(__xludf.DUMMYFUNCTION("""COMPUTED_VALUE"""),"O87A")</f>
        <v>O87A</v>
      </c>
      <c r="B9652" s="226" t="str">
        <f>IFERROR(__xludf.DUMMYFUNCTION("""COMPUTED_VALUE"""),"66540")</f>
        <v>66540</v>
      </c>
      <c r="C9652" t="str">
        <f>IFERROR(__xludf.DUMMYFUNCTION("""COMPUTED_VALUE"""),"Autohak")</f>
        <v>Autohak</v>
      </c>
    </row>
    <row r="9653">
      <c r="A9653" t="str">
        <f>IFERROR(__xludf.DUMMYFUNCTION("""COMPUTED_VALUE"""),"O87V")</f>
        <v>O87V</v>
      </c>
      <c r="B9653" s="226" t="str">
        <f>IFERROR(__xludf.DUMMYFUNCTION("""COMPUTED_VALUE"""),"66953")</f>
        <v>66953</v>
      </c>
      <c r="C9653" t="str">
        <f>IFERROR(__xludf.DUMMYFUNCTION("""COMPUTED_VALUE"""),"Autohak")</f>
        <v>Autohak</v>
      </c>
    </row>
    <row r="9654">
      <c r="A9654" t="str">
        <f>IFERROR(__xludf.DUMMYFUNCTION("""COMPUTED_VALUE"""),"O05")</f>
        <v>O05</v>
      </c>
      <c r="B9654" s="226" t="str">
        <f>IFERROR(__xludf.DUMMYFUNCTION("""COMPUTED_VALUE"""),"63006")</f>
        <v>63006</v>
      </c>
      <c r="C9654" t="str">
        <f>IFERROR(__xludf.DUMMYFUNCTION("""COMPUTED_VALUE"""),"Autohak")</f>
        <v>Autohak</v>
      </c>
    </row>
    <row r="9655">
      <c r="A9655" t="str">
        <f>IFERROR(__xludf.DUMMYFUNCTION("""COMPUTED_VALUE"""),"O05A")</f>
        <v>O05A</v>
      </c>
      <c r="B9655" s="226" t="str">
        <f>IFERROR(__xludf.DUMMYFUNCTION("""COMPUTED_VALUE"""),"66007")</f>
        <v>66007</v>
      </c>
      <c r="C9655" t="str">
        <f>IFERROR(__xludf.DUMMYFUNCTION("""COMPUTED_VALUE"""),"Autohak")</f>
        <v>Autohak</v>
      </c>
    </row>
    <row r="9656">
      <c r="A9656" t="str">
        <f>IFERROR(__xludf.DUMMYFUNCTION("""COMPUTED_VALUE"""),"O55")</f>
        <v>O55</v>
      </c>
      <c r="B9656" s="226" t="str">
        <f>IFERROR(__xludf.DUMMYFUNCTION("""COMPUTED_VALUE"""),"63013")</f>
        <v>63013</v>
      </c>
      <c r="C9656" t="str">
        <f>IFERROR(__xludf.DUMMYFUNCTION("""COMPUTED_VALUE"""),"Autohak")</f>
        <v>Autohak</v>
      </c>
    </row>
    <row r="9657">
      <c r="A9657" t="str">
        <f>IFERROR(__xludf.DUMMYFUNCTION("""COMPUTED_VALUE"""),"O55A")</f>
        <v>O55A</v>
      </c>
      <c r="B9657" s="226" t="str">
        <f>IFERROR(__xludf.DUMMYFUNCTION("""COMPUTED_VALUE"""),"66014")</f>
        <v>66014</v>
      </c>
      <c r="C9657" t="str">
        <f>IFERROR(__xludf.DUMMYFUNCTION("""COMPUTED_VALUE"""),"Autohak")</f>
        <v>Autohak</v>
      </c>
    </row>
    <row r="9658">
      <c r="A9658" t="str">
        <f>IFERROR(__xludf.DUMMYFUNCTION("""COMPUTED_VALUE"""),"O73")</f>
        <v>O73</v>
      </c>
      <c r="B9658" s="226" t="str">
        <f>IFERROR(__xludf.DUMMYFUNCTION("""COMPUTED_VALUE"""),"63426")</f>
        <v>63426</v>
      </c>
      <c r="C9658" t="str">
        <f>IFERROR(__xludf.DUMMYFUNCTION("""COMPUTED_VALUE"""),"Autohak")</f>
        <v>Autohak</v>
      </c>
    </row>
    <row r="9659">
      <c r="A9659" t="str">
        <f>IFERROR(__xludf.DUMMYFUNCTION("""COMPUTED_VALUE"""),"O73A")</f>
        <v>O73A</v>
      </c>
      <c r="B9659" s="226" t="str">
        <f>IFERROR(__xludf.DUMMYFUNCTION("""COMPUTED_VALUE"""),"66427")</f>
        <v>66427</v>
      </c>
      <c r="C9659" t="str">
        <f>IFERROR(__xludf.DUMMYFUNCTION("""COMPUTED_VALUE"""),"Autohak")</f>
        <v>Autohak</v>
      </c>
    </row>
    <row r="9660">
      <c r="A9660" t="str">
        <f>IFERROR(__xludf.DUMMYFUNCTION("""COMPUTED_VALUE"""),"O73V")</f>
        <v>O73V</v>
      </c>
      <c r="B9660" s="226" t="str">
        <f>IFERROR(__xludf.DUMMYFUNCTION("""COMPUTED_VALUE"""),"66892")</f>
        <v>66892</v>
      </c>
      <c r="C9660" t="str">
        <f>IFERROR(__xludf.DUMMYFUNCTION("""COMPUTED_VALUE"""),"Autohak")</f>
        <v>Autohak</v>
      </c>
    </row>
    <row r="9661">
      <c r="A9661" t="str">
        <f>IFERROR(__xludf.DUMMYFUNCTION("""COMPUTED_VALUE"""),"O73")</f>
        <v>O73</v>
      </c>
      <c r="B9661" s="226" t="str">
        <f>IFERROR(__xludf.DUMMYFUNCTION("""COMPUTED_VALUE"""),"63426")</f>
        <v>63426</v>
      </c>
      <c r="C9661" t="str">
        <f>IFERROR(__xludf.DUMMYFUNCTION("""COMPUTED_VALUE"""),"Autohak")</f>
        <v>Autohak</v>
      </c>
    </row>
    <row r="9662">
      <c r="A9662" t="str">
        <f>IFERROR(__xludf.DUMMYFUNCTION("""COMPUTED_VALUE"""),"O73A")</f>
        <v>O73A</v>
      </c>
      <c r="B9662" s="226" t="str">
        <f>IFERROR(__xludf.DUMMYFUNCTION("""COMPUTED_VALUE"""),"66427")</f>
        <v>66427</v>
      </c>
      <c r="C9662" t="str">
        <f>IFERROR(__xludf.DUMMYFUNCTION("""COMPUTED_VALUE"""),"Autohak")</f>
        <v>Autohak</v>
      </c>
    </row>
    <row r="9663">
      <c r="A9663" t="str">
        <f>IFERROR(__xludf.DUMMYFUNCTION("""COMPUTED_VALUE"""),"O73V")</f>
        <v>O73V</v>
      </c>
      <c r="B9663" s="226" t="str">
        <f>IFERROR(__xludf.DUMMYFUNCTION("""COMPUTED_VALUE"""),"66892")</f>
        <v>66892</v>
      </c>
      <c r="C9663" t="str">
        <f>IFERROR(__xludf.DUMMYFUNCTION("""COMPUTED_VALUE"""),"Autohak")</f>
        <v>Autohak</v>
      </c>
    </row>
    <row r="9664">
      <c r="A9664" t="str">
        <f>IFERROR(__xludf.DUMMYFUNCTION("""COMPUTED_VALUE"""),"O20")</f>
        <v>O20</v>
      </c>
      <c r="B9664" s="226" t="str">
        <f>IFERROR(__xludf.DUMMYFUNCTION("""COMPUTED_VALUE"""),"63020")</f>
        <v>63020</v>
      </c>
      <c r="C9664" t="str">
        <f>IFERROR(__xludf.DUMMYFUNCTION("""COMPUTED_VALUE"""),"Autohak")</f>
        <v>Autohak</v>
      </c>
    </row>
    <row r="9665">
      <c r="A9665" t="str">
        <f>IFERROR(__xludf.DUMMYFUNCTION("""COMPUTED_VALUE"""),"O20A")</f>
        <v>O20A</v>
      </c>
      <c r="B9665" s="226" t="str">
        <f>IFERROR(__xludf.DUMMYFUNCTION("""COMPUTED_VALUE"""),"66021")</f>
        <v>66021</v>
      </c>
      <c r="C9665" t="str">
        <f>IFERROR(__xludf.DUMMYFUNCTION("""COMPUTED_VALUE"""),"Autohak")</f>
        <v>Autohak</v>
      </c>
    </row>
    <row r="9666">
      <c r="A9666" t="str">
        <f>IFERROR(__xludf.DUMMYFUNCTION("""COMPUTED_VALUE"""),"O56")</f>
        <v>O56</v>
      </c>
      <c r="B9666" s="226" t="str">
        <f>IFERROR(__xludf.DUMMYFUNCTION("""COMPUTED_VALUE"""),"63037")</f>
        <v>63037</v>
      </c>
      <c r="C9666" t="str">
        <f>IFERROR(__xludf.DUMMYFUNCTION("""COMPUTED_VALUE"""),"Autohak")</f>
        <v>Autohak</v>
      </c>
    </row>
    <row r="9667">
      <c r="A9667" t="str">
        <f>IFERROR(__xludf.DUMMYFUNCTION("""COMPUTED_VALUE"""),"O56A")</f>
        <v>O56A</v>
      </c>
      <c r="B9667" s="226" t="str">
        <f>IFERROR(__xludf.DUMMYFUNCTION("""COMPUTED_VALUE"""),"66038")</f>
        <v>66038</v>
      </c>
      <c r="C9667" t="str">
        <f>IFERROR(__xludf.DUMMYFUNCTION("""COMPUTED_VALUE"""),"Autohak")</f>
        <v>Autohak</v>
      </c>
    </row>
    <row r="9668">
      <c r="A9668" t="str">
        <f>IFERROR(__xludf.DUMMYFUNCTION("""COMPUTED_VALUE"""),"O74")</f>
        <v>O74</v>
      </c>
      <c r="B9668" s="226" t="str">
        <f>IFERROR(__xludf.DUMMYFUNCTION("""COMPUTED_VALUE"""),"63433")</f>
        <v>63433</v>
      </c>
      <c r="C9668" t="str">
        <f>IFERROR(__xludf.DUMMYFUNCTION("""COMPUTED_VALUE"""),"Autohak")</f>
        <v>Autohak</v>
      </c>
    </row>
    <row r="9669">
      <c r="A9669" t="str">
        <f>IFERROR(__xludf.DUMMYFUNCTION("""COMPUTED_VALUE"""),"O74A")</f>
        <v>O74A</v>
      </c>
      <c r="B9669" s="226" t="str">
        <f>IFERROR(__xludf.DUMMYFUNCTION("""COMPUTED_VALUE"""),"66434")</f>
        <v>66434</v>
      </c>
      <c r="C9669" t="str">
        <f>IFERROR(__xludf.DUMMYFUNCTION("""COMPUTED_VALUE"""),"Autohak")</f>
        <v>Autohak</v>
      </c>
    </row>
    <row r="9670">
      <c r="A9670" t="str">
        <f>IFERROR(__xludf.DUMMYFUNCTION("""COMPUTED_VALUE"""),"O74V")</f>
        <v>O74V</v>
      </c>
      <c r="B9670" s="226" t="str">
        <f>IFERROR(__xludf.DUMMYFUNCTION("""COMPUTED_VALUE"""),"66915")</f>
        <v>66915</v>
      </c>
      <c r="C9670" t="str">
        <f>IFERROR(__xludf.DUMMYFUNCTION("""COMPUTED_VALUE"""),"Autohak")</f>
        <v>Autohak</v>
      </c>
    </row>
    <row r="9671">
      <c r="A9671" t="str">
        <f>IFERROR(__xludf.DUMMYFUNCTION("""COMPUTED_VALUE"""),"O74")</f>
        <v>O74</v>
      </c>
      <c r="B9671" s="226" t="str">
        <f>IFERROR(__xludf.DUMMYFUNCTION("""COMPUTED_VALUE"""),"63433")</f>
        <v>63433</v>
      </c>
      <c r="C9671" t="str">
        <f>IFERROR(__xludf.DUMMYFUNCTION("""COMPUTED_VALUE"""),"Autohak")</f>
        <v>Autohak</v>
      </c>
    </row>
    <row r="9672">
      <c r="A9672" t="str">
        <f>IFERROR(__xludf.DUMMYFUNCTION("""COMPUTED_VALUE"""),"O74A")</f>
        <v>O74A</v>
      </c>
      <c r="B9672" s="226" t="str">
        <f>IFERROR(__xludf.DUMMYFUNCTION("""COMPUTED_VALUE"""),"66434")</f>
        <v>66434</v>
      </c>
      <c r="C9672" t="str">
        <f>IFERROR(__xludf.DUMMYFUNCTION("""COMPUTED_VALUE"""),"Autohak")</f>
        <v>Autohak</v>
      </c>
    </row>
    <row r="9673">
      <c r="A9673" t="str">
        <f>IFERROR(__xludf.DUMMYFUNCTION("""COMPUTED_VALUE"""),"O74V")</f>
        <v>O74V</v>
      </c>
      <c r="B9673" s="226" t="str">
        <f>IFERROR(__xludf.DUMMYFUNCTION("""COMPUTED_VALUE"""),"66915")</f>
        <v>66915</v>
      </c>
      <c r="C9673" t="str">
        <f>IFERROR(__xludf.DUMMYFUNCTION("""COMPUTED_VALUE"""),"Autohak")</f>
        <v>Autohak</v>
      </c>
    </row>
    <row r="9674">
      <c r="A9674" t="str">
        <f>IFERROR(__xludf.DUMMYFUNCTION("""COMPUTED_VALUE"""),"O49")</f>
        <v>O49</v>
      </c>
      <c r="B9674" s="226" t="str">
        <f>IFERROR(__xludf.DUMMYFUNCTION("""COMPUTED_VALUE"""),"63044")</f>
        <v>63044</v>
      </c>
      <c r="C9674" t="str">
        <f>IFERROR(__xludf.DUMMYFUNCTION("""COMPUTED_VALUE"""),"Autohak")</f>
        <v>Autohak</v>
      </c>
    </row>
    <row r="9675">
      <c r="A9675" t="str">
        <f>IFERROR(__xludf.DUMMYFUNCTION("""COMPUTED_VALUE"""),"O49A")</f>
        <v>O49A</v>
      </c>
      <c r="B9675" s="226" t="str">
        <f>IFERROR(__xludf.DUMMYFUNCTION("""COMPUTED_VALUE"""),"66045")</f>
        <v>66045</v>
      </c>
      <c r="C9675" t="str">
        <f>IFERROR(__xludf.DUMMYFUNCTION("""COMPUTED_VALUE"""),"Autohak")</f>
        <v>Autohak</v>
      </c>
    </row>
    <row r="9676">
      <c r="A9676" t="str">
        <f>IFERROR(__xludf.DUMMYFUNCTION("""COMPUTED_VALUE"""),"O63")</f>
        <v>O63</v>
      </c>
      <c r="B9676" s="226" t="str">
        <f>IFERROR(__xludf.DUMMYFUNCTION("""COMPUTED_VALUE"""),"63365")</f>
        <v>63365</v>
      </c>
      <c r="C9676" t="str">
        <f>IFERROR(__xludf.DUMMYFUNCTION("""COMPUTED_VALUE"""),"Autohak")</f>
        <v>Autohak</v>
      </c>
    </row>
    <row r="9677">
      <c r="A9677" t="str">
        <f>IFERROR(__xludf.DUMMYFUNCTION("""COMPUTED_VALUE"""),"O63A")</f>
        <v>O63A</v>
      </c>
      <c r="B9677" s="226" t="str">
        <f>IFERROR(__xludf.DUMMYFUNCTION("""COMPUTED_VALUE"""),"66366")</f>
        <v>66366</v>
      </c>
      <c r="C9677" t="str">
        <f>IFERROR(__xludf.DUMMYFUNCTION("""COMPUTED_VALUE"""),"Autohak")</f>
        <v>Autohak</v>
      </c>
    </row>
    <row r="9678">
      <c r="A9678" t="str">
        <f>IFERROR(__xludf.DUMMYFUNCTION("""COMPUTED_VALUE"""),"O03")</f>
        <v>O03</v>
      </c>
      <c r="B9678" s="226" t="str">
        <f>IFERROR(__xludf.DUMMYFUNCTION("""COMPUTED_VALUE"""),"63075")</f>
        <v>63075</v>
      </c>
      <c r="C9678" t="str">
        <f>IFERROR(__xludf.DUMMYFUNCTION("""COMPUTED_VALUE"""),"Autohak")</f>
        <v>Autohak</v>
      </c>
    </row>
    <row r="9679">
      <c r="A9679" t="str">
        <f>IFERROR(__xludf.DUMMYFUNCTION("""COMPUTED_VALUE"""),"O94")</f>
        <v>O94</v>
      </c>
      <c r="B9679" s="226" t="str">
        <f>IFERROR(__xludf.DUMMYFUNCTION("""COMPUTED_VALUE"""),"63631")</f>
        <v>63631</v>
      </c>
      <c r="C9679" t="str">
        <f>IFERROR(__xludf.DUMMYFUNCTION("""COMPUTED_VALUE"""),"Autohak")</f>
        <v>Autohak</v>
      </c>
    </row>
    <row r="9680">
      <c r="A9680" t="str">
        <f>IFERROR(__xludf.DUMMYFUNCTION("""COMPUTED_VALUE"""),"O94A")</f>
        <v>O94A</v>
      </c>
      <c r="B9680" s="226" t="str">
        <f>IFERROR(__xludf.DUMMYFUNCTION("""COMPUTED_VALUE"""),"66618")</f>
        <v>66618</v>
      </c>
      <c r="C9680" t="str">
        <f>IFERROR(__xludf.DUMMYFUNCTION("""COMPUTED_VALUE"""),"Autohak")</f>
        <v>Autohak</v>
      </c>
    </row>
    <row r="9681">
      <c r="A9681" t="str">
        <f>IFERROR(__xludf.DUMMYFUNCTION("""COMPUTED_VALUE"""),"O94V")</f>
        <v>O94V</v>
      </c>
      <c r="B9681" s="226" t="str">
        <f>IFERROR(__xludf.DUMMYFUNCTION("""COMPUTED_VALUE"""),"66854")</f>
        <v>66854</v>
      </c>
      <c r="C9681" t="str">
        <f>IFERROR(__xludf.DUMMYFUNCTION("""COMPUTED_VALUE"""),"Autohak")</f>
        <v>Autohak</v>
      </c>
    </row>
    <row r="9682">
      <c r="A9682" t="str">
        <f>IFERROR(__xludf.DUMMYFUNCTION("""COMPUTED_VALUE"""),"O94")</f>
        <v>O94</v>
      </c>
      <c r="B9682" s="226" t="str">
        <f>IFERROR(__xludf.DUMMYFUNCTION("""COMPUTED_VALUE"""),"63631")</f>
        <v>63631</v>
      </c>
      <c r="C9682" t="str">
        <f>IFERROR(__xludf.DUMMYFUNCTION("""COMPUTED_VALUE"""),"Autohak")</f>
        <v>Autohak</v>
      </c>
    </row>
    <row r="9683">
      <c r="A9683" t="str">
        <f>IFERROR(__xludf.DUMMYFUNCTION("""COMPUTED_VALUE"""),"O94A")</f>
        <v>O94A</v>
      </c>
      <c r="B9683" s="226" t="str">
        <f>IFERROR(__xludf.DUMMYFUNCTION("""COMPUTED_VALUE"""),"66618")</f>
        <v>66618</v>
      </c>
      <c r="C9683" t="str">
        <f>IFERROR(__xludf.DUMMYFUNCTION("""COMPUTED_VALUE"""),"Autohak")</f>
        <v>Autohak</v>
      </c>
    </row>
    <row r="9684">
      <c r="A9684" t="str">
        <f>IFERROR(__xludf.DUMMYFUNCTION("""COMPUTED_VALUE"""),"O94V")</f>
        <v>O94V</v>
      </c>
      <c r="B9684" s="226" t="str">
        <f>IFERROR(__xludf.DUMMYFUNCTION("""COMPUTED_VALUE"""),"66854")</f>
        <v>66854</v>
      </c>
      <c r="C9684" t="str">
        <f>IFERROR(__xludf.DUMMYFUNCTION("""COMPUTED_VALUE"""),"Autohak")</f>
        <v>Autohak</v>
      </c>
    </row>
    <row r="9685">
      <c r="A9685" t="str">
        <f>IFERROR(__xludf.DUMMYFUNCTION("""COMPUTED_VALUE"""),"O58")</f>
        <v>O58</v>
      </c>
      <c r="B9685" s="226" t="str">
        <f>IFERROR(__xludf.DUMMYFUNCTION("""COMPUTED_VALUE"""),"63082")</f>
        <v>63082</v>
      </c>
      <c r="C9685" t="str">
        <f>IFERROR(__xludf.DUMMYFUNCTION("""COMPUTED_VALUE"""),"Autohak")</f>
        <v>Autohak</v>
      </c>
    </row>
    <row r="9686">
      <c r="A9686" t="str">
        <f>IFERROR(__xludf.DUMMYFUNCTION("""COMPUTED_VALUE"""),"O58A")</f>
        <v>O58A</v>
      </c>
      <c r="B9686" s="226" t="str">
        <f>IFERROR(__xludf.DUMMYFUNCTION("""COMPUTED_VALUE"""),"66083")</f>
        <v>66083</v>
      </c>
      <c r="C9686" t="str">
        <f>IFERROR(__xludf.DUMMYFUNCTION("""COMPUTED_VALUE"""),"Autohak")</f>
        <v>Autohak</v>
      </c>
    </row>
    <row r="9687">
      <c r="A9687" t="str">
        <f>IFERROR(__xludf.DUMMYFUNCTION("""COMPUTED_VALUE"""),"O06")</f>
        <v>O06</v>
      </c>
      <c r="B9687" s="226" t="str">
        <f>IFERROR(__xludf.DUMMYFUNCTION("""COMPUTED_VALUE"""),"63105")</f>
        <v>63105</v>
      </c>
      <c r="C9687" t="str">
        <f>IFERROR(__xludf.DUMMYFUNCTION("""COMPUTED_VALUE"""),"Autohak")</f>
        <v>Autohak</v>
      </c>
    </row>
    <row r="9688">
      <c r="A9688" t="str">
        <f>IFERROR(__xludf.DUMMYFUNCTION("""COMPUTED_VALUE"""),"O06A")</f>
        <v>O06A</v>
      </c>
      <c r="B9688" s="226" t="str">
        <f>IFERROR(__xludf.DUMMYFUNCTION("""COMPUTED_VALUE"""),"66106")</f>
        <v>66106</v>
      </c>
      <c r="C9688" t="str">
        <f>IFERROR(__xludf.DUMMYFUNCTION("""COMPUTED_VALUE"""),"Autohak")</f>
        <v>Autohak</v>
      </c>
    </row>
    <row r="9689">
      <c r="A9689" t="str">
        <f>IFERROR(__xludf.DUMMYFUNCTION("""COMPUTED_VALUE"""),"O08")</f>
        <v>O08</v>
      </c>
      <c r="B9689" s="226" t="str">
        <f>IFERROR(__xludf.DUMMYFUNCTION("""COMPUTED_VALUE"""),"63112")</f>
        <v>63112</v>
      </c>
      <c r="C9689" t="str">
        <f>IFERROR(__xludf.DUMMYFUNCTION("""COMPUTED_VALUE"""),"Autohak")</f>
        <v>Autohak</v>
      </c>
    </row>
    <row r="9690">
      <c r="A9690" t="str">
        <f>IFERROR(__xludf.DUMMYFUNCTION("""COMPUTED_VALUE"""),"O08A")</f>
        <v>O08A</v>
      </c>
      <c r="B9690" s="226" t="str">
        <f>IFERROR(__xludf.DUMMYFUNCTION("""COMPUTED_VALUE"""),"66113")</f>
        <v>66113</v>
      </c>
      <c r="C9690" t="str">
        <f>IFERROR(__xludf.DUMMYFUNCTION("""COMPUTED_VALUE"""),"Autohak")</f>
        <v>Autohak</v>
      </c>
    </row>
    <row r="9691">
      <c r="A9691" t="str">
        <f>IFERROR(__xludf.DUMMYFUNCTION("""COMPUTED_VALUE"""),"O47")</f>
        <v>O47</v>
      </c>
      <c r="B9691" s="226" t="str">
        <f>IFERROR(__xludf.DUMMYFUNCTION("""COMPUTED_VALUE"""),"63136")</f>
        <v>63136</v>
      </c>
      <c r="C9691" t="str">
        <f>IFERROR(__xludf.DUMMYFUNCTION("""COMPUTED_VALUE"""),"Autohak")</f>
        <v>Autohak</v>
      </c>
    </row>
    <row r="9692">
      <c r="A9692" t="str">
        <f>IFERROR(__xludf.DUMMYFUNCTION("""COMPUTED_VALUE"""),"O47A")</f>
        <v>O47A</v>
      </c>
      <c r="B9692" s="226" t="str">
        <f>IFERROR(__xludf.DUMMYFUNCTION("""COMPUTED_VALUE"""),"66137")</f>
        <v>66137</v>
      </c>
      <c r="C9692" t="str">
        <f>IFERROR(__xludf.DUMMYFUNCTION("""COMPUTED_VALUE"""),"Autohak")</f>
        <v>Autohak</v>
      </c>
    </row>
    <row r="9693">
      <c r="A9693" t="str">
        <f>IFERROR(__xludf.DUMMYFUNCTION("""COMPUTED_VALUE"""),"O48")</f>
        <v>O48</v>
      </c>
      <c r="B9693" s="226" t="str">
        <f>IFERROR(__xludf.DUMMYFUNCTION("""COMPUTED_VALUE"""),"63143")</f>
        <v>63143</v>
      </c>
      <c r="C9693" t="str">
        <f>IFERROR(__xludf.DUMMYFUNCTION("""COMPUTED_VALUE"""),"Autohak")</f>
        <v>Autohak</v>
      </c>
    </row>
    <row r="9694">
      <c r="A9694" t="str">
        <f>IFERROR(__xludf.DUMMYFUNCTION("""COMPUTED_VALUE"""),"O72")</f>
        <v>O72</v>
      </c>
      <c r="B9694" s="226" t="str">
        <f>IFERROR(__xludf.DUMMYFUNCTION("""COMPUTED_VALUE"""),"63419")</f>
        <v>63419</v>
      </c>
      <c r="C9694" t="str">
        <f>IFERROR(__xludf.DUMMYFUNCTION("""COMPUTED_VALUE"""),"Autohak")</f>
        <v>Autohak</v>
      </c>
    </row>
    <row r="9695">
      <c r="A9695" t="str">
        <f>IFERROR(__xludf.DUMMYFUNCTION("""COMPUTED_VALUE"""),"O72A")</f>
        <v>O72A</v>
      </c>
      <c r="B9695" s="226" t="str">
        <f>IFERROR(__xludf.DUMMYFUNCTION("""COMPUTED_VALUE"""),"66410")</f>
        <v>66410</v>
      </c>
      <c r="C9695" t="str">
        <f>IFERROR(__xludf.DUMMYFUNCTION("""COMPUTED_VALUE"""),"Autohak")</f>
        <v>Autohak</v>
      </c>
    </row>
    <row r="9696">
      <c r="A9696" t="str">
        <f>IFERROR(__xludf.DUMMYFUNCTION("""COMPUTED_VALUE"""),"O86")</f>
        <v>O86</v>
      </c>
      <c r="B9696" s="226" t="str">
        <f>IFERROR(__xludf.DUMMYFUNCTION("""COMPUTED_VALUE"""),"63556")</f>
        <v>63556</v>
      </c>
      <c r="C9696" t="str">
        <f>IFERROR(__xludf.DUMMYFUNCTION("""COMPUTED_VALUE"""),"Autohak")</f>
        <v>Autohak</v>
      </c>
    </row>
    <row r="9697">
      <c r="A9697" t="str">
        <f>IFERROR(__xludf.DUMMYFUNCTION("""COMPUTED_VALUE"""),"O86A")</f>
        <v>O86A</v>
      </c>
      <c r="B9697" s="226" t="str">
        <f>IFERROR(__xludf.DUMMYFUNCTION("""COMPUTED_VALUE"""),"66533")</f>
        <v>66533</v>
      </c>
      <c r="C9697" t="str">
        <f>IFERROR(__xludf.DUMMYFUNCTION("""COMPUTED_VALUE"""),"Autohak")</f>
        <v>Autohak</v>
      </c>
    </row>
    <row r="9698">
      <c r="A9698" t="str">
        <f>IFERROR(__xludf.DUMMYFUNCTION("""COMPUTED_VALUE"""),"O98")</f>
        <v>O98</v>
      </c>
      <c r="B9698" s="226" t="str">
        <f>IFERROR(__xludf.DUMMYFUNCTION("""COMPUTED_VALUE"""),"63679")</f>
        <v>63679</v>
      </c>
      <c r="C9698" t="str">
        <f>IFERROR(__xludf.DUMMYFUNCTION("""COMPUTED_VALUE"""),"Autohak")</f>
        <v>Autohak</v>
      </c>
    </row>
    <row r="9699">
      <c r="A9699" t="str">
        <f>IFERROR(__xludf.DUMMYFUNCTION("""COMPUTED_VALUE"""),"O98A")</f>
        <v>O98A</v>
      </c>
      <c r="B9699" s="226" t="str">
        <f>IFERROR(__xludf.DUMMYFUNCTION("""COMPUTED_VALUE"""),"66649")</f>
        <v>66649</v>
      </c>
      <c r="C9699" t="str">
        <f>IFERROR(__xludf.DUMMYFUNCTION("""COMPUTED_VALUE"""),"Autohak")</f>
        <v>Autohak</v>
      </c>
    </row>
    <row r="9700">
      <c r="A9700" t="str">
        <f>IFERROR(__xludf.DUMMYFUNCTION("""COMPUTED_VALUE"""),"O98V")</f>
        <v>O98V</v>
      </c>
      <c r="B9700" s="226" t="str">
        <f>IFERROR(__xludf.DUMMYFUNCTION("""COMPUTED_VALUE"""),"66823")</f>
        <v>66823</v>
      </c>
      <c r="C9700" t="str">
        <f>IFERROR(__xludf.DUMMYFUNCTION("""COMPUTED_VALUE"""),"Autohak")</f>
        <v>Autohak</v>
      </c>
    </row>
    <row r="9701">
      <c r="A9701" t="str">
        <f>IFERROR(__xludf.DUMMYFUNCTION("""COMPUTED_VALUE"""),"O99")</f>
        <v>O99</v>
      </c>
      <c r="B9701" s="226" t="str">
        <f>IFERROR(__xludf.DUMMYFUNCTION("""COMPUTED_VALUE"""),"63686")</f>
        <v>63686</v>
      </c>
      <c r="C9701" t="str">
        <f>IFERROR(__xludf.DUMMYFUNCTION("""COMPUTED_VALUE"""),"Autohak")</f>
        <v>Autohak</v>
      </c>
    </row>
    <row r="9702">
      <c r="A9702" t="str">
        <f>IFERROR(__xludf.DUMMYFUNCTION("""COMPUTED_VALUE"""),"O99A")</f>
        <v>O99A</v>
      </c>
      <c r="B9702" s="226" t="str">
        <f>IFERROR(__xludf.DUMMYFUNCTION("""COMPUTED_VALUE"""),"66656")</f>
        <v>66656</v>
      </c>
      <c r="C9702" t="str">
        <f>IFERROR(__xludf.DUMMYFUNCTION("""COMPUTED_VALUE"""),"Autohak")</f>
        <v>Autohak</v>
      </c>
    </row>
    <row r="9703">
      <c r="A9703" t="str">
        <f>IFERROR(__xludf.DUMMYFUNCTION("""COMPUTED_VALUE"""),"O99V")</f>
        <v>O99V</v>
      </c>
      <c r="B9703" s="226" t="str">
        <f>IFERROR(__xludf.DUMMYFUNCTION("""COMPUTED_VALUE"""),"66816")</f>
        <v>66816</v>
      </c>
      <c r="C9703" t="str">
        <f>IFERROR(__xludf.DUMMYFUNCTION("""COMPUTED_VALUE"""),"Autohak")</f>
        <v>Autohak</v>
      </c>
    </row>
    <row r="9704">
      <c r="A9704" t="str">
        <f>IFERROR(__xludf.DUMMYFUNCTION("""COMPUTED_VALUE"""),"O31")</f>
        <v>O31</v>
      </c>
      <c r="B9704" s="226" t="str">
        <f>IFERROR(__xludf.DUMMYFUNCTION("""COMPUTED_VALUE"""),"63099")</f>
        <v>63099</v>
      </c>
      <c r="C9704" t="str">
        <f>IFERROR(__xludf.DUMMYFUNCTION("""COMPUTED_VALUE"""),"Autohak")</f>
        <v>Autohak</v>
      </c>
    </row>
    <row r="9705">
      <c r="A9705" t="str">
        <f>IFERROR(__xludf.DUMMYFUNCTION("""COMPUTED_VALUE"""),"O31A")</f>
        <v>O31A</v>
      </c>
      <c r="B9705" s="226" t="str">
        <f>IFERROR(__xludf.DUMMYFUNCTION("""COMPUTED_VALUE"""),"66090")</f>
        <v>66090</v>
      </c>
      <c r="C9705" t="str">
        <f>IFERROR(__xludf.DUMMYFUNCTION("""COMPUTED_VALUE"""),"Autohak")</f>
        <v>Autohak</v>
      </c>
    </row>
    <row r="9706">
      <c r="A9706" t="str">
        <f>IFERROR(__xludf.DUMMYFUNCTION("""COMPUTED_VALUE"""),"O17")</f>
        <v>O17</v>
      </c>
      <c r="B9706" s="226" t="str">
        <f>IFERROR(__xludf.DUMMYFUNCTION("""COMPUTED_VALUE"""),"63129")</f>
        <v>63129</v>
      </c>
      <c r="C9706" t="str">
        <f>IFERROR(__xludf.DUMMYFUNCTION("""COMPUTED_VALUE"""),"Autohak")</f>
        <v>Autohak</v>
      </c>
    </row>
    <row r="9707">
      <c r="A9707" t="str">
        <f>IFERROR(__xludf.DUMMYFUNCTION("""COMPUTED_VALUE"""),"O17A")</f>
        <v>O17A</v>
      </c>
      <c r="B9707" s="226" t="str">
        <f>IFERROR(__xludf.DUMMYFUNCTION("""COMPUTED_VALUE"""),"66120")</f>
        <v>66120</v>
      </c>
      <c r="C9707" t="str">
        <f>IFERROR(__xludf.DUMMYFUNCTION("""COMPUTED_VALUE"""),"Autohak")</f>
        <v>Autohak</v>
      </c>
    </row>
    <row r="9708">
      <c r="A9708" t="str">
        <f>IFERROR(__xludf.DUMMYFUNCTION("""COMPUTED_VALUE"""),"O52")</f>
        <v>O52</v>
      </c>
      <c r="B9708" s="226" t="str">
        <f>IFERROR(__xludf.DUMMYFUNCTION("""COMPUTED_VALUE"""),"63150")</f>
        <v>63150</v>
      </c>
      <c r="C9708" t="str">
        <f>IFERROR(__xludf.DUMMYFUNCTION("""COMPUTED_VALUE"""),"Autohak")</f>
        <v>Autohak</v>
      </c>
    </row>
    <row r="9709">
      <c r="A9709" t="str">
        <f>IFERROR(__xludf.DUMMYFUNCTION("""COMPUTED_VALUE"""),"O52A")</f>
        <v>O52A</v>
      </c>
      <c r="B9709" s="226" t="str">
        <f>IFERROR(__xludf.DUMMYFUNCTION("""COMPUTED_VALUE"""),"66151")</f>
        <v>66151</v>
      </c>
      <c r="C9709" t="str">
        <f>IFERROR(__xludf.DUMMYFUNCTION("""COMPUTED_VALUE"""),"Autohak")</f>
        <v>Autohak</v>
      </c>
    </row>
    <row r="9710">
      <c r="A9710" t="str">
        <f>IFERROR(__xludf.DUMMYFUNCTION("""COMPUTED_VALUE"""),"O97")</f>
        <v>O97</v>
      </c>
      <c r="B9710" s="226" t="str">
        <f>IFERROR(__xludf.DUMMYFUNCTION("""COMPUTED_VALUE"""),"63662")</f>
        <v>63662</v>
      </c>
      <c r="C9710" t="str">
        <f>IFERROR(__xludf.DUMMYFUNCTION("""COMPUTED_VALUE"""),"Autohak")</f>
        <v>Autohak</v>
      </c>
    </row>
    <row r="9711">
      <c r="A9711" t="str">
        <f>IFERROR(__xludf.DUMMYFUNCTION("""COMPUTED_VALUE"""),"O97A")</f>
        <v>O97A</v>
      </c>
      <c r="B9711" s="226" t="str">
        <f>IFERROR(__xludf.DUMMYFUNCTION("""COMPUTED_VALUE"""),"66632")</f>
        <v>66632</v>
      </c>
      <c r="C9711" t="str">
        <f>IFERROR(__xludf.DUMMYFUNCTION("""COMPUTED_VALUE"""),"Autohak")</f>
        <v>Autohak</v>
      </c>
    </row>
    <row r="9712">
      <c r="A9712" t="str">
        <f>IFERROR(__xludf.DUMMYFUNCTION("""COMPUTED_VALUE"""),"O97V")</f>
        <v>O97V</v>
      </c>
      <c r="B9712" s="226" t="str">
        <f>IFERROR(__xludf.DUMMYFUNCTION("""COMPUTED_VALUE"""),"66830")</f>
        <v>66830</v>
      </c>
      <c r="C9712" t="str">
        <f>IFERROR(__xludf.DUMMYFUNCTION("""COMPUTED_VALUE"""),"Autohak")</f>
        <v>Autohak</v>
      </c>
    </row>
    <row r="9713">
      <c r="A9713" t="str">
        <f>IFERROR(__xludf.DUMMYFUNCTION("""COMPUTED_VALUE"""),"O50")</f>
        <v>O50</v>
      </c>
      <c r="B9713" s="226" t="str">
        <f>IFERROR(__xludf.DUMMYFUNCTION("""COMPUTED_VALUE"""),"63167")</f>
        <v>63167</v>
      </c>
      <c r="C9713" t="str">
        <f>IFERROR(__xludf.DUMMYFUNCTION("""COMPUTED_VALUE"""),"Autohak")</f>
        <v>Autohak</v>
      </c>
    </row>
    <row r="9714">
      <c r="A9714" t="str">
        <f>IFERROR(__xludf.DUMMYFUNCTION("""COMPUTED_VALUE"""),"O50A")</f>
        <v>O50A</v>
      </c>
      <c r="B9714" s="226" t="str">
        <f>IFERROR(__xludf.DUMMYFUNCTION("""COMPUTED_VALUE"""),"66168")</f>
        <v>66168</v>
      </c>
      <c r="C9714" t="str">
        <f>IFERROR(__xludf.DUMMYFUNCTION("""COMPUTED_VALUE"""),"Autohak")</f>
        <v>Autohak</v>
      </c>
    </row>
    <row r="9715">
      <c r="A9715" t="str">
        <f>IFERROR(__xludf.DUMMYFUNCTION("""COMPUTED_VALUE"""),"O59")</f>
        <v>O59</v>
      </c>
      <c r="B9715" s="226" t="str">
        <f>IFERROR(__xludf.DUMMYFUNCTION("""COMPUTED_VALUE"""),"63174")</f>
        <v>63174</v>
      </c>
      <c r="C9715" t="str">
        <f>IFERROR(__xludf.DUMMYFUNCTION("""COMPUTED_VALUE"""),"Autohak")</f>
        <v>Autohak</v>
      </c>
    </row>
    <row r="9716">
      <c r="A9716" t="str">
        <f>IFERROR(__xludf.DUMMYFUNCTION("""COMPUTED_VALUE"""),"O59A")</f>
        <v>O59A</v>
      </c>
      <c r="B9716" s="226" t="str">
        <f>IFERROR(__xludf.DUMMYFUNCTION("""COMPUTED_VALUE"""),"66175")</f>
        <v>66175</v>
      </c>
      <c r="C9716" t="str">
        <f>IFERROR(__xludf.DUMMYFUNCTION("""COMPUTED_VALUE"""),"Autohak")</f>
        <v>Autohak</v>
      </c>
    </row>
    <row r="9717">
      <c r="A9717" t="str">
        <f>IFERROR(__xludf.DUMMYFUNCTION("""COMPUTED_VALUE"""),"O61")</f>
        <v>O61</v>
      </c>
      <c r="B9717" s="226" t="str">
        <f>IFERROR(__xludf.DUMMYFUNCTION("""COMPUTED_VALUE"""),"63181")</f>
        <v>63181</v>
      </c>
      <c r="C9717" t="str">
        <f>IFERROR(__xludf.DUMMYFUNCTION("""COMPUTED_VALUE"""),"Autohak")</f>
        <v>Autohak</v>
      </c>
    </row>
    <row r="9718">
      <c r="A9718" t="str">
        <f>IFERROR(__xludf.DUMMYFUNCTION("""COMPUTED_VALUE"""),"O51")</f>
        <v>O51</v>
      </c>
      <c r="B9718" s="226" t="str">
        <f>IFERROR(__xludf.DUMMYFUNCTION("""COMPUTED_VALUE"""),"63198")</f>
        <v>63198</v>
      </c>
      <c r="C9718" t="str">
        <f>IFERROR(__xludf.DUMMYFUNCTION("""COMPUTED_VALUE"""),"Autohak")</f>
        <v>Autohak</v>
      </c>
    </row>
    <row r="9719">
      <c r="A9719" t="str">
        <f>IFERROR(__xludf.DUMMYFUNCTION("""COMPUTED_VALUE"""),"O57")</f>
        <v>O57</v>
      </c>
      <c r="B9719" s="226" t="str">
        <f>IFERROR(__xludf.DUMMYFUNCTION("""COMPUTED_VALUE"""),"63204")</f>
        <v>63204</v>
      </c>
      <c r="C9719" t="str">
        <f>IFERROR(__xludf.DUMMYFUNCTION("""COMPUTED_VALUE"""),"Autohak")</f>
        <v>Autohak</v>
      </c>
    </row>
    <row r="9720">
      <c r="A9720" t="str">
        <f>IFERROR(__xludf.DUMMYFUNCTION("""COMPUTED_VALUE"""),"O64")</f>
        <v>O64</v>
      </c>
      <c r="B9720" s="226" t="str">
        <f>IFERROR(__xludf.DUMMYFUNCTION("""COMPUTED_VALUE"""),"63334")</f>
        <v>63334</v>
      </c>
      <c r="C9720" t="str">
        <f>IFERROR(__xludf.DUMMYFUNCTION("""COMPUTED_VALUE"""),"Autohak")</f>
        <v>Autohak</v>
      </c>
    </row>
    <row r="9721">
      <c r="A9721" t="str">
        <f>IFERROR(__xludf.DUMMYFUNCTION("""COMPUTED_VALUE"""),"O64A")</f>
        <v>O64A</v>
      </c>
      <c r="B9721" s="226" t="str">
        <f>IFERROR(__xludf.DUMMYFUNCTION("""COMPUTED_VALUE"""),"66335")</f>
        <v>66335</v>
      </c>
      <c r="C9721" t="str">
        <f>IFERROR(__xludf.DUMMYFUNCTION("""COMPUTED_VALUE"""),"Autohak")</f>
        <v>Autohak</v>
      </c>
    </row>
    <row r="9722">
      <c r="A9722" t="str">
        <f>IFERROR(__xludf.DUMMYFUNCTION("""COMPUTED_VALUE"""),"O79")</f>
        <v>O79</v>
      </c>
      <c r="B9722" s="226" t="str">
        <f>IFERROR(__xludf.DUMMYFUNCTION("""COMPUTED_VALUE"""),"63488")</f>
        <v>63488</v>
      </c>
      <c r="C9722" t="str">
        <f>IFERROR(__xludf.DUMMYFUNCTION("""COMPUTED_VALUE"""),"Autohak")</f>
        <v>Autohak</v>
      </c>
    </row>
    <row r="9723">
      <c r="A9723" t="str">
        <f>IFERROR(__xludf.DUMMYFUNCTION("""COMPUTED_VALUE"""),"O81")</f>
        <v>O81</v>
      </c>
      <c r="B9723" s="226" t="str">
        <f>IFERROR(__xludf.DUMMYFUNCTION("""COMPUTED_VALUE"""),"63501")</f>
        <v>63501</v>
      </c>
      <c r="C9723" t="str">
        <f>IFERROR(__xludf.DUMMYFUNCTION("""COMPUTED_VALUE"""),"Autohak")</f>
        <v>Autohak</v>
      </c>
    </row>
    <row r="9724">
      <c r="A9724" t="str">
        <f>IFERROR(__xludf.DUMMYFUNCTION("""COMPUTED_VALUE"""),"O93")</f>
        <v>O93</v>
      </c>
      <c r="B9724" s="226" t="str">
        <f>IFERROR(__xludf.DUMMYFUNCTION("""COMPUTED_VALUE"""),"63624")</f>
        <v>63624</v>
      </c>
      <c r="C9724" t="str">
        <f>IFERROR(__xludf.DUMMYFUNCTION("""COMPUTED_VALUE"""),"Autohak")</f>
        <v>Autohak</v>
      </c>
    </row>
    <row r="9725">
      <c r="A9725" t="str">
        <f>IFERROR(__xludf.DUMMYFUNCTION("""COMPUTED_VALUE"""),"O93A")</f>
        <v>O93A</v>
      </c>
      <c r="B9725" s="226" t="str">
        <f>IFERROR(__xludf.DUMMYFUNCTION("""COMPUTED_VALUE"""),"66601")</f>
        <v>66601</v>
      </c>
      <c r="C9725" t="str">
        <f>IFERROR(__xludf.DUMMYFUNCTION("""COMPUTED_VALUE"""),"Autohak")</f>
        <v>Autohak</v>
      </c>
    </row>
    <row r="9726">
      <c r="A9726" t="str">
        <f>IFERROR(__xludf.DUMMYFUNCTION("""COMPUTED_VALUE"""),"O95")</f>
        <v>O95</v>
      </c>
      <c r="B9726" s="226" t="str">
        <f>IFERROR(__xludf.DUMMYFUNCTION("""COMPUTED_VALUE"""),"63648")</f>
        <v>63648</v>
      </c>
      <c r="C9726" t="str">
        <f>IFERROR(__xludf.DUMMYFUNCTION("""COMPUTED_VALUE"""),"Autohak")</f>
        <v>Autohak</v>
      </c>
    </row>
    <row r="9727">
      <c r="A9727" t="str">
        <f>IFERROR(__xludf.DUMMYFUNCTION("""COMPUTED_VALUE"""),"O69")</f>
        <v>O69</v>
      </c>
      <c r="B9727" s="226" t="str">
        <f>IFERROR(__xludf.DUMMYFUNCTION("""COMPUTED_VALUE"""),"63389")</f>
        <v>63389</v>
      </c>
      <c r="C9727" t="str">
        <f>IFERROR(__xludf.DUMMYFUNCTION("""COMPUTED_VALUE"""),"Autohak")</f>
        <v>Autohak</v>
      </c>
    </row>
    <row r="9728">
      <c r="A9728" t="str">
        <f>IFERROR(__xludf.DUMMYFUNCTION("""COMPUTED_VALUE"""),"O69A")</f>
        <v>O69A</v>
      </c>
      <c r="B9728" s="226" t="str">
        <f>IFERROR(__xludf.DUMMYFUNCTION("""COMPUTED_VALUE"""),"66380")</f>
        <v>66380</v>
      </c>
      <c r="C9728" t="str">
        <f>IFERROR(__xludf.DUMMYFUNCTION("""COMPUTED_VALUE"""),"Autohak")</f>
        <v>Autohak</v>
      </c>
    </row>
    <row r="9729">
      <c r="A9729" t="str">
        <f>IFERROR(__xludf.DUMMYFUNCTION("""COMPUTED_VALUE"""),"O35")</f>
        <v>O35</v>
      </c>
      <c r="B9729" s="226" t="str">
        <f>IFERROR(__xludf.DUMMYFUNCTION("""COMPUTED_VALUE"""),"63211")</f>
        <v>63211</v>
      </c>
      <c r="C9729" t="str">
        <f>IFERROR(__xludf.DUMMYFUNCTION("""COMPUTED_VALUE"""),"Autohak")</f>
        <v>Autohak</v>
      </c>
    </row>
    <row r="9730">
      <c r="A9730" t="str">
        <f>IFERROR(__xludf.DUMMYFUNCTION("""COMPUTED_VALUE"""),"O35")</f>
        <v>O35</v>
      </c>
      <c r="B9730" s="226" t="str">
        <f>IFERROR(__xludf.DUMMYFUNCTION("""COMPUTED_VALUE"""),"63211")</f>
        <v>63211</v>
      </c>
      <c r="C9730" t="str">
        <f>IFERROR(__xludf.DUMMYFUNCTION("""COMPUTED_VALUE"""),"Autohak")</f>
        <v>Autohak</v>
      </c>
    </row>
    <row r="9731">
      <c r="A9731" t="str">
        <f>IFERROR(__xludf.DUMMYFUNCTION("""COMPUTED_VALUE"""),"O46")</f>
        <v>O46</v>
      </c>
      <c r="B9731" s="226" t="str">
        <f>IFERROR(__xludf.DUMMYFUNCTION("""COMPUTED_VALUE"""),"63228")</f>
        <v>63228</v>
      </c>
      <c r="C9731" t="str">
        <f>IFERROR(__xludf.DUMMYFUNCTION("""COMPUTED_VALUE"""),"Autohak")</f>
        <v>Autohak</v>
      </c>
    </row>
    <row r="9732">
      <c r="A9732" t="str">
        <f>IFERROR(__xludf.DUMMYFUNCTION("""COMPUTED_VALUE"""),"O45")</f>
        <v>O45</v>
      </c>
      <c r="B9732" s="226" t="str">
        <f>IFERROR(__xludf.DUMMYFUNCTION("""COMPUTED_VALUE"""),"63235")</f>
        <v>63235</v>
      </c>
      <c r="C9732" t="str">
        <f>IFERROR(__xludf.DUMMYFUNCTION("""COMPUTED_VALUE"""),"Autohak")</f>
        <v>Autohak</v>
      </c>
    </row>
    <row r="9733">
      <c r="A9733" t="str">
        <f>IFERROR(__xludf.DUMMYFUNCTION("""COMPUTED_VALUE"""),"O53")</f>
        <v>O53</v>
      </c>
      <c r="B9733" s="226" t="str">
        <f>IFERROR(__xludf.DUMMYFUNCTION("""COMPUTED_VALUE"""),"63242")</f>
        <v>63242</v>
      </c>
      <c r="C9733" t="str">
        <f>IFERROR(__xludf.DUMMYFUNCTION("""COMPUTED_VALUE"""),"Autohak")</f>
        <v>Autohak</v>
      </c>
    </row>
    <row r="9734">
      <c r="A9734" t="str">
        <f>IFERROR(__xludf.DUMMYFUNCTION("""COMPUTED_VALUE"""),"O53V")</f>
        <v>O53V</v>
      </c>
      <c r="B9734" s="226" t="str">
        <f>IFERROR(__xludf.DUMMYFUNCTION("""COMPUTED_VALUE"""),"66946")</f>
        <v>66946</v>
      </c>
      <c r="C9734" t="str">
        <f>IFERROR(__xludf.DUMMYFUNCTION("""COMPUTED_VALUE"""),"Autohak")</f>
        <v>Autohak</v>
      </c>
    </row>
    <row r="9735">
      <c r="A9735" t="str">
        <f>IFERROR(__xludf.DUMMYFUNCTION("""COMPUTED_VALUE"""),"O53")</f>
        <v>O53</v>
      </c>
      <c r="B9735" s="226" t="str">
        <f>IFERROR(__xludf.DUMMYFUNCTION("""COMPUTED_VALUE"""),"63242")</f>
        <v>63242</v>
      </c>
      <c r="C9735" t="str">
        <f>IFERROR(__xludf.DUMMYFUNCTION("""COMPUTED_VALUE"""),"Autohak")</f>
        <v>Autohak</v>
      </c>
    </row>
    <row r="9736">
      <c r="A9736" t="str">
        <f>IFERROR(__xludf.DUMMYFUNCTION("""COMPUTED_VALUE"""),"O53V")</f>
        <v>O53V</v>
      </c>
      <c r="B9736" s="226" t="str">
        <f>IFERROR(__xludf.DUMMYFUNCTION("""COMPUTED_VALUE"""),"66946")</f>
        <v>66946</v>
      </c>
      <c r="C9736" t="str">
        <f>IFERROR(__xludf.DUMMYFUNCTION("""COMPUTED_VALUE"""),"Autohak")</f>
        <v>Autohak</v>
      </c>
    </row>
    <row r="9737">
      <c r="A9737" t="str">
        <f>IFERROR(__xludf.DUMMYFUNCTION("""COMPUTED_VALUE"""),"O70")</f>
        <v>O70</v>
      </c>
      <c r="B9737" s="226" t="str">
        <f>IFERROR(__xludf.DUMMYFUNCTION("""COMPUTED_VALUE"""),"63396")</f>
        <v>63396</v>
      </c>
      <c r="C9737" t="str">
        <f>IFERROR(__xludf.DUMMYFUNCTION("""COMPUTED_VALUE"""),"Autohak")</f>
        <v>Autohak</v>
      </c>
    </row>
    <row r="9738">
      <c r="A9738" t="str">
        <f>IFERROR(__xludf.DUMMYFUNCTION("""COMPUTED_VALUE"""),"O70A")</f>
        <v>O70A</v>
      </c>
      <c r="B9738" s="226" t="str">
        <f>IFERROR(__xludf.DUMMYFUNCTION("""COMPUTED_VALUE"""),"66397")</f>
        <v>66397</v>
      </c>
      <c r="C9738" t="str">
        <f>IFERROR(__xludf.DUMMYFUNCTION("""COMPUTED_VALUE"""),"Autohak")</f>
        <v>Autohak</v>
      </c>
    </row>
    <row r="9739">
      <c r="A9739" t="str">
        <f>IFERROR(__xludf.DUMMYFUNCTION("""COMPUTED_VALUE"""),"O71")</f>
        <v>O71</v>
      </c>
      <c r="B9739" s="226" t="str">
        <f>IFERROR(__xludf.DUMMYFUNCTION("""COMPUTED_VALUE"""),"63402")</f>
        <v>63402</v>
      </c>
      <c r="C9739" t="str">
        <f>IFERROR(__xludf.DUMMYFUNCTION("""COMPUTED_VALUE"""),"Autohak")</f>
        <v>Autohak</v>
      </c>
    </row>
    <row r="9740">
      <c r="A9740" t="str">
        <f>IFERROR(__xludf.DUMMYFUNCTION("""COMPUTED_VALUE"""),"O54")</f>
        <v>O54</v>
      </c>
      <c r="B9740" s="226" t="str">
        <f>IFERROR(__xludf.DUMMYFUNCTION("""COMPUTED_VALUE"""),"63259")</f>
        <v>63259</v>
      </c>
      <c r="C9740" t="str">
        <f>IFERROR(__xludf.DUMMYFUNCTION("""COMPUTED_VALUE"""),"Autohak")</f>
        <v>Autohak</v>
      </c>
    </row>
    <row r="9741">
      <c r="A9741" t="str">
        <f>IFERROR(__xludf.DUMMYFUNCTION("""COMPUTED_VALUE"""),"O54A")</f>
        <v>O54A</v>
      </c>
      <c r="B9741" s="226" t="str">
        <f>IFERROR(__xludf.DUMMYFUNCTION("""COMPUTED_VALUE"""),"66250")</f>
        <v>66250</v>
      </c>
      <c r="C9741" t="str">
        <f>IFERROR(__xludf.DUMMYFUNCTION("""COMPUTED_VALUE"""),"Autohak")</f>
        <v>Autohak</v>
      </c>
    </row>
    <row r="9742">
      <c r="A9742" t="str">
        <f>IFERROR(__xludf.DUMMYFUNCTION("""COMPUTED_VALUE"""),"O60")</f>
        <v>O60</v>
      </c>
      <c r="B9742" s="226" t="str">
        <f>IFERROR(__xludf.DUMMYFUNCTION("""COMPUTED_VALUE"""),"63266")</f>
        <v>63266</v>
      </c>
      <c r="C9742" t="str">
        <f>IFERROR(__xludf.DUMMYFUNCTION("""COMPUTED_VALUE"""),"Autohak")</f>
        <v>Autohak</v>
      </c>
    </row>
    <row r="9743">
      <c r="A9743" t="str">
        <f>IFERROR(__xludf.DUMMYFUNCTION("""COMPUTED_VALUE"""),"R40")</f>
        <v>R40</v>
      </c>
      <c r="B9743" s="226" t="str">
        <f>IFERROR(__xludf.DUMMYFUNCTION("""COMPUTED_VALUE"""),"13360")</f>
        <v>13360</v>
      </c>
      <c r="C9743" t="str">
        <f>IFERROR(__xludf.DUMMYFUNCTION("""COMPUTED_VALUE"""),"Autohak")</f>
        <v>Autohak</v>
      </c>
    </row>
    <row r="9744">
      <c r="A9744" t="str">
        <f>IFERROR(__xludf.DUMMYFUNCTION("""COMPUTED_VALUE"""),"R40A")</f>
        <v>R40A</v>
      </c>
      <c r="B9744" s="226" t="str">
        <f>IFERROR(__xludf.DUMMYFUNCTION("""COMPUTED_VALUE"""),"16361")</f>
        <v>16361</v>
      </c>
      <c r="C9744" t="str">
        <f>IFERROR(__xludf.DUMMYFUNCTION("""COMPUTED_VALUE"""),"Autohak")</f>
        <v>Autohak</v>
      </c>
    </row>
    <row r="9745">
      <c r="A9745" t="str">
        <f>IFERROR(__xludf.DUMMYFUNCTION("""COMPUTED_VALUE"""),"P44")</f>
        <v>P44</v>
      </c>
      <c r="B9745" s="226" t="str">
        <f>IFERROR(__xludf.DUMMYFUNCTION("""COMPUTED_VALUE"""),"08311")</f>
        <v>08311</v>
      </c>
      <c r="C9745" t="str">
        <f>IFERROR(__xludf.DUMMYFUNCTION("""COMPUTED_VALUE"""),"Autohak")</f>
        <v>Autohak</v>
      </c>
    </row>
    <row r="9746">
      <c r="A9746" t="str">
        <f>IFERROR(__xludf.DUMMYFUNCTION("""COMPUTED_VALUE"""),"P44A")</f>
        <v>P44A</v>
      </c>
      <c r="B9746" s="226" t="str">
        <f>IFERROR(__xludf.DUMMYFUNCTION("""COMPUTED_VALUE"""),"09318")</f>
        <v>09318</v>
      </c>
      <c r="C9746" t="str">
        <f>IFERROR(__xludf.DUMMYFUNCTION("""COMPUTED_VALUE"""),"Autohak")</f>
        <v>Autohak</v>
      </c>
    </row>
    <row r="9747">
      <c r="A9747" t="str">
        <f>IFERROR(__xludf.DUMMYFUNCTION("""COMPUTED_VALUE"""),"P44V")</f>
        <v>P44V</v>
      </c>
      <c r="B9747" s="226" t="str">
        <f>IFERROR(__xludf.DUMMYFUNCTION("""COMPUTED_VALUE"""),"09899")</f>
        <v>09899</v>
      </c>
      <c r="C9747" t="str">
        <f>IFERROR(__xludf.DUMMYFUNCTION("""COMPUTED_VALUE"""),"Autohak")</f>
        <v>Autohak</v>
      </c>
    </row>
    <row r="9748">
      <c r="A9748" t="str">
        <f>IFERROR(__xludf.DUMMYFUNCTION("""COMPUTED_VALUE"""),"P44")</f>
        <v>P44</v>
      </c>
      <c r="B9748" s="226" t="str">
        <f>IFERROR(__xludf.DUMMYFUNCTION("""COMPUTED_VALUE"""),"08311")</f>
        <v>08311</v>
      </c>
      <c r="C9748" t="str">
        <f>IFERROR(__xludf.DUMMYFUNCTION("""COMPUTED_VALUE"""),"Autohak")</f>
        <v>Autohak</v>
      </c>
    </row>
    <row r="9749">
      <c r="A9749" t="str">
        <f>IFERROR(__xludf.DUMMYFUNCTION("""COMPUTED_VALUE"""),"P44A")</f>
        <v>P44A</v>
      </c>
      <c r="B9749" s="226" t="str">
        <f>IFERROR(__xludf.DUMMYFUNCTION("""COMPUTED_VALUE"""),"09318")</f>
        <v>09318</v>
      </c>
      <c r="C9749" t="str">
        <f>IFERROR(__xludf.DUMMYFUNCTION("""COMPUTED_VALUE"""),"Autohak")</f>
        <v>Autohak</v>
      </c>
    </row>
    <row r="9750">
      <c r="A9750" t="str">
        <f>IFERROR(__xludf.DUMMYFUNCTION("""COMPUTED_VALUE"""),"P44V")</f>
        <v>P44V</v>
      </c>
      <c r="B9750" s="226" t="str">
        <f>IFERROR(__xludf.DUMMYFUNCTION("""COMPUTED_VALUE"""),"09899")</f>
        <v>09899</v>
      </c>
      <c r="C9750" t="str">
        <f>IFERROR(__xludf.DUMMYFUNCTION("""COMPUTED_VALUE"""),"Autohak")</f>
        <v>Autohak</v>
      </c>
    </row>
    <row r="9751">
      <c r="A9751" t="str">
        <f>IFERROR(__xludf.DUMMYFUNCTION("""COMPUTED_VALUE"""),"F31")</f>
        <v>F31</v>
      </c>
      <c r="B9751" s="226" t="str">
        <f>IFERROR(__xludf.DUMMYFUNCTION("""COMPUTED_VALUE"""),"44227")</f>
        <v>44227</v>
      </c>
      <c r="C9751" t="str">
        <f>IFERROR(__xludf.DUMMYFUNCTION("""COMPUTED_VALUE"""),"Autohak")</f>
        <v>Autohak</v>
      </c>
    </row>
    <row r="9752">
      <c r="A9752" t="str">
        <f>IFERROR(__xludf.DUMMYFUNCTION("""COMPUTED_VALUE"""),"F31A")</f>
        <v>F31A</v>
      </c>
      <c r="B9752" s="226" t="str">
        <f>IFERROR(__xludf.DUMMYFUNCTION("""COMPUTED_VALUE"""),"46221")</f>
        <v>46221</v>
      </c>
      <c r="C9752" t="str">
        <f>IFERROR(__xludf.DUMMYFUNCTION("""COMPUTED_VALUE"""),"Autohak")</f>
        <v>Autohak</v>
      </c>
    </row>
    <row r="9753">
      <c r="A9753" t="str">
        <f>IFERROR(__xludf.DUMMYFUNCTION("""COMPUTED_VALUE"""),"F31V")</f>
        <v>F31V</v>
      </c>
      <c r="B9753" s="226" t="str">
        <f>IFERROR(__xludf.DUMMYFUNCTION("""COMPUTED_VALUE"""),"46993")</f>
        <v>46993</v>
      </c>
      <c r="C9753" t="str">
        <f>IFERROR(__xludf.DUMMYFUNCTION("""COMPUTED_VALUE"""),"Autohak")</f>
        <v>Autohak</v>
      </c>
    </row>
    <row r="9754">
      <c r="A9754" t="str">
        <f>IFERROR(__xludf.DUMMYFUNCTION("""COMPUTED_VALUE"""),"F50")</f>
        <v>F50</v>
      </c>
      <c r="B9754" s="226" t="str">
        <f>IFERROR(__xludf.DUMMYFUNCTION("""COMPUTED_VALUE"""),"44401")</f>
        <v>44401</v>
      </c>
      <c r="C9754" t="str">
        <f>IFERROR(__xludf.DUMMYFUNCTION("""COMPUTED_VALUE"""),"Autohak")</f>
        <v>Autohak</v>
      </c>
    </row>
    <row r="9755">
      <c r="A9755" t="str">
        <f>IFERROR(__xludf.DUMMYFUNCTION("""COMPUTED_VALUE"""),"F50A")</f>
        <v>F50A</v>
      </c>
      <c r="B9755" s="226" t="str">
        <f>IFERROR(__xludf.DUMMYFUNCTION("""COMPUTED_VALUE"""),"46412")</f>
        <v>46412</v>
      </c>
      <c r="C9755" t="str">
        <f>IFERROR(__xludf.DUMMYFUNCTION("""COMPUTED_VALUE"""),"Autohak")</f>
        <v>Autohak</v>
      </c>
    </row>
    <row r="9756">
      <c r="A9756" t="str">
        <f>IFERROR(__xludf.DUMMYFUNCTION("""COMPUTED_VALUE"""),"F50V")</f>
        <v>F50V</v>
      </c>
      <c r="B9756" s="226" t="str">
        <f>IFERROR(__xludf.DUMMYFUNCTION("""COMPUTED_VALUE"""),"46825")</f>
        <v>46825</v>
      </c>
      <c r="C9756" t="str">
        <f>IFERROR(__xludf.DUMMYFUNCTION("""COMPUTED_VALUE"""),"Autohak")</f>
        <v>Autohak</v>
      </c>
    </row>
    <row r="9757">
      <c r="A9757" t="str">
        <f>IFERROR(__xludf.DUMMYFUNCTION("""COMPUTED_VALUE"""),"O92")</f>
        <v>O92</v>
      </c>
      <c r="B9757" s="226" t="str">
        <f>IFERROR(__xludf.DUMMYFUNCTION("""COMPUTED_VALUE"""),"63617")</f>
        <v>63617</v>
      </c>
      <c r="C9757" t="str">
        <f>IFERROR(__xludf.DUMMYFUNCTION("""COMPUTED_VALUE"""),"Autohak")</f>
        <v>Autohak</v>
      </c>
    </row>
    <row r="9758">
      <c r="A9758" t="str">
        <f>IFERROR(__xludf.DUMMYFUNCTION("""COMPUTED_VALUE"""),"O92A")</f>
        <v>O92A</v>
      </c>
      <c r="B9758" s="226" t="str">
        <f>IFERROR(__xludf.DUMMYFUNCTION("""COMPUTED_VALUE"""),"66595")</f>
        <v>66595</v>
      </c>
      <c r="C9758" t="str">
        <f>IFERROR(__xludf.DUMMYFUNCTION("""COMPUTED_VALUE"""),"Autohak")</f>
        <v>Autohak</v>
      </c>
    </row>
    <row r="9759">
      <c r="A9759" t="str">
        <f>IFERROR(__xludf.DUMMYFUNCTION("""COMPUTED_VALUE"""),"O92V")</f>
        <v>O92V</v>
      </c>
      <c r="B9759" s="226" t="str">
        <f>IFERROR(__xludf.DUMMYFUNCTION("""COMPUTED_VALUE"""),"66861")</f>
        <v>66861</v>
      </c>
      <c r="C9759" t="str">
        <f>IFERROR(__xludf.DUMMYFUNCTION("""COMPUTED_VALUE"""),"Autohak")</f>
        <v>Autohak</v>
      </c>
    </row>
    <row r="9760">
      <c r="A9760" t="str">
        <f>IFERROR(__xludf.DUMMYFUNCTION("""COMPUTED_VALUE"""),"O25")</f>
        <v>O25</v>
      </c>
      <c r="B9760" s="226" t="str">
        <f>IFERROR(__xludf.DUMMYFUNCTION("""COMPUTED_VALUE"""),"63273")</f>
        <v>63273</v>
      </c>
      <c r="C9760" t="str">
        <f>IFERROR(__xludf.DUMMYFUNCTION("""COMPUTED_VALUE"""),"Autohak")</f>
        <v>Autohak</v>
      </c>
    </row>
    <row r="9761">
      <c r="A9761" t="str">
        <f>IFERROR(__xludf.DUMMYFUNCTION("""COMPUTED_VALUE"""),"O41")</f>
        <v>O41</v>
      </c>
      <c r="B9761" s="226" t="str">
        <f>IFERROR(__xludf.DUMMYFUNCTION("""COMPUTED_VALUE"""),"63280")</f>
        <v>63280</v>
      </c>
      <c r="C9761" t="str">
        <f>IFERROR(__xludf.DUMMYFUNCTION("""COMPUTED_VALUE"""),"Autohak")</f>
        <v>Autohak</v>
      </c>
    </row>
    <row r="9762">
      <c r="A9762" t="str">
        <f>IFERROR(__xludf.DUMMYFUNCTION("""COMPUTED_VALUE"""),"O41A")</f>
        <v>O41A</v>
      </c>
      <c r="B9762" s="226" t="str">
        <f>IFERROR(__xludf.DUMMYFUNCTION("""COMPUTED_VALUE"""),"66281")</f>
        <v>66281</v>
      </c>
      <c r="C9762" t="str">
        <f>IFERROR(__xludf.DUMMYFUNCTION("""COMPUTED_VALUE"""),"Autohak")</f>
        <v>Autohak</v>
      </c>
    </row>
    <row r="9763">
      <c r="A9763" t="str">
        <f>IFERROR(__xludf.DUMMYFUNCTION("""COMPUTED_VALUE"""),"O66")</f>
        <v>O66</v>
      </c>
      <c r="B9763" s="226" t="str">
        <f>IFERROR(__xludf.DUMMYFUNCTION("""COMPUTED_VALUE"""),"63341")</f>
        <v>63341</v>
      </c>
      <c r="C9763" t="str">
        <f>IFERROR(__xludf.DUMMYFUNCTION("""COMPUTED_VALUE"""),"Autohak")</f>
        <v>Autohak</v>
      </c>
    </row>
    <row r="9764">
      <c r="A9764" t="str">
        <f>IFERROR(__xludf.DUMMYFUNCTION("""COMPUTED_VALUE"""),"O66A")</f>
        <v>O66A</v>
      </c>
      <c r="B9764" s="226" t="str">
        <f>IFERROR(__xludf.DUMMYFUNCTION("""COMPUTED_VALUE"""),"66342")</f>
        <v>66342</v>
      </c>
      <c r="C9764" t="str">
        <f>IFERROR(__xludf.DUMMYFUNCTION("""COMPUTED_VALUE"""),"Autohak")</f>
        <v>Autohak</v>
      </c>
    </row>
    <row r="9765">
      <c r="A9765" t="str">
        <f>IFERROR(__xludf.DUMMYFUNCTION("""COMPUTED_VALUE"""),"O66")</f>
        <v>O66</v>
      </c>
      <c r="B9765" s="226" t="str">
        <f>IFERROR(__xludf.DUMMYFUNCTION("""COMPUTED_VALUE"""),"63341")</f>
        <v>63341</v>
      </c>
      <c r="C9765" t="str">
        <f>IFERROR(__xludf.DUMMYFUNCTION("""COMPUTED_VALUE"""),"Autohak")</f>
        <v>Autohak</v>
      </c>
    </row>
    <row r="9766">
      <c r="A9766" t="str">
        <f>IFERROR(__xludf.DUMMYFUNCTION("""COMPUTED_VALUE"""),"O66A")</f>
        <v>O66A</v>
      </c>
      <c r="B9766" s="226" t="str">
        <f>IFERROR(__xludf.DUMMYFUNCTION("""COMPUTED_VALUE"""),"66342")</f>
        <v>66342</v>
      </c>
      <c r="C9766" t="str">
        <f>IFERROR(__xludf.DUMMYFUNCTION("""COMPUTED_VALUE"""),"Autohak")</f>
        <v>Autohak</v>
      </c>
    </row>
    <row r="9767">
      <c r="A9767" t="str">
        <f>IFERROR(__xludf.DUMMYFUNCTION("""COMPUTED_VALUE"""),"O67")</f>
        <v>O67</v>
      </c>
      <c r="B9767" s="226" t="str">
        <f>IFERROR(__xludf.DUMMYFUNCTION("""COMPUTED_VALUE"""),"63358")</f>
        <v>63358</v>
      </c>
      <c r="C9767" t="str">
        <f>IFERROR(__xludf.DUMMYFUNCTION("""COMPUTED_VALUE"""),"Autohak")</f>
        <v>Autohak</v>
      </c>
    </row>
    <row r="9768">
      <c r="A9768" t="str">
        <f>IFERROR(__xludf.DUMMYFUNCTION("""COMPUTED_VALUE"""),"O67A")</f>
        <v>O67A</v>
      </c>
      <c r="B9768" s="226" t="str">
        <f>IFERROR(__xludf.DUMMYFUNCTION("""COMPUTED_VALUE"""),"66359")</f>
        <v>66359</v>
      </c>
      <c r="C9768" t="str">
        <f>IFERROR(__xludf.DUMMYFUNCTION("""COMPUTED_VALUE"""),"Autohak")</f>
        <v>Autohak</v>
      </c>
    </row>
    <row r="9769">
      <c r="A9769" t="str">
        <f>IFERROR(__xludf.DUMMYFUNCTION("""COMPUTED_VALUE"""),"O67")</f>
        <v>O67</v>
      </c>
      <c r="B9769" s="226" t="str">
        <f>IFERROR(__xludf.DUMMYFUNCTION("""COMPUTED_VALUE"""),"63358")</f>
        <v>63358</v>
      </c>
      <c r="C9769" t="str">
        <f>IFERROR(__xludf.DUMMYFUNCTION("""COMPUTED_VALUE"""),"Autohak")</f>
        <v>Autohak</v>
      </c>
    </row>
    <row r="9770">
      <c r="A9770" t="str">
        <f>IFERROR(__xludf.DUMMYFUNCTION("""COMPUTED_VALUE"""),"O67A")</f>
        <v>O67A</v>
      </c>
      <c r="B9770" s="226" t="str">
        <f>IFERROR(__xludf.DUMMYFUNCTION("""COMPUTED_VALUE"""),"66359")</f>
        <v>66359</v>
      </c>
      <c r="C9770" t="str">
        <f>IFERROR(__xludf.DUMMYFUNCTION("""COMPUTED_VALUE"""),"Autohak")</f>
        <v>Autohak</v>
      </c>
    </row>
    <row r="9771">
      <c r="A9771" t="str">
        <f>IFERROR(__xludf.DUMMYFUNCTION("""COMPUTED_VALUE"""),"O75")</f>
        <v>O75</v>
      </c>
      <c r="B9771" s="226" t="str">
        <f>IFERROR(__xludf.DUMMYFUNCTION("""COMPUTED_VALUE"""),"63440")</f>
        <v>63440</v>
      </c>
      <c r="C9771" t="str">
        <f>IFERROR(__xludf.DUMMYFUNCTION("""COMPUTED_VALUE"""),"Autohak")</f>
        <v>Autohak</v>
      </c>
    </row>
    <row r="9772">
      <c r="A9772" t="str">
        <f>IFERROR(__xludf.DUMMYFUNCTION("""COMPUTED_VALUE"""),"O75A")</f>
        <v>O75A</v>
      </c>
      <c r="B9772" s="226" t="str">
        <f>IFERROR(__xludf.DUMMYFUNCTION("""COMPUTED_VALUE"""),"66441")</f>
        <v>66441</v>
      </c>
      <c r="C9772" t="str">
        <f>IFERROR(__xludf.DUMMYFUNCTION("""COMPUTED_VALUE"""),"Autohak")</f>
        <v>Autohak</v>
      </c>
    </row>
    <row r="9773">
      <c r="A9773" t="str">
        <f>IFERROR(__xludf.DUMMYFUNCTION("""COMPUTED_VALUE"""),"O75V")</f>
        <v>O75V</v>
      </c>
      <c r="B9773" s="226" t="str">
        <f>IFERROR(__xludf.DUMMYFUNCTION("""COMPUTED_VALUE"""),"66908")</f>
        <v>66908</v>
      </c>
      <c r="C9773" t="str">
        <f>IFERROR(__xludf.DUMMYFUNCTION("""COMPUTED_VALUE"""),"Autohak")</f>
        <v>Autohak</v>
      </c>
    </row>
    <row r="9774">
      <c r="A9774" t="str">
        <f>IFERROR(__xludf.DUMMYFUNCTION("""COMPUTED_VALUE"""),"O85")</f>
        <v>O85</v>
      </c>
      <c r="B9774" s="226" t="str">
        <f>IFERROR(__xludf.DUMMYFUNCTION("""COMPUTED_VALUE"""),"63549")</f>
        <v>63549</v>
      </c>
      <c r="C9774" t="str">
        <f>IFERROR(__xludf.DUMMYFUNCTION("""COMPUTED_VALUE"""),"Autohak")</f>
        <v>Autohak</v>
      </c>
    </row>
    <row r="9775">
      <c r="A9775" t="str">
        <f>IFERROR(__xludf.DUMMYFUNCTION("""COMPUTED_VALUE"""),"O85A")</f>
        <v>O85A</v>
      </c>
      <c r="B9775" s="226" t="str">
        <f>IFERROR(__xludf.DUMMYFUNCTION("""COMPUTED_VALUE"""),"66526")</f>
        <v>66526</v>
      </c>
      <c r="C9775" t="str">
        <f>IFERROR(__xludf.DUMMYFUNCTION("""COMPUTED_VALUE"""),"Autohak")</f>
        <v>Autohak</v>
      </c>
    </row>
    <row r="9776">
      <c r="A9776" t="str">
        <f>IFERROR(__xludf.DUMMYFUNCTION("""COMPUTED_VALUE"""),"O91")</f>
        <v>O91</v>
      </c>
      <c r="B9776" s="226" t="str">
        <f>IFERROR(__xludf.DUMMYFUNCTION("""COMPUTED_VALUE"""),"63600")</f>
        <v>63600</v>
      </c>
      <c r="C9776" t="str">
        <f>IFERROR(__xludf.DUMMYFUNCTION("""COMPUTED_VALUE"""),"Autohak")</f>
        <v>Autohak</v>
      </c>
    </row>
    <row r="9777">
      <c r="A9777" t="str">
        <f>IFERROR(__xludf.DUMMYFUNCTION("""COMPUTED_VALUE"""),"O91A")</f>
        <v>O91A</v>
      </c>
      <c r="B9777" s="226" t="str">
        <f>IFERROR(__xludf.DUMMYFUNCTION("""COMPUTED_VALUE"""),"66588")</f>
        <v>66588</v>
      </c>
      <c r="C9777" t="str">
        <f>IFERROR(__xludf.DUMMYFUNCTION("""COMPUTED_VALUE"""),"Autohak")</f>
        <v>Autohak</v>
      </c>
    </row>
    <row r="9778">
      <c r="A9778" t="str">
        <f>IFERROR(__xludf.DUMMYFUNCTION("""COMPUTED_VALUE"""),"O91V")</f>
        <v>O91V</v>
      </c>
      <c r="B9778" s="226" t="str">
        <f>IFERROR(__xludf.DUMMYFUNCTION("""COMPUTED_VALUE"""),"66878")</f>
        <v>66878</v>
      </c>
      <c r="C9778" t="str">
        <f>IFERROR(__xludf.DUMMYFUNCTION("""COMPUTED_VALUE"""),"Autohak")</f>
        <v>Autohak</v>
      </c>
    </row>
    <row r="9779">
      <c r="A9779" t="str">
        <f>IFERROR(__xludf.DUMMYFUNCTION("""COMPUTED_VALUE"""),"O96")</f>
        <v>O96</v>
      </c>
      <c r="B9779" s="226" t="str">
        <f>IFERROR(__xludf.DUMMYFUNCTION("""COMPUTED_VALUE"""),"63655")</f>
        <v>63655</v>
      </c>
      <c r="C9779" t="str">
        <f>IFERROR(__xludf.DUMMYFUNCTION("""COMPUTED_VALUE"""),"Autohak")</f>
        <v>Autohak</v>
      </c>
    </row>
    <row r="9780">
      <c r="A9780" t="str">
        <f>IFERROR(__xludf.DUMMYFUNCTION("""COMPUTED_VALUE"""),"O96A")</f>
        <v>O96A</v>
      </c>
      <c r="B9780" s="226" t="str">
        <f>IFERROR(__xludf.DUMMYFUNCTION("""COMPUTED_VALUE"""),"66625")</f>
        <v>66625</v>
      </c>
      <c r="C9780" t="str">
        <f>IFERROR(__xludf.DUMMYFUNCTION("""COMPUTED_VALUE"""),"Autohak")</f>
        <v>Autohak</v>
      </c>
    </row>
    <row r="9781">
      <c r="A9781" t="str">
        <f>IFERROR(__xludf.DUMMYFUNCTION("""COMPUTED_VALUE"""),"O96V")</f>
        <v>O96V</v>
      </c>
      <c r="B9781" s="226" t="str">
        <f>IFERROR(__xludf.DUMMYFUNCTION("""COMPUTED_VALUE"""),"66847")</f>
        <v>66847</v>
      </c>
      <c r="C9781" t="str">
        <f>IFERROR(__xludf.DUMMYFUNCTION("""COMPUTED_VALUE"""),"Autohak")</f>
        <v>Autohak</v>
      </c>
    </row>
    <row r="9782">
      <c r="A9782" t="str">
        <f>IFERROR(__xludf.DUMMYFUNCTION("""COMPUTED_VALUE"""),"O77")</f>
        <v>O77</v>
      </c>
      <c r="B9782" s="226" t="str">
        <f>IFERROR(__xludf.DUMMYFUNCTION("""COMPUTED_VALUE"""),"63464")</f>
        <v>63464</v>
      </c>
      <c r="C9782" t="str">
        <f>IFERROR(__xludf.DUMMYFUNCTION("""COMPUTED_VALUE"""),"Autohak")</f>
        <v>Autohak</v>
      </c>
    </row>
    <row r="9783">
      <c r="A9783" t="str">
        <f>IFERROR(__xludf.DUMMYFUNCTION("""COMPUTED_VALUE"""),"O77A")</f>
        <v>O77A</v>
      </c>
      <c r="B9783" s="226" t="str">
        <f>IFERROR(__xludf.DUMMYFUNCTION("""COMPUTED_VALUE"""),"66465")</f>
        <v>66465</v>
      </c>
      <c r="C9783" t="str">
        <f>IFERROR(__xludf.DUMMYFUNCTION("""COMPUTED_VALUE"""),"Autohak")</f>
        <v>Autohak</v>
      </c>
    </row>
    <row r="9784">
      <c r="A9784" t="str">
        <f>IFERROR(__xludf.DUMMYFUNCTION("""COMPUTED_VALUE"""),"O77V")</f>
        <v>O77V</v>
      </c>
      <c r="B9784" s="226" t="str">
        <f>IFERROR(__xludf.DUMMYFUNCTION("""COMPUTED_VALUE"""),"66991")</f>
        <v>66991</v>
      </c>
      <c r="C9784" t="str">
        <f>IFERROR(__xludf.DUMMYFUNCTION("""COMPUTED_VALUE"""),"Autohak")</f>
        <v>Autohak</v>
      </c>
    </row>
    <row r="9785">
      <c r="A9785" t="str">
        <f>IFERROR(__xludf.DUMMYFUNCTION("""COMPUTED_VALUE"""),"O78")</f>
        <v>O78</v>
      </c>
      <c r="B9785" s="226" t="str">
        <f>IFERROR(__xludf.DUMMYFUNCTION("""COMPUTED_VALUE"""),"63471")</f>
        <v>63471</v>
      </c>
      <c r="C9785" t="str">
        <f>IFERROR(__xludf.DUMMYFUNCTION("""COMPUTED_VALUE"""),"Autohak")</f>
        <v>Autohak</v>
      </c>
    </row>
    <row r="9786">
      <c r="A9786" t="str">
        <f>IFERROR(__xludf.DUMMYFUNCTION("""COMPUTED_VALUE"""),"O78A")</f>
        <v>O78A</v>
      </c>
      <c r="B9786" s="226" t="str">
        <f>IFERROR(__xludf.DUMMYFUNCTION("""COMPUTED_VALUE"""),"66472")</f>
        <v>66472</v>
      </c>
      <c r="C9786" t="str">
        <f>IFERROR(__xludf.DUMMYFUNCTION("""COMPUTED_VALUE"""),"Autohak")</f>
        <v>Autohak</v>
      </c>
    </row>
    <row r="9787">
      <c r="A9787" t="str">
        <f>IFERROR(__xludf.DUMMYFUNCTION("""COMPUTED_VALUE"""),"O76")</f>
        <v>O76</v>
      </c>
      <c r="B9787" s="226" t="str">
        <f>IFERROR(__xludf.DUMMYFUNCTION("""COMPUTED_VALUE"""),"63457")</f>
        <v>63457</v>
      </c>
      <c r="C9787" t="str">
        <f>IFERROR(__xludf.DUMMYFUNCTION("""COMPUTED_VALUE"""),"Autohak")</f>
        <v>Autohak</v>
      </c>
    </row>
    <row r="9788">
      <c r="A9788" t="str">
        <f>IFERROR(__xludf.DUMMYFUNCTION("""COMPUTED_VALUE"""),"O76A")</f>
        <v>O76A</v>
      </c>
      <c r="B9788" s="226" t="str">
        <f>IFERROR(__xludf.DUMMYFUNCTION("""COMPUTED_VALUE"""),"66458")</f>
        <v>66458</v>
      </c>
      <c r="C9788" t="str">
        <f>IFERROR(__xludf.DUMMYFUNCTION("""COMPUTED_VALUE"""),"Autohak")</f>
        <v>Autohak</v>
      </c>
    </row>
    <row r="9789">
      <c r="A9789" t="str">
        <f>IFERROR(__xludf.DUMMYFUNCTION("""COMPUTED_VALUE"""),"O83")</f>
        <v>O83</v>
      </c>
      <c r="B9789" s="226" t="str">
        <f>IFERROR(__xludf.DUMMYFUNCTION("""COMPUTED_VALUE"""),"63525")</f>
        <v>63525</v>
      </c>
      <c r="C9789" t="str">
        <f>IFERROR(__xludf.DUMMYFUNCTION("""COMPUTED_VALUE"""),"Autohak")</f>
        <v>Autohak</v>
      </c>
    </row>
    <row r="9790">
      <c r="A9790" t="str">
        <f>IFERROR(__xludf.DUMMYFUNCTION("""COMPUTED_VALUE"""),"O83A")</f>
        <v>O83A</v>
      </c>
      <c r="B9790" s="226" t="str">
        <f>IFERROR(__xludf.DUMMYFUNCTION("""COMPUTED_VALUE"""),"66502")</f>
        <v>66502</v>
      </c>
      <c r="C9790" t="str">
        <f>IFERROR(__xludf.DUMMYFUNCTION("""COMPUTED_VALUE"""),"Autohak")</f>
        <v>Autohak</v>
      </c>
    </row>
    <row r="9791">
      <c r="A9791" t="str">
        <f>IFERROR(__xludf.DUMMYFUNCTION("""COMPUTED_VALUE"""),"O83V")</f>
        <v>O83V</v>
      </c>
      <c r="B9791" s="226" t="str">
        <f>IFERROR(__xludf.DUMMYFUNCTION("""COMPUTED_VALUE"""),"66960")</f>
        <v>66960</v>
      </c>
      <c r="C9791" t="str">
        <f>IFERROR(__xludf.DUMMYFUNCTION("""COMPUTED_VALUE"""),"Autohak")</f>
        <v>Autohak</v>
      </c>
    </row>
    <row r="9792">
      <c r="A9792" t="str">
        <f>IFERROR(__xludf.DUMMYFUNCTION("""COMPUTED_VALUE"""),"O24")</f>
        <v>O24</v>
      </c>
      <c r="B9792" s="226" t="str">
        <f>IFERROR(__xludf.DUMMYFUNCTION("""COMPUTED_VALUE"""),"63297")</f>
        <v>63297</v>
      </c>
      <c r="C9792" t="str">
        <f>IFERROR(__xludf.DUMMYFUNCTION("""COMPUTED_VALUE"""),"Autohak")</f>
        <v>Autohak</v>
      </c>
    </row>
    <row r="9793">
      <c r="A9793" t="str">
        <f>IFERROR(__xludf.DUMMYFUNCTION("""COMPUTED_VALUE"""),"O24A")</f>
        <v>O24A</v>
      </c>
      <c r="B9793" s="226" t="str">
        <f>IFERROR(__xludf.DUMMYFUNCTION("""COMPUTED_VALUE"""),"66298")</f>
        <v>66298</v>
      </c>
      <c r="C9793" t="str">
        <f>IFERROR(__xludf.DUMMYFUNCTION("""COMPUTED_VALUE"""),"Autohak")</f>
        <v>Autohak</v>
      </c>
    </row>
    <row r="9794">
      <c r="A9794" t="str">
        <f>IFERROR(__xludf.DUMMYFUNCTION("""COMPUTED_VALUE"""),"O65")</f>
        <v>O65</v>
      </c>
      <c r="B9794" s="226" t="str">
        <f>IFERROR(__xludf.DUMMYFUNCTION("""COMPUTED_VALUE"""),"63310")</f>
        <v>63310</v>
      </c>
      <c r="C9794" t="str">
        <f>IFERROR(__xludf.DUMMYFUNCTION("""COMPUTED_VALUE"""),"Autohak")</f>
        <v>Autohak</v>
      </c>
    </row>
    <row r="9795">
      <c r="A9795" t="str">
        <f>IFERROR(__xludf.DUMMYFUNCTION("""COMPUTED_VALUE"""),"O65A")</f>
        <v>O65A</v>
      </c>
      <c r="B9795" s="226" t="str">
        <f>IFERROR(__xludf.DUMMYFUNCTION("""COMPUTED_VALUE"""),"66311")</f>
        <v>66311</v>
      </c>
      <c r="C9795" t="str">
        <f>IFERROR(__xludf.DUMMYFUNCTION("""COMPUTED_VALUE"""),"Autohak")</f>
        <v>Autohak</v>
      </c>
    </row>
    <row r="9796">
      <c r="A9796" t="str">
        <f>IFERROR(__xludf.DUMMYFUNCTION("""COMPUTED_VALUE"""),"O82")</f>
        <v>O82</v>
      </c>
      <c r="B9796" s="226" t="str">
        <f>IFERROR(__xludf.DUMMYFUNCTION("""COMPUTED_VALUE"""),"63518")</f>
        <v>63518</v>
      </c>
      <c r="C9796" t="str">
        <f>IFERROR(__xludf.DUMMYFUNCTION("""COMPUTED_VALUE"""),"Autohak")</f>
        <v>Autohak</v>
      </c>
    </row>
    <row r="9797">
      <c r="A9797" t="str">
        <f>IFERROR(__xludf.DUMMYFUNCTION("""COMPUTED_VALUE"""),"O82A")</f>
        <v>O82A</v>
      </c>
      <c r="B9797" s="226" t="str">
        <f>IFERROR(__xludf.DUMMYFUNCTION("""COMPUTED_VALUE"""),"66496")</f>
        <v>66496</v>
      </c>
      <c r="C9797" t="str">
        <f>IFERROR(__xludf.DUMMYFUNCTION("""COMPUTED_VALUE"""),"Autohak")</f>
        <v>Autohak</v>
      </c>
    </row>
    <row r="9798">
      <c r="A9798" t="str">
        <f>IFERROR(__xludf.DUMMYFUNCTION("""COMPUTED_VALUE"""),"O82V")</f>
        <v>O82V</v>
      </c>
      <c r="B9798" s="226" t="str">
        <f>IFERROR(__xludf.DUMMYFUNCTION("""COMPUTED_VALUE"""),"66977")</f>
        <v>66977</v>
      </c>
      <c r="C9798" t="str">
        <f>IFERROR(__xludf.DUMMYFUNCTION("""COMPUTED_VALUE"""),"Autohak")</f>
        <v>Autohak</v>
      </c>
    </row>
    <row r="9799">
      <c r="A9799" t="str">
        <f>IFERROR(__xludf.DUMMYFUNCTION("""COMPUTED_VALUE"""),"O88")</f>
        <v>O88</v>
      </c>
      <c r="B9799" s="226" t="str">
        <f>IFERROR(__xludf.DUMMYFUNCTION("""COMPUTED_VALUE"""),"63570")</f>
        <v>63570</v>
      </c>
      <c r="C9799" t="str">
        <f>IFERROR(__xludf.DUMMYFUNCTION("""COMPUTED_VALUE"""),"Autohak")</f>
        <v>Autohak</v>
      </c>
    </row>
    <row r="9800">
      <c r="A9800" t="str">
        <f>IFERROR(__xludf.DUMMYFUNCTION("""COMPUTED_VALUE"""),"O88A")</f>
        <v>O88A</v>
      </c>
      <c r="B9800" s="226" t="str">
        <f>IFERROR(__xludf.DUMMYFUNCTION("""COMPUTED_VALUE"""),"66557")</f>
        <v>66557</v>
      </c>
      <c r="C9800" t="str">
        <f>IFERROR(__xludf.DUMMYFUNCTION("""COMPUTED_VALUE"""),"Autohak")</f>
        <v>Autohak</v>
      </c>
    </row>
    <row r="9801">
      <c r="A9801" t="str">
        <f>IFERROR(__xludf.DUMMYFUNCTION("""COMPUTED_VALUE"""),"O88V")</f>
        <v>O88V</v>
      </c>
      <c r="B9801" s="226" t="str">
        <f>IFERROR(__xludf.DUMMYFUNCTION("""COMPUTED_VALUE"""),"66939")</f>
        <v>66939</v>
      </c>
      <c r="C9801" t="str">
        <f>IFERROR(__xludf.DUMMYFUNCTION("""COMPUTED_VALUE"""),"Autohak")</f>
        <v>Autohak</v>
      </c>
    </row>
    <row r="9802">
      <c r="A9802" t="str">
        <f>IFERROR(__xludf.DUMMYFUNCTION("""COMPUTED_VALUE"""),"O16")</f>
        <v>O16</v>
      </c>
      <c r="B9802" s="226" t="str">
        <f>IFERROR(__xludf.DUMMYFUNCTION("""COMPUTED_VALUE"""),"63303")</f>
        <v>63303</v>
      </c>
      <c r="C9802" t="str">
        <f>IFERROR(__xludf.DUMMYFUNCTION("""COMPUTED_VALUE"""),"Autohak")</f>
        <v>Autohak</v>
      </c>
    </row>
    <row r="9803">
      <c r="A9803" t="str">
        <f>IFERROR(__xludf.DUMMYFUNCTION("""COMPUTED_VALUE"""),"O16A")</f>
        <v>O16A</v>
      </c>
      <c r="B9803" s="226" t="str">
        <f>IFERROR(__xludf.DUMMYFUNCTION("""COMPUTED_VALUE"""),"66304")</f>
        <v>66304</v>
      </c>
      <c r="C9803" t="str">
        <f>IFERROR(__xludf.DUMMYFUNCTION("""COMPUTED_VALUE"""),"Autohak")</f>
        <v>Autohak</v>
      </c>
    </row>
    <row r="9804">
      <c r="A9804" t="str">
        <f>IFERROR(__xludf.DUMMYFUNCTION("""COMPUTED_VALUE"""),"K55")</f>
        <v>K55</v>
      </c>
      <c r="B9804" s="226" t="str">
        <f>IFERROR(__xludf.DUMMYFUNCTION("""COMPUTED_VALUE"""),"69428")</f>
        <v>69428</v>
      </c>
      <c r="C9804" t="str">
        <f>IFERROR(__xludf.DUMMYFUNCTION("""COMPUTED_VALUE"""),"Autohak")</f>
        <v>Autohak</v>
      </c>
    </row>
    <row r="9805">
      <c r="A9805" t="str">
        <f>IFERROR(__xludf.DUMMYFUNCTION("""COMPUTED_VALUE"""),"K55")</f>
        <v>K55</v>
      </c>
      <c r="B9805" s="226" t="str">
        <f>IFERROR(__xludf.DUMMYFUNCTION("""COMPUTED_VALUE"""),"69428")</f>
        <v>69428</v>
      </c>
      <c r="C9805" t="str">
        <f>IFERROR(__xludf.DUMMYFUNCTION("""COMPUTED_VALUE"""),"Autohak")</f>
        <v>Autohak</v>
      </c>
    </row>
    <row r="9806">
      <c r="A9806" t="str">
        <f>IFERROR(__xludf.DUMMYFUNCTION("""COMPUTED_VALUE"""),"K70")</f>
        <v>K70</v>
      </c>
      <c r="B9806" s="226" t="str">
        <f>IFERROR(__xludf.DUMMYFUNCTION("""COMPUTED_VALUE"""),"69589")</f>
        <v>69589</v>
      </c>
      <c r="C9806" t="str">
        <f>IFERROR(__xludf.DUMMYFUNCTION("""COMPUTED_VALUE"""),"Autohak")</f>
        <v>Autohak</v>
      </c>
    </row>
    <row r="9807">
      <c r="A9807" t="str">
        <f>IFERROR(__xludf.DUMMYFUNCTION("""COMPUTED_VALUE"""),"K70A")</f>
        <v>K70A</v>
      </c>
      <c r="B9807" s="226" t="str">
        <f>IFERROR(__xludf.DUMMYFUNCTION("""COMPUTED_VALUE"""),"72558")</f>
        <v>72558</v>
      </c>
      <c r="C9807" t="str">
        <f>IFERROR(__xludf.DUMMYFUNCTION("""COMPUTED_VALUE"""),"Autohak")</f>
        <v>Autohak</v>
      </c>
    </row>
    <row r="9808">
      <c r="A9808" t="str">
        <f>IFERROR(__xludf.DUMMYFUNCTION("""COMPUTED_VALUE"""),"K70V")</f>
        <v>K70V</v>
      </c>
      <c r="B9808" s="226" t="str">
        <f>IFERROR(__xludf.DUMMYFUNCTION("""COMPUTED_VALUE"""),"72732")</f>
        <v>72732</v>
      </c>
      <c r="C9808" t="str">
        <f>IFERROR(__xludf.DUMMYFUNCTION("""COMPUTED_VALUE"""),"Autohak")</f>
        <v>Autohak</v>
      </c>
    </row>
    <row r="9809">
      <c r="A9809" t="str">
        <f>IFERROR(__xludf.DUMMYFUNCTION("""COMPUTED_VALUE"""),"H07")</f>
        <v>H07</v>
      </c>
      <c r="B9809" s="226" t="str">
        <f>IFERROR(__xludf.DUMMYFUNCTION("""COMPUTED_VALUE"""),"55087")</f>
        <v>55087</v>
      </c>
      <c r="C9809" t="str">
        <f>IFERROR(__xludf.DUMMYFUNCTION("""COMPUTED_VALUE"""),"Autohak")</f>
        <v>Autohak</v>
      </c>
    </row>
    <row r="9810">
      <c r="A9810" t="str">
        <f>IFERROR(__xludf.DUMMYFUNCTION("""COMPUTED_VALUE"""),"H07A")</f>
        <v>H07A</v>
      </c>
      <c r="B9810" s="226" t="str">
        <f>IFERROR(__xludf.DUMMYFUNCTION("""COMPUTED_VALUE"""),"58088")</f>
        <v>58088</v>
      </c>
      <c r="C9810" t="str">
        <f>IFERROR(__xludf.DUMMYFUNCTION("""COMPUTED_VALUE"""),"Autohak")</f>
        <v>Autohak</v>
      </c>
    </row>
    <row r="9811">
      <c r="A9811" t="str">
        <f>IFERROR(__xludf.DUMMYFUNCTION("""COMPUTED_VALUE"""),"H07V")</f>
        <v>H07V</v>
      </c>
      <c r="B9811" s="226" t="str">
        <f>IFERROR(__xludf.DUMMYFUNCTION("""COMPUTED_VALUE"""),"58996")</f>
        <v>58996</v>
      </c>
      <c r="C9811" t="str">
        <f>IFERROR(__xludf.DUMMYFUNCTION("""COMPUTED_VALUE"""),"Autohak")</f>
        <v>Autohak</v>
      </c>
    </row>
    <row r="9812">
      <c r="A9812" t="str">
        <f>IFERROR(__xludf.DUMMYFUNCTION("""COMPUTED_VALUE"""),"H07")</f>
        <v>H07</v>
      </c>
      <c r="B9812" s="226" t="str">
        <f>IFERROR(__xludf.DUMMYFUNCTION("""COMPUTED_VALUE"""),"55087")</f>
        <v>55087</v>
      </c>
      <c r="C9812" t="str">
        <f>IFERROR(__xludf.DUMMYFUNCTION("""COMPUTED_VALUE"""),"Autohak")</f>
        <v>Autohak</v>
      </c>
    </row>
    <row r="9813">
      <c r="A9813" t="str">
        <f>IFERROR(__xludf.DUMMYFUNCTION("""COMPUTED_VALUE"""),"H07A")</f>
        <v>H07A</v>
      </c>
      <c r="B9813" s="226" t="str">
        <f>IFERROR(__xludf.DUMMYFUNCTION("""COMPUTED_VALUE"""),"58088")</f>
        <v>58088</v>
      </c>
      <c r="C9813" t="str">
        <f>IFERROR(__xludf.DUMMYFUNCTION("""COMPUTED_VALUE"""),"Autohak")</f>
        <v>Autohak</v>
      </c>
    </row>
    <row r="9814">
      <c r="A9814" t="str">
        <f>IFERROR(__xludf.DUMMYFUNCTION("""COMPUTED_VALUE"""),"H07V")</f>
        <v>H07V</v>
      </c>
      <c r="B9814" s="226" t="str">
        <f>IFERROR(__xludf.DUMMYFUNCTION("""COMPUTED_VALUE"""),"58996")</f>
        <v>58996</v>
      </c>
      <c r="C9814" t="str">
        <f>IFERROR(__xludf.DUMMYFUNCTION("""COMPUTED_VALUE"""),"Autohak")</f>
        <v>Autohak</v>
      </c>
    </row>
    <row r="9815">
      <c r="A9815" t="str">
        <f>IFERROR(__xludf.DUMMYFUNCTION("""COMPUTED_VALUE"""),"H11")</f>
        <v>H11</v>
      </c>
      <c r="B9815" s="226" t="str">
        <f>IFERROR(__xludf.DUMMYFUNCTION("""COMPUTED_VALUE"""),"55070")</f>
        <v>55070</v>
      </c>
      <c r="C9815" t="str">
        <f>IFERROR(__xludf.DUMMYFUNCTION("""COMPUTED_VALUE"""),"Autohak")</f>
        <v>Autohak</v>
      </c>
    </row>
    <row r="9816">
      <c r="A9816" t="str">
        <f>IFERROR(__xludf.DUMMYFUNCTION("""COMPUTED_VALUE"""),"H11A")</f>
        <v>H11A</v>
      </c>
      <c r="B9816" s="226" t="str">
        <f>IFERROR(__xludf.DUMMYFUNCTION("""COMPUTED_VALUE"""),"58071")</f>
        <v>58071</v>
      </c>
      <c r="C9816" t="str">
        <f>IFERROR(__xludf.DUMMYFUNCTION("""COMPUTED_VALUE"""),"Autohak")</f>
        <v>Autohak</v>
      </c>
    </row>
    <row r="9817">
      <c r="A9817" t="str">
        <f>IFERROR(__xludf.DUMMYFUNCTION("""COMPUTED_VALUE"""),"K31")</f>
        <v>K31</v>
      </c>
      <c r="B9817" s="226" t="str">
        <f>IFERROR(__xludf.DUMMYFUNCTION("""COMPUTED_VALUE"""),"69008")</f>
        <v>69008</v>
      </c>
      <c r="C9817" t="str">
        <f>IFERROR(__xludf.DUMMYFUNCTION("""COMPUTED_VALUE"""),"Autohak")</f>
        <v>Autohak</v>
      </c>
    </row>
    <row r="9818">
      <c r="A9818" t="str">
        <f>IFERROR(__xludf.DUMMYFUNCTION("""COMPUTED_VALUE"""),"K31A")</f>
        <v>K31A</v>
      </c>
      <c r="B9818" s="226" t="str">
        <f>IFERROR(__xludf.DUMMYFUNCTION("""COMPUTED_VALUE"""),"72008")</f>
        <v>72008</v>
      </c>
      <c r="C9818" t="str">
        <f>IFERROR(__xludf.DUMMYFUNCTION("""COMPUTED_VALUE"""),"Autohak")</f>
        <v>Autohak</v>
      </c>
    </row>
    <row r="9819">
      <c r="A9819" t="str">
        <f>IFERROR(__xludf.DUMMYFUNCTION("""COMPUTED_VALUE"""),"K45")</f>
        <v>K45</v>
      </c>
      <c r="B9819" s="226" t="str">
        <f>IFERROR(__xludf.DUMMYFUNCTION("""COMPUTED_VALUE"""),"69015")</f>
        <v>69015</v>
      </c>
      <c r="C9819" t="str">
        <f>IFERROR(__xludf.DUMMYFUNCTION("""COMPUTED_VALUE"""),"Autohak")</f>
        <v>Autohak</v>
      </c>
    </row>
    <row r="9820">
      <c r="A9820" t="str">
        <f>IFERROR(__xludf.DUMMYFUNCTION("""COMPUTED_VALUE"""),"K45A")</f>
        <v>K45A</v>
      </c>
      <c r="B9820" s="226" t="str">
        <f>IFERROR(__xludf.DUMMYFUNCTION("""COMPUTED_VALUE"""),"72015")</f>
        <v>72015</v>
      </c>
      <c r="C9820" t="str">
        <f>IFERROR(__xludf.DUMMYFUNCTION("""COMPUTED_VALUE"""),"Autohak")</f>
        <v>Autohak</v>
      </c>
    </row>
    <row r="9821">
      <c r="A9821" t="str">
        <f>IFERROR(__xludf.DUMMYFUNCTION("""COMPUTED_VALUE"""),"K45V")</f>
        <v>K45V</v>
      </c>
      <c r="B9821" s="226" t="str">
        <f>IFERROR(__xludf.DUMMYFUNCTION("""COMPUTED_VALUE"""),"72954")</f>
        <v>72954</v>
      </c>
      <c r="C9821" t="str">
        <f>IFERROR(__xludf.DUMMYFUNCTION("""COMPUTED_VALUE"""),"Autohak")</f>
        <v>Autohak</v>
      </c>
    </row>
    <row r="9822">
      <c r="A9822" t="str">
        <f>IFERROR(__xludf.DUMMYFUNCTION("""COMPUTED_VALUE"""),"K45")</f>
        <v>K45</v>
      </c>
      <c r="B9822" s="226" t="str">
        <f>IFERROR(__xludf.DUMMYFUNCTION("""COMPUTED_VALUE"""),"69015")</f>
        <v>69015</v>
      </c>
      <c r="C9822" t="str">
        <f>IFERROR(__xludf.DUMMYFUNCTION("""COMPUTED_VALUE"""),"Autohak")</f>
        <v>Autohak</v>
      </c>
    </row>
    <row r="9823">
      <c r="A9823" t="str">
        <f>IFERROR(__xludf.DUMMYFUNCTION("""COMPUTED_VALUE"""),"K45A")</f>
        <v>K45A</v>
      </c>
      <c r="B9823" s="226" t="str">
        <f>IFERROR(__xludf.DUMMYFUNCTION("""COMPUTED_VALUE"""),"72015")</f>
        <v>72015</v>
      </c>
      <c r="C9823" t="str">
        <f>IFERROR(__xludf.DUMMYFUNCTION("""COMPUTED_VALUE"""),"Autohak")</f>
        <v>Autohak</v>
      </c>
    </row>
    <row r="9824">
      <c r="A9824" t="str">
        <f>IFERROR(__xludf.DUMMYFUNCTION("""COMPUTED_VALUE"""),"K45V")</f>
        <v>K45V</v>
      </c>
      <c r="B9824" s="226" t="str">
        <f>IFERROR(__xludf.DUMMYFUNCTION("""COMPUTED_VALUE"""),"72954")</f>
        <v>72954</v>
      </c>
      <c r="C9824" t="str">
        <f>IFERROR(__xludf.DUMMYFUNCTION("""COMPUTED_VALUE"""),"Autohak")</f>
        <v>Autohak</v>
      </c>
    </row>
    <row r="9825">
      <c r="A9825" t="str">
        <f>IFERROR(__xludf.DUMMYFUNCTION("""COMPUTED_VALUE"""),"D34")</f>
        <v>D34</v>
      </c>
      <c r="B9825" s="226" t="str">
        <f>IFERROR(__xludf.DUMMYFUNCTION("""COMPUTED_VALUE"""),"32248")</f>
        <v>32248</v>
      </c>
      <c r="C9825" t="str">
        <f>IFERROR(__xludf.DUMMYFUNCTION("""COMPUTED_VALUE"""),"Autohak")</f>
        <v>Autohak</v>
      </c>
    </row>
    <row r="9826">
      <c r="A9826" t="str">
        <f>IFERROR(__xludf.DUMMYFUNCTION("""COMPUTED_VALUE"""),"D35")</f>
        <v>D35</v>
      </c>
      <c r="B9826" s="226" t="str">
        <f>IFERROR(__xludf.DUMMYFUNCTION("""COMPUTED_VALUE"""),"32255")</f>
        <v>32255</v>
      </c>
      <c r="C9826" t="str">
        <f>IFERROR(__xludf.DUMMYFUNCTION("""COMPUTED_VALUE"""),"Autohak")</f>
        <v>Autohak</v>
      </c>
    </row>
    <row r="9827">
      <c r="A9827" t="str">
        <f>IFERROR(__xludf.DUMMYFUNCTION("""COMPUTED_VALUE"""),"K68")</f>
        <v>K68</v>
      </c>
      <c r="B9827" s="226" t="str">
        <f>IFERROR(__xludf.DUMMYFUNCTION("""COMPUTED_VALUE"""),"69558")</f>
        <v>69558</v>
      </c>
      <c r="C9827" t="str">
        <f>IFERROR(__xludf.DUMMYFUNCTION("""COMPUTED_VALUE"""),"Autohak")</f>
        <v>Autohak</v>
      </c>
    </row>
    <row r="9828">
      <c r="A9828" t="str">
        <f>IFERROR(__xludf.DUMMYFUNCTION("""COMPUTED_VALUE"""),"K68")</f>
        <v>K68</v>
      </c>
      <c r="B9828" s="226" t="str">
        <f>IFERROR(__xludf.DUMMYFUNCTION("""COMPUTED_VALUE"""),"69558")</f>
        <v>69558</v>
      </c>
      <c r="C9828" t="str">
        <f>IFERROR(__xludf.DUMMYFUNCTION("""COMPUTED_VALUE"""),"Autohak")</f>
        <v>Autohak</v>
      </c>
    </row>
    <row r="9829">
      <c r="A9829" t="str">
        <f>IFERROR(__xludf.DUMMYFUNCTION("""COMPUTED_VALUE"""),"D35")</f>
        <v>D35</v>
      </c>
      <c r="B9829" s="226" t="str">
        <f>IFERROR(__xludf.DUMMYFUNCTION("""COMPUTED_VALUE"""),"32255")</f>
        <v>32255</v>
      </c>
      <c r="C9829" t="str">
        <f>IFERROR(__xludf.DUMMYFUNCTION("""COMPUTED_VALUE"""),"Autohak")</f>
        <v>Autohak</v>
      </c>
    </row>
    <row r="9830">
      <c r="A9830" t="str">
        <f>IFERROR(__xludf.DUMMYFUNCTION("""COMPUTED_VALUE"""),"D40")</f>
        <v>D40</v>
      </c>
      <c r="B9830" s="226" t="str">
        <f>IFERROR(__xludf.DUMMYFUNCTION("""COMPUTED_VALUE"""),"32316")</f>
        <v>32316</v>
      </c>
      <c r="C9830" t="str">
        <f>IFERROR(__xludf.DUMMYFUNCTION("""COMPUTED_VALUE"""),"Autohak")</f>
        <v>Autohak</v>
      </c>
    </row>
    <row r="9831">
      <c r="A9831" t="str">
        <f>IFERROR(__xludf.DUMMYFUNCTION("""COMPUTED_VALUE"""),"K69")</f>
        <v>K69</v>
      </c>
      <c r="B9831" s="226" t="str">
        <f>IFERROR(__xludf.DUMMYFUNCTION("""COMPUTED_VALUE"""),"69565")</f>
        <v>69565</v>
      </c>
      <c r="C9831" t="str">
        <f>IFERROR(__xludf.DUMMYFUNCTION("""COMPUTED_VALUE"""),"Autohak")</f>
        <v>Autohak</v>
      </c>
    </row>
    <row r="9832">
      <c r="A9832" t="str">
        <f>IFERROR(__xludf.DUMMYFUNCTION("""COMPUTED_VALUE"""),"K69")</f>
        <v>K69</v>
      </c>
      <c r="B9832" s="226" t="str">
        <f>IFERROR(__xludf.DUMMYFUNCTION("""COMPUTED_VALUE"""),"69565")</f>
        <v>69565</v>
      </c>
      <c r="C9832" t="str">
        <f>IFERROR(__xludf.DUMMYFUNCTION("""COMPUTED_VALUE"""),"Autohak")</f>
        <v>Autohak</v>
      </c>
    </row>
    <row r="9833">
      <c r="A9833" t="str">
        <f>IFERROR(__xludf.DUMMYFUNCTION("""COMPUTED_VALUE"""),"K73")</f>
        <v>K73</v>
      </c>
      <c r="B9833" s="226" t="str">
        <f>IFERROR(__xludf.DUMMYFUNCTION("""COMPUTED_VALUE"""),"69619")</f>
        <v>69619</v>
      </c>
      <c r="C9833" t="str">
        <f>IFERROR(__xludf.DUMMYFUNCTION("""COMPUTED_VALUE"""),"Autohak")</f>
        <v>Autohak</v>
      </c>
    </row>
    <row r="9834">
      <c r="A9834" t="str">
        <f>IFERROR(__xludf.DUMMYFUNCTION("""COMPUTED_VALUE"""),"K73")</f>
        <v>K73</v>
      </c>
      <c r="B9834" s="226" t="str">
        <f>IFERROR(__xludf.DUMMYFUNCTION("""COMPUTED_VALUE"""),"69619")</f>
        <v>69619</v>
      </c>
      <c r="C9834" t="str">
        <f>IFERROR(__xludf.DUMMYFUNCTION("""COMPUTED_VALUE"""),"Autohak")</f>
        <v>Autohak</v>
      </c>
    </row>
    <row r="9835">
      <c r="A9835" t="str">
        <f>IFERROR(__xludf.DUMMYFUNCTION("""COMPUTED_VALUE"""),"K50")</f>
        <v>K50</v>
      </c>
      <c r="B9835" s="226" t="str">
        <f>IFERROR(__xludf.DUMMYFUNCTION("""COMPUTED_VALUE"""),"69374")</f>
        <v>69374</v>
      </c>
      <c r="C9835" t="str">
        <f>IFERROR(__xludf.DUMMYFUNCTION("""COMPUTED_VALUE"""),"Autohak")</f>
        <v>Autohak</v>
      </c>
    </row>
    <row r="9836">
      <c r="A9836" t="str">
        <f>IFERROR(__xludf.DUMMYFUNCTION("""COMPUTED_VALUE"""),"K50A")</f>
        <v>K50A</v>
      </c>
      <c r="B9836" s="226" t="str">
        <f>IFERROR(__xludf.DUMMYFUNCTION("""COMPUTED_VALUE"""),"72374")</f>
        <v>72374</v>
      </c>
      <c r="C9836" t="str">
        <f>IFERROR(__xludf.DUMMYFUNCTION("""COMPUTED_VALUE"""),"Autohak")</f>
        <v>Autohak</v>
      </c>
    </row>
    <row r="9837">
      <c r="A9837" t="str">
        <f>IFERROR(__xludf.DUMMYFUNCTION("""COMPUTED_VALUE"""),"K04")</f>
        <v>K04</v>
      </c>
      <c r="B9837" s="226" t="str">
        <f>IFERROR(__xludf.DUMMYFUNCTION("""COMPUTED_VALUE"""),"69039")</f>
        <v>69039</v>
      </c>
      <c r="C9837" t="str">
        <f>IFERROR(__xludf.DUMMYFUNCTION("""COMPUTED_VALUE"""),"Autohak")</f>
        <v>Autohak</v>
      </c>
    </row>
    <row r="9838">
      <c r="A9838" t="str">
        <f>IFERROR(__xludf.DUMMYFUNCTION("""COMPUTED_VALUE"""),"K32")</f>
        <v>K32</v>
      </c>
      <c r="B9838" s="226" t="str">
        <f>IFERROR(__xludf.DUMMYFUNCTION("""COMPUTED_VALUE"""),"69046")</f>
        <v>69046</v>
      </c>
      <c r="C9838" t="str">
        <f>IFERROR(__xludf.DUMMYFUNCTION("""COMPUTED_VALUE"""),"Autohak")</f>
        <v>Autohak</v>
      </c>
    </row>
    <row r="9839">
      <c r="A9839" t="str">
        <f>IFERROR(__xludf.DUMMYFUNCTION("""COMPUTED_VALUE"""),"K32A")</f>
        <v>K32A</v>
      </c>
      <c r="B9839" s="226" t="str">
        <f>IFERROR(__xludf.DUMMYFUNCTION("""COMPUTED_VALUE"""),"72046")</f>
        <v>72046</v>
      </c>
      <c r="C9839" t="str">
        <f>IFERROR(__xludf.DUMMYFUNCTION("""COMPUTED_VALUE"""),"Autohak")</f>
        <v>Autohak</v>
      </c>
    </row>
    <row r="9840">
      <c r="A9840" t="str">
        <f>IFERROR(__xludf.DUMMYFUNCTION("""COMPUTED_VALUE"""),"K05")</f>
        <v>K05</v>
      </c>
      <c r="B9840" s="226" t="str">
        <f>IFERROR(__xludf.DUMMYFUNCTION("""COMPUTED_VALUE"""),"69053")</f>
        <v>69053</v>
      </c>
      <c r="C9840" t="str">
        <f>IFERROR(__xludf.DUMMYFUNCTION("""COMPUTED_VALUE"""),"Autohak")</f>
        <v>Autohak</v>
      </c>
    </row>
    <row r="9841">
      <c r="A9841" t="str">
        <f>IFERROR(__xludf.DUMMYFUNCTION("""COMPUTED_VALUE"""),"K05A")</f>
        <v>K05A</v>
      </c>
      <c r="B9841" s="226" t="str">
        <f>IFERROR(__xludf.DUMMYFUNCTION("""COMPUTED_VALUE"""),"72053")</f>
        <v>72053</v>
      </c>
      <c r="C9841" t="str">
        <f>IFERROR(__xludf.DUMMYFUNCTION("""COMPUTED_VALUE"""),"Autohak")</f>
        <v>Autohak</v>
      </c>
    </row>
    <row r="9842">
      <c r="A9842" t="str">
        <f>IFERROR(__xludf.DUMMYFUNCTION("""COMPUTED_VALUE"""),"K16")</f>
        <v>K16</v>
      </c>
      <c r="B9842" s="226" t="str">
        <f>IFERROR(__xludf.DUMMYFUNCTION("""COMPUTED_VALUE"""),"69060")</f>
        <v>69060</v>
      </c>
      <c r="C9842" t="str">
        <f>IFERROR(__xludf.DUMMYFUNCTION("""COMPUTED_VALUE"""),"Autohak")</f>
        <v>Autohak</v>
      </c>
    </row>
    <row r="9843">
      <c r="A9843" t="str">
        <f>IFERROR(__xludf.DUMMYFUNCTION("""COMPUTED_VALUE"""),"K16A")</f>
        <v>K16A</v>
      </c>
      <c r="B9843" s="226" t="str">
        <f>IFERROR(__xludf.DUMMYFUNCTION("""COMPUTED_VALUE"""),"72060")</f>
        <v>72060</v>
      </c>
      <c r="C9843" t="str">
        <f>IFERROR(__xludf.DUMMYFUNCTION("""COMPUTED_VALUE"""),"Autohak")</f>
        <v>Autohak</v>
      </c>
    </row>
    <row r="9844">
      <c r="A9844" t="str">
        <f>IFERROR(__xludf.DUMMYFUNCTION("""COMPUTED_VALUE"""),"H07")</f>
        <v>H07</v>
      </c>
      <c r="B9844" s="226" t="str">
        <f>IFERROR(__xludf.DUMMYFUNCTION("""COMPUTED_VALUE"""),"55087")</f>
        <v>55087</v>
      </c>
      <c r="C9844" t="str">
        <f>IFERROR(__xludf.DUMMYFUNCTION("""COMPUTED_VALUE"""),"Autohak")</f>
        <v>Autohak</v>
      </c>
    </row>
    <row r="9845">
      <c r="A9845" t="str">
        <f>IFERROR(__xludf.DUMMYFUNCTION("""COMPUTED_VALUE"""),"H07A")</f>
        <v>H07A</v>
      </c>
      <c r="B9845" s="226" t="str">
        <f>IFERROR(__xludf.DUMMYFUNCTION("""COMPUTED_VALUE"""),"58088")</f>
        <v>58088</v>
      </c>
      <c r="C9845" t="str">
        <f>IFERROR(__xludf.DUMMYFUNCTION("""COMPUTED_VALUE"""),"Autohak")</f>
        <v>Autohak</v>
      </c>
    </row>
    <row r="9846">
      <c r="A9846" t="str">
        <f>IFERROR(__xludf.DUMMYFUNCTION("""COMPUTED_VALUE"""),"H07V")</f>
        <v>H07V</v>
      </c>
      <c r="B9846" s="226" t="str">
        <f>IFERROR(__xludf.DUMMYFUNCTION("""COMPUTED_VALUE"""),"58996")</f>
        <v>58996</v>
      </c>
      <c r="C9846" t="str">
        <f>IFERROR(__xludf.DUMMYFUNCTION("""COMPUTED_VALUE"""),"Autohak")</f>
        <v>Autohak</v>
      </c>
    </row>
    <row r="9847">
      <c r="A9847" t="str">
        <f>IFERROR(__xludf.DUMMYFUNCTION("""COMPUTED_VALUE"""),"H07")</f>
        <v>H07</v>
      </c>
      <c r="B9847" s="226" t="str">
        <f>IFERROR(__xludf.DUMMYFUNCTION("""COMPUTED_VALUE"""),"55087")</f>
        <v>55087</v>
      </c>
      <c r="C9847" t="str">
        <f>IFERROR(__xludf.DUMMYFUNCTION("""COMPUTED_VALUE"""),"Autohak")</f>
        <v>Autohak</v>
      </c>
    </row>
    <row r="9848">
      <c r="A9848" t="str">
        <f>IFERROR(__xludf.DUMMYFUNCTION("""COMPUTED_VALUE"""),"H07A")</f>
        <v>H07A</v>
      </c>
      <c r="B9848" s="226" t="str">
        <f>IFERROR(__xludf.DUMMYFUNCTION("""COMPUTED_VALUE"""),"58088")</f>
        <v>58088</v>
      </c>
      <c r="C9848" t="str">
        <f>IFERROR(__xludf.DUMMYFUNCTION("""COMPUTED_VALUE"""),"Autohak")</f>
        <v>Autohak</v>
      </c>
    </row>
    <row r="9849">
      <c r="A9849" t="str">
        <f>IFERROR(__xludf.DUMMYFUNCTION("""COMPUTED_VALUE"""),"H07V")</f>
        <v>H07V</v>
      </c>
      <c r="B9849" s="226" t="str">
        <f>IFERROR(__xludf.DUMMYFUNCTION("""COMPUTED_VALUE"""),"58996")</f>
        <v>58996</v>
      </c>
      <c r="C9849" t="str">
        <f>IFERROR(__xludf.DUMMYFUNCTION("""COMPUTED_VALUE"""),"Autohak")</f>
        <v>Autohak</v>
      </c>
    </row>
    <row r="9850">
      <c r="A9850" t="str">
        <f>IFERROR(__xludf.DUMMYFUNCTION("""COMPUTED_VALUE"""),"H15")</f>
        <v>H15</v>
      </c>
      <c r="B9850" s="226" t="str">
        <f>IFERROR(__xludf.DUMMYFUNCTION("""COMPUTED_VALUE"""),"55094")</f>
        <v>55094</v>
      </c>
      <c r="C9850" t="str">
        <f>IFERROR(__xludf.DUMMYFUNCTION("""COMPUTED_VALUE"""),"Autohak")</f>
        <v>Autohak</v>
      </c>
    </row>
    <row r="9851">
      <c r="A9851" t="str">
        <f>IFERROR(__xludf.DUMMYFUNCTION("""COMPUTED_VALUE"""),"H15A")</f>
        <v>H15A</v>
      </c>
      <c r="B9851" s="226" t="str">
        <f>IFERROR(__xludf.DUMMYFUNCTION("""COMPUTED_VALUE"""),"58095")</f>
        <v>58095</v>
      </c>
      <c r="C9851" t="str">
        <f>IFERROR(__xludf.DUMMYFUNCTION("""COMPUTED_VALUE"""),"Autohak")</f>
        <v>Autohak</v>
      </c>
    </row>
    <row r="9852">
      <c r="A9852" t="str">
        <f>IFERROR(__xludf.DUMMYFUNCTION("""COMPUTED_VALUE"""),"K44")</f>
        <v>K44</v>
      </c>
      <c r="B9852" s="226" t="str">
        <f>IFERROR(__xludf.DUMMYFUNCTION("""COMPUTED_VALUE"""),"69077")</f>
        <v>69077</v>
      </c>
      <c r="C9852" t="str">
        <f>IFERROR(__xludf.DUMMYFUNCTION("""COMPUTED_VALUE"""),"Autohak")</f>
        <v>Autohak</v>
      </c>
    </row>
    <row r="9853">
      <c r="A9853" t="str">
        <f>IFERROR(__xludf.DUMMYFUNCTION("""COMPUTED_VALUE"""),"K44A")</f>
        <v>K44A</v>
      </c>
      <c r="B9853" s="226" t="str">
        <f>IFERROR(__xludf.DUMMYFUNCTION("""COMPUTED_VALUE"""),"72077")</f>
        <v>72077</v>
      </c>
      <c r="C9853" t="str">
        <f>IFERROR(__xludf.DUMMYFUNCTION("""COMPUTED_VALUE"""),"Autohak")</f>
        <v>Autohak</v>
      </c>
    </row>
    <row r="9854">
      <c r="A9854" t="str">
        <f>IFERROR(__xludf.DUMMYFUNCTION("""COMPUTED_VALUE"""),"K44V")</f>
        <v>K44V</v>
      </c>
      <c r="B9854" s="226" t="str">
        <f>IFERROR(__xludf.DUMMYFUNCTION("""COMPUTED_VALUE"""),"72985")</f>
        <v>72985</v>
      </c>
      <c r="C9854" t="str">
        <f>IFERROR(__xludf.DUMMYFUNCTION("""COMPUTED_VALUE"""),"Autohak")</f>
        <v>Autohak</v>
      </c>
    </row>
    <row r="9855">
      <c r="A9855" t="str">
        <f>IFERROR(__xludf.DUMMYFUNCTION("""COMPUTED_VALUE"""),"K49")</f>
        <v>K49</v>
      </c>
      <c r="B9855" s="226" t="str">
        <f>IFERROR(__xludf.DUMMYFUNCTION("""COMPUTED_VALUE"""),"69367")</f>
        <v>69367</v>
      </c>
      <c r="C9855" t="str">
        <f>IFERROR(__xludf.DUMMYFUNCTION("""COMPUTED_VALUE"""),"Autohak")</f>
        <v>Autohak</v>
      </c>
    </row>
    <row r="9856">
      <c r="A9856" t="str">
        <f>IFERROR(__xludf.DUMMYFUNCTION("""COMPUTED_VALUE"""),"K49A")</f>
        <v>K49A</v>
      </c>
      <c r="B9856" s="226" t="str">
        <f>IFERROR(__xludf.DUMMYFUNCTION("""COMPUTED_VALUE"""),"72367")</f>
        <v>72367</v>
      </c>
      <c r="C9856" t="str">
        <f>IFERROR(__xludf.DUMMYFUNCTION("""COMPUTED_VALUE"""),"Autohak")</f>
        <v>Autohak</v>
      </c>
    </row>
    <row r="9857">
      <c r="A9857" t="str">
        <f>IFERROR(__xludf.DUMMYFUNCTION("""COMPUTED_VALUE"""),"K49V")</f>
        <v>K49V</v>
      </c>
      <c r="B9857" s="226" t="str">
        <f>IFERROR(__xludf.DUMMYFUNCTION("""COMPUTED_VALUE"""),"72879")</f>
        <v>72879</v>
      </c>
      <c r="C9857" t="str">
        <f>IFERROR(__xludf.DUMMYFUNCTION("""COMPUTED_VALUE"""),"Autohak")</f>
        <v>Autohak</v>
      </c>
    </row>
    <row r="9858">
      <c r="A9858" t="str">
        <f>IFERROR(__xludf.DUMMYFUNCTION("""COMPUTED_VALUE"""),"K44")</f>
        <v>K44</v>
      </c>
      <c r="B9858" s="226" t="str">
        <f>IFERROR(__xludf.DUMMYFUNCTION("""COMPUTED_VALUE"""),"69077")</f>
        <v>69077</v>
      </c>
      <c r="C9858" t="str">
        <f>IFERROR(__xludf.DUMMYFUNCTION("""COMPUTED_VALUE"""),"Autohak")</f>
        <v>Autohak</v>
      </c>
    </row>
    <row r="9859">
      <c r="A9859" t="str">
        <f>IFERROR(__xludf.DUMMYFUNCTION("""COMPUTED_VALUE"""),"K44A")</f>
        <v>K44A</v>
      </c>
      <c r="B9859" s="226" t="str">
        <f>IFERROR(__xludf.DUMMYFUNCTION("""COMPUTED_VALUE"""),"72077")</f>
        <v>72077</v>
      </c>
      <c r="C9859" t="str">
        <f>IFERROR(__xludf.DUMMYFUNCTION("""COMPUTED_VALUE"""),"Autohak")</f>
        <v>Autohak</v>
      </c>
    </row>
    <row r="9860">
      <c r="A9860" t="str">
        <f>IFERROR(__xludf.DUMMYFUNCTION("""COMPUTED_VALUE"""),"K44V")</f>
        <v>K44V</v>
      </c>
      <c r="B9860" s="226" t="str">
        <f>IFERROR(__xludf.DUMMYFUNCTION("""COMPUTED_VALUE"""),"72985")</f>
        <v>72985</v>
      </c>
      <c r="C9860" t="str">
        <f>IFERROR(__xludf.DUMMYFUNCTION("""COMPUTED_VALUE"""),"Autohak")</f>
        <v>Autohak</v>
      </c>
    </row>
    <row r="9861">
      <c r="A9861" t="str">
        <f>IFERROR(__xludf.DUMMYFUNCTION("""COMPUTED_VALUE"""),"K49")</f>
        <v>K49</v>
      </c>
      <c r="B9861" s="226" t="str">
        <f>IFERROR(__xludf.DUMMYFUNCTION("""COMPUTED_VALUE"""),"69367")</f>
        <v>69367</v>
      </c>
      <c r="C9861" t="str">
        <f>IFERROR(__xludf.DUMMYFUNCTION("""COMPUTED_VALUE"""),"Autohak")</f>
        <v>Autohak</v>
      </c>
    </row>
    <row r="9862">
      <c r="A9862" t="str">
        <f>IFERROR(__xludf.DUMMYFUNCTION("""COMPUTED_VALUE"""),"K49A")</f>
        <v>K49A</v>
      </c>
      <c r="B9862" s="226" t="str">
        <f>IFERROR(__xludf.DUMMYFUNCTION("""COMPUTED_VALUE"""),"72367")</f>
        <v>72367</v>
      </c>
      <c r="C9862" t="str">
        <f>IFERROR(__xludf.DUMMYFUNCTION("""COMPUTED_VALUE"""),"Autohak")</f>
        <v>Autohak</v>
      </c>
    </row>
    <row r="9863">
      <c r="A9863" t="str">
        <f>IFERROR(__xludf.DUMMYFUNCTION("""COMPUTED_VALUE"""),"K49V")</f>
        <v>K49V</v>
      </c>
      <c r="B9863" s="226" t="str">
        <f>IFERROR(__xludf.DUMMYFUNCTION("""COMPUTED_VALUE"""),"72879")</f>
        <v>72879</v>
      </c>
      <c r="C9863" t="str">
        <f>IFERROR(__xludf.DUMMYFUNCTION("""COMPUTED_VALUE"""),"Autohak")</f>
        <v>Autohak</v>
      </c>
    </row>
    <row r="9864">
      <c r="A9864" t="str">
        <f>IFERROR(__xludf.DUMMYFUNCTION("""COMPUTED_VALUE"""),"K44")</f>
        <v>K44</v>
      </c>
      <c r="B9864" s="226" t="str">
        <f>IFERROR(__xludf.DUMMYFUNCTION("""COMPUTED_VALUE"""),"69077")</f>
        <v>69077</v>
      </c>
      <c r="C9864" t="str">
        <f>IFERROR(__xludf.DUMMYFUNCTION("""COMPUTED_VALUE"""),"Autohak")</f>
        <v>Autohak</v>
      </c>
    </row>
    <row r="9865">
      <c r="A9865" t="str">
        <f>IFERROR(__xludf.DUMMYFUNCTION("""COMPUTED_VALUE"""),"K44A")</f>
        <v>K44A</v>
      </c>
      <c r="B9865" s="226" t="str">
        <f>IFERROR(__xludf.DUMMYFUNCTION("""COMPUTED_VALUE"""),"72077")</f>
        <v>72077</v>
      </c>
      <c r="C9865" t="str">
        <f>IFERROR(__xludf.DUMMYFUNCTION("""COMPUTED_VALUE"""),"Autohak")</f>
        <v>Autohak</v>
      </c>
    </row>
    <row r="9866">
      <c r="A9866" t="str">
        <f>IFERROR(__xludf.DUMMYFUNCTION("""COMPUTED_VALUE"""),"K44V")</f>
        <v>K44V</v>
      </c>
      <c r="B9866" s="226" t="str">
        <f>IFERROR(__xludf.DUMMYFUNCTION("""COMPUTED_VALUE"""),"72985")</f>
        <v>72985</v>
      </c>
      <c r="C9866" t="str">
        <f>IFERROR(__xludf.DUMMYFUNCTION("""COMPUTED_VALUE"""),"Autohak")</f>
        <v>Autohak</v>
      </c>
    </row>
    <row r="9867">
      <c r="A9867" t="str">
        <f>IFERROR(__xludf.DUMMYFUNCTION("""COMPUTED_VALUE"""),"K44")</f>
        <v>K44</v>
      </c>
      <c r="B9867" s="226" t="str">
        <f>IFERROR(__xludf.DUMMYFUNCTION("""COMPUTED_VALUE"""),"69077")</f>
        <v>69077</v>
      </c>
      <c r="C9867" t="str">
        <f>IFERROR(__xludf.DUMMYFUNCTION("""COMPUTED_VALUE"""),"Autohak")</f>
        <v>Autohak</v>
      </c>
    </row>
    <row r="9868">
      <c r="A9868" t="str">
        <f>IFERROR(__xludf.DUMMYFUNCTION("""COMPUTED_VALUE"""),"K44A")</f>
        <v>K44A</v>
      </c>
      <c r="B9868" s="226" t="str">
        <f>IFERROR(__xludf.DUMMYFUNCTION("""COMPUTED_VALUE"""),"72077")</f>
        <v>72077</v>
      </c>
      <c r="C9868" t="str">
        <f>IFERROR(__xludf.DUMMYFUNCTION("""COMPUTED_VALUE"""),"Autohak")</f>
        <v>Autohak</v>
      </c>
    </row>
    <row r="9869">
      <c r="A9869" t="str">
        <f>IFERROR(__xludf.DUMMYFUNCTION("""COMPUTED_VALUE"""),"K44V")</f>
        <v>K44V</v>
      </c>
      <c r="B9869" s="226" t="str">
        <f>IFERROR(__xludf.DUMMYFUNCTION("""COMPUTED_VALUE"""),"72985")</f>
        <v>72985</v>
      </c>
      <c r="C9869" t="str">
        <f>IFERROR(__xludf.DUMMYFUNCTION("""COMPUTED_VALUE"""),"Autohak")</f>
        <v>Autohak</v>
      </c>
    </row>
    <row r="9870">
      <c r="A9870" t="str">
        <f>IFERROR(__xludf.DUMMYFUNCTION("""COMPUTED_VALUE"""),"K58")</f>
        <v>K58</v>
      </c>
      <c r="B9870" s="226" t="str">
        <f>IFERROR(__xludf.DUMMYFUNCTION("""COMPUTED_VALUE"""),"69459")</f>
        <v>69459</v>
      </c>
      <c r="C9870" t="str">
        <f>IFERROR(__xludf.DUMMYFUNCTION("""COMPUTED_VALUE"""),"Autohak")</f>
        <v>Autohak</v>
      </c>
    </row>
    <row r="9871">
      <c r="A9871" t="str">
        <f>IFERROR(__xludf.DUMMYFUNCTION("""COMPUTED_VALUE"""),"K58A")</f>
        <v>K58A</v>
      </c>
      <c r="B9871" s="226" t="str">
        <f>IFERROR(__xludf.DUMMYFUNCTION("""COMPUTED_VALUE"""),"72442")</f>
        <v>72442</v>
      </c>
      <c r="C9871" t="str">
        <f>IFERROR(__xludf.DUMMYFUNCTION("""COMPUTED_VALUE"""),"Autohak")</f>
        <v>Autohak</v>
      </c>
    </row>
    <row r="9872">
      <c r="A9872" t="str">
        <f>IFERROR(__xludf.DUMMYFUNCTION("""COMPUTED_VALUE"""),"K58V")</f>
        <v>K58V</v>
      </c>
      <c r="B9872" s="226" t="str">
        <f>IFERROR(__xludf.DUMMYFUNCTION("""COMPUTED_VALUE"""),"72886")</f>
        <v>72886</v>
      </c>
      <c r="C9872" t="str">
        <f>IFERROR(__xludf.DUMMYFUNCTION("""COMPUTED_VALUE"""),"Autohak")</f>
        <v>Autohak</v>
      </c>
    </row>
    <row r="9873">
      <c r="A9873" t="str">
        <f>IFERROR(__xludf.DUMMYFUNCTION("""COMPUTED_VALUE"""),"K59")</f>
        <v>K59</v>
      </c>
      <c r="B9873" s="226" t="str">
        <f>IFERROR(__xludf.DUMMYFUNCTION("""COMPUTED_VALUE"""),"69466")</f>
        <v>69466</v>
      </c>
      <c r="C9873" t="str">
        <f>IFERROR(__xludf.DUMMYFUNCTION("""COMPUTED_VALUE"""),"Autohak")</f>
        <v>Autohak</v>
      </c>
    </row>
    <row r="9874">
      <c r="A9874" t="str">
        <f>IFERROR(__xludf.DUMMYFUNCTION("""COMPUTED_VALUE"""),"K59A")</f>
        <v>K59A</v>
      </c>
      <c r="B9874" s="226" t="str">
        <f>IFERROR(__xludf.DUMMYFUNCTION("""COMPUTED_VALUE"""),"72459")</f>
        <v>72459</v>
      </c>
      <c r="C9874" t="str">
        <f>IFERROR(__xludf.DUMMYFUNCTION("""COMPUTED_VALUE"""),"Autohak")</f>
        <v>Autohak</v>
      </c>
    </row>
    <row r="9875">
      <c r="A9875" t="str">
        <f>IFERROR(__xludf.DUMMYFUNCTION("""COMPUTED_VALUE"""),"K59V")</f>
        <v>K59V</v>
      </c>
      <c r="B9875" s="226" t="str">
        <f>IFERROR(__xludf.DUMMYFUNCTION("""COMPUTED_VALUE"""),"72862")</f>
        <v>72862</v>
      </c>
      <c r="C9875" t="str">
        <f>IFERROR(__xludf.DUMMYFUNCTION("""COMPUTED_VALUE"""),"Autohak")</f>
        <v>Autohak</v>
      </c>
    </row>
    <row r="9876">
      <c r="A9876" t="str">
        <f>IFERROR(__xludf.DUMMYFUNCTION("""COMPUTED_VALUE"""),"K61")</f>
        <v>K61</v>
      </c>
      <c r="B9876" s="226" t="str">
        <f>IFERROR(__xludf.DUMMYFUNCTION("""COMPUTED_VALUE"""),"69480")</f>
        <v>69480</v>
      </c>
      <c r="C9876" t="str">
        <f>IFERROR(__xludf.DUMMYFUNCTION("""COMPUTED_VALUE"""),"Autohak")</f>
        <v>Autohak</v>
      </c>
    </row>
    <row r="9877">
      <c r="A9877" t="str">
        <f>IFERROR(__xludf.DUMMYFUNCTION("""COMPUTED_VALUE"""),"K61A")</f>
        <v>K61A</v>
      </c>
      <c r="B9877" s="226" t="str">
        <f>IFERROR(__xludf.DUMMYFUNCTION("""COMPUTED_VALUE"""),"72473")</f>
        <v>72473</v>
      </c>
      <c r="C9877" t="str">
        <f>IFERROR(__xludf.DUMMYFUNCTION("""COMPUTED_VALUE"""),"Autohak")</f>
        <v>Autohak</v>
      </c>
    </row>
    <row r="9878">
      <c r="A9878" t="str">
        <f>IFERROR(__xludf.DUMMYFUNCTION("""COMPUTED_VALUE"""),"K61V")</f>
        <v>K61V</v>
      </c>
      <c r="B9878" s="226" t="str">
        <f>IFERROR(__xludf.DUMMYFUNCTION("""COMPUTED_VALUE"""),"72848")</f>
        <v>72848</v>
      </c>
      <c r="C9878" t="str">
        <f>IFERROR(__xludf.DUMMYFUNCTION("""COMPUTED_VALUE"""),"Autohak")</f>
        <v>Autohak</v>
      </c>
    </row>
    <row r="9879">
      <c r="A9879" t="str">
        <f>IFERROR(__xludf.DUMMYFUNCTION("""COMPUTED_VALUE"""),"K64")</f>
        <v>K64</v>
      </c>
      <c r="B9879" s="226" t="str">
        <f>IFERROR(__xludf.DUMMYFUNCTION("""COMPUTED_VALUE"""),"69510")</f>
        <v>69510</v>
      </c>
      <c r="C9879" t="str">
        <f>IFERROR(__xludf.DUMMYFUNCTION("""COMPUTED_VALUE"""),"Autohak")</f>
        <v>Autohak</v>
      </c>
    </row>
    <row r="9880">
      <c r="A9880" t="str">
        <f>IFERROR(__xludf.DUMMYFUNCTION("""COMPUTED_VALUE"""),"K64A")</f>
        <v>K64A</v>
      </c>
      <c r="B9880" s="226" t="str">
        <f>IFERROR(__xludf.DUMMYFUNCTION("""COMPUTED_VALUE"""),"72503")</f>
        <v>72503</v>
      </c>
      <c r="C9880" t="str">
        <f>IFERROR(__xludf.DUMMYFUNCTION("""COMPUTED_VALUE"""),"Autohak")</f>
        <v>Autohak</v>
      </c>
    </row>
    <row r="9881">
      <c r="A9881" t="str">
        <f>IFERROR(__xludf.DUMMYFUNCTION("""COMPUTED_VALUE"""),"K64V")</f>
        <v>K64V</v>
      </c>
      <c r="B9881" s="226" t="str">
        <f>IFERROR(__xludf.DUMMYFUNCTION("""COMPUTED_VALUE"""),"72800")</f>
        <v>72800</v>
      </c>
      <c r="C9881" t="str">
        <f>IFERROR(__xludf.DUMMYFUNCTION("""COMPUTED_VALUE"""),"Autohak")</f>
        <v>Autohak</v>
      </c>
    </row>
    <row r="9882">
      <c r="A9882" t="str">
        <f>IFERROR(__xludf.DUMMYFUNCTION("""COMPUTED_VALUE"""),"K04")</f>
        <v>K04</v>
      </c>
      <c r="B9882" s="226" t="str">
        <f>IFERROR(__xludf.DUMMYFUNCTION("""COMPUTED_VALUE"""),"69039")</f>
        <v>69039</v>
      </c>
      <c r="C9882" t="str">
        <f>IFERROR(__xludf.DUMMYFUNCTION("""COMPUTED_VALUE"""),"Autohak")</f>
        <v>Autohak</v>
      </c>
    </row>
    <row r="9883">
      <c r="A9883" t="str">
        <f>IFERROR(__xludf.DUMMYFUNCTION("""COMPUTED_VALUE"""),"K49")</f>
        <v>K49</v>
      </c>
      <c r="B9883" s="226" t="str">
        <f>IFERROR(__xludf.DUMMYFUNCTION("""COMPUTED_VALUE"""),"69367")</f>
        <v>69367</v>
      </c>
      <c r="C9883" t="str">
        <f>IFERROR(__xludf.DUMMYFUNCTION("""COMPUTED_VALUE"""),"Autohak")</f>
        <v>Autohak</v>
      </c>
    </row>
    <row r="9884">
      <c r="A9884" t="str">
        <f>IFERROR(__xludf.DUMMYFUNCTION("""COMPUTED_VALUE"""),"K49A")</f>
        <v>K49A</v>
      </c>
      <c r="B9884" s="226" t="str">
        <f>IFERROR(__xludf.DUMMYFUNCTION("""COMPUTED_VALUE"""),"72367")</f>
        <v>72367</v>
      </c>
      <c r="C9884" t="str">
        <f>IFERROR(__xludf.DUMMYFUNCTION("""COMPUTED_VALUE"""),"Autohak")</f>
        <v>Autohak</v>
      </c>
    </row>
    <row r="9885">
      <c r="A9885" t="str">
        <f>IFERROR(__xludf.DUMMYFUNCTION("""COMPUTED_VALUE"""),"K49V")</f>
        <v>K49V</v>
      </c>
      <c r="B9885" s="226" t="str">
        <f>IFERROR(__xludf.DUMMYFUNCTION("""COMPUTED_VALUE"""),"72879")</f>
        <v>72879</v>
      </c>
      <c r="C9885" t="str">
        <f>IFERROR(__xludf.DUMMYFUNCTION("""COMPUTED_VALUE"""),"Autohak")</f>
        <v>Autohak</v>
      </c>
    </row>
    <row r="9886">
      <c r="A9886" t="str">
        <f>IFERROR(__xludf.DUMMYFUNCTION("""COMPUTED_VALUE"""),"K56")</f>
        <v>K56</v>
      </c>
      <c r="B9886" s="226" t="str">
        <f>IFERROR(__xludf.DUMMYFUNCTION("""COMPUTED_VALUE"""),"69435")</f>
        <v>69435</v>
      </c>
      <c r="C9886" t="str">
        <f>IFERROR(__xludf.DUMMYFUNCTION("""COMPUTED_VALUE"""),"Autohak")</f>
        <v>Autohak</v>
      </c>
    </row>
    <row r="9887">
      <c r="A9887" t="str">
        <f>IFERROR(__xludf.DUMMYFUNCTION("""COMPUTED_VALUE"""),"K56A")</f>
        <v>K56A</v>
      </c>
      <c r="B9887" s="226" t="str">
        <f>IFERROR(__xludf.DUMMYFUNCTION("""COMPUTED_VALUE"""),"72428")</f>
        <v>72428</v>
      </c>
      <c r="C9887" t="str">
        <f>IFERROR(__xludf.DUMMYFUNCTION("""COMPUTED_VALUE"""),"Autohak")</f>
        <v>Autohak</v>
      </c>
    </row>
    <row r="9888">
      <c r="A9888" t="str">
        <f>IFERROR(__xludf.DUMMYFUNCTION("""COMPUTED_VALUE"""),"K56V")</f>
        <v>K56V</v>
      </c>
      <c r="B9888" s="226" t="str">
        <f>IFERROR(__xludf.DUMMYFUNCTION("""COMPUTED_VALUE"""),"72923")</f>
        <v>72923</v>
      </c>
      <c r="C9888" t="str">
        <f>IFERROR(__xludf.DUMMYFUNCTION("""COMPUTED_VALUE"""),"Autohak")</f>
        <v>Autohak</v>
      </c>
    </row>
    <row r="9889">
      <c r="A9889" t="str">
        <f>IFERROR(__xludf.DUMMYFUNCTION("""COMPUTED_VALUE"""),"K07")</f>
        <v>K07</v>
      </c>
      <c r="B9889" s="226" t="str">
        <f>IFERROR(__xludf.DUMMYFUNCTION("""COMPUTED_VALUE"""),"69107")</f>
        <v>69107</v>
      </c>
      <c r="C9889" t="str">
        <f>IFERROR(__xludf.DUMMYFUNCTION("""COMPUTED_VALUE"""),"Autohak")</f>
        <v>Autohak</v>
      </c>
    </row>
    <row r="9890">
      <c r="A9890" t="str">
        <f>IFERROR(__xludf.DUMMYFUNCTION("""COMPUTED_VALUE"""),"K07A")</f>
        <v>K07A</v>
      </c>
      <c r="B9890" s="226" t="str">
        <f>IFERROR(__xludf.DUMMYFUNCTION("""COMPUTED_VALUE"""),"72107")</f>
        <v>72107</v>
      </c>
      <c r="C9890" t="str">
        <f>IFERROR(__xludf.DUMMYFUNCTION("""COMPUTED_VALUE"""),"Autohak")</f>
        <v>Autohak</v>
      </c>
    </row>
    <row r="9891">
      <c r="A9891" t="str">
        <f>IFERROR(__xludf.DUMMYFUNCTION("""COMPUTED_VALUE"""),"K14")</f>
        <v>K14</v>
      </c>
      <c r="B9891" s="226" t="str">
        <f>IFERROR(__xludf.DUMMYFUNCTION("""COMPUTED_VALUE"""),"69114")</f>
        <v>69114</v>
      </c>
      <c r="C9891" t="str">
        <f>IFERROR(__xludf.DUMMYFUNCTION("""COMPUTED_VALUE"""),"Autohak")</f>
        <v>Autohak</v>
      </c>
    </row>
    <row r="9892">
      <c r="A9892" t="str">
        <f>IFERROR(__xludf.DUMMYFUNCTION("""COMPUTED_VALUE"""),"D12")</f>
        <v>D12</v>
      </c>
      <c r="B9892" s="226" t="str">
        <f>IFERROR(__xludf.DUMMYFUNCTION("""COMPUTED_VALUE"""),"32088")</f>
        <v>32088</v>
      </c>
      <c r="C9892" t="str">
        <f>IFERROR(__xludf.DUMMYFUNCTION("""COMPUTED_VALUE"""),"Autohak")</f>
        <v>Autohak</v>
      </c>
    </row>
    <row r="9893">
      <c r="A9893" t="str">
        <f>IFERROR(__xludf.DUMMYFUNCTION("""COMPUTED_VALUE"""),"D13")</f>
        <v>D13</v>
      </c>
      <c r="B9893" s="226" t="str">
        <f>IFERROR(__xludf.DUMMYFUNCTION("""COMPUTED_VALUE"""),"32095")</f>
        <v>32095</v>
      </c>
      <c r="C9893" t="str">
        <f>IFERROR(__xludf.DUMMYFUNCTION("""COMPUTED_VALUE"""),"Autohak")</f>
        <v>Autohak</v>
      </c>
    </row>
    <row r="9894">
      <c r="A9894" t="str">
        <f>IFERROR(__xludf.DUMMYFUNCTION("""COMPUTED_VALUE"""),"D19")</f>
        <v>D19</v>
      </c>
      <c r="B9894" s="226" t="str">
        <f>IFERROR(__xludf.DUMMYFUNCTION("""COMPUTED_VALUE"""),"32101")</f>
        <v>32101</v>
      </c>
      <c r="C9894" t="str">
        <f>IFERROR(__xludf.DUMMYFUNCTION("""COMPUTED_VALUE"""),"Autohak")</f>
        <v>Autohak</v>
      </c>
    </row>
    <row r="9895">
      <c r="A9895" t="str">
        <f>IFERROR(__xludf.DUMMYFUNCTION("""COMPUTED_VALUE"""),"D13")</f>
        <v>D13</v>
      </c>
      <c r="B9895" s="226" t="str">
        <f>IFERROR(__xludf.DUMMYFUNCTION("""COMPUTED_VALUE"""),"32095")</f>
        <v>32095</v>
      </c>
      <c r="C9895" t="str">
        <f>IFERROR(__xludf.DUMMYFUNCTION("""COMPUTED_VALUE"""),"Autohak")</f>
        <v>Autohak</v>
      </c>
    </row>
    <row r="9896">
      <c r="A9896" t="str">
        <f>IFERROR(__xludf.DUMMYFUNCTION("""COMPUTED_VALUE"""),"D15")</f>
        <v>D15</v>
      </c>
      <c r="B9896" s="226" t="str">
        <f>IFERROR(__xludf.DUMMYFUNCTION("""COMPUTED_VALUE"""),"32118")</f>
        <v>32118</v>
      </c>
      <c r="C9896" t="str">
        <f>IFERROR(__xludf.DUMMYFUNCTION("""COMPUTED_VALUE"""),"Autohak")</f>
        <v>Autohak</v>
      </c>
    </row>
    <row r="9897">
      <c r="A9897" t="str">
        <f>IFERROR(__xludf.DUMMYFUNCTION("""COMPUTED_VALUE"""),"D17")</f>
        <v>D17</v>
      </c>
      <c r="B9897" s="226" t="str">
        <f>IFERROR(__xludf.DUMMYFUNCTION("""COMPUTED_VALUE"""),"32262")</f>
        <v>32262</v>
      </c>
      <c r="C9897" t="str">
        <f>IFERROR(__xludf.DUMMYFUNCTION("""COMPUTED_VALUE"""),"Autohak")</f>
        <v>Autohak</v>
      </c>
    </row>
    <row r="9898">
      <c r="A9898" t="str">
        <f>IFERROR(__xludf.DUMMYFUNCTION("""COMPUTED_VALUE"""),"K10")</f>
        <v>K10</v>
      </c>
      <c r="B9898" s="226" t="str">
        <f>IFERROR(__xludf.DUMMYFUNCTION("""COMPUTED_VALUE"""),"69145")</f>
        <v>69145</v>
      </c>
      <c r="C9898" t="str">
        <f>IFERROR(__xludf.DUMMYFUNCTION("""COMPUTED_VALUE"""),"Autohak")</f>
        <v>Autohak</v>
      </c>
    </row>
    <row r="9899">
      <c r="A9899" t="str">
        <f>IFERROR(__xludf.DUMMYFUNCTION("""COMPUTED_VALUE"""),"K010")</f>
        <v>K010</v>
      </c>
      <c r="B9899" s="226" t="str">
        <f>IFERROR(__xludf.DUMMYFUNCTION("""COMPUTED_VALUE"""),"69152")</f>
        <v>69152</v>
      </c>
      <c r="C9899" t="str">
        <f>IFERROR(__xludf.DUMMYFUNCTION("""COMPUTED_VALUE"""),"Autohak")</f>
        <v>Autohak</v>
      </c>
    </row>
    <row r="9900">
      <c r="A9900" t="str">
        <f>IFERROR(__xludf.DUMMYFUNCTION("""COMPUTED_VALUE"""),"K010A")</f>
        <v>K010A</v>
      </c>
      <c r="B9900" s="226" t="str">
        <f>IFERROR(__xludf.DUMMYFUNCTION("""COMPUTED_VALUE"""),"72152")</f>
        <v>72152</v>
      </c>
      <c r="C9900" t="str">
        <f>IFERROR(__xludf.DUMMYFUNCTION("""COMPUTED_VALUE"""),"Autohak")</f>
        <v>Autohak</v>
      </c>
    </row>
    <row r="9901">
      <c r="A9901" t="str">
        <f>IFERROR(__xludf.DUMMYFUNCTION("""COMPUTED_VALUE"""),"K19")</f>
        <v>K19</v>
      </c>
      <c r="B9901" s="226" t="str">
        <f>IFERROR(__xludf.DUMMYFUNCTION("""COMPUTED_VALUE"""),"69169")</f>
        <v>69169</v>
      </c>
      <c r="C9901" t="str">
        <f>IFERROR(__xludf.DUMMYFUNCTION("""COMPUTED_VALUE"""),"Autohak")</f>
        <v>Autohak</v>
      </c>
    </row>
    <row r="9902">
      <c r="A9902" t="str">
        <f>IFERROR(__xludf.DUMMYFUNCTION("""COMPUTED_VALUE"""),"K19A")</f>
        <v>K19A</v>
      </c>
      <c r="B9902" s="226" t="str">
        <f>IFERROR(__xludf.DUMMYFUNCTION("""COMPUTED_VALUE"""),"72169")</f>
        <v>72169</v>
      </c>
      <c r="C9902" t="str">
        <f>IFERROR(__xludf.DUMMYFUNCTION("""COMPUTED_VALUE"""),"Autohak")</f>
        <v>Autohak</v>
      </c>
    </row>
    <row r="9903">
      <c r="A9903" t="str">
        <f>IFERROR(__xludf.DUMMYFUNCTION("""COMPUTED_VALUE"""),"K34")</f>
        <v>K34</v>
      </c>
      <c r="B9903" s="226" t="str">
        <f>IFERROR(__xludf.DUMMYFUNCTION("""COMPUTED_VALUE"""),"69183")</f>
        <v>69183</v>
      </c>
      <c r="C9903" t="str">
        <f>IFERROR(__xludf.DUMMYFUNCTION("""COMPUTED_VALUE"""),"Autohak")</f>
        <v>Autohak</v>
      </c>
    </row>
    <row r="9904">
      <c r="A9904" t="str">
        <f>IFERROR(__xludf.DUMMYFUNCTION("""COMPUTED_VALUE"""),"K34A")</f>
        <v>K34A</v>
      </c>
      <c r="B9904" s="226" t="str">
        <f>IFERROR(__xludf.DUMMYFUNCTION("""COMPUTED_VALUE"""),"72183")</f>
        <v>72183</v>
      </c>
      <c r="C9904" t="str">
        <f>IFERROR(__xludf.DUMMYFUNCTION("""COMPUTED_VALUE"""),"Autohak")</f>
        <v>Autohak</v>
      </c>
    </row>
    <row r="9905">
      <c r="A9905" t="str">
        <f>IFERROR(__xludf.DUMMYFUNCTION("""COMPUTED_VALUE"""),"K34V")</f>
        <v>K34V</v>
      </c>
      <c r="B9905" s="226" t="str">
        <f>IFERROR(__xludf.DUMMYFUNCTION("""COMPUTED_VALUE"""),"72992")</f>
        <v>72992</v>
      </c>
      <c r="C9905" t="str">
        <f>IFERROR(__xludf.DUMMYFUNCTION("""COMPUTED_VALUE"""),"Autohak")</f>
        <v>Autohak</v>
      </c>
    </row>
    <row r="9906">
      <c r="A9906" t="str">
        <f>IFERROR(__xludf.DUMMYFUNCTION("""COMPUTED_VALUE"""),"K34")</f>
        <v>K34</v>
      </c>
      <c r="B9906" s="226" t="str">
        <f>IFERROR(__xludf.DUMMYFUNCTION("""COMPUTED_VALUE"""),"69183")</f>
        <v>69183</v>
      </c>
      <c r="C9906" t="str">
        <f>IFERROR(__xludf.DUMMYFUNCTION("""COMPUTED_VALUE"""),"Autohak")</f>
        <v>Autohak</v>
      </c>
    </row>
    <row r="9907">
      <c r="A9907" t="str">
        <f>IFERROR(__xludf.DUMMYFUNCTION("""COMPUTED_VALUE"""),"K34A")</f>
        <v>K34A</v>
      </c>
      <c r="B9907" s="226" t="str">
        <f>IFERROR(__xludf.DUMMYFUNCTION("""COMPUTED_VALUE"""),"72183")</f>
        <v>72183</v>
      </c>
      <c r="C9907" t="str">
        <f>IFERROR(__xludf.DUMMYFUNCTION("""COMPUTED_VALUE"""),"Autohak")</f>
        <v>Autohak</v>
      </c>
    </row>
    <row r="9908">
      <c r="A9908" t="str">
        <f>IFERROR(__xludf.DUMMYFUNCTION("""COMPUTED_VALUE"""),"K34V")</f>
        <v>K34V</v>
      </c>
      <c r="B9908" s="226" t="str">
        <f>IFERROR(__xludf.DUMMYFUNCTION("""COMPUTED_VALUE"""),"72992")</f>
        <v>72992</v>
      </c>
      <c r="C9908" t="str">
        <f>IFERROR(__xludf.DUMMYFUNCTION("""COMPUTED_VALUE"""),"Autohak")</f>
        <v>Autohak</v>
      </c>
    </row>
    <row r="9909">
      <c r="A9909" t="str">
        <f>IFERROR(__xludf.DUMMYFUNCTION("""COMPUTED_VALUE"""),"K34")</f>
        <v>K34</v>
      </c>
      <c r="B9909" s="226" t="str">
        <f>IFERROR(__xludf.DUMMYFUNCTION("""COMPUTED_VALUE"""),"69183")</f>
        <v>69183</v>
      </c>
      <c r="C9909" t="str">
        <f>IFERROR(__xludf.DUMMYFUNCTION("""COMPUTED_VALUE"""),"Autohak")</f>
        <v>Autohak</v>
      </c>
    </row>
    <row r="9910">
      <c r="A9910" t="str">
        <f>IFERROR(__xludf.DUMMYFUNCTION("""COMPUTED_VALUE"""),"K34A")</f>
        <v>K34A</v>
      </c>
      <c r="B9910" s="226" t="str">
        <f>IFERROR(__xludf.DUMMYFUNCTION("""COMPUTED_VALUE"""),"72183")</f>
        <v>72183</v>
      </c>
      <c r="C9910" t="str">
        <f>IFERROR(__xludf.DUMMYFUNCTION("""COMPUTED_VALUE"""),"Autohak")</f>
        <v>Autohak</v>
      </c>
    </row>
    <row r="9911">
      <c r="A9911" t="str">
        <f>IFERROR(__xludf.DUMMYFUNCTION("""COMPUTED_VALUE"""),"K34V")</f>
        <v>K34V</v>
      </c>
      <c r="B9911" s="226" t="str">
        <f>IFERROR(__xludf.DUMMYFUNCTION("""COMPUTED_VALUE"""),"72992")</f>
        <v>72992</v>
      </c>
      <c r="C9911" t="str">
        <f>IFERROR(__xludf.DUMMYFUNCTION("""COMPUTED_VALUE"""),"Autohak")</f>
        <v>Autohak</v>
      </c>
    </row>
    <row r="9912">
      <c r="A9912" t="str">
        <f>IFERROR(__xludf.DUMMYFUNCTION("""COMPUTED_VALUE"""),"K34")</f>
        <v>K34</v>
      </c>
      <c r="B9912" s="226" t="str">
        <f>IFERROR(__xludf.DUMMYFUNCTION("""COMPUTED_VALUE"""),"69183")</f>
        <v>69183</v>
      </c>
      <c r="C9912" t="str">
        <f>IFERROR(__xludf.DUMMYFUNCTION("""COMPUTED_VALUE"""),"Autohak")</f>
        <v>Autohak</v>
      </c>
    </row>
    <row r="9913">
      <c r="A9913" t="str">
        <f>IFERROR(__xludf.DUMMYFUNCTION("""COMPUTED_VALUE"""),"K34A")</f>
        <v>K34A</v>
      </c>
      <c r="B9913" s="226" t="str">
        <f>IFERROR(__xludf.DUMMYFUNCTION("""COMPUTED_VALUE"""),"72183")</f>
        <v>72183</v>
      </c>
      <c r="C9913" t="str">
        <f>IFERROR(__xludf.DUMMYFUNCTION("""COMPUTED_VALUE"""),"Autohak")</f>
        <v>Autohak</v>
      </c>
    </row>
    <row r="9914">
      <c r="A9914" t="str">
        <f>IFERROR(__xludf.DUMMYFUNCTION("""COMPUTED_VALUE"""),"K34V")</f>
        <v>K34V</v>
      </c>
      <c r="B9914" s="226" t="str">
        <f>IFERROR(__xludf.DUMMYFUNCTION("""COMPUTED_VALUE"""),"72992")</f>
        <v>72992</v>
      </c>
      <c r="C9914" t="str">
        <f>IFERROR(__xludf.DUMMYFUNCTION("""COMPUTED_VALUE"""),"Autohak")</f>
        <v>Autohak</v>
      </c>
    </row>
    <row r="9915">
      <c r="A9915" t="str">
        <f>IFERROR(__xludf.DUMMYFUNCTION("""COMPUTED_VALUE"""),"K43")</f>
        <v>K43</v>
      </c>
      <c r="B9915" s="226" t="str">
        <f>IFERROR(__xludf.DUMMYFUNCTION("""COMPUTED_VALUE"""),"69190")</f>
        <v>69190</v>
      </c>
      <c r="C9915" t="str">
        <f>IFERROR(__xludf.DUMMYFUNCTION("""COMPUTED_VALUE"""),"Autohak")</f>
        <v>Autohak</v>
      </c>
    </row>
    <row r="9916">
      <c r="A9916" t="str">
        <f>IFERROR(__xludf.DUMMYFUNCTION("""COMPUTED_VALUE"""),"K43A")</f>
        <v>K43A</v>
      </c>
      <c r="B9916" s="226" t="str">
        <f>IFERROR(__xludf.DUMMYFUNCTION("""COMPUTED_VALUE"""),"72190")</f>
        <v>72190</v>
      </c>
      <c r="C9916" t="str">
        <f>IFERROR(__xludf.DUMMYFUNCTION("""COMPUTED_VALUE"""),"Autohak")</f>
        <v>Autohak</v>
      </c>
    </row>
    <row r="9917">
      <c r="A9917" t="str">
        <f>IFERROR(__xludf.DUMMYFUNCTION("""COMPUTED_VALUE"""),"K43")</f>
        <v>K43</v>
      </c>
      <c r="B9917" s="226" t="str">
        <f>IFERROR(__xludf.DUMMYFUNCTION("""COMPUTED_VALUE"""),"69190")</f>
        <v>69190</v>
      </c>
      <c r="C9917" t="str">
        <f>IFERROR(__xludf.DUMMYFUNCTION("""COMPUTED_VALUE"""),"Autohak")</f>
        <v>Autohak</v>
      </c>
    </row>
    <row r="9918">
      <c r="A9918" t="str">
        <f>IFERROR(__xludf.DUMMYFUNCTION("""COMPUTED_VALUE"""),"K43A")</f>
        <v>K43A</v>
      </c>
      <c r="B9918" s="226" t="str">
        <f>IFERROR(__xludf.DUMMYFUNCTION("""COMPUTED_VALUE"""),"72190")</f>
        <v>72190</v>
      </c>
      <c r="C9918" t="str">
        <f>IFERROR(__xludf.DUMMYFUNCTION("""COMPUTED_VALUE"""),"Autohak")</f>
        <v>Autohak</v>
      </c>
    </row>
    <row r="9919">
      <c r="A9919" t="str">
        <f>IFERROR(__xludf.DUMMYFUNCTION("""COMPUTED_VALUE"""),"K48")</f>
        <v>K48</v>
      </c>
      <c r="B9919" s="226" t="str">
        <f>IFERROR(__xludf.DUMMYFUNCTION("""COMPUTED_VALUE"""),"69206")</f>
        <v>69206</v>
      </c>
      <c r="C9919" t="str">
        <f>IFERROR(__xludf.DUMMYFUNCTION("""COMPUTED_VALUE"""),"Autohak")</f>
        <v>Autohak</v>
      </c>
    </row>
    <row r="9920">
      <c r="A9920" t="str">
        <f>IFERROR(__xludf.DUMMYFUNCTION("""COMPUTED_VALUE"""),"K48A")</f>
        <v>K48A</v>
      </c>
      <c r="B9920" s="226" t="str">
        <f>IFERROR(__xludf.DUMMYFUNCTION("""COMPUTED_VALUE"""),"72206")</f>
        <v>72206</v>
      </c>
      <c r="C9920" t="str">
        <f>IFERROR(__xludf.DUMMYFUNCTION("""COMPUTED_VALUE"""),"Autohak")</f>
        <v>Autohak</v>
      </c>
    </row>
    <row r="9921">
      <c r="A9921" t="str">
        <f>IFERROR(__xludf.DUMMYFUNCTION("""COMPUTED_VALUE"""),"K48V")</f>
        <v>K48V</v>
      </c>
      <c r="B9921" s="226" t="str">
        <f>IFERROR(__xludf.DUMMYFUNCTION("""COMPUTED_VALUE"""),"72961")</f>
        <v>72961</v>
      </c>
      <c r="C9921" t="str">
        <f>IFERROR(__xludf.DUMMYFUNCTION("""COMPUTED_VALUE"""),"Autohak")</f>
        <v>Autohak</v>
      </c>
    </row>
    <row r="9922">
      <c r="A9922" t="str">
        <f>IFERROR(__xludf.DUMMYFUNCTION("""COMPUTED_VALUE"""),"K57")</f>
        <v>K57</v>
      </c>
      <c r="B9922" s="226" t="str">
        <f>IFERROR(__xludf.DUMMYFUNCTION("""COMPUTED_VALUE"""),"69442")</f>
        <v>69442</v>
      </c>
      <c r="C9922" t="str">
        <f>IFERROR(__xludf.DUMMYFUNCTION("""COMPUTED_VALUE"""),"Autohak")</f>
        <v>Autohak</v>
      </c>
    </row>
    <row r="9923">
      <c r="A9923" t="str">
        <f>IFERROR(__xludf.DUMMYFUNCTION("""COMPUTED_VALUE"""),"K57A")</f>
        <v>K57A</v>
      </c>
      <c r="B9923" s="226" t="str">
        <f>IFERROR(__xludf.DUMMYFUNCTION("""COMPUTED_VALUE"""),"72435")</f>
        <v>72435</v>
      </c>
      <c r="C9923" t="str">
        <f>IFERROR(__xludf.DUMMYFUNCTION("""COMPUTED_VALUE"""),"Autohak")</f>
        <v>Autohak</v>
      </c>
    </row>
    <row r="9924">
      <c r="A9924" t="str">
        <f>IFERROR(__xludf.DUMMYFUNCTION("""COMPUTED_VALUE"""),"K57V")</f>
        <v>K57V</v>
      </c>
      <c r="B9924" s="226" t="str">
        <f>IFERROR(__xludf.DUMMYFUNCTION("""COMPUTED_VALUE"""),"72893")</f>
        <v>72893</v>
      </c>
      <c r="C9924" t="str">
        <f>IFERROR(__xludf.DUMMYFUNCTION("""COMPUTED_VALUE"""),"Autohak")</f>
        <v>Autohak</v>
      </c>
    </row>
    <row r="9925">
      <c r="A9925" t="str">
        <f>IFERROR(__xludf.DUMMYFUNCTION("""COMPUTED_VALUE"""),"K62")</f>
        <v>K62</v>
      </c>
      <c r="B9925" s="226" t="str">
        <f>IFERROR(__xludf.DUMMYFUNCTION("""COMPUTED_VALUE"""),"69497")</f>
        <v>69497</v>
      </c>
      <c r="C9925" t="str">
        <f>IFERROR(__xludf.DUMMYFUNCTION("""COMPUTED_VALUE"""),"Autohak")</f>
        <v>Autohak</v>
      </c>
    </row>
    <row r="9926">
      <c r="A9926" t="str">
        <f>IFERROR(__xludf.DUMMYFUNCTION("""COMPUTED_VALUE"""),"K62A")</f>
        <v>K62A</v>
      </c>
      <c r="B9926" s="226" t="str">
        <f>IFERROR(__xludf.DUMMYFUNCTION("""COMPUTED_VALUE"""),"72480")</f>
        <v>72480</v>
      </c>
      <c r="C9926" t="str">
        <f>IFERROR(__xludf.DUMMYFUNCTION("""COMPUTED_VALUE"""),"Autohak")</f>
        <v>Autohak</v>
      </c>
    </row>
    <row r="9927">
      <c r="A9927" t="str">
        <f>IFERROR(__xludf.DUMMYFUNCTION("""COMPUTED_VALUE"""),"K62V")</f>
        <v>K62V</v>
      </c>
      <c r="B9927" s="226" t="str">
        <f>IFERROR(__xludf.DUMMYFUNCTION("""COMPUTED_VALUE"""),"72831")</f>
        <v>72831</v>
      </c>
      <c r="C9927" t="str">
        <f>IFERROR(__xludf.DUMMYFUNCTION("""COMPUTED_VALUE"""),"Autohak")</f>
        <v>Autohak</v>
      </c>
    </row>
    <row r="9928">
      <c r="A9928" t="str">
        <f>IFERROR(__xludf.DUMMYFUNCTION("""COMPUTED_VALUE"""),"K53")</f>
        <v>K53</v>
      </c>
      <c r="B9928" s="226" t="str">
        <f>IFERROR(__xludf.DUMMYFUNCTION("""COMPUTED_VALUE"""),"69404")</f>
        <v>69404</v>
      </c>
      <c r="C9928" t="str">
        <f>IFERROR(__xludf.DUMMYFUNCTION("""COMPUTED_VALUE"""),"Autohak")</f>
        <v>Autohak</v>
      </c>
    </row>
    <row r="9929">
      <c r="A9929" t="str">
        <f>IFERROR(__xludf.DUMMYFUNCTION("""COMPUTED_VALUE"""),"K53A")</f>
        <v>K53A</v>
      </c>
      <c r="B9929" s="226" t="str">
        <f>IFERROR(__xludf.DUMMYFUNCTION("""COMPUTED_VALUE"""),"72404")</f>
        <v>72404</v>
      </c>
      <c r="C9929" t="str">
        <f>IFERROR(__xludf.DUMMYFUNCTION("""COMPUTED_VALUE"""),"Autohak")</f>
        <v>Autohak</v>
      </c>
    </row>
    <row r="9930">
      <c r="A9930" t="str">
        <f>IFERROR(__xludf.DUMMYFUNCTION("""COMPUTED_VALUE"""),"K53V")</f>
        <v>K53V</v>
      </c>
      <c r="B9930" s="226" t="str">
        <f>IFERROR(__xludf.DUMMYFUNCTION("""COMPUTED_VALUE"""),"72947")</f>
        <v>72947</v>
      </c>
      <c r="C9930" t="str">
        <f>IFERROR(__xludf.DUMMYFUNCTION("""COMPUTED_VALUE"""),"Autohak")</f>
        <v>Autohak</v>
      </c>
    </row>
    <row r="9931">
      <c r="A9931" t="str">
        <f>IFERROR(__xludf.DUMMYFUNCTION("""COMPUTED_VALUE"""),"K65")</f>
        <v>K65</v>
      </c>
      <c r="B9931" s="226" t="str">
        <f>IFERROR(__xludf.DUMMYFUNCTION("""COMPUTED_VALUE"""),"69527")</f>
        <v>69527</v>
      </c>
      <c r="C9931" t="str">
        <f>IFERROR(__xludf.DUMMYFUNCTION("""COMPUTED_VALUE"""),"Autohak")</f>
        <v>Autohak</v>
      </c>
    </row>
    <row r="9932">
      <c r="A9932" t="str">
        <f>IFERROR(__xludf.DUMMYFUNCTION("""COMPUTED_VALUE"""),"K65A")</f>
        <v>K65A</v>
      </c>
      <c r="B9932" s="226" t="str">
        <f>IFERROR(__xludf.DUMMYFUNCTION("""COMPUTED_VALUE"""),"72510")</f>
        <v>72510</v>
      </c>
      <c r="C9932" t="str">
        <f>IFERROR(__xludf.DUMMYFUNCTION("""COMPUTED_VALUE"""),"Autohak")</f>
        <v>Autohak</v>
      </c>
    </row>
    <row r="9933">
      <c r="A9933" t="str">
        <f>IFERROR(__xludf.DUMMYFUNCTION("""COMPUTED_VALUE"""),"K65V")</f>
        <v>K65V</v>
      </c>
      <c r="B9933" s="226" t="str">
        <f>IFERROR(__xludf.DUMMYFUNCTION("""COMPUTED_VALUE"""),"72794")</f>
        <v>72794</v>
      </c>
      <c r="C9933" t="str">
        <f>IFERROR(__xludf.DUMMYFUNCTION("""COMPUTED_VALUE"""),"Autohak")</f>
        <v>Autohak</v>
      </c>
    </row>
    <row r="9934">
      <c r="A9934" t="str">
        <f>IFERROR(__xludf.DUMMYFUNCTION("""COMPUTED_VALUE"""),"K02")</f>
        <v>K02</v>
      </c>
      <c r="B9934" s="226" t="str">
        <f>IFERROR(__xludf.DUMMYFUNCTION("""COMPUTED_VALUE"""),"69213")</f>
        <v>69213</v>
      </c>
      <c r="C9934" t="str">
        <f>IFERROR(__xludf.DUMMYFUNCTION("""COMPUTED_VALUE"""),"Autohak")</f>
        <v>Autohak</v>
      </c>
    </row>
    <row r="9935">
      <c r="A9935" t="str">
        <f>IFERROR(__xludf.DUMMYFUNCTION("""COMPUTED_VALUE"""),"K02A")</f>
        <v>K02A</v>
      </c>
      <c r="B9935" s="226" t="str">
        <f>IFERROR(__xludf.DUMMYFUNCTION("""COMPUTED_VALUE"""),"72213")</f>
        <v>72213</v>
      </c>
      <c r="C9935" t="str">
        <f>IFERROR(__xludf.DUMMYFUNCTION("""COMPUTED_VALUE"""),"Autohak")</f>
        <v>Autohak</v>
      </c>
    </row>
    <row r="9936">
      <c r="A9936" t="str">
        <f>IFERROR(__xludf.DUMMYFUNCTION("""COMPUTED_VALUE"""),"K21")</f>
        <v>K21</v>
      </c>
      <c r="B9936" s="226" t="str">
        <f>IFERROR(__xludf.DUMMYFUNCTION("""COMPUTED_VALUE"""),"69220")</f>
        <v>69220</v>
      </c>
      <c r="C9936" t="str">
        <f>IFERROR(__xludf.DUMMYFUNCTION("""COMPUTED_VALUE"""),"Autohak")</f>
        <v>Autohak</v>
      </c>
    </row>
    <row r="9937">
      <c r="A9937" t="str">
        <f>IFERROR(__xludf.DUMMYFUNCTION("""COMPUTED_VALUE"""),"K21A")</f>
        <v>K21A</v>
      </c>
      <c r="B9937" s="226" t="str">
        <f>IFERROR(__xludf.DUMMYFUNCTION("""COMPUTED_VALUE"""),"72220")</f>
        <v>72220</v>
      </c>
      <c r="C9937" t="str">
        <f>IFERROR(__xludf.DUMMYFUNCTION("""COMPUTED_VALUE"""),"Autohak")</f>
        <v>Autohak</v>
      </c>
    </row>
    <row r="9938">
      <c r="A9938" t="str">
        <f>IFERROR(__xludf.DUMMYFUNCTION("""COMPUTED_VALUE"""),"K30")</f>
        <v>K30</v>
      </c>
      <c r="B9938" s="226" t="str">
        <f>IFERROR(__xludf.DUMMYFUNCTION("""COMPUTED_VALUE"""),"69237")</f>
        <v>69237</v>
      </c>
      <c r="C9938" t="str">
        <f>IFERROR(__xludf.DUMMYFUNCTION("""COMPUTED_VALUE"""),"Autohak")</f>
        <v>Autohak</v>
      </c>
    </row>
    <row r="9939">
      <c r="A9939" t="str">
        <f>IFERROR(__xludf.DUMMYFUNCTION("""COMPUTED_VALUE"""),"K30A")</f>
        <v>K30A</v>
      </c>
      <c r="B9939" s="226" t="str">
        <f>IFERROR(__xludf.DUMMYFUNCTION("""COMPUTED_VALUE"""),"72237")</f>
        <v>72237</v>
      </c>
      <c r="C9939" t="str">
        <f>IFERROR(__xludf.DUMMYFUNCTION("""COMPUTED_VALUE"""),"Autohak")</f>
        <v>Autohak</v>
      </c>
    </row>
    <row r="9940">
      <c r="A9940" t="str">
        <f>IFERROR(__xludf.DUMMYFUNCTION("""COMPUTED_VALUE"""),"K40")</f>
        <v>K40</v>
      </c>
      <c r="B9940" s="226" t="str">
        <f>IFERROR(__xludf.DUMMYFUNCTION("""COMPUTED_VALUE"""),"69244")</f>
        <v>69244</v>
      </c>
      <c r="C9940" t="str">
        <f>IFERROR(__xludf.DUMMYFUNCTION("""COMPUTED_VALUE"""),"Autohak")</f>
        <v>Autohak</v>
      </c>
    </row>
    <row r="9941">
      <c r="A9941" t="str">
        <f>IFERROR(__xludf.DUMMYFUNCTION("""COMPUTED_VALUE"""),"K40A")</f>
        <v>K40A</v>
      </c>
      <c r="B9941" s="226" t="str">
        <f>IFERROR(__xludf.DUMMYFUNCTION("""COMPUTED_VALUE"""),"72244")</f>
        <v>72244</v>
      </c>
      <c r="C9941" t="str">
        <f>IFERROR(__xludf.DUMMYFUNCTION("""COMPUTED_VALUE"""),"Autohak")</f>
        <v>Autohak</v>
      </c>
    </row>
    <row r="9942">
      <c r="A9942" t="str">
        <f>IFERROR(__xludf.DUMMYFUNCTION("""COMPUTED_VALUE"""),"K40V")</f>
        <v>K40V</v>
      </c>
      <c r="B9942" s="226" t="str">
        <f>IFERROR(__xludf.DUMMYFUNCTION("""COMPUTED_VALUE"""),"72817")</f>
        <v>72817</v>
      </c>
      <c r="C9942" t="str">
        <f>IFERROR(__xludf.DUMMYFUNCTION("""COMPUTED_VALUE"""),"Autohak")</f>
        <v>Autohak</v>
      </c>
    </row>
    <row r="9943">
      <c r="A9943" t="str">
        <f>IFERROR(__xludf.DUMMYFUNCTION("""COMPUTED_VALUE"""),"K40")</f>
        <v>K40</v>
      </c>
      <c r="B9943" s="226" t="str">
        <f>IFERROR(__xludf.DUMMYFUNCTION("""COMPUTED_VALUE"""),"69244")</f>
        <v>69244</v>
      </c>
      <c r="C9943" t="str">
        <f>IFERROR(__xludf.DUMMYFUNCTION("""COMPUTED_VALUE"""),"Autohak")</f>
        <v>Autohak</v>
      </c>
    </row>
    <row r="9944">
      <c r="A9944" t="str">
        <f>IFERROR(__xludf.DUMMYFUNCTION("""COMPUTED_VALUE"""),"K40A")</f>
        <v>K40A</v>
      </c>
      <c r="B9944" s="226" t="str">
        <f>IFERROR(__xludf.DUMMYFUNCTION("""COMPUTED_VALUE"""),"72244")</f>
        <v>72244</v>
      </c>
      <c r="C9944" t="str">
        <f>IFERROR(__xludf.DUMMYFUNCTION("""COMPUTED_VALUE"""),"Autohak")</f>
        <v>Autohak</v>
      </c>
    </row>
    <row r="9945">
      <c r="A9945" t="str">
        <f>IFERROR(__xludf.DUMMYFUNCTION("""COMPUTED_VALUE"""),"K40V")</f>
        <v>K40V</v>
      </c>
      <c r="B9945" s="226" t="str">
        <f>IFERROR(__xludf.DUMMYFUNCTION("""COMPUTED_VALUE"""),"72817")</f>
        <v>72817</v>
      </c>
      <c r="C9945" t="str">
        <f>IFERROR(__xludf.DUMMYFUNCTION("""COMPUTED_VALUE"""),"Autohak")</f>
        <v>Autohak</v>
      </c>
    </row>
    <row r="9946">
      <c r="A9946" t="str">
        <f>IFERROR(__xludf.DUMMYFUNCTION("""COMPUTED_VALUE"""),"K52")</f>
        <v>K52</v>
      </c>
      <c r="B9946" s="226" t="str">
        <f>IFERROR(__xludf.DUMMYFUNCTION("""COMPUTED_VALUE"""),"69398")</f>
        <v>69398</v>
      </c>
      <c r="C9946" t="str">
        <f>IFERROR(__xludf.DUMMYFUNCTION("""COMPUTED_VALUE"""),"Autohak")</f>
        <v>Autohak</v>
      </c>
    </row>
    <row r="9947">
      <c r="A9947" t="str">
        <f>IFERROR(__xludf.DUMMYFUNCTION("""COMPUTED_VALUE"""),"K52A")</f>
        <v>K52A</v>
      </c>
      <c r="B9947" s="226" t="str">
        <f>IFERROR(__xludf.DUMMYFUNCTION("""COMPUTED_VALUE"""),"72398")</f>
        <v>72398</v>
      </c>
      <c r="C9947" t="str">
        <f>IFERROR(__xludf.DUMMYFUNCTION("""COMPUTED_VALUE"""),"Autohak")</f>
        <v>Autohak</v>
      </c>
    </row>
    <row r="9948">
      <c r="A9948" t="str">
        <f>IFERROR(__xludf.DUMMYFUNCTION("""COMPUTED_VALUE"""),"K52V")</f>
        <v>K52V</v>
      </c>
      <c r="B9948" s="226" t="str">
        <f>IFERROR(__xludf.DUMMYFUNCTION("""COMPUTED_VALUE"""),"72787")</f>
        <v>72787</v>
      </c>
      <c r="C9948" t="str">
        <f>IFERROR(__xludf.DUMMYFUNCTION("""COMPUTED_VALUE"""),"Autohak")</f>
        <v>Autohak</v>
      </c>
    </row>
    <row r="9949">
      <c r="A9949" t="str">
        <f>IFERROR(__xludf.DUMMYFUNCTION("""COMPUTED_VALUE"""),"K52")</f>
        <v>K52</v>
      </c>
      <c r="B9949" s="226" t="str">
        <f>IFERROR(__xludf.DUMMYFUNCTION("""COMPUTED_VALUE"""),"69398")</f>
        <v>69398</v>
      </c>
      <c r="C9949" t="str">
        <f>IFERROR(__xludf.DUMMYFUNCTION("""COMPUTED_VALUE"""),"Autohak")</f>
        <v>Autohak</v>
      </c>
    </row>
    <row r="9950">
      <c r="A9950" t="str">
        <f>IFERROR(__xludf.DUMMYFUNCTION("""COMPUTED_VALUE"""),"K52A")</f>
        <v>K52A</v>
      </c>
      <c r="B9950" s="226" t="str">
        <f>IFERROR(__xludf.DUMMYFUNCTION("""COMPUTED_VALUE"""),"72398")</f>
        <v>72398</v>
      </c>
      <c r="C9950" t="str">
        <f>IFERROR(__xludf.DUMMYFUNCTION("""COMPUTED_VALUE"""),"Autohak")</f>
        <v>Autohak</v>
      </c>
    </row>
    <row r="9951">
      <c r="A9951" t="str">
        <f>IFERROR(__xludf.DUMMYFUNCTION("""COMPUTED_VALUE"""),"K52V")</f>
        <v>K52V</v>
      </c>
      <c r="B9951" s="226" t="str">
        <f>IFERROR(__xludf.DUMMYFUNCTION("""COMPUTED_VALUE"""),"72787")</f>
        <v>72787</v>
      </c>
      <c r="C9951" t="str">
        <f>IFERROR(__xludf.DUMMYFUNCTION("""COMPUTED_VALUE"""),"Autohak")</f>
        <v>Autohak</v>
      </c>
    </row>
    <row r="9952">
      <c r="A9952" t="str">
        <f>IFERROR(__xludf.DUMMYFUNCTION("""COMPUTED_VALUE"""),"K72")</f>
        <v>K72</v>
      </c>
      <c r="B9952" s="226" t="str">
        <f>IFERROR(__xludf.DUMMYFUNCTION("""COMPUTED_VALUE"""),"69602")</f>
        <v>69602</v>
      </c>
      <c r="C9952" t="str">
        <f>IFERROR(__xludf.DUMMYFUNCTION("""COMPUTED_VALUE"""),"Autohak")</f>
        <v>Autohak</v>
      </c>
    </row>
    <row r="9953">
      <c r="A9953" t="str">
        <f>IFERROR(__xludf.DUMMYFUNCTION("""COMPUTED_VALUE"""),"K72A")</f>
        <v>K72A</v>
      </c>
      <c r="B9953" s="226" t="str">
        <f>IFERROR(__xludf.DUMMYFUNCTION("""COMPUTED_VALUE"""),"72572")</f>
        <v>72572</v>
      </c>
      <c r="C9953" t="str">
        <f>IFERROR(__xludf.DUMMYFUNCTION("""COMPUTED_VALUE"""),"Autohak")</f>
        <v>Autohak</v>
      </c>
    </row>
    <row r="9954">
      <c r="A9954" t="str">
        <f>IFERROR(__xludf.DUMMYFUNCTION("""COMPUTED_VALUE"""),"K72V")</f>
        <v>K72V</v>
      </c>
      <c r="B9954" s="226" t="str">
        <f>IFERROR(__xludf.DUMMYFUNCTION("""COMPUTED_VALUE"""),"72718")</f>
        <v>72718</v>
      </c>
      <c r="C9954" t="str">
        <f>IFERROR(__xludf.DUMMYFUNCTION("""COMPUTED_VALUE"""),"Autohak")</f>
        <v>Autohak</v>
      </c>
    </row>
    <row r="9955">
      <c r="A9955" t="str">
        <f>IFERROR(__xludf.DUMMYFUNCTION("""COMPUTED_VALUE"""),"K22")</f>
        <v>K22</v>
      </c>
      <c r="B9955" s="226" t="str">
        <f>IFERROR(__xludf.DUMMYFUNCTION("""COMPUTED_VALUE"""),"69251")</f>
        <v>69251</v>
      </c>
      <c r="C9955" t="str">
        <f>IFERROR(__xludf.DUMMYFUNCTION("""COMPUTED_VALUE"""),"Autohak")</f>
        <v>Autohak</v>
      </c>
    </row>
    <row r="9956">
      <c r="A9956" t="str">
        <f>IFERROR(__xludf.DUMMYFUNCTION("""COMPUTED_VALUE"""),"K22A")</f>
        <v>K22A</v>
      </c>
      <c r="B9956" s="226" t="str">
        <f>IFERROR(__xludf.DUMMYFUNCTION("""COMPUTED_VALUE"""),"72251")</f>
        <v>72251</v>
      </c>
      <c r="C9956" t="str">
        <f>IFERROR(__xludf.DUMMYFUNCTION("""COMPUTED_VALUE"""),"Autohak")</f>
        <v>Autohak</v>
      </c>
    </row>
    <row r="9957">
      <c r="A9957" t="str">
        <f>IFERROR(__xludf.DUMMYFUNCTION("""COMPUTED_VALUE"""),"K22")</f>
        <v>K22</v>
      </c>
      <c r="B9957" s="226" t="str">
        <f>IFERROR(__xludf.DUMMYFUNCTION("""COMPUTED_VALUE"""),"69251")</f>
        <v>69251</v>
      </c>
      <c r="C9957" t="str">
        <f>IFERROR(__xludf.DUMMYFUNCTION("""COMPUTED_VALUE"""),"Autohak")</f>
        <v>Autohak</v>
      </c>
    </row>
    <row r="9958">
      <c r="A9958" t="str">
        <f>IFERROR(__xludf.DUMMYFUNCTION("""COMPUTED_VALUE"""),"K22A")</f>
        <v>K22A</v>
      </c>
      <c r="B9958" s="226" t="str">
        <f>IFERROR(__xludf.DUMMYFUNCTION("""COMPUTED_VALUE"""),"72251")</f>
        <v>72251</v>
      </c>
      <c r="C9958" t="str">
        <f>IFERROR(__xludf.DUMMYFUNCTION("""COMPUTED_VALUE"""),"Autohak")</f>
        <v>Autohak</v>
      </c>
    </row>
    <row r="9959">
      <c r="A9959" t="str">
        <f>IFERROR(__xludf.DUMMYFUNCTION("""COMPUTED_VALUE"""),"K22")</f>
        <v>K22</v>
      </c>
      <c r="B9959" s="226" t="str">
        <f>IFERROR(__xludf.DUMMYFUNCTION("""COMPUTED_VALUE"""),"69251")</f>
        <v>69251</v>
      </c>
      <c r="C9959" t="str">
        <f>IFERROR(__xludf.DUMMYFUNCTION("""COMPUTED_VALUE"""),"Autohak")</f>
        <v>Autohak</v>
      </c>
    </row>
    <row r="9960">
      <c r="A9960" t="str">
        <f>IFERROR(__xludf.DUMMYFUNCTION("""COMPUTED_VALUE"""),"K22A")</f>
        <v>K22A</v>
      </c>
      <c r="B9960" s="226" t="str">
        <f>IFERROR(__xludf.DUMMYFUNCTION("""COMPUTED_VALUE"""),"72251")</f>
        <v>72251</v>
      </c>
      <c r="C9960" t="str">
        <f>IFERROR(__xludf.DUMMYFUNCTION("""COMPUTED_VALUE"""),"Autohak")</f>
        <v>Autohak</v>
      </c>
    </row>
    <row r="9961">
      <c r="A9961" t="str">
        <f>IFERROR(__xludf.DUMMYFUNCTION("""COMPUTED_VALUE"""),"K22")</f>
        <v>K22</v>
      </c>
      <c r="B9961" s="226" t="str">
        <f>IFERROR(__xludf.DUMMYFUNCTION("""COMPUTED_VALUE"""),"69251")</f>
        <v>69251</v>
      </c>
      <c r="C9961" t="str">
        <f>IFERROR(__xludf.DUMMYFUNCTION("""COMPUTED_VALUE"""),"Autohak")</f>
        <v>Autohak</v>
      </c>
    </row>
    <row r="9962">
      <c r="A9962" t="str">
        <f>IFERROR(__xludf.DUMMYFUNCTION("""COMPUTED_VALUE"""),"K22A")</f>
        <v>K22A</v>
      </c>
      <c r="B9962" s="226" t="str">
        <f>IFERROR(__xludf.DUMMYFUNCTION("""COMPUTED_VALUE"""),"72251")</f>
        <v>72251</v>
      </c>
      <c r="C9962" t="str">
        <f>IFERROR(__xludf.DUMMYFUNCTION("""COMPUTED_VALUE"""),"Autohak")</f>
        <v>Autohak</v>
      </c>
    </row>
    <row r="9963">
      <c r="A9963" t="str">
        <f>IFERROR(__xludf.DUMMYFUNCTION("""COMPUTED_VALUE"""),"C33")</f>
        <v>C33</v>
      </c>
      <c r="B9963" s="226" t="str">
        <f>IFERROR(__xludf.DUMMYFUNCTION("""COMPUTED_VALUE"""),"17214")</f>
        <v>17214</v>
      </c>
      <c r="C9963" t="str">
        <f>IFERROR(__xludf.DUMMYFUNCTION("""COMPUTED_VALUE"""),"Autohak")</f>
        <v>Autohak</v>
      </c>
    </row>
    <row r="9964">
      <c r="A9964" t="str">
        <f>IFERROR(__xludf.DUMMYFUNCTION("""COMPUTED_VALUE"""),"C33A")</f>
        <v>C33A</v>
      </c>
      <c r="B9964" s="226" t="str">
        <f>IFERROR(__xludf.DUMMYFUNCTION("""COMPUTED_VALUE"""),"19218")</f>
        <v>19218</v>
      </c>
      <c r="C9964" t="str">
        <f>IFERROR(__xludf.DUMMYFUNCTION("""COMPUTED_VALUE"""),"Autohak")</f>
        <v>Autohak</v>
      </c>
    </row>
    <row r="9965">
      <c r="A9965" t="str">
        <f>IFERROR(__xludf.DUMMYFUNCTION("""COMPUTED_VALUE"""),"C39")</f>
        <v>C39</v>
      </c>
      <c r="B9965" s="226" t="str">
        <f>IFERROR(__xludf.DUMMYFUNCTION("""COMPUTED_VALUE"""),"17221")</f>
        <v>17221</v>
      </c>
      <c r="C9965" t="str">
        <f>IFERROR(__xludf.DUMMYFUNCTION("""COMPUTED_VALUE"""),"Autohak")</f>
        <v>Autohak</v>
      </c>
    </row>
    <row r="9966">
      <c r="A9966" t="str">
        <f>IFERROR(__xludf.DUMMYFUNCTION("""COMPUTED_VALUE"""),"C39A")</f>
        <v>C39A</v>
      </c>
      <c r="B9966" s="226" t="str">
        <f>IFERROR(__xludf.DUMMYFUNCTION("""COMPUTED_VALUE"""),"19225")</f>
        <v>19225</v>
      </c>
      <c r="C9966" t="str">
        <f>IFERROR(__xludf.DUMMYFUNCTION("""COMPUTED_VALUE"""),"Autohak")</f>
        <v>Autohak</v>
      </c>
    </row>
    <row r="9967">
      <c r="A9967" t="str">
        <f>IFERROR(__xludf.DUMMYFUNCTION("""COMPUTED_VALUE"""),"C39V")</f>
        <v>C39V</v>
      </c>
      <c r="B9967" s="226" t="str">
        <f>IFERROR(__xludf.DUMMYFUNCTION("""COMPUTED_VALUE"""),"19997")</f>
        <v>19997</v>
      </c>
      <c r="C9967" t="str">
        <f>IFERROR(__xludf.DUMMYFUNCTION("""COMPUTED_VALUE"""),"Autohak")</f>
        <v>Autohak</v>
      </c>
    </row>
    <row r="9968">
      <c r="A9968" t="str">
        <f>IFERROR(__xludf.DUMMYFUNCTION("""COMPUTED_VALUE"""),"K54")</f>
        <v>K54</v>
      </c>
      <c r="B9968" s="226" t="str">
        <f>IFERROR(__xludf.DUMMYFUNCTION("""COMPUTED_VALUE"""),"69411")</f>
        <v>69411</v>
      </c>
      <c r="C9968" t="str">
        <f>IFERROR(__xludf.DUMMYFUNCTION("""COMPUTED_VALUE"""),"Autohak")</f>
        <v>Autohak</v>
      </c>
    </row>
    <row r="9969">
      <c r="A9969" t="str">
        <f>IFERROR(__xludf.DUMMYFUNCTION("""COMPUTED_VALUE"""),"K54A")</f>
        <v>K54A</v>
      </c>
      <c r="B9969" s="226" t="str">
        <f>IFERROR(__xludf.DUMMYFUNCTION("""COMPUTED_VALUE"""),"72411")</f>
        <v>72411</v>
      </c>
      <c r="C9969" t="str">
        <f>IFERROR(__xludf.DUMMYFUNCTION("""COMPUTED_VALUE"""),"Autohak")</f>
        <v>Autohak</v>
      </c>
    </row>
    <row r="9970">
      <c r="A9970" t="str">
        <f>IFERROR(__xludf.DUMMYFUNCTION("""COMPUTED_VALUE"""),"K54V")</f>
        <v>K54V</v>
      </c>
      <c r="B9970" s="226" t="str">
        <f>IFERROR(__xludf.DUMMYFUNCTION("""COMPUTED_VALUE"""),"72930")</f>
        <v>72930</v>
      </c>
      <c r="C9970" t="str">
        <f>IFERROR(__xludf.DUMMYFUNCTION("""COMPUTED_VALUE"""),"Autohak")</f>
        <v>Autohak</v>
      </c>
    </row>
    <row r="9971">
      <c r="A9971" t="str">
        <f>IFERROR(__xludf.DUMMYFUNCTION("""COMPUTED_VALUE"""),"K60")</f>
        <v>K60</v>
      </c>
      <c r="B9971" s="226" t="str">
        <f>IFERROR(__xludf.DUMMYFUNCTION("""COMPUTED_VALUE"""),"69473")</f>
        <v>69473</v>
      </c>
      <c r="C9971" t="str">
        <f>IFERROR(__xludf.DUMMYFUNCTION("""COMPUTED_VALUE"""),"Autohak")</f>
        <v>Autohak</v>
      </c>
    </row>
    <row r="9972">
      <c r="A9972" t="str">
        <f>IFERROR(__xludf.DUMMYFUNCTION("""COMPUTED_VALUE"""),"K60A")</f>
        <v>K60A</v>
      </c>
      <c r="B9972" s="226" t="str">
        <f>IFERROR(__xludf.DUMMYFUNCTION("""COMPUTED_VALUE"""),"72466")</f>
        <v>72466</v>
      </c>
      <c r="C9972" t="str">
        <f>IFERROR(__xludf.DUMMYFUNCTION("""COMPUTED_VALUE"""),"Autohak")</f>
        <v>Autohak</v>
      </c>
    </row>
    <row r="9973">
      <c r="A9973" t="str">
        <f>IFERROR(__xludf.DUMMYFUNCTION("""COMPUTED_VALUE"""),"K60V")</f>
        <v>K60V</v>
      </c>
      <c r="B9973" s="226" t="str">
        <f>IFERROR(__xludf.DUMMYFUNCTION("""COMPUTED_VALUE"""),"72855")</f>
        <v>72855</v>
      </c>
      <c r="C9973" t="str">
        <f>IFERROR(__xludf.DUMMYFUNCTION("""COMPUTED_VALUE"""),"Autohak")</f>
        <v>Autohak</v>
      </c>
    </row>
    <row r="9974">
      <c r="A9974" t="str">
        <f>IFERROR(__xludf.DUMMYFUNCTION("""COMPUTED_VALUE"""),"K51")</f>
        <v>K51</v>
      </c>
      <c r="B9974" s="226" t="str">
        <f>IFERROR(__xludf.DUMMYFUNCTION("""COMPUTED_VALUE"""),"69381")</f>
        <v>69381</v>
      </c>
      <c r="C9974" t="str">
        <f>IFERROR(__xludf.DUMMYFUNCTION("""COMPUTED_VALUE"""),"Autohak")</f>
        <v>Autohak</v>
      </c>
    </row>
    <row r="9975">
      <c r="A9975" t="str">
        <f>IFERROR(__xludf.DUMMYFUNCTION("""COMPUTED_VALUE"""),"K51A")</f>
        <v>K51A</v>
      </c>
      <c r="B9975" s="226" t="str">
        <f>IFERROR(__xludf.DUMMYFUNCTION("""COMPUTED_VALUE"""),"72381")</f>
        <v>72381</v>
      </c>
      <c r="C9975" t="str">
        <f>IFERROR(__xludf.DUMMYFUNCTION("""COMPUTED_VALUE"""),"Autohak")</f>
        <v>Autohak</v>
      </c>
    </row>
    <row r="9976">
      <c r="A9976" t="str">
        <f>IFERROR(__xludf.DUMMYFUNCTION("""COMPUTED_VALUE"""),"K51V")</f>
        <v>K51V</v>
      </c>
      <c r="B9976" s="226" t="str">
        <f>IFERROR(__xludf.DUMMYFUNCTION("""COMPUTED_VALUE"""),"72909")</f>
        <v>72909</v>
      </c>
      <c r="C9976" t="str">
        <f>IFERROR(__xludf.DUMMYFUNCTION("""COMPUTED_VALUE"""),"Autohak")</f>
        <v>Autohak</v>
      </c>
    </row>
    <row r="9977">
      <c r="A9977" t="str">
        <f>IFERROR(__xludf.DUMMYFUNCTION("""COMPUTED_VALUE"""),"K66")</f>
        <v>K66</v>
      </c>
      <c r="B9977" s="226" t="str">
        <f>IFERROR(__xludf.DUMMYFUNCTION("""COMPUTED_VALUE"""),"69572")</f>
        <v>69572</v>
      </c>
      <c r="C9977" t="str">
        <f>IFERROR(__xludf.DUMMYFUNCTION("""COMPUTED_VALUE"""),"Autohak")</f>
        <v>Autohak</v>
      </c>
    </row>
    <row r="9978">
      <c r="A9978" t="str">
        <f>IFERROR(__xludf.DUMMYFUNCTION("""COMPUTED_VALUE"""),"K66A")</f>
        <v>K66A</v>
      </c>
      <c r="B9978" s="226" t="str">
        <f>IFERROR(__xludf.DUMMYFUNCTION("""COMPUTED_VALUE"""),"72541")</f>
        <v>72541</v>
      </c>
      <c r="C9978" t="str">
        <f>IFERROR(__xludf.DUMMYFUNCTION("""COMPUTED_VALUE"""),"Autohak")</f>
        <v>Autohak</v>
      </c>
    </row>
    <row r="9979">
      <c r="A9979" t="str">
        <f>IFERROR(__xludf.DUMMYFUNCTION("""COMPUTED_VALUE"""),"K66V")</f>
        <v>K66V</v>
      </c>
      <c r="B9979" s="226" t="str">
        <f>IFERROR(__xludf.DUMMYFUNCTION("""COMPUTED_VALUE"""),"72749")</f>
        <v>72749</v>
      </c>
      <c r="C9979" t="str">
        <f>IFERROR(__xludf.DUMMYFUNCTION("""COMPUTED_VALUE"""),"Autohak")</f>
        <v>Autohak</v>
      </c>
    </row>
    <row r="9980">
      <c r="A9980" t="str">
        <f>IFERROR(__xludf.DUMMYFUNCTION("""COMPUTED_VALUE"""),"K46")</f>
        <v>K46</v>
      </c>
      <c r="B9980" s="226" t="str">
        <f>IFERROR(__xludf.DUMMYFUNCTION("""COMPUTED_VALUE"""),"69275")</f>
        <v>69275</v>
      </c>
      <c r="C9980" t="str">
        <f>IFERROR(__xludf.DUMMYFUNCTION("""COMPUTED_VALUE"""),"Autohak")</f>
        <v>Autohak</v>
      </c>
    </row>
    <row r="9981">
      <c r="A9981" t="str">
        <f>IFERROR(__xludf.DUMMYFUNCTION("""COMPUTED_VALUE"""),"K46A")</f>
        <v>K46A</v>
      </c>
      <c r="B9981" s="226" t="str">
        <f>IFERROR(__xludf.DUMMYFUNCTION("""COMPUTED_VALUE"""),"72275")</f>
        <v>72275</v>
      </c>
      <c r="C9981" t="str">
        <f>IFERROR(__xludf.DUMMYFUNCTION("""COMPUTED_VALUE"""),"Autohak")</f>
        <v>Autohak</v>
      </c>
    </row>
    <row r="9982">
      <c r="A9982" t="str">
        <f>IFERROR(__xludf.DUMMYFUNCTION("""COMPUTED_VALUE"""),"K46V")</f>
        <v>K46V</v>
      </c>
      <c r="B9982" s="226" t="str">
        <f>IFERROR(__xludf.DUMMYFUNCTION("""COMPUTED_VALUE"""),"72978")</f>
        <v>72978</v>
      </c>
      <c r="C9982" t="str">
        <f>IFERROR(__xludf.DUMMYFUNCTION("""COMPUTED_VALUE"""),"Autohak")</f>
        <v>Autohak</v>
      </c>
    </row>
    <row r="9983">
      <c r="A9983" t="str">
        <f>IFERROR(__xludf.DUMMYFUNCTION("""COMPUTED_VALUE"""),"K46")</f>
        <v>K46</v>
      </c>
      <c r="B9983" s="226" t="str">
        <f>IFERROR(__xludf.DUMMYFUNCTION("""COMPUTED_VALUE"""),"69275")</f>
        <v>69275</v>
      </c>
      <c r="C9983" t="str">
        <f>IFERROR(__xludf.DUMMYFUNCTION("""COMPUTED_VALUE"""),"Autohak")</f>
        <v>Autohak</v>
      </c>
    </row>
    <row r="9984">
      <c r="A9984" t="str">
        <f>IFERROR(__xludf.DUMMYFUNCTION("""COMPUTED_VALUE"""),"K46A")</f>
        <v>K46A</v>
      </c>
      <c r="B9984" s="226" t="str">
        <f>IFERROR(__xludf.DUMMYFUNCTION("""COMPUTED_VALUE"""),"72275")</f>
        <v>72275</v>
      </c>
      <c r="C9984" t="str">
        <f>IFERROR(__xludf.DUMMYFUNCTION("""COMPUTED_VALUE"""),"Autohak")</f>
        <v>Autohak</v>
      </c>
    </row>
    <row r="9985">
      <c r="A9985" t="str">
        <f>IFERROR(__xludf.DUMMYFUNCTION("""COMPUTED_VALUE"""),"K46V")</f>
        <v>K46V</v>
      </c>
      <c r="B9985" s="226" t="str">
        <f>IFERROR(__xludf.DUMMYFUNCTION("""COMPUTED_VALUE"""),"72978")</f>
        <v>72978</v>
      </c>
      <c r="C9985" t="str">
        <f>IFERROR(__xludf.DUMMYFUNCTION("""COMPUTED_VALUE"""),"Autohak")</f>
        <v>Autohak</v>
      </c>
    </row>
    <row r="9986">
      <c r="A9986" t="str">
        <f>IFERROR(__xludf.DUMMYFUNCTION("""COMPUTED_VALUE"""),"K67")</f>
        <v>K67</v>
      </c>
      <c r="B9986" s="226" t="str">
        <f>IFERROR(__xludf.DUMMYFUNCTION("""COMPUTED_VALUE"""),"69541")</f>
        <v>69541</v>
      </c>
      <c r="C9986" t="str">
        <f>IFERROR(__xludf.DUMMYFUNCTION("""COMPUTED_VALUE"""),"Autohak")</f>
        <v>Autohak</v>
      </c>
    </row>
    <row r="9987">
      <c r="A9987" t="str">
        <f>IFERROR(__xludf.DUMMYFUNCTION("""COMPUTED_VALUE"""),"K67V")</f>
        <v>K67V</v>
      </c>
      <c r="B9987" s="226" t="str">
        <f>IFERROR(__xludf.DUMMYFUNCTION("""COMPUTED_VALUE"""),"72763")</f>
        <v>72763</v>
      </c>
      <c r="C9987" t="str">
        <f>IFERROR(__xludf.DUMMYFUNCTION("""COMPUTED_VALUE"""),"Autohak")</f>
        <v>Autohak</v>
      </c>
    </row>
    <row r="9988">
      <c r="A9988" t="str">
        <f>IFERROR(__xludf.DUMMYFUNCTION("""COMPUTED_VALUE"""),"K74")</f>
        <v>K74</v>
      </c>
      <c r="B9988" s="226" t="str">
        <f>IFERROR(__xludf.DUMMYFUNCTION("""COMPUTED_VALUE"""),"69626")</f>
        <v>69626</v>
      </c>
      <c r="C9988" t="str">
        <f>IFERROR(__xludf.DUMMYFUNCTION("""COMPUTED_VALUE"""),"Autohak")</f>
        <v>Autohak</v>
      </c>
    </row>
    <row r="9989">
      <c r="A9989" t="str">
        <f>IFERROR(__xludf.DUMMYFUNCTION("""COMPUTED_VALUE"""),"K74A")</f>
        <v>K74A</v>
      </c>
      <c r="B9989" s="226" t="str">
        <f>IFERROR(__xludf.DUMMYFUNCTION("""COMPUTED_VALUE"""),"72589")</f>
        <v>72589</v>
      </c>
      <c r="C9989" t="str">
        <f>IFERROR(__xludf.DUMMYFUNCTION("""COMPUTED_VALUE"""),"Autohak")</f>
        <v>Autohak</v>
      </c>
    </row>
    <row r="9990">
      <c r="A9990" t="str">
        <f>IFERROR(__xludf.DUMMYFUNCTION("""COMPUTED_VALUE"""),"K74V")</f>
        <v>K74V</v>
      </c>
      <c r="B9990" s="226" t="str">
        <f>IFERROR(__xludf.DUMMYFUNCTION("""COMPUTED_VALUE"""),"72701")</f>
        <v>72701</v>
      </c>
      <c r="C9990" t="str">
        <f>IFERROR(__xludf.DUMMYFUNCTION("""COMPUTED_VALUE"""),"Autohak")</f>
        <v>Autohak</v>
      </c>
    </row>
    <row r="9991">
      <c r="A9991" t="str">
        <f>IFERROR(__xludf.DUMMYFUNCTION("""COMPUTED_VALUE"""),"K41")</f>
        <v>K41</v>
      </c>
      <c r="B9991" s="226" t="str">
        <f>IFERROR(__xludf.DUMMYFUNCTION("""COMPUTED_VALUE"""),"69282")</f>
        <v>69282</v>
      </c>
      <c r="C9991" t="str">
        <f>IFERROR(__xludf.DUMMYFUNCTION("""COMPUTED_VALUE"""),"Autohak")</f>
        <v>Autohak</v>
      </c>
    </row>
    <row r="9992">
      <c r="A9992" t="str">
        <f>IFERROR(__xludf.DUMMYFUNCTION("""COMPUTED_VALUE"""),"K41A")</f>
        <v>K41A</v>
      </c>
      <c r="B9992" s="226" t="str">
        <f>IFERROR(__xludf.DUMMYFUNCTION("""COMPUTED_VALUE"""),"72282")</f>
        <v>72282</v>
      </c>
      <c r="C9992" t="str">
        <f>IFERROR(__xludf.DUMMYFUNCTION("""COMPUTED_VALUE"""),"Autohak")</f>
        <v>Autohak</v>
      </c>
    </row>
    <row r="9993">
      <c r="A9993" t="str">
        <f>IFERROR(__xludf.DUMMYFUNCTION("""COMPUTED_VALUE"""),"K41V")</f>
        <v>K41V</v>
      </c>
      <c r="B9993" s="226" t="str">
        <f>IFERROR(__xludf.DUMMYFUNCTION("""COMPUTED_VALUE"""),"72916")</f>
        <v>72916</v>
      </c>
      <c r="C9993" t="str">
        <f>IFERROR(__xludf.DUMMYFUNCTION("""COMPUTED_VALUE"""),"Autohak")</f>
        <v>Autohak</v>
      </c>
    </row>
    <row r="9994">
      <c r="A9994" t="str">
        <f>IFERROR(__xludf.DUMMYFUNCTION("""COMPUTED_VALUE"""),"K63")</f>
        <v>K63</v>
      </c>
      <c r="B9994" s="226" t="str">
        <f>IFERROR(__xludf.DUMMYFUNCTION("""COMPUTED_VALUE"""),"69503")</f>
        <v>69503</v>
      </c>
      <c r="C9994" t="str">
        <f>IFERROR(__xludf.DUMMYFUNCTION("""COMPUTED_VALUE"""),"Autohak")</f>
        <v>Autohak</v>
      </c>
    </row>
    <row r="9995">
      <c r="A9995" t="str">
        <f>IFERROR(__xludf.DUMMYFUNCTION("""COMPUTED_VALUE"""),"K63A")</f>
        <v>K63A</v>
      </c>
      <c r="B9995" s="226" t="str">
        <f>IFERROR(__xludf.DUMMYFUNCTION("""COMPUTED_VALUE"""),"72497")</f>
        <v>72497</v>
      </c>
      <c r="C9995" t="str">
        <f>IFERROR(__xludf.DUMMYFUNCTION("""COMPUTED_VALUE"""),"Autohak")</f>
        <v>Autohak</v>
      </c>
    </row>
    <row r="9996">
      <c r="A9996" t="str">
        <f>IFERROR(__xludf.DUMMYFUNCTION("""COMPUTED_VALUE"""),"K63V")</f>
        <v>K63V</v>
      </c>
      <c r="B9996" s="226" t="str">
        <f>IFERROR(__xludf.DUMMYFUNCTION("""COMPUTED_VALUE"""),"72824")</f>
        <v>72824</v>
      </c>
      <c r="C9996" t="str">
        <f>IFERROR(__xludf.DUMMYFUNCTION("""COMPUTED_VALUE"""),"Autohak")</f>
        <v>Autohak</v>
      </c>
    </row>
    <row r="9997">
      <c r="A9997" t="str">
        <f>IFERROR(__xludf.DUMMYFUNCTION("""COMPUTED_VALUE"""),"K71")</f>
        <v>K71</v>
      </c>
      <c r="B9997" s="226" t="str">
        <f>IFERROR(__xludf.DUMMYFUNCTION("""COMPUTED_VALUE"""),"69596")</f>
        <v>69596</v>
      </c>
      <c r="C9997" t="str">
        <f>IFERROR(__xludf.DUMMYFUNCTION("""COMPUTED_VALUE"""),"Autohak")</f>
        <v>Autohak</v>
      </c>
    </row>
    <row r="9998">
      <c r="A9998" t="str">
        <f>IFERROR(__xludf.DUMMYFUNCTION("""COMPUTED_VALUE"""),"K71A")</f>
        <v>K71A</v>
      </c>
      <c r="B9998" s="226" t="str">
        <f>IFERROR(__xludf.DUMMYFUNCTION("""COMPUTED_VALUE"""),"72565")</f>
        <v>72565</v>
      </c>
      <c r="C9998" t="str">
        <f>IFERROR(__xludf.DUMMYFUNCTION("""COMPUTED_VALUE"""),"Autohak")</f>
        <v>Autohak</v>
      </c>
    </row>
    <row r="9999">
      <c r="A9999" t="str">
        <f>IFERROR(__xludf.DUMMYFUNCTION("""COMPUTED_VALUE"""),"K71V")</f>
        <v>K71V</v>
      </c>
      <c r="B9999" s="226" t="str">
        <f>IFERROR(__xludf.DUMMYFUNCTION("""COMPUTED_VALUE"""),"72725")</f>
        <v>72725</v>
      </c>
      <c r="C9999" t="str">
        <f>IFERROR(__xludf.DUMMYFUNCTION("""COMPUTED_VALUE"""),"Autohak")</f>
        <v>Autohak</v>
      </c>
    </row>
    <row r="10000">
      <c r="A10000" t="str">
        <f>IFERROR(__xludf.DUMMYFUNCTION("""COMPUTED_VALUE"""),"K12")</f>
        <v>K12</v>
      </c>
      <c r="B10000" s="226" t="str">
        <f>IFERROR(__xludf.DUMMYFUNCTION("""COMPUTED_VALUE"""),"69305")</f>
        <v>69305</v>
      </c>
      <c r="C10000" t="str">
        <f>IFERROR(__xludf.DUMMYFUNCTION("""COMPUTED_VALUE"""),"Autohak")</f>
        <v>Autohak</v>
      </c>
    </row>
    <row r="10001">
      <c r="A10001" t="str">
        <f>IFERROR(__xludf.DUMMYFUNCTION("""COMPUTED_VALUE"""),"K27")</f>
        <v>K27</v>
      </c>
      <c r="B10001" s="226" t="str">
        <f>IFERROR(__xludf.DUMMYFUNCTION("""COMPUTED_VALUE"""),"69312")</f>
        <v>69312</v>
      </c>
      <c r="C10001" t="str">
        <f>IFERROR(__xludf.DUMMYFUNCTION("""COMPUTED_VALUE"""),"Autohak")</f>
        <v>Autohak</v>
      </c>
    </row>
    <row r="10002">
      <c r="A10002" t="str">
        <f>IFERROR(__xludf.DUMMYFUNCTION("""COMPUTED_VALUE"""),"K28")</f>
        <v>K28</v>
      </c>
      <c r="B10002" s="226" t="str">
        <f>IFERROR(__xludf.DUMMYFUNCTION("""COMPUTED_VALUE"""),"69329")</f>
        <v>69329</v>
      </c>
      <c r="C10002" t="str">
        <f>IFERROR(__xludf.DUMMYFUNCTION("""COMPUTED_VALUE"""),"Autohak")</f>
        <v>Autohak</v>
      </c>
    </row>
    <row r="10003">
      <c r="A10003" t="str">
        <f>IFERROR(__xludf.DUMMYFUNCTION("""COMPUTED_VALUE"""),"K42")</f>
        <v>K42</v>
      </c>
      <c r="B10003" s="226" t="str">
        <f>IFERROR(__xludf.DUMMYFUNCTION("""COMPUTED_VALUE"""),"69336")</f>
        <v>69336</v>
      </c>
      <c r="C10003" t="str">
        <f>IFERROR(__xludf.DUMMYFUNCTION("""COMPUTED_VALUE"""),"Autohak")</f>
        <v>Autohak</v>
      </c>
    </row>
    <row r="10004">
      <c r="A10004" t="str">
        <f>IFERROR(__xludf.DUMMYFUNCTION("""COMPUTED_VALUE"""),"K42A")</f>
        <v>K42A</v>
      </c>
      <c r="B10004" s="226" t="str">
        <f>IFERROR(__xludf.DUMMYFUNCTION("""COMPUTED_VALUE"""),"72336")</f>
        <v>72336</v>
      </c>
      <c r="C10004" t="str">
        <f>IFERROR(__xludf.DUMMYFUNCTION("""COMPUTED_VALUE"""),"Autohak")</f>
        <v>Autohak</v>
      </c>
    </row>
    <row r="10005">
      <c r="A10005" t="str">
        <f>IFERROR(__xludf.DUMMYFUNCTION("""COMPUTED_VALUE"""),"K42V")</f>
        <v>K42V</v>
      </c>
      <c r="B10005" s="226" t="str">
        <f>IFERROR(__xludf.DUMMYFUNCTION("""COMPUTED_VALUE"""),"72756")</f>
        <v>72756</v>
      </c>
      <c r="C10005" t="str">
        <f>IFERROR(__xludf.DUMMYFUNCTION("""COMPUTED_VALUE"""),"Autohak")</f>
        <v>Autohak</v>
      </c>
    </row>
    <row r="10006">
      <c r="A10006" t="str">
        <f>IFERROR(__xludf.DUMMYFUNCTION("""COMPUTED_VALUE"""),"K42")</f>
        <v>K42</v>
      </c>
      <c r="B10006" s="226" t="str">
        <f>IFERROR(__xludf.DUMMYFUNCTION("""COMPUTED_VALUE"""),"69336")</f>
        <v>69336</v>
      </c>
      <c r="C10006" t="str">
        <f>IFERROR(__xludf.DUMMYFUNCTION("""COMPUTED_VALUE"""),"Autohak")</f>
        <v>Autohak</v>
      </c>
    </row>
    <row r="10007">
      <c r="A10007" t="str">
        <f>IFERROR(__xludf.DUMMYFUNCTION("""COMPUTED_VALUE"""),"K42A")</f>
        <v>K42A</v>
      </c>
      <c r="B10007" s="226" t="str">
        <f>IFERROR(__xludf.DUMMYFUNCTION("""COMPUTED_VALUE"""),"72336")</f>
        <v>72336</v>
      </c>
      <c r="C10007" t="str">
        <f>IFERROR(__xludf.DUMMYFUNCTION("""COMPUTED_VALUE"""),"Autohak")</f>
        <v>Autohak</v>
      </c>
    </row>
    <row r="10008">
      <c r="A10008" t="str">
        <f>IFERROR(__xludf.DUMMYFUNCTION("""COMPUTED_VALUE"""),"K42V")</f>
        <v>K42V</v>
      </c>
      <c r="B10008" s="226" t="str">
        <f>IFERROR(__xludf.DUMMYFUNCTION("""COMPUTED_VALUE"""),"72756")</f>
        <v>72756</v>
      </c>
      <c r="C10008" t="str">
        <f>IFERROR(__xludf.DUMMYFUNCTION("""COMPUTED_VALUE"""),"Autohak")</f>
        <v>Autohak</v>
      </c>
    </row>
    <row r="10009">
      <c r="A10009" t="str">
        <f>IFERROR(__xludf.DUMMYFUNCTION("""COMPUTED_VALUE"""),"K42")</f>
        <v>K42</v>
      </c>
      <c r="B10009" s="226" t="str">
        <f>IFERROR(__xludf.DUMMYFUNCTION("""COMPUTED_VALUE"""),"69336")</f>
        <v>69336</v>
      </c>
      <c r="C10009" t="str">
        <f>IFERROR(__xludf.DUMMYFUNCTION("""COMPUTED_VALUE"""),"Autohak")</f>
        <v>Autohak</v>
      </c>
    </row>
    <row r="10010">
      <c r="A10010" t="str">
        <f>IFERROR(__xludf.DUMMYFUNCTION("""COMPUTED_VALUE"""),"K42A")</f>
        <v>K42A</v>
      </c>
      <c r="B10010" s="226" t="str">
        <f>IFERROR(__xludf.DUMMYFUNCTION("""COMPUTED_VALUE"""),"72336")</f>
        <v>72336</v>
      </c>
      <c r="C10010" t="str">
        <f>IFERROR(__xludf.DUMMYFUNCTION("""COMPUTED_VALUE"""),"Autohak")</f>
        <v>Autohak</v>
      </c>
    </row>
    <row r="10011">
      <c r="A10011" t="str">
        <f>IFERROR(__xludf.DUMMYFUNCTION("""COMPUTED_VALUE"""),"K42V")</f>
        <v>K42V</v>
      </c>
      <c r="B10011" s="226" t="str">
        <f>IFERROR(__xludf.DUMMYFUNCTION("""COMPUTED_VALUE"""),"72756")</f>
        <v>72756</v>
      </c>
      <c r="C10011" t="str">
        <f>IFERROR(__xludf.DUMMYFUNCTION("""COMPUTED_VALUE"""),"Autohak")</f>
        <v>Autohak</v>
      </c>
    </row>
    <row r="10012">
      <c r="A10012" t="str">
        <f>IFERROR(__xludf.DUMMYFUNCTION("""COMPUTED_VALUE"""),"K42")</f>
        <v>K42</v>
      </c>
      <c r="B10012" s="226" t="str">
        <f>IFERROR(__xludf.DUMMYFUNCTION("""COMPUTED_VALUE"""),"69336")</f>
        <v>69336</v>
      </c>
      <c r="C10012" t="str">
        <f>IFERROR(__xludf.DUMMYFUNCTION("""COMPUTED_VALUE"""),"Autohak")</f>
        <v>Autohak</v>
      </c>
    </row>
    <row r="10013">
      <c r="A10013" t="str">
        <f>IFERROR(__xludf.DUMMYFUNCTION("""COMPUTED_VALUE"""),"K42A")</f>
        <v>K42A</v>
      </c>
      <c r="B10013" s="226" t="str">
        <f>IFERROR(__xludf.DUMMYFUNCTION("""COMPUTED_VALUE"""),"72336")</f>
        <v>72336</v>
      </c>
      <c r="C10013" t="str">
        <f>IFERROR(__xludf.DUMMYFUNCTION("""COMPUTED_VALUE"""),"Autohak")</f>
        <v>Autohak</v>
      </c>
    </row>
    <row r="10014">
      <c r="A10014" t="str">
        <f>IFERROR(__xludf.DUMMYFUNCTION("""COMPUTED_VALUE"""),"K42V")</f>
        <v>K42V</v>
      </c>
      <c r="B10014" s="226" t="str">
        <f>IFERROR(__xludf.DUMMYFUNCTION("""COMPUTED_VALUE"""),"72756")</f>
        <v>72756</v>
      </c>
      <c r="C10014" t="str">
        <f>IFERROR(__xludf.DUMMYFUNCTION("""COMPUTED_VALUE"""),"Autohak")</f>
        <v>Autohak</v>
      </c>
    </row>
    <row r="10015">
      <c r="A10015" t="str">
        <f>IFERROR(__xludf.DUMMYFUNCTION("""COMPUTED_VALUE"""),"K47")</f>
        <v>K47</v>
      </c>
      <c r="B10015" s="226" t="str">
        <f>IFERROR(__xludf.DUMMYFUNCTION("""COMPUTED_VALUE"""),"69343")</f>
        <v>69343</v>
      </c>
      <c r="C10015" t="str">
        <f>IFERROR(__xludf.DUMMYFUNCTION("""COMPUTED_VALUE"""),"Autohak")</f>
        <v>Autohak</v>
      </c>
    </row>
    <row r="10016">
      <c r="A10016" t="str">
        <f>IFERROR(__xludf.DUMMYFUNCTION("""COMPUTED_VALUE"""),"K42")</f>
        <v>K42</v>
      </c>
      <c r="B10016" s="226" t="str">
        <f>IFERROR(__xludf.DUMMYFUNCTION("""COMPUTED_VALUE"""),"69336")</f>
        <v>69336</v>
      </c>
      <c r="C10016" t="str">
        <f>IFERROR(__xludf.DUMMYFUNCTION("""COMPUTED_VALUE"""),"Autohak")</f>
        <v>Autohak</v>
      </c>
    </row>
    <row r="10017">
      <c r="A10017" t="str">
        <f>IFERROR(__xludf.DUMMYFUNCTION("""COMPUTED_VALUE"""),"K42A")</f>
        <v>K42A</v>
      </c>
      <c r="B10017" s="226" t="str">
        <f>IFERROR(__xludf.DUMMYFUNCTION("""COMPUTED_VALUE"""),"72336")</f>
        <v>72336</v>
      </c>
      <c r="C10017" t="str">
        <f>IFERROR(__xludf.DUMMYFUNCTION("""COMPUTED_VALUE"""),"Autohak")</f>
        <v>Autohak</v>
      </c>
    </row>
    <row r="10018">
      <c r="A10018" t="str">
        <f>IFERROR(__xludf.DUMMYFUNCTION("""COMPUTED_VALUE"""),"K42V")</f>
        <v>K42V</v>
      </c>
      <c r="B10018" s="226" t="str">
        <f>IFERROR(__xludf.DUMMYFUNCTION("""COMPUTED_VALUE"""),"72756")</f>
        <v>72756</v>
      </c>
      <c r="C10018" t="str">
        <f>IFERROR(__xludf.DUMMYFUNCTION("""COMPUTED_VALUE"""),"Autohak")</f>
        <v>Autohak</v>
      </c>
    </row>
    <row r="10019">
      <c r="A10019" t="str">
        <f>IFERROR(__xludf.DUMMYFUNCTION("""COMPUTED_VALUE"""),"K42")</f>
        <v>K42</v>
      </c>
      <c r="B10019" s="226" t="str">
        <f>IFERROR(__xludf.DUMMYFUNCTION("""COMPUTED_VALUE"""),"69336")</f>
        <v>69336</v>
      </c>
      <c r="C10019" t="str">
        <f>IFERROR(__xludf.DUMMYFUNCTION("""COMPUTED_VALUE"""),"Autohak")</f>
        <v>Autohak</v>
      </c>
    </row>
    <row r="10020">
      <c r="A10020" t="str">
        <f>IFERROR(__xludf.DUMMYFUNCTION("""COMPUTED_VALUE"""),"K42A")</f>
        <v>K42A</v>
      </c>
      <c r="B10020" s="226" t="str">
        <f>IFERROR(__xludf.DUMMYFUNCTION("""COMPUTED_VALUE"""),"72336")</f>
        <v>72336</v>
      </c>
      <c r="C10020" t="str">
        <f>IFERROR(__xludf.DUMMYFUNCTION("""COMPUTED_VALUE"""),"Autohak")</f>
        <v>Autohak</v>
      </c>
    </row>
    <row r="10021">
      <c r="A10021" t="str">
        <f>IFERROR(__xludf.DUMMYFUNCTION("""COMPUTED_VALUE"""),"K42V")</f>
        <v>K42V</v>
      </c>
      <c r="B10021" s="226" t="str">
        <f>IFERROR(__xludf.DUMMYFUNCTION("""COMPUTED_VALUE"""),"72756")</f>
        <v>72756</v>
      </c>
      <c r="C10021" t="str">
        <f>IFERROR(__xludf.DUMMYFUNCTION("""COMPUTED_VALUE"""),"Autohak")</f>
        <v>Autohak</v>
      </c>
    </row>
    <row r="10022">
      <c r="A10022" t="str">
        <f>IFERROR(__xludf.DUMMYFUNCTION("""COMPUTED_VALUE"""),"K47")</f>
        <v>K47</v>
      </c>
      <c r="B10022" s="226" t="str">
        <f>IFERROR(__xludf.DUMMYFUNCTION("""COMPUTED_VALUE"""),"69343")</f>
        <v>69343</v>
      </c>
      <c r="C10022" t="str">
        <f>IFERROR(__xludf.DUMMYFUNCTION("""COMPUTED_VALUE"""),"Autohak")</f>
        <v>Autohak</v>
      </c>
    </row>
    <row r="10023">
      <c r="A10023" t="str">
        <f>IFERROR(__xludf.DUMMYFUNCTION("""COMPUTED_VALUE"""),"K06")</f>
        <v>K06</v>
      </c>
      <c r="B10023" s="226" t="str">
        <f>IFERROR(__xludf.DUMMYFUNCTION("""COMPUTED_VALUE"""),"69350")</f>
        <v>69350</v>
      </c>
      <c r="C10023" t="str">
        <f>IFERROR(__xludf.DUMMYFUNCTION("""COMPUTED_VALUE"""),"Autohak")</f>
        <v>Autohak</v>
      </c>
    </row>
    <row r="10024">
      <c r="A10024" t="str">
        <f>IFERROR(__xludf.DUMMYFUNCTION("""COMPUTED_VALUE"""),"K06A")</f>
        <v>K06A</v>
      </c>
      <c r="B10024" s="226" t="str">
        <f>IFERROR(__xludf.DUMMYFUNCTION("""COMPUTED_VALUE"""),"72350")</f>
        <v>72350</v>
      </c>
      <c r="C10024" t="str">
        <f>IFERROR(__xludf.DUMMYFUNCTION("""COMPUTED_VALUE"""),"Autohak")</f>
        <v>Autohak</v>
      </c>
    </row>
    <row r="10025">
      <c r="A10025" t="str">
        <f>IFERROR(__xludf.DUMMYFUNCTION("""COMPUTED_VALUE"""),"L12")</f>
        <v>L12</v>
      </c>
      <c r="B10025" s="226" t="str">
        <f>IFERROR(__xludf.DUMMYFUNCTION("""COMPUTED_VALUE"""),"67028")</f>
        <v>67028</v>
      </c>
      <c r="C10025" t="str">
        <f>IFERROR(__xludf.DUMMYFUNCTION("""COMPUTED_VALUE"""),"Autohak")</f>
        <v>Autohak</v>
      </c>
    </row>
    <row r="10026">
      <c r="A10026" t="str">
        <f>IFERROR(__xludf.DUMMYFUNCTION("""COMPUTED_VALUE"""),"L12A")</f>
        <v>L12A</v>
      </c>
      <c r="B10026" s="226" t="str">
        <f>IFERROR(__xludf.DUMMYFUNCTION("""COMPUTED_VALUE"""),"68025")</f>
        <v>68025</v>
      </c>
      <c r="C10026" t="str">
        <f>IFERROR(__xludf.DUMMYFUNCTION("""COMPUTED_VALUE"""),"Autohak")</f>
        <v>Autohak</v>
      </c>
    </row>
    <row r="10027">
      <c r="A10027" t="str">
        <f>IFERROR(__xludf.DUMMYFUNCTION("""COMPUTED_VALUE"""),"L12")</f>
        <v>L12</v>
      </c>
      <c r="B10027" s="226" t="str">
        <f>IFERROR(__xludf.DUMMYFUNCTION("""COMPUTED_VALUE"""),"67028")</f>
        <v>67028</v>
      </c>
      <c r="C10027" t="str">
        <f>IFERROR(__xludf.DUMMYFUNCTION("""COMPUTED_VALUE"""),"Autohak")</f>
        <v>Autohak</v>
      </c>
    </row>
    <row r="10028">
      <c r="A10028" t="str">
        <f>IFERROR(__xludf.DUMMYFUNCTION("""COMPUTED_VALUE"""),"L12A")</f>
        <v>L12A</v>
      </c>
      <c r="B10028" s="226" t="str">
        <f>IFERROR(__xludf.DUMMYFUNCTION("""COMPUTED_VALUE"""),"68025")</f>
        <v>68025</v>
      </c>
      <c r="C10028" t="str">
        <f>IFERROR(__xludf.DUMMYFUNCTION("""COMPUTED_VALUE"""),"Autohak")</f>
        <v>Autohak</v>
      </c>
    </row>
    <row r="10029">
      <c r="A10029" t="str">
        <f>IFERROR(__xludf.DUMMYFUNCTION("""COMPUTED_VALUE"""),"L03")</f>
        <v>L03</v>
      </c>
      <c r="B10029" s="226" t="str">
        <f>IFERROR(__xludf.DUMMYFUNCTION("""COMPUTED_VALUE"""),"67035")</f>
        <v>67035</v>
      </c>
      <c r="C10029" t="str">
        <f>IFERROR(__xludf.DUMMYFUNCTION("""COMPUTED_VALUE"""),"Autohak")</f>
        <v>Autohak</v>
      </c>
    </row>
    <row r="10030">
      <c r="A10030" t="str">
        <f>IFERROR(__xludf.DUMMYFUNCTION("""COMPUTED_VALUE"""),"L03A")</f>
        <v>L03A</v>
      </c>
      <c r="B10030" s="226" t="str">
        <f>IFERROR(__xludf.DUMMYFUNCTION("""COMPUTED_VALUE"""),"68032")</f>
        <v>68032</v>
      </c>
      <c r="C10030" t="str">
        <f>IFERROR(__xludf.DUMMYFUNCTION("""COMPUTED_VALUE"""),"Autohak")</f>
        <v>Autohak</v>
      </c>
    </row>
    <row r="10031">
      <c r="A10031" t="str">
        <f>IFERROR(__xludf.DUMMYFUNCTION("""COMPUTED_VALUE"""),"L22")</f>
        <v>L22</v>
      </c>
      <c r="B10031" s="226" t="str">
        <f>IFERROR(__xludf.DUMMYFUNCTION("""COMPUTED_VALUE"""),"67127")</f>
        <v>67127</v>
      </c>
      <c r="C10031" t="str">
        <f>IFERROR(__xludf.DUMMYFUNCTION("""COMPUTED_VALUE"""),"Autohak")</f>
        <v>Autohak</v>
      </c>
    </row>
    <row r="10032">
      <c r="A10032" t="str">
        <f>IFERROR(__xludf.DUMMYFUNCTION("""COMPUTED_VALUE"""),"L22A")</f>
        <v>L22A</v>
      </c>
      <c r="B10032" s="226" t="str">
        <f>IFERROR(__xludf.DUMMYFUNCTION("""COMPUTED_VALUE"""),"68124")</f>
        <v>68124</v>
      </c>
      <c r="C10032" t="str">
        <f>IFERROR(__xludf.DUMMYFUNCTION("""COMPUTED_VALUE"""),"Autohak")</f>
        <v>Autohak</v>
      </c>
    </row>
    <row r="10033">
      <c r="A10033" t="str">
        <f>IFERROR(__xludf.DUMMYFUNCTION("""COMPUTED_VALUE"""),"L22V")</f>
        <v>L22V</v>
      </c>
      <c r="B10033" s="226" t="str">
        <f>IFERROR(__xludf.DUMMYFUNCTION("""COMPUTED_VALUE"""),"68988")</f>
        <v>68988</v>
      </c>
      <c r="C10033" t="str">
        <f>IFERROR(__xludf.DUMMYFUNCTION("""COMPUTED_VALUE"""),"Autohak")</f>
        <v>Autohak</v>
      </c>
    </row>
    <row r="10034">
      <c r="A10034" t="str">
        <f>IFERROR(__xludf.DUMMYFUNCTION("""COMPUTED_VALUE"""),"L13")</f>
        <v>L13</v>
      </c>
      <c r="B10034" s="226" t="str">
        <f>IFERROR(__xludf.DUMMYFUNCTION("""COMPUTED_VALUE"""),"67042")</f>
        <v>67042</v>
      </c>
      <c r="C10034" t="str">
        <f>IFERROR(__xludf.DUMMYFUNCTION("""COMPUTED_VALUE"""),"Autohak")</f>
        <v>Autohak</v>
      </c>
    </row>
    <row r="10035">
      <c r="A10035" t="str">
        <f>IFERROR(__xludf.DUMMYFUNCTION("""COMPUTED_VALUE"""),"L13A")</f>
        <v>L13A</v>
      </c>
      <c r="B10035" s="226" t="str">
        <f>IFERROR(__xludf.DUMMYFUNCTION("""COMPUTED_VALUE"""),"68049")</f>
        <v>68049</v>
      </c>
      <c r="C10035" t="str">
        <f>IFERROR(__xludf.DUMMYFUNCTION("""COMPUTED_VALUE"""),"Autohak")</f>
        <v>Autohak</v>
      </c>
    </row>
    <row r="10036">
      <c r="A10036" t="str">
        <f>IFERROR(__xludf.DUMMYFUNCTION("""COMPUTED_VALUE"""),"L15")</f>
        <v>L15</v>
      </c>
      <c r="B10036" s="226" t="str">
        <f>IFERROR(__xludf.DUMMYFUNCTION("""COMPUTED_VALUE"""),"67059")</f>
        <v>67059</v>
      </c>
      <c r="C10036" t="str">
        <f>IFERROR(__xludf.DUMMYFUNCTION("""COMPUTED_VALUE"""),"Autohak")</f>
        <v>Autohak</v>
      </c>
    </row>
    <row r="10037">
      <c r="A10037" t="str">
        <f>IFERROR(__xludf.DUMMYFUNCTION("""COMPUTED_VALUE"""),"L15A")</f>
        <v>L15A</v>
      </c>
      <c r="B10037" s="226" t="str">
        <f>IFERROR(__xludf.DUMMYFUNCTION("""COMPUTED_VALUE"""),"68056")</f>
        <v>68056</v>
      </c>
      <c r="C10037" t="str">
        <f>IFERROR(__xludf.DUMMYFUNCTION("""COMPUTED_VALUE"""),"Autohak")</f>
        <v>Autohak</v>
      </c>
    </row>
    <row r="10038">
      <c r="A10038" t="str">
        <f>IFERROR(__xludf.DUMMYFUNCTION("""COMPUTED_VALUE"""),"L23")</f>
        <v>L23</v>
      </c>
      <c r="B10038" s="226" t="str">
        <f>IFERROR(__xludf.DUMMYFUNCTION("""COMPUTED_VALUE"""),"67134")</f>
        <v>67134</v>
      </c>
      <c r="C10038" t="str">
        <f>IFERROR(__xludf.DUMMYFUNCTION("""COMPUTED_VALUE"""),"Autohak")</f>
        <v>Autohak</v>
      </c>
    </row>
    <row r="10039">
      <c r="A10039" t="str">
        <f>IFERROR(__xludf.DUMMYFUNCTION("""COMPUTED_VALUE"""),"L23A")</f>
        <v>L23A</v>
      </c>
      <c r="B10039" s="226" t="str">
        <f>IFERROR(__xludf.DUMMYFUNCTION("""COMPUTED_VALUE"""),"68131")</f>
        <v>68131</v>
      </c>
      <c r="C10039" t="str">
        <f>IFERROR(__xludf.DUMMYFUNCTION("""COMPUTED_VALUE"""),"Autohak")</f>
        <v>Autohak</v>
      </c>
    </row>
    <row r="10040">
      <c r="A10040" t="str">
        <f>IFERROR(__xludf.DUMMYFUNCTION("""COMPUTED_VALUE"""),"L23V")</f>
        <v>L23V</v>
      </c>
      <c r="B10040" s="226" t="str">
        <f>IFERROR(__xludf.DUMMYFUNCTION("""COMPUTED_VALUE"""),"68964")</f>
        <v>68964</v>
      </c>
      <c r="C10040" t="str">
        <f>IFERROR(__xludf.DUMMYFUNCTION("""COMPUTED_VALUE"""),"Autohak")</f>
        <v>Autohak</v>
      </c>
    </row>
    <row r="10041">
      <c r="A10041" t="str">
        <f>IFERROR(__xludf.DUMMYFUNCTION("""COMPUTED_VALUE"""),"L19")</f>
        <v>L19</v>
      </c>
      <c r="B10041" s="226" t="str">
        <f>IFERROR(__xludf.DUMMYFUNCTION("""COMPUTED_VALUE"""),"67097")</f>
        <v>67097</v>
      </c>
      <c r="C10041" t="str">
        <f>IFERROR(__xludf.DUMMYFUNCTION("""COMPUTED_VALUE"""),"Autohak")</f>
        <v>Autohak</v>
      </c>
    </row>
    <row r="10042">
      <c r="A10042" t="str">
        <f>IFERROR(__xludf.DUMMYFUNCTION("""COMPUTED_VALUE"""),"L19A")</f>
        <v>L19A</v>
      </c>
      <c r="B10042" s="226" t="str">
        <f>IFERROR(__xludf.DUMMYFUNCTION("""COMPUTED_VALUE"""),"68094")</f>
        <v>68094</v>
      </c>
      <c r="C10042" t="str">
        <f>IFERROR(__xludf.DUMMYFUNCTION("""COMPUTED_VALUE"""),"Autohak")</f>
        <v>Autohak</v>
      </c>
    </row>
    <row r="10043">
      <c r="A10043" t="str">
        <f>IFERROR(__xludf.DUMMYFUNCTION("""COMPUTED_VALUE"""),"L19")</f>
        <v>L19</v>
      </c>
      <c r="B10043" s="226" t="str">
        <f>IFERROR(__xludf.DUMMYFUNCTION("""COMPUTED_VALUE"""),"67097")</f>
        <v>67097</v>
      </c>
      <c r="C10043" t="str">
        <f>IFERROR(__xludf.DUMMYFUNCTION("""COMPUTED_VALUE"""),"Autohak")</f>
        <v>Autohak</v>
      </c>
    </row>
    <row r="10044">
      <c r="A10044" t="str">
        <f>IFERROR(__xludf.DUMMYFUNCTION("""COMPUTED_VALUE"""),"L19A")</f>
        <v>L19A</v>
      </c>
      <c r="B10044" s="226" t="str">
        <f>IFERROR(__xludf.DUMMYFUNCTION("""COMPUTED_VALUE"""),"68094")</f>
        <v>68094</v>
      </c>
      <c r="C10044" t="str">
        <f>IFERROR(__xludf.DUMMYFUNCTION("""COMPUTED_VALUE"""),"Autohak")</f>
        <v>Autohak</v>
      </c>
    </row>
    <row r="10045">
      <c r="A10045" t="str">
        <f>IFERROR(__xludf.DUMMYFUNCTION("""COMPUTED_VALUE"""),"L26")</f>
        <v>L26</v>
      </c>
      <c r="B10045" s="226" t="str">
        <f>IFERROR(__xludf.DUMMYFUNCTION("""COMPUTED_VALUE"""),"67165")</f>
        <v>67165</v>
      </c>
      <c r="C10045" t="str">
        <f>IFERROR(__xludf.DUMMYFUNCTION("""COMPUTED_VALUE"""),"Autohak")</f>
        <v>Autohak</v>
      </c>
    </row>
    <row r="10046">
      <c r="A10046" t="str">
        <f>IFERROR(__xludf.DUMMYFUNCTION("""COMPUTED_VALUE"""),"L26A")</f>
        <v>L26A</v>
      </c>
      <c r="B10046" s="226" t="str">
        <f>IFERROR(__xludf.DUMMYFUNCTION("""COMPUTED_VALUE"""),"68162")</f>
        <v>68162</v>
      </c>
      <c r="C10046" t="str">
        <f>IFERROR(__xludf.DUMMYFUNCTION("""COMPUTED_VALUE"""),"Autohak")</f>
        <v>Autohak</v>
      </c>
    </row>
    <row r="10047">
      <c r="A10047" t="str">
        <f>IFERROR(__xludf.DUMMYFUNCTION("""COMPUTED_VALUE"""),"L26V")</f>
        <v>L26V</v>
      </c>
      <c r="B10047" s="226" t="str">
        <f>IFERROR(__xludf.DUMMYFUNCTION("""COMPUTED_VALUE"""),"68957")</f>
        <v>68957</v>
      </c>
      <c r="C10047" t="str">
        <f>IFERROR(__xludf.DUMMYFUNCTION("""COMPUTED_VALUE"""),"Autohak")</f>
        <v>Autohak</v>
      </c>
    </row>
    <row r="10048">
      <c r="A10048" t="str">
        <f>IFERROR(__xludf.DUMMYFUNCTION("""COMPUTED_VALUE"""),"L03")</f>
        <v>L03</v>
      </c>
      <c r="B10048" s="226" t="str">
        <f>IFERROR(__xludf.DUMMYFUNCTION("""COMPUTED_VALUE"""),"67035")</f>
        <v>67035</v>
      </c>
      <c r="C10048" t="str">
        <f>IFERROR(__xludf.DUMMYFUNCTION("""COMPUTED_VALUE"""),"Autohak")</f>
        <v>Autohak</v>
      </c>
    </row>
    <row r="10049">
      <c r="A10049" t="str">
        <f>IFERROR(__xludf.DUMMYFUNCTION("""COMPUTED_VALUE"""),"L03A")</f>
        <v>L03A</v>
      </c>
      <c r="B10049" s="226" t="str">
        <f>IFERROR(__xludf.DUMMYFUNCTION("""COMPUTED_VALUE"""),"68032")</f>
        <v>68032</v>
      </c>
      <c r="C10049" t="str">
        <f>IFERROR(__xludf.DUMMYFUNCTION("""COMPUTED_VALUE"""),"Autohak")</f>
        <v>Autohak</v>
      </c>
    </row>
    <row r="10050">
      <c r="A10050" t="str">
        <f>IFERROR(__xludf.DUMMYFUNCTION("""COMPUTED_VALUE"""),"L17")</f>
        <v>L17</v>
      </c>
      <c r="B10050" s="226" t="str">
        <f>IFERROR(__xludf.DUMMYFUNCTION("""COMPUTED_VALUE"""),"67066")</f>
        <v>67066</v>
      </c>
      <c r="C10050" t="str">
        <f>IFERROR(__xludf.DUMMYFUNCTION("""COMPUTED_VALUE"""),"Autohak")</f>
        <v>Autohak</v>
      </c>
    </row>
    <row r="10051">
      <c r="A10051" t="str">
        <f>IFERROR(__xludf.DUMMYFUNCTION("""COMPUTED_VALUE"""),"L17A")</f>
        <v>L17A</v>
      </c>
      <c r="B10051" s="226" t="str">
        <f>IFERROR(__xludf.DUMMYFUNCTION("""COMPUTED_VALUE"""),"68063")</f>
        <v>68063</v>
      </c>
      <c r="C10051" t="str">
        <f>IFERROR(__xludf.DUMMYFUNCTION("""COMPUTED_VALUE"""),"Autohak")</f>
        <v>Autohak</v>
      </c>
    </row>
    <row r="10052">
      <c r="A10052" t="str">
        <f>IFERROR(__xludf.DUMMYFUNCTION("""COMPUTED_VALUE"""),"L17")</f>
        <v>L17</v>
      </c>
      <c r="B10052" s="226" t="str">
        <f>IFERROR(__xludf.DUMMYFUNCTION("""COMPUTED_VALUE"""),"67066")</f>
        <v>67066</v>
      </c>
      <c r="C10052" t="str">
        <f>IFERROR(__xludf.DUMMYFUNCTION("""COMPUTED_VALUE"""),"Autohak")</f>
        <v>Autohak</v>
      </c>
    </row>
    <row r="10053">
      <c r="A10053" t="str">
        <f>IFERROR(__xludf.DUMMYFUNCTION("""COMPUTED_VALUE"""),"L17A")</f>
        <v>L17A</v>
      </c>
      <c r="B10053" s="226" t="str">
        <f>IFERROR(__xludf.DUMMYFUNCTION("""COMPUTED_VALUE"""),"68063")</f>
        <v>68063</v>
      </c>
      <c r="C10053" t="str">
        <f>IFERROR(__xludf.DUMMYFUNCTION("""COMPUTED_VALUE"""),"Autohak")</f>
        <v>Autohak</v>
      </c>
    </row>
    <row r="10054">
      <c r="A10054" t="str">
        <f>IFERROR(__xludf.DUMMYFUNCTION("""COMPUTED_VALUE"""),"L20")</f>
        <v>L20</v>
      </c>
      <c r="B10054" s="226" t="str">
        <f>IFERROR(__xludf.DUMMYFUNCTION("""COMPUTED_VALUE"""),"67103")</f>
        <v>67103</v>
      </c>
      <c r="C10054" t="str">
        <f>IFERROR(__xludf.DUMMYFUNCTION("""COMPUTED_VALUE"""),"Autohak")</f>
        <v>Autohak</v>
      </c>
    </row>
    <row r="10055">
      <c r="A10055" t="str">
        <f>IFERROR(__xludf.DUMMYFUNCTION("""COMPUTED_VALUE"""),"L20A")</f>
        <v>L20A</v>
      </c>
      <c r="B10055" s="226" t="str">
        <f>IFERROR(__xludf.DUMMYFUNCTION("""COMPUTED_VALUE"""),"68100")</f>
        <v>68100</v>
      </c>
      <c r="C10055" t="str">
        <f>IFERROR(__xludf.DUMMYFUNCTION("""COMPUTED_VALUE"""),"Autohak")</f>
        <v>Autohak</v>
      </c>
    </row>
    <row r="10056">
      <c r="A10056" t="str">
        <f>IFERROR(__xludf.DUMMYFUNCTION("""COMPUTED_VALUE"""),"L13")</f>
        <v>L13</v>
      </c>
      <c r="B10056" s="226" t="str">
        <f>IFERROR(__xludf.DUMMYFUNCTION("""COMPUTED_VALUE"""),"67042")</f>
        <v>67042</v>
      </c>
      <c r="C10056" t="str">
        <f>IFERROR(__xludf.DUMMYFUNCTION("""COMPUTED_VALUE"""),"Autohak")</f>
        <v>Autohak</v>
      </c>
    </row>
    <row r="10057">
      <c r="A10057" t="str">
        <f>IFERROR(__xludf.DUMMYFUNCTION("""COMPUTED_VALUE"""),"L13A")</f>
        <v>L13A</v>
      </c>
      <c r="B10057" s="226" t="str">
        <f>IFERROR(__xludf.DUMMYFUNCTION("""COMPUTED_VALUE"""),"68049")</f>
        <v>68049</v>
      </c>
      <c r="C10057" t="str">
        <f>IFERROR(__xludf.DUMMYFUNCTION("""COMPUTED_VALUE"""),"Autohak")</f>
        <v>Autohak</v>
      </c>
    </row>
    <row r="10058">
      <c r="A10058" t="str">
        <f>IFERROR(__xludf.DUMMYFUNCTION("""COMPUTED_VALUE"""),"L15")</f>
        <v>L15</v>
      </c>
      <c r="B10058" s="226" t="str">
        <f>IFERROR(__xludf.DUMMYFUNCTION("""COMPUTED_VALUE"""),"67059")</f>
        <v>67059</v>
      </c>
      <c r="C10058" t="str">
        <f>IFERROR(__xludf.DUMMYFUNCTION("""COMPUTED_VALUE"""),"Autohak")</f>
        <v>Autohak</v>
      </c>
    </row>
    <row r="10059">
      <c r="A10059" t="str">
        <f>IFERROR(__xludf.DUMMYFUNCTION("""COMPUTED_VALUE"""),"L15A")</f>
        <v>L15A</v>
      </c>
      <c r="B10059" s="226" t="str">
        <f>IFERROR(__xludf.DUMMYFUNCTION("""COMPUTED_VALUE"""),"68056")</f>
        <v>68056</v>
      </c>
      <c r="C10059" t="str">
        <f>IFERROR(__xludf.DUMMYFUNCTION("""COMPUTED_VALUE"""),"Autohak")</f>
        <v>Autohak</v>
      </c>
    </row>
    <row r="10060">
      <c r="A10060" t="str">
        <f>IFERROR(__xludf.DUMMYFUNCTION("""COMPUTED_VALUE"""),"L27")</f>
        <v>L27</v>
      </c>
      <c r="B10060" s="226" t="str">
        <f>IFERROR(__xludf.DUMMYFUNCTION("""COMPUTED_VALUE"""),"67172")</f>
        <v>67172</v>
      </c>
      <c r="C10060" t="str">
        <f>IFERROR(__xludf.DUMMYFUNCTION("""COMPUTED_VALUE"""),"Autohak")</f>
        <v>Autohak</v>
      </c>
    </row>
    <row r="10061">
      <c r="A10061" t="str">
        <f>IFERROR(__xludf.DUMMYFUNCTION("""COMPUTED_VALUE"""),"L27A")</f>
        <v>L27A</v>
      </c>
      <c r="B10061" s="226" t="str">
        <f>IFERROR(__xludf.DUMMYFUNCTION("""COMPUTED_VALUE"""),"68179")</f>
        <v>68179</v>
      </c>
      <c r="C10061" t="str">
        <f>IFERROR(__xludf.DUMMYFUNCTION("""COMPUTED_VALUE"""),"Autohak")</f>
        <v>Autohak</v>
      </c>
    </row>
    <row r="10062">
      <c r="A10062" t="str">
        <f>IFERROR(__xludf.DUMMYFUNCTION("""COMPUTED_VALUE"""),"L27V")</f>
        <v>L27V</v>
      </c>
      <c r="B10062" s="226" t="str">
        <f>IFERROR(__xludf.DUMMYFUNCTION("""COMPUTED_VALUE"""),"68940")</f>
        <v>68940</v>
      </c>
      <c r="C10062" t="str">
        <f>IFERROR(__xludf.DUMMYFUNCTION("""COMPUTED_VALUE"""),"Autohak")</f>
        <v>Autohak</v>
      </c>
    </row>
    <row r="10063">
      <c r="A10063" t="str">
        <f>IFERROR(__xludf.DUMMYFUNCTION("""COMPUTED_VALUE"""),"L23")</f>
        <v>L23</v>
      </c>
      <c r="B10063" s="226" t="str">
        <f>IFERROR(__xludf.DUMMYFUNCTION("""COMPUTED_VALUE"""),"67134")</f>
        <v>67134</v>
      </c>
      <c r="C10063" t="str">
        <f>IFERROR(__xludf.DUMMYFUNCTION("""COMPUTED_VALUE"""),"Autohak")</f>
        <v>Autohak</v>
      </c>
    </row>
    <row r="10064">
      <c r="A10064" t="str">
        <f>IFERROR(__xludf.DUMMYFUNCTION("""COMPUTED_VALUE"""),"L23A")</f>
        <v>L23A</v>
      </c>
      <c r="B10064" s="226" t="str">
        <f>IFERROR(__xludf.DUMMYFUNCTION("""COMPUTED_VALUE"""),"68131")</f>
        <v>68131</v>
      </c>
      <c r="C10064" t="str">
        <f>IFERROR(__xludf.DUMMYFUNCTION("""COMPUTED_VALUE"""),"Autohak")</f>
        <v>Autohak</v>
      </c>
    </row>
    <row r="10065">
      <c r="A10065" t="str">
        <f>IFERROR(__xludf.DUMMYFUNCTION("""COMPUTED_VALUE"""),"L23V")</f>
        <v>L23V</v>
      </c>
      <c r="B10065" s="226" t="str">
        <f>IFERROR(__xludf.DUMMYFUNCTION("""COMPUTED_VALUE"""),"68964")</f>
        <v>68964</v>
      </c>
      <c r="C10065" t="str">
        <f>IFERROR(__xludf.DUMMYFUNCTION("""COMPUTED_VALUE"""),"Autohak")</f>
        <v>Autohak</v>
      </c>
    </row>
    <row r="10066">
      <c r="A10066" t="str">
        <f>IFERROR(__xludf.DUMMYFUNCTION("""COMPUTED_VALUE"""),"L26")</f>
        <v>L26</v>
      </c>
      <c r="B10066" s="226" t="str">
        <f>IFERROR(__xludf.DUMMYFUNCTION("""COMPUTED_VALUE"""),"67165")</f>
        <v>67165</v>
      </c>
      <c r="C10066" t="str">
        <f>IFERROR(__xludf.DUMMYFUNCTION("""COMPUTED_VALUE"""),"Autohak")</f>
        <v>Autohak</v>
      </c>
    </row>
    <row r="10067">
      <c r="A10067" t="str">
        <f>IFERROR(__xludf.DUMMYFUNCTION("""COMPUTED_VALUE"""),"L26A")</f>
        <v>L26A</v>
      </c>
      <c r="B10067" s="226" t="str">
        <f>IFERROR(__xludf.DUMMYFUNCTION("""COMPUTED_VALUE"""),"68162")</f>
        <v>68162</v>
      </c>
      <c r="C10067" t="str">
        <f>IFERROR(__xludf.DUMMYFUNCTION("""COMPUTED_VALUE"""),"Autohak")</f>
        <v>Autohak</v>
      </c>
    </row>
    <row r="10068">
      <c r="A10068" t="str">
        <f>IFERROR(__xludf.DUMMYFUNCTION("""COMPUTED_VALUE"""),"L26V")</f>
        <v>L26V</v>
      </c>
      <c r="B10068" s="226" t="str">
        <f>IFERROR(__xludf.DUMMYFUNCTION("""COMPUTED_VALUE"""),"68957")</f>
        <v>68957</v>
      </c>
      <c r="C10068" t="str">
        <f>IFERROR(__xludf.DUMMYFUNCTION("""COMPUTED_VALUE"""),"Autohak")</f>
        <v>Autohak</v>
      </c>
    </row>
    <row r="10069">
      <c r="A10069" t="str">
        <f>IFERROR(__xludf.DUMMYFUNCTION("""COMPUTED_VALUE"""),"L03")</f>
        <v>L03</v>
      </c>
      <c r="B10069" s="226" t="str">
        <f>IFERROR(__xludf.DUMMYFUNCTION("""COMPUTED_VALUE"""),"67035")</f>
        <v>67035</v>
      </c>
      <c r="C10069" t="str">
        <f>IFERROR(__xludf.DUMMYFUNCTION("""COMPUTED_VALUE"""),"Autohak")</f>
        <v>Autohak</v>
      </c>
    </row>
    <row r="10070">
      <c r="A10070" t="str">
        <f>IFERROR(__xludf.DUMMYFUNCTION("""COMPUTED_VALUE"""),"L03A")</f>
        <v>L03A</v>
      </c>
      <c r="B10070" s="226" t="str">
        <f>IFERROR(__xludf.DUMMYFUNCTION("""COMPUTED_VALUE"""),"68032")</f>
        <v>68032</v>
      </c>
      <c r="C10070" t="str">
        <f>IFERROR(__xludf.DUMMYFUNCTION("""COMPUTED_VALUE"""),"Autohak")</f>
        <v>Autohak</v>
      </c>
    </row>
    <row r="10071">
      <c r="A10071" t="str">
        <f>IFERROR(__xludf.DUMMYFUNCTION("""COMPUTED_VALUE"""),"L16")</f>
        <v>L16</v>
      </c>
      <c r="B10071" s="226" t="str">
        <f>IFERROR(__xludf.DUMMYFUNCTION("""COMPUTED_VALUE"""),"67080")</f>
        <v>67080</v>
      </c>
      <c r="C10071" t="str">
        <f>IFERROR(__xludf.DUMMYFUNCTION("""COMPUTED_VALUE"""),"Autohak")</f>
        <v>Autohak</v>
      </c>
    </row>
    <row r="10072">
      <c r="A10072" t="str">
        <f>IFERROR(__xludf.DUMMYFUNCTION("""COMPUTED_VALUE"""),"L16A")</f>
        <v>L16A</v>
      </c>
      <c r="B10072" s="226" t="str">
        <f>IFERROR(__xludf.DUMMYFUNCTION("""COMPUTED_VALUE"""),"68087")</f>
        <v>68087</v>
      </c>
      <c r="C10072" t="str">
        <f>IFERROR(__xludf.DUMMYFUNCTION("""COMPUTED_VALUE"""),"Autohak")</f>
        <v>Autohak</v>
      </c>
    </row>
    <row r="10073">
      <c r="A10073" t="str">
        <f>IFERROR(__xludf.DUMMYFUNCTION("""COMPUTED_VALUE"""),"L16")</f>
        <v>L16</v>
      </c>
      <c r="B10073" s="226" t="str">
        <f>IFERROR(__xludf.DUMMYFUNCTION("""COMPUTED_VALUE"""),"67080")</f>
        <v>67080</v>
      </c>
      <c r="C10073" t="str">
        <f>IFERROR(__xludf.DUMMYFUNCTION("""COMPUTED_VALUE"""),"Autohak")</f>
        <v>Autohak</v>
      </c>
    </row>
    <row r="10074">
      <c r="A10074" t="str">
        <f>IFERROR(__xludf.DUMMYFUNCTION("""COMPUTED_VALUE"""),"L16A")</f>
        <v>L16A</v>
      </c>
      <c r="B10074" s="226" t="str">
        <f>IFERROR(__xludf.DUMMYFUNCTION("""COMPUTED_VALUE"""),"68087")</f>
        <v>68087</v>
      </c>
      <c r="C10074" t="str">
        <f>IFERROR(__xludf.DUMMYFUNCTION("""COMPUTED_VALUE"""),"Autohak")</f>
        <v>Autohak</v>
      </c>
    </row>
    <row r="10075">
      <c r="A10075" t="str">
        <f>IFERROR(__xludf.DUMMYFUNCTION("""COMPUTED_VALUE"""),"L20")</f>
        <v>L20</v>
      </c>
      <c r="B10075" s="226" t="str">
        <f>IFERROR(__xludf.DUMMYFUNCTION("""COMPUTED_VALUE"""),"67103")</f>
        <v>67103</v>
      </c>
      <c r="C10075" t="str">
        <f>IFERROR(__xludf.DUMMYFUNCTION("""COMPUTED_VALUE"""),"Autohak")</f>
        <v>Autohak</v>
      </c>
    </row>
    <row r="10076">
      <c r="A10076" t="str">
        <f>IFERROR(__xludf.DUMMYFUNCTION("""COMPUTED_VALUE"""),"L20A")</f>
        <v>L20A</v>
      </c>
      <c r="B10076" s="226" t="str">
        <f>IFERROR(__xludf.DUMMYFUNCTION("""COMPUTED_VALUE"""),"68100")</f>
        <v>68100</v>
      </c>
      <c r="C10076" t="str">
        <f>IFERROR(__xludf.DUMMYFUNCTION("""COMPUTED_VALUE"""),"Autohak")</f>
        <v>Autohak</v>
      </c>
    </row>
    <row r="10077">
      <c r="A10077" t="str">
        <f>IFERROR(__xludf.DUMMYFUNCTION("""COMPUTED_VALUE"""),"L21")</f>
        <v>L21</v>
      </c>
      <c r="B10077" s="226" t="str">
        <f>IFERROR(__xludf.DUMMYFUNCTION("""COMPUTED_VALUE"""),"67110")</f>
        <v>67110</v>
      </c>
      <c r="C10077" t="str">
        <f>IFERROR(__xludf.DUMMYFUNCTION("""COMPUTED_VALUE"""),"Autohak")</f>
        <v>Autohak</v>
      </c>
    </row>
    <row r="10078">
      <c r="A10078" t="str">
        <f>IFERROR(__xludf.DUMMYFUNCTION("""COMPUTED_VALUE"""),"L21A")</f>
        <v>L21A</v>
      </c>
      <c r="B10078" s="226" t="str">
        <f>IFERROR(__xludf.DUMMYFUNCTION("""COMPUTED_VALUE"""),"68117")</f>
        <v>68117</v>
      </c>
      <c r="C10078" t="str">
        <f>IFERROR(__xludf.DUMMYFUNCTION("""COMPUTED_VALUE"""),"Autohak")</f>
        <v>Autohak</v>
      </c>
    </row>
    <row r="10079">
      <c r="A10079" t="str">
        <f>IFERROR(__xludf.DUMMYFUNCTION("""COMPUTED_VALUE"""),"L21V")</f>
        <v>L21V</v>
      </c>
      <c r="B10079" s="226" t="str">
        <f>IFERROR(__xludf.DUMMYFUNCTION("""COMPUTED_VALUE"""),"68995")</f>
        <v>68995</v>
      </c>
      <c r="C10079" t="str">
        <f>IFERROR(__xludf.DUMMYFUNCTION("""COMPUTED_VALUE"""),"Autohak")</f>
        <v>Autohak</v>
      </c>
    </row>
    <row r="10080">
      <c r="A10080" t="str">
        <f>IFERROR(__xludf.DUMMYFUNCTION("""COMPUTED_VALUE"""),"L21")</f>
        <v>L21</v>
      </c>
      <c r="B10080" s="226" t="str">
        <f>IFERROR(__xludf.DUMMYFUNCTION("""COMPUTED_VALUE"""),"67110")</f>
        <v>67110</v>
      </c>
      <c r="C10080" t="str">
        <f>IFERROR(__xludf.DUMMYFUNCTION("""COMPUTED_VALUE"""),"Autohak")</f>
        <v>Autohak</v>
      </c>
    </row>
    <row r="10081">
      <c r="A10081" t="str">
        <f>IFERROR(__xludf.DUMMYFUNCTION("""COMPUTED_VALUE"""),"L21A")</f>
        <v>L21A</v>
      </c>
      <c r="B10081" s="226" t="str">
        <f>IFERROR(__xludf.DUMMYFUNCTION("""COMPUTED_VALUE"""),"68117")</f>
        <v>68117</v>
      </c>
      <c r="C10081" t="str">
        <f>IFERROR(__xludf.DUMMYFUNCTION("""COMPUTED_VALUE"""),"Autohak")</f>
        <v>Autohak</v>
      </c>
    </row>
    <row r="10082">
      <c r="A10082" t="str">
        <f>IFERROR(__xludf.DUMMYFUNCTION("""COMPUTED_VALUE"""),"L21V")</f>
        <v>L21V</v>
      </c>
      <c r="B10082" s="226" t="str">
        <f>IFERROR(__xludf.DUMMYFUNCTION("""COMPUTED_VALUE"""),"68995")</f>
        <v>68995</v>
      </c>
      <c r="C10082" t="str">
        <f>IFERROR(__xludf.DUMMYFUNCTION("""COMPUTED_VALUE"""),"Autohak")</f>
        <v>Autohak</v>
      </c>
    </row>
    <row r="10083">
      <c r="A10083" t="str">
        <f>IFERROR(__xludf.DUMMYFUNCTION("""COMPUTED_VALUE"""),"L25")</f>
        <v>L25</v>
      </c>
      <c r="B10083" s="226" t="str">
        <f>IFERROR(__xludf.DUMMYFUNCTION("""COMPUTED_VALUE"""),"67158")</f>
        <v>67158</v>
      </c>
      <c r="C10083" t="str">
        <f>IFERROR(__xludf.DUMMYFUNCTION("""COMPUTED_VALUE"""),"Autohak")</f>
        <v>Autohak</v>
      </c>
    </row>
    <row r="10084">
      <c r="A10084" t="str">
        <f>IFERROR(__xludf.DUMMYFUNCTION("""COMPUTED_VALUE"""),"L25A")</f>
        <v>L25A</v>
      </c>
      <c r="B10084" s="226" t="str">
        <f>IFERROR(__xludf.DUMMYFUNCTION("""COMPUTED_VALUE"""),"68155")</f>
        <v>68155</v>
      </c>
      <c r="C10084" t="str">
        <f>IFERROR(__xludf.DUMMYFUNCTION("""COMPUTED_VALUE"""),"Autohak")</f>
        <v>Autohak</v>
      </c>
    </row>
    <row r="10085">
      <c r="A10085" t="str">
        <f>IFERROR(__xludf.DUMMYFUNCTION("""COMPUTED_VALUE"""),"L25")</f>
        <v>L25</v>
      </c>
      <c r="B10085" s="226" t="str">
        <f>IFERROR(__xludf.DUMMYFUNCTION("""COMPUTED_VALUE"""),"67158")</f>
        <v>67158</v>
      </c>
      <c r="C10085" t="str">
        <f>IFERROR(__xludf.DUMMYFUNCTION("""COMPUTED_VALUE"""),"Autohak")</f>
        <v>Autohak</v>
      </c>
    </row>
    <row r="10086">
      <c r="A10086" t="str">
        <f>IFERROR(__xludf.DUMMYFUNCTION("""COMPUTED_VALUE"""),"L25A")</f>
        <v>L25A</v>
      </c>
      <c r="B10086" s="226" t="str">
        <f>IFERROR(__xludf.DUMMYFUNCTION("""COMPUTED_VALUE"""),"68155")</f>
        <v>68155</v>
      </c>
      <c r="C10086" t="str">
        <f>IFERROR(__xludf.DUMMYFUNCTION("""COMPUTED_VALUE"""),"Autohak")</f>
        <v>Autohak</v>
      </c>
    </row>
    <row r="10087">
      <c r="A10087" t="str">
        <f>IFERROR(__xludf.DUMMYFUNCTION("""COMPUTED_VALUE"""),"L24")</f>
        <v>L24</v>
      </c>
      <c r="B10087" s="226" t="str">
        <f>IFERROR(__xludf.DUMMYFUNCTION("""COMPUTED_VALUE"""),"67141")</f>
        <v>67141</v>
      </c>
      <c r="C10087" t="str">
        <f>IFERROR(__xludf.DUMMYFUNCTION("""COMPUTED_VALUE"""),"Autohak")</f>
        <v>Autohak</v>
      </c>
    </row>
    <row r="10088">
      <c r="A10088" t="str">
        <f>IFERROR(__xludf.DUMMYFUNCTION("""COMPUTED_VALUE"""),"L24A")</f>
        <v>L24A</v>
      </c>
      <c r="B10088" s="226" t="str">
        <f>IFERROR(__xludf.DUMMYFUNCTION("""COMPUTED_VALUE"""),"68148")</f>
        <v>68148</v>
      </c>
      <c r="C10088" t="str">
        <f>IFERROR(__xludf.DUMMYFUNCTION("""COMPUTED_VALUE"""),"Autohak")</f>
        <v>Autohak</v>
      </c>
    </row>
    <row r="10089">
      <c r="A10089" t="str">
        <f>IFERROR(__xludf.DUMMYFUNCTION("""COMPUTED_VALUE"""),"L18")</f>
        <v>L18</v>
      </c>
      <c r="B10089" s="226" t="str">
        <f>IFERROR(__xludf.DUMMYFUNCTION("""COMPUTED_VALUE"""),"67073")</f>
        <v>67073</v>
      </c>
      <c r="C10089" t="str">
        <f>IFERROR(__xludf.DUMMYFUNCTION("""COMPUTED_VALUE"""),"Autohak")</f>
        <v>Autohak</v>
      </c>
    </row>
    <row r="10090">
      <c r="A10090" t="str">
        <f>IFERROR(__xludf.DUMMYFUNCTION("""COMPUTED_VALUE"""),"L18A")</f>
        <v>L18A</v>
      </c>
      <c r="B10090" s="226" t="str">
        <f>IFERROR(__xludf.DUMMYFUNCTION("""COMPUTED_VALUE"""),"68070")</f>
        <v>68070</v>
      </c>
      <c r="C10090" t="str">
        <f>IFERROR(__xludf.DUMMYFUNCTION("""COMPUTED_VALUE"""),"Autohak")</f>
        <v>Autohak</v>
      </c>
    </row>
    <row r="10091">
      <c r="A10091" t="str">
        <f>IFERROR(__xludf.DUMMYFUNCTION("""COMPUTED_VALUE"""),"L18V")</f>
        <v>L18V</v>
      </c>
      <c r="B10091" s="226" t="str">
        <f>IFERROR(__xludf.DUMMYFUNCTION("""COMPUTED_VALUE"""),"68926")</f>
        <v>68926</v>
      </c>
      <c r="C10091" t="str">
        <f>IFERROR(__xludf.DUMMYFUNCTION("""COMPUTED_VALUE"""),"Autohak")</f>
        <v>Autohak</v>
      </c>
    </row>
    <row r="10092">
      <c r="A10092" t="str">
        <f>IFERROR(__xludf.DUMMYFUNCTION("""COMPUTED_VALUE"""),"L18")</f>
        <v>L18</v>
      </c>
      <c r="B10092" s="226" t="str">
        <f>IFERROR(__xludf.DUMMYFUNCTION("""COMPUTED_VALUE"""),"67073")</f>
        <v>67073</v>
      </c>
      <c r="C10092" t="str">
        <f>IFERROR(__xludf.DUMMYFUNCTION("""COMPUTED_VALUE"""),"Autohak")</f>
        <v>Autohak</v>
      </c>
    </row>
    <row r="10093">
      <c r="A10093" t="str">
        <f>IFERROR(__xludf.DUMMYFUNCTION("""COMPUTED_VALUE"""),"L18A")</f>
        <v>L18A</v>
      </c>
      <c r="B10093" s="226" t="str">
        <f>IFERROR(__xludf.DUMMYFUNCTION("""COMPUTED_VALUE"""),"68070")</f>
        <v>68070</v>
      </c>
      <c r="C10093" t="str">
        <f>IFERROR(__xludf.DUMMYFUNCTION("""COMPUTED_VALUE"""),"Autohak")</f>
        <v>Autohak</v>
      </c>
    </row>
    <row r="10094">
      <c r="A10094" t="str">
        <f>IFERROR(__xludf.DUMMYFUNCTION("""COMPUTED_VALUE"""),"L18V")</f>
        <v>L18V</v>
      </c>
      <c r="B10094" s="226" t="str">
        <f>IFERROR(__xludf.DUMMYFUNCTION("""COMPUTED_VALUE"""),"68926")</f>
        <v>68926</v>
      </c>
      <c r="C10094" t="str">
        <f>IFERROR(__xludf.DUMMYFUNCTION("""COMPUTED_VALUE"""),"Autohak")</f>
        <v>Autohak</v>
      </c>
    </row>
    <row r="10095">
      <c r="A10095" t="str">
        <f>IFERROR(__xludf.DUMMYFUNCTION("""COMPUTED_VALUE"""),"L28")</f>
        <v>L28</v>
      </c>
      <c r="B10095" s="226" t="str">
        <f>IFERROR(__xludf.DUMMYFUNCTION("""COMPUTED_VALUE"""),"67189")</f>
        <v>67189</v>
      </c>
      <c r="C10095" t="str">
        <f>IFERROR(__xludf.DUMMYFUNCTION("""COMPUTED_VALUE"""),"Autohak")</f>
        <v>Autohak</v>
      </c>
    </row>
    <row r="10096">
      <c r="A10096" t="str">
        <f>IFERROR(__xludf.DUMMYFUNCTION("""COMPUTED_VALUE"""),"L28A")</f>
        <v>L28A</v>
      </c>
      <c r="B10096" s="226" t="str">
        <f>IFERROR(__xludf.DUMMYFUNCTION("""COMPUTED_VALUE"""),"68186")</f>
        <v>68186</v>
      </c>
      <c r="C10096" t="str">
        <f>IFERROR(__xludf.DUMMYFUNCTION("""COMPUTED_VALUE"""),"Autohak")</f>
        <v>Autohak</v>
      </c>
    </row>
    <row r="10097">
      <c r="A10097" t="str">
        <f>IFERROR(__xludf.DUMMYFUNCTION("""COMPUTED_VALUE"""),"L28V")</f>
        <v>L28V</v>
      </c>
      <c r="B10097" s="226" t="str">
        <f>IFERROR(__xludf.DUMMYFUNCTION("""COMPUTED_VALUE"""),"68933")</f>
        <v>68933</v>
      </c>
      <c r="C10097" t="str">
        <f>IFERROR(__xludf.DUMMYFUNCTION("""COMPUTED_VALUE"""),"Autohak")</f>
        <v>Autohak</v>
      </c>
    </row>
    <row r="10098">
      <c r="C10098" t="str">
        <f>IFERROR(__xludf.DUMMYFUNCTION("""COMPUTED_VALUE"""),"Autohak")</f>
        <v>Autohak</v>
      </c>
    </row>
    <row r="10099">
      <c r="A10099" t="str">
        <f>IFERROR(__xludf.DUMMYFUNCTION("""COMPUTED_VALUE"""),"E67")</f>
        <v>E67</v>
      </c>
      <c r="B10099" s="226" t="str">
        <f>IFERROR(__xludf.DUMMYFUNCTION("""COMPUTED_VALUE"""),"40588")</f>
        <v>40588</v>
      </c>
      <c r="C10099" t="str">
        <f>IFERROR(__xludf.DUMMYFUNCTION("""COMPUTED_VALUE"""),"Autohak")</f>
        <v>Autohak</v>
      </c>
    </row>
    <row r="10100">
      <c r="A10100" t="str">
        <f>IFERROR(__xludf.DUMMYFUNCTION("""COMPUTED_VALUE"""),"E67A")</f>
        <v>E67A</v>
      </c>
      <c r="B10100" s="226" t="str">
        <f>IFERROR(__xludf.DUMMYFUNCTION("""COMPUTED_VALUE"""),"43589")</f>
        <v>43589</v>
      </c>
      <c r="C10100" t="str">
        <f>IFERROR(__xludf.DUMMYFUNCTION("""COMPUTED_VALUE"""),"Autohak")</f>
        <v>Autohak</v>
      </c>
    </row>
    <row r="10101">
      <c r="A10101" t="str">
        <f>IFERROR(__xludf.DUMMYFUNCTION("""COMPUTED_VALUE"""),"E67V")</f>
        <v>E67V</v>
      </c>
      <c r="B10101" s="226" t="str">
        <f>IFERROR(__xludf.DUMMYFUNCTION("""COMPUTED_VALUE"""),"43817")</f>
        <v>43817</v>
      </c>
      <c r="C10101" t="str">
        <f>IFERROR(__xludf.DUMMYFUNCTION("""COMPUTED_VALUE"""),"Autohak")</f>
        <v>Autohak</v>
      </c>
    </row>
    <row r="10102">
      <c r="A10102" t="str">
        <f>IFERROR(__xludf.DUMMYFUNCTION("""COMPUTED_VALUE"""),"E67")</f>
        <v>E67</v>
      </c>
      <c r="B10102" s="226" t="str">
        <f>IFERROR(__xludf.DUMMYFUNCTION("""COMPUTED_VALUE"""),"40588")</f>
        <v>40588</v>
      </c>
      <c r="C10102" t="str">
        <f>IFERROR(__xludf.DUMMYFUNCTION("""COMPUTED_VALUE"""),"Autohak")</f>
        <v>Autohak</v>
      </c>
    </row>
    <row r="10103">
      <c r="A10103" t="str">
        <f>IFERROR(__xludf.DUMMYFUNCTION("""COMPUTED_VALUE"""),"E67A")</f>
        <v>E67A</v>
      </c>
      <c r="B10103" s="226" t="str">
        <f>IFERROR(__xludf.DUMMYFUNCTION("""COMPUTED_VALUE"""),"43589")</f>
        <v>43589</v>
      </c>
      <c r="C10103" t="str">
        <f>IFERROR(__xludf.DUMMYFUNCTION("""COMPUTED_VALUE"""),"Autohak")</f>
        <v>Autohak</v>
      </c>
    </row>
    <row r="10104">
      <c r="A10104" t="str">
        <f>IFERROR(__xludf.DUMMYFUNCTION("""COMPUTED_VALUE"""),"E67V")</f>
        <v>E67V</v>
      </c>
      <c r="B10104" s="226" t="str">
        <f>IFERROR(__xludf.DUMMYFUNCTION("""COMPUTED_VALUE"""),"43817")</f>
        <v>43817</v>
      </c>
      <c r="C10104" t="str">
        <f>IFERROR(__xludf.DUMMYFUNCTION("""COMPUTED_VALUE"""),"Autohak")</f>
        <v>Autohak</v>
      </c>
    </row>
    <row r="10105">
      <c r="A10105" t="str">
        <f>IFERROR(__xludf.DUMMYFUNCTION("""COMPUTED_VALUE"""),"B30")</f>
        <v>B30</v>
      </c>
      <c r="B10105" s="226" t="str">
        <f>IFERROR(__xludf.DUMMYFUNCTION("""COMPUTED_VALUE"""),"03262")</f>
        <v>03262</v>
      </c>
      <c r="C10105" t="str">
        <f>IFERROR(__xludf.DUMMYFUNCTION("""COMPUTED_VALUE"""),"Autohak")</f>
        <v>Autohak</v>
      </c>
    </row>
    <row r="10106">
      <c r="A10106" t="str">
        <f>IFERROR(__xludf.DUMMYFUNCTION("""COMPUTED_VALUE"""),"B30A")</f>
        <v>B30A</v>
      </c>
      <c r="B10106" s="226" t="str">
        <f>IFERROR(__xludf.DUMMYFUNCTION("""COMPUTED_VALUE"""),"04269")</f>
        <v>04269</v>
      </c>
      <c r="C10106" t="str">
        <f>IFERROR(__xludf.DUMMYFUNCTION("""COMPUTED_VALUE"""),"Autohak")</f>
        <v>Autohak</v>
      </c>
    </row>
    <row r="10107">
      <c r="A10107" t="str">
        <f>IFERROR(__xludf.DUMMYFUNCTION("""COMPUTED_VALUE"""),"B30V")</f>
        <v>B30V</v>
      </c>
      <c r="B10107" s="226" t="str">
        <f>IFERROR(__xludf.DUMMYFUNCTION("""COMPUTED_VALUE"""),"04801")</f>
        <v>04801</v>
      </c>
      <c r="C10107" t="str">
        <f>IFERROR(__xludf.DUMMYFUNCTION("""COMPUTED_VALUE"""),"Autohak")</f>
        <v>Autohak</v>
      </c>
    </row>
    <row r="10108">
      <c r="A10108" t="str">
        <f>IFERROR(__xludf.DUMMYFUNCTION("""COMPUTED_VALUE"""),"G73V")</f>
        <v>G73V</v>
      </c>
      <c r="B10108" s="226" t="str">
        <f>IFERROR(__xludf.DUMMYFUNCTION("""COMPUTED_VALUE"""),"51959")</f>
        <v>51959</v>
      </c>
      <c r="C10108" t="str">
        <f>IFERROR(__xludf.DUMMYFUNCTION("""COMPUTED_VALUE"""),"Autohak")</f>
        <v>Autohak</v>
      </c>
    </row>
    <row r="10109">
      <c r="A10109" t="str">
        <f>IFERROR(__xludf.DUMMYFUNCTION("""COMPUTED_VALUE"""),"G73V")</f>
        <v>G73V</v>
      </c>
      <c r="B10109" s="226" t="str">
        <f>IFERROR(__xludf.DUMMYFUNCTION("""COMPUTED_VALUE"""),"51959")</f>
        <v>51959</v>
      </c>
      <c r="C10109" t="str">
        <f>IFERROR(__xludf.DUMMYFUNCTION("""COMPUTED_VALUE"""),"Autohak")</f>
        <v>Autohak</v>
      </c>
    </row>
    <row r="10110">
      <c r="A10110" t="str">
        <f>IFERROR(__xludf.DUMMYFUNCTION("""COMPUTED_VALUE"""),"B29")</f>
        <v>B29</v>
      </c>
      <c r="B10110" s="226" t="str">
        <f>IFERROR(__xludf.DUMMYFUNCTION("""COMPUTED_VALUE"""),"03255")</f>
        <v>03255</v>
      </c>
      <c r="C10110" t="str">
        <f>IFERROR(__xludf.DUMMYFUNCTION("""COMPUTED_VALUE"""),"Autohak")</f>
        <v>Autohak</v>
      </c>
    </row>
    <row r="10111">
      <c r="A10111" t="str">
        <f>IFERROR(__xludf.DUMMYFUNCTION("""COMPUTED_VALUE"""),"B29A")</f>
        <v>B29A</v>
      </c>
      <c r="B10111" s="226" t="str">
        <f>IFERROR(__xludf.DUMMYFUNCTION("""COMPUTED_VALUE"""),"04252")</f>
        <v>04252</v>
      </c>
      <c r="C10111" t="str">
        <f>IFERROR(__xludf.DUMMYFUNCTION("""COMPUTED_VALUE"""),"Autohak")</f>
        <v>Autohak</v>
      </c>
    </row>
    <row r="10112">
      <c r="A10112" t="str">
        <f>IFERROR(__xludf.DUMMYFUNCTION("""COMPUTED_VALUE"""),"B29V")</f>
        <v>B29V</v>
      </c>
      <c r="B10112" s="226" t="str">
        <f>IFERROR(__xludf.DUMMYFUNCTION("""COMPUTED_VALUE"""),"04818")</f>
        <v>04818</v>
      </c>
      <c r="C10112" t="str">
        <f>IFERROR(__xludf.DUMMYFUNCTION("""COMPUTED_VALUE"""),"Autohak")</f>
        <v>Autohak</v>
      </c>
    </row>
    <row r="10113">
      <c r="A10113" t="str">
        <f>IFERROR(__xludf.DUMMYFUNCTION("""COMPUTED_VALUE"""),"D61")</f>
        <v>D61</v>
      </c>
      <c r="B10113" s="226" t="str">
        <f>IFERROR(__xludf.DUMMYFUNCTION("""COMPUTED_VALUE"""),"32521")</f>
        <v>32521</v>
      </c>
      <c r="C10113" t="str">
        <f>IFERROR(__xludf.DUMMYFUNCTION("""COMPUTED_VALUE"""),"Autohak")</f>
        <v>Autohak</v>
      </c>
    </row>
    <row r="10114">
      <c r="A10114" t="str">
        <f>IFERROR(__xludf.DUMMYFUNCTION("""COMPUTED_VALUE"""),"D61A")</f>
        <v>D61A</v>
      </c>
      <c r="B10114" s="226" t="str">
        <f>IFERROR(__xludf.DUMMYFUNCTION("""COMPUTED_VALUE"""),"34495")</f>
        <v>34495</v>
      </c>
      <c r="C10114" t="str">
        <f>IFERROR(__xludf.DUMMYFUNCTION("""COMPUTED_VALUE"""),"Autohak")</f>
        <v>Autohak</v>
      </c>
    </row>
    <row r="10115">
      <c r="A10115" t="str">
        <f>IFERROR(__xludf.DUMMYFUNCTION("""COMPUTED_VALUE"""),"D61V")</f>
        <v>D61V</v>
      </c>
      <c r="B10115" s="226" t="str">
        <f>IFERROR(__xludf.DUMMYFUNCTION("""COMPUTED_VALUE"""),"34754")</f>
        <v>34754</v>
      </c>
      <c r="C10115" t="str">
        <f>IFERROR(__xludf.DUMMYFUNCTION("""COMPUTED_VALUE"""),"Autohak")</f>
        <v>Autohak</v>
      </c>
    </row>
    <row r="10116">
      <c r="A10116" t="str">
        <f>IFERROR(__xludf.DUMMYFUNCTION("""COMPUTED_VALUE"""),"H33")</f>
        <v>H33</v>
      </c>
      <c r="B10116" s="226" t="str">
        <f>IFERROR(__xludf.DUMMYFUNCTION("""COMPUTED_VALUE"""),"55308")</f>
        <v>55308</v>
      </c>
      <c r="C10116" t="str">
        <f>IFERROR(__xludf.DUMMYFUNCTION("""COMPUTED_VALUE"""),"Autohak")</f>
        <v>Autohak</v>
      </c>
    </row>
    <row r="10117">
      <c r="A10117" t="str">
        <f>IFERROR(__xludf.DUMMYFUNCTION("""COMPUTED_VALUE"""),"H33A")</f>
        <v>H33A</v>
      </c>
      <c r="B10117" s="226" t="str">
        <f>IFERROR(__xludf.DUMMYFUNCTION("""COMPUTED_VALUE"""),"58286")</f>
        <v>58286</v>
      </c>
      <c r="C10117" t="str">
        <f>IFERROR(__xludf.DUMMYFUNCTION("""COMPUTED_VALUE"""),"Autohak")</f>
        <v>Autohak</v>
      </c>
    </row>
    <row r="10118">
      <c r="A10118" t="str">
        <f>IFERROR(__xludf.DUMMYFUNCTION("""COMPUTED_VALUE"""),"H33V")</f>
        <v>H33V</v>
      </c>
      <c r="B10118" s="226" t="str">
        <f>IFERROR(__xludf.DUMMYFUNCTION("""COMPUTED_VALUE"""),"58811")</f>
        <v>58811</v>
      </c>
      <c r="C10118" t="str">
        <f>IFERROR(__xludf.DUMMYFUNCTION("""COMPUTED_VALUE"""),"Autohak")</f>
        <v>Autohak</v>
      </c>
    </row>
    <row r="10119">
      <c r="A10119" t="str">
        <f>IFERROR(__xludf.DUMMYFUNCTION("""COMPUTED_VALUE"""),"T82")</f>
        <v>T82</v>
      </c>
      <c r="B10119" s="226" t="str">
        <f>IFERROR(__xludf.DUMMYFUNCTION("""COMPUTED_VALUE"""),"25493")</f>
        <v>25493</v>
      </c>
      <c r="C10119" t="str">
        <f>IFERROR(__xludf.DUMMYFUNCTION("""COMPUTED_VALUE"""),"Autohak")</f>
        <v>Autohak</v>
      </c>
    </row>
    <row r="10120">
      <c r="A10120" t="str">
        <f>IFERROR(__xludf.DUMMYFUNCTION("""COMPUTED_VALUE"""),"T82A")</f>
        <v>T82A</v>
      </c>
      <c r="B10120" s="226" t="str">
        <f>IFERROR(__xludf.DUMMYFUNCTION("""COMPUTED_VALUE"""),"27473")</f>
        <v>27473</v>
      </c>
      <c r="C10120" t="str">
        <f>IFERROR(__xludf.DUMMYFUNCTION("""COMPUTED_VALUE"""),"Autohak")</f>
        <v>Autohak</v>
      </c>
    </row>
    <row r="10121">
      <c r="A10121" t="str">
        <f>IFERROR(__xludf.DUMMYFUNCTION("""COMPUTED_VALUE"""),"T82V")</f>
        <v>T82V</v>
      </c>
      <c r="B10121" s="226" t="str">
        <f>IFERROR(__xludf.DUMMYFUNCTION("""COMPUTED_VALUE"""),"27800")</f>
        <v>27800</v>
      </c>
      <c r="C10121" t="str">
        <f>IFERROR(__xludf.DUMMYFUNCTION("""COMPUTED_VALUE"""),"Autohak")</f>
        <v>Autohak</v>
      </c>
    </row>
    <row r="10122">
      <c r="A10122" t="str">
        <f>IFERROR(__xludf.DUMMYFUNCTION("""COMPUTED_VALUE"""),"T83")</f>
        <v>T83</v>
      </c>
      <c r="B10122" s="226" t="str">
        <f>IFERROR(__xludf.DUMMYFUNCTION("""COMPUTED_VALUE"""),"25509")</f>
        <v>25509</v>
      </c>
      <c r="C10122" t="str">
        <f>IFERROR(__xludf.DUMMYFUNCTION("""COMPUTED_VALUE"""),"Autohak")</f>
        <v>Autohak</v>
      </c>
    </row>
    <row r="10123">
      <c r="A10123" t="str">
        <f>IFERROR(__xludf.DUMMYFUNCTION("""COMPUTED_VALUE"""),"T83A")</f>
        <v>T83A</v>
      </c>
      <c r="B10123" s="226" t="str">
        <f>IFERROR(__xludf.DUMMYFUNCTION("""COMPUTED_VALUE"""),"27480")</f>
        <v>27480</v>
      </c>
      <c r="C10123" t="str">
        <f>IFERROR(__xludf.DUMMYFUNCTION("""COMPUTED_VALUE"""),"Autohak")</f>
        <v>Autohak</v>
      </c>
    </row>
    <row r="10124">
      <c r="A10124" t="str">
        <f>IFERROR(__xludf.DUMMYFUNCTION("""COMPUTED_VALUE"""),"T83V")</f>
        <v>T83V</v>
      </c>
      <c r="B10124" s="226" t="str">
        <f>IFERROR(__xludf.DUMMYFUNCTION("""COMPUTED_VALUE"""),"27794")</f>
        <v>27794</v>
      </c>
      <c r="C10124" t="str">
        <f>IFERROR(__xludf.DUMMYFUNCTION("""COMPUTED_VALUE"""),"Autohak")</f>
        <v>Autohak</v>
      </c>
    </row>
    <row r="10125">
      <c r="A10125" t="str">
        <f>IFERROR(__xludf.DUMMYFUNCTION("""COMPUTED_VALUE"""),"T83")</f>
        <v>T83</v>
      </c>
      <c r="B10125" s="226" t="str">
        <f>IFERROR(__xludf.DUMMYFUNCTION("""COMPUTED_VALUE"""),"25509")</f>
        <v>25509</v>
      </c>
      <c r="C10125" t="str">
        <f>IFERROR(__xludf.DUMMYFUNCTION("""COMPUTED_VALUE"""),"Autohak")</f>
        <v>Autohak</v>
      </c>
    </row>
    <row r="10126">
      <c r="A10126" t="str">
        <f>IFERROR(__xludf.DUMMYFUNCTION("""COMPUTED_VALUE"""),"T83A")</f>
        <v>T83A</v>
      </c>
      <c r="B10126" s="226" t="str">
        <f>IFERROR(__xludf.DUMMYFUNCTION("""COMPUTED_VALUE"""),"27480")</f>
        <v>27480</v>
      </c>
      <c r="C10126" t="str">
        <f>IFERROR(__xludf.DUMMYFUNCTION("""COMPUTED_VALUE"""),"Autohak")</f>
        <v>Autohak</v>
      </c>
    </row>
    <row r="10127">
      <c r="A10127" t="str">
        <f>IFERROR(__xludf.DUMMYFUNCTION("""COMPUTED_VALUE"""),"T83V")</f>
        <v>T83V</v>
      </c>
      <c r="B10127" s="226" t="str">
        <f>IFERROR(__xludf.DUMMYFUNCTION("""COMPUTED_VALUE"""),"27794")</f>
        <v>27794</v>
      </c>
      <c r="C10127" t="str">
        <f>IFERROR(__xludf.DUMMYFUNCTION("""COMPUTED_VALUE"""),"Autohak")</f>
        <v>Autohak</v>
      </c>
    </row>
    <row r="10128">
      <c r="A10128" t="str">
        <f>IFERROR(__xludf.DUMMYFUNCTION("""COMPUTED_VALUE"""),"M72")</f>
        <v>M72</v>
      </c>
      <c r="B10128" s="226" t="str">
        <f>IFERROR(__xludf.DUMMYFUNCTION("""COMPUTED_VALUE"""),"30305")</f>
        <v>30305</v>
      </c>
      <c r="C10128" t="str">
        <f>IFERROR(__xludf.DUMMYFUNCTION("""COMPUTED_VALUE"""),"Autohak")</f>
        <v>Autohak</v>
      </c>
    </row>
    <row r="10129">
      <c r="A10129" t="str">
        <f>IFERROR(__xludf.DUMMYFUNCTION("""COMPUTED_VALUE"""),"M72A")</f>
        <v>M72A</v>
      </c>
      <c r="B10129" s="226" t="str">
        <f>IFERROR(__xludf.DUMMYFUNCTION("""COMPUTED_VALUE"""),"31791")</f>
        <v>31791</v>
      </c>
      <c r="C10129" t="str">
        <f>IFERROR(__xludf.DUMMYFUNCTION("""COMPUTED_VALUE"""),"Autohak")</f>
        <v>Autohak</v>
      </c>
    </row>
    <row r="10130">
      <c r="A10130" t="str">
        <f>IFERROR(__xludf.DUMMYFUNCTION("""COMPUTED_VALUE"""),"M72V")</f>
        <v>M72V</v>
      </c>
      <c r="B10130" s="226" t="str">
        <f>IFERROR(__xludf.DUMMYFUNCTION("""COMPUTED_VALUE"""),"31821")</f>
        <v>31821</v>
      </c>
      <c r="C10130" t="str">
        <f>IFERROR(__xludf.DUMMYFUNCTION("""COMPUTED_VALUE"""),"Autohak")</f>
        <v>Autohak</v>
      </c>
    </row>
    <row r="10131">
      <c r="C10131" t="str">
        <f>IFERROR(__xludf.DUMMYFUNCTION("""COMPUTED_VALUE"""),"Autohak")</f>
        <v>Autohak</v>
      </c>
    </row>
    <row r="10132">
      <c r="A10132" t="str">
        <f>IFERROR(__xludf.DUMMYFUNCTION("""COMPUTED_VALUE"""),"G73V")</f>
        <v>G73V</v>
      </c>
      <c r="B10132" s="226" t="str">
        <f>IFERROR(__xludf.DUMMYFUNCTION("""COMPUTED_VALUE"""),"51959")</f>
        <v>51959</v>
      </c>
      <c r="C10132" t="str">
        <f>IFERROR(__xludf.DUMMYFUNCTION("""COMPUTED_VALUE"""),"Autohak")</f>
        <v>Autohak</v>
      </c>
    </row>
    <row r="10133">
      <c r="A10133" t="str">
        <f>IFERROR(__xludf.DUMMYFUNCTION("""COMPUTED_VALUE"""),"G73V")</f>
        <v>G73V</v>
      </c>
      <c r="B10133" s="226" t="str">
        <f>IFERROR(__xludf.DUMMYFUNCTION("""COMPUTED_VALUE"""),"51959")</f>
        <v>51959</v>
      </c>
      <c r="C10133" t="str">
        <f>IFERROR(__xludf.DUMMYFUNCTION("""COMPUTED_VALUE"""),"Autohak")</f>
        <v>Autohak</v>
      </c>
    </row>
    <row r="10134">
      <c r="A10134" t="str">
        <f>IFERROR(__xludf.DUMMYFUNCTION("""COMPUTED_VALUE"""),"R14")</f>
        <v>R14</v>
      </c>
      <c r="B10134" s="226" t="str">
        <f>IFERROR(__xludf.DUMMYFUNCTION("""COMPUTED_VALUE"""),"13261")</f>
        <v>13261</v>
      </c>
      <c r="C10134" t="str">
        <f>IFERROR(__xludf.DUMMYFUNCTION("""COMPUTED_VALUE"""),"Autohak")</f>
        <v>Autohak</v>
      </c>
    </row>
    <row r="10135">
      <c r="A10135" t="str">
        <f>IFERROR(__xludf.DUMMYFUNCTION("""COMPUTED_VALUE"""),"R14A")</f>
        <v>R14A</v>
      </c>
      <c r="B10135" s="226" t="str">
        <f>IFERROR(__xludf.DUMMYFUNCTION("""COMPUTED_VALUE"""),"16262")</f>
        <v>16262</v>
      </c>
      <c r="C10135" t="str">
        <f>IFERROR(__xludf.DUMMYFUNCTION("""COMPUTED_VALUE"""),"Autohak")</f>
        <v>Autohak</v>
      </c>
    </row>
    <row r="10136">
      <c r="A10136" t="str">
        <f>IFERROR(__xludf.DUMMYFUNCTION("""COMPUTED_VALUE"""),"C68")</f>
        <v>C68</v>
      </c>
      <c r="B10136" s="226" t="str">
        <f>IFERROR(__xludf.DUMMYFUNCTION("""COMPUTED_VALUE"""),"17672")</f>
        <v>17672</v>
      </c>
      <c r="C10136" t="str">
        <f>IFERROR(__xludf.DUMMYFUNCTION("""COMPUTED_VALUE"""),"Autohak")</f>
        <v>Autohak</v>
      </c>
    </row>
    <row r="10137">
      <c r="A10137" t="str">
        <f>IFERROR(__xludf.DUMMYFUNCTION("""COMPUTED_VALUE"""),"C68A")</f>
        <v>C68A</v>
      </c>
      <c r="B10137" s="226" t="str">
        <f>IFERROR(__xludf.DUMMYFUNCTION("""COMPUTED_VALUE"""),"19645")</f>
        <v>19645</v>
      </c>
      <c r="C10137" t="str">
        <f>IFERROR(__xludf.DUMMYFUNCTION("""COMPUTED_VALUE"""),"Autohak")</f>
        <v>Autohak</v>
      </c>
    </row>
    <row r="10138">
      <c r="A10138" t="str">
        <f>IFERROR(__xludf.DUMMYFUNCTION("""COMPUTED_VALUE"""),"H14")</f>
        <v>H14</v>
      </c>
      <c r="B10138" s="226" t="str">
        <f>IFERROR(__xludf.DUMMYFUNCTION("""COMPUTED_VALUE"""),"55315")</f>
        <v>55315</v>
      </c>
      <c r="C10138" t="str">
        <f>IFERROR(__xludf.DUMMYFUNCTION("""COMPUTED_VALUE"""),"Autohak")</f>
        <v>Autohak</v>
      </c>
    </row>
    <row r="10139">
      <c r="A10139" t="str">
        <f>IFERROR(__xludf.DUMMYFUNCTION("""COMPUTED_VALUE"""),"F31")</f>
        <v>F31</v>
      </c>
      <c r="B10139" s="226" t="str">
        <f>IFERROR(__xludf.DUMMYFUNCTION("""COMPUTED_VALUE"""),"44227")</f>
        <v>44227</v>
      </c>
      <c r="C10139" t="str">
        <f>IFERROR(__xludf.DUMMYFUNCTION("""COMPUTED_VALUE"""),"Autohak")</f>
        <v>Autohak</v>
      </c>
    </row>
    <row r="10140">
      <c r="C10140" t="str">
        <f>IFERROR(__xludf.DUMMYFUNCTION("""COMPUTED_VALUE"""),"Autohak")</f>
        <v>Autohak</v>
      </c>
    </row>
    <row r="10141">
      <c r="A10141" t="str">
        <f>IFERROR(__xludf.DUMMYFUNCTION("""COMPUTED_VALUE"""),"F31A")</f>
        <v>F31A</v>
      </c>
      <c r="B10141" s="226" t="str">
        <f>IFERROR(__xludf.DUMMYFUNCTION("""COMPUTED_VALUE"""),"46221")</f>
        <v>46221</v>
      </c>
      <c r="C10141" t="str">
        <f>IFERROR(__xludf.DUMMYFUNCTION("""COMPUTED_VALUE"""),"Autohak")</f>
        <v>Autohak</v>
      </c>
    </row>
    <row r="10142">
      <c r="A10142" t="str">
        <f>IFERROR(__xludf.DUMMYFUNCTION("""COMPUTED_VALUE"""),"F31V")</f>
        <v>F31V</v>
      </c>
      <c r="B10142" s="226" t="str">
        <f>IFERROR(__xludf.DUMMYFUNCTION("""COMPUTED_VALUE"""),"46993")</f>
        <v>46993</v>
      </c>
      <c r="C10142" t="str">
        <f>IFERROR(__xludf.DUMMYFUNCTION("""COMPUTED_VALUE"""),"Autohak")</f>
        <v>Autohak</v>
      </c>
    </row>
    <row r="10143">
      <c r="A10143" t="str">
        <f>IFERROR(__xludf.DUMMYFUNCTION("""COMPUTED_VALUE"""),"F31V")</f>
        <v>F31V</v>
      </c>
      <c r="B10143" s="226" t="str">
        <f>IFERROR(__xludf.DUMMYFUNCTION("""COMPUTED_VALUE"""),"46993")</f>
        <v>46993</v>
      </c>
      <c r="C10143" t="str">
        <f>IFERROR(__xludf.DUMMYFUNCTION("""COMPUTED_VALUE"""),"Autohak")</f>
        <v>Autohak</v>
      </c>
    </row>
    <row r="10144">
      <c r="A10144" t="str">
        <f>IFERROR(__xludf.DUMMYFUNCTION("""COMPUTED_VALUE"""),"F50")</f>
        <v>F50</v>
      </c>
      <c r="B10144" s="226" t="str">
        <f>IFERROR(__xludf.DUMMYFUNCTION("""COMPUTED_VALUE"""),"44401")</f>
        <v>44401</v>
      </c>
      <c r="C10144" t="str">
        <f>IFERROR(__xludf.DUMMYFUNCTION("""COMPUTED_VALUE"""),"Autohak")</f>
        <v>Autohak</v>
      </c>
    </row>
    <row r="10145">
      <c r="A10145" t="str">
        <f>IFERROR(__xludf.DUMMYFUNCTION("""COMPUTED_VALUE"""),"F50A")</f>
        <v>F50A</v>
      </c>
      <c r="B10145" s="226" t="str">
        <f>IFERROR(__xludf.DUMMYFUNCTION("""COMPUTED_VALUE"""),"46412")</f>
        <v>46412</v>
      </c>
      <c r="C10145" t="str">
        <f>IFERROR(__xludf.DUMMYFUNCTION("""COMPUTED_VALUE"""),"Autohak")</f>
        <v>Autohak</v>
      </c>
    </row>
    <row r="10146">
      <c r="A10146" t="str">
        <f>IFERROR(__xludf.DUMMYFUNCTION("""COMPUTED_VALUE"""),"F50V")</f>
        <v>F50V</v>
      </c>
      <c r="B10146" s="226" t="str">
        <f>IFERROR(__xludf.DUMMYFUNCTION("""COMPUTED_VALUE"""),"46825")</f>
        <v>46825</v>
      </c>
      <c r="C10146" t="str">
        <f>IFERROR(__xludf.DUMMYFUNCTION("""COMPUTED_VALUE"""),"Autohak")</f>
        <v>Autohak</v>
      </c>
    </row>
    <row r="10147">
      <c r="A10147" t="str">
        <f>IFERROR(__xludf.DUMMYFUNCTION("""COMPUTED_VALUE"""),"01049")</f>
        <v>01049</v>
      </c>
      <c r="B10147" s="226" t="str">
        <f>IFERROR(__xludf.DUMMYFUNCTION("""COMPUTED_VALUE"""),"8058772226359")</f>
        <v>8058772226359</v>
      </c>
      <c r="C10147" t="str">
        <f>IFERROR(__xludf.DUMMYFUNCTION("""COMPUTED_VALUE"""),"Umbra")</f>
        <v>Umbra</v>
      </c>
    </row>
    <row r="10148">
      <c r="A10148" t="str">
        <f>IFERROR(__xludf.DUMMYFUNCTION("""COMPUTED_VALUE"""),"01052")</f>
        <v>01052</v>
      </c>
      <c r="C10148" t="str">
        <f>IFERROR(__xludf.DUMMYFUNCTION("""COMPUTED_VALUE"""),"Umbra")</f>
        <v>Umbra</v>
      </c>
    </row>
    <row r="10149">
      <c r="A10149" t="str">
        <f>IFERROR(__xludf.DUMMYFUNCTION("""COMPUTED_VALUE"""),"01057")</f>
        <v>01057</v>
      </c>
      <c r="B10149" s="226" t="str">
        <f>IFERROR(__xludf.DUMMYFUNCTION("""COMPUTED_VALUE"""),"8058772221361")</f>
        <v>8058772221361</v>
      </c>
      <c r="C10149" t="str">
        <f>IFERROR(__xludf.DUMMYFUNCTION("""COMPUTED_VALUE"""),"Umbra")</f>
        <v>Umbra</v>
      </c>
    </row>
    <row r="10150">
      <c r="A10150" t="str">
        <f>IFERROR(__xludf.DUMMYFUNCTION("""COMPUTED_VALUE"""),"01057/F")</f>
        <v>01057/F</v>
      </c>
      <c r="B10150" s="226" t="str">
        <f>IFERROR(__xludf.DUMMYFUNCTION("""COMPUTED_VALUE"""),"8058772221354")</f>
        <v>8058772221354</v>
      </c>
      <c r="C10150" t="str">
        <f>IFERROR(__xludf.DUMMYFUNCTION("""COMPUTED_VALUE"""),"Umbra")</f>
        <v>Umbra</v>
      </c>
    </row>
    <row r="10151">
      <c r="A10151" t="str">
        <f>IFERROR(__xludf.DUMMYFUNCTION("""COMPUTED_VALUE"""),"01053/C")</f>
        <v>01053/C</v>
      </c>
      <c r="B10151" s="226" t="str">
        <f>IFERROR(__xludf.DUMMYFUNCTION("""COMPUTED_VALUE"""),"8058772226380")</f>
        <v>8058772226380</v>
      </c>
      <c r="C10151" t="str">
        <f>IFERROR(__xludf.DUMMYFUNCTION("""COMPUTED_VALUE"""),"Umbra")</f>
        <v>Umbra</v>
      </c>
    </row>
    <row r="10152">
      <c r="A10152" t="str">
        <f>IFERROR(__xludf.DUMMYFUNCTION("""COMPUTED_VALUE"""),"01053/F")</f>
        <v>01053/F</v>
      </c>
      <c r="C10152" t="str">
        <f>IFERROR(__xludf.DUMMYFUNCTION("""COMPUTED_VALUE"""),"Umbra")</f>
        <v>Umbra</v>
      </c>
    </row>
    <row r="10153">
      <c r="A10153" t="str">
        <f>IFERROR(__xludf.DUMMYFUNCTION("""COMPUTED_VALUE"""),"01053/C")</f>
        <v>01053/C</v>
      </c>
      <c r="C10153" t="str">
        <f>IFERROR(__xludf.DUMMYFUNCTION("""COMPUTED_VALUE"""),"Umbra")</f>
        <v>Umbra</v>
      </c>
    </row>
    <row r="10154">
      <c r="A10154" t="str">
        <f>IFERROR(__xludf.DUMMYFUNCTION("""COMPUTED_VALUE"""),"01053/F")</f>
        <v>01053/F</v>
      </c>
      <c r="C10154" t="str">
        <f>IFERROR(__xludf.DUMMYFUNCTION("""COMPUTED_VALUE"""),"Umbra")</f>
        <v>Umbra</v>
      </c>
    </row>
    <row r="10155">
      <c r="A10155" t="str">
        <f>IFERROR(__xludf.DUMMYFUNCTION("""COMPUTED_VALUE"""),"01053/C")</f>
        <v>01053/C</v>
      </c>
      <c r="B10155" s="226" t="str">
        <f>IFERROR(__xludf.DUMMYFUNCTION("""COMPUTED_VALUE"""),"8058772226380")</f>
        <v>8058772226380</v>
      </c>
      <c r="C10155" t="str">
        <f>IFERROR(__xludf.DUMMYFUNCTION("""COMPUTED_VALUE"""),"Umbra")</f>
        <v>Umbra</v>
      </c>
    </row>
    <row r="10156">
      <c r="A10156" t="str">
        <f>IFERROR(__xludf.DUMMYFUNCTION("""COMPUTED_VALUE"""),"01053/F")</f>
        <v>01053/F</v>
      </c>
      <c r="C10156" t="str">
        <f>IFERROR(__xludf.DUMMYFUNCTION("""COMPUTED_VALUE"""),"Umbra")</f>
        <v>Umbra</v>
      </c>
    </row>
    <row r="10157">
      <c r="A10157" t="str">
        <f>IFERROR(__xludf.DUMMYFUNCTION("""COMPUTED_VALUE"""),"01053/C")</f>
        <v>01053/C</v>
      </c>
      <c r="C10157" t="str">
        <f>IFERROR(__xludf.DUMMYFUNCTION("""COMPUTED_VALUE"""),"Umbra")</f>
        <v>Umbra</v>
      </c>
    </row>
    <row r="10158">
      <c r="A10158" t="str">
        <f>IFERROR(__xludf.DUMMYFUNCTION("""COMPUTED_VALUE"""),"01053/F")</f>
        <v>01053/F</v>
      </c>
      <c r="C10158" t="str">
        <f>IFERROR(__xludf.DUMMYFUNCTION("""COMPUTED_VALUE"""),"Umbra")</f>
        <v>Umbra</v>
      </c>
    </row>
    <row r="10159">
      <c r="A10159" t="str">
        <f>IFERROR(__xludf.DUMMYFUNCTION("""COMPUTED_VALUE"""),"01055/C")</f>
        <v>01055/C</v>
      </c>
      <c r="B10159" s="226" t="str">
        <f>IFERROR(__xludf.DUMMYFUNCTION("""COMPUTED_VALUE"""),"8058772226410")</f>
        <v>8058772226410</v>
      </c>
      <c r="C10159" t="str">
        <f>IFERROR(__xludf.DUMMYFUNCTION("""COMPUTED_VALUE"""),"Umbra")</f>
        <v>Umbra</v>
      </c>
    </row>
    <row r="10160">
      <c r="A10160" t="str">
        <f>IFERROR(__xludf.DUMMYFUNCTION("""COMPUTED_VALUE"""),"01055/F")</f>
        <v>01055/F</v>
      </c>
      <c r="C10160" t="str">
        <f>IFERROR(__xludf.DUMMYFUNCTION("""COMPUTED_VALUE"""),"Umbra")</f>
        <v>Umbra</v>
      </c>
    </row>
    <row r="10161">
      <c r="A10161" t="str">
        <f>IFERROR(__xludf.DUMMYFUNCTION("""COMPUTED_VALUE"""),"01055/M")</f>
        <v>01055/M</v>
      </c>
      <c r="B10161" s="226" t="str">
        <f>IFERROR(__xludf.DUMMYFUNCTION("""COMPUTED_VALUE"""),"8058772226427")</f>
        <v>8058772226427</v>
      </c>
      <c r="C10161" t="str">
        <f>IFERROR(__xludf.DUMMYFUNCTION("""COMPUTED_VALUE"""),"Umbra")</f>
        <v>Umbra</v>
      </c>
    </row>
    <row r="10162">
      <c r="A10162" t="str">
        <f>IFERROR(__xludf.DUMMYFUNCTION("""COMPUTED_VALUE"""),"01055/C")</f>
        <v>01055/C</v>
      </c>
      <c r="B10162" s="226" t="str">
        <f>IFERROR(__xludf.DUMMYFUNCTION("""COMPUTED_VALUE"""),"8058772226410")</f>
        <v>8058772226410</v>
      </c>
      <c r="C10162" t="str">
        <f>IFERROR(__xludf.DUMMYFUNCTION("""COMPUTED_VALUE"""),"Umbra")</f>
        <v>Umbra</v>
      </c>
    </row>
    <row r="10163">
      <c r="A10163" t="str">
        <f>IFERROR(__xludf.DUMMYFUNCTION("""COMPUTED_VALUE"""),"01055/F")</f>
        <v>01055/F</v>
      </c>
      <c r="C10163" t="str">
        <f>IFERROR(__xludf.DUMMYFUNCTION("""COMPUTED_VALUE"""),"Umbra")</f>
        <v>Umbra</v>
      </c>
    </row>
    <row r="10164">
      <c r="A10164" t="str">
        <f>IFERROR(__xludf.DUMMYFUNCTION("""COMPUTED_VALUE"""),"01055/M")</f>
        <v>01055/M</v>
      </c>
      <c r="B10164" s="226" t="str">
        <f>IFERROR(__xludf.DUMMYFUNCTION("""COMPUTED_VALUE"""),"8058772226427")</f>
        <v>8058772226427</v>
      </c>
      <c r="C10164" t="str">
        <f>IFERROR(__xludf.DUMMYFUNCTION("""COMPUTED_VALUE"""),"Umbra")</f>
        <v>Umbra</v>
      </c>
    </row>
    <row r="10165">
      <c r="A10165" t="str">
        <f>IFERROR(__xludf.DUMMYFUNCTION("""COMPUTED_VALUE"""),"01055/C")</f>
        <v>01055/C</v>
      </c>
      <c r="B10165" s="226" t="str">
        <f>IFERROR(__xludf.DUMMYFUNCTION("""COMPUTED_VALUE"""),"8058772226410")</f>
        <v>8058772226410</v>
      </c>
      <c r="C10165" t="str">
        <f>IFERROR(__xludf.DUMMYFUNCTION("""COMPUTED_VALUE"""),"Umbra")</f>
        <v>Umbra</v>
      </c>
    </row>
    <row r="10166">
      <c r="A10166" t="str">
        <f>IFERROR(__xludf.DUMMYFUNCTION("""COMPUTED_VALUE"""),"01055/F")</f>
        <v>01055/F</v>
      </c>
      <c r="C10166" t="str">
        <f>IFERROR(__xludf.DUMMYFUNCTION("""COMPUTED_VALUE"""),"Umbra")</f>
        <v>Umbra</v>
      </c>
    </row>
    <row r="10167">
      <c r="A10167" t="str">
        <f>IFERROR(__xludf.DUMMYFUNCTION("""COMPUTED_VALUE"""),"01055/M")</f>
        <v>01055/M</v>
      </c>
      <c r="B10167" s="226" t="str">
        <f>IFERROR(__xludf.DUMMYFUNCTION("""COMPUTED_VALUE"""),"8058772226427")</f>
        <v>8058772226427</v>
      </c>
      <c r="C10167" t="str">
        <f>IFERROR(__xludf.DUMMYFUNCTION("""COMPUTED_VALUE"""),"Umbra")</f>
        <v>Umbra</v>
      </c>
    </row>
    <row r="10168">
      <c r="A10168" t="str">
        <f>IFERROR(__xludf.DUMMYFUNCTION("""COMPUTED_VALUE"""),"01051")</f>
        <v>01051</v>
      </c>
      <c r="B10168" s="226" t="str">
        <f>IFERROR(__xludf.DUMMYFUNCTION("""COMPUTED_VALUE"""),"8058772226366")</f>
        <v>8058772226366</v>
      </c>
      <c r="C10168" t="str">
        <f>IFERROR(__xludf.DUMMYFUNCTION("""COMPUTED_VALUE"""),"Umbra")</f>
        <v>Umbra</v>
      </c>
    </row>
    <row r="10169">
      <c r="A10169" t="str">
        <f>IFERROR(__xludf.DUMMYFUNCTION("""COMPUTED_VALUE"""),"01056/C")</f>
        <v>01056/C</v>
      </c>
      <c r="B10169" s="226" t="str">
        <f>IFERROR(__xludf.DUMMYFUNCTION("""COMPUTED_VALUE"""),"8058772226434")</f>
        <v>8058772226434</v>
      </c>
      <c r="C10169" t="str">
        <f>IFERROR(__xludf.DUMMYFUNCTION("""COMPUTED_VALUE"""),"Umbra")</f>
        <v>Umbra</v>
      </c>
    </row>
    <row r="10170">
      <c r="A10170" t="str">
        <f>IFERROR(__xludf.DUMMYFUNCTION("""COMPUTED_VALUE"""),"01056/F")</f>
        <v>01056/F</v>
      </c>
      <c r="C10170" t="str">
        <f>IFERROR(__xludf.DUMMYFUNCTION("""COMPUTED_VALUE"""),"Umbra")</f>
        <v>Umbra</v>
      </c>
    </row>
    <row r="10171">
      <c r="A10171" t="str">
        <f>IFERROR(__xludf.DUMMYFUNCTION("""COMPUTED_VALUE"""),"01056/VM")</f>
        <v>01056/VM</v>
      </c>
      <c r="B10171" s="226" t="str">
        <f>IFERROR(__xludf.DUMMYFUNCTION("""COMPUTED_VALUE"""),"8058772226441")</f>
        <v>8058772226441</v>
      </c>
      <c r="C10171" t="str">
        <f>IFERROR(__xludf.DUMMYFUNCTION("""COMPUTED_VALUE"""),"Umbra")</f>
        <v>Umbra</v>
      </c>
    </row>
    <row r="10172">
      <c r="A10172" t="str">
        <f>IFERROR(__xludf.DUMMYFUNCTION("""COMPUTED_VALUE"""),"01053/1C")</f>
        <v>01053/1C</v>
      </c>
      <c r="B10172" s="226" t="str">
        <f>IFERROR(__xludf.DUMMYFUNCTION("""COMPUTED_VALUE"""),"8058772226373")</f>
        <v>8058772226373</v>
      </c>
      <c r="C10172" t="str">
        <f>IFERROR(__xludf.DUMMYFUNCTION("""COMPUTED_VALUE"""),"Umbra")</f>
        <v>Umbra</v>
      </c>
    </row>
    <row r="10173">
      <c r="A10173" t="str">
        <f>IFERROR(__xludf.DUMMYFUNCTION("""COMPUTED_VALUE"""),"01053/1F")</f>
        <v>01053/1F</v>
      </c>
      <c r="C10173" t="str">
        <f>IFERROR(__xludf.DUMMYFUNCTION("""COMPUTED_VALUE"""),"Umbra")</f>
        <v>Umbra</v>
      </c>
    </row>
    <row r="10174">
      <c r="A10174" t="str">
        <f>IFERROR(__xludf.DUMMYFUNCTION("""COMPUTED_VALUE"""),"13149/C")</f>
        <v>13149/C</v>
      </c>
      <c r="B10174" s="226" t="str">
        <f>IFERROR(__xludf.DUMMYFUNCTION("""COMPUTED_VALUE"""),"8058772228872")</f>
        <v>8058772228872</v>
      </c>
      <c r="C10174" t="str">
        <f>IFERROR(__xludf.DUMMYFUNCTION("""COMPUTED_VALUE"""),"Umbra")</f>
        <v>Umbra</v>
      </c>
    </row>
    <row r="10175">
      <c r="A10175" t="str">
        <f>IFERROR(__xludf.DUMMYFUNCTION("""COMPUTED_VALUE"""),"13149/F")</f>
        <v>13149/F</v>
      </c>
      <c r="B10175" s="226" t="str">
        <f>IFERROR(__xludf.DUMMYFUNCTION("""COMPUTED_VALUE"""),"8058772222450")</f>
        <v>8058772222450</v>
      </c>
      <c r="C10175" t="str">
        <f>IFERROR(__xludf.DUMMYFUNCTION("""COMPUTED_VALUE"""),"Umbra")</f>
        <v>Umbra</v>
      </c>
    </row>
    <row r="10176">
      <c r="A10176" t="str">
        <f>IFERROR(__xludf.DUMMYFUNCTION("""COMPUTED_VALUE"""),"13149/VM")</f>
        <v>13149/VM</v>
      </c>
      <c r="B10176" s="226" t="str">
        <f>IFERROR(__xludf.DUMMYFUNCTION("""COMPUTED_VALUE"""),"8058772228889")</f>
        <v>8058772228889</v>
      </c>
      <c r="C10176" t="str">
        <f>IFERROR(__xludf.DUMMYFUNCTION("""COMPUTED_VALUE"""),"Umbra")</f>
        <v>Umbra</v>
      </c>
    </row>
    <row r="10177">
      <c r="A10177" t="str">
        <f>IFERROR(__xludf.DUMMYFUNCTION("""COMPUTED_VALUE"""),"43058/1C")</f>
        <v>43058/1C</v>
      </c>
      <c r="C10177" t="str">
        <f>IFERROR(__xludf.DUMMYFUNCTION("""COMPUTED_VALUE"""),"Umbra")</f>
        <v>Umbra</v>
      </c>
    </row>
    <row r="10178">
      <c r="A10178" t="str">
        <f>IFERROR(__xludf.DUMMYFUNCTION("""COMPUTED_VALUE"""),"43058S/C")</f>
        <v>43058S/C</v>
      </c>
      <c r="C10178" t="str">
        <f>IFERROR(__xludf.DUMMYFUNCTION("""COMPUTED_VALUE"""),"Umbra")</f>
        <v>Umbra</v>
      </c>
    </row>
    <row r="10179">
      <c r="A10179" t="str">
        <f>IFERROR(__xludf.DUMMYFUNCTION("""COMPUTED_VALUE"""),"43058/1F")</f>
        <v>43058/1F</v>
      </c>
      <c r="C10179" t="str">
        <f>IFERROR(__xludf.DUMMYFUNCTION("""COMPUTED_VALUE"""),"Umbra")</f>
        <v>Umbra</v>
      </c>
    </row>
    <row r="10180">
      <c r="A10180" t="str">
        <f>IFERROR(__xludf.DUMMYFUNCTION("""COMPUTED_VALUE"""),"43058S/F")</f>
        <v>43058S/F</v>
      </c>
      <c r="C10180" t="str">
        <f>IFERROR(__xludf.DUMMYFUNCTION("""COMPUTED_VALUE"""),"Umbra")</f>
        <v>Umbra</v>
      </c>
    </row>
    <row r="10181">
      <c r="A10181" t="str">
        <f>IFERROR(__xludf.DUMMYFUNCTION("""COMPUTED_VALUE"""),"43058/VM")</f>
        <v>43058/VM</v>
      </c>
      <c r="B10181" s="226" t="str">
        <f>IFERROR(__xludf.DUMMYFUNCTION("""COMPUTED_VALUE"""),"8054521995385")</f>
        <v>8054521995385</v>
      </c>
      <c r="C10181" t="str">
        <f>IFERROR(__xludf.DUMMYFUNCTION("""COMPUTED_VALUE"""),"Umbra")</f>
        <v>Umbra</v>
      </c>
    </row>
    <row r="10182">
      <c r="A10182" t="str">
        <f>IFERROR(__xludf.DUMMYFUNCTION("""COMPUTED_VALUE"""),"43058S/VM")</f>
        <v>43058S/VM</v>
      </c>
      <c r="C10182" t="str">
        <f>IFERROR(__xludf.DUMMYFUNCTION("""COMPUTED_VALUE"""),"Umbra")</f>
        <v>Umbra</v>
      </c>
    </row>
    <row r="10183">
      <c r="A10183" t="str">
        <f>IFERROR(__xludf.DUMMYFUNCTION("""COMPUTED_VALUE"""),"43058/1C")</f>
        <v>43058/1C</v>
      </c>
      <c r="C10183" t="str">
        <f>IFERROR(__xludf.DUMMYFUNCTION("""COMPUTED_VALUE"""),"Umbra")</f>
        <v>Umbra</v>
      </c>
    </row>
    <row r="10184">
      <c r="A10184" t="str">
        <f>IFERROR(__xludf.DUMMYFUNCTION("""COMPUTED_VALUE"""),"43058S/C")</f>
        <v>43058S/C</v>
      </c>
      <c r="C10184" t="str">
        <f>IFERROR(__xludf.DUMMYFUNCTION("""COMPUTED_VALUE"""),"Umbra")</f>
        <v>Umbra</v>
      </c>
    </row>
    <row r="10185">
      <c r="A10185" t="str">
        <f>IFERROR(__xludf.DUMMYFUNCTION("""COMPUTED_VALUE"""),"43058/1F")</f>
        <v>43058/1F</v>
      </c>
      <c r="C10185" t="str">
        <f>IFERROR(__xludf.DUMMYFUNCTION("""COMPUTED_VALUE"""),"Umbra")</f>
        <v>Umbra</v>
      </c>
    </row>
    <row r="10186">
      <c r="A10186" t="str">
        <f>IFERROR(__xludf.DUMMYFUNCTION("""COMPUTED_VALUE"""),"43058S/F")</f>
        <v>43058S/F</v>
      </c>
      <c r="C10186" t="str">
        <f>IFERROR(__xludf.DUMMYFUNCTION("""COMPUTED_VALUE"""),"Umbra")</f>
        <v>Umbra</v>
      </c>
    </row>
    <row r="10187">
      <c r="A10187" t="str">
        <f>IFERROR(__xludf.DUMMYFUNCTION("""COMPUTED_VALUE"""),"43058/VM")</f>
        <v>43058/VM</v>
      </c>
      <c r="B10187" s="226" t="str">
        <f>IFERROR(__xludf.DUMMYFUNCTION("""COMPUTED_VALUE"""),"8054521995385")</f>
        <v>8054521995385</v>
      </c>
      <c r="C10187" t="str">
        <f>IFERROR(__xludf.DUMMYFUNCTION("""COMPUTED_VALUE"""),"Umbra")</f>
        <v>Umbra</v>
      </c>
    </row>
    <row r="10188">
      <c r="A10188" t="str">
        <f>IFERROR(__xludf.DUMMYFUNCTION("""COMPUTED_VALUE"""),"43058S/VM")</f>
        <v>43058S/VM</v>
      </c>
      <c r="C10188" t="str">
        <f>IFERROR(__xludf.DUMMYFUNCTION("""COMPUTED_VALUE"""),"Umbra")</f>
        <v>Umbra</v>
      </c>
    </row>
    <row r="10189">
      <c r="A10189" t="str">
        <f>IFERROR(__xludf.DUMMYFUNCTION("""COMPUTED_VALUE"""),"02031/C")</f>
        <v>02031/C</v>
      </c>
      <c r="B10189" s="226" t="str">
        <f>IFERROR(__xludf.DUMMYFUNCTION("""COMPUTED_VALUE"""),"8058772221514")</f>
        <v>8058772221514</v>
      </c>
      <c r="C10189" t="str">
        <f>IFERROR(__xludf.DUMMYFUNCTION("""COMPUTED_VALUE"""),"Umbra")</f>
        <v>Umbra</v>
      </c>
    </row>
    <row r="10190">
      <c r="A10190" t="str">
        <f>IFERROR(__xludf.DUMMYFUNCTION("""COMPUTED_VALUE"""),"02031/F")</f>
        <v>02031/F</v>
      </c>
      <c r="B10190" s="226" t="str">
        <f>IFERROR(__xludf.DUMMYFUNCTION("""COMPUTED_VALUE"""),"8058772221507")</f>
        <v>8058772221507</v>
      </c>
      <c r="C10190" t="str">
        <f>IFERROR(__xludf.DUMMYFUNCTION("""COMPUTED_VALUE"""),"Umbra")</f>
        <v>Umbra</v>
      </c>
    </row>
    <row r="10191">
      <c r="A10191" t="str">
        <f>IFERROR(__xludf.DUMMYFUNCTION("""COMPUTED_VALUE"""),"02031/VM")</f>
        <v>02031/VM</v>
      </c>
      <c r="B10191" s="226" t="str">
        <f>IFERROR(__xludf.DUMMYFUNCTION("""COMPUTED_VALUE"""),"8058772221521")</f>
        <v>8058772221521</v>
      </c>
      <c r="C10191" t="str">
        <f>IFERROR(__xludf.DUMMYFUNCTION("""COMPUTED_VALUE"""),"Umbra")</f>
        <v>Umbra</v>
      </c>
    </row>
    <row r="10192">
      <c r="A10192" t="str">
        <f>IFERROR(__xludf.DUMMYFUNCTION("""COMPUTED_VALUE"""),"02031/C")</f>
        <v>02031/C</v>
      </c>
      <c r="B10192" s="226" t="str">
        <f>IFERROR(__xludf.DUMMYFUNCTION("""COMPUTED_VALUE"""),"8058772221514")</f>
        <v>8058772221514</v>
      </c>
      <c r="C10192" t="str">
        <f>IFERROR(__xludf.DUMMYFUNCTION("""COMPUTED_VALUE"""),"Umbra")</f>
        <v>Umbra</v>
      </c>
    </row>
    <row r="10193">
      <c r="A10193" t="str">
        <f>IFERROR(__xludf.DUMMYFUNCTION("""COMPUTED_VALUE"""),"02031/F")</f>
        <v>02031/F</v>
      </c>
      <c r="B10193" s="226" t="str">
        <f>IFERROR(__xludf.DUMMYFUNCTION("""COMPUTED_VALUE"""),"8058772221507")</f>
        <v>8058772221507</v>
      </c>
      <c r="C10193" t="str">
        <f>IFERROR(__xludf.DUMMYFUNCTION("""COMPUTED_VALUE"""),"Umbra")</f>
        <v>Umbra</v>
      </c>
    </row>
    <row r="10194">
      <c r="A10194" t="str">
        <f>IFERROR(__xludf.DUMMYFUNCTION("""COMPUTED_VALUE"""),"02031/VM")</f>
        <v>02031/VM</v>
      </c>
      <c r="B10194" s="226" t="str">
        <f>IFERROR(__xludf.DUMMYFUNCTION("""COMPUTED_VALUE"""),"8058772221521")</f>
        <v>8058772221521</v>
      </c>
      <c r="C10194" t="str">
        <f>IFERROR(__xludf.DUMMYFUNCTION("""COMPUTED_VALUE"""),"Umbra")</f>
        <v>Umbra</v>
      </c>
    </row>
    <row r="10195">
      <c r="A10195" t="str">
        <f>IFERROR(__xludf.DUMMYFUNCTION("""COMPUTED_VALUE"""),"02020")</f>
        <v>02020</v>
      </c>
      <c r="B10195" s="226" t="str">
        <f>IFERROR(__xludf.DUMMYFUNCTION("""COMPUTED_VALUE"""),"8058772226564")</f>
        <v>8058772226564</v>
      </c>
      <c r="C10195" t="str">
        <f>IFERROR(__xludf.DUMMYFUNCTION("""COMPUTED_VALUE"""),"Umbra")</f>
        <v>Umbra</v>
      </c>
    </row>
    <row r="10196">
      <c r="A10196" t="str">
        <f>IFERROR(__xludf.DUMMYFUNCTION("""COMPUTED_VALUE"""),"02020/F")</f>
        <v>02020/F</v>
      </c>
      <c r="B10196" s="226" t="str">
        <f>IFERROR(__xludf.DUMMYFUNCTION("""COMPUTED_VALUE"""),"8058772221385")</f>
        <v>8058772221385</v>
      </c>
      <c r="C10196" t="str">
        <f>IFERROR(__xludf.DUMMYFUNCTION("""COMPUTED_VALUE"""),"Umbra")</f>
        <v>Umbra</v>
      </c>
    </row>
    <row r="10197">
      <c r="A10197" t="str">
        <f>IFERROR(__xludf.DUMMYFUNCTION("""COMPUTED_VALUE"""),"02026/C")</f>
        <v>02026/C</v>
      </c>
      <c r="B10197" s="226" t="str">
        <f>IFERROR(__xludf.DUMMYFUNCTION("""COMPUTED_VALUE"""),"8058772226632")</f>
        <v>8058772226632</v>
      </c>
      <c r="C10197" t="str">
        <f>IFERROR(__xludf.DUMMYFUNCTION("""COMPUTED_VALUE"""),"Umbra")</f>
        <v>Umbra</v>
      </c>
    </row>
    <row r="10198">
      <c r="A10198" t="str">
        <f>IFERROR(__xludf.DUMMYFUNCTION("""COMPUTED_VALUE"""),"02026/F")</f>
        <v>02026/F</v>
      </c>
      <c r="C10198" t="str">
        <f>IFERROR(__xludf.DUMMYFUNCTION("""COMPUTED_VALUE"""),"Umbra")</f>
        <v>Umbra</v>
      </c>
    </row>
    <row r="10199">
      <c r="A10199" t="str">
        <f>IFERROR(__xludf.DUMMYFUNCTION("""COMPUTED_VALUE"""),"02026/VM")</f>
        <v>02026/VM</v>
      </c>
      <c r="B10199" s="226" t="str">
        <f>IFERROR(__xludf.DUMMYFUNCTION("""COMPUTED_VALUE"""),"8058772226649")</f>
        <v>8058772226649</v>
      </c>
      <c r="C10199" t="str">
        <f>IFERROR(__xludf.DUMMYFUNCTION("""COMPUTED_VALUE"""),"Umbra")</f>
        <v>Umbra</v>
      </c>
    </row>
    <row r="10200">
      <c r="A10200" t="str">
        <f>IFERROR(__xludf.DUMMYFUNCTION("""COMPUTED_VALUE"""),"02031/C")</f>
        <v>02031/C</v>
      </c>
      <c r="B10200" s="226" t="str">
        <f>IFERROR(__xludf.DUMMYFUNCTION("""COMPUTED_VALUE"""),"8058772221514")</f>
        <v>8058772221514</v>
      </c>
      <c r="C10200" t="str">
        <f>IFERROR(__xludf.DUMMYFUNCTION("""COMPUTED_VALUE"""),"Umbra")</f>
        <v>Umbra</v>
      </c>
    </row>
    <row r="10201">
      <c r="A10201" t="str">
        <f>IFERROR(__xludf.DUMMYFUNCTION("""COMPUTED_VALUE"""),"02031/F")</f>
        <v>02031/F</v>
      </c>
      <c r="B10201" s="226" t="str">
        <f>IFERROR(__xludf.DUMMYFUNCTION("""COMPUTED_VALUE"""),"8058772221507")</f>
        <v>8058772221507</v>
      </c>
      <c r="C10201" t="str">
        <f>IFERROR(__xludf.DUMMYFUNCTION("""COMPUTED_VALUE"""),"Umbra")</f>
        <v>Umbra</v>
      </c>
    </row>
    <row r="10202">
      <c r="A10202" t="str">
        <f>IFERROR(__xludf.DUMMYFUNCTION("""COMPUTED_VALUE"""),"02031/VM")</f>
        <v>02031/VM</v>
      </c>
      <c r="B10202" s="226" t="str">
        <f>IFERROR(__xludf.DUMMYFUNCTION("""COMPUTED_VALUE"""),"8058772221521")</f>
        <v>8058772221521</v>
      </c>
      <c r="C10202" t="str">
        <f>IFERROR(__xludf.DUMMYFUNCTION("""COMPUTED_VALUE"""),"Umbra")</f>
        <v>Umbra</v>
      </c>
    </row>
    <row r="10203">
      <c r="A10203" t="str">
        <f>IFERROR(__xludf.DUMMYFUNCTION("""COMPUTED_VALUE"""),"02023/C")</f>
        <v>02023/C</v>
      </c>
      <c r="B10203" s="226" t="str">
        <f>IFERROR(__xludf.DUMMYFUNCTION("""COMPUTED_VALUE"""),"8058772226595")</f>
        <v>8058772226595</v>
      </c>
      <c r="C10203" t="str">
        <f>IFERROR(__xludf.DUMMYFUNCTION("""COMPUTED_VALUE"""),"Umbra")</f>
        <v>Umbra</v>
      </c>
    </row>
    <row r="10204">
      <c r="A10204" t="str">
        <f>IFERROR(__xludf.DUMMYFUNCTION("""COMPUTED_VALUE"""),"02023/F")</f>
        <v>02023/F</v>
      </c>
      <c r="B10204" s="226" t="str">
        <f>IFERROR(__xludf.DUMMYFUNCTION("""COMPUTED_VALUE"""),"8058772221415")</f>
        <v>8058772221415</v>
      </c>
      <c r="C10204" t="str">
        <f>IFERROR(__xludf.DUMMYFUNCTION("""COMPUTED_VALUE"""),"Umbra")</f>
        <v>Umbra</v>
      </c>
    </row>
    <row r="10205">
      <c r="A10205" t="str">
        <f>IFERROR(__xludf.DUMMYFUNCTION("""COMPUTED_VALUE"""),"02027/C")</f>
        <v>02027/C</v>
      </c>
      <c r="B10205" s="226" t="str">
        <f>IFERROR(__xludf.DUMMYFUNCTION("""COMPUTED_VALUE"""),"8058772226656")</f>
        <v>8058772226656</v>
      </c>
      <c r="C10205" t="str">
        <f>IFERROR(__xludf.DUMMYFUNCTION("""COMPUTED_VALUE"""),"Umbra")</f>
        <v>Umbra</v>
      </c>
    </row>
    <row r="10206">
      <c r="A10206" t="str">
        <f>IFERROR(__xludf.DUMMYFUNCTION("""COMPUTED_VALUE"""),"02027/F")</f>
        <v>02027/F</v>
      </c>
      <c r="B10206" s="226" t="str">
        <f>IFERROR(__xludf.DUMMYFUNCTION("""COMPUTED_VALUE"""),"8058772221446")</f>
        <v>8058772221446</v>
      </c>
      <c r="C10206" t="str">
        <f>IFERROR(__xludf.DUMMYFUNCTION("""COMPUTED_VALUE"""),"Umbra")</f>
        <v>Umbra</v>
      </c>
    </row>
    <row r="10207">
      <c r="A10207" t="str">
        <f>IFERROR(__xludf.DUMMYFUNCTION("""COMPUTED_VALUE"""),"02027/VM")</f>
        <v>02027/VM</v>
      </c>
      <c r="B10207" s="226" t="str">
        <f>IFERROR(__xludf.DUMMYFUNCTION("""COMPUTED_VALUE"""),"8058772226663")</f>
        <v>8058772226663</v>
      </c>
      <c r="C10207" t="str">
        <f>IFERROR(__xludf.DUMMYFUNCTION("""COMPUTED_VALUE"""),"Umbra")</f>
        <v>Umbra</v>
      </c>
    </row>
    <row r="10208">
      <c r="A10208" t="str">
        <f>IFERROR(__xludf.DUMMYFUNCTION("""COMPUTED_VALUE"""),"02028/C")</f>
        <v>02028/C</v>
      </c>
      <c r="B10208" s="226" t="str">
        <f>IFERROR(__xludf.DUMMYFUNCTION("""COMPUTED_VALUE"""),"8058772226670")</f>
        <v>8058772226670</v>
      </c>
      <c r="C10208" t="str">
        <f>IFERROR(__xludf.DUMMYFUNCTION("""COMPUTED_VALUE"""),"Umbra")</f>
        <v>Umbra</v>
      </c>
    </row>
    <row r="10209">
      <c r="A10209" t="str">
        <f>IFERROR(__xludf.DUMMYFUNCTION("""COMPUTED_VALUE"""),"02028/F")</f>
        <v>02028/F</v>
      </c>
      <c r="C10209" t="str">
        <f>IFERROR(__xludf.DUMMYFUNCTION("""COMPUTED_VALUE"""),"Umbra")</f>
        <v>Umbra</v>
      </c>
    </row>
    <row r="10210">
      <c r="A10210" t="str">
        <f>IFERROR(__xludf.DUMMYFUNCTION("""COMPUTED_VALUE"""),"02028/VM")</f>
        <v>02028/VM</v>
      </c>
      <c r="B10210" s="226" t="str">
        <f>IFERROR(__xludf.DUMMYFUNCTION("""COMPUTED_VALUE"""),"8058772226687")</f>
        <v>8058772226687</v>
      </c>
      <c r="C10210" t="str">
        <f>IFERROR(__xludf.DUMMYFUNCTION("""COMPUTED_VALUE"""),"Umbra")</f>
        <v>Umbra</v>
      </c>
    </row>
    <row r="10211">
      <c r="A10211" t="str">
        <f>IFERROR(__xludf.DUMMYFUNCTION("""COMPUTED_VALUE"""),"02032/C")</f>
        <v>02032/C</v>
      </c>
      <c r="C10211" t="str">
        <f>IFERROR(__xludf.DUMMYFUNCTION("""COMPUTED_VALUE"""),"Umbra")</f>
        <v>Umbra</v>
      </c>
    </row>
    <row r="10212">
      <c r="A10212" t="str">
        <f>IFERROR(__xludf.DUMMYFUNCTION("""COMPUTED_VALUE"""),"02032/F")</f>
        <v>02032/F</v>
      </c>
      <c r="C10212" t="str">
        <f>IFERROR(__xludf.DUMMYFUNCTION("""COMPUTED_VALUE"""),"Umbra")</f>
        <v>Umbra</v>
      </c>
    </row>
    <row r="10213">
      <c r="A10213" t="str">
        <f>IFERROR(__xludf.DUMMYFUNCTION("""COMPUTED_VALUE"""),"02032/VM")</f>
        <v>02032/VM</v>
      </c>
      <c r="C10213" t="str">
        <f>IFERROR(__xludf.DUMMYFUNCTION("""COMPUTED_VALUE"""),"Umbra")</f>
        <v>Umbra</v>
      </c>
    </row>
    <row r="10214">
      <c r="A10214" t="str">
        <f>IFERROR(__xludf.DUMMYFUNCTION("""COMPUTED_VALUE"""),"02028/C")</f>
        <v>02028/C</v>
      </c>
      <c r="B10214" s="226" t="str">
        <f>IFERROR(__xludf.DUMMYFUNCTION("""COMPUTED_VALUE"""),"8058772226670")</f>
        <v>8058772226670</v>
      </c>
      <c r="C10214" t="str">
        <f>IFERROR(__xludf.DUMMYFUNCTION("""COMPUTED_VALUE"""),"Umbra")</f>
        <v>Umbra</v>
      </c>
    </row>
    <row r="10215">
      <c r="A10215" t="str">
        <f>IFERROR(__xludf.DUMMYFUNCTION("""COMPUTED_VALUE"""),"02028/F")</f>
        <v>02028/F</v>
      </c>
      <c r="C10215" t="str">
        <f>IFERROR(__xludf.DUMMYFUNCTION("""COMPUTED_VALUE"""),"Umbra")</f>
        <v>Umbra</v>
      </c>
    </row>
    <row r="10216">
      <c r="A10216" t="str">
        <f>IFERROR(__xludf.DUMMYFUNCTION("""COMPUTED_VALUE"""),"02028/VM")</f>
        <v>02028/VM</v>
      </c>
      <c r="B10216" s="226" t="str">
        <f>IFERROR(__xludf.DUMMYFUNCTION("""COMPUTED_VALUE"""),"8058772226687")</f>
        <v>8058772226687</v>
      </c>
      <c r="C10216" t="str">
        <f>IFERROR(__xludf.DUMMYFUNCTION("""COMPUTED_VALUE"""),"Umbra")</f>
        <v>Umbra</v>
      </c>
    </row>
    <row r="10217">
      <c r="A10217" t="str">
        <f>IFERROR(__xludf.DUMMYFUNCTION("""COMPUTED_VALUE"""),"02032/C")</f>
        <v>02032/C</v>
      </c>
      <c r="C10217" t="str">
        <f>IFERROR(__xludf.DUMMYFUNCTION("""COMPUTED_VALUE"""),"Umbra")</f>
        <v>Umbra</v>
      </c>
    </row>
    <row r="10218">
      <c r="A10218" t="str">
        <f>IFERROR(__xludf.DUMMYFUNCTION("""COMPUTED_VALUE"""),"02032/F")</f>
        <v>02032/F</v>
      </c>
      <c r="C10218" t="str">
        <f>IFERROR(__xludf.DUMMYFUNCTION("""COMPUTED_VALUE"""),"Umbra")</f>
        <v>Umbra</v>
      </c>
    </row>
    <row r="10219">
      <c r="A10219" t="str">
        <f>IFERROR(__xludf.DUMMYFUNCTION("""COMPUTED_VALUE"""),"02032/VM")</f>
        <v>02032/VM</v>
      </c>
      <c r="C10219" t="str">
        <f>IFERROR(__xludf.DUMMYFUNCTION("""COMPUTED_VALUE"""),"Umbra")</f>
        <v>Umbra</v>
      </c>
    </row>
    <row r="10220">
      <c r="A10220" t="str">
        <f>IFERROR(__xludf.DUMMYFUNCTION("""COMPUTED_VALUE"""),"02023/C")</f>
        <v>02023/C</v>
      </c>
      <c r="B10220" s="226" t="str">
        <f>IFERROR(__xludf.DUMMYFUNCTION("""COMPUTED_VALUE"""),"8058772226595")</f>
        <v>8058772226595</v>
      </c>
      <c r="C10220" t="str">
        <f>IFERROR(__xludf.DUMMYFUNCTION("""COMPUTED_VALUE"""),"Umbra")</f>
        <v>Umbra</v>
      </c>
    </row>
    <row r="10221">
      <c r="A10221" t="str">
        <f>IFERROR(__xludf.DUMMYFUNCTION("""COMPUTED_VALUE"""),"02023/F")</f>
        <v>02023/F</v>
      </c>
      <c r="B10221" s="226" t="str">
        <f>IFERROR(__xludf.DUMMYFUNCTION("""COMPUTED_VALUE"""),"8058772221415")</f>
        <v>8058772221415</v>
      </c>
      <c r="C10221" t="str">
        <f>IFERROR(__xludf.DUMMYFUNCTION("""COMPUTED_VALUE"""),"Umbra")</f>
        <v>Umbra</v>
      </c>
    </row>
    <row r="10222">
      <c r="A10222" t="str">
        <f>IFERROR(__xludf.DUMMYFUNCTION("""COMPUTED_VALUE"""),"02027/C")</f>
        <v>02027/C</v>
      </c>
      <c r="B10222" s="226" t="str">
        <f>IFERROR(__xludf.DUMMYFUNCTION("""COMPUTED_VALUE"""),"8058772226656")</f>
        <v>8058772226656</v>
      </c>
      <c r="C10222" t="str">
        <f>IFERROR(__xludf.DUMMYFUNCTION("""COMPUTED_VALUE"""),"Umbra")</f>
        <v>Umbra</v>
      </c>
    </row>
    <row r="10223">
      <c r="A10223" t="str">
        <f>IFERROR(__xludf.DUMMYFUNCTION("""COMPUTED_VALUE"""),"02027/F")</f>
        <v>02027/F</v>
      </c>
      <c r="B10223" s="226" t="str">
        <f>IFERROR(__xludf.DUMMYFUNCTION("""COMPUTED_VALUE"""),"8058772221446")</f>
        <v>8058772221446</v>
      </c>
      <c r="C10223" t="str">
        <f>IFERROR(__xludf.DUMMYFUNCTION("""COMPUTED_VALUE"""),"Umbra")</f>
        <v>Umbra</v>
      </c>
    </row>
    <row r="10224">
      <c r="A10224" t="str">
        <f>IFERROR(__xludf.DUMMYFUNCTION("""COMPUTED_VALUE"""),"02027/VM")</f>
        <v>02027/VM</v>
      </c>
      <c r="B10224" s="226" t="str">
        <f>IFERROR(__xludf.DUMMYFUNCTION("""COMPUTED_VALUE"""),"8058772226663")</f>
        <v>8058772226663</v>
      </c>
      <c r="C10224" t="str">
        <f>IFERROR(__xludf.DUMMYFUNCTION("""COMPUTED_VALUE"""),"Umbra")</f>
        <v>Umbra</v>
      </c>
    </row>
    <row r="10225">
      <c r="A10225" t="str">
        <f>IFERROR(__xludf.DUMMYFUNCTION("""COMPUTED_VALUE"""),"02028/C")</f>
        <v>02028/C</v>
      </c>
      <c r="B10225" s="226" t="str">
        <f>IFERROR(__xludf.DUMMYFUNCTION("""COMPUTED_VALUE"""),"8058772226670")</f>
        <v>8058772226670</v>
      </c>
      <c r="C10225" t="str">
        <f>IFERROR(__xludf.DUMMYFUNCTION("""COMPUTED_VALUE"""),"Umbra")</f>
        <v>Umbra</v>
      </c>
    </row>
    <row r="10226">
      <c r="A10226" t="str">
        <f>IFERROR(__xludf.DUMMYFUNCTION("""COMPUTED_VALUE"""),"02028/F")</f>
        <v>02028/F</v>
      </c>
      <c r="C10226" t="str">
        <f>IFERROR(__xludf.DUMMYFUNCTION("""COMPUTED_VALUE"""),"Umbra")</f>
        <v>Umbra</v>
      </c>
    </row>
    <row r="10227">
      <c r="A10227" t="str">
        <f>IFERROR(__xludf.DUMMYFUNCTION("""COMPUTED_VALUE"""),"02028/VM")</f>
        <v>02028/VM</v>
      </c>
      <c r="B10227" s="226" t="str">
        <f>IFERROR(__xludf.DUMMYFUNCTION("""COMPUTED_VALUE"""),"8058772226687")</f>
        <v>8058772226687</v>
      </c>
      <c r="C10227" t="str">
        <f>IFERROR(__xludf.DUMMYFUNCTION("""COMPUTED_VALUE"""),"Umbra")</f>
        <v>Umbra</v>
      </c>
    </row>
    <row r="10228">
      <c r="A10228" t="str">
        <f>IFERROR(__xludf.DUMMYFUNCTION("""COMPUTED_VALUE"""),"02032/C")</f>
        <v>02032/C</v>
      </c>
      <c r="C10228" t="str">
        <f>IFERROR(__xludf.DUMMYFUNCTION("""COMPUTED_VALUE"""),"Umbra")</f>
        <v>Umbra</v>
      </c>
    </row>
    <row r="10229">
      <c r="A10229" t="str">
        <f>IFERROR(__xludf.DUMMYFUNCTION("""COMPUTED_VALUE"""),"02032/F")</f>
        <v>02032/F</v>
      </c>
      <c r="C10229" t="str">
        <f>IFERROR(__xludf.DUMMYFUNCTION("""COMPUTED_VALUE"""),"Umbra")</f>
        <v>Umbra</v>
      </c>
    </row>
    <row r="10230">
      <c r="A10230" t="str">
        <f>IFERROR(__xludf.DUMMYFUNCTION("""COMPUTED_VALUE"""),"02032/VM")</f>
        <v>02032/VM</v>
      </c>
      <c r="C10230" t="str">
        <f>IFERROR(__xludf.DUMMYFUNCTION("""COMPUTED_VALUE"""),"Umbra")</f>
        <v>Umbra</v>
      </c>
    </row>
    <row r="10231">
      <c r="A10231" t="str">
        <f>IFERROR(__xludf.DUMMYFUNCTION("""COMPUTED_VALUE"""),"02022")</f>
        <v>02022</v>
      </c>
      <c r="B10231" s="226" t="str">
        <f>IFERROR(__xludf.DUMMYFUNCTION("""COMPUTED_VALUE"""),"8058772226588")</f>
        <v>8058772226588</v>
      </c>
      <c r="C10231" t="str">
        <f>IFERROR(__xludf.DUMMYFUNCTION("""COMPUTED_VALUE"""),"Umbra")</f>
        <v>Umbra</v>
      </c>
    </row>
    <row r="10232">
      <c r="A10232" t="str">
        <f>IFERROR(__xludf.DUMMYFUNCTION("""COMPUTED_VALUE"""),"02022/F")</f>
        <v>02022/F</v>
      </c>
      <c r="B10232" s="226" t="str">
        <f>IFERROR(__xludf.DUMMYFUNCTION("""COMPUTED_VALUE"""),"8058772221408")</f>
        <v>8058772221408</v>
      </c>
      <c r="C10232" t="str">
        <f>IFERROR(__xludf.DUMMYFUNCTION("""COMPUTED_VALUE"""),"Umbra")</f>
        <v>Umbra</v>
      </c>
    </row>
    <row r="10233">
      <c r="A10233" t="str">
        <f>IFERROR(__xludf.DUMMYFUNCTION("""COMPUTED_VALUE"""),"02018")</f>
        <v>02018</v>
      </c>
      <c r="B10233" s="226" t="str">
        <f>IFERROR(__xludf.DUMMYFUNCTION("""COMPUTED_VALUE"""),"8058772226540")</f>
        <v>8058772226540</v>
      </c>
      <c r="C10233" t="str">
        <f>IFERROR(__xludf.DUMMYFUNCTION("""COMPUTED_VALUE"""),"Umbra")</f>
        <v>Umbra</v>
      </c>
    </row>
    <row r="10234">
      <c r="A10234" t="str">
        <f>IFERROR(__xludf.DUMMYFUNCTION("""COMPUTED_VALUE"""),"02018/F")</f>
        <v>02018/F</v>
      </c>
      <c r="B10234" s="226" t="str">
        <f>IFERROR(__xludf.DUMMYFUNCTION("""COMPUTED_VALUE"""),"8058772221378")</f>
        <v>8058772221378</v>
      </c>
      <c r="C10234" t="str">
        <f>IFERROR(__xludf.DUMMYFUNCTION("""COMPUTED_VALUE"""),"Umbra")</f>
        <v>Umbra</v>
      </c>
    </row>
    <row r="10235">
      <c r="A10235" t="str">
        <f>IFERROR(__xludf.DUMMYFUNCTION("""COMPUTED_VALUE"""),"02018")</f>
        <v>02018</v>
      </c>
      <c r="B10235" s="226" t="str">
        <f>IFERROR(__xludf.DUMMYFUNCTION("""COMPUTED_VALUE"""),"8058772226540")</f>
        <v>8058772226540</v>
      </c>
      <c r="C10235" t="str">
        <f>IFERROR(__xludf.DUMMYFUNCTION("""COMPUTED_VALUE"""),"Umbra")</f>
        <v>Umbra</v>
      </c>
    </row>
    <row r="10236">
      <c r="A10236" t="str">
        <f>IFERROR(__xludf.DUMMYFUNCTION("""COMPUTED_VALUE"""),"02022")</f>
        <v>02022</v>
      </c>
      <c r="B10236" s="226" t="str">
        <f>IFERROR(__xludf.DUMMYFUNCTION("""COMPUTED_VALUE"""),"8058772226588")</f>
        <v>8058772226588</v>
      </c>
      <c r="C10236" t="str">
        <f>IFERROR(__xludf.DUMMYFUNCTION("""COMPUTED_VALUE"""),"Umbra")</f>
        <v>Umbra</v>
      </c>
    </row>
    <row r="10237">
      <c r="A10237" t="str">
        <f>IFERROR(__xludf.DUMMYFUNCTION("""COMPUTED_VALUE"""),"02022/F")</f>
        <v>02022/F</v>
      </c>
      <c r="B10237" s="226" t="str">
        <f>IFERROR(__xludf.DUMMYFUNCTION("""COMPUTED_VALUE"""),"8058772221408")</f>
        <v>8058772221408</v>
      </c>
      <c r="C10237" t="str">
        <f>IFERROR(__xludf.DUMMYFUNCTION("""COMPUTED_VALUE"""),"Umbra")</f>
        <v>Umbra</v>
      </c>
    </row>
    <row r="10238">
      <c r="A10238" t="str">
        <f>IFERROR(__xludf.DUMMYFUNCTION("""COMPUTED_VALUE"""),"02028/C")</f>
        <v>02028/C</v>
      </c>
      <c r="B10238" s="226" t="str">
        <f>IFERROR(__xludf.DUMMYFUNCTION("""COMPUTED_VALUE"""),"8058772226670")</f>
        <v>8058772226670</v>
      </c>
      <c r="C10238" t="str">
        <f>IFERROR(__xludf.DUMMYFUNCTION("""COMPUTED_VALUE"""),"Umbra")</f>
        <v>Umbra</v>
      </c>
    </row>
    <row r="10239">
      <c r="A10239" t="str">
        <f>IFERROR(__xludf.DUMMYFUNCTION("""COMPUTED_VALUE"""),"02028/F")</f>
        <v>02028/F</v>
      </c>
      <c r="C10239" t="str">
        <f>IFERROR(__xludf.DUMMYFUNCTION("""COMPUTED_VALUE"""),"Umbra")</f>
        <v>Umbra</v>
      </c>
    </row>
    <row r="10240">
      <c r="A10240" t="str">
        <f>IFERROR(__xludf.DUMMYFUNCTION("""COMPUTED_VALUE"""),"02028/VM")</f>
        <v>02028/VM</v>
      </c>
      <c r="B10240" s="226" t="str">
        <f>IFERROR(__xludf.DUMMYFUNCTION("""COMPUTED_VALUE"""),"8058772226687")</f>
        <v>8058772226687</v>
      </c>
      <c r="C10240" t="str">
        <f>IFERROR(__xludf.DUMMYFUNCTION("""COMPUTED_VALUE"""),"Umbra")</f>
        <v>Umbra</v>
      </c>
    </row>
    <row r="10241">
      <c r="A10241" t="str">
        <f>IFERROR(__xludf.DUMMYFUNCTION("""COMPUTED_VALUE"""),"02028/C")</f>
        <v>02028/C</v>
      </c>
      <c r="B10241" s="226" t="str">
        <f>IFERROR(__xludf.DUMMYFUNCTION("""COMPUTED_VALUE"""),"8058772226670")</f>
        <v>8058772226670</v>
      </c>
      <c r="C10241" t="str">
        <f>IFERROR(__xludf.DUMMYFUNCTION("""COMPUTED_VALUE"""),"Umbra")</f>
        <v>Umbra</v>
      </c>
    </row>
    <row r="10242">
      <c r="A10242" t="str">
        <f>IFERROR(__xludf.DUMMYFUNCTION("""COMPUTED_VALUE"""),"02028/F")</f>
        <v>02028/F</v>
      </c>
      <c r="C10242" t="str">
        <f>IFERROR(__xludf.DUMMYFUNCTION("""COMPUTED_VALUE"""),"Umbra")</f>
        <v>Umbra</v>
      </c>
    </row>
    <row r="10243">
      <c r="A10243" t="str">
        <f>IFERROR(__xludf.DUMMYFUNCTION("""COMPUTED_VALUE"""),"02028/VM")</f>
        <v>02028/VM</v>
      </c>
      <c r="B10243" s="226" t="str">
        <f>IFERROR(__xludf.DUMMYFUNCTION("""COMPUTED_VALUE"""),"8058772226687")</f>
        <v>8058772226687</v>
      </c>
      <c r="C10243" t="str">
        <f>IFERROR(__xludf.DUMMYFUNCTION("""COMPUTED_VALUE"""),"Umbra")</f>
        <v>Umbra</v>
      </c>
    </row>
    <row r="10244">
      <c r="A10244" t="str">
        <f>IFERROR(__xludf.DUMMYFUNCTION("""COMPUTED_VALUE"""),"02028/C")</f>
        <v>02028/C</v>
      </c>
      <c r="B10244" s="226" t="str">
        <f>IFERROR(__xludf.DUMMYFUNCTION("""COMPUTED_VALUE"""),"8058772226670")</f>
        <v>8058772226670</v>
      </c>
      <c r="C10244" t="str">
        <f>IFERROR(__xludf.DUMMYFUNCTION("""COMPUTED_VALUE"""),"Umbra")</f>
        <v>Umbra</v>
      </c>
    </row>
    <row r="10245">
      <c r="A10245" t="str">
        <f>IFERROR(__xludf.DUMMYFUNCTION("""COMPUTED_VALUE"""),"02028/F")</f>
        <v>02028/F</v>
      </c>
      <c r="C10245" t="str">
        <f>IFERROR(__xludf.DUMMYFUNCTION("""COMPUTED_VALUE"""),"Umbra")</f>
        <v>Umbra</v>
      </c>
    </row>
    <row r="10246">
      <c r="A10246" t="str">
        <f>IFERROR(__xludf.DUMMYFUNCTION("""COMPUTED_VALUE"""),"02028/VM")</f>
        <v>02028/VM</v>
      </c>
      <c r="B10246" s="226" t="str">
        <f>IFERROR(__xludf.DUMMYFUNCTION("""COMPUTED_VALUE"""),"8058772226687")</f>
        <v>8058772226687</v>
      </c>
      <c r="C10246" t="str">
        <f>IFERROR(__xludf.DUMMYFUNCTION("""COMPUTED_VALUE"""),"Umbra")</f>
        <v>Umbra</v>
      </c>
    </row>
    <row r="10247">
      <c r="A10247" t="str">
        <f>IFERROR(__xludf.DUMMYFUNCTION("""COMPUTED_VALUE"""),"02030/F")</f>
        <v>02030/F</v>
      </c>
      <c r="B10247" s="226" t="str">
        <f>IFERROR(__xludf.DUMMYFUNCTION("""COMPUTED_VALUE"""),"8058772221484")</f>
        <v>8058772221484</v>
      </c>
      <c r="C10247" t="str">
        <f>IFERROR(__xludf.DUMMYFUNCTION("""COMPUTED_VALUE"""),"Umbra")</f>
        <v>Umbra</v>
      </c>
    </row>
    <row r="10248">
      <c r="A10248" t="str">
        <f>IFERROR(__xludf.DUMMYFUNCTION("""COMPUTED_VALUE"""),"02030/VM")</f>
        <v>02030/VM</v>
      </c>
      <c r="B10248" s="226" t="str">
        <f>IFERROR(__xludf.DUMMYFUNCTION("""COMPUTED_VALUE"""),"8058772221491")</f>
        <v>8058772221491</v>
      </c>
      <c r="C10248" t="str">
        <f>IFERROR(__xludf.DUMMYFUNCTION("""COMPUTED_VALUE"""),"Umbra")</f>
        <v>Umbra</v>
      </c>
    </row>
    <row r="10249">
      <c r="A10249" t="str">
        <f>IFERROR(__xludf.DUMMYFUNCTION("""COMPUTED_VALUE"""),"02021")</f>
        <v>02021</v>
      </c>
      <c r="B10249" s="226" t="str">
        <f>IFERROR(__xludf.DUMMYFUNCTION("""COMPUTED_VALUE"""),"8058772226571")</f>
        <v>8058772226571</v>
      </c>
      <c r="C10249" t="str">
        <f>IFERROR(__xludf.DUMMYFUNCTION("""COMPUTED_VALUE"""),"Umbra")</f>
        <v>Umbra</v>
      </c>
    </row>
    <row r="10250">
      <c r="A10250" t="str">
        <f>IFERROR(__xludf.DUMMYFUNCTION("""COMPUTED_VALUE"""),"02021/F")</f>
        <v>02021/F</v>
      </c>
      <c r="B10250" s="226" t="str">
        <f>IFERROR(__xludf.DUMMYFUNCTION("""COMPUTED_VALUE"""),"8058772221392")</f>
        <v>8058772221392</v>
      </c>
      <c r="C10250" t="str">
        <f>IFERROR(__xludf.DUMMYFUNCTION("""COMPUTED_VALUE"""),"Umbra")</f>
        <v>Umbra</v>
      </c>
    </row>
    <row r="10251">
      <c r="A10251" t="str">
        <f>IFERROR(__xludf.DUMMYFUNCTION("""COMPUTED_VALUE"""),"02025/C")</f>
        <v>02025/C</v>
      </c>
      <c r="B10251" s="226" t="str">
        <f>IFERROR(__xludf.DUMMYFUNCTION("""COMPUTED_VALUE"""),"8058772226618")</f>
        <v>8058772226618</v>
      </c>
      <c r="C10251" t="str">
        <f>IFERROR(__xludf.DUMMYFUNCTION("""COMPUTED_VALUE"""),"Umbra")</f>
        <v>Umbra</v>
      </c>
    </row>
    <row r="10252">
      <c r="A10252" t="str">
        <f>IFERROR(__xludf.DUMMYFUNCTION("""COMPUTED_VALUE"""),"02025/F")</f>
        <v>02025/F</v>
      </c>
      <c r="C10252" t="str">
        <f>IFERROR(__xludf.DUMMYFUNCTION("""COMPUTED_VALUE"""),"Umbra")</f>
        <v>Umbra</v>
      </c>
    </row>
    <row r="10253">
      <c r="A10253" t="str">
        <f>IFERROR(__xludf.DUMMYFUNCTION("""COMPUTED_VALUE"""),"02025/VM")</f>
        <v>02025/VM</v>
      </c>
      <c r="B10253" s="226" t="str">
        <f>IFERROR(__xludf.DUMMYFUNCTION("""COMPUTED_VALUE"""),"8058772226625")</f>
        <v>8058772226625</v>
      </c>
      <c r="C10253" t="str">
        <f>IFERROR(__xludf.DUMMYFUNCTION("""COMPUTED_VALUE"""),"Umbra")</f>
        <v>Umbra</v>
      </c>
    </row>
    <row r="10254">
      <c r="A10254" t="str">
        <f>IFERROR(__xludf.DUMMYFUNCTION("""COMPUTED_VALUE"""),"02030/F")</f>
        <v>02030/F</v>
      </c>
      <c r="B10254" s="226" t="str">
        <f>IFERROR(__xludf.DUMMYFUNCTION("""COMPUTED_VALUE"""),"8058772221484")</f>
        <v>8058772221484</v>
      </c>
      <c r="C10254" t="str">
        <f>IFERROR(__xludf.DUMMYFUNCTION("""COMPUTED_VALUE"""),"Umbra")</f>
        <v>Umbra</v>
      </c>
    </row>
    <row r="10255">
      <c r="A10255" t="str">
        <f>IFERROR(__xludf.DUMMYFUNCTION("""COMPUTED_VALUE"""),"02030/VM")</f>
        <v>02030/VM</v>
      </c>
      <c r="B10255" s="226" t="str">
        <f>IFERROR(__xludf.DUMMYFUNCTION("""COMPUTED_VALUE"""),"8058772221491")</f>
        <v>8058772221491</v>
      </c>
      <c r="C10255" t="str">
        <f>IFERROR(__xludf.DUMMYFUNCTION("""COMPUTED_VALUE"""),"Umbra")</f>
        <v>Umbra</v>
      </c>
    </row>
    <row r="10256">
      <c r="A10256" t="str">
        <f>IFERROR(__xludf.DUMMYFUNCTION("""COMPUTED_VALUE"""),"02025/C")</f>
        <v>02025/C</v>
      </c>
      <c r="B10256" s="226" t="str">
        <f>IFERROR(__xludf.DUMMYFUNCTION("""COMPUTED_VALUE"""),"8058772226618")</f>
        <v>8058772226618</v>
      </c>
      <c r="C10256" t="str">
        <f>IFERROR(__xludf.DUMMYFUNCTION("""COMPUTED_VALUE"""),"Umbra")</f>
        <v>Umbra</v>
      </c>
    </row>
    <row r="10257">
      <c r="A10257" t="str">
        <f>IFERROR(__xludf.DUMMYFUNCTION("""COMPUTED_VALUE"""),"02025/F")</f>
        <v>02025/F</v>
      </c>
      <c r="C10257" t="str">
        <f>IFERROR(__xludf.DUMMYFUNCTION("""COMPUTED_VALUE"""),"Umbra")</f>
        <v>Umbra</v>
      </c>
    </row>
    <row r="10258">
      <c r="A10258" t="str">
        <f>IFERROR(__xludf.DUMMYFUNCTION("""COMPUTED_VALUE"""),"02025/VM")</f>
        <v>02025/VM</v>
      </c>
      <c r="B10258" s="226" t="str">
        <f>IFERROR(__xludf.DUMMYFUNCTION("""COMPUTED_VALUE"""),"8058772226625")</f>
        <v>8058772226625</v>
      </c>
      <c r="C10258" t="str">
        <f>IFERROR(__xludf.DUMMYFUNCTION("""COMPUTED_VALUE"""),"Umbra")</f>
        <v>Umbra</v>
      </c>
    </row>
    <row r="10259">
      <c r="A10259" t="str">
        <f>IFERROR(__xludf.DUMMYFUNCTION("""COMPUTED_VALUE"""),"02021")</f>
        <v>02021</v>
      </c>
      <c r="B10259" s="226" t="str">
        <f>IFERROR(__xludf.DUMMYFUNCTION("""COMPUTED_VALUE"""),"8058772226571")</f>
        <v>8058772226571</v>
      </c>
      <c r="C10259" t="str">
        <f>IFERROR(__xludf.DUMMYFUNCTION("""COMPUTED_VALUE"""),"Umbra")</f>
        <v>Umbra</v>
      </c>
    </row>
    <row r="10260">
      <c r="A10260" t="str">
        <f>IFERROR(__xludf.DUMMYFUNCTION("""COMPUTED_VALUE"""),"02021/F")</f>
        <v>02021/F</v>
      </c>
      <c r="B10260" s="226" t="str">
        <f>IFERROR(__xludf.DUMMYFUNCTION("""COMPUTED_VALUE"""),"8058772221392")</f>
        <v>8058772221392</v>
      </c>
      <c r="C10260" t="str">
        <f>IFERROR(__xludf.DUMMYFUNCTION("""COMPUTED_VALUE"""),"Umbra")</f>
        <v>Umbra</v>
      </c>
    </row>
    <row r="10261">
      <c r="A10261" t="str">
        <f>IFERROR(__xludf.DUMMYFUNCTION("""COMPUTED_VALUE"""),"02030/F")</f>
        <v>02030/F</v>
      </c>
      <c r="B10261" s="226" t="str">
        <f>IFERROR(__xludf.DUMMYFUNCTION("""COMPUTED_VALUE"""),"8058772221484")</f>
        <v>8058772221484</v>
      </c>
      <c r="C10261" t="str">
        <f>IFERROR(__xludf.DUMMYFUNCTION("""COMPUTED_VALUE"""),"Umbra")</f>
        <v>Umbra</v>
      </c>
    </row>
    <row r="10262">
      <c r="A10262" t="str">
        <f>IFERROR(__xludf.DUMMYFUNCTION("""COMPUTED_VALUE"""),"02030/VM")</f>
        <v>02030/VM</v>
      </c>
      <c r="B10262" s="226" t="str">
        <f>IFERROR(__xludf.DUMMYFUNCTION("""COMPUTED_VALUE"""),"8058772221491")</f>
        <v>8058772221491</v>
      </c>
      <c r="C10262" t="str">
        <f>IFERROR(__xludf.DUMMYFUNCTION("""COMPUTED_VALUE"""),"Umbra")</f>
        <v>Umbra</v>
      </c>
    </row>
    <row r="10263">
      <c r="A10263" t="str">
        <f>IFERROR(__xludf.DUMMYFUNCTION("""COMPUTED_VALUE"""),"02030/F")</f>
        <v>02030/F</v>
      </c>
      <c r="B10263" s="226" t="str">
        <f>IFERROR(__xludf.DUMMYFUNCTION("""COMPUTED_VALUE"""),"8058772221484")</f>
        <v>8058772221484</v>
      </c>
      <c r="C10263" t="str">
        <f>IFERROR(__xludf.DUMMYFUNCTION("""COMPUTED_VALUE"""),"Umbra")</f>
        <v>Umbra</v>
      </c>
    </row>
    <row r="10264">
      <c r="A10264" t="str">
        <f>IFERROR(__xludf.DUMMYFUNCTION("""COMPUTED_VALUE"""),"02030/VM")</f>
        <v>02030/VM</v>
      </c>
      <c r="B10264" s="226" t="str">
        <f>IFERROR(__xludf.DUMMYFUNCTION("""COMPUTED_VALUE"""),"8058772221491")</f>
        <v>8058772221491</v>
      </c>
      <c r="C10264" t="str">
        <f>IFERROR(__xludf.DUMMYFUNCTION("""COMPUTED_VALUE"""),"Umbra")</f>
        <v>Umbra</v>
      </c>
    </row>
    <row r="10265">
      <c r="A10265" t="str">
        <f>IFERROR(__xludf.DUMMYFUNCTION("""COMPUTED_VALUE"""),"02033/QC")</f>
        <v>02033/QC</v>
      </c>
      <c r="C10265" t="str">
        <f>IFERROR(__xludf.DUMMYFUNCTION("""COMPUTED_VALUE"""),"Umbra")</f>
        <v>Umbra</v>
      </c>
    </row>
    <row r="10266">
      <c r="A10266" t="str">
        <f>IFERROR(__xludf.DUMMYFUNCTION("""COMPUTED_VALUE"""),"02033/QF")</f>
        <v>02033/QF</v>
      </c>
      <c r="C10266" t="str">
        <f>IFERROR(__xludf.DUMMYFUNCTION("""COMPUTED_VALUE"""),"Umbra")</f>
        <v>Umbra</v>
      </c>
    </row>
    <row r="10267">
      <c r="A10267" t="str">
        <f>IFERROR(__xludf.DUMMYFUNCTION("""COMPUTED_VALUE"""),"02033/QVM")</f>
        <v>02033/QVM</v>
      </c>
      <c r="C10267" t="str">
        <f>IFERROR(__xludf.DUMMYFUNCTION("""COMPUTED_VALUE"""),"Umbra")</f>
        <v>Umbra</v>
      </c>
    </row>
    <row r="10268">
      <c r="A10268" t="str">
        <f>IFERROR(__xludf.DUMMYFUNCTION("""COMPUTED_VALUE"""),"43056/C")</f>
        <v>43056/C</v>
      </c>
      <c r="B10268" s="226" t="str">
        <f>IFERROR(__xludf.DUMMYFUNCTION("""COMPUTED_VALUE"""),"8054521995347")</f>
        <v>8054521995347</v>
      </c>
      <c r="C10268" t="str">
        <f>IFERROR(__xludf.DUMMYFUNCTION("""COMPUTED_VALUE"""),"Umbra")</f>
        <v>Umbra</v>
      </c>
    </row>
    <row r="10269">
      <c r="A10269" t="str">
        <f>IFERROR(__xludf.DUMMYFUNCTION("""COMPUTED_VALUE"""),"43056/F")</f>
        <v>43056/F</v>
      </c>
      <c r="B10269" s="226" t="str">
        <f>IFERROR(__xludf.DUMMYFUNCTION("""COMPUTED_VALUE"""),"8058772225673")</f>
        <v>8058772225673</v>
      </c>
      <c r="C10269" t="str">
        <f>IFERROR(__xludf.DUMMYFUNCTION("""COMPUTED_VALUE"""),"Umbra")</f>
        <v>Umbra</v>
      </c>
    </row>
    <row r="10270">
      <c r="A10270" t="str">
        <f>IFERROR(__xludf.DUMMYFUNCTION("""COMPUTED_VALUE"""),"43056/VM")</f>
        <v>43056/VM</v>
      </c>
      <c r="B10270" s="226" t="str">
        <f>IFERROR(__xludf.DUMMYFUNCTION("""COMPUTED_VALUE"""),"8054521995354")</f>
        <v>8054521995354</v>
      </c>
      <c r="C10270" t="str">
        <f>IFERROR(__xludf.DUMMYFUNCTION("""COMPUTED_VALUE"""),"Umbra")</f>
        <v>Umbra</v>
      </c>
    </row>
    <row r="10271">
      <c r="A10271" t="str">
        <f>IFERROR(__xludf.DUMMYFUNCTION("""COMPUTED_VALUE"""),"02029/C")</f>
        <v>02029/C</v>
      </c>
      <c r="B10271" s="226" t="str">
        <f>IFERROR(__xludf.DUMMYFUNCTION("""COMPUTED_VALUE"""),"8058772226694")</f>
        <v>8058772226694</v>
      </c>
      <c r="C10271" t="str">
        <f>IFERROR(__xludf.DUMMYFUNCTION("""COMPUTED_VALUE"""),"Umbra")</f>
        <v>Umbra</v>
      </c>
    </row>
    <row r="10272">
      <c r="A10272" t="str">
        <f>IFERROR(__xludf.DUMMYFUNCTION("""COMPUTED_VALUE"""),"02029/F")</f>
        <v>02029/F</v>
      </c>
      <c r="C10272" t="str">
        <f>IFERROR(__xludf.DUMMYFUNCTION("""COMPUTED_VALUE"""),"Umbra")</f>
        <v>Umbra</v>
      </c>
    </row>
    <row r="10273">
      <c r="A10273" t="str">
        <f>IFERROR(__xludf.DUMMYFUNCTION("""COMPUTED_VALUE"""),"02029/VM")</f>
        <v>02029/VM</v>
      </c>
      <c r="B10273" s="226" t="str">
        <f>IFERROR(__xludf.DUMMYFUNCTION("""COMPUTED_VALUE"""),"8058772226700")</f>
        <v>8058772226700</v>
      </c>
      <c r="C10273" t="str">
        <f>IFERROR(__xludf.DUMMYFUNCTION("""COMPUTED_VALUE"""),"Umbra")</f>
        <v>Umbra</v>
      </c>
    </row>
    <row r="10274">
      <c r="A10274" t="str">
        <f>IFERROR(__xludf.DUMMYFUNCTION("""COMPUTED_VALUE"""),"43053/F")</f>
        <v>43053/F</v>
      </c>
      <c r="B10274" s="226" t="str">
        <f>IFERROR(__xludf.DUMMYFUNCTION("""COMPUTED_VALUE"""),"8058772225659")</f>
        <v>8058772225659</v>
      </c>
      <c r="C10274" t="str">
        <f>IFERROR(__xludf.DUMMYFUNCTION("""COMPUTED_VALUE"""),"Umbra")</f>
        <v>Umbra</v>
      </c>
    </row>
    <row r="10275">
      <c r="A10275" t="str">
        <f>IFERROR(__xludf.DUMMYFUNCTION("""COMPUTED_VALUE"""),"43053")</f>
        <v>43053</v>
      </c>
      <c r="B10275" s="226" t="str">
        <f>IFERROR(__xludf.DUMMYFUNCTION("""COMPUTED_VALUE"""),"8058772226717")</f>
        <v>8058772226717</v>
      </c>
      <c r="C10275" t="str">
        <f>IFERROR(__xludf.DUMMYFUNCTION("""COMPUTED_VALUE"""),"Umbra")</f>
        <v>Umbra</v>
      </c>
    </row>
    <row r="10276">
      <c r="A10276" t="str">
        <f>IFERROR(__xludf.DUMMYFUNCTION("""COMPUTED_VALUE"""),"06026/1C")</f>
        <v>06026/1C</v>
      </c>
      <c r="B10276" s="226" t="str">
        <f>IFERROR(__xludf.DUMMYFUNCTION("""COMPUTED_VALUE"""),"8058772227196")</f>
        <v>8058772227196</v>
      </c>
      <c r="C10276" t="str">
        <f>IFERROR(__xludf.DUMMYFUNCTION("""COMPUTED_VALUE"""),"Umbra")</f>
        <v>Umbra</v>
      </c>
    </row>
    <row r="10277">
      <c r="A10277" t="str">
        <f>IFERROR(__xludf.DUMMYFUNCTION("""COMPUTED_VALUE"""),"06026/1F")</f>
        <v>06026/1F</v>
      </c>
      <c r="C10277" t="str">
        <f>IFERROR(__xludf.DUMMYFUNCTION("""COMPUTED_VALUE"""),"Umbra")</f>
        <v>Umbra</v>
      </c>
    </row>
    <row r="10278">
      <c r="A10278" t="str">
        <f>IFERROR(__xludf.DUMMYFUNCTION("""COMPUTED_VALUE"""),"06026/1VM")</f>
        <v>06026/1VM</v>
      </c>
      <c r="B10278" s="226" t="str">
        <f>IFERROR(__xludf.DUMMYFUNCTION("""COMPUTED_VALUE"""),"8058772227202")</f>
        <v>8058772227202</v>
      </c>
      <c r="C10278" t="str">
        <f>IFERROR(__xludf.DUMMYFUNCTION("""COMPUTED_VALUE"""),"Umbra")</f>
        <v>Umbra</v>
      </c>
    </row>
    <row r="10279">
      <c r="A10279" t="str">
        <f>IFERROR(__xludf.DUMMYFUNCTION("""COMPUTED_VALUE"""),"06033/C")</f>
        <v>06033/C</v>
      </c>
      <c r="B10279" s="226" t="str">
        <f>IFERROR(__xludf.DUMMYFUNCTION("""COMPUTED_VALUE"""),"8058772227301")</f>
        <v>8058772227301</v>
      </c>
      <c r="C10279" t="str">
        <f>IFERROR(__xludf.DUMMYFUNCTION("""COMPUTED_VALUE"""),"Umbra")</f>
        <v>Umbra</v>
      </c>
    </row>
    <row r="10280">
      <c r="A10280" t="str">
        <f>IFERROR(__xludf.DUMMYFUNCTION("""COMPUTED_VALUE"""),"06033/F")</f>
        <v>06033/F</v>
      </c>
      <c r="C10280" t="str">
        <f>IFERROR(__xludf.DUMMYFUNCTION("""COMPUTED_VALUE"""),"Umbra")</f>
        <v>Umbra</v>
      </c>
    </row>
    <row r="10281">
      <c r="A10281" t="str">
        <f>IFERROR(__xludf.DUMMYFUNCTION("""COMPUTED_VALUE"""),"06033/VM")</f>
        <v>06033/VM</v>
      </c>
      <c r="B10281" s="226" t="str">
        <f>IFERROR(__xludf.DUMMYFUNCTION("""COMPUTED_VALUE"""),"8058772227318")</f>
        <v>8058772227318</v>
      </c>
      <c r="C10281" t="str">
        <f>IFERROR(__xludf.DUMMYFUNCTION("""COMPUTED_VALUE"""),"Umbra")</f>
        <v>Umbra</v>
      </c>
    </row>
    <row r="10282">
      <c r="A10282" t="str">
        <f>IFERROR(__xludf.DUMMYFUNCTION("""COMPUTED_VALUE"""),"06033/C")</f>
        <v>06033/C</v>
      </c>
      <c r="B10282" s="226" t="str">
        <f>IFERROR(__xludf.DUMMYFUNCTION("""COMPUTED_VALUE"""),"8058772227301")</f>
        <v>8058772227301</v>
      </c>
      <c r="C10282" t="str">
        <f>IFERROR(__xludf.DUMMYFUNCTION("""COMPUTED_VALUE"""),"Umbra")</f>
        <v>Umbra</v>
      </c>
    </row>
    <row r="10283">
      <c r="A10283" t="str">
        <f>IFERROR(__xludf.DUMMYFUNCTION("""COMPUTED_VALUE"""),"06033/F")</f>
        <v>06033/F</v>
      </c>
      <c r="C10283" t="str">
        <f>IFERROR(__xludf.DUMMYFUNCTION("""COMPUTED_VALUE"""),"Umbra")</f>
        <v>Umbra</v>
      </c>
    </row>
    <row r="10284">
      <c r="A10284" t="str">
        <f>IFERROR(__xludf.DUMMYFUNCTION("""COMPUTED_VALUE"""),"06033/VM")</f>
        <v>06033/VM</v>
      </c>
      <c r="B10284" s="226" t="str">
        <f>IFERROR(__xludf.DUMMYFUNCTION("""COMPUTED_VALUE"""),"8058772227318")</f>
        <v>8058772227318</v>
      </c>
      <c r="C10284" t="str">
        <f>IFERROR(__xludf.DUMMYFUNCTION("""COMPUTED_VALUE"""),"Umbra")</f>
        <v>Umbra</v>
      </c>
    </row>
    <row r="10285">
      <c r="A10285" t="str">
        <f>IFERROR(__xludf.DUMMYFUNCTION("""COMPUTED_VALUE"""),"06026/1C")</f>
        <v>06026/1C</v>
      </c>
      <c r="B10285" s="226" t="str">
        <f>IFERROR(__xludf.DUMMYFUNCTION("""COMPUTED_VALUE"""),"8058772227196")</f>
        <v>8058772227196</v>
      </c>
      <c r="C10285" t="str">
        <f>IFERROR(__xludf.DUMMYFUNCTION("""COMPUTED_VALUE"""),"Umbra")</f>
        <v>Umbra</v>
      </c>
    </row>
    <row r="10286">
      <c r="A10286" t="str">
        <f>IFERROR(__xludf.DUMMYFUNCTION("""COMPUTED_VALUE"""),"06026/1F")</f>
        <v>06026/1F</v>
      </c>
      <c r="C10286" t="str">
        <f>IFERROR(__xludf.DUMMYFUNCTION("""COMPUTED_VALUE"""),"Umbra")</f>
        <v>Umbra</v>
      </c>
    </row>
    <row r="10287">
      <c r="A10287" t="str">
        <f>IFERROR(__xludf.DUMMYFUNCTION("""COMPUTED_VALUE"""),"06026/1VM")</f>
        <v>06026/1VM</v>
      </c>
      <c r="B10287" s="226" t="str">
        <f>IFERROR(__xludf.DUMMYFUNCTION("""COMPUTED_VALUE"""),"8058772227202")</f>
        <v>8058772227202</v>
      </c>
      <c r="C10287" t="str">
        <f>IFERROR(__xludf.DUMMYFUNCTION("""COMPUTED_VALUE"""),"Umbra")</f>
        <v>Umbra</v>
      </c>
    </row>
    <row r="10288">
      <c r="A10288" t="str">
        <f>IFERROR(__xludf.DUMMYFUNCTION("""COMPUTED_VALUE"""),"06034/C")</f>
        <v>06034/C</v>
      </c>
      <c r="B10288" s="226" t="str">
        <f>IFERROR(__xludf.DUMMYFUNCTION("""COMPUTED_VALUE"""),"8058772221682")</f>
        <v>8058772221682</v>
      </c>
      <c r="C10288" t="str">
        <f>IFERROR(__xludf.DUMMYFUNCTION("""COMPUTED_VALUE"""),"Umbra")</f>
        <v>Umbra</v>
      </c>
    </row>
    <row r="10289">
      <c r="A10289" t="str">
        <f>IFERROR(__xludf.DUMMYFUNCTION("""COMPUTED_VALUE"""),"06034/F")</f>
        <v>06034/F</v>
      </c>
      <c r="B10289" s="226" t="str">
        <f>IFERROR(__xludf.DUMMYFUNCTION("""COMPUTED_VALUE"""),"8058772221675")</f>
        <v>8058772221675</v>
      </c>
      <c r="C10289" t="str">
        <f>IFERROR(__xludf.DUMMYFUNCTION("""COMPUTED_VALUE"""),"Umbra")</f>
        <v>Umbra</v>
      </c>
    </row>
    <row r="10290">
      <c r="A10290" t="str">
        <f>IFERROR(__xludf.DUMMYFUNCTION("""COMPUTED_VALUE"""),"06034/VM")</f>
        <v>06034/VM</v>
      </c>
      <c r="B10290" s="226" t="str">
        <f>IFERROR(__xludf.DUMMYFUNCTION("""COMPUTED_VALUE"""),"8058772221699")</f>
        <v>8058772221699</v>
      </c>
      <c r="C10290" t="str">
        <f>IFERROR(__xludf.DUMMYFUNCTION("""COMPUTED_VALUE"""),"Umbra")</f>
        <v>Umbra</v>
      </c>
    </row>
    <row r="10291">
      <c r="A10291" t="str">
        <f>IFERROR(__xludf.DUMMYFUNCTION("""COMPUTED_VALUE"""),"06034/C")</f>
        <v>06034/C</v>
      </c>
      <c r="B10291" s="226" t="str">
        <f>IFERROR(__xludf.DUMMYFUNCTION("""COMPUTED_VALUE"""),"8058772221682")</f>
        <v>8058772221682</v>
      </c>
      <c r="C10291" t="str">
        <f>IFERROR(__xludf.DUMMYFUNCTION("""COMPUTED_VALUE"""),"Umbra")</f>
        <v>Umbra</v>
      </c>
    </row>
    <row r="10292">
      <c r="A10292" t="str">
        <f>IFERROR(__xludf.DUMMYFUNCTION("""COMPUTED_VALUE"""),"06034/F")</f>
        <v>06034/F</v>
      </c>
      <c r="B10292" s="226" t="str">
        <f>IFERROR(__xludf.DUMMYFUNCTION("""COMPUTED_VALUE"""),"8058772221675")</f>
        <v>8058772221675</v>
      </c>
      <c r="C10292" t="str">
        <f>IFERROR(__xludf.DUMMYFUNCTION("""COMPUTED_VALUE"""),"Umbra")</f>
        <v>Umbra</v>
      </c>
    </row>
    <row r="10293">
      <c r="A10293" t="str">
        <f>IFERROR(__xludf.DUMMYFUNCTION("""COMPUTED_VALUE"""),"06034/VM")</f>
        <v>06034/VM</v>
      </c>
      <c r="B10293" s="226" t="str">
        <f>IFERROR(__xludf.DUMMYFUNCTION("""COMPUTED_VALUE"""),"8058772221699")</f>
        <v>8058772221699</v>
      </c>
      <c r="C10293" t="str">
        <f>IFERROR(__xludf.DUMMYFUNCTION("""COMPUTED_VALUE"""),"Umbra")</f>
        <v>Umbra</v>
      </c>
    </row>
    <row r="10294">
      <c r="A10294" t="str">
        <f>IFERROR(__xludf.DUMMYFUNCTION("""COMPUTED_VALUE"""),"06018")</f>
        <v>06018</v>
      </c>
      <c r="B10294" s="226" t="str">
        <f>IFERROR(__xludf.DUMMYFUNCTION("""COMPUTED_VALUE"""),"8058772227110")</f>
        <v>8058772227110</v>
      </c>
      <c r="C10294" t="str">
        <f>IFERROR(__xludf.DUMMYFUNCTION("""COMPUTED_VALUE"""),"Umbra")</f>
        <v>Umbra</v>
      </c>
    </row>
    <row r="10295">
      <c r="A10295" t="str">
        <f>IFERROR(__xludf.DUMMYFUNCTION("""COMPUTED_VALUE"""),"06022/C")</f>
        <v>06022/C</v>
      </c>
      <c r="B10295" s="226" t="str">
        <f>IFERROR(__xludf.DUMMYFUNCTION("""COMPUTED_VALUE"""),"8058772227141")</f>
        <v>8058772227141</v>
      </c>
      <c r="C10295" t="str">
        <f>IFERROR(__xludf.DUMMYFUNCTION("""COMPUTED_VALUE"""),"Umbra")</f>
        <v>Umbra</v>
      </c>
    </row>
    <row r="10296">
      <c r="A10296" t="str">
        <f>IFERROR(__xludf.DUMMYFUNCTION("""COMPUTED_VALUE"""),"06033/C")</f>
        <v>06033/C</v>
      </c>
      <c r="B10296" s="226" t="str">
        <f>IFERROR(__xludf.DUMMYFUNCTION("""COMPUTED_VALUE"""),"8058772227301")</f>
        <v>8058772227301</v>
      </c>
      <c r="C10296" t="str">
        <f>IFERROR(__xludf.DUMMYFUNCTION("""COMPUTED_VALUE"""),"Umbra")</f>
        <v>Umbra</v>
      </c>
    </row>
    <row r="10297">
      <c r="A10297" t="str">
        <f>IFERROR(__xludf.DUMMYFUNCTION("""COMPUTED_VALUE"""),"06033/F")</f>
        <v>06033/F</v>
      </c>
      <c r="C10297" t="str">
        <f>IFERROR(__xludf.DUMMYFUNCTION("""COMPUTED_VALUE"""),"Umbra")</f>
        <v>Umbra</v>
      </c>
    </row>
    <row r="10298">
      <c r="A10298" t="str">
        <f>IFERROR(__xludf.DUMMYFUNCTION("""COMPUTED_VALUE"""),"06033/VM")</f>
        <v>06033/VM</v>
      </c>
      <c r="B10298" s="226" t="str">
        <f>IFERROR(__xludf.DUMMYFUNCTION("""COMPUTED_VALUE"""),"8058772227318")</f>
        <v>8058772227318</v>
      </c>
      <c r="C10298" t="str">
        <f>IFERROR(__xludf.DUMMYFUNCTION("""COMPUTED_VALUE"""),"Umbra")</f>
        <v>Umbra</v>
      </c>
    </row>
    <row r="10299">
      <c r="A10299" t="str">
        <f>IFERROR(__xludf.DUMMYFUNCTION("""COMPUTED_VALUE"""),"06035/C")</f>
        <v>06035/C</v>
      </c>
      <c r="B10299" s="226" t="str">
        <f>IFERROR(__xludf.DUMMYFUNCTION("""COMPUTED_VALUE"""),"8058772221712")</f>
        <v>8058772221712</v>
      </c>
      <c r="C10299" t="str">
        <f>IFERROR(__xludf.DUMMYFUNCTION("""COMPUTED_VALUE"""),"Umbra")</f>
        <v>Umbra</v>
      </c>
    </row>
    <row r="10300">
      <c r="A10300" t="str">
        <f>IFERROR(__xludf.DUMMYFUNCTION("""COMPUTED_VALUE"""),"06035/F")</f>
        <v>06035/F</v>
      </c>
      <c r="B10300" s="226" t="str">
        <f>IFERROR(__xludf.DUMMYFUNCTION("""COMPUTED_VALUE"""),"8058772221705")</f>
        <v>8058772221705</v>
      </c>
      <c r="C10300" t="str">
        <f>IFERROR(__xludf.DUMMYFUNCTION("""COMPUTED_VALUE"""),"Umbra")</f>
        <v>Umbra</v>
      </c>
    </row>
    <row r="10301">
      <c r="A10301" t="str">
        <f>IFERROR(__xludf.DUMMYFUNCTION("""COMPUTED_VALUE"""),"06035/VM")</f>
        <v>06035/VM</v>
      </c>
      <c r="B10301" s="226" t="str">
        <f>IFERROR(__xludf.DUMMYFUNCTION("""COMPUTED_VALUE"""),"8058772221729")</f>
        <v>8058772221729</v>
      </c>
      <c r="C10301" t="str">
        <f>IFERROR(__xludf.DUMMYFUNCTION("""COMPUTED_VALUE"""),"Umbra")</f>
        <v>Umbra</v>
      </c>
    </row>
    <row r="10302">
      <c r="A10302" t="str">
        <f>IFERROR(__xludf.DUMMYFUNCTION("""COMPUTED_VALUE"""),"06034/C")</f>
        <v>06034/C</v>
      </c>
      <c r="B10302" s="226" t="str">
        <f>IFERROR(__xludf.DUMMYFUNCTION("""COMPUTED_VALUE"""),"8058772221682")</f>
        <v>8058772221682</v>
      </c>
      <c r="C10302" t="str">
        <f>IFERROR(__xludf.DUMMYFUNCTION("""COMPUTED_VALUE"""),"Umbra")</f>
        <v>Umbra</v>
      </c>
    </row>
    <row r="10303">
      <c r="A10303" t="str">
        <f>IFERROR(__xludf.DUMMYFUNCTION("""COMPUTED_VALUE"""),"06034/F")</f>
        <v>06034/F</v>
      </c>
      <c r="B10303" s="226" t="str">
        <f>IFERROR(__xludf.DUMMYFUNCTION("""COMPUTED_VALUE"""),"8058772221675")</f>
        <v>8058772221675</v>
      </c>
      <c r="C10303" t="str">
        <f>IFERROR(__xludf.DUMMYFUNCTION("""COMPUTED_VALUE"""),"Umbra")</f>
        <v>Umbra</v>
      </c>
    </row>
    <row r="10304">
      <c r="A10304" t="str">
        <f>IFERROR(__xludf.DUMMYFUNCTION("""COMPUTED_VALUE"""),"06034/VM")</f>
        <v>06034/VM</v>
      </c>
      <c r="B10304" s="226" t="str">
        <f>IFERROR(__xludf.DUMMYFUNCTION("""COMPUTED_VALUE"""),"8058772221699")</f>
        <v>8058772221699</v>
      </c>
      <c r="C10304" t="str">
        <f>IFERROR(__xludf.DUMMYFUNCTION("""COMPUTED_VALUE"""),"Umbra")</f>
        <v>Umbra</v>
      </c>
    </row>
    <row r="10305">
      <c r="A10305" t="str">
        <f>IFERROR(__xludf.DUMMYFUNCTION("""COMPUTED_VALUE"""),"06034/C")</f>
        <v>06034/C</v>
      </c>
      <c r="B10305" s="226" t="str">
        <f>IFERROR(__xludf.DUMMYFUNCTION("""COMPUTED_VALUE"""),"8058772221682")</f>
        <v>8058772221682</v>
      </c>
      <c r="C10305" t="str">
        <f>IFERROR(__xludf.DUMMYFUNCTION("""COMPUTED_VALUE"""),"Umbra")</f>
        <v>Umbra</v>
      </c>
    </row>
    <row r="10306">
      <c r="A10306" t="str">
        <f>IFERROR(__xludf.DUMMYFUNCTION("""COMPUTED_VALUE"""),"06034/F")</f>
        <v>06034/F</v>
      </c>
      <c r="B10306" s="226" t="str">
        <f>IFERROR(__xludf.DUMMYFUNCTION("""COMPUTED_VALUE"""),"8058772221675")</f>
        <v>8058772221675</v>
      </c>
      <c r="C10306" t="str">
        <f>IFERROR(__xludf.DUMMYFUNCTION("""COMPUTED_VALUE"""),"Umbra")</f>
        <v>Umbra</v>
      </c>
    </row>
    <row r="10307">
      <c r="A10307" t="str">
        <f>IFERROR(__xludf.DUMMYFUNCTION("""COMPUTED_VALUE"""),"06034/VM")</f>
        <v>06034/VM</v>
      </c>
      <c r="B10307" s="226" t="str">
        <f>IFERROR(__xludf.DUMMYFUNCTION("""COMPUTED_VALUE"""),"8058772221699")</f>
        <v>8058772221699</v>
      </c>
      <c r="C10307" t="str">
        <f>IFERROR(__xludf.DUMMYFUNCTION("""COMPUTED_VALUE"""),"Umbra")</f>
        <v>Umbra</v>
      </c>
    </row>
    <row r="10308">
      <c r="A10308" t="str">
        <f>IFERROR(__xludf.DUMMYFUNCTION("""COMPUTED_VALUE"""),"06026/3C")</f>
        <v>06026/3C</v>
      </c>
      <c r="C10308" t="str">
        <f>IFERROR(__xludf.DUMMYFUNCTION("""COMPUTED_VALUE"""),"Umbra")</f>
        <v>Umbra</v>
      </c>
    </row>
    <row r="10309">
      <c r="A10309" t="str">
        <f>IFERROR(__xludf.DUMMYFUNCTION("""COMPUTED_VALUE"""),"06026/3F")</f>
        <v>06026/3F</v>
      </c>
      <c r="C10309" t="str">
        <f>IFERROR(__xludf.DUMMYFUNCTION("""COMPUTED_VALUE"""),"Umbra")</f>
        <v>Umbra</v>
      </c>
    </row>
    <row r="10310">
      <c r="A10310" t="str">
        <f>IFERROR(__xludf.DUMMYFUNCTION("""COMPUTED_VALUE"""),"06026/3VM")</f>
        <v>06026/3VM</v>
      </c>
      <c r="C10310" t="str">
        <f>IFERROR(__xludf.DUMMYFUNCTION("""COMPUTED_VALUE"""),"Umbra")</f>
        <v>Umbra</v>
      </c>
    </row>
    <row r="10311">
      <c r="A10311" t="str">
        <f>IFERROR(__xludf.DUMMYFUNCTION("""COMPUTED_VALUE"""),"06033/C")</f>
        <v>06033/C</v>
      </c>
      <c r="B10311" s="226" t="str">
        <f>IFERROR(__xludf.DUMMYFUNCTION("""COMPUTED_VALUE"""),"8058772227301")</f>
        <v>8058772227301</v>
      </c>
      <c r="C10311" t="str">
        <f>IFERROR(__xludf.DUMMYFUNCTION("""COMPUTED_VALUE"""),"Umbra")</f>
        <v>Umbra</v>
      </c>
    </row>
    <row r="10312">
      <c r="A10312" t="str">
        <f>IFERROR(__xludf.DUMMYFUNCTION("""COMPUTED_VALUE"""),"06033/F")</f>
        <v>06033/F</v>
      </c>
      <c r="C10312" t="str">
        <f>IFERROR(__xludf.DUMMYFUNCTION("""COMPUTED_VALUE"""),"Umbra")</f>
        <v>Umbra</v>
      </c>
    </row>
    <row r="10313">
      <c r="A10313" t="str">
        <f>IFERROR(__xludf.DUMMYFUNCTION("""COMPUTED_VALUE"""),"06033/VM")</f>
        <v>06033/VM</v>
      </c>
      <c r="B10313" s="226" t="str">
        <f>IFERROR(__xludf.DUMMYFUNCTION("""COMPUTED_VALUE"""),"8058772227318")</f>
        <v>8058772227318</v>
      </c>
      <c r="C10313" t="str">
        <f>IFERROR(__xludf.DUMMYFUNCTION("""COMPUTED_VALUE"""),"Umbra")</f>
        <v>Umbra</v>
      </c>
    </row>
    <row r="10314">
      <c r="A10314" t="str">
        <f>IFERROR(__xludf.DUMMYFUNCTION("""COMPUTED_VALUE"""),"06033/C")</f>
        <v>06033/C</v>
      </c>
      <c r="B10314" s="226" t="str">
        <f>IFERROR(__xludf.DUMMYFUNCTION("""COMPUTED_VALUE"""),"8058772227301")</f>
        <v>8058772227301</v>
      </c>
      <c r="C10314" t="str">
        <f>IFERROR(__xludf.DUMMYFUNCTION("""COMPUTED_VALUE"""),"Umbra")</f>
        <v>Umbra</v>
      </c>
    </row>
    <row r="10315">
      <c r="A10315" t="str">
        <f>IFERROR(__xludf.DUMMYFUNCTION("""COMPUTED_VALUE"""),"06033/F")</f>
        <v>06033/F</v>
      </c>
      <c r="C10315" t="str">
        <f>IFERROR(__xludf.DUMMYFUNCTION("""COMPUTED_VALUE"""),"Umbra")</f>
        <v>Umbra</v>
      </c>
    </row>
    <row r="10316">
      <c r="A10316" t="str">
        <f>IFERROR(__xludf.DUMMYFUNCTION("""COMPUTED_VALUE"""),"06033/VM")</f>
        <v>06033/VM</v>
      </c>
      <c r="B10316" s="226" t="str">
        <f>IFERROR(__xludf.DUMMYFUNCTION("""COMPUTED_VALUE"""),"8058772227318")</f>
        <v>8058772227318</v>
      </c>
      <c r="C10316" t="str">
        <f>IFERROR(__xludf.DUMMYFUNCTION("""COMPUTED_VALUE"""),"Umbra")</f>
        <v>Umbra</v>
      </c>
    </row>
    <row r="10317">
      <c r="A10317" t="str">
        <f>IFERROR(__xludf.DUMMYFUNCTION("""COMPUTED_VALUE"""),"06019")</f>
        <v>06019</v>
      </c>
      <c r="B10317" s="226" t="str">
        <f>IFERROR(__xludf.DUMMYFUNCTION("""COMPUTED_VALUE"""),"8058772227127")</f>
        <v>8058772227127</v>
      </c>
      <c r="C10317" t="str">
        <f>IFERROR(__xludf.DUMMYFUNCTION("""COMPUTED_VALUE"""),"Umbra")</f>
        <v>Umbra</v>
      </c>
    </row>
    <row r="10318">
      <c r="A10318" t="str">
        <f>IFERROR(__xludf.DUMMYFUNCTION("""COMPUTED_VALUE"""),"06019/F")</f>
        <v>06019/F</v>
      </c>
      <c r="B10318" s="226" t="str">
        <f>IFERROR(__xludf.DUMMYFUNCTION("""COMPUTED_VALUE"""),"8058772221569")</f>
        <v>8058772221569</v>
      </c>
      <c r="C10318" t="str">
        <f>IFERROR(__xludf.DUMMYFUNCTION("""COMPUTED_VALUE"""),"Umbra")</f>
        <v>Umbra</v>
      </c>
    </row>
    <row r="10319">
      <c r="A10319" t="str">
        <f>IFERROR(__xludf.DUMMYFUNCTION("""COMPUTED_VALUE"""),"06023/C")</f>
        <v>06023/C</v>
      </c>
      <c r="B10319" s="226" t="str">
        <f>IFERROR(__xludf.DUMMYFUNCTION("""COMPUTED_VALUE"""),"8058772227165")</f>
        <v>8058772227165</v>
      </c>
      <c r="C10319" t="str">
        <f>IFERROR(__xludf.DUMMYFUNCTION("""COMPUTED_VALUE"""),"Umbra")</f>
        <v>Umbra</v>
      </c>
    </row>
    <row r="10320">
      <c r="A10320" t="str">
        <f>IFERROR(__xludf.DUMMYFUNCTION("""COMPUTED_VALUE"""),"06023/F")</f>
        <v>06023/F</v>
      </c>
      <c r="C10320" t="str">
        <f>IFERROR(__xludf.DUMMYFUNCTION("""COMPUTED_VALUE"""),"Umbra")</f>
        <v>Umbra</v>
      </c>
    </row>
    <row r="10321">
      <c r="A10321" t="str">
        <f>IFERROR(__xludf.DUMMYFUNCTION("""COMPUTED_VALUE"""),"06023/VM")</f>
        <v>06023/VM</v>
      </c>
      <c r="B10321" s="226" t="str">
        <f>IFERROR(__xludf.DUMMYFUNCTION("""COMPUTED_VALUE"""),"8058772227172")</f>
        <v>8058772227172</v>
      </c>
      <c r="C10321" t="str">
        <f>IFERROR(__xludf.DUMMYFUNCTION("""COMPUTED_VALUE"""),"Umbra")</f>
        <v>Umbra</v>
      </c>
    </row>
    <row r="10322">
      <c r="A10322" t="str">
        <f>IFERROR(__xludf.DUMMYFUNCTION("""COMPUTED_VALUE"""),"06031/C")</f>
        <v>06031/C</v>
      </c>
      <c r="B10322" s="226" t="str">
        <f>IFERROR(__xludf.DUMMYFUNCTION("""COMPUTED_VALUE"""),"8058772227264")</f>
        <v>8058772227264</v>
      </c>
      <c r="C10322" t="str">
        <f>IFERROR(__xludf.DUMMYFUNCTION("""COMPUTED_VALUE"""),"Umbra")</f>
        <v>Umbra</v>
      </c>
    </row>
    <row r="10323">
      <c r="A10323" t="str">
        <f>IFERROR(__xludf.DUMMYFUNCTION("""COMPUTED_VALUE"""),"06031/F")</f>
        <v>06031/F</v>
      </c>
      <c r="C10323" t="str">
        <f>IFERROR(__xludf.DUMMYFUNCTION("""COMPUTED_VALUE"""),"Umbra")</f>
        <v>Umbra</v>
      </c>
    </row>
    <row r="10324">
      <c r="A10324" t="str">
        <f>IFERROR(__xludf.DUMMYFUNCTION("""COMPUTED_VALUE"""),"06031/VM")</f>
        <v>06031/VM</v>
      </c>
      <c r="B10324" s="226" t="str">
        <f>IFERROR(__xludf.DUMMYFUNCTION("""COMPUTED_VALUE"""),"8058772227271")</f>
        <v>8058772227271</v>
      </c>
      <c r="C10324" t="str">
        <f>IFERROR(__xludf.DUMMYFUNCTION("""COMPUTED_VALUE"""),"Umbra")</f>
        <v>Umbra</v>
      </c>
    </row>
    <row r="10325">
      <c r="A10325" t="str">
        <f>IFERROR(__xludf.DUMMYFUNCTION("""COMPUTED_VALUE"""),"06023/C")</f>
        <v>06023/C</v>
      </c>
      <c r="B10325" s="226" t="str">
        <f>IFERROR(__xludf.DUMMYFUNCTION("""COMPUTED_VALUE"""),"8058772227165")</f>
        <v>8058772227165</v>
      </c>
      <c r="C10325" t="str">
        <f>IFERROR(__xludf.DUMMYFUNCTION("""COMPUTED_VALUE"""),"Umbra")</f>
        <v>Umbra</v>
      </c>
    </row>
    <row r="10326">
      <c r="A10326" t="str">
        <f>IFERROR(__xludf.DUMMYFUNCTION("""COMPUTED_VALUE"""),"06023/F")</f>
        <v>06023/F</v>
      </c>
      <c r="C10326" t="str">
        <f>IFERROR(__xludf.DUMMYFUNCTION("""COMPUTED_VALUE"""),"Umbra")</f>
        <v>Umbra</v>
      </c>
    </row>
    <row r="10327">
      <c r="A10327" t="str">
        <f>IFERROR(__xludf.DUMMYFUNCTION("""COMPUTED_VALUE"""),"06023/VM")</f>
        <v>06023/VM</v>
      </c>
      <c r="B10327" s="226" t="str">
        <f>IFERROR(__xludf.DUMMYFUNCTION("""COMPUTED_VALUE"""),"8058772227172")</f>
        <v>8058772227172</v>
      </c>
      <c r="C10327" t="str">
        <f>IFERROR(__xludf.DUMMYFUNCTION("""COMPUTED_VALUE"""),"Umbra")</f>
        <v>Umbra</v>
      </c>
    </row>
    <row r="10328">
      <c r="A10328" t="str">
        <f>IFERROR(__xludf.DUMMYFUNCTION("""COMPUTED_VALUE"""),"06020")</f>
        <v>06020</v>
      </c>
      <c r="B10328" s="226" t="str">
        <f>IFERROR(__xludf.DUMMYFUNCTION("""COMPUTED_VALUE"""),"8058772227134")</f>
        <v>8058772227134</v>
      </c>
      <c r="C10328" t="str">
        <f>IFERROR(__xludf.DUMMYFUNCTION("""COMPUTED_VALUE"""),"Umbra")</f>
        <v>Umbra</v>
      </c>
    </row>
    <row r="10329">
      <c r="A10329" t="str">
        <f>IFERROR(__xludf.DUMMYFUNCTION("""COMPUTED_VALUE"""),"06031/C")</f>
        <v>06031/C</v>
      </c>
      <c r="B10329" s="226" t="str">
        <f>IFERROR(__xludf.DUMMYFUNCTION("""COMPUTED_VALUE"""),"8058772227264")</f>
        <v>8058772227264</v>
      </c>
      <c r="C10329" t="str">
        <f>IFERROR(__xludf.DUMMYFUNCTION("""COMPUTED_VALUE"""),"Umbra")</f>
        <v>Umbra</v>
      </c>
    </row>
    <row r="10330">
      <c r="A10330" t="str">
        <f>IFERROR(__xludf.DUMMYFUNCTION("""COMPUTED_VALUE"""),"06031/F")</f>
        <v>06031/F</v>
      </c>
      <c r="C10330" t="str">
        <f>IFERROR(__xludf.DUMMYFUNCTION("""COMPUTED_VALUE"""),"Umbra")</f>
        <v>Umbra</v>
      </c>
    </row>
    <row r="10331">
      <c r="A10331" t="str">
        <f>IFERROR(__xludf.DUMMYFUNCTION("""COMPUTED_VALUE"""),"06031/VM")</f>
        <v>06031/VM</v>
      </c>
      <c r="B10331" s="226" t="str">
        <f>IFERROR(__xludf.DUMMYFUNCTION("""COMPUTED_VALUE"""),"8058772227271")</f>
        <v>8058772227271</v>
      </c>
      <c r="C10331" t="str">
        <f>IFERROR(__xludf.DUMMYFUNCTION("""COMPUTED_VALUE"""),"Umbra")</f>
        <v>Umbra</v>
      </c>
    </row>
    <row r="10332">
      <c r="A10332" t="str">
        <f>IFERROR(__xludf.DUMMYFUNCTION("""COMPUTED_VALUE"""),"06036/C")</f>
        <v>06036/C</v>
      </c>
      <c r="B10332" s="226" t="str">
        <f>IFERROR(__xludf.DUMMYFUNCTION("""COMPUTED_VALUE"""),"8054521996894")</f>
        <v>8054521996894</v>
      </c>
      <c r="C10332" t="str">
        <f>IFERROR(__xludf.DUMMYFUNCTION("""COMPUTED_VALUE"""),"Umbra")</f>
        <v>Umbra</v>
      </c>
    </row>
    <row r="10333">
      <c r="A10333" t="str">
        <f>IFERROR(__xludf.DUMMYFUNCTION("""COMPUTED_VALUE"""),"06036/F")</f>
        <v>06036/F</v>
      </c>
      <c r="B10333" s="226" t="str">
        <f>IFERROR(__xludf.DUMMYFUNCTION("""COMPUTED_VALUE"""),"8054521996887")</f>
        <v>8054521996887</v>
      </c>
      <c r="C10333" t="str">
        <f>IFERROR(__xludf.DUMMYFUNCTION("""COMPUTED_VALUE"""),"Umbra")</f>
        <v>Umbra</v>
      </c>
    </row>
    <row r="10334">
      <c r="A10334" t="str">
        <f>IFERROR(__xludf.DUMMYFUNCTION("""COMPUTED_VALUE"""),"06036/VM")</f>
        <v>06036/VM</v>
      </c>
      <c r="B10334" s="226" t="str">
        <f>IFERROR(__xludf.DUMMYFUNCTION("""COMPUTED_VALUE"""),"8054521996900")</f>
        <v>8054521996900</v>
      </c>
      <c r="C10334" t="str">
        <f>IFERROR(__xludf.DUMMYFUNCTION("""COMPUTED_VALUE"""),"Umbra")</f>
        <v>Umbra</v>
      </c>
    </row>
    <row r="10335">
      <c r="A10335" t="str">
        <f>IFERROR(__xludf.DUMMYFUNCTION("""COMPUTED_VALUE"""),"06036/C")</f>
        <v>06036/C</v>
      </c>
      <c r="B10335" s="226" t="str">
        <f>IFERROR(__xludf.DUMMYFUNCTION("""COMPUTED_VALUE"""),"8054521996894")</f>
        <v>8054521996894</v>
      </c>
      <c r="C10335" t="str">
        <f>IFERROR(__xludf.DUMMYFUNCTION("""COMPUTED_VALUE"""),"Umbra")</f>
        <v>Umbra</v>
      </c>
    </row>
    <row r="10336">
      <c r="A10336" t="str">
        <f>IFERROR(__xludf.DUMMYFUNCTION("""COMPUTED_VALUE"""),"06036/F")</f>
        <v>06036/F</v>
      </c>
      <c r="B10336" s="226" t="str">
        <f>IFERROR(__xludf.DUMMYFUNCTION("""COMPUTED_VALUE"""),"8054521996887")</f>
        <v>8054521996887</v>
      </c>
      <c r="C10336" t="str">
        <f>IFERROR(__xludf.DUMMYFUNCTION("""COMPUTED_VALUE"""),"Umbra")</f>
        <v>Umbra</v>
      </c>
    </row>
    <row r="10337">
      <c r="A10337" t="str">
        <f>IFERROR(__xludf.DUMMYFUNCTION("""COMPUTED_VALUE"""),"06036/VM")</f>
        <v>06036/VM</v>
      </c>
      <c r="B10337" s="226" t="str">
        <f>IFERROR(__xludf.DUMMYFUNCTION("""COMPUTED_VALUE"""),"8054521996900")</f>
        <v>8054521996900</v>
      </c>
      <c r="C10337" t="str">
        <f>IFERROR(__xludf.DUMMYFUNCTION("""COMPUTED_VALUE"""),"Umbra")</f>
        <v>Umbra</v>
      </c>
    </row>
    <row r="10338">
      <c r="A10338" t="str">
        <f>IFERROR(__xludf.DUMMYFUNCTION("""COMPUTED_VALUE"""),"06030/C")</f>
        <v>06030/C</v>
      </c>
      <c r="B10338" s="226" t="str">
        <f>IFERROR(__xludf.DUMMYFUNCTION("""COMPUTED_VALUE"""),"8058772227240")</f>
        <v>8058772227240</v>
      </c>
      <c r="C10338" t="str">
        <f>IFERROR(__xludf.DUMMYFUNCTION("""COMPUTED_VALUE"""),"Umbra")</f>
        <v>Umbra</v>
      </c>
    </row>
    <row r="10339">
      <c r="A10339" t="str">
        <f>IFERROR(__xludf.DUMMYFUNCTION("""COMPUTED_VALUE"""),"06030/F")</f>
        <v>06030/F</v>
      </c>
      <c r="C10339" t="str">
        <f>IFERROR(__xludf.DUMMYFUNCTION("""COMPUTED_VALUE"""),"Umbra")</f>
        <v>Umbra</v>
      </c>
    </row>
    <row r="10340">
      <c r="A10340" t="str">
        <f>IFERROR(__xludf.DUMMYFUNCTION("""COMPUTED_VALUE"""),"06030/VM")</f>
        <v>06030/VM</v>
      </c>
      <c r="B10340" s="226" t="str">
        <f>IFERROR(__xludf.DUMMYFUNCTION("""COMPUTED_VALUE"""),"8058772227257")</f>
        <v>8058772227257</v>
      </c>
      <c r="C10340" t="str">
        <f>IFERROR(__xludf.DUMMYFUNCTION("""COMPUTED_VALUE"""),"Umbra")</f>
        <v>Umbra</v>
      </c>
    </row>
    <row r="10341">
      <c r="A10341" t="str">
        <f>IFERROR(__xludf.DUMMYFUNCTION("""COMPUTED_VALUE"""),"06036/C")</f>
        <v>06036/C</v>
      </c>
      <c r="B10341" s="226" t="str">
        <f>IFERROR(__xludf.DUMMYFUNCTION("""COMPUTED_VALUE"""),"8054521996894")</f>
        <v>8054521996894</v>
      </c>
      <c r="C10341" t="str">
        <f>IFERROR(__xludf.DUMMYFUNCTION("""COMPUTED_VALUE"""),"Umbra")</f>
        <v>Umbra</v>
      </c>
    </row>
    <row r="10342">
      <c r="A10342" t="str">
        <f>IFERROR(__xludf.DUMMYFUNCTION("""COMPUTED_VALUE"""),"06036/F")</f>
        <v>06036/F</v>
      </c>
      <c r="B10342" s="226" t="str">
        <f>IFERROR(__xludf.DUMMYFUNCTION("""COMPUTED_VALUE"""),"8054521996887")</f>
        <v>8054521996887</v>
      </c>
      <c r="C10342" t="str">
        <f>IFERROR(__xludf.DUMMYFUNCTION("""COMPUTED_VALUE"""),"Umbra")</f>
        <v>Umbra</v>
      </c>
    </row>
    <row r="10343">
      <c r="A10343" t="str">
        <f>IFERROR(__xludf.DUMMYFUNCTION("""COMPUTED_VALUE"""),"06036/VM")</f>
        <v>06036/VM</v>
      </c>
      <c r="B10343" s="226" t="str">
        <f>IFERROR(__xludf.DUMMYFUNCTION("""COMPUTED_VALUE"""),"8054521996900")</f>
        <v>8054521996900</v>
      </c>
      <c r="C10343" t="str">
        <f>IFERROR(__xludf.DUMMYFUNCTION("""COMPUTED_VALUE"""),"Umbra")</f>
        <v>Umbra</v>
      </c>
    </row>
    <row r="10344">
      <c r="A10344" t="str">
        <f>IFERROR(__xludf.DUMMYFUNCTION("""COMPUTED_VALUE"""),"06025/C")</f>
        <v>06025/C</v>
      </c>
      <c r="B10344" s="226" t="str">
        <f>IFERROR(__xludf.DUMMYFUNCTION("""COMPUTED_VALUE"""),"8058772221590")</f>
        <v>8058772221590</v>
      </c>
      <c r="C10344" t="str">
        <f>IFERROR(__xludf.DUMMYFUNCTION("""COMPUTED_VALUE"""),"Umbra")</f>
        <v>Umbra</v>
      </c>
    </row>
    <row r="10345">
      <c r="A10345" t="str">
        <f>IFERROR(__xludf.DUMMYFUNCTION("""COMPUTED_VALUE"""),"06025/F")</f>
        <v>06025/F</v>
      </c>
      <c r="B10345" s="226" t="str">
        <f>IFERROR(__xludf.DUMMYFUNCTION("""COMPUTED_VALUE"""),"8058772221583")</f>
        <v>8058772221583</v>
      </c>
      <c r="C10345" t="str">
        <f>IFERROR(__xludf.DUMMYFUNCTION("""COMPUTED_VALUE"""),"Umbra")</f>
        <v>Umbra</v>
      </c>
    </row>
    <row r="10346">
      <c r="A10346" t="str">
        <f>IFERROR(__xludf.DUMMYFUNCTION("""COMPUTED_VALUE"""),"06025/VM")</f>
        <v>06025/VM</v>
      </c>
      <c r="B10346" s="226" t="str">
        <f>IFERROR(__xludf.DUMMYFUNCTION("""COMPUTED_VALUE"""),"8058772227189")</f>
        <v>8058772227189</v>
      </c>
      <c r="C10346" t="str">
        <f>IFERROR(__xludf.DUMMYFUNCTION("""COMPUTED_VALUE"""),"Umbra")</f>
        <v>Umbra</v>
      </c>
    </row>
    <row r="10347">
      <c r="A10347" t="str">
        <f>IFERROR(__xludf.DUMMYFUNCTION("""COMPUTED_VALUE"""),"06032/C")</f>
        <v>06032/C</v>
      </c>
      <c r="B10347" s="226" t="str">
        <f>IFERROR(__xludf.DUMMYFUNCTION("""COMPUTED_VALUE"""),"8058772227288")</f>
        <v>8058772227288</v>
      </c>
      <c r="C10347" t="str">
        <f>IFERROR(__xludf.DUMMYFUNCTION("""COMPUTED_VALUE"""),"Umbra")</f>
        <v>Umbra</v>
      </c>
    </row>
    <row r="10348">
      <c r="A10348" t="str">
        <f>IFERROR(__xludf.DUMMYFUNCTION("""COMPUTED_VALUE"""),"06032/F")</f>
        <v>06032/F</v>
      </c>
      <c r="C10348" t="str">
        <f>IFERROR(__xludf.DUMMYFUNCTION("""COMPUTED_VALUE"""),"Umbra")</f>
        <v>Umbra</v>
      </c>
    </row>
    <row r="10349">
      <c r="A10349" t="str">
        <f>IFERROR(__xludf.DUMMYFUNCTION("""COMPUTED_VALUE"""),"06032/VM")</f>
        <v>06032/VM</v>
      </c>
      <c r="B10349" s="226" t="str">
        <f>IFERROR(__xludf.DUMMYFUNCTION("""COMPUTED_VALUE"""),"8058772227295")</f>
        <v>8058772227295</v>
      </c>
      <c r="C10349" t="str">
        <f>IFERROR(__xludf.DUMMYFUNCTION("""COMPUTED_VALUE"""),"Umbra")</f>
        <v>Umbra</v>
      </c>
    </row>
    <row r="10350">
      <c r="A10350" t="str">
        <f>IFERROR(__xludf.DUMMYFUNCTION("""COMPUTED_VALUE"""),"06032/C")</f>
        <v>06032/C</v>
      </c>
      <c r="B10350" s="226" t="str">
        <f>IFERROR(__xludf.DUMMYFUNCTION("""COMPUTED_VALUE"""),"8058772227288")</f>
        <v>8058772227288</v>
      </c>
      <c r="C10350" t="str">
        <f>IFERROR(__xludf.DUMMYFUNCTION("""COMPUTED_VALUE"""),"Umbra")</f>
        <v>Umbra</v>
      </c>
    </row>
    <row r="10351">
      <c r="A10351" t="str">
        <f>IFERROR(__xludf.DUMMYFUNCTION("""COMPUTED_VALUE"""),"06032/F")</f>
        <v>06032/F</v>
      </c>
      <c r="C10351" t="str">
        <f>IFERROR(__xludf.DUMMYFUNCTION("""COMPUTED_VALUE"""),"Umbra")</f>
        <v>Umbra</v>
      </c>
    </row>
    <row r="10352">
      <c r="A10352" t="str">
        <f>IFERROR(__xludf.DUMMYFUNCTION("""COMPUTED_VALUE"""),"06032/VM")</f>
        <v>06032/VM</v>
      </c>
      <c r="B10352" s="226" t="str">
        <f>IFERROR(__xludf.DUMMYFUNCTION("""COMPUTED_VALUE"""),"8058772227295")</f>
        <v>8058772227295</v>
      </c>
      <c r="C10352" t="str">
        <f>IFERROR(__xludf.DUMMYFUNCTION("""COMPUTED_VALUE"""),"Umbra")</f>
        <v>Umbra</v>
      </c>
    </row>
    <row r="10353">
      <c r="A10353" t="str">
        <f>IFERROR(__xludf.DUMMYFUNCTION("""COMPUTED_VALUE"""),"06028/F")</f>
        <v>06028/F</v>
      </c>
      <c r="B10353" s="226" t="str">
        <f>IFERROR(__xludf.DUMMYFUNCTION("""COMPUTED_VALUE"""),"8058772221613")</f>
        <v>8058772221613</v>
      </c>
      <c r="C10353" t="str">
        <f>IFERROR(__xludf.DUMMYFUNCTION("""COMPUTED_VALUE"""),"Umbra")</f>
        <v>Umbra</v>
      </c>
    </row>
    <row r="10354">
      <c r="A10354" t="str">
        <f>IFERROR(__xludf.DUMMYFUNCTION("""COMPUTED_VALUE"""),"06028/VM")</f>
        <v>06028/VM</v>
      </c>
      <c r="C10354" t="str">
        <f>IFERROR(__xludf.DUMMYFUNCTION("""COMPUTED_VALUE"""),"Umbra")</f>
        <v>Umbra</v>
      </c>
    </row>
    <row r="10355">
      <c r="A10355" t="str">
        <f>IFERROR(__xludf.DUMMYFUNCTION("""COMPUTED_VALUE"""),"06027/VM")</f>
        <v>06027/VM</v>
      </c>
      <c r="B10355" s="226" t="str">
        <f>IFERROR(__xludf.DUMMYFUNCTION("""COMPUTED_VALUE"""),"8058772227219")</f>
        <v>8058772227219</v>
      </c>
      <c r="C10355" t="str">
        <f>IFERROR(__xludf.DUMMYFUNCTION("""COMPUTED_VALUE"""),"Umbra")</f>
        <v>Umbra</v>
      </c>
    </row>
    <row r="10356">
      <c r="A10356" t="str">
        <f>IFERROR(__xludf.DUMMYFUNCTION("""COMPUTED_VALUE"""),"06028/F")</f>
        <v>06028/F</v>
      </c>
      <c r="B10356" s="226" t="str">
        <f>IFERROR(__xludf.DUMMYFUNCTION("""COMPUTED_VALUE"""),"8058772221613")</f>
        <v>8058772221613</v>
      </c>
      <c r="C10356" t="str">
        <f>IFERROR(__xludf.DUMMYFUNCTION("""COMPUTED_VALUE"""),"Umbra")</f>
        <v>Umbra</v>
      </c>
    </row>
    <row r="10357">
      <c r="A10357" t="str">
        <f>IFERROR(__xludf.DUMMYFUNCTION("""COMPUTED_VALUE"""),"06028/VM")</f>
        <v>06028/VM</v>
      </c>
      <c r="C10357" t="str">
        <f>IFERROR(__xludf.DUMMYFUNCTION("""COMPUTED_VALUE"""),"Umbra")</f>
        <v>Umbra</v>
      </c>
    </row>
    <row r="10358">
      <c r="A10358" t="str">
        <f>IFERROR(__xludf.DUMMYFUNCTION("""COMPUTED_VALUE"""),"06029/F")</f>
        <v>06029/F</v>
      </c>
      <c r="B10358" s="226" t="str">
        <f>IFERROR(__xludf.DUMMYFUNCTION("""COMPUTED_VALUE"""),"8058772221620")</f>
        <v>8058772221620</v>
      </c>
      <c r="C10358" t="str">
        <f>IFERROR(__xludf.DUMMYFUNCTION("""COMPUTED_VALUE"""),"Umbra")</f>
        <v>Umbra</v>
      </c>
    </row>
    <row r="10359">
      <c r="A10359" t="str">
        <f>IFERROR(__xludf.DUMMYFUNCTION("""COMPUTED_VALUE"""),"06029")</f>
        <v>06029</v>
      </c>
      <c r="B10359" s="226" t="str">
        <f>IFERROR(__xludf.DUMMYFUNCTION("""COMPUTED_VALUE"""),"8058772227233")</f>
        <v>8058772227233</v>
      </c>
      <c r="C10359" t="str">
        <f>IFERROR(__xludf.DUMMYFUNCTION("""COMPUTED_VALUE"""),"Umbra")</f>
        <v>Umbra</v>
      </c>
    </row>
    <row r="10360">
      <c r="A10360" t="str">
        <f>IFERROR(__xludf.DUMMYFUNCTION("""COMPUTED_VALUE"""),"06028/F")</f>
        <v>06028/F</v>
      </c>
      <c r="B10360" s="226" t="str">
        <f>IFERROR(__xludf.DUMMYFUNCTION("""COMPUTED_VALUE"""),"8058772221613")</f>
        <v>8058772221613</v>
      </c>
      <c r="C10360" t="str">
        <f>IFERROR(__xludf.DUMMYFUNCTION("""COMPUTED_VALUE"""),"Umbra")</f>
        <v>Umbra</v>
      </c>
    </row>
    <row r="10361">
      <c r="A10361" t="str">
        <f>IFERROR(__xludf.DUMMYFUNCTION("""COMPUTED_VALUE"""),"06028/VM")</f>
        <v>06028/VM</v>
      </c>
      <c r="C10361" t="str">
        <f>IFERROR(__xludf.DUMMYFUNCTION("""COMPUTED_VALUE"""),"Umbra")</f>
        <v>Umbra</v>
      </c>
    </row>
    <row r="10362">
      <c r="A10362" t="str">
        <f>IFERROR(__xludf.DUMMYFUNCTION("""COMPUTED_VALUE"""),"07103/C")</f>
        <v>07103/C</v>
      </c>
      <c r="B10362" s="226" t="str">
        <f>IFERROR(__xludf.DUMMYFUNCTION("""COMPUTED_VALUE"""),"8058772228070")</f>
        <v>8058772228070</v>
      </c>
      <c r="C10362" t="str">
        <f>IFERROR(__xludf.DUMMYFUNCTION("""COMPUTED_VALUE"""),"Umbra")</f>
        <v>Umbra</v>
      </c>
    </row>
    <row r="10363">
      <c r="A10363" t="str">
        <f>IFERROR(__xludf.DUMMYFUNCTION("""COMPUTED_VALUE"""),"07103/F")</f>
        <v>07103/F</v>
      </c>
      <c r="B10363" s="226" t="str">
        <f>IFERROR(__xludf.DUMMYFUNCTION("""COMPUTED_VALUE"""),"8058772221941")</f>
        <v>8058772221941</v>
      </c>
      <c r="C10363" t="str">
        <f>IFERROR(__xludf.DUMMYFUNCTION("""COMPUTED_VALUE"""),"Umbra")</f>
        <v>Umbra</v>
      </c>
    </row>
    <row r="10364">
      <c r="A10364" t="str">
        <f>IFERROR(__xludf.DUMMYFUNCTION("""COMPUTED_VALUE"""),"07107/C")</f>
        <v>07107/C</v>
      </c>
      <c r="B10364" s="226" t="str">
        <f>IFERROR(__xludf.DUMMYFUNCTION("""COMPUTED_VALUE"""),"8058772222009")</f>
        <v>8058772222009</v>
      </c>
      <c r="C10364" t="str">
        <f>IFERROR(__xludf.DUMMYFUNCTION("""COMPUTED_VALUE"""),"Umbra")</f>
        <v>Umbra</v>
      </c>
    </row>
    <row r="10365">
      <c r="A10365" t="str">
        <f>IFERROR(__xludf.DUMMYFUNCTION("""COMPUTED_VALUE"""),"07107/F")</f>
        <v>07107/F</v>
      </c>
      <c r="B10365" s="226" t="str">
        <f>IFERROR(__xludf.DUMMYFUNCTION("""COMPUTED_VALUE"""),"8058772221996")</f>
        <v>8058772221996</v>
      </c>
      <c r="C10365" t="str">
        <f>IFERROR(__xludf.DUMMYFUNCTION("""COMPUTED_VALUE"""),"Umbra")</f>
        <v>Umbra</v>
      </c>
    </row>
    <row r="10366">
      <c r="A10366" t="str">
        <f>IFERROR(__xludf.DUMMYFUNCTION("""COMPUTED_VALUE"""),"07107/VM")</f>
        <v>07107/VM</v>
      </c>
      <c r="B10366" s="226" t="str">
        <f>IFERROR(__xludf.DUMMYFUNCTION("""COMPUTED_VALUE"""),"8058772222016")</f>
        <v>8058772222016</v>
      </c>
      <c r="C10366" t="str">
        <f>IFERROR(__xludf.DUMMYFUNCTION("""COMPUTED_VALUE"""),"Umbra")</f>
        <v>Umbra</v>
      </c>
    </row>
    <row r="10367">
      <c r="A10367" t="str">
        <f>IFERROR(__xludf.DUMMYFUNCTION("""COMPUTED_VALUE"""),"07104/C")</f>
        <v>07104/C</v>
      </c>
      <c r="B10367" s="226" t="str">
        <f>IFERROR(__xludf.DUMMYFUNCTION("""COMPUTED_VALUE"""),"8058772227325")</f>
        <v>8058772227325</v>
      </c>
      <c r="C10367" t="str">
        <f>IFERROR(__xludf.DUMMYFUNCTION("""COMPUTED_VALUE"""),"Umbra")</f>
        <v>Umbra</v>
      </c>
    </row>
    <row r="10368">
      <c r="A10368" t="str">
        <f>IFERROR(__xludf.DUMMYFUNCTION("""COMPUTED_VALUE"""),"07104/F")</f>
        <v>07104/F</v>
      </c>
      <c r="C10368" t="str">
        <f>IFERROR(__xludf.DUMMYFUNCTION("""COMPUTED_VALUE"""),"Umbra")</f>
        <v>Umbra</v>
      </c>
    </row>
    <row r="10369">
      <c r="A10369" t="str">
        <f>IFERROR(__xludf.DUMMYFUNCTION("""COMPUTED_VALUE"""),"07104/VM")</f>
        <v>07104/VM</v>
      </c>
      <c r="B10369" s="226" t="str">
        <f>IFERROR(__xludf.DUMMYFUNCTION("""COMPUTED_VALUE"""),"8058772227332")</f>
        <v>8058772227332</v>
      </c>
      <c r="C10369" t="str">
        <f>IFERROR(__xludf.DUMMYFUNCTION("""COMPUTED_VALUE"""),"Umbra")</f>
        <v>Umbra</v>
      </c>
    </row>
    <row r="10370">
      <c r="A10370" t="str">
        <f>IFERROR(__xludf.DUMMYFUNCTION("""COMPUTED_VALUE"""),"28059/C")</f>
        <v>28059/C</v>
      </c>
      <c r="B10370" s="226" t="str">
        <f>IFERROR(__xludf.DUMMYFUNCTION("""COMPUTED_VALUE"""),"8054521992742")</f>
        <v>8054521992742</v>
      </c>
      <c r="C10370" t="str">
        <f>IFERROR(__xludf.DUMMYFUNCTION("""COMPUTED_VALUE"""),"Umbra")</f>
        <v>Umbra</v>
      </c>
    </row>
    <row r="10371">
      <c r="A10371" t="str">
        <f>IFERROR(__xludf.DUMMYFUNCTION("""COMPUTED_VALUE"""),"28059/F")</f>
        <v>28059/F</v>
      </c>
      <c r="B10371" s="226" t="str">
        <f>IFERROR(__xludf.DUMMYFUNCTION("""COMPUTED_VALUE"""),"8058772224232")</f>
        <v>8058772224232</v>
      </c>
      <c r="C10371" t="str">
        <f>IFERROR(__xludf.DUMMYFUNCTION("""COMPUTED_VALUE"""),"Umbra")</f>
        <v>Umbra</v>
      </c>
    </row>
    <row r="10372">
      <c r="A10372" t="str">
        <f>IFERROR(__xludf.DUMMYFUNCTION("""COMPUTED_VALUE"""),"28059/VM")</f>
        <v>28059/VM</v>
      </c>
      <c r="B10372" s="226" t="str">
        <f>IFERROR(__xludf.DUMMYFUNCTION("""COMPUTED_VALUE"""),"8054521992759")</f>
        <v>8054521992759</v>
      </c>
      <c r="C10372" t="str">
        <f>IFERROR(__xludf.DUMMYFUNCTION("""COMPUTED_VALUE"""),"Umbra")</f>
        <v>Umbra</v>
      </c>
    </row>
    <row r="10373">
      <c r="A10373" t="str">
        <f>IFERROR(__xludf.DUMMYFUNCTION("""COMPUTED_VALUE"""),"07108/C")</f>
        <v>07108/C</v>
      </c>
      <c r="B10373" s="226" t="str">
        <f>IFERROR(__xludf.DUMMYFUNCTION("""COMPUTED_VALUE"""),"8058772222030")</f>
        <v>8058772222030</v>
      </c>
      <c r="C10373" t="str">
        <f>IFERROR(__xludf.DUMMYFUNCTION("""COMPUTED_VALUE"""),"Umbra")</f>
        <v>Umbra</v>
      </c>
    </row>
    <row r="10374">
      <c r="A10374" t="str">
        <f>IFERROR(__xludf.DUMMYFUNCTION("""COMPUTED_VALUE"""),"07108/F")</f>
        <v>07108/F</v>
      </c>
      <c r="B10374" s="226" t="str">
        <f>IFERROR(__xludf.DUMMYFUNCTION("""COMPUTED_VALUE"""),"8058772222023")</f>
        <v>8058772222023</v>
      </c>
      <c r="C10374" t="str">
        <f>IFERROR(__xludf.DUMMYFUNCTION("""COMPUTED_VALUE"""),"Umbra")</f>
        <v>Umbra</v>
      </c>
    </row>
    <row r="10375">
      <c r="A10375" t="str">
        <f>IFERROR(__xludf.DUMMYFUNCTION("""COMPUTED_VALUE"""),"07108/VM")</f>
        <v>07108/VM</v>
      </c>
      <c r="C10375" t="str">
        <f>IFERROR(__xludf.DUMMYFUNCTION("""COMPUTED_VALUE"""),"Umbra")</f>
        <v>Umbra</v>
      </c>
    </row>
    <row r="10376">
      <c r="A10376" t="str">
        <f>IFERROR(__xludf.DUMMYFUNCTION("""COMPUTED_VALUE"""),"28059/C")</f>
        <v>28059/C</v>
      </c>
      <c r="B10376" s="226" t="str">
        <f>IFERROR(__xludf.DUMMYFUNCTION("""COMPUTED_VALUE"""),"8054521992742")</f>
        <v>8054521992742</v>
      </c>
      <c r="C10376" t="str">
        <f>IFERROR(__xludf.DUMMYFUNCTION("""COMPUTED_VALUE"""),"Umbra")</f>
        <v>Umbra</v>
      </c>
    </row>
    <row r="10377">
      <c r="A10377" t="str">
        <f>IFERROR(__xludf.DUMMYFUNCTION("""COMPUTED_VALUE"""),"28059/F")</f>
        <v>28059/F</v>
      </c>
      <c r="B10377" s="226" t="str">
        <f>IFERROR(__xludf.DUMMYFUNCTION("""COMPUTED_VALUE"""),"8058772224232")</f>
        <v>8058772224232</v>
      </c>
      <c r="C10377" t="str">
        <f>IFERROR(__xludf.DUMMYFUNCTION("""COMPUTED_VALUE"""),"Umbra")</f>
        <v>Umbra</v>
      </c>
    </row>
    <row r="10378">
      <c r="A10378" t="str">
        <f>IFERROR(__xludf.DUMMYFUNCTION("""COMPUTED_VALUE"""),"28059/VM")</f>
        <v>28059/VM</v>
      </c>
      <c r="B10378" s="226" t="str">
        <f>IFERROR(__xludf.DUMMYFUNCTION("""COMPUTED_VALUE"""),"8054521992759")</f>
        <v>8054521992759</v>
      </c>
      <c r="C10378" t="str">
        <f>IFERROR(__xludf.DUMMYFUNCTION("""COMPUTED_VALUE"""),"Umbra")</f>
        <v>Umbra</v>
      </c>
    </row>
    <row r="10379">
      <c r="A10379" t="str">
        <f>IFERROR(__xludf.DUMMYFUNCTION("""COMPUTED_VALUE"""),"07103/C")</f>
        <v>07103/C</v>
      </c>
      <c r="B10379" s="226" t="str">
        <f>IFERROR(__xludf.DUMMYFUNCTION("""COMPUTED_VALUE"""),"8058772228070")</f>
        <v>8058772228070</v>
      </c>
      <c r="C10379" t="str">
        <f>IFERROR(__xludf.DUMMYFUNCTION("""COMPUTED_VALUE"""),"Umbra")</f>
        <v>Umbra</v>
      </c>
    </row>
    <row r="10380">
      <c r="A10380" t="str">
        <f>IFERROR(__xludf.DUMMYFUNCTION("""COMPUTED_VALUE"""),"07103/F")</f>
        <v>07103/F</v>
      </c>
      <c r="B10380" s="226" t="str">
        <f>IFERROR(__xludf.DUMMYFUNCTION("""COMPUTED_VALUE"""),"8058772221941")</f>
        <v>8058772221941</v>
      </c>
      <c r="C10380" t="str">
        <f>IFERROR(__xludf.DUMMYFUNCTION("""COMPUTED_VALUE"""),"Umbra")</f>
        <v>Umbra</v>
      </c>
    </row>
    <row r="10381">
      <c r="A10381" t="str">
        <f>IFERROR(__xludf.DUMMYFUNCTION("""COMPUTED_VALUE"""),"07105/C")</f>
        <v>07105/C</v>
      </c>
      <c r="B10381" s="226" t="str">
        <f>IFERROR(__xludf.DUMMYFUNCTION("""COMPUTED_VALUE"""),"8058772227349")</f>
        <v>8058772227349</v>
      </c>
      <c r="C10381" t="str">
        <f>IFERROR(__xludf.DUMMYFUNCTION("""COMPUTED_VALUE"""),"Umbra")</f>
        <v>Umbra</v>
      </c>
    </row>
    <row r="10382">
      <c r="A10382" t="str">
        <f>IFERROR(__xludf.DUMMYFUNCTION("""COMPUTED_VALUE"""),"07105/F")</f>
        <v>07105/F</v>
      </c>
      <c r="C10382" t="str">
        <f>IFERROR(__xludf.DUMMYFUNCTION("""COMPUTED_VALUE"""),"Umbra")</f>
        <v>Umbra</v>
      </c>
    </row>
    <row r="10383">
      <c r="A10383" t="str">
        <f>IFERROR(__xludf.DUMMYFUNCTION("""COMPUTED_VALUE"""),"07102")</f>
        <v>07102</v>
      </c>
      <c r="B10383" s="226" t="str">
        <f>IFERROR(__xludf.DUMMYFUNCTION("""COMPUTED_VALUE"""),"8058772228063")</f>
        <v>8058772228063</v>
      </c>
      <c r="C10383" t="str">
        <f>IFERROR(__xludf.DUMMYFUNCTION("""COMPUTED_VALUE"""),"Umbra")</f>
        <v>Umbra</v>
      </c>
    </row>
    <row r="10384">
      <c r="A10384" t="str">
        <f>IFERROR(__xludf.DUMMYFUNCTION("""COMPUTED_VALUE"""),"07106/C")</f>
        <v>07106/C</v>
      </c>
      <c r="B10384" s="226" t="str">
        <f>IFERROR(__xludf.DUMMYFUNCTION("""COMPUTED_VALUE"""),"8058772227363")</f>
        <v>8058772227363</v>
      </c>
      <c r="C10384" t="str">
        <f>IFERROR(__xludf.DUMMYFUNCTION("""COMPUTED_VALUE"""),"Umbra")</f>
        <v>Umbra</v>
      </c>
    </row>
    <row r="10385">
      <c r="A10385" t="str">
        <f>IFERROR(__xludf.DUMMYFUNCTION("""COMPUTED_VALUE"""),"07106/F")</f>
        <v>07106/F</v>
      </c>
      <c r="B10385" s="226" t="str">
        <f>IFERROR(__xludf.DUMMYFUNCTION("""COMPUTED_VALUE"""),"8058772221972")</f>
        <v>8058772221972</v>
      </c>
      <c r="C10385" t="str">
        <f>IFERROR(__xludf.DUMMYFUNCTION("""COMPUTED_VALUE"""),"Umbra")</f>
        <v>Umbra</v>
      </c>
    </row>
    <row r="10386">
      <c r="A10386" t="str">
        <f>IFERROR(__xludf.DUMMYFUNCTION("""COMPUTED_VALUE"""),"07106/VM")</f>
        <v>07106/VM</v>
      </c>
      <c r="B10386" s="226" t="str">
        <f>IFERROR(__xludf.DUMMYFUNCTION("""COMPUTED_VALUE"""),"8058772227370")</f>
        <v>8058772227370</v>
      </c>
      <c r="C10386" t="str">
        <f>IFERROR(__xludf.DUMMYFUNCTION("""COMPUTED_VALUE"""),"Umbra")</f>
        <v>Umbra</v>
      </c>
    </row>
    <row r="10387">
      <c r="A10387" t="str">
        <f>IFERROR(__xludf.DUMMYFUNCTION("""COMPUTED_VALUE"""),"07101")</f>
        <v>07101</v>
      </c>
      <c r="B10387" s="226" t="str">
        <f>IFERROR(__xludf.DUMMYFUNCTION("""COMPUTED_VALUE"""),"8058772228056")</f>
        <v>8058772228056</v>
      </c>
      <c r="C10387" t="str">
        <f>IFERROR(__xludf.DUMMYFUNCTION("""COMPUTED_VALUE"""),"Umbra")</f>
        <v>Umbra</v>
      </c>
    </row>
    <row r="10388">
      <c r="A10388" t="str">
        <f>IFERROR(__xludf.DUMMYFUNCTION("""COMPUTED_VALUE"""),"28064/C")</f>
        <v>28064/C</v>
      </c>
      <c r="B10388" s="226" t="str">
        <f>IFERROR(__xludf.DUMMYFUNCTION("""COMPUTED_VALUE"""),"NULL")</f>
        <v>NULL</v>
      </c>
      <c r="C10388" t="str">
        <f>IFERROR(__xludf.DUMMYFUNCTION("""COMPUTED_VALUE"""),"Umbra")</f>
        <v>Umbra</v>
      </c>
    </row>
    <row r="10389">
      <c r="A10389" t="str">
        <f>IFERROR(__xludf.DUMMYFUNCTION("""COMPUTED_VALUE"""),"28064/F")</f>
        <v>28064/F</v>
      </c>
      <c r="B10389" s="226" t="str">
        <f>IFERROR(__xludf.DUMMYFUNCTION("""COMPUTED_VALUE"""),"NULL")</f>
        <v>NULL</v>
      </c>
      <c r="C10389" t="str">
        <f>IFERROR(__xludf.DUMMYFUNCTION("""COMPUTED_VALUE"""),"Umbra")</f>
        <v>Umbra</v>
      </c>
    </row>
    <row r="10390">
      <c r="A10390" t="str">
        <f>IFERROR(__xludf.DUMMYFUNCTION("""COMPUTED_VALUE"""),"28064/VM")</f>
        <v>28064/VM</v>
      </c>
      <c r="B10390" s="226" t="str">
        <f>IFERROR(__xludf.DUMMYFUNCTION("""COMPUTED_VALUE"""),"NULL")</f>
        <v>NULL</v>
      </c>
      <c r="C10390" t="str">
        <f>IFERROR(__xludf.DUMMYFUNCTION("""COMPUTED_VALUE"""),"Umbra")</f>
        <v>Umbra</v>
      </c>
    </row>
    <row r="10391">
      <c r="A10391" t="str">
        <f>IFERROR(__xludf.DUMMYFUNCTION("""COMPUTED_VALUE"""),"28063/C")</f>
        <v>28063/C</v>
      </c>
      <c r="B10391" s="226" t="str">
        <f>IFERROR(__xludf.DUMMYFUNCTION("""COMPUTED_VALUE"""),"8058772224287")</f>
        <v>8058772224287</v>
      </c>
      <c r="C10391" t="str">
        <f>IFERROR(__xludf.DUMMYFUNCTION("""COMPUTED_VALUE"""),"Umbra")</f>
        <v>Umbra</v>
      </c>
    </row>
    <row r="10392">
      <c r="A10392" t="str">
        <f>IFERROR(__xludf.DUMMYFUNCTION("""COMPUTED_VALUE"""),"28063/F")</f>
        <v>28063/F</v>
      </c>
      <c r="B10392" s="226" t="str">
        <f>IFERROR(__xludf.DUMMYFUNCTION("""COMPUTED_VALUE"""),"8058772224270")</f>
        <v>8058772224270</v>
      </c>
      <c r="C10392" t="str">
        <f>IFERROR(__xludf.DUMMYFUNCTION("""COMPUTED_VALUE"""),"Umbra")</f>
        <v>Umbra</v>
      </c>
    </row>
    <row r="10393">
      <c r="A10393" t="str">
        <f>IFERROR(__xludf.DUMMYFUNCTION("""COMPUTED_VALUE"""),"28063/VM")</f>
        <v>28063/VM</v>
      </c>
      <c r="B10393" s="226" t="str">
        <f>IFERROR(__xludf.DUMMYFUNCTION("""COMPUTED_VALUE"""),"8058772224294")</f>
        <v>8058772224294</v>
      </c>
      <c r="C10393" t="str">
        <f>IFERROR(__xludf.DUMMYFUNCTION("""COMPUTED_VALUE"""),"Umbra")</f>
        <v>Umbra</v>
      </c>
    </row>
    <row r="10394">
      <c r="A10394" t="str">
        <f>IFERROR(__xludf.DUMMYFUNCTION("""COMPUTED_VALUE"""),"21041/C")</f>
        <v>21041/C</v>
      </c>
      <c r="B10394" s="226" t="str">
        <f>IFERROR(__xludf.DUMMYFUNCTION("""COMPUTED_VALUE"""),"8058772223358")</f>
        <v>8058772223358</v>
      </c>
      <c r="C10394" t="str">
        <f>IFERROR(__xludf.DUMMYFUNCTION("""COMPUTED_VALUE"""),"Umbra")</f>
        <v>Umbra</v>
      </c>
    </row>
    <row r="10395">
      <c r="A10395" t="str">
        <f>IFERROR(__xludf.DUMMYFUNCTION("""COMPUTED_VALUE"""),"21041/F")</f>
        <v>21041/F</v>
      </c>
      <c r="B10395" s="226" t="str">
        <f>IFERROR(__xludf.DUMMYFUNCTION("""COMPUTED_VALUE"""),"8058772223341")</f>
        <v>8058772223341</v>
      </c>
      <c r="C10395" t="str">
        <f>IFERROR(__xludf.DUMMYFUNCTION("""COMPUTED_VALUE"""),"Umbra")</f>
        <v>Umbra</v>
      </c>
    </row>
    <row r="10396">
      <c r="A10396" t="str">
        <f>IFERROR(__xludf.DUMMYFUNCTION("""COMPUTED_VALUE"""),"21041/VM")</f>
        <v>21041/VM</v>
      </c>
      <c r="B10396" s="226" t="str">
        <f>IFERROR(__xludf.DUMMYFUNCTION("""COMPUTED_VALUE"""),"8058772223365")</f>
        <v>8058772223365</v>
      </c>
      <c r="C10396" t="str">
        <f>IFERROR(__xludf.DUMMYFUNCTION("""COMPUTED_VALUE"""),"Umbra")</f>
        <v>Umbra</v>
      </c>
    </row>
    <row r="10397">
      <c r="A10397" t="str">
        <f>IFERROR(__xludf.DUMMYFUNCTION("""COMPUTED_VALUE"""),"06053")</f>
        <v>06053</v>
      </c>
      <c r="B10397" s="226" t="str">
        <f>IFERROR(__xludf.DUMMYFUNCTION("""COMPUTED_VALUE"""),"8058772227400")</f>
        <v>8058772227400</v>
      </c>
      <c r="C10397" t="str">
        <f>IFERROR(__xludf.DUMMYFUNCTION("""COMPUTED_VALUE"""),"Umbra")</f>
        <v>Umbra</v>
      </c>
    </row>
    <row r="10398">
      <c r="A10398" t="str">
        <f>IFERROR(__xludf.DUMMYFUNCTION("""COMPUTED_VALUE"""),"06053/F")</f>
        <v>06053/F</v>
      </c>
      <c r="B10398" s="226" t="str">
        <f>IFERROR(__xludf.DUMMYFUNCTION("""COMPUTED_VALUE"""),"8058772221736")</f>
        <v>8058772221736</v>
      </c>
      <c r="C10398" t="str">
        <f>IFERROR(__xludf.DUMMYFUNCTION("""COMPUTED_VALUE"""),"Umbra")</f>
        <v>Umbra</v>
      </c>
    </row>
    <row r="10399">
      <c r="A10399" t="str">
        <f>IFERROR(__xludf.DUMMYFUNCTION("""COMPUTED_VALUE"""),"06055/C")</f>
        <v>06055/C</v>
      </c>
      <c r="B10399" s="226" t="str">
        <f>IFERROR(__xludf.DUMMYFUNCTION("""COMPUTED_VALUE"""),"8058772227424")</f>
        <v>8058772227424</v>
      </c>
      <c r="C10399" t="str">
        <f>IFERROR(__xludf.DUMMYFUNCTION("""COMPUTED_VALUE"""),"Umbra")</f>
        <v>Umbra</v>
      </c>
    </row>
    <row r="10400">
      <c r="A10400" t="str">
        <f>IFERROR(__xludf.DUMMYFUNCTION("""COMPUTED_VALUE"""),"06055/F")</f>
        <v>06055/F</v>
      </c>
      <c r="C10400" t="str">
        <f>IFERROR(__xludf.DUMMYFUNCTION("""COMPUTED_VALUE"""),"Umbra")</f>
        <v>Umbra</v>
      </c>
    </row>
    <row r="10401">
      <c r="A10401" t="str">
        <f>IFERROR(__xludf.DUMMYFUNCTION("""COMPUTED_VALUE"""),"06055/VM")</f>
        <v>06055/VM</v>
      </c>
      <c r="C10401" t="str">
        <f>IFERROR(__xludf.DUMMYFUNCTION("""COMPUTED_VALUE"""),"Umbra")</f>
        <v>Umbra</v>
      </c>
    </row>
    <row r="10402">
      <c r="A10402" t="str">
        <f>IFERROR(__xludf.DUMMYFUNCTION("""COMPUTED_VALUE"""),"06052")</f>
        <v>06052</v>
      </c>
      <c r="B10402" s="226" t="str">
        <f>IFERROR(__xludf.DUMMYFUNCTION("""COMPUTED_VALUE"""),"8058772227394")</f>
        <v>8058772227394</v>
      </c>
      <c r="C10402" t="str">
        <f>IFERROR(__xludf.DUMMYFUNCTION("""COMPUTED_VALUE"""),"Umbra")</f>
        <v>Umbra</v>
      </c>
    </row>
    <row r="10403">
      <c r="A10403" t="str">
        <f>IFERROR(__xludf.DUMMYFUNCTION("""COMPUTED_VALUE"""),"06054")</f>
        <v>06054</v>
      </c>
      <c r="B10403" s="226" t="str">
        <f>IFERROR(__xludf.DUMMYFUNCTION("""COMPUTED_VALUE"""),"8058772227417")</f>
        <v>8058772227417</v>
      </c>
      <c r="C10403" t="str">
        <f>IFERROR(__xludf.DUMMYFUNCTION("""COMPUTED_VALUE"""),"Umbra")</f>
        <v>Umbra</v>
      </c>
    </row>
    <row r="10404">
      <c r="A10404" t="str">
        <f>IFERROR(__xludf.DUMMYFUNCTION("""COMPUTED_VALUE"""),"06053")</f>
        <v>06053</v>
      </c>
      <c r="B10404" s="226" t="str">
        <f>IFERROR(__xludf.DUMMYFUNCTION("""COMPUTED_VALUE"""),"8058772227400")</f>
        <v>8058772227400</v>
      </c>
      <c r="C10404" t="str">
        <f>IFERROR(__xludf.DUMMYFUNCTION("""COMPUTED_VALUE"""),"Umbra")</f>
        <v>Umbra</v>
      </c>
    </row>
    <row r="10405">
      <c r="A10405" t="str">
        <f>IFERROR(__xludf.DUMMYFUNCTION("""COMPUTED_VALUE"""),"06053/F")</f>
        <v>06053/F</v>
      </c>
      <c r="B10405" s="226" t="str">
        <f>IFERROR(__xludf.DUMMYFUNCTION("""COMPUTED_VALUE"""),"8058772221736")</f>
        <v>8058772221736</v>
      </c>
      <c r="C10405" t="str">
        <f>IFERROR(__xludf.DUMMYFUNCTION("""COMPUTED_VALUE"""),"Umbra")</f>
        <v>Umbra</v>
      </c>
    </row>
    <row r="10406">
      <c r="A10406" t="str">
        <f>IFERROR(__xludf.DUMMYFUNCTION("""COMPUTED_VALUE"""),"06052")</f>
        <v>06052</v>
      </c>
      <c r="B10406" s="226" t="str">
        <f>IFERROR(__xludf.DUMMYFUNCTION("""COMPUTED_VALUE"""),"8058772227394")</f>
        <v>8058772227394</v>
      </c>
      <c r="C10406" t="str">
        <f>IFERROR(__xludf.DUMMYFUNCTION("""COMPUTED_VALUE"""),"Umbra")</f>
        <v>Umbra</v>
      </c>
    </row>
    <row r="10407">
      <c r="A10407" t="str">
        <f>IFERROR(__xludf.DUMMYFUNCTION("""COMPUTED_VALUE"""),"07031")</f>
        <v>07031</v>
      </c>
      <c r="C10407" t="str">
        <f>IFERROR(__xludf.DUMMYFUNCTION("""COMPUTED_VALUE"""),"Umbra")</f>
        <v>Umbra</v>
      </c>
    </row>
    <row r="10408">
      <c r="A10408" t="str">
        <f>IFERROR(__xludf.DUMMYFUNCTION("""COMPUTED_VALUE"""),"07045/C")</f>
        <v>07045/C</v>
      </c>
      <c r="B10408" s="226" t="str">
        <f>IFERROR(__xludf.DUMMYFUNCTION("""COMPUTED_VALUE"""),"8058772221866")</f>
        <v>8058772221866</v>
      </c>
      <c r="C10408" t="str">
        <f>IFERROR(__xludf.DUMMYFUNCTION("""COMPUTED_VALUE"""),"Umbra")</f>
        <v>Umbra</v>
      </c>
    </row>
    <row r="10409">
      <c r="A10409" t="str">
        <f>IFERROR(__xludf.DUMMYFUNCTION("""COMPUTED_VALUE"""),"07045/F")</f>
        <v>07045/F</v>
      </c>
      <c r="B10409" s="226" t="str">
        <f>IFERROR(__xludf.DUMMYFUNCTION("""COMPUTED_VALUE"""),"8058772221859")</f>
        <v>8058772221859</v>
      </c>
      <c r="C10409" t="str">
        <f>IFERROR(__xludf.DUMMYFUNCTION("""COMPUTED_VALUE"""),"Umbra")</f>
        <v>Umbra</v>
      </c>
    </row>
    <row r="10410">
      <c r="A10410" t="str">
        <f>IFERROR(__xludf.DUMMYFUNCTION("""COMPUTED_VALUE"""),"29045/C")</f>
        <v>29045/C</v>
      </c>
      <c r="B10410" s="226" t="str">
        <f>IFERROR(__xludf.DUMMYFUNCTION("""COMPUTED_VALUE"""),"8054521993077")</f>
        <v>8054521993077</v>
      </c>
      <c r="C10410" t="str">
        <f>IFERROR(__xludf.DUMMYFUNCTION("""COMPUTED_VALUE"""),"Umbra")</f>
        <v>Umbra</v>
      </c>
    </row>
    <row r="10411">
      <c r="A10411" t="str">
        <f>IFERROR(__xludf.DUMMYFUNCTION("""COMPUTED_VALUE"""),"29045/LC")</f>
        <v>29045/LC</v>
      </c>
      <c r="B10411" s="226" t="str">
        <f>IFERROR(__xludf.DUMMYFUNCTION("""COMPUTED_VALUE"""),"8054521993084")</f>
        <v>8054521993084</v>
      </c>
      <c r="C10411" t="str">
        <f>IFERROR(__xludf.DUMMYFUNCTION("""COMPUTED_VALUE"""),"Umbra")</f>
        <v>Umbra</v>
      </c>
    </row>
    <row r="10412">
      <c r="A10412" t="str">
        <f>IFERROR(__xludf.DUMMYFUNCTION("""COMPUTED_VALUE"""),"29045/F")</f>
        <v>29045/F</v>
      </c>
      <c r="B10412" s="226" t="str">
        <f>IFERROR(__xludf.DUMMYFUNCTION("""COMPUTED_VALUE"""),"8058772224430")</f>
        <v>8058772224430</v>
      </c>
      <c r="C10412" t="str">
        <f>IFERROR(__xludf.DUMMYFUNCTION("""COMPUTED_VALUE"""),"Umbra")</f>
        <v>Umbra</v>
      </c>
    </row>
    <row r="10413">
      <c r="A10413" t="str">
        <f>IFERROR(__xludf.DUMMYFUNCTION("""COMPUTED_VALUE"""),"29045/LF")</f>
        <v>29045/LF</v>
      </c>
      <c r="C10413" t="str">
        <f>IFERROR(__xludf.DUMMYFUNCTION("""COMPUTED_VALUE"""),"Umbra")</f>
        <v>Umbra</v>
      </c>
    </row>
    <row r="10414">
      <c r="A10414" t="str">
        <f>IFERROR(__xludf.DUMMYFUNCTION("""COMPUTED_VALUE"""),"29045/VM")</f>
        <v>29045/VM</v>
      </c>
      <c r="B10414" s="226" t="str">
        <f>IFERROR(__xludf.DUMMYFUNCTION("""COMPUTED_VALUE"""),"8054521993107")</f>
        <v>8054521993107</v>
      </c>
      <c r="C10414" t="str">
        <f>IFERROR(__xludf.DUMMYFUNCTION("""COMPUTED_VALUE"""),"Umbra")</f>
        <v>Umbra</v>
      </c>
    </row>
    <row r="10415">
      <c r="A10415" t="str">
        <f>IFERROR(__xludf.DUMMYFUNCTION("""COMPUTED_VALUE"""),"29045/LVM")</f>
        <v>29045/LVM</v>
      </c>
      <c r="B10415" s="226" t="str">
        <f>IFERROR(__xludf.DUMMYFUNCTION("""COMPUTED_VALUE"""),"8054521993091")</f>
        <v>8054521993091</v>
      </c>
      <c r="C10415" t="str">
        <f>IFERROR(__xludf.DUMMYFUNCTION("""COMPUTED_VALUE"""),"Umbra")</f>
        <v>Umbra</v>
      </c>
    </row>
    <row r="10416">
      <c r="A10416" t="str">
        <f>IFERROR(__xludf.DUMMYFUNCTION("""COMPUTED_VALUE"""),"24018/C")</f>
        <v>24018/C</v>
      </c>
      <c r="B10416" s="226" t="str">
        <f>IFERROR(__xludf.DUMMYFUNCTION("""COMPUTED_VALUE"""),"8054521991912")</f>
        <v>8054521991912</v>
      </c>
      <c r="C10416" t="str">
        <f>IFERROR(__xludf.DUMMYFUNCTION("""COMPUTED_VALUE"""),"Umbra")</f>
        <v>Umbra</v>
      </c>
    </row>
    <row r="10417">
      <c r="A10417" t="str">
        <f>IFERROR(__xludf.DUMMYFUNCTION("""COMPUTED_VALUE"""),"24018/F")</f>
        <v>24018/F</v>
      </c>
      <c r="B10417" s="226" t="str">
        <f>IFERROR(__xludf.DUMMYFUNCTION("""COMPUTED_VALUE"""),"8058772223860")</f>
        <v>8058772223860</v>
      </c>
      <c r="C10417" t="str">
        <f>IFERROR(__xludf.DUMMYFUNCTION("""COMPUTED_VALUE"""),"Umbra")</f>
        <v>Umbra</v>
      </c>
    </row>
    <row r="10418">
      <c r="A10418" t="str">
        <f>IFERROR(__xludf.DUMMYFUNCTION("""COMPUTED_VALUE"""),"29040/C")</f>
        <v>29040/C</v>
      </c>
      <c r="B10418" s="226" t="str">
        <f>IFERROR(__xludf.DUMMYFUNCTION("""COMPUTED_VALUE"""),"8058772227981")</f>
        <v>8058772227981</v>
      </c>
      <c r="C10418" t="str">
        <f>IFERROR(__xludf.DUMMYFUNCTION("""COMPUTED_VALUE"""),"Umbra")</f>
        <v>Umbra</v>
      </c>
    </row>
    <row r="10419">
      <c r="A10419" t="str">
        <f>IFERROR(__xludf.DUMMYFUNCTION("""COMPUTED_VALUE"""),"29040/F")</f>
        <v>29040/F</v>
      </c>
      <c r="B10419" s="226" t="str">
        <f>IFERROR(__xludf.DUMMYFUNCTION("""COMPUTED_VALUE"""),"8058772224355")</f>
        <v>8058772224355</v>
      </c>
      <c r="C10419" t="str">
        <f>IFERROR(__xludf.DUMMYFUNCTION("""COMPUTED_VALUE"""),"Umbra")</f>
        <v>Umbra</v>
      </c>
    </row>
    <row r="10420">
      <c r="A10420" t="str">
        <f>IFERROR(__xludf.DUMMYFUNCTION("""COMPUTED_VALUE"""),"29040/VM")</f>
        <v>29040/VM</v>
      </c>
      <c r="B10420" s="226" t="str">
        <f>IFERROR(__xludf.DUMMYFUNCTION("""COMPUTED_VALUE"""),"8058772227998")</f>
        <v>8058772227998</v>
      </c>
      <c r="C10420" t="str">
        <f>IFERROR(__xludf.DUMMYFUNCTION("""COMPUTED_VALUE"""),"Umbra")</f>
        <v>Umbra</v>
      </c>
    </row>
    <row r="10421">
      <c r="A10421" t="str">
        <f>IFERROR(__xludf.DUMMYFUNCTION("""COMPUTED_VALUE"""),"07040/C")</f>
        <v>07040/C</v>
      </c>
      <c r="B10421" s="226" t="str">
        <f>IFERROR(__xludf.DUMMYFUNCTION("""COMPUTED_VALUE"""),"8058772227882")</f>
        <v>8058772227882</v>
      </c>
      <c r="C10421" t="str">
        <f>IFERROR(__xludf.DUMMYFUNCTION("""COMPUTED_VALUE"""),"Umbra")</f>
        <v>Umbra</v>
      </c>
    </row>
    <row r="10422">
      <c r="A10422" t="str">
        <f>IFERROR(__xludf.DUMMYFUNCTION("""COMPUTED_VALUE"""),"07040/F")</f>
        <v>07040/F</v>
      </c>
      <c r="B10422" s="226" t="str">
        <f>IFERROR(__xludf.DUMMYFUNCTION("""COMPUTED_VALUE"""),"8058772221811")</f>
        <v>8058772221811</v>
      </c>
      <c r="C10422" t="str">
        <f>IFERROR(__xludf.DUMMYFUNCTION("""COMPUTED_VALUE"""),"Umbra")</f>
        <v>Umbra</v>
      </c>
    </row>
    <row r="10423">
      <c r="A10423" t="str">
        <f>IFERROR(__xludf.DUMMYFUNCTION("""COMPUTED_VALUE"""),"07040/VM")</f>
        <v>07040/VM</v>
      </c>
      <c r="B10423" s="226" t="str">
        <f>IFERROR(__xludf.DUMMYFUNCTION("""COMPUTED_VALUE"""),"8058772227899")</f>
        <v>8058772227899</v>
      </c>
      <c r="C10423" t="str">
        <f>IFERROR(__xludf.DUMMYFUNCTION("""COMPUTED_VALUE"""),"Umbra")</f>
        <v>Umbra</v>
      </c>
    </row>
    <row r="10424">
      <c r="A10424" t="str">
        <f>IFERROR(__xludf.DUMMYFUNCTION("""COMPUTED_VALUE"""),"07040/C")</f>
        <v>07040/C</v>
      </c>
      <c r="B10424" s="226" t="str">
        <f>IFERROR(__xludf.DUMMYFUNCTION("""COMPUTED_VALUE"""),"8058772227882")</f>
        <v>8058772227882</v>
      </c>
      <c r="C10424" t="str">
        <f>IFERROR(__xludf.DUMMYFUNCTION("""COMPUTED_VALUE"""),"Umbra")</f>
        <v>Umbra</v>
      </c>
    </row>
    <row r="10425">
      <c r="A10425" t="str">
        <f>IFERROR(__xludf.DUMMYFUNCTION("""COMPUTED_VALUE"""),"07040/F")</f>
        <v>07040/F</v>
      </c>
      <c r="B10425" s="226" t="str">
        <f>IFERROR(__xludf.DUMMYFUNCTION("""COMPUTED_VALUE"""),"8058772221811")</f>
        <v>8058772221811</v>
      </c>
      <c r="C10425" t="str">
        <f>IFERROR(__xludf.DUMMYFUNCTION("""COMPUTED_VALUE"""),"Umbra")</f>
        <v>Umbra</v>
      </c>
    </row>
    <row r="10426">
      <c r="A10426" t="str">
        <f>IFERROR(__xludf.DUMMYFUNCTION("""COMPUTED_VALUE"""),"07040/VM")</f>
        <v>07040/VM</v>
      </c>
      <c r="B10426" s="226" t="str">
        <f>IFERROR(__xludf.DUMMYFUNCTION("""COMPUTED_VALUE"""),"8058772227899")</f>
        <v>8058772227899</v>
      </c>
      <c r="C10426" t="str">
        <f>IFERROR(__xludf.DUMMYFUNCTION("""COMPUTED_VALUE"""),"Umbra")</f>
        <v>Umbra</v>
      </c>
    </row>
    <row r="10427">
      <c r="A10427" t="str">
        <f>IFERROR(__xludf.DUMMYFUNCTION("""COMPUTED_VALUE"""),"29041/3C")</f>
        <v>29041/3C</v>
      </c>
      <c r="B10427" s="226" t="str">
        <f>IFERROR(__xludf.DUMMYFUNCTION("""COMPUTED_VALUE"""),"8058772228001")</f>
        <v>8058772228001</v>
      </c>
      <c r="C10427" t="str">
        <f>IFERROR(__xludf.DUMMYFUNCTION("""COMPUTED_VALUE"""),"Umbra")</f>
        <v>Umbra</v>
      </c>
    </row>
    <row r="10428">
      <c r="A10428" t="str">
        <f>IFERROR(__xludf.DUMMYFUNCTION("""COMPUTED_VALUE"""),"29041/3F")</f>
        <v>29041/3F</v>
      </c>
      <c r="B10428" s="226" t="str">
        <f>IFERROR(__xludf.DUMMYFUNCTION("""COMPUTED_VALUE"""),"8058772224379")</f>
        <v>8058772224379</v>
      </c>
      <c r="C10428" t="str">
        <f>IFERROR(__xludf.DUMMYFUNCTION("""COMPUTED_VALUE"""),"Umbra")</f>
        <v>Umbra</v>
      </c>
    </row>
    <row r="10429">
      <c r="A10429" t="str">
        <f>IFERROR(__xludf.DUMMYFUNCTION("""COMPUTED_VALUE"""),"29041/3VM")</f>
        <v>29041/3VM</v>
      </c>
      <c r="B10429" s="226" t="str">
        <f>IFERROR(__xludf.DUMMYFUNCTION("""COMPUTED_VALUE"""),"8058772228018")</f>
        <v>8058772228018</v>
      </c>
      <c r="C10429" t="str">
        <f>IFERROR(__xludf.DUMMYFUNCTION("""COMPUTED_VALUE"""),"Umbra")</f>
        <v>Umbra</v>
      </c>
    </row>
    <row r="10430">
      <c r="A10430" t="str">
        <f>IFERROR(__xludf.DUMMYFUNCTION("""COMPUTED_VALUE"""),"07040/C")</f>
        <v>07040/C</v>
      </c>
      <c r="B10430" s="226" t="str">
        <f>IFERROR(__xludf.DUMMYFUNCTION("""COMPUTED_VALUE"""),"8058772227882")</f>
        <v>8058772227882</v>
      </c>
      <c r="C10430" t="str">
        <f>IFERROR(__xludf.DUMMYFUNCTION("""COMPUTED_VALUE"""),"Umbra")</f>
        <v>Umbra</v>
      </c>
    </row>
    <row r="10431">
      <c r="A10431" t="str">
        <f>IFERROR(__xludf.DUMMYFUNCTION("""COMPUTED_VALUE"""),"07040/F")</f>
        <v>07040/F</v>
      </c>
      <c r="B10431" s="226" t="str">
        <f>IFERROR(__xludf.DUMMYFUNCTION("""COMPUTED_VALUE"""),"8058772221811")</f>
        <v>8058772221811</v>
      </c>
      <c r="C10431" t="str">
        <f>IFERROR(__xludf.DUMMYFUNCTION("""COMPUTED_VALUE"""),"Umbra")</f>
        <v>Umbra</v>
      </c>
    </row>
    <row r="10432">
      <c r="A10432" t="str">
        <f>IFERROR(__xludf.DUMMYFUNCTION("""COMPUTED_VALUE"""),"07040/VM")</f>
        <v>07040/VM</v>
      </c>
      <c r="B10432" s="226" t="str">
        <f>IFERROR(__xludf.DUMMYFUNCTION("""COMPUTED_VALUE"""),"8058772227899")</f>
        <v>8058772227899</v>
      </c>
      <c r="C10432" t="str">
        <f>IFERROR(__xludf.DUMMYFUNCTION("""COMPUTED_VALUE"""),"Umbra")</f>
        <v>Umbra</v>
      </c>
    </row>
    <row r="10433">
      <c r="A10433" t="str">
        <f>IFERROR(__xludf.DUMMYFUNCTION("""COMPUTED_VALUE"""),"07039/C")</f>
        <v>07039/C</v>
      </c>
      <c r="B10433" s="226" t="str">
        <f>IFERROR(__xludf.DUMMYFUNCTION("""COMPUTED_VALUE"""),"8058772227868")</f>
        <v>8058772227868</v>
      </c>
      <c r="C10433" t="str">
        <f>IFERROR(__xludf.DUMMYFUNCTION("""COMPUTED_VALUE"""),"Umbra")</f>
        <v>Umbra</v>
      </c>
    </row>
    <row r="10434">
      <c r="A10434" t="str">
        <f>IFERROR(__xludf.DUMMYFUNCTION("""COMPUTED_VALUE"""),"07039/F")</f>
        <v>07039/F</v>
      </c>
      <c r="B10434" s="226" t="str">
        <f>IFERROR(__xludf.DUMMYFUNCTION("""COMPUTED_VALUE"""),"8058772221781")</f>
        <v>8058772221781</v>
      </c>
      <c r="C10434" t="str">
        <f>IFERROR(__xludf.DUMMYFUNCTION("""COMPUTED_VALUE"""),"Umbra")</f>
        <v>Umbra</v>
      </c>
    </row>
    <row r="10435">
      <c r="A10435" t="str">
        <f>IFERROR(__xludf.DUMMYFUNCTION("""COMPUTED_VALUE"""),"07039/VM")</f>
        <v>07039/VM</v>
      </c>
      <c r="B10435" s="226" t="str">
        <f>IFERROR(__xludf.DUMMYFUNCTION("""COMPUTED_VALUE"""),"8058772227875")</f>
        <v>8058772227875</v>
      </c>
      <c r="C10435" t="str">
        <f>IFERROR(__xludf.DUMMYFUNCTION("""COMPUTED_VALUE"""),"Umbra")</f>
        <v>Umbra</v>
      </c>
    </row>
    <row r="10436">
      <c r="A10436" t="str">
        <f>IFERROR(__xludf.DUMMYFUNCTION("""COMPUTED_VALUE"""),"07039/2C")</f>
        <v>07039/2C</v>
      </c>
      <c r="B10436" s="226" t="str">
        <f>IFERROR(__xludf.DUMMYFUNCTION("""COMPUTED_VALUE"""),"8058772227844")</f>
        <v>8058772227844</v>
      </c>
      <c r="C10436" t="str">
        <f>IFERROR(__xludf.DUMMYFUNCTION("""COMPUTED_VALUE"""),"Umbra")</f>
        <v>Umbra</v>
      </c>
    </row>
    <row r="10437">
      <c r="A10437" t="str">
        <f>IFERROR(__xludf.DUMMYFUNCTION("""COMPUTED_VALUE"""),"07039/2F")</f>
        <v>07039/2F</v>
      </c>
      <c r="C10437" t="str">
        <f>IFERROR(__xludf.DUMMYFUNCTION("""COMPUTED_VALUE"""),"Umbra")</f>
        <v>Umbra</v>
      </c>
    </row>
    <row r="10438">
      <c r="A10438" t="str">
        <f>IFERROR(__xludf.DUMMYFUNCTION("""COMPUTED_VALUE"""),"07039/2VM")</f>
        <v>07039/2VM</v>
      </c>
      <c r="B10438" s="226" t="str">
        <f>IFERROR(__xludf.DUMMYFUNCTION("""COMPUTED_VALUE"""),"8058772227851")</f>
        <v>8058772227851</v>
      </c>
      <c r="C10438" t="str">
        <f>IFERROR(__xludf.DUMMYFUNCTION("""COMPUTED_VALUE"""),"Umbra")</f>
        <v>Umbra</v>
      </c>
    </row>
    <row r="10439">
      <c r="A10439" t="str">
        <f>IFERROR(__xludf.DUMMYFUNCTION("""COMPUTED_VALUE"""),"24020/C")</f>
        <v>24020/C</v>
      </c>
      <c r="B10439" s="226" t="str">
        <f>IFERROR(__xludf.DUMMYFUNCTION("""COMPUTED_VALUE"""),"8054521991950")</f>
        <v>8054521991950</v>
      </c>
      <c r="C10439" t="str">
        <f>IFERROR(__xludf.DUMMYFUNCTION("""COMPUTED_VALUE"""),"Umbra")</f>
        <v>Umbra</v>
      </c>
    </row>
    <row r="10440">
      <c r="A10440" t="str">
        <f>IFERROR(__xludf.DUMMYFUNCTION("""COMPUTED_VALUE"""),"24020/F")</f>
        <v>24020/F</v>
      </c>
      <c r="B10440" s="226" t="str">
        <f>IFERROR(__xludf.DUMMYFUNCTION("""COMPUTED_VALUE"""),"8058772223884")</f>
        <v>8058772223884</v>
      </c>
      <c r="C10440" t="str">
        <f>IFERROR(__xludf.DUMMYFUNCTION("""COMPUTED_VALUE"""),"Umbra")</f>
        <v>Umbra</v>
      </c>
    </row>
    <row r="10441">
      <c r="A10441" t="str">
        <f>IFERROR(__xludf.DUMMYFUNCTION("""COMPUTED_VALUE"""),"24020/VM")</f>
        <v>24020/VM</v>
      </c>
      <c r="B10441" s="226" t="str">
        <f>IFERROR(__xludf.DUMMYFUNCTION("""COMPUTED_VALUE"""),"8054521991967")</f>
        <v>8054521991967</v>
      </c>
      <c r="C10441" t="str">
        <f>IFERROR(__xludf.DUMMYFUNCTION("""COMPUTED_VALUE"""),"Umbra")</f>
        <v>Umbra</v>
      </c>
    </row>
    <row r="10442">
      <c r="A10442" t="str">
        <f>IFERROR(__xludf.DUMMYFUNCTION("""COMPUTED_VALUE"""),"07048/C")</f>
        <v>07048/C</v>
      </c>
      <c r="C10442" t="str">
        <f>IFERROR(__xludf.DUMMYFUNCTION("""COMPUTED_VALUE"""),"Umbra")</f>
        <v>Umbra</v>
      </c>
    </row>
    <row r="10443">
      <c r="A10443" t="str">
        <f>IFERROR(__xludf.DUMMYFUNCTION("""COMPUTED_VALUE"""),"07048/F")</f>
        <v>07048/F</v>
      </c>
      <c r="C10443" t="str">
        <f>IFERROR(__xludf.DUMMYFUNCTION("""COMPUTED_VALUE"""),"Umbra")</f>
        <v>Umbra</v>
      </c>
    </row>
    <row r="10444">
      <c r="A10444" t="str">
        <f>IFERROR(__xludf.DUMMYFUNCTION("""COMPUTED_VALUE"""),"07048/VM")</f>
        <v>07048/VM</v>
      </c>
      <c r="C10444" t="str">
        <f>IFERROR(__xludf.DUMMYFUNCTION("""COMPUTED_VALUE"""),"Umbra")</f>
        <v>Umbra</v>
      </c>
    </row>
    <row r="10445">
      <c r="A10445" t="str">
        <f>IFERROR(__xludf.DUMMYFUNCTION("""COMPUTED_VALUE"""),"07047/C")</f>
        <v>07047/C</v>
      </c>
      <c r="B10445" s="226" t="str">
        <f>IFERROR(__xludf.DUMMYFUNCTION("""COMPUTED_VALUE"""),"8058772221910")</f>
        <v>8058772221910</v>
      </c>
      <c r="C10445" t="str">
        <f>IFERROR(__xludf.DUMMYFUNCTION("""COMPUTED_VALUE"""),"Umbra")</f>
        <v>Umbra</v>
      </c>
    </row>
    <row r="10446">
      <c r="A10446" t="str">
        <f>IFERROR(__xludf.DUMMYFUNCTION("""COMPUTED_VALUE"""),"07047/F")</f>
        <v>07047/F</v>
      </c>
      <c r="B10446" s="226" t="str">
        <f>IFERROR(__xludf.DUMMYFUNCTION("""COMPUTED_VALUE"""),"8058772221903")</f>
        <v>8058772221903</v>
      </c>
      <c r="C10446" t="str">
        <f>IFERROR(__xludf.DUMMYFUNCTION("""COMPUTED_VALUE"""),"Umbra")</f>
        <v>Umbra</v>
      </c>
    </row>
    <row r="10447">
      <c r="A10447" t="str">
        <f>IFERROR(__xludf.DUMMYFUNCTION("""COMPUTED_VALUE"""),"07047/VM")</f>
        <v>07047/VM</v>
      </c>
      <c r="B10447" s="226" t="str">
        <f>IFERROR(__xludf.DUMMYFUNCTION("""COMPUTED_VALUE"""),"8058772221927")</f>
        <v>8058772221927</v>
      </c>
      <c r="C10447" t="str">
        <f>IFERROR(__xludf.DUMMYFUNCTION("""COMPUTED_VALUE"""),"Umbra")</f>
        <v>Umbra</v>
      </c>
    </row>
    <row r="10448">
      <c r="A10448" t="str">
        <f>IFERROR(__xludf.DUMMYFUNCTION("""COMPUTED_VALUE"""),"07047/C")</f>
        <v>07047/C</v>
      </c>
      <c r="B10448" s="226" t="str">
        <f>IFERROR(__xludf.DUMMYFUNCTION("""COMPUTED_VALUE"""),"8058772221910")</f>
        <v>8058772221910</v>
      </c>
      <c r="C10448" t="str">
        <f>IFERROR(__xludf.DUMMYFUNCTION("""COMPUTED_VALUE"""),"Umbra")</f>
        <v>Umbra</v>
      </c>
    </row>
    <row r="10449">
      <c r="A10449" t="str">
        <f>IFERROR(__xludf.DUMMYFUNCTION("""COMPUTED_VALUE"""),"07047/F")</f>
        <v>07047/F</v>
      </c>
      <c r="B10449" s="226" t="str">
        <f>IFERROR(__xludf.DUMMYFUNCTION("""COMPUTED_VALUE"""),"8058772221903")</f>
        <v>8058772221903</v>
      </c>
      <c r="C10449" t="str">
        <f>IFERROR(__xludf.DUMMYFUNCTION("""COMPUTED_VALUE"""),"Umbra")</f>
        <v>Umbra</v>
      </c>
    </row>
    <row r="10450">
      <c r="A10450" t="str">
        <f>IFERROR(__xludf.DUMMYFUNCTION("""COMPUTED_VALUE"""),"07047/VM")</f>
        <v>07047/VM</v>
      </c>
      <c r="B10450" s="226" t="str">
        <f>IFERROR(__xludf.DUMMYFUNCTION("""COMPUTED_VALUE"""),"8058772221927")</f>
        <v>8058772221927</v>
      </c>
      <c r="C10450" t="str">
        <f>IFERROR(__xludf.DUMMYFUNCTION("""COMPUTED_VALUE"""),"Umbra")</f>
        <v>Umbra</v>
      </c>
    </row>
    <row r="10451">
      <c r="A10451" t="str">
        <f>IFERROR(__xludf.DUMMYFUNCTION("""COMPUTED_VALUE"""),"07041/C")</f>
        <v>07041/C</v>
      </c>
      <c r="B10451" s="226" t="str">
        <f>IFERROR(__xludf.DUMMYFUNCTION("""COMPUTED_VALUE"""),"8058772227905")</f>
        <v>8058772227905</v>
      </c>
      <c r="C10451" t="str">
        <f>IFERROR(__xludf.DUMMYFUNCTION("""COMPUTED_VALUE"""),"Umbra")</f>
        <v>Umbra</v>
      </c>
    </row>
    <row r="10452">
      <c r="A10452" t="str">
        <f>IFERROR(__xludf.DUMMYFUNCTION("""COMPUTED_VALUE"""),"07041/F")</f>
        <v>07041/F</v>
      </c>
      <c r="B10452" s="226" t="str">
        <f>IFERROR(__xludf.DUMMYFUNCTION("""COMPUTED_VALUE"""),"8058772221828")</f>
        <v>8058772221828</v>
      </c>
      <c r="C10452" t="str">
        <f>IFERROR(__xludf.DUMMYFUNCTION("""COMPUTED_VALUE"""),"Umbra")</f>
        <v>Umbra</v>
      </c>
    </row>
    <row r="10453">
      <c r="A10453" t="str">
        <f>IFERROR(__xludf.DUMMYFUNCTION("""COMPUTED_VALUE"""),"07041/VM")</f>
        <v>07041/VM</v>
      </c>
      <c r="B10453" s="226" t="str">
        <f>IFERROR(__xludf.DUMMYFUNCTION("""COMPUTED_VALUE"""),"8058772227912")</f>
        <v>8058772227912</v>
      </c>
      <c r="C10453" t="str">
        <f>IFERROR(__xludf.DUMMYFUNCTION("""COMPUTED_VALUE"""),"Umbra")</f>
        <v>Umbra</v>
      </c>
    </row>
    <row r="10454">
      <c r="A10454" t="str">
        <f>IFERROR(__xludf.DUMMYFUNCTION("""COMPUTED_VALUE"""),"07036/C")</f>
        <v>07036/C</v>
      </c>
      <c r="B10454" s="226" t="str">
        <f>IFERROR(__xludf.DUMMYFUNCTION("""COMPUTED_VALUE"""),"8058772227790")</f>
        <v>8058772227790</v>
      </c>
      <c r="C10454" t="str">
        <f>IFERROR(__xludf.DUMMYFUNCTION("""COMPUTED_VALUE"""),"Umbra")</f>
        <v>Umbra</v>
      </c>
    </row>
    <row r="10455">
      <c r="A10455" t="str">
        <f>IFERROR(__xludf.DUMMYFUNCTION("""COMPUTED_VALUE"""),"07036/F")</f>
        <v>07036/F</v>
      </c>
      <c r="B10455" s="226" t="str">
        <f>IFERROR(__xludf.DUMMYFUNCTION("""COMPUTED_VALUE"""),"8058772221774")</f>
        <v>8058772221774</v>
      </c>
      <c r="C10455" t="str">
        <f>IFERROR(__xludf.DUMMYFUNCTION("""COMPUTED_VALUE"""),"Umbra")</f>
        <v>Umbra</v>
      </c>
    </row>
    <row r="10456">
      <c r="A10456" t="str">
        <f>IFERROR(__xludf.DUMMYFUNCTION("""COMPUTED_VALUE"""),"07042/CC")</f>
        <v>07042/CC</v>
      </c>
      <c r="B10456" s="226" t="str">
        <f>IFERROR(__xludf.DUMMYFUNCTION("""COMPUTED_VALUE"""),"8058772227929")</f>
        <v>8058772227929</v>
      </c>
      <c r="C10456" t="str">
        <f>IFERROR(__xludf.DUMMYFUNCTION("""COMPUTED_VALUE"""),"Umbra")</f>
        <v>Umbra</v>
      </c>
    </row>
    <row r="10457">
      <c r="A10457" t="str">
        <f>IFERROR(__xludf.DUMMYFUNCTION("""COMPUTED_VALUE"""),"07042/CF")</f>
        <v>07042/CF</v>
      </c>
      <c r="C10457" t="str">
        <f>IFERROR(__xludf.DUMMYFUNCTION("""COMPUTED_VALUE"""),"Umbra")</f>
        <v>Umbra</v>
      </c>
    </row>
    <row r="10458">
      <c r="A10458" t="str">
        <f>IFERROR(__xludf.DUMMYFUNCTION("""COMPUTED_VALUE"""),"07042/CVM")</f>
        <v>07042/CVM</v>
      </c>
      <c r="B10458" s="226" t="str">
        <f>IFERROR(__xludf.DUMMYFUNCTION("""COMPUTED_VALUE"""),"8058772227936")</f>
        <v>8058772227936</v>
      </c>
      <c r="C10458" t="str">
        <f>IFERROR(__xludf.DUMMYFUNCTION("""COMPUTED_VALUE"""),"Umbra")</f>
        <v>Umbra</v>
      </c>
    </row>
    <row r="10459">
      <c r="A10459" t="str">
        <f>IFERROR(__xludf.DUMMYFUNCTION("""COMPUTED_VALUE"""),"07035/C")</f>
        <v>07035/C</v>
      </c>
      <c r="B10459" s="226" t="str">
        <f>IFERROR(__xludf.DUMMYFUNCTION("""COMPUTED_VALUE"""),"8058772227776")</f>
        <v>8058772227776</v>
      </c>
      <c r="C10459" t="str">
        <f>IFERROR(__xludf.DUMMYFUNCTION("""COMPUTED_VALUE"""),"Umbra")</f>
        <v>Umbra</v>
      </c>
    </row>
    <row r="10460">
      <c r="A10460" t="str">
        <f>IFERROR(__xludf.DUMMYFUNCTION("""COMPUTED_VALUE"""),"07043/C")</f>
        <v>07043/C</v>
      </c>
      <c r="B10460" s="226" t="str">
        <f>IFERROR(__xludf.DUMMYFUNCTION("""COMPUTED_VALUE"""),"8058772227943")</f>
        <v>8058772227943</v>
      </c>
      <c r="C10460" t="str">
        <f>IFERROR(__xludf.DUMMYFUNCTION("""COMPUTED_VALUE"""),"Umbra")</f>
        <v>Umbra</v>
      </c>
    </row>
    <row r="10461">
      <c r="A10461" t="str">
        <f>IFERROR(__xludf.DUMMYFUNCTION("""COMPUTED_VALUE"""),"07043/F")</f>
        <v>07043/F</v>
      </c>
      <c r="B10461" s="226" t="str">
        <f>IFERROR(__xludf.DUMMYFUNCTION("""COMPUTED_VALUE"""),"8058772221842")</f>
        <v>8058772221842</v>
      </c>
      <c r="C10461" t="str">
        <f>IFERROR(__xludf.DUMMYFUNCTION("""COMPUTED_VALUE"""),"Umbra")</f>
        <v>Umbra</v>
      </c>
    </row>
    <row r="10462">
      <c r="A10462" t="str">
        <f>IFERROR(__xludf.DUMMYFUNCTION("""COMPUTED_VALUE"""),"07043/VM")</f>
        <v>07043/VM</v>
      </c>
      <c r="B10462" s="226" t="str">
        <f>IFERROR(__xludf.DUMMYFUNCTION("""COMPUTED_VALUE"""),"8058772227950")</f>
        <v>8058772227950</v>
      </c>
      <c r="C10462" t="str">
        <f>IFERROR(__xludf.DUMMYFUNCTION("""COMPUTED_VALUE"""),"Umbra")</f>
        <v>Umbra</v>
      </c>
    </row>
    <row r="10463">
      <c r="A10463" t="str">
        <f>IFERROR(__xludf.DUMMYFUNCTION("""COMPUTED_VALUE"""),"13137/C")</f>
        <v>13137/C</v>
      </c>
      <c r="B10463" s="226" t="str">
        <f>IFERROR(__xludf.DUMMYFUNCTION("""COMPUTED_VALUE"""),"8058772228698")</f>
        <v>8058772228698</v>
      </c>
      <c r="C10463" t="str">
        <f>IFERROR(__xludf.DUMMYFUNCTION("""COMPUTED_VALUE"""),"Umbra")</f>
        <v>Umbra</v>
      </c>
    </row>
    <row r="10464">
      <c r="A10464" t="str">
        <f>IFERROR(__xludf.DUMMYFUNCTION("""COMPUTED_VALUE"""),"13137/F")</f>
        <v>13137/F</v>
      </c>
      <c r="B10464" s="226" t="str">
        <f>IFERROR(__xludf.DUMMYFUNCTION("""COMPUTED_VALUE"""),"8058772222382")</f>
        <v>8058772222382</v>
      </c>
      <c r="C10464" t="str">
        <f>IFERROR(__xludf.DUMMYFUNCTION("""COMPUTED_VALUE"""),"Umbra")</f>
        <v>Umbra</v>
      </c>
    </row>
    <row r="10465">
      <c r="A10465" t="str">
        <f>IFERROR(__xludf.DUMMYFUNCTION("""COMPUTED_VALUE"""),"07040/C")</f>
        <v>07040/C</v>
      </c>
      <c r="B10465" s="226" t="str">
        <f>IFERROR(__xludf.DUMMYFUNCTION("""COMPUTED_VALUE"""),"8058772227882")</f>
        <v>8058772227882</v>
      </c>
      <c r="C10465" t="str">
        <f>IFERROR(__xludf.DUMMYFUNCTION("""COMPUTED_VALUE"""),"Umbra")</f>
        <v>Umbra</v>
      </c>
    </row>
    <row r="10466">
      <c r="A10466" t="str">
        <f>IFERROR(__xludf.DUMMYFUNCTION("""COMPUTED_VALUE"""),"07040/F")</f>
        <v>07040/F</v>
      </c>
      <c r="B10466" s="226" t="str">
        <f>IFERROR(__xludf.DUMMYFUNCTION("""COMPUTED_VALUE"""),"8058772221811")</f>
        <v>8058772221811</v>
      </c>
      <c r="C10466" t="str">
        <f>IFERROR(__xludf.DUMMYFUNCTION("""COMPUTED_VALUE"""),"Umbra")</f>
        <v>Umbra</v>
      </c>
    </row>
    <row r="10467">
      <c r="A10467" t="str">
        <f>IFERROR(__xludf.DUMMYFUNCTION("""COMPUTED_VALUE"""),"07040/VM")</f>
        <v>07040/VM</v>
      </c>
      <c r="B10467" s="226" t="str">
        <f>IFERROR(__xludf.DUMMYFUNCTION("""COMPUTED_VALUE"""),"8058772227899")</f>
        <v>8058772227899</v>
      </c>
      <c r="C10467" t="str">
        <f>IFERROR(__xludf.DUMMYFUNCTION("""COMPUTED_VALUE"""),"Umbra")</f>
        <v>Umbra</v>
      </c>
    </row>
    <row r="10468">
      <c r="A10468" t="str">
        <f>IFERROR(__xludf.DUMMYFUNCTION("""COMPUTED_VALUE"""),"07039/1C")</f>
        <v>07039/1C</v>
      </c>
      <c r="B10468" s="226" t="str">
        <f>IFERROR(__xludf.DUMMYFUNCTION("""COMPUTED_VALUE"""),"8058772227820")</f>
        <v>8058772227820</v>
      </c>
      <c r="C10468" t="str">
        <f>IFERROR(__xludf.DUMMYFUNCTION("""COMPUTED_VALUE"""),"Umbra")</f>
        <v>Umbra</v>
      </c>
    </row>
    <row r="10469">
      <c r="A10469" t="str">
        <f>IFERROR(__xludf.DUMMYFUNCTION("""COMPUTED_VALUE"""),"07039/1F")</f>
        <v>07039/1F</v>
      </c>
      <c r="C10469" t="str">
        <f>IFERROR(__xludf.DUMMYFUNCTION("""COMPUTED_VALUE"""),"Umbra")</f>
        <v>Umbra</v>
      </c>
    </row>
    <row r="10470">
      <c r="A10470" t="str">
        <f>IFERROR(__xludf.DUMMYFUNCTION("""COMPUTED_VALUE"""),"07039/1VM")</f>
        <v>07039/1VM</v>
      </c>
      <c r="B10470" s="226" t="str">
        <f>IFERROR(__xludf.DUMMYFUNCTION("""COMPUTED_VALUE"""),"8058772227837")</f>
        <v>8058772227837</v>
      </c>
      <c r="C10470" t="str">
        <f>IFERROR(__xludf.DUMMYFUNCTION("""COMPUTED_VALUE"""),"Umbra")</f>
        <v>Umbra</v>
      </c>
    </row>
    <row r="10471">
      <c r="A10471" t="str">
        <f>IFERROR(__xludf.DUMMYFUNCTION("""COMPUTED_VALUE"""),"07046/C")</f>
        <v>07046/C</v>
      </c>
      <c r="B10471" s="226" t="str">
        <f>IFERROR(__xludf.DUMMYFUNCTION("""COMPUTED_VALUE"""),"8058772221880")</f>
        <v>8058772221880</v>
      </c>
      <c r="C10471" t="str">
        <f>IFERROR(__xludf.DUMMYFUNCTION("""COMPUTED_VALUE"""),"Umbra")</f>
        <v>Umbra</v>
      </c>
    </row>
    <row r="10472">
      <c r="A10472" t="str">
        <f>IFERROR(__xludf.DUMMYFUNCTION("""COMPUTED_VALUE"""),"07046/F")</f>
        <v>07046/F</v>
      </c>
      <c r="B10472" s="226" t="str">
        <f>IFERROR(__xludf.DUMMYFUNCTION("""COMPUTED_VALUE"""),"8058772221873")</f>
        <v>8058772221873</v>
      </c>
      <c r="C10472" t="str">
        <f>IFERROR(__xludf.DUMMYFUNCTION("""COMPUTED_VALUE"""),"Umbra")</f>
        <v>Umbra</v>
      </c>
    </row>
    <row r="10473">
      <c r="A10473" t="str">
        <f>IFERROR(__xludf.DUMMYFUNCTION("""COMPUTED_VALUE"""),"07046/VM")</f>
        <v>07046/VM</v>
      </c>
      <c r="B10473" s="226" t="str">
        <f>IFERROR(__xludf.DUMMYFUNCTION("""COMPUTED_VALUE"""),"8058772221897")</f>
        <v>8058772221897</v>
      </c>
      <c r="C10473" t="str">
        <f>IFERROR(__xludf.DUMMYFUNCTION("""COMPUTED_VALUE"""),"Umbra")</f>
        <v>Umbra</v>
      </c>
    </row>
    <row r="10474">
      <c r="A10474" t="str">
        <f>IFERROR(__xludf.DUMMYFUNCTION("""COMPUTED_VALUE"""),"13133")</f>
        <v>13133</v>
      </c>
      <c r="B10474" s="226" t="str">
        <f>IFERROR(__xludf.DUMMYFUNCTION("""COMPUTED_VALUE"""),"8058772228674")</f>
        <v>8058772228674</v>
      </c>
      <c r="C10474" t="str">
        <f>IFERROR(__xludf.DUMMYFUNCTION("""COMPUTED_VALUE"""),"Umbra")</f>
        <v>Umbra</v>
      </c>
    </row>
    <row r="10475">
      <c r="A10475" t="str">
        <f>IFERROR(__xludf.DUMMYFUNCTION("""COMPUTED_VALUE"""),"13133/F")</f>
        <v>13133/F</v>
      </c>
      <c r="B10475" s="226" t="str">
        <f>IFERROR(__xludf.DUMMYFUNCTION("""COMPUTED_VALUE"""),"8058772222375")</f>
        <v>8058772222375</v>
      </c>
      <c r="C10475" t="str">
        <f>IFERROR(__xludf.DUMMYFUNCTION("""COMPUTED_VALUE"""),"Umbra")</f>
        <v>Umbra</v>
      </c>
    </row>
    <row r="10476">
      <c r="A10476" t="str">
        <f>IFERROR(__xludf.DUMMYFUNCTION("""COMPUTED_VALUE"""),"13146")</f>
        <v>13146</v>
      </c>
      <c r="B10476" s="226" t="str">
        <f>IFERROR(__xludf.DUMMYFUNCTION("""COMPUTED_VALUE"""),"8058772228803")</f>
        <v>8058772228803</v>
      </c>
      <c r="C10476" t="str">
        <f>IFERROR(__xludf.DUMMYFUNCTION("""COMPUTED_VALUE"""),"Umbra")</f>
        <v>Umbra</v>
      </c>
    </row>
    <row r="10477">
      <c r="A10477" t="str">
        <f>IFERROR(__xludf.DUMMYFUNCTION("""COMPUTED_VALUE"""),"13147/C")</f>
        <v>13147/C</v>
      </c>
      <c r="B10477" s="226" t="str">
        <f>IFERROR(__xludf.DUMMYFUNCTION("""COMPUTED_VALUE"""),"8058772228810")</f>
        <v>8058772228810</v>
      </c>
      <c r="C10477" t="str">
        <f>IFERROR(__xludf.DUMMYFUNCTION("""COMPUTED_VALUE"""),"Umbra")</f>
        <v>Umbra</v>
      </c>
    </row>
    <row r="10478">
      <c r="A10478" t="str">
        <f>IFERROR(__xludf.DUMMYFUNCTION("""COMPUTED_VALUE"""),"13147/G")</f>
        <v>13147/G</v>
      </c>
      <c r="B10478" s="226" t="str">
        <f>IFERROR(__xludf.DUMMYFUNCTION("""COMPUTED_VALUE"""),"8058772228827")</f>
        <v>8058772228827</v>
      </c>
      <c r="C10478" t="str">
        <f>IFERROR(__xludf.DUMMYFUNCTION("""COMPUTED_VALUE"""),"Umbra")</f>
        <v>Umbra</v>
      </c>
    </row>
    <row r="10479">
      <c r="A10479" t="str">
        <f>IFERROR(__xludf.DUMMYFUNCTION("""COMPUTED_VALUE"""),"13148/G")</f>
        <v>13148/G</v>
      </c>
      <c r="B10479" s="226" t="str">
        <f>IFERROR(__xludf.DUMMYFUNCTION("""COMPUTED_VALUE"""),"8058772228858")</f>
        <v>8058772228858</v>
      </c>
      <c r="C10479" t="str">
        <f>IFERROR(__xludf.DUMMYFUNCTION("""COMPUTED_VALUE"""),"Umbra")</f>
        <v>Umbra</v>
      </c>
    </row>
    <row r="10480">
      <c r="A10480" t="str">
        <f>IFERROR(__xludf.DUMMYFUNCTION("""COMPUTED_VALUE"""),"13148/1G")</f>
        <v>13148/1G</v>
      </c>
      <c r="B10480" s="226" t="str">
        <f>IFERROR(__xludf.DUMMYFUNCTION("""COMPUTED_VALUE"""),"8058772228834")</f>
        <v>8058772228834</v>
      </c>
      <c r="C10480" t="str">
        <f>IFERROR(__xludf.DUMMYFUNCTION("""COMPUTED_VALUE"""),"Umbra")</f>
        <v>Umbra</v>
      </c>
    </row>
    <row r="10481">
      <c r="A10481" t="str">
        <f>IFERROR(__xludf.DUMMYFUNCTION("""COMPUTED_VALUE"""),"13148/SF")</f>
        <v>13148/SF</v>
      </c>
      <c r="B10481" s="226" t="str">
        <f>IFERROR(__xludf.DUMMYFUNCTION("""COMPUTED_VALUE"""),"8058772228865")</f>
        <v>8058772228865</v>
      </c>
      <c r="C10481" t="str">
        <f>IFERROR(__xludf.DUMMYFUNCTION("""COMPUTED_VALUE"""),"Umbra")</f>
        <v>Umbra</v>
      </c>
    </row>
    <row r="10482">
      <c r="A10482" t="str">
        <f>IFERROR(__xludf.DUMMYFUNCTION("""COMPUTED_VALUE"""),"13148/1SF")</f>
        <v>13148/1SF</v>
      </c>
      <c r="B10482" s="226" t="str">
        <f>IFERROR(__xludf.DUMMYFUNCTION("""COMPUTED_VALUE"""),"8058772228841")</f>
        <v>8058772228841</v>
      </c>
      <c r="C10482" t="str">
        <f>IFERROR(__xludf.DUMMYFUNCTION("""COMPUTED_VALUE"""),"Umbra")</f>
        <v>Umbra</v>
      </c>
    </row>
    <row r="10483">
      <c r="A10483" t="str">
        <f>IFERROR(__xludf.DUMMYFUNCTION("""COMPUTED_VALUE"""),"13151/C")</f>
        <v>13151/C</v>
      </c>
      <c r="B10483" s="226" t="str">
        <f>IFERROR(__xludf.DUMMYFUNCTION("""COMPUTED_VALUE"""),"8058772228919")</f>
        <v>8058772228919</v>
      </c>
      <c r="C10483" t="str">
        <f>IFERROR(__xludf.DUMMYFUNCTION("""COMPUTED_VALUE"""),"Umbra")</f>
        <v>Umbra</v>
      </c>
    </row>
    <row r="10484">
      <c r="A10484" t="str">
        <f>IFERROR(__xludf.DUMMYFUNCTION("""COMPUTED_VALUE"""),"13151/F")</f>
        <v>13151/F</v>
      </c>
      <c r="B10484" s="226" t="str">
        <f>IFERROR(__xludf.DUMMYFUNCTION("""COMPUTED_VALUE"""),"8058772222474")</f>
        <v>8058772222474</v>
      </c>
      <c r="C10484" t="str">
        <f>IFERROR(__xludf.DUMMYFUNCTION("""COMPUTED_VALUE"""),"Umbra")</f>
        <v>Umbra</v>
      </c>
    </row>
    <row r="10485">
      <c r="A10485" t="str">
        <f>IFERROR(__xludf.DUMMYFUNCTION("""COMPUTED_VALUE"""),"13133")</f>
        <v>13133</v>
      </c>
      <c r="B10485" s="226" t="str">
        <f>IFERROR(__xludf.DUMMYFUNCTION("""COMPUTED_VALUE"""),"8058772228674")</f>
        <v>8058772228674</v>
      </c>
      <c r="C10485" t="str">
        <f>IFERROR(__xludf.DUMMYFUNCTION("""COMPUTED_VALUE"""),"Umbra")</f>
        <v>Umbra</v>
      </c>
    </row>
    <row r="10486">
      <c r="A10486" t="str">
        <f>IFERROR(__xludf.DUMMYFUNCTION("""COMPUTED_VALUE"""),"13133/F")</f>
        <v>13133/F</v>
      </c>
      <c r="B10486" s="226" t="str">
        <f>IFERROR(__xludf.DUMMYFUNCTION("""COMPUTED_VALUE"""),"8058772222375")</f>
        <v>8058772222375</v>
      </c>
      <c r="C10486" t="str">
        <f>IFERROR(__xludf.DUMMYFUNCTION("""COMPUTED_VALUE"""),"Umbra")</f>
        <v>Umbra</v>
      </c>
    </row>
    <row r="10487">
      <c r="A10487" t="str">
        <f>IFERROR(__xludf.DUMMYFUNCTION("""COMPUTED_VALUE"""),"13152")</f>
        <v>13152</v>
      </c>
      <c r="B10487" s="226" t="str">
        <f>IFERROR(__xludf.DUMMYFUNCTION("""COMPUTED_VALUE"""),"8058772228926")</f>
        <v>8058772228926</v>
      </c>
      <c r="C10487" t="str">
        <f>IFERROR(__xludf.DUMMYFUNCTION("""COMPUTED_VALUE"""),"Umbra")</f>
        <v>Umbra</v>
      </c>
    </row>
    <row r="10488">
      <c r="A10488" t="str">
        <f>IFERROR(__xludf.DUMMYFUNCTION("""COMPUTED_VALUE"""),"13152/F")</f>
        <v>13152/F</v>
      </c>
      <c r="B10488" s="226" t="str">
        <f>IFERROR(__xludf.DUMMYFUNCTION("""COMPUTED_VALUE"""),"8058772222481")</f>
        <v>8058772222481</v>
      </c>
      <c r="C10488" t="str">
        <f>IFERROR(__xludf.DUMMYFUNCTION("""COMPUTED_VALUE"""),"Umbra")</f>
        <v>Umbra</v>
      </c>
    </row>
    <row r="10489">
      <c r="A10489" t="str">
        <f>IFERROR(__xludf.DUMMYFUNCTION("""COMPUTED_VALUE"""),"07029")</f>
        <v>07029</v>
      </c>
      <c r="B10489" s="226" t="str">
        <f>IFERROR(__xludf.DUMMYFUNCTION("""COMPUTED_VALUE"""),"8058772227721")</f>
        <v>8058772227721</v>
      </c>
      <c r="C10489" t="str">
        <f>IFERROR(__xludf.DUMMYFUNCTION("""COMPUTED_VALUE"""),"Umbra")</f>
        <v>Umbra</v>
      </c>
    </row>
    <row r="10490">
      <c r="A10490" t="str">
        <f>IFERROR(__xludf.DUMMYFUNCTION("""COMPUTED_VALUE"""),"07030")</f>
        <v>07030</v>
      </c>
      <c r="B10490" s="226" t="str">
        <f>IFERROR(__xludf.DUMMYFUNCTION("""COMPUTED_VALUE"""),"8058772227738")</f>
        <v>8058772227738</v>
      </c>
      <c r="C10490" t="str">
        <f>IFERROR(__xludf.DUMMYFUNCTION("""COMPUTED_VALUE"""),"Umbra")</f>
        <v>Umbra</v>
      </c>
    </row>
    <row r="10491">
      <c r="A10491" t="str">
        <f>IFERROR(__xludf.DUMMYFUNCTION("""COMPUTED_VALUE"""),"07033")</f>
        <v>07033</v>
      </c>
      <c r="B10491" s="226" t="str">
        <f>IFERROR(__xludf.DUMMYFUNCTION("""COMPUTED_VALUE"""),"8058772227752")</f>
        <v>8058772227752</v>
      </c>
      <c r="C10491" t="str">
        <f>IFERROR(__xludf.DUMMYFUNCTION("""COMPUTED_VALUE"""),"Umbra")</f>
        <v>Umbra</v>
      </c>
    </row>
    <row r="10492">
      <c r="A10492" t="str">
        <f>IFERROR(__xludf.DUMMYFUNCTION("""COMPUTED_VALUE"""),"07033/F")</f>
        <v>07033/F</v>
      </c>
      <c r="B10492" s="226" t="str">
        <f>IFERROR(__xludf.DUMMYFUNCTION("""COMPUTED_VALUE"""),"8058772221750")</f>
        <v>8058772221750</v>
      </c>
      <c r="C10492" t="str">
        <f>IFERROR(__xludf.DUMMYFUNCTION("""COMPUTED_VALUE"""),"Umbra")</f>
        <v>Umbra</v>
      </c>
    </row>
    <row r="10493">
      <c r="A10493" t="str">
        <f>IFERROR(__xludf.DUMMYFUNCTION("""COMPUTED_VALUE"""),"07032")</f>
        <v>07032</v>
      </c>
      <c r="B10493" s="226" t="str">
        <f>IFERROR(__xludf.DUMMYFUNCTION("""COMPUTED_VALUE"""),"8058772227745")</f>
        <v>8058772227745</v>
      </c>
      <c r="C10493" t="str">
        <f>IFERROR(__xludf.DUMMYFUNCTION("""COMPUTED_VALUE"""),"Umbra")</f>
        <v>Umbra</v>
      </c>
    </row>
    <row r="10494">
      <c r="A10494" t="str">
        <f>IFERROR(__xludf.DUMMYFUNCTION("""COMPUTED_VALUE"""),"07034")</f>
        <v>07034</v>
      </c>
      <c r="B10494" s="226" t="str">
        <f>IFERROR(__xludf.DUMMYFUNCTION("""COMPUTED_VALUE"""),"8058772227769")</f>
        <v>8058772227769</v>
      </c>
      <c r="C10494" t="str">
        <f>IFERROR(__xludf.DUMMYFUNCTION("""COMPUTED_VALUE"""),"Umbra")</f>
        <v>Umbra</v>
      </c>
    </row>
    <row r="10495">
      <c r="A10495" t="str">
        <f>IFERROR(__xludf.DUMMYFUNCTION("""COMPUTED_VALUE"""),"07034/F")</f>
        <v>07034/F</v>
      </c>
      <c r="B10495" s="226" t="str">
        <f>IFERROR(__xludf.DUMMYFUNCTION("""COMPUTED_VALUE"""),"8058772221767")</f>
        <v>8058772221767</v>
      </c>
      <c r="C10495" t="str">
        <f>IFERROR(__xludf.DUMMYFUNCTION("""COMPUTED_VALUE"""),"Umbra")</f>
        <v>Umbra</v>
      </c>
    </row>
    <row r="10496">
      <c r="A10496" t="str">
        <f>IFERROR(__xludf.DUMMYFUNCTION("""COMPUTED_VALUE"""),"08005/C")</f>
        <v>08005/C</v>
      </c>
      <c r="B10496" s="226" t="str">
        <f>IFERROR(__xludf.DUMMYFUNCTION("""COMPUTED_VALUE"""),"8058772222115")</f>
        <v>8058772222115</v>
      </c>
      <c r="C10496" t="str">
        <f>IFERROR(__xludf.DUMMYFUNCTION("""COMPUTED_VALUE"""),"Umbra")</f>
        <v>Umbra</v>
      </c>
    </row>
    <row r="10497">
      <c r="A10497" t="str">
        <f>IFERROR(__xludf.DUMMYFUNCTION("""COMPUTED_VALUE"""),"08005/F")</f>
        <v>08005/F</v>
      </c>
      <c r="B10497" s="226" t="str">
        <f>IFERROR(__xludf.DUMMYFUNCTION("""COMPUTED_VALUE"""),"8058772222108")</f>
        <v>8058772222108</v>
      </c>
      <c r="C10497" t="str">
        <f>IFERROR(__xludf.DUMMYFUNCTION("""COMPUTED_VALUE"""),"Umbra")</f>
        <v>Umbra</v>
      </c>
    </row>
    <row r="10498">
      <c r="A10498" t="str">
        <f>IFERROR(__xludf.DUMMYFUNCTION("""COMPUTED_VALUE"""),"08007/C")</f>
        <v>08007/C</v>
      </c>
      <c r="B10498" s="226" t="str">
        <f>IFERROR(__xludf.DUMMYFUNCTION("""COMPUTED_VALUE"""),"8058772222153")</f>
        <v>8058772222153</v>
      </c>
      <c r="C10498" t="str">
        <f>IFERROR(__xludf.DUMMYFUNCTION("""COMPUTED_VALUE"""),"Umbra")</f>
        <v>Umbra</v>
      </c>
    </row>
    <row r="10499">
      <c r="A10499" t="str">
        <f>IFERROR(__xludf.DUMMYFUNCTION("""COMPUTED_VALUE"""),"08007/F")</f>
        <v>08007/F</v>
      </c>
      <c r="B10499" s="226" t="str">
        <f>IFERROR(__xludf.DUMMYFUNCTION("""COMPUTED_VALUE"""),"8058772222146")</f>
        <v>8058772222146</v>
      </c>
      <c r="C10499" t="str">
        <f>IFERROR(__xludf.DUMMYFUNCTION("""COMPUTED_VALUE"""),"Umbra")</f>
        <v>Umbra</v>
      </c>
    </row>
    <row r="10500">
      <c r="A10500" t="str">
        <f>IFERROR(__xludf.DUMMYFUNCTION("""COMPUTED_VALUE"""),"08007/VM")</f>
        <v>08007/VM</v>
      </c>
      <c r="B10500" s="226" t="str">
        <f>IFERROR(__xludf.DUMMYFUNCTION("""COMPUTED_VALUE"""),"8058772222160")</f>
        <v>8058772222160</v>
      </c>
      <c r="C10500" t="str">
        <f>IFERROR(__xludf.DUMMYFUNCTION("""COMPUTED_VALUE"""),"Umbra")</f>
        <v>Umbra</v>
      </c>
    </row>
    <row r="10501">
      <c r="A10501" t="str">
        <f>IFERROR(__xludf.DUMMYFUNCTION("""COMPUTED_VALUE"""),"08003/C")</f>
        <v>08003/C</v>
      </c>
      <c r="C10501" t="str">
        <f>IFERROR(__xludf.DUMMYFUNCTION("""COMPUTED_VALUE"""),"Umbra")</f>
        <v>Umbra</v>
      </c>
    </row>
    <row r="10502">
      <c r="A10502" t="str">
        <f>IFERROR(__xludf.DUMMYFUNCTION("""COMPUTED_VALUE"""),"08003/F")</f>
        <v>08003/F</v>
      </c>
      <c r="C10502" t="str">
        <f>IFERROR(__xludf.DUMMYFUNCTION("""COMPUTED_VALUE"""),"Umbra")</f>
        <v>Umbra</v>
      </c>
    </row>
    <row r="10503">
      <c r="A10503" t="str">
        <f>IFERROR(__xludf.DUMMYFUNCTION("""COMPUTED_VALUE"""),"08003/VM")</f>
        <v>08003/VM</v>
      </c>
      <c r="C10503" t="str">
        <f>IFERROR(__xludf.DUMMYFUNCTION("""COMPUTED_VALUE"""),"Umbra")</f>
        <v>Umbra</v>
      </c>
    </row>
    <row r="10504">
      <c r="A10504" t="str">
        <f>IFERROR(__xludf.DUMMYFUNCTION("""COMPUTED_VALUE"""),"08004/C")</f>
        <v>08004/C</v>
      </c>
      <c r="B10504" s="226" t="str">
        <f>IFERROR(__xludf.DUMMYFUNCTION("""COMPUTED_VALUE"""),"8058772222085")</f>
        <v>8058772222085</v>
      </c>
      <c r="C10504" t="str">
        <f>IFERROR(__xludf.DUMMYFUNCTION("""COMPUTED_VALUE"""),"Umbra")</f>
        <v>Umbra</v>
      </c>
    </row>
    <row r="10505">
      <c r="A10505" t="str">
        <f>IFERROR(__xludf.DUMMYFUNCTION("""COMPUTED_VALUE"""),"08004/F")</f>
        <v>08004/F</v>
      </c>
      <c r="B10505" s="226" t="str">
        <f>IFERROR(__xludf.DUMMYFUNCTION("""COMPUTED_VALUE"""),"8058772222078")</f>
        <v>8058772222078</v>
      </c>
      <c r="C10505" t="str">
        <f>IFERROR(__xludf.DUMMYFUNCTION("""COMPUTED_VALUE"""),"Umbra")</f>
        <v>Umbra</v>
      </c>
    </row>
    <row r="10506">
      <c r="A10506" t="str">
        <f>IFERROR(__xludf.DUMMYFUNCTION("""COMPUTED_VALUE"""),"08004/VM")</f>
        <v>08004/VM</v>
      </c>
      <c r="B10506" s="226" t="str">
        <f>IFERROR(__xludf.DUMMYFUNCTION("""COMPUTED_VALUE"""),"8058772222092")</f>
        <v>8058772222092</v>
      </c>
      <c r="C10506" t="str">
        <f>IFERROR(__xludf.DUMMYFUNCTION("""COMPUTED_VALUE"""),"Umbra")</f>
        <v>Umbra</v>
      </c>
    </row>
    <row r="10507">
      <c r="A10507" t="str">
        <f>IFERROR(__xludf.DUMMYFUNCTION("""COMPUTED_VALUE"""),"08002/C")</f>
        <v>08002/C</v>
      </c>
      <c r="B10507" s="226" t="str">
        <f>IFERROR(__xludf.DUMMYFUNCTION("""COMPUTED_VALUE"""),"8058772228032")</f>
        <v>8058772228032</v>
      </c>
      <c r="C10507" t="str">
        <f>IFERROR(__xludf.DUMMYFUNCTION("""COMPUTED_VALUE"""),"Umbra")</f>
        <v>Umbra</v>
      </c>
    </row>
    <row r="10508">
      <c r="A10508" t="str">
        <f>IFERROR(__xludf.DUMMYFUNCTION("""COMPUTED_VALUE"""),"08002/F")</f>
        <v>08002/F</v>
      </c>
      <c r="C10508" t="str">
        <f>IFERROR(__xludf.DUMMYFUNCTION("""COMPUTED_VALUE"""),"Umbra")</f>
        <v>Umbra</v>
      </c>
    </row>
    <row r="10509">
      <c r="A10509" t="str">
        <f>IFERROR(__xludf.DUMMYFUNCTION("""COMPUTED_VALUE"""),"08002/VM")</f>
        <v>08002/VM</v>
      </c>
      <c r="B10509" s="226" t="str">
        <f>IFERROR(__xludf.DUMMYFUNCTION("""COMPUTED_VALUE"""),"8058772228049")</f>
        <v>8058772228049</v>
      </c>
      <c r="C10509" t="str">
        <f>IFERROR(__xludf.DUMMYFUNCTION("""COMPUTED_VALUE"""),"Umbra")</f>
        <v>Umbra</v>
      </c>
    </row>
    <row r="10510">
      <c r="A10510" t="str">
        <f>IFERROR(__xludf.DUMMYFUNCTION("""COMPUTED_VALUE"""),"08008/C")</f>
        <v>08008/C</v>
      </c>
      <c r="B10510" s="226" t="str">
        <f>IFERROR(__xludf.DUMMYFUNCTION("""COMPUTED_VALUE"""),"8058772222184")</f>
        <v>8058772222184</v>
      </c>
      <c r="C10510" t="str">
        <f>IFERROR(__xludf.DUMMYFUNCTION("""COMPUTED_VALUE"""),"Umbra")</f>
        <v>Umbra</v>
      </c>
    </row>
    <row r="10511">
      <c r="A10511" t="str">
        <f>IFERROR(__xludf.DUMMYFUNCTION("""COMPUTED_VALUE"""),"08008/F")</f>
        <v>08008/F</v>
      </c>
      <c r="B10511" s="226" t="str">
        <f>IFERROR(__xludf.DUMMYFUNCTION("""COMPUTED_VALUE"""),"8058772222177")</f>
        <v>8058772222177</v>
      </c>
      <c r="C10511" t="str">
        <f>IFERROR(__xludf.DUMMYFUNCTION("""COMPUTED_VALUE"""),"Umbra")</f>
        <v>Umbra</v>
      </c>
    </row>
    <row r="10512">
      <c r="A10512" t="str">
        <f>IFERROR(__xludf.DUMMYFUNCTION("""COMPUTED_VALUE"""),"08008/VM")</f>
        <v>08008/VM</v>
      </c>
      <c r="B10512" s="226" t="str">
        <f>IFERROR(__xludf.DUMMYFUNCTION("""COMPUTED_VALUE"""),"8058772222191")</f>
        <v>8058772222191</v>
      </c>
      <c r="C10512" t="str">
        <f>IFERROR(__xludf.DUMMYFUNCTION("""COMPUTED_VALUE"""),"Umbra")</f>
        <v>Umbra</v>
      </c>
    </row>
    <row r="10513">
      <c r="A10513" t="str">
        <f>IFERROR(__xludf.DUMMYFUNCTION("""COMPUTED_VALUE"""),"08001/C")</f>
        <v>08001/C</v>
      </c>
      <c r="B10513" s="226" t="str">
        <f>IFERROR(__xludf.DUMMYFUNCTION("""COMPUTED_VALUE"""),"8058772228025")</f>
        <v>8058772228025</v>
      </c>
      <c r="C10513" t="str">
        <f>IFERROR(__xludf.DUMMYFUNCTION("""COMPUTED_VALUE"""),"Umbra")</f>
        <v>Umbra</v>
      </c>
    </row>
    <row r="10514">
      <c r="A10514" t="str">
        <f>IFERROR(__xludf.DUMMYFUNCTION("""COMPUTED_VALUE"""),"08001/F")</f>
        <v>08001/F</v>
      </c>
      <c r="B10514" s="226" t="str">
        <f>IFERROR(__xludf.DUMMYFUNCTION("""COMPUTED_VALUE"""),"8058772222054")</f>
        <v>8058772222054</v>
      </c>
      <c r="C10514" t="str">
        <f>IFERROR(__xludf.DUMMYFUNCTION("""COMPUTED_VALUE"""),"Umbra")</f>
        <v>Umbra</v>
      </c>
    </row>
    <row r="10515">
      <c r="A10515" t="str">
        <f>IFERROR(__xludf.DUMMYFUNCTION("""COMPUTED_VALUE"""),"08006/C")</f>
        <v>08006/C</v>
      </c>
      <c r="B10515" s="226" t="str">
        <f>IFERROR(__xludf.DUMMYFUNCTION("""COMPUTED_VALUE"""),"8058772222139")</f>
        <v>8058772222139</v>
      </c>
      <c r="C10515" t="str">
        <f>IFERROR(__xludf.DUMMYFUNCTION("""COMPUTED_VALUE"""),"Umbra")</f>
        <v>Umbra</v>
      </c>
    </row>
    <row r="10516">
      <c r="A10516" t="str">
        <f>IFERROR(__xludf.DUMMYFUNCTION("""COMPUTED_VALUE"""),"08006/F")</f>
        <v>08006/F</v>
      </c>
      <c r="B10516" s="226" t="str">
        <f>IFERROR(__xludf.DUMMYFUNCTION("""COMPUTED_VALUE"""),"8058772222122")</f>
        <v>8058772222122</v>
      </c>
      <c r="C10516" t="str">
        <f>IFERROR(__xludf.DUMMYFUNCTION("""COMPUTED_VALUE"""),"Umbra")</f>
        <v>Umbra</v>
      </c>
    </row>
    <row r="10517">
      <c r="A10517" t="str">
        <f>IFERROR(__xludf.DUMMYFUNCTION("""COMPUTED_VALUE"""),"08001/C")</f>
        <v>08001/C</v>
      </c>
      <c r="B10517" s="226" t="str">
        <f>IFERROR(__xludf.DUMMYFUNCTION("""COMPUTED_VALUE"""),"8058772228025")</f>
        <v>8058772228025</v>
      </c>
      <c r="C10517" t="str">
        <f>IFERROR(__xludf.DUMMYFUNCTION("""COMPUTED_VALUE"""),"Umbra")</f>
        <v>Umbra</v>
      </c>
    </row>
    <row r="10518">
      <c r="A10518" t="str">
        <f>IFERROR(__xludf.DUMMYFUNCTION("""COMPUTED_VALUE"""),"08001/F")</f>
        <v>08001/F</v>
      </c>
      <c r="B10518" s="226" t="str">
        <f>IFERROR(__xludf.DUMMYFUNCTION("""COMPUTED_VALUE"""),"8058772222054")</f>
        <v>8058772222054</v>
      </c>
      <c r="C10518" t="str">
        <f>IFERROR(__xludf.DUMMYFUNCTION("""COMPUTED_VALUE"""),"Umbra")</f>
        <v>Umbra</v>
      </c>
    </row>
    <row r="10519">
      <c r="A10519" t="str">
        <f>IFERROR(__xludf.DUMMYFUNCTION("""COMPUTED_VALUE"""),"08006/C")</f>
        <v>08006/C</v>
      </c>
      <c r="B10519" s="226" t="str">
        <f>IFERROR(__xludf.DUMMYFUNCTION("""COMPUTED_VALUE"""),"8058772222139")</f>
        <v>8058772222139</v>
      </c>
      <c r="C10519" t="str">
        <f>IFERROR(__xludf.DUMMYFUNCTION("""COMPUTED_VALUE"""),"Umbra")</f>
        <v>Umbra</v>
      </c>
    </row>
    <row r="10520">
      <c r="A10520" t="str">
        <f>IFERROR(__xludf.DUMMYFUNCTION("""COMPUTED_VALUE"""),"08006/F")</f>
        <v>08006/F</v>
      </c>
      <c r="B10520" s="226" t="str">
        <f>IFERROR(__xludf.DUMMYFUNCTION("""COMPUTED_VALUE"""),"8058772222122")</f>
        <v>8058772222122</v>
      </c>
      <c r="C10520" t="str">
        <f>IFERROR(__xludf.DUMMYFUNCTION("""COMPUTED_VALUE"""),"Umbra")</f>
        <v>Umbra</v>
      </c>
    </row>
    <row r="10521">
      <c r="A10521" t="str">
        <f>IFERROR(__xludf.DUMMYFUNCTION("""COMPUTED_VALUE"""),"09005")</f>
        <v>09005</v>
      </c>
      <c r="B10521" s="226" t="str">
        <f>IFERROR(__xludf.DUMMYFUNCTION("""COMPUTED_VALUE"""),"8058772228124")</f>
        <v>8058772228124</v>
      </c>
      <c r="C10521" t="str">
        <f>IFERROR(__xludf.DUMMYFUNCTION("""COMPUTED_VALUE"""),"Umbra")</f>
        <v>Umbra</v>
      </c>
    </row>
    <row r="10522">
      <c r="A10522" t="str">
        <f>IFERROR(__xludf.DUMMYFUNCTION("""COMPUTED_VALUE"""),"09006/C")</f>
        <v>09006/C</v>
      </c>
      <c r="B10522" s="226" t="str">
        <f>IFERROR(__xludf.DUMMYFUNCTION("""COMPUTED_VALUE"""),"8058772228131")</f>
        <v>8058772228131</v>
      </c>
      <c r="C10522" t="str">
        <f>IFERROR(__xludf.DUMMYFUNCTION("""COMPUTED_VALUE"""),"Umbra")</f>
        <v>Umbra</v>
      </c>
    </row>
    <row r="10523">
      <c r="A10523" t="str">
        <f>IFERROR(__xludf.DUMMYFUNCTION("""COMPUTED_VALUE"""),"09006/F")</f>
        <v>09006/F</v>
      </c>
      <c r="B10523" s="226" t="str">
        <f>IFERROR(__xludf.DUMMYFUNCTION("""COMPUTED_VALUE"""),"8054521996917")</f>
        <v>8054521996917</v>
      </c>
      <c r="C10523" t="str">
        <f>IFERROR(__xludf.DUMMYFUNCTION("""COMPUTED_VALUE"""),"Umbra")</f>
        <v>Umbra</v>
      </c>
    </row>
    <row r="10524">
      <c r="A10524" t="str">
        <f>IFERROR(__xludf.DUMMYFUNCTION("""COMPUTED_VALUE"""),"10001/C")</f>
        <v>10001/C</v>
      </c>
      <c r="B10524" s="226" t="str">
        <f>IFERROR(__xludf.DUMMYFUNCTION("""COMPUTED_VALUE"""),"8058772228148")</f>
        <v>8058772228148</v>
      </c>
      <c r="C10524" t="str">
        <f>IFERROR(__xludf.DUMMYFUNCTION("""COMPUTED_VALUE"""),"Umbra")</f>
        <v>Umbra</v>
      </c>
    </row>
    <row r="10525">
      <c r="A10525" t="str">
        <f>IFERROR(__xludf.DUMMYFUNCTION("""COMPUTED_VALUE"""),"10001/F")</f>
        <v>10001/F</v>
      </c>
      <c r="B10525" s="226" t="str">
        <f>IFERROR(__xludf.DUMMYFUNCTION("""COMPUTED_VALUE"""),"8058772222207")</f>
        <v>8058772222207</v>
      </c>
      <c r="C10525" t="str">
        <f>IFERROR(__xludf.DUMMYFUNCTION("""COMPUTED_VALUE"""),"Umbra")</f>
        <v>Umbra</v>
      </c>
    </row>
    <row r="10526">
      <c r="A10526" t="str">
        <f>IFERROR(__xludf.DUMMYFUNCTION("""COMPUTED_VALUE"""),"10001/VM")</f>
        <v>10001/VM</v>
      </c>
      <c r="B10526" s="226" t="str">
        <f>IFERROR(__xludf.DUMMYFUNCTION("""COMPUTED_VALUE"""),"8058772228155")</f>
        <v>8058772228155</v>
      </c>
      <c r="C10526" t="str">
        <f>IFERROR(__xludf.DUMMYFUNCTION("""COMPUTED_VALUE"""),"Umbra")</f>
        <v>Umbra</v>
      </c>
    </row>
    <row r="10527">
      <c r="A10527" t="str">
        <f>IFERROR(__xludf.DUMMYFUNCTION("""COMPUTED_VALUE"""),"10003/C")</f>
        <v>10003/C</v>
      </c>
      <c r="B10527" s="226" t="str">
        <f>IFERROR(__xludf.DUMMYFUNCTION("""COMPUTED_VALUE"""),"8058772228223")</f>
        <v>8058772228223</v>
      </c>
      <c r="C10527" t="str">
        <f>IFERROR(__xludf.DUMMYFUNCTION("""COMPUTED_VALUE"""),"Umbra")</f>
        <v>Umbra</v>
      </c>
    </row>
    <row r="10528">
      <c r="A10528" t="str">
        <f>IFERROR(__xludf.DUMMYFUNCTION("""COMPUTED_VALUE"""),"13158/C")</f>
        <v>13158/C</v>
      </c>
      <c r="B10528" s="226" t="str">
        <f>IFERROR(__xludf.DUMMYFUNCTION("""COMPUTED_VALUE"""),"8058772229039")</f>
        <v>8058772229039</v>
      </c>
      <c r="C10528" t="str">
        <f>IFERROR(__xludf.DUMMYFUNCTION("""COMPUTED_VALUE"""),"Umbra")</f>
        <v>Umbra</v>
      </c>
    </row>
    <row r="10529">
      <c r="A10529" t="str">
        <f>IFERROR(__xludf.DUMMYFUNCTION("""COMPUTED_VALUE"""),"10003/F")</f>
        <v>10003/F</v>
      </c>
      <c r="B10529" s="226" t="str">
        <f>IFERROR(__xludf.DUMMYFUNCTION("""COMPUTED_VALUE"""),"8058772222214")</f>
        <v>8058772222214</v>
      </c>
      <c r="C10529" t="str">
        <f>IFERROR(__xludf.DUMMYFUNCTION("""COMPUTED_VALUE"""),"Umbra")</f>
        <v>Umbra</v>
      </c>
    </row>
    <row r="10530">
      <c r="A10530" t="str">
        <f>IFERROR(__xludf.DUMMYFUNCTION("""COMPUTED_VALUE"""),"13158/F")</f>
        <v>13158/F</v>
      </c>
      <c r="B10530" s="226" t="str">
        <f>IFERROR(__xludf.DUMMYFUNCTION("""COMPUTED_VALUE"""),"8058772222511")</f>
        <v>8058772222511</v>
      </c>
      <c r="C10530" t="str">
        <f>IFERROR(__xludf.DUMMYFUNCTION("""COMPUTED_VALUE"""),"Umbra")</f>
        <v>Umbra</v>
      </c>
    </row>
    <row r="10531">
      <c r="A10531" t="str">
        <f>IFERROR(__xludf.DUMMYFUNCTION("""COMPUTED_VALUE"""),"10003/VM")</f>
        <v>10003/VM</v>
      </c>
      <c r="B10531" s="226" t="str">
        <f>IFERROR(__xludf.DUMMYFUNCTION("""COMPUTED_VALUE"""),"8058772228230")</f>
        <v>8058772228230</v>
      </c>
      <c r="C10531" t="str">
        <f>IFERROR(__xludf.DUMMYFUNCTION("""COMPUTED_VALUE"""),"Umbra")</f>
        <v>Umbra</v>
      </c>
    </row>
    <row r="10532">
      <c r="A10532" t="str">
        <f>IFERROR(__xludf.DUMMYFUNCTION("""COMPUTED_VALUE"""),"13158/VM")</f>
        <v>13158/VM</v>
      </c>
      <c r="B10532" s="226" t="str">
        <f>IFERROR(__xludf.DUMMYFUNCTION("""COMPUTED_VALUE"""),"8058772229046")</f>
        <v>8058772229046</v>
      </c>
      <c r="C10532" t="str">
        <f>IFERROR(__xludf.DUMMYFUNCTION("""COMPUTED_VALUE"""),"Umbra")</f>
        <v>Umbra</v>
      </c>
    </row>
    <row r="10533">
      <c r="A10533" t="str">
        <f>IFERROR(__xludf.DUMMYFUNCTION("""COMPUTED_VALUE"""),"10002/C")</f>
        <v>10002/C</v>
      </c>
      <c r="B10533" s="226" t="str">
        <f>IFERROR(__xludf.DUMMYFUNCTION("""COMPUTED_VALUE"""),"8058772228162")</f>
        <v>8058772228162</v>
      </c>
      <c r="C10533" t="str">
        <f>IFERROR(__xludf.DUMMYFUNCTION("""COMPUTED_VALUE"""),"Umbra")</f>
        <v>Umbra</v>
      </c>
    </row>
    <row r="10534">
      <c r="A10534" t="str">
        <f>IFERROR(__xludf.DUMMYFUNCTION("""COMPUTED_VALUE"""),"10002/G")</f>
        <v>10002/G</v>
      </c>
      <c r="B10534" s="226" t="str">
        <f>IFERROR(__xludf.DUMMYFUNCTION("""COMPUTED_VALUE"""),"8058772228179")</f>
        <v>8058772228179</v>
      </c>
      <c r="C10534" t="str">
        <f>IFERROR(__xludf.DUMMYFUNCTION("""COMPUTED_VALUE"""),"Umbra")</f>
        <v>Umbra</v>
      </c>
    </row>
    <row r="10535">
      <c r="A10535" t="str">
        <f>IFERROR(__xludf.DUMMYFUNCTION("""COMPUTED_VALUE"""),"10002/SF")</f>
        <v>10002/SF</v>
      </c>
      <c r="B10535" s="226" t="str">
        <f>IFERROR(__xludf.DUMMYFUNCTION("""COMPUTED_VALUE"""),"8058772228186")</f>
        <v>8058772228186</v>
      </c>
      <c r="C10535" t="str">
        <f>IFERROR(__xludf.DUMMYFUNCTION("""COMPUTED_VALUE"""),"Umbra")</f>
        <v>Umbra</v>
      </c>
    </row>
    <row r="10536">
      <c r="A10536" t="str">
        <f>IFERROR(__xludf.DUMMYFUNCTION("""COMPUTED_VALUE"""),"39021/D")</f>
        <v>39021/D</v>
      </c>
      <c r="B10536" s="226" t="str">
        <f>IFERROR(__xludf.DUMMYFUNCTION("""COMPUTED_VALUE"""),"8058772228193")</f>
        <v>8058772228193</v>
      </c>
      <c r="C10536" t="str">
        <f>IFERROR(__xludf.DUMMYFUNCTION("""COMPUTED_VALUE"""),"Umbra")</f>
        <v>Umbra</v>
      </c>
    </row>
    <row r="10537">
      <c r="A10537" t="str">
        <f>IFERROR(__xludf.DUMMYFUNCTION("""COMPUTED_VALUE"""),"13142")</f>
        <v>13142</v>
      </c>
      <c r="C10537" t="str">
        <f>IFERROR(__xludf.DUMMYFUNCTION("""COMPUTED_VALUE"""),"Umbra")</f>
        <v>Umbra</v>
      </c>
    </row>
    <row r="10538">
      <c r="A10538" t="str">
        <f>IFERROR(__xludf.DUMMYFUNCTION("""COMPUTED_VALUE"""),"13159/C")</f>
        <v>13159/C</v>
      </c>
      <c r="B10538" s="226" t="str">
        <f>IFERROR(__xludf.DUMMYFUNCTION("""COMPUTED_VALUE"""),"8058772222535")</f>
        <v>8058772222535</v>
      </c>
      <c r="C10538" t="str">
        <f>IFERROR(__xludf.DUMMYFUNCTION("""COMPUTED_VALUE"""),"Umbra")</f>
        <v>Umbra</v>
      </c>
    </row>
    <row r="10539">
      <c r="A10539" t="str">
        <f>IFERROR(__xludf.DUMMYFUNCTION("""COMPUTED_VALUE"""),"13159/F")</f>
        <v>13159/F</v>
      </c>
      <c r="B10539" s="226" t="str">
        <f>IFERROR(__xludf.DUMMYFUNCTION("""COMPUTED_VALUE"""),"8058772222528")</f>
        <v>8058772222528</v>
      </c>
      <c r="C10539" t="str">
        <f>IFERROR(__xludf.DUMMYFUNCTION("""COMPUTED_VALUE"""),"Umbra")</f>
        <v>Umbra</v>
      </c>
    </row>
    <row r="10540">
      <c r="A10540" t="str">
        <f>IFERROR(__xludf.DUMMYFUNCTION("""COMPUTED_VALUE"""),"13159/VM")</f>
        <v>13159/VM</v>
      </c>
      <c r="B10540" s="226" t="str">
        <f>IFERROR(__xludf.DUMMYFUNCTION("""COMPUTED_VALUE"""),"8058772222542")</f>
        <v>8058772222542</v>
      </c>
      <c r="C10540" t="str">
        <f>IFERROR(__xludf.DUMMYFUNCTION("""COMPUTED_VALUE"""),"Umbra")</f>
        <v>Umbra</v>
      </c>
    </row>
    <row r="10541">
      <c r="A10541" t="str">
        <f>IFERROR(__xludf.DUMMYFUNCTION("""COMPUTED_VALUE"""),"13159/C")</f>
        <v>13159/C</v>
      </c>
      <c r="B10541" s="226" t="str">
        <f>IFERROR(__xludf.DUMMYFUNCTION("""COMPUTED_VALUE"""),"8058772222535")</f>
        <v>8058772222535</v>
      </c>
      <c r="C10541" t="str">
        <f>IFERROR(__xludf.DUMMYFUNCTION("""COMPUTED_VALUE"""),"Umbra")</f>
        <v>Umbra</v>
      </c>
    </row>
    <row r="10542">
      <c r="A10542" t="str">
        <f>IFERROR(__xludf.DUMMYFUNCTION("""COMPUTED_VALUE"""),"13159/F")</f>
        <v>13159/F</v>
      </c>
      <c r="B10542" s="226" t="str">
        <f>IFERROR(__xludf.DUMMYFUNCTION("""COMPUTED_VALUE"""),"8058772222528")</f>
        <v>8058772222528</v>
      </c>
      <c r="C10542" t="str">
        <f>IFERROR(__xludf.DUMMYFUNCTION("""COMPUTED_VALUE"""),"Umbra")</f>
        <v>Umbra</v>
      </c>
    </row>
    <row r="10543">
      <c r="A10543" t="str">
        <f>IFERROR(__xludf.DUMMYFUNCTION("""COMPUTED_VALUE"""),"13159/VM")</f>
        <v>13159/VM</v>
      </c>
      <c r="B10543" s="226" t="str">
        <f>IFERROR(__xludf.DUMMYFUNCTION("""COMPUTED_VALUE"""),"8058772222542")</f>
        <v>8058772222542</v>
      </c>
      <c r="C10543" t="str">
        <f>IFERROR(__xludf.DUMMYFUNCTION("""COMPUTED_VALUE"""),"Umbra")</f>
        <v>Umbra</v>
      </c>
    </row>
    <row r="10544">
      <c r="A10544" t="str">
        <f>IFERROR(__xludf.DUMMYFUNCTION("""COMPUTED_VALUE"""),"13161/C")</f>
        <v>13161/C</v>
      </c>
      <c r="B10544" s="226" t="str">
        <f>IFERROR(__xludf.DUMMYFUNCTION("""COMPUTED_VALUE"""),"8058772222566")</f>
        <v>8058772222566</v>
      </c>
      <c r="C10544" t="str">
        <f>IFERROR(__xludf.DUMMYFUNCTION("""COMPUTED_VALUE"""),"Umbra")</f>
        <v>Umbra</v>
      </c>
    </row>
    <row r="10545">
      <c r="A10545" t="str">
        <f>IFERROR(__xludf.DUMMYFUNCTION("""COMPUTED_VALUE"""),"13161/F")</f>
        <v>13161/F</v>
      </c>
      <c r="B10545" s="226" t="str">
        <f>IFERROR(__xludf.DUMMYFUNCTION("""COMPUTED_VALUE"""),"8058772222559")</f>
        <v>8058772222559</v>
      </c>
      <c r="C10545" t="str">
        <f>IFERROR(__xludf.DUMMYFUNCTION("""COMPUTED_VALUE"""),"Umbra")</f>
        <v>Umbra</v>
      </c>
    </row>
    <row r="10546">
      <c r="A10546" t="str">
        <f>IFERROR(__xludf.DUMMYFUNCTION("""COMPUTED_VALUE"""),"13161/VM")</f>
        <v>13161/VM</v>
      </c>
      <c r="B10546" s="226" t="str">
        <f>IFERROR(__xludf.DUMMYFUNCTION("""COMPUTED_VALUE"""),"8058772222573")</f>
        <v>8058772222573</v>
      </c>
      <c r="C10546" t="str">
        <f>IFERROR(__xludf.DUMMYFUNCTION("""COMPUTED_VALUE"""),"Umbra")</f>
        <v>Umbra</v>
      </c>
    </row>
    <row r="10547">
      <c r="A10547" t="str">
        <f>IFERROR(__xludf.DUMMYFUNCTION("""COMPUTED_VALUE"""),"19022/C")</f>
        <v>19022/C</v>
      </c>
      <c r="B10547" s="226" t="str">
        <f>IFERROR(__xludf.DUMMYFUNCTION("""COMPUTED_VALUE"""),"8058772223075")</f>
        <v>8058772223075</v>
      </c>
      <c r="C10547" t="str">
        <f>IFERROR(__xludf.DUMMYFUNCTION("""COMPUTED_VALUE"""),"Umbra")</f>
        <v>Umbra</v>
      </c>
    </row>
    <row r="10548">
      <c r="A10548" t="str">
        <f>IFERROR(__xludf.DUMMYFUNCTION("""COMPUTED_VALUE"""),"19022/F")</f>
        <v>19022/F</v>
      </c>
      <c r="B10548" s="226" t="str">
        <f>IFERROR(__xludf.DUMMYFUNCTION("""COMPUTED_VALUE"""),"8058772223068")</f>
        <v>8058772223068</v>
      </c>
      <c r="C10548" t="str">
        <f>IFERROR(__xludf.DUMMYFUNCTION("""COMPUTED_VALUE"""),"Umbra")</f>
        <v>Umbra</v>
      </c>
    </row>
    <row r="10549">
      <c r="A10549" t="str">
        <f>IFERROR(__xludf.DUMMYFUNCTION("""COMPUTED_VALUE"""),"19022/VM")</f>
        <v>19022/VM</v>
      </c>
      <c r="B10549" s="226" t="str">
        <f>IFERROR(__xludf.DUMMYFUNCTION("""COMPUTED_VALUE"""),"8058772223082")</f>
        <v>8058772223082</v>
      </c>
      <c r="C10549" t="str">
        <f>IFERROR(__xludf.DUMMYFUNCTION("""COMPUTED_VALUE"""),"Umbra")</f>
        <v>Umbra</v>
      </c>
    </row>
    <row r="10550">
      <c r="A10550" t="str">
        <f>IFERROR(__xludf.DUMMYFUNCTION("""COMPUTED_VALUE"""),"13121")</f>
        <v>13121</v>
      </c>
      <c r="B10550" s="226" t="str">
        <f>IFERROR(__xludf.DUMMYFUNCTION("""COMPUTED_VALUE"""),"8058772228575")</f>
        <v>8058772228575</v>
      </c>
      <c r="C10550" t="str">
        <f>IFERROR(__xludf.DUMMYFUNCTION("""COMPUTED_VALUE"""),"Umbra")</f>
        <v>Umbra</v>
      </c>
    </row>
    <row r="10551">
      <c r="A10551" t="str">
        <f>IFERROR(__xludf.DUMMYFUNCTION("""COMPUTED_VALUE"""),"13122")</f>
        <v>13122</v>
      </c>
      <c r="B10551" s="226" t="str">
        <f>IFERROR(__xludf.DUMMYFUNCTION("""COMPUTED_VALUE"""),"8058772228582")</f>
        <v>8058772228582</v>
      </c>
      <c r="C10551" t="str">
        <f>IFERROR(__xludf.DUMMYFUNCTION("""COMPUTED_VALUE"""),"Umbra")</f>
        <v>Umbra</v>
      </c>
    </row>
    <row r="10552">
      <c r="A10552" t="str">
        <f>IFERROR(__xludf.DUMMYFUNCTION("""COMPUTED_VALUE"""),"13150/C")</f>
        <v>13150/C</v>
      </c>
      <c r="B10552" s="226" t="str">
        <f>IFERROR(__xludf.DUMMYFUNCTION("""COMPUTED_VALUE"""),"8058772228896")</f>
        <v>8058772228896</v>
      </c>
      <c r="C10552" t="str">
        <f>IFERROR(__xludf.DUMMYFUNCTION("""COMPUTED_VALUE"""),"Umbra")</f>
        <v>Umbra</v>
      </c>
    </row>
    <row r="10553">
      <c r="A10553" t="str">
        <f>IFERROR(__xludf.DUMMYFUNCTION("""COMPUTED_VALUE"""),"13150/F")</f>
        <v>13150/F</v>
      </c>
      <c r="B10553" s="226" t="str">
        <f>IFERROR(__xludf.DUMMYFUNCTION("""COMPUTED_VALUE"""),"8058772222467")</f>
        <v>8058772222467</v>
      </c>
      <c r="C10553" t="str">
        <f>IFERROR(__xludf.DUMMYFUNCTION("""COMPUTED_VALUE"""),"Umbra")</f>
        <v>Umbra</v>
      </c>
    </row>
    <row r="10554">
      <c r="A10554" t="str">
        <f>IFERROR(__xludf.DUMMYFUNCTION("""COMPUTED_VALUE"""),"13150/VM")</f>
        <v>13150/VM</v>
      </c>
      <c r="B10554" s="226" t="str">
        <f>IFERROR(__xludf.DUMMYFUNCTION("""COMPUTED_VALUE"""),"8058772228902")</f>
        <v>8058772228902</v>
      </c>
      <c r="C10554" t="str">
        <f>IFERROR(__xludf.DUMMYFUNCTION("""COMPUTED_VALUE"""),"Umbra")</f>
        <v>Umbra</v>
      </c>
    </row>
    <row r="10555">
      <c r="A10555" t="str">
        <f>IFERROR(__xludf.DUMMYFUNCTION("""COMPUTED_VALUE"""),"13143/C")</f>
        <v>13143/C</v>
      </c>
      <c r="B10555" s="226" t="str">
        <f>IFERROR(__xludf.DUMMYFUNCTION("""COMPUTED_VALUE"""),"8058772228766")</f>
        <v>8058772228766</v>
      </c>
      <c r="C10555" t="str">
        <f>IFERROR(__xludf.DUMMYFUNCTION("""COMPUTED_VALUE"""),"Umbra")</f>
        <v>Umbra</v>
      </c>
    </row>
    <row r="10556">
      <c r="A10556" t="str">
        <f>IFERROR(__xludf.DUMMYFUNCTION("""COMPUTED_VALUE"""),"13143/F")</f>
        <v>13143/F</v>
      </c>
      <c r="B10556" s="226" t="str">
        <f>IFERROR(__xludf.DUMMYFUNCTION("""COMPUTED_VALUE"""),"8058772222429")</f>
        <v>8058772222429</v>
      </c>
      <c r="C10556" t="str">
        <f>IFERROR(__xludf.DUMMYFUNCTION("""COMPUTED_VALUE"""),"Umbra")</f>
        <v>Umbra</v>
      </c>
    </row>
    <row r="10557">
      <c r="A10557" t="str">
        <f>IFERROR(__xludf.DUMMYFUNCTION("""COMPUTED_VALUE"""),"13143/VM")</f>
        <v>13143/VM</v>
      </c>
      <c r="B10557" s="226" t="str">
        <f>IFERROR(__xludf.DUMMYFUNCTION("""COMPUTED_VALUE"""),"8058772228773")</f>
        <v>8058772228773</v>
      </c>
      <c r="C10557" t="str">
        <f>IFERROR(__xludf.DUMMYFUNCTION("""COMPUTED_VALUE"""),"Umbra")</f>
        <v>Umbra</v>
      </c>
    </row>
    <row r="10558">
      <c r="A10558" t="str">
        <f>IFERROR(__xludf.DUMMYFUNCTION("""COMPUTED_VALUE"""),"13164/G")</f>
        <v>13164/G</v>
      </c>
      <c r="B10558" s="226" t="str">
        <f>IFERROR(__xludf.DUMMYFUNCTION("""COMPUTED_VALUE"""),"8054521995859")</f>
        <v>8054521995859</v>
      </c>
      <c r="C10558" t="str">
        <f>IFERROR(__xludf.DUMMYFUNCTION("""COMPUTED_VALUE"""),"Umbra")</f>
        <v>Umbra</v>
      </c>
    </row>
    <row r="10559">
      <c r="A10559" t="str">
        <f>IFERROR(__xludf.DUMMYFUNCTION("""COMPUTED_VALUE"""),"13165/G")</f>
        <v>13165/G</v>
      </c>
      <c r="B10559" s="226" t="str">
        <f>IFERROR(__xludf.DUMMYFUNCTION("""COMPUTED_VALUE"""),"8054521996795")</f>
        <v>8054521996795</v>
      </c>
      <c r="C10559" t="str">
        <f>IFERROR(__xludf.DUMMYFUNCTION("""COMPUTED_VALUE"""),"Umbra")</f>
        <v>Umbra</v>
      </c>
    </row>
    <row r="10560">
      <c r="A10560" t="str">
        <f>IFERROR(__xludf.DUMMYFUNCTION("""COMPUTED_VALUE"""),"13164/SF")</f>
        <v>13164/SF</v>
      </c>
      <c r="B10560" s="226" t="str">
        <f>IFERROR(__xludf.DUMMYFUNCTION("""COMPUTED_VALUE"""),"8054521995842")</f>
        <v>8054521995842</v>
      </c>
      <c r="C10560" t="str">
        <f>IFERROR(__xludf.DUMMYFUNCTION("""COMPUTED_VALUE"""),"Umbra")</f>
        <v>Umbra</v>
      </c>
    </row>
    <row r="10561">
      <c r="A10561" t="str">
        <f>IFERROR(__xludf.DUMMYFUNCTION("""COMPUTED_VALUE"""),"13165/SF")</f>
        <v>13165/SF</v>
      </c>
      <c r="B10561" s="226" t="str">
        <f>IFERROR(__xludf.DUMMYFUNCTION("""COMPUTED_VALUE"""),"8054521996788")</f>
        <v>8054521996788</v>
      </c>
      <c r="C10561" t="str">
        <f>IFERROR(__xludf.DUMMYFUNCTION("""COMPUTED_VALUE"""),"Umbra")</f>
        <v>Umbra</v>
      </c>
    </row>
    <row r="10562">
      <c r="A10562" t="str">
        <f>IFERROR(__xludf.DUMMYFUNCTION("""COMPUTED_VALUE"""),"13156/F")</f>
        <v>13156/F</v>
      </c>
      <c r="C10562" t="str">
        <f>IFERROR(__xludf.DUMMYFUNCTION("""COMPUTED_VALUE"""),"Umbra")</f>
        <v>Umbra</v>
      </c>
    </row>
    <row r="10563">
      <c r="A10563" t="str">
        <f>IFERROR(__xludf.DUMMYFUNCTION("""COMPUTED_VALUE"""),"13156/1F")</f>
        <v>13156/1F</v>
      </c>
      <c r="C10563" t="str">
        <f>IFERROR(__xludf.DUMMYFUNCTION("""COMPUTED_VALUE"""),"Umbra")</f>
        <v>Umbra</v>
      </c>
    </row>
    <row r="10564">
      <c r="A10564" t="str">
        <f>IFERROR(__xludf.DUMMYFUNCTION("""COMPUTED_VALUE"""),"13156/G")</f>
        <v>13156/G</v>
      </c>
      <c r="B10564" s="226" t="str">
        <f>IFERROR(__xludf.DUMMYFUNCTION("""COMPUTED_VALUE"""),"8058772228995")</f>
        <v>8058772228995</v>
      </c>
      <c r="C10564" t="str">
        <f>IFERROR(__xludf.DUMMYFUNCTION("""COMPUTED_VALUE"""),"Umbra")</f>
        <v>Umbra</v>
      </c>
    </row>
    <row r="10565">
      <c r="A10565" t="str">
        <f>IFERROR(__xludf.DUMMYFUNCTION("""COMPUTED_VALUE"""),"13156/1G")</f>
        <v>13156/1G</v>
      </c>
      <c r="B10565" s="226" t="str">
        <f>IFERROR(__xludf.DUMMYFUNCTION("""COMPUTED_VALUE"""),"8058772228971")</f>
        <v>8058772228971</v>
      </c>
      <c r="C10565" t="str">
        <f>IFERROR(__xludf.DUMMYFUNCTION("""COMPUTED_VALUE"""),"Umbra")</f>
        <v>Umbra</v>
      </c>
    </row>
    <row r="10566">
      <c r="A10566" t="str">
        <f>IFERROR(__xludf.DUMMYFUNCTION("""COMPUTED_VALUE"""),"13156/SF")</f>
        <v>13156/SF</v>
      </c>
      <c r="B10566" s="226" t="str">
        <f>IFERROR(__xludf.DUMMYFUNCTION("""COMPUTED_VALUE"""),"8058772229008")</f>
        <v>8058772229008</v>
      </c>
      <c r="C10566" t="str">
        <f>IFERROR(__xludf.DUMMYFUNCTION("""COMPUTED_VALUE"""),"Umbra")</f>
        <v>Umbra</v>
      </c>
    </row>
    <row r="10567">
      <c r="A10567" t="str">
        <f>IFERROR(__xludf.DUMMYFUNCTION("""COMPUTED_VALUE"""),"13156/1SF")</f>
        <v>13156/1SF</v>
      </c>
      <c r="B10567" s="226" t="str">
        <f>IFERROR(__xludf.DUMMYFUNCTION("""COMPUTED_VALUE"""),"8058772228988")</f>
        <v>8058772228988</v>
      </c>
      <c r="C10567" t="str">
        <f>IFERROR(__xludf.DUMMYFUNCTION("""COMPUTED_VALUE"""),"Umbra")</f>
        <v>Umbra</v>
      </c>
    </row>
    <row r="10568">
      <c r="A10568" t="str">
        <f>IFERROR(__xludf.DUMMYFUNCTION("""COMPUTED_VALUE"""),"13135/C")</f>
        <v>13135/C</v>
      </c>
      <c r="C10568" t="str">
        <f>IFERROR(__xludf.DUMMYFUNCTION("""COMPUTED_VALUE"""),"Umbra")</f>
        <v>Umbra</v>
      </c>
    </row>
    <row r="10569">
      <c r="A10569" t="str">
        <f>IFERROR(__xludf.DUMMYFUNCTION("""COMPUTED_VALUE"""),"13135/F")</f>
        <v>13135/F</v>
      </c>
      <c r="C10569" t="str">
        <f>IFERROR(__xludf.DUMMYFUNCTION("""COMPUTED_VALUE"""),"Umbra")</f>
        <v>Umbra</v>
      </c>
    </row>
    <row r="10570">
      <c r="A10570" t="str">
        <f>IFERROR(__xludf.DUMMYFUNCTION("""COMPUTED_VALUE"""),"13157/C")</f>
        <v>13157/C</v>
      </c>
      <c r="B10570" s="226" t="str">
        <f>IFERROR(__xludf.DUMMYFUNCTION("""COMPUTED_VALUE"""),"8058772229015")</f>
        <v>8058772229015</v>
      </c>
      <c r="C10570" t="str">
        <f>IFERROR(__xludf.DUMMYFUNCTION("""COMPUTED_VALUE"""),"Umbra")</f>
        <v>Umbra</v>
      </c>
    </row>
    <row r="10571">
      <c r="A10571" t="str">
        <f>IFERROR(__xludf.DUMMYFUNCTION("""COMPUTED_VALUE"""),"13157/F")</f>
        <v>13157/F</v>
      </c>
      <c r="B10571" s="226" t="str">
        <f>IFERROR(__xludf.DUMMYFUNCTION("""COMPUTED_VALUE"""),"8058772222504")</f>
        <v>8058772222504</v>
      </c>
      <c r="C10571" t="str">
        <f>IFERROR(__xludf.DUMMYFUNCTION("""COMPUTED_VALUE"""),"Umbra")</f>
        <v>Umbra</v>
      </c>
    </row>
    <row r="10572">
      <c r="A10572" t="str">
        <f>IFERROR(__xludf.DUMMYFUNCTION("""COMPUTED_VALUE"""),"13157/VM")</f>
        <v>13157/VM</v>
      </c>
      <c r="B10572" s="226" t="str">
        <f>IFERROR(__xludf.DUMMYFUNCTION("""COMPUTED_VALUE"""),"8058772229022")</f>
        <v>8058772229022</v>
      </c>
      <c r="C10572" t="str">
        <f>IFERROR(__xludf.DUMMYFUNCTION("""COMPUTED_VALUE"""),"Umbra")</f>
        <v>Umbra</v>
      </c>
    </row>
    <row r="10573">
      <c r="A10573" t="str">
        <f>IFERROR(__xludf.DUMMYFUNCTION("""COMPUTED_VALUE"""),"13163/C")</f>
        <v>13163/C</v>
      </c>
      <c r="B10573" s="226" t="str">
        <f>IFERROR(__xludf.DUMMYFUNCTION("""COMPUTED_VALUE"""),"8058772222627")</f>
        <v>8058772222627</v>
      </c>
      <c r="C10573" t="str">
        <f>IFERROR(__xludf.DUMMYFUNCTION("""COMPUTED_VALUE"""),"Umbra")</f>
        <v>Umbra</v>
      </c>
    </row>
    <row r="10574">
      <c r="A10574" t="str">
        <f>IFERROR(__xludf.DUMMYFUNCTION("""COMPUTED_VALUE"""),"13163/F")</f>
        <v>13163/F</v>
      </c>
      <c r="B10574" s="226" t="str">
        <f>IFERROR(__xludf.DUMMYFUNCTION("""COMPUTED_VALUE"""),"8058772222610")</f>
        <v>8058772222610</v>
      </c>
      <c r="C10574" t="str">
        <f>IFERROR(__xludf.DUMMYFUNCTION("""COMPUTED_VALUE"""),"Umbra")</f>
        <v>Umbra</v>
      </c>
    </row>
    <row r="10575">
      <c r="A10575" t="str">
        <f>IFERROR(__xludf.DUMMYFUNCTION("""COMPUTED_VALUE"""),"13163/VM")</f>
        <v>13163/VM</v>
      </c>
      <c r="B10575" s="226" t="str">
        <f>IFERROR(__xludf.DUMMYFUNCTION("""COMPUTED_VALUE"""),"8058772222634")</f>
        <v>8058772222634</v>
      </c>
      <c r="C10575" t="str">
        <f>IFERROR(__xludf.DUMMYFUNCTION("""COMPUTED_VALUE"""),"Umbra")</f>
        <v>Umbra</v>
      </c>
    </row>
    <row r="10576">
      <c r="A10576" t="str">
        <f>IFERROR(__xludf.DUMMYFUNCTION("""COMPUTED_VALUE"""),"13146")</f>
        <v>13146</v>
      </c>
      <c r="B10576" s="226" t="str">
        <f>IFERROR(__xludf.DUMMYFUNCTION("""COMPUTED_VALUE"""),"8058772228803")</f>
        <v>8058772228803</v>
      </c>
      <c r="C10576" t="str">
        <f>IFERROR(__xludf.DUMMYFUNCTION("""COMPUTED_VALUE"""),"Umbra")</f>
        <v>Umbra</v>
      </c>
    </row>
    <row r="10577">
      <c r="A10577" t="str">
        <f>IFERROR(__xludf.DUMMYFUNCTION("""COMPUTED_VALUE"""),"13147/C")</f>
        <v>13147/C</v>
      </c>
      <c r="B10577" s="226" t="str">
        <f>IFERROR(__xludf.DUMMYFUNCTION("""COMPUTED_VALUE"""),"8058772228810")</f>
        <v>8058772228810</v>
      </c>
      <c r="C10577" t="str">
        <f>IFERROR(__xludf.DUMMYFUNCTION("""COMPUTED_VALUE"""),"Umbra")</f>
        <v>Umbra</v>
      </c>
    </row>
    <row r="10578">
      <c r="A10578" t="str">
        <f>IFERROR(__xludf.DUMMYFUNCTION("""COMPUTED_VALUE"""),"13147/G")</f>
        <v>13147/G</v>
      </c>
      <c r="B10578" s="226" t="str">
        <f>IFERROR(__xludf.DUMMYFUNCTION("""COMPUTED_VALUE"""),"8058772228827")</f>
        <v>8058772228827</v>
      </c>
      <c r="C10578" t="str">
        <f>IFERROR(__xludf.DUMMYFUNCTION("""COMPUTED_VALUE"""),"Umbra")</f>
        <v>Umbra</v>
      </c>
    </row>
    <row r="10579">
      <c r="A10579" t="str">
        <f>IFERROR(__xludf.DUMMYFUNCTION("""COMPUTED_VALUE"""),"13148/G")</f>
        <v>13148/G</v>
      </c>
      <c r="B10579" s="226" t="str">
        <f>IFERROR(__xludf.DUMMYFUNCTION("""COMPUTED_VALUE"""),"8058772228858")</f>
        <v>8058772228858</v>
      </c>
      <c r="C10579" t="str">
        <f>IFERROR(__xludf.DUMMYFUNCTION("""COMPUTED_VALUE"""),"Umbra")</f>
        <v>Umbra</v>
      </c>
    </row>
    <row r="10580">
      <c r="A10580" t="str">
        <f>IFERROR(__xludf.DUMMYFUNCTION("""COMPUTED_VALUE"""),"13148/1G")</f>
        <v>13148/1G</v>
      </c>
      <c r="B10580" s="226" t="str">
        <f>IFERROR(__xludf.DUMMYFUNCTION("""COMPUTED_VALUE"""),"8058772228834")</f>
        <v>8058772228834</v>
      </c>
      <c r="C10580" t="str">
        <f>IFERROR(__xludf.DUMMYFUNCTION("""COMPUTED_VALUE"""),"Umbra")</f>
        <v>Umbra</v>
      </c>
    </row>
    <row r="10581">
      <c r="A10581" t="str">
        <f>IFERROR(__xludf.DUMMYFUNCTION("""COMPUTED_VALUE"""),"13148/SF")</f>
        <v>13148/SF</v>
      </c>
      <c r="B10581" s="226" t="str">
        <f>IFERROR(__xludf.DUMMYFUNCTION("""COMPUTED_VALUE"""),"8058772228865")</f>
        <v>8058772228865</v>
      </c>
      <c r="C10581" t="str">
        <f>IFERROR(__xludf.DUMMYFUNCTION("""COMPUTED_VALUE"""),"Umbra")</f>
        <v>Umbra</v>
      </c>
    </row>
    <row r="10582">
      <c r="A10582" t="str">
        <f>IFERROR(__xludf.DUMMYFUNCTION("""COMPUTED_VALUE"""),"13148/1SF")</f>
        <v>13148/1SF</v>
      </c>
      <c r="B10582" s="226" t="str">
        <f>IFERROR(__xludf.DUMMYFUNCTION("""COMPUTED_VALUE"""),"8058772228841")</f>
        <v>8058772228841</v>
      </c>
      <c r="C10582" t="str">
        <f>IFERROR(__xludf.DUMMYFUNCTION("""COMPUTED_VALUE"""),"Umbra")</f>
        <v>Umbra</v>
      </c>
    </row>
    <row r="10583">
      <c r="A10583" t="str">
        <f>IFERROR(__xludf.DUMMYFUNCTION("""COMPUTED_VALUE"""),"54008")</f>
        <v>54008</v>
      </c>
      <c r="B10583" s="226" t="str">
        <f>IFERROR(__xludf.DUMMYFUNCTION("""COMPUTED_VALUE"""),"8058772229060")</f>
        <v>8058772229060</v>
      </c>
      <c r="C10583" t="str">
        <f>IFERROR(__xludf.DUMMYFUNCTION("""COMPUTED_VALUE"""),"Umbra")</f>
        <v>Umbra</v>
      </c>
    </row>
    <row r="10584">
      <c r="A10584" t="str">
        <f>IFERROR(__xludf.DUMMYFUNCTION("""COMPUTED_VALUE"""),"13152")</f>
        <v>13152</v>
      </c>
      <c r="B10584" s="226" t="str">
        <f>IFERROR(__xludf.DUMMYFUNCTION("""COMPUTED_VALUE"""),"8058772228926")</f>
        <v>8058772228926</v>
      </c>
      <c r="C10584" t="str">
        <f>IFERROR(__xludf.DUMMYFUNCTION("""COMPUTED_VALUE"""),"Umbra")</f>
        <v>Umbra</v>
      </c>
    </row>
    <row r="10585">
      <c r="A10585" t="str">
        <f>IFERROR(__xludf.DUMMYFUNCTION("""COMPUTED_VALUE"""),"13152/F")</f>
        <v>13152/F</v>
      </c>
      <c r="B10585" s="226" t="str">
        <f>IFERROR(__xludf.DUMMYFUNCTION("""COMPUTED_VALUE"""),"8058772222481")</f>
        <v>8058772222481</v>
      </c>
      <c r="C10585" t="str">
        <f>IFERROR(__xludf.DUMMYFUNCTION("""COMPUTED_VALUE"""),"Umbra")</f>
        <v>Umbra</v>
      </c>
    </row>
    <row r="10586">
      <c r="A10586" t="str">
        <f>IFERROR(__xludf.DUMMYFUNCTION("""COMPUTED_VALUE"""),"10003/C")</f>
        <v>10003/C</v>
      </c>
      <c r="B10586" s="226" t="str">
        <f>IFERROR(__xludf.DUMMYFUNCTION("""COMPUTED_VALUE"""),"8058772228223")</f>
        <v>8058772228223</v>
      </c>
      <c r="C10586" t="str">
        <f>IFERROR(__xludf.DUMMYFUNCTION("""COMPUTED_VALUE"""),"Umbra")</f>
        <v>Umbra</v>
      </c>
    </row>
    <row r="10587">
      <c r="A10587" t="str">
        <f>IFERROR(__xludf.DUMMYFUNCTION("""COMPUTED_VALUE"""),"13158/C")</f>
        <v>13158/C</v>
      </c>
      <c r="B10587" s="226" t="str">
        <f>IFERROR(__xludf.DUMMYFUNCTION("""COMPUTED_VALUE"""),"8058772229039")</f>
        <v>8058772229039</v>
      </c>
      <c r="C10587" t="str">
        <f>IFERROR(__xludf.DUMMYFUNCTION("""COMPUTED_VALUE"""),"Umbra")</f>
        <v>Umbra</v>
      </c>
    </row>
    <row r="10588">
      <c r="A10588" t="str">
        <f>IFERROR(__xludf.DUMMYFUNCTION("""COMPUTED_VALUE"""),"10003/F")</f>
        <v>10003/F</v>
      </c>
      <c r="B10588" s="226" t="str">
        <f>IFERROR(__xludf.DUMMYFUNCTION("""COMPUTED_VALUE"""),"8058772222214")</f>
        <v>8058772222214</v>
      </c>
      <c r="C10588" t="str">
        <f>IFERROR(__xludf.DUMMYFUNCTION("""COMPUTED_VALUE"""),"Umbra")</f>
        <v>Umbra</v>
      </c>
    </row>
    <row r="10589">
      <c r="A10589" t="str">
        <f>IFERROR(__xludf.DUMMYFUNCTION("""COMPUTED_VALUE"""),"13158/F")</f>
        <v>13158/F</v>
      </c>
      <c r="B10589" s="226" t="str">
        <f>IFERROR(__xludf.DUMMYFUNCTION("""COMPUTED_VALUE"""),"8058772222511")</f>
        <v>8058772222511</v>
      </c>
      <c r="C10589" t="str">
        <f>IFERROR(__xludf.DUMMYFUNCTION("""COMPUTED_VALUE"""),"Umbra")</f>
        <v>Umbra</v>
      </c>
    </row>
    <row r="10590">
      <c r="A10590" t="str">
        <f>IFERROR(__xludf.DUMMYFUNCTION("""COMPUTED_VALUE"""),"10003/VM")</f>
        <v>10003/VM</v>
      </c>
      <c r="B10590" s="226" t="str">
        <f>IFERROR(__xludf.DUMMYFUNCTION("""COMPUTED_VALUE"""),"8058772228230")</f>
        <v>8058772228230</v>
      </c>
      <c r="C10590" t="str">
        <f>IFERROR(__xludf.DUMMYFUNCTION("""COMPUTED_VALUE"""),"Umbra")</f>
        <v>Umbra</v>
      </c>
    </row>
    <row r="10591">
      <c r="A10591" t="str">
        <f>IFERROR(__xludf.DUMMYFUNCTION("""COMPUTED_VALUE"""),"13158/VM")</f>
        <v>13158/VM</v>
      </c>
      <c r="B10591" s="226" t="str">
        <f>IFERROR(__xludf.DUMMYFUNCTION("""COMPUTED_VALUE"""),"8058772229046")</f>
        <v>8058772229046</v>
      </c>
      <c r="C10591" t="str">
        <f>IFERROR(__xludf.DUMMYFUNCTION("""COMPUTED_VALUE"""),"Umbra")</f>
        <v>Umbra</v>
      </c>
    </row>
    <row r="10592">
      <c r="A10592" t="str">
        <f>IFERROR(__xludf.DUMMYFUNCTION("""COMPUTED_VALUE"""),"24016/C")</f>
        <v>24016/C</v>
      </c>
      <c r="B10592" s="226" t="str">
        <f>IFERROR(__xludf.DUMMYFUNCTION("""COMPUTED_VALUE"""),"8054521991820")</f>
        <v>8054521991820</v>
      </c>
      <c r="C10592" t="str">
        <f>IFERROR(__xludf.DUMMYFUNCTION("""COMPUTED_VALUE"""),"Umbra")</f>
        <v>Umbra</v>
      </c>
    </row>
    <row r="10593">
      <c r="A10593" t="str">
        <f>IFERROR(__xludf.DUMMYFUNCTION("""COMPUTED_VALUE"""),"24016/F")</f>
        <v>24016/F</v>
      </c>
      <c r="B10593" s="226" t="str">
        <f>IFERROR(__xludf.DUMMYFUNCTION("""COMPUTED_VALUE"""),"8058772223846")</f>
        <v>8058772223846</v>
      </c>
      <c r="C10593" t="str">
        <f>IFERROR(__xludf.DUMMYFUNCTION("""COMPUTED_VALUE"""),"Umbra")</f>
        <v>Umbra</v>
      </c>
    </row>
    <row r="10594">
      <c r="A10594" t="str">
        <f>IFERROR(__xludf.DUMMYFUNCTION("""COMPUTED_VALUE"""),"24016/G")</f>
        <v>24016/G</v>
      </c>
      <c r="B10594" s="226" t="str">
        <f>IFERROR(__xludf.DUMMYFUNCTION("""COMPUTED_VALUE"""),"8054521991837")</f>
        <v>8054521991837</v>
      </c>
      <c r="C10594" t="str">
        <f>IFERROR(__xludf.DUMMYFUNCTION("""COMPUTED_VALUE"""),"Umbra")</f>
        <v>Umbra</v>
      </c>
    </row>
    <row r="10595">
      <c r="A10595" t="str">
        <f>IFERROR(__xludf.DUMMYFUNCTION("""COMPUTED_VALUE"""),"24016/SF")</f>
        <v>24016/SF</v>
      </c>
      <c r="B10595" s="226" t="str">
        <f>IFERROR(__xludf.DUMMYFUNCTION("""COMPUTED_VALUE"""),"8054521991844")</f>
        <v>8054521991844</v>
      </c>
      <c r="C10595" t="str">
        <f>IFERROR(__xludf.DUMMYFUNCTION("""COMPUTED_VALUE"""),"Umbra")</f>
        <v>Umbra</v>
      </c>
    </row>
    <row r="10596">
      <c r="A10596" t="str">
        <f>IFERROR(__xludf.DUMMYFUNCTION("""COMPUTED_VALUE"""),"13149/C")</f>
        <v>13149/C</v>
      </c>
      <c r="B10596" s="226" t="str">
        <f>IFERROR(__xludf.DUMMYFUNCTION("""COMPUTED_VALUE"""),"8058772228872")</f>
        <v>8058772228872</v>
      </c>
      <c r="C10596" t="str">
        <f>IFERROR(__xludf.DUMMYFUNCTION("""COMPUTED_VALUE"""),"Umbra")</f>
        <v>Umbra</v>
      </c>
    </row>
    <row r="10597">
      <c r="A10597" t="str">
        <f>IFERROR(__xludf.DUMMYFUNCTION("""COMPUTED_VALUE"""),"13149/F")</f>
        <v>13149/F</v>
      </c>
      <c r="B10597" s="226" t="str">
        <f>IFERROR(__xludf.DUMMYFUNCTION("""COMPUTED_VALUE"""),"8058772222450")</f>
        <v>8058772222450</v>
      </c>
      <c r="C10597" t="str">
        <f>IFERROR(__xludf.DUMMYFUNCTION("""COMPUTED_VALUE"""),"Umbra")</f>
        <v>Umbra</v>
      </c>
    </row>
    <row r="10598">
      <c r="A10598" t="str">
        <f>IFERROR(__xludf.DUMMYFUNCTION("""COMPUTED_VALUE"""),"13149/VM")</f>
        <v>13149/VM</v>
      </c>
      <c r="B10598" s="226" t="str">
        <f>IFERROR(__xludf.DUMMYFUNCTION("""COMPUTED_VALUE"""),"8058772228889")</f>
        <v>8058772228889</v>
      </c>
      <c r="C10598" t="str">
        <f>IFERROR(__xludf.DUMMYFUNCTION("""COMPUTED_VALUE"""),"Umbra")</f>
        <v>Umbra</v>
      </c>
    </row>
    <row r="10599">
      <c r="A10599" t="str">
        <f>IFERROR(__xludf.DUMMYFUNCTION("""COMPUTED_VALUE"""),"13140/C")</f>
        <v>13140/C</v>
      </c>
      <c r="B10599" s="226" t="str">
        <f>IFERROR(__xludf.DUMMYFUNCTION("""COMPUTED_VALUE"""),"8058772228735")</f>
        <v>8058772228735</v>
      </c>
      <c r="C10599" t="str">
        <f>IFERROR(__xludf.DUMMYFUNCTION("""COMPUTED_VALUE"""),"Umbra")</f>
        <v>Umbra</v>
      </c>
    </row>
    <row r="10600">
      <c r="A10600" t="str">
        <f>IFERROR(__xludf.DUMMYFUNCTION("""COMPUTED_VALUE"""),"13166/C")</f>
        <v>13166/C</v>
      </c>
      <c r="B10600" s="226" t="str">
        <f>IFERROR(__xludf.DUMMYFUNCTION("""COMPUTED_VALUE"""),"8054521996467")</f>
        <v>8054521996467</v>
      </c>
      <c r="C10600" t="str">
        <f>IFERROR(__xludf.DUMMYFUNCTION("""COMPUTED_VALUE"""),"Umbra")</f>
        <v>Umbra</v>
      </c>
    </row>
    <row r="10601">
      <c r="A10601" t="str">
        <f>IFERROR(__xludf.DUMMYFUNCTION("""COMPUTED_VALUE"""),"13140/F")</f>
        <v>13140/F</v>
      </c>
      <c r="B10601" s="226" t="str">
        <f>IFERROR(__xludf.DUMMYFUNCTION("""COMPUTED_VALUE"""),"8058772222399")</f>
        <v>8058772222399</v>
      </c>
      <c r="C10601" t="str">
        <f>IFERROR(__xludf.DUMMYFUNCTION("""COMPUTED_VALUE"""),"Umbra")</f>
        <v>Umbra</v>
      </c>
    </row>
    <row r="10602">
      <c r="A10602" t="str">
        <f>IFERROR(__xludf.DUMMYFUNCTION("""COMPUTED_VALUE"""),"13166/F")</f>
        <v>13166/F</v>
      </c>
      <c r="B10602" s="226" t="str">
        <f>IFERROR(__xludf.DUMMYFUNCTION("""COMPUTED_VALUE"""),"8054521996450")</f>
        <v>8054521996450</v>
      </c>
      <c r="C10602" t="str">
        <f>IFERROR(__xludf.DUMMYFUNCTION("""COMPUTED_VALUE"""),"Umbra")</f>
        <v>Umbra</v>
      </c>
    </row>
    <row r="10603">
      <c r="A10603" t="str">
        <f>IFERROR(__xludf.DUMMYFUNCTION("""COMPUTED_VALUE"""),"13140/VM")</f>
        <v>13140/VM</v>
      </c>
      <c r="B10603" s="226" t="str">
        <f>IFERROR(__xludf.DUMMYFUNCTION("""COMPUTED_VALUE"""),"8058772228742")</f>
        <v>8058772228742</v>
      </c>
      <c r="C10603" t="str">
        <f>IFERROR(__xludf.DUMMYFUNCTION("""COMPUTED_VALUE"""),"Umbra")</f>
        <v>Umbra</v>
      </c>
    </row>
    <row r="10604">
      <c r="A10604" t="str">
        <f>IFERROR(__xludf.DUMMYFUNCTION("""COMPUTED_VALUE"""),"13166/VM")</f>
        <v>13166/VM</v>
      </c>
      <c r="B10604" s="226" t="str">
        <f>IFERROR(__xludf.DUMMYFUNCTION("""COMPUTED_VALUE"""),"8054521996474")</f>
        <v>8054521996474</v>
      </c>
      <c r="C10604" t="str">
        <f>IFERROR(__xludf.DUMMYFUNCTION("""COMPUTED_VALUE"""),"Umbra")</f>
        <v>Umbra</v>
      </c>
    </row>
    <row r="10605">
      <c r="A10605" t="str">
        <f>IFERROR(__xludf.DUMMYFUNCTION("""COMPUTED_VALUE"""),"13119")</f>
        <v>13119</v>
      </c>
      <c r="B10605" s="226" t="str">
        <f>IFERROR(__xludf.DUMMYFUNCTION("""COMPUTED_VALUE"""),"8058772228551")</f>
        <v>8058772228551</v>
      </c>
      <c r="C10605" t="str">
        <f>IFERROR(__xludf.DUMMYFUNCTION("""COMPUTED_VALUE"""),"Umbra")</f>
        <v>Umbra</v>
      </c>
    </row>
    <row r="10606">
      <c r="A10606" t="str">
        <f>IFERROR(__xludf.DUMMYFUNCTION("""COMPUTED_VALUE"""),"13120")</f>
        <v>13120</v>
      </c>
      <c r="B10606" s="226" t="str">
        <f>IFERROR(__xludf.DUMMYFUNCTION("""COMPUTED_VALUE"""),"8058772228568")</f>
        <v>8058772228568</v>
      </c>
      <c r="C10606" t="str">
        <f>IFERROR(__xludf.DUMMYFUNCTION("""COMPUTED_VALUE"""),"Umbra")</f>
        <v>Umbra</v>
      </c>
    </row>
    <row r="10607">
      <c r="A10607" t="str">
        <f>IFERROR(__xludf.DUMMYFUNCTION("""COMPUTED_VALUE"""),"13120")</f>
        <v>13120</v>
      </c>
      <c r="B10607" s="226" t="str">
        <f>IFERROR(__xludf.DUMMYFUNCTION("""COMPUTED_VALUE"""),"8058772228568")</f>
        <v>8058772228568</v>
      </c>
      <c r="C10607" t="str">
        <f>IFERROR(__xludf.DUMMYFUNCTION("""COMPUTED_VALUE"""),"Umbra")</f>
        <v>Umbra</v>
      </c>
    </row>
    <row r="10608">
      <c r="A10608" t="str">
        <f>IFERROR(__xludf.DUMMYFUNCTION("""COMPUTED_VALUE"""),"13153/C")</f>
        <v>13153/C</v>
      </c>
      <c r="B10608" s="226" t="str">
        <f>IFERROR(__xludf.DUMMYFUNCTION("""COMPUTED_VALUE"""),"8058772228933")</f>
        <v>8058772228933</v>
      </c>
      <c r="C10608" t="str">
        <f>IFERROR(__xludf.DUMMYFUNCTION("""COMPUTED_VALUE"""),"Umbra")</f>
        <v>Umbra</v>
      </c>
    </row>
    <row r="10609">
      <c r="A10609" t="str">
        <f>IFERROR(__xludf.DUMMYFUNCTION("""COMPUTED_VALUE"""),"13153/G")</f>
        <v>13153/G</v>
      </c>
      <c r="B10609" s="226" t="str">
        <f>IFERROR(__xludf.DUMMYFUNCTION("""COMPUTED_VALUE"""),"8058772228940")</f>
        <v>8058772228940</v>
      </c>
      <c r="C10609" t="str">
        <f>IFERROR(__xludf.DUMMYFUNCTION("""COMPUTED_VALUE"""),"Umbra")</f>
        <v>Umbra</v>
      </c>
    </row>
    <row r="10610">
      <c r="A10610" t="str">
        <f>IFERROR(__xludf.DUMMYFUNCTION("""COMPUTED_VALUE"""),"13153/SF")</f>
        <v>13153/SF</v>
      </c>
      <c r="B10610" s="226" t="str">
        <f>IFERROR(__xludf.DUMMYFUNCTION("""COMPUTED_VALUE"""),"8058772228957")</f>
        <v>8058772228957</v>
      </c>
      <c r="C10610" t="str">
        <f>IFERROR(__xludf.DUMMYFUNCTION("""COMPUTED_VALUE"""),"Umbra")</f>
        <v>Umbra</v>
      </c>
    </row>
    <row r="10611">
      <c r="A10611" t="str">
        <f>IFERROR(__xludf.DUMMYFUNCTION("""COMPUTED_VALUE"""),"13127")</f>
        <v>13127</v>
      </c>
      <c r="B10611" s="226" t="str">
        <f>IFERROR(__xludf.DUMMYFUNCTION("""COMPUTED_VALUE"""),"8058772228629")</f>
        <v>8058772228629</v>
      </c>
      <c r="C10611" t="str">
        <f>IFERROR(__xludf.DUMMYFUNCTION("""COMPUTED_VALUE"""),"Umbra")</f>
        <v>Umbra</v>
      </c>
    </row>
    <row r="10612">
      <c r="A10612" t="str">
        <f>IFERROR(__xludf.DUMMYFUNCTION("""COMPUTED_VALUE"""),"13127/F")</f>
        <v>13127/F</v>
      </c>
      <c r="B10612" s="226" t="str">
        <f>IFERROR(__xludf.DUMMYFUNCTION("""COMPUTED_VALUE"""),"8058772222351")</f>
        <v>8058772222351</v>
      </c>
      <c r="C10612" t="str">
        <f>IFERROR(__xludf.DUMMYFUNCTION("""COMPUTED_VALUE"""),"Umbra")</f>
        <v>Umbra</v>
      </c>
    </row>
    <row r="10613">
      <c r="A10613" t="str">
        <f>IFERROR(__xludf.DUMMYFUNCTION("""COMPUTED_VALUE"""),"13132")</f>
        <v>13132</v>
      </c>
      <c r="B10613" s="226" t="str">
        <f>IFERROR(__xludf.DUMMYFUNCTION("""COMPUTED_VALUE"""),"8058772228667")</f>
        <v>8058772228667</v>
      </c>
      <c r="C10613" t="str">
        <f>IFERROR(__xludf.DUMMYFUNCTION("""COMPUTED_VALUE"""),"Umbra")</f>
        <v>Umbra</v>
      </c>
    </row>
    <row r="10614">
      <c r="A10614" t="str">
        <f>IFERROR(__xludf.DUMMYFUNCTION("""COMPUTED_VALUE"""),"13128")</f>
        <v>13128</v>
      </c>
      <c r="B10614" s="226" t="str">
        <f>IFERROR(__xludf.DUMMYFUNCTION("""COMPUTED_VALUE"""),"8058772228636")</f>
        <v>8058772228636</v>
      </c>
      <c r="C10614" t="str">
        <f>IFERROR(__xludf.DUMMYFUNCTION("""COMPUTED_VALUE"""),"Umbra")</f>
        <v>Umbra</v>
      </c>
    </row>
    <row r="10615">
      <c r="A10615" t="str">
        <f>IFERROR(__xludf.DUMMYFUNCTION("""COMPUTED_VALUE"""),"13128/F")</f>
        <v>13128/F</v>
      </c>
      <c r="B10615" s="226" t="str">
        <f>IFERROR(__xludf.DUMMYFUNCTION("""COMPUTED_VALUE"""),"8058772222368")</f>
        <v>8058772222368</v>
      </c>
      <c r="C10615" t="str">
        <f>IFERROR(__xludf.DUMMYFUNCTION("""COMPUTED_VALUE"""),"Umbra")</f>
        <v>Umbra</v>
      </c>
    </row>
    <row r="10616">
      <c r="A10616" t="str">
        <f>IFERROR(__xludf.DUMMYFUNCTION("""COMPUTED_VALUE"""),"21040/C")</f>
        <v>21040/C</v>
      </c>
      <c r="C10616" t="str">
        <f>IFERROR(__xludf.DUMMYFUNCTION("""COMPUTED_VALUE"""),"Umbra")</f>
        <v>Umbra</v>
      </c>
    </row>
    <row r="10617">
      <c r="A10617" t="str">
        <f>IFERROR(__xludf.DUMMYFUNCTION("""COMPUTED_VALUE"""),"13162/C")</f>
        <v>13162/C</v>
      </c>
      <c r="B10617" s="226" t="str">
        <f>IFERROR(__xludf.DUMMYFUNCTION("""COMPUTED_VALUE"""),"8058772222597")</f>
        <v>8058772222597</v>
      </c>
      <c r="C10617" t="str">
        <f>IFERROR(__xludf.DUMMYFUNCTION("""COMPUTED_VALUE"""),"Umbra")</f>
        <v>Umbra</v>
      </c>
    </row>
    <row r="10618">
      <c r="A10618" t="str">
        <f>IFERROR(__xludf.DUMMYFUNCTION("""COMPUTED_VALUE"""),"21050/C")</f>
        <v>21050/C</v>
      </c>
      <c r="B10618" s="226" t="str">
        <f>IFERROR(__xludf.DUMMYFUNCTION("""COMPUTED_VALUE"""),"8058772223389")</f>
        <v>8058772223389</v>
      </c>
      <c r="C10618" t="str">
        <f>IFERROR(__xludf.DUMMYFUNCTION("""COMPUTED_VALUE"""),"Umbra")</f>
        <v>Umbra</v>
      </c>
    </row>
    <row r="10619">
      <c r="A10619" t="str">
        <f>IFERROR(__xludf.DUMMYFUNCTION("""COMPUTED_VALUE"""),"21050/C")</f>
        <v>21050/C</v>
      </c>
      <c r="B10619" s="226" t="str">
        <f>IFERROR(__xludf.DUMMYFUNCTION("""COMPUTED_VALUE"""),"8058772223389")</f>
        <v>8058772223389</v>
      </c>
      <c r="C10619" t="str">
        <f>IFERROR(__xludf.DUMMYFUNCTION("""COMPUTED_VALUE"""),"Umbra")</f>
        <v>Umbra</v>
      </c>
    </row>
    <row r="10620">
      <c r="A10620" t="str">
        <f>IFERROR(__xludf.DUMMYFUNCTION("""COMPUTED_VALUE"""),"21040/F")</f>
        <v>21040/F</v>
      </c>
      <c r="C10620" t="str">
        <f>IFERROR(__xludf.DUMMYFUNCTION("""COMPUTED_VALUE"""),"Umbra")</f>
        <v>Umbra</v>
      </c>
    </row>
    <row r="10621">
      <c r="A10621" t="str">
        <f>IFERROR(__xludf.DUMMYFUNCTION("""COMPUTED_VALUE"""),"13162/F")</f>
        <v>13162/F</v>
      </c>
      <c r="B10621" s="226" t="str">
        <f>IFERROR(__xludf.DUMMYFUNCTION("""COMPUTED_VALUE"""),"8058772222580")</f>
        <v>8058772222580</v>
      </c>
      <c r="C10621" t="str">
        <f>IFERROR(__xludf.DUMMYFUNCTION("""COMPUTED_VALUE"""),"Umbra")</f>
        <v>Umbra</v>
      </c>
    </row>
    <row r="10622">
      <c r="A10622" t="str">
        <f>IFERROR(__xludf.DUMMYFUNCTION("""COMPUTED_VALUE"""),"21050/F")</f>
        <v>21050/F</v>
      </c>
      <c r="B10622" s="226" t="str">
        <f>IFERROR(__xludf.DUMMYFUNCTION("""COMPUTED_VALUE"""),"8058772223372")</f>
        <v>8058772223372</v>
      </c>
      <c r="C10622" t="str">
        <f>IFERROR(__xludf.DUMMYFUNCTION("""COMPUTED_VALUE"""),"Umbra")</f>
        <v>Umbra</v>
      </c>
    </row>
    <row r="10623">
      <c r="A10623" t="str">
        <f>IFERROR(__xludf.DUMMYFUNCTION("""COMPUTED_VALUE"""),"21050/F")</f>
        <v>21050/F</v>
      </c>
      <c r="B10623" s="226" t="str">
        <f>IFERROR(__xludf.DUMMYFUNCTION("""COMPUTED_VALUE"""),"8058772223372")</f>
        <v>8058772223372</v>
      </c>
      <c r="C10623" t="str">
        <f>IFERROR(__xludf.DUMMYFUNCTION("""COMPUTED_VALUE"""),"Umbra")</f>
        <v>Umbra</v>
      </c>
    </row>
    <row r="10624">
      <c r="A10624" t="str">
        <f>IFERROR(__xludf.DUMMYFUNCTION("""COMPUTED_VALUE"""),"21040/VM")</f>
        <v>21040/VM</v>
      </c>
      <c r="C10624" t="str">
        <f>IFERROR(__xludf.DUMMYFUNCTION("""COMPUTED_VALUE"""),"Umbra")</f>
        <v>Umbra</v>
      </c>
    </row>
    <row r="10625">
      <c r="A10625" t="str">
        <f>IFERROR(__xludf.DUMMYFUNCTION("""COMPUTED_VALUE"""),"13162/VM")</f>
        <v>13162/VM</v>
      </c>
      <c r="B10625" s="226" t="str">
        <f>IFERROR(__xludf.DUMMYFUNCTION("""COMPUTED_VALUE"""),"8058772222603")</f>
        <v>8058772222603</v>
      </c>
      <c r="C10625" t="str">
        <f>IFERROR(__xludf.DUMMYFUNCTION("""COMPUTED_VALUE"""),"Umbra")</f>
        <v>Umbra</v>
      </c>
    </row>
    <row r="10626">
      <c r="A10626" t="str">
        <f>IFERROR(__xludf.DUMMYFUNCTION("""COMPUTED_VALUE"""),"21050/VM")</f>
        <v>21050/VM</v>
      </c>
      <c r="B10626" s="226" t="str">
        <f>IFERROR(__xludf.DUMMYFUNCTION("""COMPUTED_VALUE"""),"8058772223396")</f>
        <v>8058772223396</v>
      </c>
      <c r="C10626" t="str">
        <f>IFERROR(__xludf.DUMMYFUNCTION("""COMPUTED_VALUE"""),"Umbra")</f>
        <v>Umbra</v>
      </c>
    </row>
    <row r="10627">
      <c r="A10627" t="str">
        <f>IFERROR(__xludf.DUMMYFUNCTION("""COMPUTED_VALUE"""),"21050/VM")</f>
        <v>21050/VM</v>
      </c>
      <c r="B10627" s="226" t="str">
        <f>IFERROR(__xludf.DUMMYFUNCTION("""COMPUTED_VALUE"""),"8058772223396")</f>
        <v>8058772223396</v>
      </c>
      <c r="C10627" t="str">
        <f>IFERROR(__xludf.DUMMYFUNCTION("""COMPUTED_VALUE"""),"Umbra")</f>
        <v>Umbra</v>
      </c>
    </row>
    <row r="10628">
      <c r="A10628" t="str">
        <f>IFERROR(__xludf.DUMMYFUNCTION("""COMPUTED_VALUE"""),"13142")</f>
        <v>13142</v>
      </c>
      <c r="C10628" t="str">
        <f>IFERROR(__xludf.DUMMYFUNCTION("""COMPUTED_VALUE"""),"Umbra")</f>
        <v>Umbra</v>
      </c>
    </row>
    <row r="10629">
      <c r="A10629" t="str">
        <f>IFERROR(__xludf.DUMMYFUNCTION("""COMPUTED_VALUE"""),"13142")</f>
        <v>13142</v>
      </c>
      <c r="C10629" t="str">
        <f>IFERROR(__xludf.DUMMYFUNCTION("""COMPUTED_VALUE"""),"Umbra")</f>
        <v>Umbra</v>
      </c>
    </row>
    <row r="10630">
      <c r="A10630" t="str">
        <f>IFERROR(__xludf.DUMMYFUNCTION("""COMPUTED_VALUE"""),"13142")</f>
        <v>13142</v>
      </c>
      <c r="C10630" t="str">
        <f>IFERROR(__xludf.DUMMYFUNCTION("""COMPUTED_VALUE"""),"Umbra")</f>
        <v>Umbra</v>
      </c>
    </row>
    <row r="10631">
      <c r="A10631" t="str">
        <f>IFERROR(__xludf.DUMMYFUNCTION("""COMPUTED_VALUE"""),"13142")</f>
        <v>13142</v>
      </c>
      <c r="C10631" t="str">
        <f>IFERROR(__xludf.DUMMYFUNCTION("""COMPUTED_VALUE"""),"Umbra")</f>
        <v>Umbra</v>
      </c>
    </row>
    <row r="10632">
      <c r="A10632" t="str">
        <f>IFERROR(__xludf.DUMMYFUNCTION("""COMPUTED_VALUE"""),"13154/C")</f>
        <v>13154/C</v>
      </c>
      <c r="B10632" s="226" t="str">
        <f>IFERROR(__xludf.DUMMYFUNCTION("""COMPUTED_VALUE"""),"8058772228964")</f>
        <v>8058772228964</v>
      </c>
      <c r="C10632" t="str">
        <f>IFERROR(__xludf.DUMMYFUNCTION("""COMPUTED_VALUE"""),"Umbra")</f>
        <v>Umbra</v>
      </c>
    </row>
    <row r="10633">
      <c r="A10633" t="str">
        <f>IFERROR(__xludf.DUMMYFUNCTION("""COMPUTED_VALUE"""),"13154/F")</f>
        <v>13154/F</v>
      </c>
      <c r="B10633" s="226" t="str">
        <f>IFERROR(__xludf.DUMMYFUNCTION("""COMPUTED_VALUE"""),"8058772222498")</f>
        <v>8058772222498</v>
      </c>
      <c r="C10633" t="str">
        <f>IFERROR(__xludf.DUMMYFUNCTION("""COMPUTED_VALUE"""),"Umbra")</f>
        <v>Umbra</v>
      </c>
    </row>
    <row r="10634">
      <c r="A10634" t="str">
        <f>IFERROR(__xludf.DUMMYFUNCTION("""COMPUTED_VALUE"""),"21050/C")</f>
        <v>21050/C</v>
      </c>
      <c r="B10634" s="226" t="str">
        <f>IFERROR(__xludf.DUMMYFUNCTION("""COMPUTED_VALUE"""),"8058772223389")</f>
        <v>8058772223389</v>
      </c>
      <c r="C10634" t="str">
        <f>IFERROR(__xludf.DUMMYFUNCTION("""COMPUTED_VALUE"""),"Umbra")</f>
        <v>Umbra</v>
      </c>
    </row>
    <row r="10635">
      <c r="A10635" t="str">
        <f>IFERROR(__xludf.DUMMYFUNCTION("""COMPUTED_VALUE"""),"21050/F")</f>
        <v>21050/F</v>
      </c>
      <c r="B10635" s="226" t="str">
        <f>IFERROR(__xludf.DUMMYFUNCTION("""COMPUTED_VALUE"""),"8058772223372")</f>
        <v>8058772223372</v>
      </c>
      <c r="C10635" t="str">
        <f>IFERROR(__xludf.DUMMYFUNCTION("""COMPUTED_VALUE"""),"Umbra")</f>
        <v>Umbra</v>
      </c>
    </row>
    <row r="10636">
      <c r="A10636" t="str">
        <f>IFERROR(__xludf.DUMMYFUNCTION("""COMPUTED_VALUE"""),"21050/VM")</f>
        <v>21050/VM</v>
      </c>
      <c r="B10636" s="226" t="str">
        <f>IFERROR(__xludf.DUMMYFUNCTION("""COMPUTED_VALUE"""),"8058772223396")</f>
        <v>8058772223396</v>
      </c>
      <c r="C10636" t="str">
        <f>IFERROR(__xludf.DUMMYFUNCTION("""COMPUTED_VALUE"""),"Umbra")</f>
        <v>Umbra</v>
      </c>
    </row>
    <row r="10637">
      <c r="A10637" t="str">
        <f>IFERROR(__xludf.DUMMYFUNCTION("""COMPUTED_VALUE"""),"13123")</f>
        <v>13123</v>
      </c>
      <c r="B10637" s="226" t="str">
        <f>IFERROR(__xludf.DUMMYFUNCTION("""COMPUTED_VALUE"""),"8058772228599")</f>
        <v>8058772228599</v>
      </c>
      <c r="C10637" t="str">
        <f>IFERROR(__xludf.DUMMYFUNCTION("""COMPUTED_VALUE"""),"Umbra")</f>
        <v>Umbra</v>
      </c>
    </row>
    <row r="10638">
      <c r="A10638" t="str">
        <f>IFERROR(__xludf.DUMMYFUNCTION("""COMPUTED_VALUE"""),"13131/R")</f>
        <v>13131/R</v>
      </c>
      <c r="B10638" s="226" t="str">
        <f>IFERROR(__xludf.DUMMYFUNCTION("""COMPUTED_VALUE"""),"8058772228650")</f>
        <v>8058772228650</v>
      </c>
      <c r="C10638" t="str">
        <f>IFERROR(__xludf.DUMMYFUNCTION("""COMPUTED_VALUE"""),"Umbra")</f>
        <v>Umbra</v>
      </c>
    </row>
    <row r="10639">
      <c r="A10639" t="str">
        <f>IFERROR(__xludf.DUMMYFUNCTION("""COMPUTED_VALUE"""),"13166/C")</f>
        <v>13166/C</v>
      </c>
      <c r="B10639" s="226" t="str">
        <f>IFERROR(__xludf.DUMMYFUNCTION("""COMPUTED_VALUE"""),"8054521996467")</f>
        <v>8054521996467</v>
      </c>
      <c r="C10639" t="str">
        <f>IFERROR(__xludf.DUMMYFUNCTION("""COMPUTED_VALUE"""),"Umbra")</f>
        <v>Umbra</v>
      </c>
    </row>
    <row r="10640">
      <c r="A10640" t="str">
        <f>IFERROR(__xludf.DUMMYFUNCTION("""COMPUTED_VALUE"""),"13166/F")</f>
        <v>13166/F</v>
      </c>
      <c r="B10640" s="226" t="str">
        <f>IFERROR(__xludf.DUMMYFUNCTION("""COMPUTED_VALUE"""),"8054521996450")</f>
        <v>8054521996450</v>
      </c>
      <c r="C10640" t="str">
        <f>IFERROR(__xludf.DUMMYFUNCTION("""COMPUTED_VALUE"""),"Umbra")</f>
        <v>Umbra</v>
      </c>
    </row>
    <row r="10641">
      <c r="A10641" t="str">
        <f>IFERROR(__xludf.DUMMYFUNCTION("""COMPUTED_VALUE"""),"13166/VM")</f>
        <v>13166/VM</v>
      </c>
      <c r="B10641" s="226" t="str">
        <f>IFERROR(__xludf.DUMMYFUNCTION("""COMPUTED_VALUE"""),"8054521996474")</f>
        <v>8054521996474</v>
      </c>
      <c r="C10641" t="str">
        <f>IFERROR(__xludf.DUMMYFUNCTION("""COMPUTED_VALUE"""),"Umbra")</f>
        <v>Umbra</v>
      </c>
    </row>
    <row r="10642">
      <c r="A10642" t="str">
        <f>IFERROR(__xludf.DUMMYFUNCTION("""COMPUTED_VALUE"""),"13123")</f>
        <v>13123</v>
      </c>
      <c r="B10642" s="226" t="str">
        <f>IFERROR(__xludf.DUMMYFUNCTION("""COMPUTED_VALUE"""),"8058772228599")</f>
        <v>8058772228599</v>
      </c>
      <c r="C10642" t="str">
        <f>IFERROR(__xludf.DUMMYFUNCTION("""COMPUTED_VALUE"""),"Umbra")</f>
        <v>Umbra</v>
      </c>
    </row>
    <row r="10643">
      <c r="A10643" t="str">
        <f>IFERROR(__xludf.DUMMYFUNCTION("""COMPUTED_VALUE"""),"13149/C")</f>
        <v>13149/C</v>
      </c>
      <c r="B10643" s="226" t="str">
        <f>IFERROR(__xludf.DUMMYFUNCTION("""COMPUTED_VALUE"""),"8058772228872")</f>
        <v>8058772228872</v>
      </c>
      <c r="C10643" t="str">
        <f>IFERROR(__xludf.DUMMYFUNCTION("""COMPUTED_VALUE"""),"Umbra")</f>
        <v>Umbra</v>
      </c>
    </row>
    <row r="10644">
      <c r="A10644" t="str">
        <f>IFERROR(__xludf.DUMMYFUNCTION("""COMPUTED_VALUE"""),"13149/F")</f>
        <v>13149/F</v>
      </c>
      <c r="B10644" s="226" t="str">
        <f>IFERROR(__xludf.DUMMYFUNCTION("""COMPUTED_VALUE"""),"8058772222450")</f>
        <v>8058772222450</v>
      </c>
      <c r="C10644" t="str">
        <f>IFERROR(__xludf.DUMMYFUNCTION("""COMPUTED_VALUE"""),"Umbra")</f>
        <v>Umbra</v>
      </c>
    </row>
    <row r="10645">
      <c r="A10645" t="str">
        <f>IFERROR(__xludf.DUMMYFUNCTION("""COMPUTED_VALUE"""),"13149/VM")</f>
        <v>13149/VM</v>
      </c>
      <c r="B10645" s="226" t="str">
        <f>IFERROR(__xludf.DUMMYFUNCTION("""COMPUTED_VALUE"""),"8058772228889")</f>
        <v>8058772228889</v>
      </c>
      <c r="C10645" t="str">
        <f>IFERROR(__xludf.DUMMYFUNCTION("""COMPUTED_VALUE"""),"Umbra")</f>
        <v>Umbra</v>
      </c>
    </row>
    <row r="10646">
      <c r="A10646" t="str">
        <f>IFERROR(__xludf.DUMMYFUNCTION("""COMPUTED_VALUE"""),"13152")</f>
        <v>13152</v>
      </c>
      <c r="B10646" s="226" t="str">
        <f>IFERROR(__xludf.DUMMYFUNCTION("""COMPUTED_VALUE"""),"8058772228926")</f>
        <v>8058772228926</v>
      </c>
      <c r="C10646" t="str">
        <f>IFERROR(__xludf.DUMMYFUNCTION("""COMPUTED_VALUE"""),"Umbra")</f>
        <v>Umbra</v>
      </c>
    </row>
    <row r="10647">
      <c r="A10647" t="str">
        <f>IFERROR(__xludf.DUMMYFUNCTION("""COMPUTED_VALUE"""),"13152/F")</f>
        <v>13152/F</v>
      </c>
      <c r="B10647" s="226" t="str">
        <f>IFERROR(__xludf.DUMMYFUNCTION("""COMPUTED_VALUE"""),"8058772222481")</f>
        <v>8058772222481</v>
      </c>
      <c r="C10647" t="str">
        <f>IFERROR(__xludf.DUMMYFUNCTION("""COMPUTED_VALUE"""),"Umbra")</f>
        <v>Umbra</v>
      </c>
    </row>
    <row r="10648">
      <c r="A10648" t="str">
        <f>IFERROR(__xludf.DUMMYFUNCTION("""COMPUTED_VALUE"""),"13151/C")</f>
        <v>13151/C</v>
      </c>
      <c r="B10648" s="226" t="str">
        <f>IFERROR(__xludf.DUMMYFUNCTION("""COMPUTED_VALUE"""),"8058772228919")</f>
        <v>8058772228919</v>
      </c>
      <c r="C10648" t="str">
        <f>IFERROR(__xludf.DUMMYFUNCTION("""COMPUTED_VALUE"""),"Umbra")</f>
        <v>Umbra</v>
      </c>
    </row>
    <row r="10649">
      <c r="A10649" t="str">
        <f>IFERROR(__xludf.DUMMYFUNCTION("""COMPUTED_VALUE"""),"13151/F")</f>
        <v>13151/F</v>
      </c>
      <c r="B10649" s="226" t="str">
        <f>IFERROR(__xludf.DUMMYFUNCTION("""COMPUTED_VALUE"""),"8058772222474")</f>
        <v>8058772222474</v>
      </c>
      <c r="C10649" t="str">
        <f>IFERROR(__xludf.DUMMYFUNCTION("""COMPUTED_VALUE"""),"Umbra")</f>
        <v>Umbra</v>
      </c>
    </row>
    <row r="10650">
      <c r="A10650" t="str">
        <f>IFERROR(__xludf.DUMMYFUNCTION("""COMPUTED_VALUE"""),"13133")</f>
        <v>13133</v>
      </c>
      <c r="B10650" s="226" t="str">
        <f>IFERROR(__xludf.DUMMYFUNCTION("""COMPUTED_VALUE"""),"8058772228674")</f>
        <v>8058772228674</v>
      </c>
      <c r="C10650" t="str">
        <f>IFERROR(__xludf.DUMMYFUNCTION("""COMPUTED_VALUE"""),"Umbra")</f>
        <v>Umbra</v>
      </c>
    </row>
    <row r="10651">
      <c r="A10651" t="str">
        <f>IFERROR(__xludf.DUMMYFUNCTION("""COMPUTED_VALUE"""),"13133/F")</f>
        <v>13133/F</v>
      </c>
      <c r="B10651" s="226" t="str">
        <f>IFERROR(__xludf.DUMMYFUNCTION("""COMPUTED_VALUE"""),"8058772222375")</f>
        <v>8058772222375</v>
      </c>
      <c r="C10651" t="str">
        <f>IFERROR(__xludf.DUMMYFUNCTION("""COMPUTED_VALUE"""),"Umbra")</f>
        <v>Umbra</v>
      </c>
    </row>
    <row r="10652">
      <c r="A10652" t="str">
        <f>IFERROR(__xludf.DUMMYFUNCTION("""COMPUTED_VALUE"""),"13145/C")</f>
        <v>13145/C</v>
      </c>
      <c r="B10652" s="226" t="str">
        <f>IFERROR(__xludf.DUMMYFUNCTION("""COMPUTED_VALUE"""),"8058772228780")</f>
        <v>8058772228780</v>
      </c>
      <c r="C10652" t="str">
        <f>IFERROR(__xludf.DUMMYFUNCTION("""COMPUTED_VALUE"""),"Umbra")</f>
        <v>Umbra</v>
      </c>
    </row>
    <row r="10653">
      <c r="A10653" t="str">
        <f>IFERROR(__xludf.DUMMYFUNCTION("""COMPUTED_VALUE"""),"13145/F")</f>
        <v>13145/F</v>
      </c>
      <c r="B10653" s="226" t="str">
        <f>IFERROR(__xludf.DUMMYFUNCTION("""COMPUTED_VALUE"""),"8058772222436")</f>
        <v>8058772222436</v>
      </c>
      <c r="C10653" t="str">
        <f>IFERROR(__xludf.DUMMYFUNCTION("""COMPUTED_VALUE"""),"Umbra")</f>
        <v>Umbra</v>
      </c>
    </row>
    <row r="10654">
      <c r="A10654" t="str">
        <f>IFERROR(__xludf.DUMMYFUNCTION("""COMPUTED_VALUE"""),"13145/VM")</f>
        <v>13145/VM</v>
      </c>
      <c r="B10654" s="226" t="str">
        <f>IFERROR(__xludf.DUMMYFUNCTION("""COMPUTED_VALUE"""),"8058772228797")</f>
        <v>8058772228797</v>
      </c>
      <c r="C10654" t="str">
        <f>IFERROR(__xludf.DUMMYFUNCTION("""COMPUTED_VALUE"""),"Umbra")</f>
        <v>Umbra</v>
      </c>
    </row>
    <row r="10655">
      <c r="A10655" t="str">
        <f>IFERROR(__xludf.DUMMYFUNCTION("""COMPUTED_VALUE"""),"13126")</f>
        <v>13126</v>
      </c>
      <c r="B10655" s="226" t="str">
        <f>IFERROR(__xludf.DUMMYFUNCTION("""COMPUTED_VALUE"""),"8058772228612")</f>
        <v>8058772228612</v>
      </c>
      <c r="C10655" t="str">
        <f>IFERROR(__xludf.DUMMYFUNCTION("""COMPUTED_VALUE"""),"Umbra")</f>
        <v>Umbra</v>
      </c>
    </row>
    <row r="10656">
      <c r="A10656" t="str">
        <f>IFERROR(__xludf.DUMMYFUNCTION("""COMPUTED_VALUE"""),"13136")</f>
        <v>13136</v>
      </c>
      <c r="B10656" s="226" t="str">
        <f>IFERROR(__xludf.DUMMYFUNCTION("""COMPUTED_VALUE"""),"8058772228681")</f>
        <v>8058772228681</v>
      </c>
      <c r="C10656" t="str">
        <f>IFERROR(__xludf.DUMMYFUNCTION("""COMPUTED_VALUE"""),"Umbra")</f>
        <v>Umbra</v>
      </c>
    </row>
    <row r="10657">
      <c r="A10657" t="str">
        <f>IFERROR(__xludf.DUMMYFUNCTION("""COMPUTED_VALUE"""),"13138/C")</f>
        <v>13138/C</v>
      </c>
      <c r="B10657" s="226" t="str">
        <f>IFERROR(__xludf.DUMMYFUNCTION("""COMPUTED_VALUE"""),"8058772228711")</f>
        <v>8058772228711</v>
      </c>
      <c r="C10657" t="str">
        <f>IFERROR(__xludf.DUMMYFUNCTION("""COMPUTED_VALUE"""),"Umbra")</f>
        <v>Umbra</v>
      </c>
    </row>
    <row r="10658">
      <c r="A10658" t="str">
        <f>IFERROR(__xludf.DUMMYFUNCTION("""COMPUTED_VALUE"""),"13130")</f>
        <v>13130</v>
      </c>
      <c r="B10658" s="226" t="str">
        <f>IFERROR(__xludf.DUMMYFUNCTION("""COMPUTED_VALUE"""),"8058772228643")</f>
        <v>8058772228643</v>
      </c>
      <c r="C10658" t="str">
        <f>IFERROR(__xludf.DUMMYFUNCTION("""COMPUTED_VALUE"""),"Umbra")</f>
        <v>Umbra</v>
      </c>
    </row>
    <row r="10659">
      <c r="A10659" t="str">
        <f>IFERROR(__xludf.DUMMYFUNCTION("""COMPUTED_VALUE"""),"19022/C")</f>
        <v>19022/C</v>
      </c>
      <c r="B10659" s="226" t="str">
        <f>IFERROR(__xludf.DUMMYFUNCTION("""COMPUTED_VALUE"""),"8058772223075")</f>
        <v>8058772223075</v>
      </c>
      <c r="C10659" t="str">
        <f>IFERROR(__xludf.DUMMYFUNCTION("""COMPUTED_VALUE"""),"Umbra")</f>
        <v>Umbra</v>
      </c>
    </row>
    <row r="10660">
      <c r="A10660" t="str">
        <f>IFERROR(__xludf.DUMMYFUNCTION("""COMPUTED_VALUE"""),"19022/F")</f>
        <v>19022/F</v>
      </c>
      <c r="B10660" s="226" t="str">
        <f>IFERROR(__xludf.DUMMYFUNCTION("""COMPUTED_VALUE"""),"8058772223068")</f>
        <v>8058772223068</v>
      </c>
      <c r="C10660" t="str">
        <f>IFERROR(__xludf.DUMMYFUNCTION("""COMPUTED_VALUE"""),"Umbra")</f>
        <v>Umbra</v>
      </c>
    </row>
    <row r="10661">
      <c r="A10661" t="str">
        <f>IFERROR(__xludf.DUMMYFUNCTION("""COMPUTED_VALUE"""),"19022/VM")</f>
        <v>19022/VM</v>
      </c>
      <c r="B10661" s="226" t="str">
        <f>IFERROR(__xludf.DUMMYFUNCTION("""COMPUTED_VALUE"""),"8058772223082")</f>
        <v>8058772223082</v>
      </c>
      <c r="C10661" t="str">
        <f>IFERROR(__xludf.DUMMYFUNCTION("""COMPUTED_VALUE"""),"Umbra")</f>
        <v>Umbra</v>
      </c>
    </row>
    <row r="10662">
      <c r="A10662" t="str">
        <f>IFERROR(__xludf.DUMMYFUNCTION("""COMPUTED_VALUE"""),"13137/C")</f>
        <v>13137/C</v>
      </c>
      <c r="B10662" s="226" t="str">
        <f>IFERROR(__xludf.DUMMYFUNCTION("""COMPUTED_VALUE"""),"8058772228698")</f>
        <v>8058772228698</v>
      </c>
      <c r="C10662" t="str">
        <f>IFERROR(__xludf.DUMMYFUNCTION("""COMPUTED_VALUE"""),"Umbra")</f>
        <v>Umbra</v>
      </c>
    </row>
    <row r="10663">
      <c r="A10663" t="str">
        <f>IFERROR(__xludf.DUMMYFUNCTION("""COMPUTED_VALUE"""),"13137/F")</f>
        <v>13137/F</v>
      </c>
      <c r="B10663" s="226" t="str">
        <f>IFERROR(__xludf.DUMMYFUNCTION("""COMPUTED_VALUE"""),"8058772222382")</f>
        <v>8058772222382</v>
      </c>
      <c r="C10663" t="str">
        <f>IFERROR(__xludf.DUMMYFUNCTION("""COMPUTED_VALUE"""),"Umbra")</f>
        <v>Umbra</v>
      </c>
    </row>
    <row r="10664">
      <c r="A10664" t="str">
        <f>IFERROR(__xludf.DUMMYFUNCTION("""COMPUTED_VALUE"""),"13133")</f>
        <v>13133</v>
      </c>
      <c r="B10664" s="226" t="str">
        <f>IFERROR(__xludf.DUMMYFUNCTION("""COMPUTED_VALUE"""),"8058772228674")</f>
        <v>8058772228674</v>
      </c>
      <c r="C10664" t="str">
        <f>IFERROR(__xludf.DUMMYFUNCTION("""COMPUTED_VALUE"""),"Umbra")</f>
        <v>Umbra</v>
      </c>
    </row>
    <row r="10665">
      <c r="A10665" t="str">
        <f>IFERROR(__xludf.DUMMYFUNCTION("""COMPUTED_VALUE"""),"13133/F")</f>
        <v>13133/F</v>
      </c>
      <c r="B10665" s="226" t="str">
        <f>IFERROR(__xludf.DUMMYFUNCTION("""COMPUTED_VALUE"""),"8058772222375")</f>
        <v>8058772222375</v>
      </c>
      <c r="C10665" t="str">
        <f>IFERROR(__xludf.DUMMYFUNCTION("""COMPUTED_VALUE"""),"Umbra")</f>
        <v>Umbra</v>
      </c>
    </row>
    <row r="10666">
      <c r="A10666" t="str">
        <f>IFERROR(__xludf.DUMMYFUNCTION("""COMPUTED_VALUE"""),"14089/C")</f>
        <v>14089/C</v>
      </c>
      <c r="B10666" s="226" t="str">
        <f>IFERROR(__xludf.DUMMYFUNCTION("""COMPUTED_VALUE"""),"8058772222825")</f>
        <v>8058772222825</v>
      </c>
      <c r="C10666" t="str">
        <f>IFERROR(__xludf.DUMMYFUNCTION("""COMPUTED_VALUE"""),"Umbra")</f>
        <v>Umbra</v>
      </c>
    </row>
    <row r="10667">
      <c r="A10667" t="str">
        <f>IFERROR(__xludf.DUMMYFUNCTION("""COMPUTED_VALUE"""),"14089/F")</f>
        <v>14089/F</v>
      </c>
      <c r="B10667" s="226" t="str">
        <f>IFERROR(__xludf.DUMMYFUNCTION("""COMPUTED_VALUE"""),"8058772222818")</f>
        <v>8058772222818</v>
      </c>
      <c r="C10667" t="str">
        <f>IFERROR(__xludf.DUMMYFUNCTION("""COMPUTED_VALUE"""),"Umbra")</f>
        <v>Umbra</v>
      </c>
    </row>
    <row r="10668">
      <c r="A10668" t="str">
        <f>IFERROR(__xludf.DUMMYFUNCTION("""COMPUTED_VALUE"""),"14089/VM")</f>
        <v>14089/VM</v>
      </c>
      <c r="B10668" s="226" t="str">
        <f>IFERROR(__xludf.DUMMYFUNCTION("""COMPUTED_VALUE"""),"8058772222832")</f>
        <v>8058772222832</v>
      </c>
      <c r="C10668" t="str">
        <f>IFERROR(__xludf.DUMMYFUNCTION("""COMPUTED_VALUE"""),"Umbra")</f>
        <v>Umbra</v>
      </c>
    </row>
    <row r="10669">
      <c r="A10669" t="str">
        <f>IFERROR(__xludf.DUMMYFUNCTION("""COMPUTED_VALUE"""),"14078/C")</f>
        <v>14078/C</v>
      </c>
      <c r="B10669" s="226" t="str">
        <f>IFERROR(__xludf.DUMMYFUNCTION("""COMPUTED_VALUE"""),"8058772229459")</f>
        <v>8058772229459</v>
      </c>
      <c r="C10669" t="str">
        <f>IFERROR(__xludf.DUMMYFUNCTION("""COMPUTED_VALUE"""),"Umbra")</f>
        <v>Umbra</v>
      </c>
    </row>
    <row r="10670">
      <c r="A10670" t="str">
        <f>IFERROR(__xludf.DUMMYFUNCTION("""COMPUTED_VALUE"""),"14078/F")</f>
        <v>14078/F</v>
      </c>
      <c r="B10670" s="226" t="str">
        <f>IFERROR(__xludf.DUMMYFUNCTION("""COMPUTED_VALUE"""),"8058772222696")</f>
        <v>8058772222696</v>
      </c>
      <c r="C10670" t="str">
        <f>IFERROR(__xludf.DUMMYFUNCTION("""COMPUTED_VALUE"""),"Umbra")</f>
        <v>Umbra</v>
      </c>
    </row>
    <row r="10671">
      <c r="A10671" t="str">
        <f>IFERROR(__xludf.DUMMYFUNCTION("""COMPUTED_VALUE"""),"14078/VM")</f>
        <v>14078/VM</v>
      </c>
      <c r="B10671" s="226" t="str">
        <f>IFERROR(__xludf.DUMMYFUNCTION("""COMPUTED_VALUE"""),"8058772229466")</f>
        <v>8058772229466</v>
      </c>
      <c r="C10671" t="str">
        <f>IFERROR(__xludf.DUMMYFUNCTION("""COMPUTED_VALUE"""),"Umbra")</f>
        <v>Umbra</v>
      </c>
    </row>
    <row r="10672">
      <c r="A10672" t="str">
        <f>IFERROR(__xludf.DUMMYFUNCTION("""COMPUTED_VALUE"""),"14093/C")</f>
        <v>14093/C</v>
      </c>
      <c r="C10672" t="str">
        <f>IFERROR(__xludf.DUMMYFUNCTION("""COMPUTED_VALUE"""),"Umbra")</f>
        <v>Umbra</v>
      </c>
    </row>
    <row r="10673">
      <c r="A10673" t="str">
        <f>IFERROR(__xludf.DUMMYFUNCTION("""COMPUTED_VALUE"""),"14097/C")</f>
        <v>14097/C</v>
      </c>
      <c r="C10673" t="str">
        <f>IFERROR(__xludf.DUMMYFUNCTION("""COMPUTED_VALUE"""),"Umbra")</f>
        <v>Umbra</v>
      </c>
    </row>
    <row r="10674">
      <c r="A10674" t="str">
        <f>IFERROR(__xludf.DUMMYFUNCTION("""COMPUTED_VALUE"""),"14097/F")</f>
        <v>14097/F</v>
      </c>
      <c r="C10674" t="str">
        <f>IFERROR(__xludf.DUMMYFUNCTION("""COMPUTED_VALUE"""),"Umbra")</f>
        <v>Umbra</v>
      </c>
    </row>
    <row r="10675">
      <c r="A10675" t="str">
        <f>IFERROR(__xludf.DUMMYFUNCTION("""COMPUTED_VALUE"""),"14064")</f>
        <v>14064</v>
      </c>
      <c r="B10675" s="226" t="str">
        <f>IFERROR(__xludf.DUMMYFUNCTION("""COMPUTED_VALUE"""),"8058772229312")</f>
        <v>8058772229312</v>
      </c>
      <c r="C10675" t="str">
        <f>IFERROR(__xludf.DUMMYFUNCTION("""COMPUTED_VALUE"""),"Umbra")</f>
        <v>Umbra</v>
      </c>
    </row>
    <row r="10676">
      <c r="A10676" t="str">
        <f>IFERROR(__xludf.DUMMYFUNCTION("""COMPUTED_VALUE"""),"14076/S")</f>
        <v>14076/S</v>
      </c>
      <c r="B10676" s="226" t="str">
        <f>IFERROR(__xludf.DUMMYFUNCTION("""COMPUTED_VALUE"""),"8058772229435")</f>
        <v>8058772229435</v>
      </c>
      <c r="C10676" t="str">
        <f>IFERROR(__xludf.DUMMYFUNCTION("""COMPUTED_VALUE"""),"Umbra")</f>
        <v>Umbra</v>
      </c>
    </row>
    <row r="10677">
      <c r="A10677" t="str">
        <f>IFERROR(__xludf.DUMMYFUNCTION("""COMPUTED_VALUE"""),"14076")</f>
        <v>14076</v>
      </c>
      <c r="B10677" s="226" t="str">
        <f>IFERROR(__xludf.DUMMYFUNCTION("""COMPUTED_VALUE"""),"8058772229428")</f>
        <v>8058772229428</v>
      </c>
      <c r="C10677" t="str">
        <f>IFERROR(__xludf.DUMMYFUNCTION("""COMPUTED_VALUE"""),"Umbra")</f>
        <v>Umbra</v>
      </c>
    </row>
    <row r="10678">
      <c r="A10678" t="str">
        <f>IFERROR(__xludf.DUMMYFUNCTION("""COMPUTED_VALUE"""),"14086/C")</f>
        <v>14086/C</v>
      </c>
      <c r="B10678" s="226" t="str">
        <f>IFERROR(__xludf.DUMMYFUNCTION("""COMPUTED_VALUE"""),"8058772229633")</f>
        <v>8058772229633</v>
      </c>
      <c r="C10678" t="str">
        <f>IFERROR(__xludf.DUMMYFUNCTION("""COMPUTED_VALUE"""),"Umbra")</f>
        <v>Umbra</v>
      </c>
    </row>
    <row r="10679">
      <c r="A10679" t="str">
        <f>IFERROR(__xludf.DUMMYFUNCTION("""COMPUTED_VALUE"""),"14086/F")</f>
        <v>14086/F</v>
      </c>
      <c r="B10679" s="226" t="str">
        <f>IFERROR(__xludf.DUMMYFUNCTION("""COMPUTED_VALUE"""),"8058772222788")</f>
        <v>8058772222788</v>
      </c>
      <c r="C10679" t="str">
        <f>IFERROR(__xludf.DUMMYFUNCTION("""COMPUTED_VALUE"""),"Umbra")</f>
        <v>Umbra</v>
      </c>
    </row>
    <row r="10680">
      <c r="A10680" t="str">
        <f>IFERROR(__xludf.DUMMYFUNCTION("""COMPUTED_VALUE"""),"14086/VM")</f>
        <v>14086/VM</v>
      </c>
      <c r="B10680" s="226" t="str">
        <f>IFERROR(__xludf.DUMMYFUNCTION("""COMPUTED_VALUE"""),"8058772229640")</f>
        <v>8058772229640</v>
      </c>
      <c r="C10680" t="str">
        <f>IFERROR(__xludf.DUMMYFUNCTION("""COMPUTED_VALUE"""),"Umbra")</f>
        <v>Umbra</v>
      </c>
    </row>
    <row r="10681">
      <c r="A10681" t="str">
        <f>IFERROR(__xludf.DUMMYFUNCTION("""COMPUTED_VALUE"""),"14069")</f>
        <v>14069</v>
      </c>
      <c r="B10681" s="226" t="str">
        <f>IFERROR(__xludf.DUMMYFUNCTION("""COMPUTED_VALUE"""),"8058772229343")</f>
        <v>8058772229343</v>
      </c>
      <c r="C10681" t="str">
        <f>IFERROR(__xludf.DUMMYFUNCTION("""COMPUTED_VALUE"""),"Umbra")</f>
        <v>Umbra</v>
      </c>
    </row>
    <row r="10682">
      <c r="A10682" t="str">
        <f>IFERROR(__xludf.DUMMYFUNCTION("""COMPUTED_VALUE"""),"14078/C")</f>
        <v>14078/C</v>
      </c>
      <c r="B10682" s="226" t="str">
        <f>IFERROR(__xludf.DUMMYFUNCTION("""COMPUTED_VALUE"""),"8058772229459")</f>
        <v>8058772229459</v>
      </c>
      <c r="C10682" t="str">
        <f>IFERROR(__xludf.DUMMYFUNCTION("""COMPUTED_VALUE"""),"Umbra")</f>
        <v>Umbra</v>
      </c>
    </row>
    <row r="10683">
      <c r="A10683" t="str">
        <f>IFERROR(__xludf.DUMMYFUNCTION("""COMPUTED_VALUE"""),"14078/F")</f>
        <v>14078/F</v>
      </c>
      <c r="B10683" s="226" t="str">
        <f>IFERROR(__xludf.DUMMYFUNCTION("""COMPUTED_VALUE"""),"8058772222696")</f>
        <v>8058772222696</v>
      </c>
      <c r="C10683" t="str">
        <f>IFERROR(__xludf.DUMMYFUNCTION("""COMPUTED_VALUE"""),"Umbra")</f>
        <v>Umbra</v>
      </c>
    </row>
    <row r="10684">
      <c r="A10684" t="str">
        <f>IFERROR(__xludf.DUMMYFUNCTION("""COMPUTED_VALUE"""),"14078/VM")</f>
        <v>14078/VM</v>
      </c>
      <c r="B10684" s="226" t="str">
        <f>IFERROR(__xludf.DUMMYFUNCTION("""COMPUTED_VALUE"""),"8058772229466")</f>
        <v>8058772229466</v>
      </c>
      <c r="C10684" t="str">
        <f>IFERROR(__xludf.DUMMYFUNCTION("""COMPUTED_VALUE"""),"Umbra")</f>
        <v>Umbra</v>
      </c>
    </row>
    <row r="10685">
      <c r="A10685" t="str">
        <f>IFERROR(__xludf.DUMMYFUNCTION("""COMPUTED_VALUE"""),"14078/C")</f>
        <v>14078/C</v>
      </c>
      <c r="B10685" s="226" t="str">
        <f>IFERROR(__xludf.DUMMYFUNCTION("""COMPUTED_VALUE"""),"8058772229459")</f>
        <v>8058772229459</v>
      </c>
      <c r="C10685" t="str">
        <f>IFERROR(__xludf.DUMMYFUNCTION("""COMPUTED_VALUE"""),"Umbra")</f>
        <v>Umbra</v>
      </c>
    </row>
    <row r="10686">
      <c r="A10686" t="str">
        <f>IFERROR(__xludf.DUMMYFUNCTION("""COMPUTED_VALUE"""),"14078/F")</f>
        <v>14078/F</v>
      </c>
      <c r="B10686" s="226" t="str">
        <f>IFERROR(__xludf.DUMMYFUNCTION("""COMPUTED_VALUE"""),"8058772222696")</f>
        <v>8058772222696</v>
      </c>
      <c r="C10686" t="str">
        <f>IFERROR(__xludf.DUMMYFUNCTION("""COMPUTED_VALUE"""),"Umbra")</f>
        <v>Umbra</v>
      </c>
    </row>
    <row r="10687">
      <c r="A10687" t="str">
        <f>IFERROR(__xludf.DUMMYFUNCTION("""COMPUTED_VALUE"""),"14078/VM")</f>
        <v>14078/VM</v>
      </c>
      <c r="B10687" s="226" t="str">
        <f>IFERROR(__xludf.DUMMYFUNCTION("""COMPUTED_VALUE"""),"8058772229466")</f>
        <v>8058772229466</v>
      </c>
      <c r="C10687" t="str">
        <f>IFERROR(__xludf.DUMMYFUNCTION("""COMPUTED_VALUE"""),"Umbra")</f>
        <v>Umbra</v>
      </c>
    </row>
    <row r="10688">
      <c r="A10688" t="str">
        <f>IFERROR(__xludf.DUMMYFUNCTION("""COMPUTED_VALUE"""),"14070")</f>
        <v>14070</v>
      </c>
      <c r="B10688" s="226" t="str">
        <f>IFERROR(__xludf.DUMMYFUNCTION("""COMPUTED_VALUE"""),"8058772229350")</f>
        <v>8058772229350</v>
      </c>
      <c r="C10688" t="str">
        <f>IFERROR(__xludf.DUMMYFUNCTION("""COMPUTED_VALUE"""),"Umbra")</f>
        <v>Umbra</v>
      </c>
    </row>
    <row r="10689">
      <c r="A10689" t="str">
        <f>IFERROR(__xludf.DUMMYFUNCTION("""COMPUTED_VALUE"""),"14080/C")</f>
        <v>14080/C</v>
      </c>
      <c r="B10689" s="226" t="str">
        <f>IFERROR(__xludf.DUMMYFUNCTION("""COMPUTED_VALUE"""),"8058772229480")</f>
        <v>8058772229480</v>
      </c>
      <c r="C10689" t="str">
        <f>IFERROR(__xludf.DUMMYFUNCTION("""COMPUTED_VALUE"""),"Umbra")</f>
        <v>Umbra</v>
      </c>
    </row>
    <row r="10690">
      <c r="A10690" t="str">
        <f>IFERROR(__xludf.DUMMYFUNCTION("""COMPUTED_VALUE"""),"14080/F")</f>
        <v>14080/F</v>
      </c>
      <c r="B10690" s="226" t="str">
        <f>IFERROR(__xludf.DUMMYFUNCTION("""COMPUTED_VALUE"""),"8058772222719")</f>
        <v>8058772222719</v>
      </c>
      <c r="C10690" t="str">
        <f>IFERROR(__xludf.DUMMYFUNCTION("""COMPUTED_VALUE"""),"Umbra")</f>
        <v>Umbra</v>
      </c>
    </row>
    <row r="10691">
      <c r="A10691" t="str">
        <f>IFERROR(__xludf.DUMMYFUNCTION("""COMPUTED_VALUE"""),"14087/C")</f>
        <v>14087/C</v>
      </c>
      <c r="B10691" s="226" t="str">
        <f>IFERROR(__xludf.DUMMYFUNCTION("""COMPUTED_VALUE"""),"8058772229657")</f>
        <v>8058772229657</v>
      </c>
      <c r="C10691" t="str">
        <f>IFERROR(__xludf.DUMMYFUNCTION("""COMPUTED_VALUE"""),"Umbra")</f>
        <v>Umbra</v>
      </c>
    </row>
    <row r="10692">
      <c r="A10692" t="str">
        <f>IFERROR(__xludf.DUMMYFUNCTION("""COMPUTED_VALUE"""),"14087/F")</f>
        <v>14087/F</v>
      </c>
      <c r="B10692" s="226" t="str">
        <f>IFERROR(__xludf.DUMMYFUNCTION("""COMPUTED_VALUE"""),"8058772222795")</f>
        <v>8058772222795</v>
      </c>
      <c r="C10692" t="str">
        <f>IFERROR(__xludf.DUMMYFUNCTION("""COMPUTED_VALUE"""),"Umbra")</f>
        <v>Umbra</v>
      </c>
    </row>
    <row r="10693">
      <c r="A10693" t="str">
        <f>IFERROR(__xludf.DUMMYFUNCTION("""COMPUTED_VALUE"""),"14087/VM")</f>
        <v>14087/VM</v>
      </c>
      <c r="B10693" s="226" t="str">
        <f>IFERROR(__xludf.DUMMYFUNCTION("""COMPUTED_VALUE"""),"8058772229664")</f>
        <v>8058772229664</v>
      </c>
      <c r="C10693" t="str">
        <f>IFERROR(__xludf.DUMMYFUNCTION("""COMPUTED_VALUE"""),"Umbra")</f>
        <v>Umbra</v>
      </c>
    </row>
    <row r="10694">
      <c r="A10694" t="str">
        <f>IFERROR(__xludf.DUMMYFUNCTION("""COMPUTED_VALUE"""),"14077")</f>
        <v>14077</v>
      </c>
      <c r="B10694" s="226" t="str">
        <f>IFERROR(__xludf.DUMMYFUNCTION("""COMPUTED_VALUE"""),"8058772229442")</f>
        <v>8058772229442</v>
      </c>
      <c r="C10694" t="str">
        <f>IFERROR(__xludf.DUMMYFUNCTION("""COMPUTED_VALUE"""),"Umbra")</f>
        <v>Umbra</v>
      </c>
    </row>
    <row r="10695">
      <c r="A10695" t="str">
        <f>IFERROR(__xludf.DUMMYFUNCTION("""COMPUTED_VALUE"""),"14077/F")</f>
        <v>14077/F</v>
      </c>
      <c r="B10695" s="226" t="str">
        <f>IFERROR(__xludf.DUMMYFUNCTION("""COMPUTED_VALUE"""),"8058772222689")</f>
        <v>8058772222689</v>
      </c>
      <c r="C10695" t="str">
        <f>IFERROR(__xludf.DUMMYFUNCTION("""COMPUTED_VALUE"""),"Umbra")</f>
        <v>Umbra</v>
      </c>
    </row>
    <row r="10696">
      <c r="A10696" t="str">
        <f>IFERROR(__xludf.DUMMYFUNCTION("""COMPUTED_VALUE"""),"14063/2")</f>
        <v>14063/2</v>
      </c>
      <c r="B10696" s="226" t="str">
        <f>IFERROR(__xludf.DUMMYFUNCTION("""COMPUTED_VALUE"""),"8058772229305")</f>
        <v>8058772229305</v>
      </c>
      <c r="C10696" t="str">
        <f>IFERROR(__xludf.DUMMYFUNCTION("""COMPUTED_VALUE"""),"Umbra")</f>
        <v>Umbra</v>
      </c>
    </row>
    <row r="10697">
      <c r="A10697" t="str">
        <f>IFERROR(__xludf.DUMMYFUNCTION("""COMPUTED_VALUE"""),"14063/2F")</f>
        <v>14063/2F</v>
      </c>
      <c r="B10697" s="226" t="str">
        <f>IFERROR(__xludf.DUMMYFUNCTION("""COMPUTED_VALUE"""),"8058772222658")</f>
        <v>8058772222658</v>
      </c>
      <c r="C10697" t="str">
        <f>IFERROR(__xludf.DUMMYFUNCTION("""COMPUTED_VALUE"""),"Umbra")</f>
        <v>Umbra</v>
      </c>
    </row>
    <row r="10698">
      <c r="A10698" t="str">
        <f>IFERROR(__xludf.DUMMYFUNCTION("""COMPUTED_VALUE"""),"14082G/C")</f>
        <v>14082G/C</v>
      </c>
      <c r="B10698" s="226" t="str">
        <f>IFERROR(__xludf.DUMMYFUNCTION("""COMPUTED_VALUE"""),"8058772229510")</f>
        <v>8058772229510</v>
      </c>
      <c r="C10698" t="str">
        <f>IFERROR(__xludf.DUMMYFUNCTION("""COMPUTED_VALUE"""),"Umbra")</f>
        <v>Umbra</v>
      </c>
    </row>
    <row r="10699">
      <c r="A10699" t="str">
        <f>IFERROR(__xludf.DUMMYFUNCTION("""COMPUTED_VALUE"""),"14082G/F")</f>
        <v>14082G/F</v>
      </c>
      <c r="C10699" t="str">
        <f>IFERROR(__xludf.DUMMYFUNCTION("""COMPUTED_VALUE"""),"Umbra")</f>
        <v>Umbra</v>
      </c>
    </row>
    <row r="10700">
      <c r="A10700" t="str">
        <f>IFERROR(__xludf.DUMMYFUNCTION("""COMPUTED_VALUE"""),"14082G/VM")</f>
        <v>14082G/VM</v>
      </c>
      <c r="B10700" s="226" t="str">
        <f>IFERROR(__xludf.DUMMYFUNCTION("""COMPUTED_VALUE"""),"8058772229527")</f>
        <v>8058772229527</v>
      </c>
      <c r="C10700" t="str">
        <f>IFERROR(__xludf.DUMMYFUNCTION("""COMPUTED_VALUE"""),"Umbra")</f>
        <v>Umbra</v>
      </c>
    </row>
    <row r="10701">
      <c r="A10701" t="str">
        <f>IFERROR(__xludf.DUMMYFUNCTION("""COMPUTED_VALUE"""),"14098/C")</f>
        <v>14098/C</v>
      </c>
      <c r="B10701" s="226" t="str">
        <f>IFERROR(__xludf.DUMMYFUNCTION("""COMPUTED_VALUE"""),"8054521996863")</f>
        <v>8054521996863</v>
      </c>
      <c r="C10701" t="str">
        <f>IFERROR(__xludf.DUMMYFUNCTION("""COMPUTED_VALUE"""),"Umbra")</f>
        <v>Umbra</v>
      </c>
    </row>
    <row r="10702">
      <c r="A10702" t="str">
        <f>IFERROR(__xludf.DUMMYFUNCTION("""COMPUTED_VALUE"""),"14098/F")</f>
        <v>14098/F</v>
      </c>
      <c r="B10702" s="226" t="str">
        <f>IFERROR(__xludf.DUMMYFUNCTION("""COMPUTED_VALUE"""),"8054521996856")</f>
        <v>8054521996856</v>
      </c>
      <c r="C10702" t="str">
        <f>IFERROR(__xludf.DUMMYFUNCTION("""COMPUTED_VALUE"""),"Umbra")</f>
        <v>Umbra</v>
      </c>
    </row>
    <row r="10703">
      <c r="A10703" t="str">
        <f>IFERROR(__xludf.DUMMYFUNCTION("""COMPUTED_VALUE"""),"14098/VM")</f>
        <v>14098/VM</v>
      </c>
      <c r="B10703" s="226" t="str">
        <f>IFERROR(__xludf.DUMMYFUNCTION("""COMPUTED_VALUE"""),"8054521996870")</f>
        <v>8054521996870</v>
      </c>
      <c r="C10703" t="str">
        <f>IFERROR(__xludf.DUMMYFUNCTION("""COMPUTED_VALUE"""),"Umbra")</f>
        <v>Umbra</v>
      </c>
    </row>
    <row r="10704">
      <c r="A10704" t="str">
        <f>IFERROR(__xludf.DUMMYFUNCTION("""COMPUTED_VALUE"""),"14063/1")</f>
        <v>14063/1</v>
      </c>
      <c r="B10704" s="226" t="str">
        <f>IFERROR(__xludf.DUMMYFUNCTION("""COMPUTED_VALUE"""),"8058772229299")</f>
        <v>8058772229299</v>
      </c>
      <c r="C10704" t="str">
        <f>IFERROR(__xludf.DUMMYFUNCTION("""COMPUTED_VALUE"""),"Umbra")</f>
        <v>Umbra</v>
      </c>
    </row>
    <row r="10705">
      <c r="A10705" t="str">
        <f>IFERROR(__xludf.DUMMYFUNCTION("""COMPUTED_VALUE"""),"14063/1F")</f>
        <v>14063/1F</v>
      </c>
      <c r="B10705" s="226" t="str">
        <f>IFERROR(__xludf.DUMMYFUNCTION("""COMPUTED_VALUE"""),"8058772222641")</f>
        <v>8058772222641</v>
      </c>
      <c r="C10705" t="str">
        <f>IFERROR(__xludf.DUMMYFUNCTION("""COMPUTED_VALUE"""),"Umbra")</f>
        <v>Umbra</v>
      </c>
    </row>
    <row r="10706">
      <c r="A10706" t="str">
        <f>IFERROR(__xludf.DUMMYFUNCTION("""COMPUTED_VALUE"""),"14078/C")</f>
        <v>14078/C</v>
      </c>
      <c r="B10706" s="226" t="str">
        <f>IFERROR(__xludf.DUMMYFUNCTION("""COMPUTED_VALUE"""),"8058772229459")</f>
        <v>8058772229459</v>
      </c>
      <c r="C10706" t="str">
        <f>IFERROR(__xludf.DUMMYFUNCTION("""COMPUTED_VALUE"""),"Umbra")</f>
        <v>Umbra</v>
      </c>
    </row>
    <row r="10707">
      <c r="A10707" t="str">
        <f>IFERROR(__xludf.DUMMYFUNCTION("""COMPUTED_VALUE"""),"14078/F")</f>
        <v>14078/F</v>
      </c>
      <c r="B10707" s="226" t="str">
        <f>IFERROR(__xludf.DUMMYFUNCTION("""COMPUTED_VALUE"""),"8058772222696")</f>
        <v>8058772222696</v>
      </c>
      <c r="C10707" t="str">
        <f>IFERROR(__xludf.DUMMYFUNCTION("""COMPUTED_VALUE"""),"Umbra")</f>
        <v>Umbra</v>
      </c>
    </row>
    <row r="10708">
      <c r="A10708" t="str">
        <f>IFERROR(__xludf.DUMMYFUNCTION("""COMPUTED_VALUE"""),"14078/VM")</f>
        <v>14078/VM</v>
      </c>
      <c r="B10708" s="226" t="str">
        <f>IFERROR(__xludf.DUMMYFUNCTION("""COMPUTED_VALUE"""),"8058772229466")</f>
        <v>8058772229466</v>
      </c>
      <c r="C10708" t="str">
        <f>IFERROR(__xludf.DUMMYFUNCTION("""COMPUTED_VALUE"""),"Umbra")</f>
        <v>Umbra</v>
      </c>
    </row>
    <row r="10709">
      <c r="A10709" t="str">
        <f>IFERROR(__xludf.DUMMYFUNCTION("""COMPUTED_VALUE"""),"14085/C")</f>
        <v>14085/C</v>
      </c>
      <c r="B10709" s="226" t="str">
        <f>IFERROR(__xludf.DUMMYFUNCTION("""COMPUTED_VALUE"""),"8058772229619")</f>
        <v>8058772229619</v>
      </c>
      <c r="C10709" t="str">
        <f>IFERROR(__xludf.DUMMYFUNCTION("""COMPUTED_VALUE"""),"Umbra")</f>
        <v>Umbra</v>
      </c>
    </row>
    <row r="10710">
      <c r="A10710" t="str">
        <f>IFERROR(__xludf.DUMMYFUNCTION("""COMPUTED_VALUE"""),"14085/F")</f>
        <v>14085/F</v>
      </c>
      <c r="B10710" s="226" t="str">
        <f>IFERROR(__xludf.DUMMYFUNCTION("""COMPUTED_VALUE"""),"8058772222771")</f>
        <v>8058772222771</v>
      </c>
      <c r="C10710" t="str">
        <f>IFERROR(__xludf.DUMMYFUNCTION("""COMPUTED_VALUE"""),"Umbra")</f>
        <v>Umbra</v>
      </c>
    </row>
    <row r="10711">
      <c r="A10711" t="str">
        <f>IFERROR(__xludf.DUMMYFUNCTION("""COMPUTED_VALUE"""),"14085/VM")</f>
        <v>14085/VM</v>
      </c>
      <c r="B10711" s="226" t="str">
        <f>IFERROR(__xludf.DUMMYFUNCTION("""COMPUTED_VALUE"""),"8058772229626")</f>
        <v>8058772229626</v>
      </c>
      <c r="C10711" t="str">
        <f>IFERROR(__xludf.DUMMYFUNCTION("""COMPUTED_VALUE"""),"Umbra")</f>
        <v>Umbra</v>
      </c>
    </row>
    <row r="10712">
      <c r="A10712" t="str">
        <f>IFERROR(__xludf.DUMMYFUNCTION("""COMPUTED_VALUE"""),"26010")</f>
        <v>26010</v>
      </c>
      <c r="B10712" s="226" t="str">
        <f>IFERROR(__xludf.DUMMYFUNCTION("""COMPUTED_VALUE"""),"8054521992070")</f>
        <v>8054521992070</v>
      </c>
      <c r="C10712" t="str">
        <f>IFERROR(__xludf.DUMMYFUNCTION("""COMPUTED_VALUE"""),"Umbra")</f>
        <v>Umbra</v>
      </c>
    </row>
    <row r="10713">
      <c r="A10713" t="str">
        <f>IFERROR(__xludf.DUMMYFUNCTION("""COMPUTED_VALUE"""),"26010/1")</f>
        <v>26010/1</v>
      </c>
      <c r="B10713" s="226" t="str">
        <f>IFERROR(__xludf.DUMMYFUNCTION("""COMPUTED_VALUE"""),"8054521992087")</f>
        <v>8054521992087</v>
      </c>
      <c r="C10713" t="str">
        <f>IFERROR(__xludf.DUMMYFUNCTION("""COMPUTED_VALUE"""),"Umbra")</f>
        <v>Umbra</v>
      </c>
    </row>
    <row r="10714">
      <c r="A10714" t="str">
        <f>IFERROR(__xludf.DUMMYFUNCTION("""COMPUTED_VALUE"""),"14073/C")</f>
        <v>14073/C</v>
      </c>
      <c r="B10714" s="226" t="str">
        <f>IFERROR(__xludf.DUMMYFUNCTION("""COMPUTED_VALUE"""),"8058772229381")</f>
        <v>8058772229381</v>
      </c>
      <c r="C10714" t="str">
        <f>IFERROR(__xludf.DUMMYFUNCTION("""COMPUTED_VALUE"""),"Umbra")</f>
        <v>Umbra</v>
      </c>
    </row>
    <row r="10715">
      <c r="A10715" t="str">
        <f>IFERROR(__xludf.DUMMYFUNCTION("""COMPUTED_VALUE"""),"14073/F")</f>
        <v>14073/F</v>
      </c>
      <c r="C10715" t="str">
        <f>IFERROR(__xludf.DUMMYFUNCTION("""COMPUTED_VALUE"""),"Umbra")</f>
        <v>Umbra</v>
      </c>
    </row>
    <row r="10716">
      <c r="A10716" t="str">
        <f>IFERROR(__xludf.DUMMYFUNCTION("""COMPUTED_VALUE"""),"14067")</f>
        <v>14067</v>
      </c>
      <c r="B10716" s="226" t="str">
        <f>IFERROR(__xludf.DUMMYFUNCTION("""COMPUTED_VALUE"""),"8058772229329")</f>
        <v>8058772229329</v>
      </c>
      <c r="C10716" t="str">
        <f>IFERROR(__xludf.DUMMYFUNCTION("""COMPUTED_VALUE"""),"Umbra")</f>
        <v>Umbra</v>
      </c>
    </row>
    <row r="10717">
      <c r="A10717" t="str">
        <f>IFERROR(__xludf.DUMMYFUNCTION("""COMPUTED_VALUE"""),"14083B/C")</f>
        <v>14083B/C</v>
      </c>
      <c r="B10717" s="226" t="str">
        <f>IFERROR(__xludf.DUMMYFUNCTION("""COMPUTED_VALUE"""),"8058772229558")</f>
        <v>8058772229558</v>
      </c>
      <c r="C10717" t="str">
        <f>IFERROR(__xludf.DUMMYFUNCTION("""COMPUTED_VALUE"""),"Umbra")</f>
        <v>Umbra</v>
      </c>
    </row>
    <row r="10718">
      <c r="A10718" t="str">
        <f>IFERROR(__xludf.DUMMYFUNCTION("""COMPUTED_VALUE"""),"14084/C")</f>
        <v>14084/C</v>
      </c>
      <c r="B10718" s="226" t="str">
        <f>IFERROR(__xludf.DUMMYFUNCTION("""COMPUTED_VALUE"""),"8058772229596")</f>
        <v>8058772229596</v>
      </c>
      <c r="C10718" t="str">
        <f>IFERROR(__xludf.DUMMYFUNCTION("""COMPUTED_VALUE"""),"Umbra")</f>
        <v>Umbra</v>
      </c>
    </row>
    <row r="10719">
      <c r="A10719" t="str">
        <f>IFERROR(__xludf.DUMMYFUNCTION("""COMPUTED_VALUE"""),"14083B/F")</f>
        <v>14083B/F</v>
      </c>
      <c r="B10719" s="226" t="str">
        <f>IFERROR(__xludf.DUMMYFUNCTION("""COMPUTED_VALUE"""),"8058772222740")</f>
        <v>8058772222740</v>
      </c>
      <c r="C10719" t="str">
        <f>IFERROR(__xludf.DUMMYFUNCTION("""COMPUTED_VALUE"""),"Umbra")</f>
        <v>Umbra</v>
      </c>
    </row>
    <row r="10720">
      <c r="A10720" t="str">
        <f>IFERROR(__xludf.DUMMYFUNCTION("""COMPUTED_VALUE"""),"14084/F")</f>
        <v>14084/F</v>
      </c>
      <c r="B10720" s="226" t="str">
        <f>IFERROR(__xludf.DUMMYFUNCTION("""COMPUTED_VALUE"""),"8058772222764")</f>
        <v>8058772222764</v>
      </c>
      <c r="C10720" t="str">
        <f>IFERROR(__xludf.DUMMYFUNCTION("""COMPUTED_VALUE"""),"Umbra")</f>
        <v>Umbra</v>
      </c>
    </row>
    <row r="10721">
      <c r="A10721" t="str">
        <f>IFERROR(__xludf.DUMMYFUNCTION("""COMPUTED_VALUE"""),"14083B/VM")</f>
        <v>14083B/VM</v>
      </c>
      <c r="B10721" s="226" t="str">
        <f>IFERROR(__xludf.DUMMYFUNCTION("""COMPUTED_VALUE"""),"8058772229565")</f>
        <v>8058772229565</v>
      </c>
      <c r="C10721" t="str">
        <f>IFERROR(__xludf.DUMMYFUNCTION("""COMPUTED_VALUE"""),"Umbra")</f>
        <v>Umbra</v>
      </c>
    </row>
    <row r="10722">
      <c r="A10722" t="str">
        <f>IFERROR(__xludf.DUMMYFUNCTION("""COMPUTED_VALUE"""),"14084/VM")</f>
        <v>14084/VM</v>
      </c>
      <c r="B10722" s="226" t="str">
        <f>IFERROR(__xludf.DUMMYFUNCTION("""COMPUTED_VALUE"""),"8058772229602")</f>
        <v>8058772229602</v>
      </c>
      <c r="C10722" t="str">
        <f>IFERROR(__xludf.DUMMYFUNCTION("""COMPUTED_VALUE"""),"Umbra")</f>
        <v>Umbra</v>
      </c>
    </row>
    <row r="10723">
      <c r="A10723" t="str">
        <f>IFERROR(__xludf.DUMMYFUNCTION("""COMPUTED_VALUE"""),"14095/C")</f>
        <v>14095/C</v>
      </c>
      <c r="B10723" s="226" t="str">
        <f>IFERROR(__xludf.DUMMYFUNCTION("""COMPUTED_VALUE"""),"8054521996313")</f>
        <v>8054521996313</v>
      </c>
      <c r="C10723" t="str">
        <f>IFERROR(__xludf.DUMMYFUNCTION("""COMPUTED_VALUE"""),"Umbra")</f>
        <v>Umbra</v>
      </c>
    </row>
    <row r="10724">
      <c r="A10724" t="str">
        <f>IFERROR(__xludf.DUMMYFUNCTION("""COMPUTED_VALUE"""),"14095/F")</f>
        <v>14095/F</v>
      </c>
      <c r="B10724" s="226" t="str">
        <f>IFERROR(__xludf.DUMMYFUNCTION("""COMPUTED_VALUE"""),"8054521996306")</f>
        <v>8054521996306</v>
      </c>
      <c r="C10724" t="str">
        <f>IFERROR(__xludf.DUMMYFUNCTION("""COMPUTED_VALUE"""),"Umbra")</f>
        <v>Umbra</v>
      </c>
    </row>
    <row r="10725">
      <c r="A10725" t="str">
        <f>IFERROR(__xludf.DUMMYFUNCTION("""COMPUTED_VALUE"""),"14095/VM")</f>
        <v>14095/VM</v>
      </c>
      <c r="B10725" s="226" t="str">
        <f>IFERROR(__xludf.DUMMYFUNCTION("""COMPUTED_VALUE"""),"8054521996320")</f>
        <v>8054521996320</v>
      </c>
      <c r="C10725" t="str">
        <f>IFERROR(__xludf.DUMMYFUNCTION("""COMPUTED_VALUE"""),"Umbra")</f>
        <v>Umbra</v>
      </c>
    </row>
    <row r="10726">
      <c r="A10726" t="str">
        <f>IFERROR(__xludf.DUMMYFUNCTION("""COMPUTED_VALUE"""),"14068")</f>
        <v>14068</v>
      </c>
      <c r="B10726" s="226" t="str">
        <f>IFERROR(__xludf.DUMMYFUNCTION("""COMPUTED_VALUE"""),"8058772229336")</f>
        <v>8058772229336</v>
      </c>
      <c r="C10726" t="str">
        <f>IFERROR(__xludf.DUMMYFUNCTION("""COMPUTED_VALUE"""),"Umbra")</f>
        <v>Umbra</v>
      </c>
    </row>
    <row r="10727">
      <c r="A10727" t="str">
        <f>IFERROR(__xludf.DUMMYFUNCTION("""COMPUTED_VALUE"""),"14074/C1")</f>
        <v>14074/C1</v>
      </c>
      <c r="B10727" s="226" t="str">
        <f>IFERROR(__xludf.DUMMYFUNCTION("""COMPUTED_VALUE"""),"8058772229404")</f>
        <v>8058772229404</v>
      </c>
      <c r="C10727" t="str">
        <f>IFERROR(__xludf.DUMMYFUNCTION("""COMPUTED_VALUE"""),"Umbra")</f>
        <v>Umbra</v>
      </c>
    </row>
    <row r="10728">
      <c r="A10728" t="str">
        <f>IFERROR(__xludf.DUMMYFUNCTION("""COMPUTED_VALUE"""),"14074/C2")</f>
        <v>14074/C2</v>
      </c>
      <c r="B10728" s="226" t="str">
        <f>IFERROR(__xludf.DUMMYFUNCTION("""COMPUTED_VALUE"""),"8058772229411")</f>
        <v>8058772229411</v>
      </c>
      <c r="C10728" t="str">
        <f>IFERROR(__xludf.DUMMYFUNCTION("""COMPUTED_VALUE"""),"Umbra")</f>
        <v>Umbra</v>
      </c>
    </row>
    <row r="10729">
      <c r="A10729" t="str">
        <f>IFERROR(__xludf.DUMMYFUNCTION("""COMPUTED_VALUE"""),"14074/F1")</f>
        <v>14074/F1</v>
      </c>
      <c r="B10729" s="226" t="str">
        <f>IFERROR(__xludf.DUMMYFUNCTION("""COMPUTED_VALUE"""),"8058772222665")</f>
        <v>8058772222665</v>
      </c>
      <c r="C10729" t="str">
        <f>IFERROR(__xludf.DUMMYFUNCTION("""COMPUTED_VALUE"""),"Umbra")</f>
        <v>Umbra</v>
      </c>
    </row>
    <row r="10730">
      <c r="A10730" t="str">
        <f>IFERROR(__xludf.DUMMYFUNCTION("""COMPUTED_VALUE"""),"14074/F2")</f>
        <v>14074/F2</v>
      </c>
      <c r="B10730" s="226" t="str">
        <f>IFERROR(__xludf.DUMMYFUNCTION("""COMPUTED_VALUE"""),"8058772222672")</f>
        <v>8058772222672</v>
      </c>
      <c r="C10730" t="str">
        <f>IFERROR(__xludf.DUMMYFUNCTION("""COMPUTED_VALUE"""),"Umbra")</f>
        <v>Umbra</v>
      </c>
    </row>
    <row r="10731">
      <c r="A10731" t="str">
        <f>IFERROR(__xludf.DUMMYFUNCTION("""COMPUTED_VALUE"""),"14083W/C")</f>
        <v>14083W/C</v>
      </c>
      <c r="B10731" s="226" t="str">
        <f>IFERROR(__xludf.DUMMYFUNCTION("""COMPUTED_VALUE"""),"8058772229572")</f>
        <v>8058772229572</v>
      </c>
      <c r="C10731" t="str">
        <f>IFERROR(__xludf.DUMMYFUNCTION("""COMPUTED_VALUE"""),"Umbra")</f>
        <v>Umbra</v>
      </c>
    </row>
    <row r="10732">
      <c r="A10732" t="str">
        <f>IFERROR(__xludf.DUMMYFUNCTION("""COMPUTED_VALUE"""),"14083W/F")</f>
        <v>14083W/F</v>
      </c>
      <c r="C10732" t="str">
        <f>IFERROR(__xludf.DUMMYFUNCTION("""COMPUTED_VALUE"""),"Umbra")</f>
        <v>Umbra</v>
      </c>
    </row>
    <row r="10733">
      <c r="A10733" t="str">
        <f>IFERROR(__xludf.DUMMYFUNCTION("""COMPUTED_VALUE"""),"14083W/VM")</f>
        <v>14083W/VM</v>
      </c>
      <c r="B10733" s="226" t="str">
        <f>IFERROR(__xludf.DUMMYFUNCTION("""COMPUTED_VALUE"""),"8058772229589")</f>
        <v>8058772229589</v>
      </c>
      <c r="C10733" t="str">
        <f>IFERROR(__xludf.DUMMYFUNCTION("""COMPUTED_VALUE"""),"Umbra")</f>
        <v>Umbra</v>
      </c>
    </row>
    <row r="10734">
      <c r="A10734" t="str">
        <f>IFERROR(__xludf.DUMMYFUNCTION("""COMPUTED_VALUE"""),"14095/C")</f>
        <v>14095/C</v>
      </c>
      <c r="B10734" s="226" t="str">
        <f>IFERROR(__xludf.DUMMYFUNCTION("""COMPUTED_VALUE"""),"8054521996313")</f>
        <v>8054521996313</v>
      </c>
      <c r="C10734" t="str">
        <f>IFERROR(__xludf.DUMMYFUNCTION("""COMPUTED_VALUE"""),"Umbra")</f>
        <v>Umbra</v>
      </c>
    </row>
    <row r="10735">
      <c r="A10735" t="str">
        <f>IFERROR(__xludf.DUMMYFUNCTION("""COMPUTED_VALUE"""),"14095/F")</f>
        <v>14095/F</v>
      </c>
      <c r="B10735" s="226" t="str">
        <f>IFERROR(__xludf.DUMMYFUNCTION("""COMPUTED_VALUE"""),"8054521996306")</f>
        <v>8054521996306</v>
      </c>
      <c r="C10735" t="str">
        <f>IFERROR(__xludf.DUMMYFUNCTION("""COMPUTED_VALUE"""),"Umbra")</f>
        <v>Umbra</v>
      </c>
    </row>
    <row r="10736">
      <c r="A10736" t="str">
        <f>IFERROR(__xludf.DUMMYFUNCTION("""COMPUTED_VALUE"""),"14095/VM")</f>
        <v>14095/VM</v>
      </c>
      <c r="B10736" s="226" t="str">
        <f>IFERROR(__xludf.DUMMYFUNCTION("""COMPUTED_VALUE"""),"8054521996320")</f>
        <v>8054521996320</v>
      </c>
      <c r="C10736" t="str">
        <f>IFERROR(__xludf.DUMMYFUNCTION("""COMPUTED_VALUE"""),"Umbra")</f>
        <v>Umbra</v>
      </c>
    </row>
    <row r="10737">
      <c r="A10737" t="str">
        <f>IFERROR(__xludf.DUMMYFUNCTION("""COMPUTED_VALUE"""),"14088")</f>
        <v>14088</v>
      </c>
      <c r="B10737" s="226" t="str">
        <f>IFERROR(__xludf.DUMMYFUNCTION("""COMPUTED_VALUE"""),"8058772222801")</f>
        <v>8058772222801</v>
      </c>
      <c r="C10737" t="str">
        <f>IFERROR(__xludf.DUMMYFUNCTION("""COMPUTED_VALUE"""),"Umbra")</f>
        <v>Umbra</v>
      </c>
    </row>
    <row r="10738">
      <c r="A10738" t="str">
        <f>IFERROR(__xludf.DUMMYFUNCTION("""COMPUTED_VALUE"""),"14088")</f>
        <v>14088</v>
      </c>
      <c r="B10738" s="226" t="str">
        <f>IFERROR(__xludf.DUMMYFUNCTION("""COMPUTED_VALUE"""),"8058772222801")</f>
        <v>8058772222801</v>
      </c>
      <c r="C10738" t="str">
        <f>IFERROR(__xludf.DUMMYFUNCTION("""COMPUTED_VALUE"""),"Umbra")</f>
        <v>Umbra</v>
      </c>
    </row>
    <row r="10739">
      <c r="A10739" t="str">
        <f>IFERROR(__xludf.DUMMYFUNCTION("""COMPUTED_VALUE"""),"14096/G")</f>
        <v>14096/G</v>
      </c>
      <c r="B10739" s="226" t="str">
        <f>IFERROR(__xludf.DUMMYFUNCTION("""COMPUTED_VALUE"""),"8054521996702")</f>
        <v>8054521996702</v>
      </c>
      <c r="C10739" t="str">
        <f>IFERROR(__xludf.DUMMYFUNCTION("""COMPUTED_VALUE"""),"Umbra")</f>
        <v>Umbra</v>
      </c>
    </row>
    <row r="10740">
      <c r="A10740" t="str">
        <f>IFERROR(__xludf.DUMMYFUNCTION("""COMPUTED_VALUE"""),"14096/SF")</f>
        <v>14096/SF</v>
      </c>
      <c r="B10740" s="226" t="str">
        <f>IFERROR(__xludf.DUMMYFUNCTION("""COMPUTED_VALUE"""),"8054521996696")</f>
        <v>8054521996696</v>
      </c>
      <c r="C10740" t="str">
        <f>IFERROR(__xludf.DUMMYFUNCTION("""COMPUTED_VALUE"""),"Umbra")</f>
        <v>Umbra</v>
      </c>
    </row>
    <row r="10741">
      <c r="A10741" t="str">
        <f>IFERROR(__xludf.DUMMYFUNCTION("""COMPUTED_VALUE"""),"14096/SFM")</f>
        <v>14096/SFM</v>
      </c>
      <c r="B10741" s="226" t="str">
        <f>IFERROR(__xludf.DUMMYFUNCTION("""COMPUTED_VALUE"""),"8054521996719")</f>
        <v>8054521996719</v>
      </c>
      <c r="C10741" t="str">
        <f>IFERROR(__xludf.DUMMYFUNCTION("""COMPUTED_VALUE"""),"Umbra")</f>
        <v>Umbra</v>
      </c>
    </row>
    <row r="10742">
      <c r="A10742" t="str">
        <f>IFERROR(__xludf.DUMMYFUNCTION("""COMPUTED_VALUE"""),"14081/G")</f>
        <v>14081/G</v>
      </c>
      <c r="B10742" s="226" t="str">
        <f>IFERROR(__xludf.DUMMYFUNCTION("""COMPUTED_VALUE"""),"8058772229497")</f>
        <v>8058772229497</v>
      </c>
      <c r="C10742" t="str">
        <f>IFERROR(__xludf.DUMMYFUNCTION("""COMPUTED_VALUE"""),"Umbra")</f>
        <v>Umbra</v>
      </c>
    </row>
    <row r="10743">
      <c r="A10743" t="str">
        <f>IFERROR(__xludf.DUMMYFUNCTION("""COMPUTED_VALUE"""),"14081/SF")</f>
        <v>14081/SF</v>
      </c>
      <c r="B10743" s="226" t="str">
        <f>IFERROR(__xludf.DUMMYFUNCTION("""COMPUTED_VALUE"""),"8058772229503")</f>
        <v>8058772229503</v>
      </c>
      <c r="C10743" t="str">
        <f>IFERROR(__xludf.DUMMYFUNCTION("""COMPUTED_VALUE"""),"Umbra")</f>
        <v>Umbra</v>
      </c>
    </row>
    <row r="10744">
      <c r="A10744" t="str">
        <f>IFERROR(__xludf.DUMMYFUNCTION("""COMPUTED_VALUE"""),"14082S/C")</f>
        <v>14082S/C</v>
      </c>
      <c r="B10744" s="226" t="str">
        <f>IFERROR(__xludf.DUMMYFUNCTION("""COMPUTED_VALUE"""),"8058772229534")</f>
        <v>8058772229534</v>
      </c>
      <c r="C10744" t="str">
        <f>IFERROR(__xludf.DUMMYFUNCTION("""COMPUTED_VALUE"""),"Umbra")</f>
        <v>Umbra</v>
      </c>
    </row>
    <row r="10745">
      <c r="A10745" t="str">
        <f>IFERROR(__xludf.DUMMYFUNCTION("""COMPUTED_VALUE"""),"14082S/F")</f>
        <v>14082S/F</v>
      </c>
      <c r="B10745" s="226" t="str">
        <f>IFERROR(__xludf.DUMMYFUNCTION("""COMPUTED_VALUE"""),"8058772222726")</f>
        <v>8058772222726</v>
      </c>
      <c r="C10745" t="str">
        <f>IFERROR(__xludf.DUMMYFUNCTION("""COMPUTED_VALUE"""),"Umbra")</f>
        <v>Umbra</v>
      </c>
    </row>
    <row r="10746">
      <c r="A10746" t="str">
        <f>IFERROR(__xludf.DUMMYFUNCTION("""COMPUTED_VALUE"""),"14082S/VM")</f>
        <v>14082S/VM</v>
      </c>
      <c r="C10746" t="str">
        <f>IFERROR(__xludf.DUMMYFUNCTION("""COMPUTED_VALUE"""),"Umbra")</f>
        <v>Umbra</v>
      </c>
    </row>
    <row r="10747">
      <c r="A10747" t="str">
        <f>IFERROR(__xludf.DUMMYFUNCTION("""COMPUTED_VALUE"""),"14098/C")</f>
        <v>14098/C</v>
      </c>
      <c r="B10747" s="226" t="str">
        <f>IFERROR(__xludf.DUMMYFUNCTION("""COMPUTED_VALUE"""),"8054521996863")</f>
        <v>8054521996863</v>
      </c>
      <c r="C10747" t="str">
        <f>IFERROR(__xludf.DUMMYFUNCTION("""COMPUTED_VALUE"""),"Umbra")</f>
        <v>Umbra</v>
      </c>
    </row>
    <row r="10748">
      <c r="A10748" t="str">
        <f>IFERROR(__xludf.DUMMYFUNCTION("""COMPUTED_VALUE"""),"14098/F")</f>
        <v>14098/F</v>
      </c>
      <c r="B10748" s="226" t="str">
        <f>IFERROR(__xludf.DUMMYFUNCTION("""COMPUTED_VALUE"""),"8054521996856")</f>
        <v>8054521996856</v>
      </c>
      <c r="C10748" t="str">
        <f>IFERROR(__xludf.DUMMYFUNCTION("""COMPUTED_VALUE"""),"Umbra")</f>
        <v>Umbra</v>
      </c>
    </row>
    <row r="10749">
      <c r="A10749" t="str">
        <f>IFERROR(__xludf.DUMMYFUNCTION("""COMPUTED_VALUE"""),"14098/VM")</f>
        <v>14098/VM</v>
      </c>
      <c r="B10749" s="226" t="str">
        <f>IFERROR(__xludf.DUMMYFUNCTION("""COMPUTED_VALUE"""),"8054521996870")</f>
        <v>8054521996870</v>
      </c>
      <c r="C10749" t="str">
        <f>IFERROR(__xludf.DUMMYFUNCTION("""COMPUTED_VALUE"""),"Umbra")</f>
        <v>Umbra</v>
      </c>
    </row>
    <row r="10750">
      <c r="A10750" t="str">
        <f>IFERROR(__xludf.DUMMYFUNCTION("""COMPUTED_VALUE"""),"14071")</f>
        <v>14071</v>
      </c>
      <c r="B10750" s="226" t="str">
        <f>IFERROR(__xludf.DUMMYFUNCTION("""COMPUTED_VALUE"""),"8058772229367")</f>
        <v>8058772229367</v>
      </c>
      <c r="C10750" t="str">
        <f>IFERROR(__xludf.DUMMYFUNCTION("""COMPUTED_VALUE"""),"Umbra")</f>
        <v>Umbra</v>
      </c>
    </row>
    <row r="10751">
      <c r="A10751" t="str">
        <f>IFERROR(__xludf.DUMMYFUNCTION("""COMPUTED_VALUE"""),"14072")</f>
        <v>14072</v>
      </c>
      <c r="B10751" s="226" t="str">
        <f>IFERROR(__xludf.DUMMYFUNCTION("""COMPUTED_VALUE"""),"8058772229374")</f>
        <v>8058772229374</v>
      </c>
      <c r="C10751" t="str">
        <f>IFERROR(__xludf.DUMMYFUNCTION("""COMPUTED_VALUE"""),"Umbra")</f>
        <v>Umbra</v>
      </c>
    </row>
    <row r="10752">
      <c r="A10752" t="str">
        <f>IFERROR(__xludf.DUMMYFUNCTION("""COMPUTED_VALUE"""),"14092/G")</f>
        <v>14092/G</v>
      </c>
      <c r="B10752" s="226" t="str">
        <f>IFERROR(__xludf.DUMMYFUNCTION("""COMPUTED_VALUE"""),"8058772222900")</f>
        <v>8058772222900</v>
      </c>
      <c r="C10752" t="str">
        <f>IFERROR(__xludf.DUMMYFUNCTION("""COMPUTED_VALUE"""),"Umbra")</f>
        <v>Umbra</v>
      </c>
    </row>
    <row r="10753">
      <c r="A10753" t="str">
        <f>IFERROR(__xludf.DUMMYFUNCTION("""COMPUTED_VALUE"""),"14092/SF")</f>
        <v>14092/SF</v>
      </c>
      <c r="B10753" s="226" t="str">
        <f>IFERROR(__xludf.DUMMYFUNCTION("""COMPUTED_VALUE"""),"8058772222894")</f>
        <v>8058772222894</v>
      </c>
      <c r="C10753" t="str">
        <f>IFERROR(__xludf.DUMMYFUNCTION("""COMPUTED_VALUE"""),"Umbra")</f>
        <v>Umbra</v>
      </c>
    </row>
    <row r="10754">
      <c r="A10754" t="str">
        <f>IFERROR(__xludf.DUMMYFUNCTION("""COMPUTED_VALUE"""),"14091/C")</f>
        <v>14091/C</v>
      </c>
      <c r="B10754" s="226" t="str">
        <f>IFERROR(__xludf.DUMMYFUNCTION("""COMPUTED_VALUE"""),"8058772222870")</f>
        <v>8058772222870</v>
      </c>
      <c r="C10754" t="str">
        <f>IFERROR(__xludf.DUMMYFUNCTION("""COMPUTED_VALUE"""),"Umbra")</f>
        <v>Umbra</v>
      </c>
    </row>
    <row r="10755">
      <c r="A10755" t="str">
        <f>IFERROR(__xludf.DUMMYFUNCTION("""COMPUTED_VALUE"""),"14091/F")</f>
        <v>14091/F</v>
      </c>
      <c r="B10755" s="226" t="str">
        <f>IFERROR(__xludf.DUMMYFUNCTION("""COMPUTED_VALUE"""),"8058772222863")</f>
        <v>8058772222863</v>
      </c>
      <c r="C10755" t="str">
        <f>IFERROR(__xludf.DUMMYFUNCTION("""COMPUTED_VALUE"""),"Umbra")</f>
        <v>Umbra</v>
      </c>
    </row>
    <row r="10756">
      <c r="A10756" t="str">
        <f>IFERROR(__xludf.DUMMYFUNCTION("""COMPUTED_VALUE"""),"14091/VM")</f>
        <v>14091/VM</v>
      </c>
      <c r="B10756" s="226" t="str">
        <f>IFERROR(__xludf.DUMMYFUNCTION("""COMPUTED_VALUE"""),"8058772222887")</f>
        <v>8058772222887</v>
      </c>
      <c r="C10756" t="str">
        <f>IFERROR(__xludf.DUMMYFUNCTION("""COMPUTED_VALUE"""),"Umbra")</f>
        <v>Umbra</v>
      </c>
    </row>
    <row r="10757">
      <c r="A10757" t="str">
        <f>IFERROR(__xludf.DUMMYFUNCTION("""COMPUTED_VALUE"""),"14079")</f>
        <v>14079</v>
      </c>
      <c r="B10757" s="226" t="str">
        <f>IFERROR(__xludf.DUMMYFUNCTION("""COMPUTED_VALUE"""),"8058772222702")</f>
        <v>8058772222702</v>
      </c>
      <c r="C10757" t="str">
        <f>IFERROR(__xludf.DUMMYFUNCTION("""COMPUTED_VALUE"""),"Umbra")</f>
        <v>Umbra</v>
      </c>
    </row>
    <row r="10758">
      <c r="A10758" t="str">
        <f>IFERROR(__xludf.DUMMYFUNCTION("""COMPUTED_VALUE"""),"14094/G")</f>
        <v>14094/G</v>
      </c>
      <c r="B10758" s="226" t="str">
        <f>IFERROR(__xludf.DUMMYFUNCTION("""COMPUTED_VALUE"""),"8058772222931")</f>
        <v>8058772222931</v>
      </c>
      <c r="C10758" t="str">
        <f>IFERROR(__xludf.DUMMYFUNCTION("""COMPUTED_VALUE"""),"Umbra")</f>
        <v>Umbra</v>
      </c>
    </row>
    <row r="10759">
      <c r="A10759" t="str">
        <f>IFERROR(__xludf.DUMMYFUNCTION("""COMPUTED_VALUE"""),"14094/SF")</f>
        <v>14094/SF</v>
      </c>
      <c r="B10759" s="226" t="str">
        <f>IFERROR(__xludf.DUMMYFUNCTION("""COMPUTED_VALUE"""),"8058772222924")</f>
        <v>8058772222924</v>
      </c>
      <c r="C10759" t="str">
        <f>IFERROR(__xludf.DUMMYFUNCTION("""COMPUTED_VALUE"""),"Umbra")</f>
        <v>Umbra</v>
      </c>
    </row>
    <row r="10760">
      <c r="A10760" t="str">
        <f>IFERROR(__xludf.DUMMYFUNCTION("""COMPUTED_VALUE"""),"14090/G")</f>
        <v>14090/G</v>
      </c>
      <c r="B10760" s="226" t="str">
        <f>IFERROR(__xludf.DUMMYFUNCTION("""COMPUTED_VALUE"""),"8058772222856")</f>
        <v>8058772222856</v>
      </c>
      <c r="C10760" t="str">
        <f>IFERROR(__xludf.DUMMYFUNCTION("""COMPUTED_VALUE"""),"Umbra")</f>
        <v>Umbra</v>
      </c>
    </row>
    <row r="10761">
      <c r="A10761" t="str">
        <f>IFERROR(__xludf.DUMMYFUNCTION("""COMPUTED_VALUE"""),"14090/SF")</f>
        <v>14090/SF</v>
      </c>
      <c r="B10761" s="226" t="str">
        <f>IFERROR(__xludf.DUMMYFUNCTION("""COMPUTED_VALUE"""),"8058772222849")</f>
        <v>8058772222849</v>
      </c>
      <c r="C10761" t="str">
        <f>IFERROR(__xludf.DUMMYFUNCTION("""COMPUTED_VALUE"""),"Umbra")</f>
        <v>Umbra</v>
      </c>
    </row>
    <row r="10762">
      <c r="A10762" t="str">
        <f>IFERROR(__xludf.DUMMYFUNCTION("""COMPUTED_VALUE"""),"14079")</f>
        <v>14079</v>
      </c>
      <c r="B10762" s="226" t="str">
        <f>IFERROR(__xludf.DUMMYFUNCTION("""COMPUTED_VALUE"""),"8058772222702")</f>
        <v>8058772222702</v>
      </c>
      <c r="C10762" t="str">
        <f>IFERROR(__xludf.DUMMYFUNCTION("""COMPUTED_VALUE"""),"Umbra")</f>
        <v>Umbra</v>
      </c>
    </row>
    <row r="10763">
      <c r="A10763" t="str">
        <f>IFERROR(__xludf.DUMMYFUNCTION("""COMPUTED_VALUE"""),"14091/C")</f>
        <v>14091/C</v>
      </c>
      <c r="B10763" s="226" t="str">
        <f>IFERROR(__xludf.DUMMYFUNCTION("""COMPUTED_VALUE"""),"8058772222870")</f>
        <v>8058772222870</v>
      </c>
      <c r="C10763" t="str">
        <f>IFERROR(__xludf.DUMMYFUNCTION("""COMPUTED_VALUE"""),"Umbra")</f>
        <v>Umbra</v>
      </c>
    </row>
    <row r="10764">
      <c r="A10764" t="str">
        <f>IFERROR(__xludf.DUMMYFUNCTION("""COMPUTED_VALUE"""),"14091/F")</f>
        <v>14091/F</v>
      </c>
      <c r="B10764" s="226" t="str">
        <f>IFERROR(__xludf.DUMMYFUNCTION("""COMPUTED_VALUE"""),"8058772222863")</f>
        <v>8058772222863</v>
      </c>
      <c r="C10764" t="str">
        <f>IFERROR(__xludf.DUMMYFUNCTION("""COMPUTED_VALUE"""),"Umbra")</f>
        <v>Umbra</v>
      </c>
    </row>
    <row r="10765">
      <c r="A10765" t="str">
        <f>IFERROR(__xludf.DUMMYFUNCTION("""COMPUTED_VALUE"""),"14091/VM")</f>
        <v>14091/VM</v>
      </c>
      <c r="B10765" s="226" t="str">
        <f>IFERROR(__xludf.DUMMYFUNCTION("""COMPUTED_VALUE"""),"8058772222887")</f>
        <v>8058772222887</v>
      </c>
      <c r="C10765" t="str">
        <f>IFERROR(__xludf.DUMMYFUNCTION("""COMPUTED_VALUE"""),"Umbra")</f>
        <v>Umbra</v>
      </c>
    </row>
    <row r="10766">
      <c r="A10766" t="str">
        <f>IFERROR(__xludf.DUMMYFUNCTION("""COMPUTED_VALUE"""),"14201/C")</f>
        <v>14201/C</v>
      </c>
      <c r="B10766" s="226" t="str">
        <f>IFERROR(__xludf.DUMMYFUNCTION("""COMPUTED_VALUE"""),"8058772229701")</f>
        <v>8058772229701</v>
      </c>
      <c r="C10766" t="str">
        <f>IFERROR(__xludf.DUMMYFUNCTION("""COMPUTED_VALUE"""),"Umbra")</f>
        <v>Umbra</v>
      </c>
    </row>
    <row r="10767">
      <c r="A10767" t="str">
        <f>IFERROR(__xludf.DUMMYFUNCTION("""COMPUTED_VALUE"""),"14201/G")</f>
        <v>14201/G</v>
      </c>
      <c r="B10767" s="226" t="str">
        <f>IFERROR(__xludf.DUMMYFUNCTION("""COMPUTED_VALUE"""),"8058772229718")</f>
        <v>8058772229718</v>
      </c>
      <c r="C10767" t="str">
        <f>IFERROR(__xludf.DUMMYFUNCTION("""COMPUTED_VALUE"""),"Umbra")</f>
        <v>Umbra</v>
      </c>
    </row>
    <row r="10768">
      <c r="A10768" t="str">
        <f>IFERROR(__xludf.DUMMYFUNCTION("""COMPUTED_VALUE"""),"14201/SF")</f>
        <v>14201/SF</v>
      </c>
      <c r="B10768" s="226" t="str">
        <f>IFERROR(__xludf.DUMMYFUNCTION("""COMPUTED_VALUE"""),"8058772229725")</f>
        <v>8058772229725</v>
      </c>
      <c r="C10768" t="str">
        <f>IFERROR(__xludf.DUMMYFUNCTION("""COMPUTED_VALUE"""),"Umbra")</f>
        <v>Umbra</v>
      </c>
    </row>
    <row r="10769">
      <c r="A10769" t="str">
        <f>IFERROR(__xludf.DUMMYFUNCTION("""COMPUTED_VALUE"""),"14201/VM")</f>
        <v>14201/VM</v>
      </c>
      <c r="B10769" s="226" t="str">
        <f>IFERROR(__xludf.DUMMYFUNCTION("""COMPUTED_VALUE"""),"8058772229732")</f>
        <v>8058772229732</v>
      </c>
      <c r="C10769" t="str">
        <f>IFERROR(__xludf.DUMMYFUNCTION("""COMPUTED_VALUE"""),"Umbra")</f>
        <v>Umbra</v>
      </c>
    </row>
    <row r="10770">
      <c r="A10770" t="str">
        <f>IFERROR(__xludf.DUMMYFUNCTION("""COMPUTED_VALUE"""),"14202/C")</f>
        <v>14202/C</v>
      </c>
      <c r="B10770" s="226" t="str">
        <f>IFERROR(__xludf.DUMMYFUNCTION("""COMPUTED_VALUE"""),"8058772229749")</f>
        <v>8058772229749</v>
      </c>
      <c r="C10770" t="str">
        <f>IFERROR(__xludf.DUMMYFUNCTION("""COMPUTED_VALUE"""),"Umbra")</f>
        <v>Umbra</v>
      </c>
    </row>
    <row r="10771">
      <c r="A10771" t="str">
        <f>IFERROR(__xludf.DUMMYFUNCTION("""COMPUTED_VALUE"""),"14202/G")</f>
        <v>14202/G</v>
      </c>
      <c r="B10771" s="226" t="str">
        <f>IFERROR(__xludf.DUMMYFUNCTION("""COMPUTED_VALUE"""),"8058772229756")</f>
        <v>8058772229756</v>
      </c>
      <c r="C10771" t="str">
        <f>IFERROR(__xludf.DUMMYFUNCTION("""COMPUTED_VALUE"""),"Umbra")</f>
        <v>Umbra</v>
      </c>
    </row>
    <row r="10772">
      <c r="A10772" t="str">
        <f>IFERROR(__xludf.DUMMYFUNCTION("""COMPUTED_VALUE"""),"14202/SF")</f>
        <v>14202/SF</v>
      </c>
      <c r="B10772" s="226" t="str">
        <f>IFERROR(__xludf.DUMMYFUNCTION("""COMPUTED_VALUE"""),"8058772229763")</f>
        <v>8058772229763</v>
      </c>
      <c r="C10772" t="str">
        <f>IFERROR(__xludf.DUMMYFUNCTION("""COMPUTED_VALUE"""),"Umbra")</f>
        <v>Umbra</v>
      </c>
    </row>
    <row r="10773">
      <c r="A10773" t="str">
        <f>IFERROR(__xludf.DUMMYFUNCTION("""COMPUTED_VALUE"""),"15011/5")</f>
        <v>15011/5</v>
      </c>
      <c r="B10773" s="226" t="str">
        <f>IFERROR(__xludf.DUMMYFUNCTION("""COMPUTED_VALUE"""),"8058772229831")</f>
        <v>8058772229831</v>
      </c>
      <c r="C10773" t="str">
        <f>IFERROR(__xludf.DUMMYFUNCTION("""COMPUTED_VALUE"""),"Umbra")</f>
        <v>Umbra</v>
      </c>
    </row>
    <row r="10774">
      <c r="A10774" t="str">
        <f>IFERROR(__xludf.DUMMYFUNCTION("""COMPUTED_VALUE"""),"15011/3")</f>
        <v>15011/3</v>
      </c>
      <c r="B10774" s="226" t="str">
        <f>IFERROR(__xludf.DUMMYFUNCTION("""COMPUTED_VALUE"""),"8058772229824")</f>
        <v>8058772229824</v>
      </c>
      <c r="C10774" t="str">
        <f>IFERROR(__xludf.DUMMYFUNCTION("""COMPUTED_VALUE"""),"Umbra")</f>
        <v>Umbra</v>
      </c>
    </row>
    <row r="10775">
      <c r="A10775" t="str">
        <f>IFERROR(__xludf.DUMMYFUNCTION("""COMPUTED_VALUE"""),"15013")</f>
        <v>15013</v>
      </c>
      <c r="B10775" s="226" t="str">
        <f>IFERROR(__xludf.DUMMYFUNCTION("""COMPUTED_VALUE"""),"8058772229855")</f>
        <v>8058772229855</v>
      </c>
      <c r="C10775" t="str">
        <f>IFERROR(__xludf.DUMMYFUNCTION("""COMPUTED_VALUE"""),"Umbra")</f>
        <v>Umbra</v>
      </c>
    </row>
    <row r="10776">
      <c r="A10776" t="str">
        <f>IFERROR(__xludf.DUMMYFUNCTION("""COMPUTED_VALUE"""),"15014")</f>
        <v>15014</v>
      </c>
      <c r="B10776" s="226" t="str">
        <f>IFERROR(__xludf.DUMMYFUNCTION("""COMPUTED_VALUE"""),"8058772229862")</f>
        <v>8058772229862</v>
      </c>
      <c r="C10776" t="str">
        <f>IFERROR(__xludf.DUMMYFUNCTION("""COMPUTED_VALUE"""),"Umbra")</f>
        <v>Umbra</v>
      </c>
    </row>
    <row r="10777">
      <c r="A10777" t="str">
        <f>IFERROR(__xludf.DUMMYFUNCTION("""COMPUTED_VALUE"""),"15016/C")</f>
        <v>15016/C</v>
      </c>
      <c r="B10777" s="226" t="str">
        <f>IFERROR(__xludf.DUMMYFUNCTION("""COMPUTED_VALUE"""),"8058772222979")</f>
        <v>8058772222979</v>
      </c>
      <c r="C10777" t="str">
        <f>IFERROR(__xludf.DUMMYFUNCTION("""COMPUTED_VALUE"""),"Umbra")</f>
        <v>Umbra</v>
      </c>
    </row>
    <row r="10778">
      <c r="A10778" t="str">
        <f>IFERROR(__xludf.DUMMYFUNCTION("""COMPUTED_VALUE"""),"15016/F")</f>
        <v>15016/F</v>
      </c>
      <c r="B10778" s="226" t="str">
        <f>IFERROR(__xludf.DUMMYFUNCTION("""COMPUTED_VALUE"""),"8058772222962")</f>
        <v>8058772222962</v>
      </c>
      <c r="C10778" t="str">
        <f>IFERROR(__xludf.DUMMYFUNCTION("""COMPUTED_VALUE"""),"Umbra")</f>
        <v>Umbra</v>
      </c>
    </row>
    <row r="10779">
      <c r="A10779" t="str">
        <f>IFERROR(__xludf.DUMMYFUNCTION("""COMPUTED_VALUE"""),"15016/VM")</f>
        <v>15016/VM</v>
      </c>
      <c r="B10779" s="226" t="str">
        <f>IFERROR(__xludf.DUMMYFUNCTION("""COMPUTED_VALUE"""),"8058772222986")</f>
        <v>8058772222986</v>
      </c>
      <c r="C10779" t="str">
        <f>IFERROR(__xludf.DUMMYFUNCTION("""COMPUTED_VALUE"""),"Umbra")</f>
        <v>Umbra</v>
      </c>
    </row>
    <row r="10780">
      <c r="A10780" t="str">
        <f>IFERROR(__xludf.DUMMYFUNCTION("""COMPUTED_VALUE"""),"15010")</f>
        <v>15010</v>
      </c>
      <c r="B10780" s="226" t="str">
        <f>IFERROR(__xludf.DUMMYFUNCTION("""COMPUTED_VALUE"""),"8058772229817")</f>
        <v>8058772229817</v>
      </c>
      <c r="C10780" t="str">
        <f>IFERROR(__xludf.DUMMYFUNCTION("""COMPUTED_VALUE"""),"Umbra")</f>
        <v>Umbra</v>
      </c>
    </row>
    <row r="10781">
      <c r="A10781" t="str">
        <f>IFERROR(__xludf.DUMMYFUNCTION("""COMPUTED_VALUE"""),"15009")</f>
        <v>15009</v>
      </c>
      <c r="B10781" s="226" t="str">
        <f>IFERROR(__xludf.DUMMYFUNCTION("""COMPUTED_VALUE"""),"8058772229800")</f>
        <v>8058772229800</v>
      </c>
      <c r="C10781" t="str">
        <f>IFERROR(__xludf.DUMMYFUNCTION("""COMPUTED_VALUE"""),"Umbra")</f>
        <v>Umbra</v>
      </c>
    </row>
    <row r="10782">
      <c r="A10782" t="str">
        <f>IFERROR(__xludf.DUMMYFUNCTION("""COMPUTED_VALUE"""),"15012")</f>
        <v>15012</v>
      </c>
      <c r="B10782" s="226" t="str">
        <f>IFERROR(__xludf.DUMMYFUNCTION("""COMPUTED_VALUE"""),"8058772229848")</f>
        <v>8058772229848</v>
      </c>
      <c r="C10782" t="str">
        <f>IFERROR(__xludf.DUMMYFUNCTION("""COMPUTED_VALUE"""),"Umbra")</f>
        <v>Umbra</v>
      </c>
    </row>
    <row r="10783">
      <c r="A10783" t="str">
        <f>IFERROR(__xludf.DUMMYFUNCTION("""COMPUTED_VALUE"""),"45008")</f>
        <v>45008</v>
      </c>
      <c r="B10783" s="226" t="str">
        <f>IFERROR(__xludf.DUMMYFUNCTION("""COMPUTED_VALUE"""),"8058772229954")</f>
        <v>8058772229954</v>
      </c>
      <c r="C10783" t="str">
        <f>IFERROR(__xludf.DUMMYFUNCTION("""COMPUTED_VALUE"""),"Umbra")</f>
        <v>Umbra</v>
      </c>
    </row>
    <row r="10784">
      <c r="A10784" t="str">
        <f>IFERROR(__xludf.DUMMYFUNCTION("""COMPUTED_VALUE"""),"45008/F")</f>
        <v>45008/F</v>
      </c>
      <c r="B10784" s="226" t="str">
        <f>IFERROR(__xludf.DUMMYFUNCTION("""COMPUTED_VALUE"""),"8058772226014")</f>
        <v>8058772226014</v>
      </c>
      <c r="C10784" t="str">
        <f>IFERROR(__xludf.DUMMYFUNCTION("""COMPUTED_VALUE"""),"Umbra")</f>
        <v>Umbra</v>
      </c>
    </row>
    <row r="10785">
      <c r="A10785" t="str">
        <f>IFERROR(__xludf.DUMMYFUNCTION("""COMPUTED_VALUE"""),"45005")</f>
        <v>45005</v>
      </c>
      <c r="B10785" s="226" t="str">
        <f>IFERROR(__xludf.DUMMYFUNCTION("""COMPUTED_VALUE"""),"8058772229923")</f>
        <v>8058772229923</v>
      </c>
      <c r="C10785" t="str">
        <f>IFERROR(__xludf.DUMMYFUNCTION("""COMPUTED_VALUE"""),"Umbra")</f>
        <v>Umbra</v>
      </c>
    </row>
    <row r="10786">
      <c r="A10786" t="str">
        <f>IFERROR(__xludf.DUMMYFUNCTION("""COMPUTED_VALUE"""),"45005")</f>
        <v>45005</v>
      </c>
      <c r="B10786" s="226" t="str">
        <f>IFERROR(__xludf.DUMMYFUNCTION("""COMPUTED_VALUE"""),"8058772229923")</f>
        <v>8058772229923</v>
      </c>
      <c r="C10786" t="str">
        <f>IFERROR(__xludf.DUMMYFUNCTION("""COMPUTED_VALUE"""),"Umbra")</f>
        <v>Umbra</v>
      </c>
    </row>
    <row r="10787">
      <c r="A10787" t="str">
        <f>IFERROR(__xludf.DUMMYFUNCTION("""COMPUTED_VALUE"""),"45005")</f>
        <v>45005</v>
      </c>
      <c r="B10787" s="226" t="str">
        <f>IFERROR(__xludf.DUMMYFUNCTION("""COMPUTED_VALUE"""),"8058772229923")</f>
        <v>8058772229923</v>
      </c>
      <c r="C10787" t="str">
        <f>IFERROR(__xludf.DUMMYFUNCTION("""COMPUTED_VALUE"""),"Umbra")</f>
        <v>Umbra</v>
      </c>
    </row>
    <row r="10788">
      <c r="A10788" t="str">
        <f>IFERROR(__xludf.DUMMYFUNCTION("""COMPUTED_VALUE"""),"45003")</f>
        <v>45003</v>
      </c>
      <c r="B10788" s="226" t="str">
        <f>IFERROR(__xludf.DUMMYFUNCTION("""COMPUTED_VALUE"""),"8058772229909")</f>
        <v>8058772229909</v>
      </c>
      <c r="C10788" t="str">
        <f>IFERROR(__xludf.DUMMYFUNCTION("""COMPUTED_VALUE"""),"Umbra")</f>
        <v>Umbra</v>
      </c>
    </row>
    <row r="10789">
      <c r="A10789" t="str">
        <f>IFERROR(__xludf.DUMMYFUNCTION("""COMPUTED_VALUE"""),"45004")</f>
        <v>45004</v>
      </c>
      <c r="B10789" s="226" t="str">
        <f>IFERROR(__xludf.DUMMYFUNCTION("""COMPUTED_VALUE"""),"8058772229916")</f>
        <v>8058772229916</v>
      </c>
      <c r="C10789" t="str">
        <f>IFERROR(__xludf.DUMMYFUNCTION("""COMPUTED_VALUE"""),"Umbra")</f>
        <v>Umbra</v>
      </c>
    </row>
    <row r="10790">
      <c r="A10790" t="str">
        <f>IFERROR(__xludf.DUMMYFUNCTION("""COMPUTED_VALUE"""),"45012")</f>
        <v>45012</v>
      </c>
      <c r="B10790" s="226" t="str">
        <f>IFERROR(__xludf.DUMMYFUNCTION("""COMPUTED_VALUE"""),"8058772229992")</f>
        <v>8058772229992</v>
      </c>
      <c r="C10790" t="str">
        <f>IFERROR(__xludf.DUMMYFUNCTION("""COMPUTED_VALUE"""),"Umbra")</f>
        <v>Umbra</v>
      </c>
    </row>
    <row r="10791">
      <c r="A10791" t="str">
        <f>IFERROR(__xludf.DUMMYFUNCTION("""COMPUTED_VALUE"""),"45014/C")</f>
        <v>45014/C</v>
      </c>
      <c r="B10791" s="226" t="str">
        <f>IFERROR(__xludf.DUMMYFUNCTION("""COMPUTED_VALUE"""),"8054521990014")</f>
        <v>8054521990014</v>
      </c>
      <c r="C10791" t="str">
        <f>IFERROR(__xludf.DUMMYFUNCTION("""COMPUTED_VALUE"""),"Umbra")</f>
        <v>Umbra</v>
      </c>
    </row>
    <row r="10792">
      <c r="A10792" t="str">
        <f>IFERROR(__xludf.DUMMYFUNCTION("""COMPUTED_VALUE"""),"45014/F")</f>
        <v>45014/F</v>
      </c>
      <c r="B10792" s="226" t="str">
        <f>IFERROR(__xludf.DUMMYFUNCTION("""COMPUTED_VALUE"""),"8058772226045")</f>
        <v>8058772226045</v>
      </c>
      <c r="C10792" t="str">
        <f>IFERROR(__xludf.DUMMYFUNCTION("""COMPUTED_VALUE"""),"Umbra")</f>
        <v>Umbra</v>
      </c>
    </row>
    <row r="10793">
      <c r="A10793" t="str">
        <f>IFERROR(__xludf.DUMMYFUNCTION("""COMPUTED_VALUE"""),"19117/VM")</f>
        <v>19117/VM</v>
      </c>
      <c r="B10793" s="226" t="str">
        <f>IFERROR(__xludf.DUMMYFUNCTION("""COMPUTED_VALUE"""),"NULL")</f>
        <v>NULL</v>
      </c>
      <c r="C10793" t="str">
        <f>IFERROR(__xludf.DUMMYFUNCTION("""COMPUTED_VALUE"""),"Umbra")</f>
        <v>Umbra</v>
      </c>
    </row>
    <row r="10794">
      <c r="A10794" t="str">
        <f>IFERROR(__xludf.DUMMYFUNCTION("""COMPUTED_VALUE"""),"19117/C")</f>
        <v>19117/C</v>
      </c>
      <c r="B10794" s="226" t="str">
        <f>IFERROR(__xludf.DUMMYFUNCTION("""COMPUTED_VALUE"""),"NULL")</f>
        <v>NULL</v>
      </c>
      <c r="C10794" t="str">
        <f>IFERROR(__xludf.DUMMYFUNCTION("""COMPUTED_VALUE"""),"Umbra")</f>
        <v>Umbra</v>
      </c>
    </row>
    <row r="10795">
      <c r="A10795" t="str">
        <f>IFERROR(__xludf.DUMMYFUNCTION("""COMPUTED_VALUE"""),"19117/F")</f>
        <v>19117/F</v>
      </c>
      <c r="B10795" s="226" t="str">
        <f>IFERROR(__xludf.DUMMYFUNCTION("""COMPUTED_VALUE"""),"NULL")</f>
        <v>NULL</v>
      </c>
      <c r="C10795" t="str">
        <f>IFERROR(__xludf.DUMMYFUNCTION("""COMPUTED_VALUE"""),"Umbra")</f>
        <v>Umbra</v>
      </c>
    </row>
    <row r="10796">
      <c r="A10796" t="str">
        <f>IFERROR(__xludf.DUMMYFUNCTION("""COMPUTED_VALUE"""),"45007")</f>
        <v>45007</v>
      </c>
      <c r="B10796" s="226" t="str">
        <f>IFERROR(__xludf.DUMMYFUNCTION("""COMPUTED_VALUE"""),"8058772229947")</f>
        <v>8058772229947</v>
      </c>
      <c r="C10796" t="str">
        <f>IFERROR(__xludf.DUMMYFUNCTION("""COMPUTED_VALUE"""),"Umbra")</f>
        <v>Umbra</v>
      </c>
    </row>
    <row r="10797">
      <c r="A10797" t="str">
        <f>IFERROR(__xludf.DUMMYFUNCTION("""COMPUTED_VALUE"""),"45019")</f>
        <v>45019</v>
      </c>
      <c r="B10797" s="226" t="str">
        <f>IFERROR(__xludf.DUMMYFUNCTION("""COMPUTED_VALUE"""),"8054521990083")</f>
        <v>8054521990083</v>
      </c>
      <c r="C10797" t="str">
        <f>IFERROR(__xludf.DUMMYFUNCTION("""COMPUTED_VALUE"""),"Umbra")</f>
        <v>Umbra</v>
      </c>
    </row>
    <row r="10798">
      <c r="A10798" t="str">
        <f>IFERROR(__xludf.DUMMYFUNCTION("""COMPUTED_VALUE"""),"45016")</f>
        <v>45016</v>
      </c>
      <c r="B10798" s="226" t="str">
        <f>IFERROR(__xludf.DUMMYFUNCTION("""COMPUTED_VALUE"""),"8054521990038")</f>
        <v>8054521990038</v>
      </c>
      <c r="C10798" t="str">
        <f>IFERROR(__xludf.DUMMYFUNCTION("""COMPUTED_VALUE"""),"Umbra")</f>
        <v>Umbra</v>
      </c>
    </row>
    <row r="10799">
      <c r="A10799" t="str">
        <f>IFERROR(__xludf.DUMMYFUNCTION("""COMPUTED_VALUE"""),"45016/F")</f>
        <v>45016/F</v>
      </c>
      <c r="B10799" s="226" t="str">
        <f>IFERROR(__xludf.DUMMYFUNCTION("""COMPUTED_VALUE"""),"8058772226069")</f>
        <v>8058772226069</v>
      </c>
      <c r="C10799" t="str">
        <f>IFERROR(__xludf.DUMMYFUNCTION("""COMPUTED_VALUE"""),"Umbra")</f>
        <v>Umbra</v>
      </c>
    </row>
    <row r="10800">
      <c r="A10800" t="str">
        <f>IFERROR(__xludf.DUMMYFUNCTION("""COMPUTED_VALUE"""),"45020/C")</f>
        <v>45020/C</v>
      </c>
      <c r="B10800" s="226" t="str">
        <f>IFERROR(__xludf.DUMMYFUNCTION("""COMPUTED_VALUE"""),"8054521990090")</f>
        <v>8054521990090</v>
      </c>
      <c r="C10800" t="str">
        <f>IFERROR(__xludf.DUMMYFUNCTION("""COMPUTED_VALUE"""),"Umbra")</f>
        <v>Umbra</v>
      </c>
    </row>
    <row r="10801">
      <c r="A10801" t="str">
        <f>IFERROR(__xludf.DUMMYFUNCTION("""COMPUTED_VALUE"""),"45020/F")</f>
        <v>45020/F</v>
      </c>
      <c r="B10801" s="226" t="str">
        <f>IFERROR(__xludf.DUMMYFUNCTION("""COMPUTED_VALUE"""),"8058772226090")</f>
        <v>8058772226090</v>
      </c>
      <c r="C10801" t="str">
        <f>IFERROR(__xludf.DUMMYFUNCTION("""COMPUTED_VALUE"""),"Umbra")</f>
        <v>Umbra</v>
      </c>
    </row>
    <row r="10802">
      <c r="A10802" t="str">
        <f>IFERROR(__xludf.DUMMYFUNCTION("""COMPUTED_VALUE"""),"45020/VM")</f>
        <v>45020/VM</v>
      </c>
      <c r="B10802" s="226" t="str">
        <f>IFERROR(__xludf.DUMMYFUNCTION("""COMPUTED_VALUE"""),"8054521990106")</f>
        <v>8054521990106</v>
      </c>
      <c r="C10802" t="str">
        <f>IFERROR(__xludf.DUMMYFUNCTION("""COMPUTED_VALUE"""),"Umbra")</f>
        <v>Umbra</v>
      </c>
    </row>
    <row r="10803">
      <c r="A10803" t="str">
        <f>IFERROR(__xludf.DUMMYFUNCTION("""COMPUTED_VALUE"""),"45017/C")</f>
        <v>45017/C</v>
      </c>
      <c r="B10803" s="226" t="str">
        <f>IFERROR(__xludf.DUMMYFUNCTION("""COMPUTED_VALUE"""),"8054521990045")</f>
        <v>8054521990045</v>
      </c>
      <c r="C10803" t="str">
        <f>IFERROR(__xludf.DUMMYFUNCTION("""COMPUTED_VALUE"""),"Umbra")</f>
        <v>Umbra</v>
      </c>
    </row>
    <row r="10804">
      <c r="A10804" t="str">
        <f>IFERROR(__xludf.DUMMYFUNCTION("""COMPUTED_VALUE"""),"45017/F")</f>
        <v>45017/F</v>
      </c>
      <c r="B10804" s="226" t="str">
        <f>IFERROR(__xludf.DUMMYFUNCTION("""COMPUTED_VALUE"""),"8058772226076")</f>
        <v>8058772226076</v>
      </c>
      <c r="C10804" t="str">
        <f>IFERROR(__xludf.DUMMYFUNCTION("""COMPUTED_VALUE"""),"Umbra")</f>
        <v>Umbra</v>
      </c>
    </row>
    <row r="10805">
      <c r="A10805" t="str">
        <f>IFERROR(__xludf.DUMMYFUNCTION("""COMPUTED_VALUE"""),"45017/VM")</f>
        <v>45017/VM</v>
      </c>
      <c r="B10805" s="226" t="str">
        <f>IFERROR(__xludf.DUMMYFUNCTION("""COMPUTED_VALUE"""),"8054521990052")</f>
        <v>8054521990052</v>
      </c>
      <c r="C10805" t="str">
        <f>IFERROR(__xludf.DUMMYFUNCTION("""COMPUTED_VALUE"""),"Umbra")</f>
        <v>Umbra</v>
      </c>
    </row>
    <row r="10806">
      <c r="A10806" t="str">
        <f>IFERROR(__xludf.DUMMYFUNCTION("""COMPUTED_VALUE"""),"19114/C")</f>
        <v>19114/C</v>
      </c>
      <c r="B10806" s="226" t="str">
        <f>IFERROR(__xludf.DUMMYFUNCTION("""COMPUTED_VALUE"""),"8054521990687")</f>
        <v>8054521990687</v>
      </c>
      <c r="C10806" t="str">
        <f>IFERROR(__xludf.DUMMYFUNCTION("""COMPUTED_VALUE"""),"Umbra")</f>
        <v>Umbra</v>
      </c>
    </row>
    <row r="10807">
      <c r="A10807" t="str">
        <f>IFERROR(__xludf.DUMMYFUNCTION("""COMPUTED_VALUE"""),"19114/F")</f>
        <v>19114/F</v>
      </c>
      <c r="B10807" s="226" t="str">
        <f>IFERROR(__xludf.DUMMYFUNCTION("""COMPUTED_VALUE"""),"8058772223242")</f>
        <v>8058772223242</v>
      </c>
      <c r="C10807" t="str">
        <f>IFERROR(__xludf.DUMMYFUNCTION("""COMPUTED_VALUE"""),"Umbra")</f>
        <v>Umbra</v>
      </c>
    </row>
    <row r="10808">
      <c r="A10808" t="str">
        <f>IFERROR(__xludf.DUMMYFUNCTION("""COMPUTED_VALUE"""),"19114/VM")</f>
        <v>19114/VM</v>
      </c>
      <c r="B10808" s="226" t="str">
        <f>IFERROR(__xludf.DUMMYFUNCTION("""COMPUTED_VALUE"""),"8054521990694")</f>
        <v>8054521990694</v>
      </c>
      <c r="C10808" t="str">
        <f>IFERROR(__xludf.DUMMYFUNCTION("""COMPUTED_VALUE"""),"Umbra")</f>
        <v>Umbra</v>
      </c>
    </row>
    <row r="10809">
      <c r="A10809" t="str">
        <f>IFERROR(__xludf.DUMMYFUNCTION("""COMPUTED_VALUE"""),"45018/C")</f>
        <v>45018/C</v>
      </c>
      <c r="C10809" t="str">
        <f>IFERROR(__xludf.DUMMYFUNCTION("""COMPUTED_VALUE"""),"Umbra")</f>
        <v>Umbra</v>
      </c>
    </row>
    <row r="10810">
      <c r="A10810" t="str">
        <f>IFERROR(__xludf.DUMMYFUNCTION("""COMPUTED_VALUE"""),"45018/1C")</f>
        <v>45018/1C</v>
      </c>
      <c r="B10810" s="226" t="str">
        <f>IFERROR(__xludf.DUMMYFUNCTION("""COMPUTED_VALUE"""),"8054521990069")</f>
        <v>8054521990069</v>
      </c>
      <c r="C10810" t="str">
        <f>IFERROR(__xludf.DUMMYFUNCTION("""COMPUTED_VALUE"""),"Umbra")</f>
        <v>Umbra</v>
      </c>
    </row>
    <row r="10811">
      <c r="A10811" t="str">
        <f>IFERROR(__xludf.DUMMYFUNCTION("""COMPUTED_VALUE"""),"45018/F")</f>
        <v>45018/F</v>
      </c>
      <c r="B10811" s="226" t="str">
        <f>IFERROR(__xludf.DUMMYFUNCTION("""COMPUTED_VALUE"""),"8058772226083")</f>
        <v>8058772226083</v>
      </c>
      <c r="C10811" t="str">
        <f>IFERROR(__xludf.DUMMYFUNCTION("""COMPUTED_VALUE"""),"Umbra")</f>
        <v>Umbra</v>
      </c>
    </row>
    <row r="10812">
      <c r="A10812" t="str">
        <f>IFERROR(__xludf.DUMMYFUNCTION("""COMPUTED_VALUE"""),"45018/1F")</f>
        <v>45018/1F</v>
      </c>
      <c r="C10812" t="str">
        <f>IFERROR(__xludf.DUMMYFUNCTION("""COMPUTED_VALUE"""),"Umbra")</f>
        <v>Umbra</v>
      </c>
    </row>
    <row r="10813">
      <c r="A10813" t="str">
        <f>IFERROR(__xludf.DUMMYFUNCTION("""COMPUTED_VALUE"""),"45018/VM")</f>
        <v>45018/VM</v>
      </c>
      <c r="C10813" t="str">
        <f>IFERROR(__xludf.DUMMYFUNCTION("""COMPUTED_VALUE"""),"Umbra")</f>
        <v>Umbra</v>
      </c>
    </row>
    <row r="10814">
      <c r="A10814" t="str">
        <f>IFERROR(__xludf.DUMMYFUNCTION("""COMPUTED_VALUE"""),"45018/1VM")</f>
        <v>45018/1VM</v>
      </c>
      <c r="B10814" s="226" t="str">
        <f>IFERROR(__xludf.DUMMYFUNCTION("""COMPUTED_VALUE"""),"8054521990076")</f>
        <v>8054521990076</v>
      </c>
      <c r="C10814" t="str">
        <f>IFERROR(__xludf.DUMMYFUNCTION("""COMPUTED_VALUE"""),"Umbra")</f>
        <v>Umbra</v>
      </c>
    </row>
    <row r="10815">
      <c r="A10815" t="str">
        <f>IFERROR(__xludf.DUMMYFUNCTION("""COMPUTED_VALUE"""),"45022/C")</f>
        <v>45022/C</v>
      </c>
      <c r="B10815" s="226" t="str">
        <f>IFERROR(__xludf.DUMMYFUNCTION("""COMPUTED_VALUE"""),"8054521990137")</f>
        <v>8054521990137</v>
      </c>
      <c r="C10815" t="str">
        <f>IFERROR(__xludf.DUMMYFUNCTION("""COMPUTED_VALUE"""),"Umbra")</f>
        <v>Umbra</v>
      </c>
    </row>
    <row r="10816">
      <c r="A10816" t="str">
        <f>IFERROR(__xludf.DUMMYFUNCTION("""COMPUTED_VALUE"""),"45022/F")</f>
        <v>45022/F</v>
      </c>
      <c r="B10816" s="226" t="str">
        <f>IFERROR(__xludf.DUMMYFUNCTION("""COMPUTED_VALUE"""),"8058772226113")</f>
        <v>8058772226113</v>
      </c>
      <c r="C10816" t="str">
        <f>IFERROR(__xludf.DUMMYFUNCTION("""COMPUTED_VALUE"""),"Umbra")</f>
        <v>Umbra</v>
      </c>
    </row>
    <row r="10817">
      <c r="A10817" t="str">
        <f>IFERROR(__xludf.DUMMYFUNCTION("""COMPUTED_VALUE"""),"45022/VM")</f>
        <v>45022/VM</v>
      </c>
      <c r="B10817" s="226" t="str">
        <f>IFERROR(__xludf.DUMMYFUNCTION("""COMPUTED_VALUE"""),"8054521990144")</f>
        <v>8054521990144</v>
      </c>
      <c r="C10817" t="str">
        <f>IFERROR(__xludf.DUMMYFUNCTION("""COMPUTED_VALUE"""),"Umbra")</f>
        <v>Umbra</v>
      </c>
    </row>
    <row r="10818">
      <c r="A10818" t="str">
        <f>IFERROR(__xludf.DUMMYFUNCTION("""COMPUTED_VALUE"""),"19113/C")</f>
        <v>19113/C</v>
      </c>
      <c r="B10818" s="226" t="str">
        <f>IFERROR(__xludf.DUMMYFUNCTION("""COMPUTED_VALUE"""),"8054521990663")</f>
        <v>8054521990663</v>
      </c>
      <c r="C10818" t="str">
        <f>IFERROR(__xludf.DUMMYFUNCTION("""COMPUTED_VALUE"""),"Umbra")</f>
        <v>Umbra</v>
      </c>
    </row>
    <row r="10819">
      <c r="A10819" t="str">
        <f>IFERROR(__xludf.DUMMYFUNCTION("""COMPUTED_VALUE"""),"19113/F")</f>
        <v>19113/F</v>
      </c>
      <c r="B10819" s="226" t="str">
        <f>IFERROR(__xludf.DUMMYFUNCTION("""COMPUTED_VALUE"""),"8058772223235")</f>
        <v>8058772223235</v>
      </c>
      <c r="C10819" t="str">
        <f>IFERROR(__xludf.DUMMYFUNCTION("""COMPUTED_VALUE"""),"Umbra")</f>
        <v>Umbra</v>
      </c>
    </row>
    <row r="10820">
      <c r="A10820" t="str">
        <f>IFERROR(__xludf.DUMMYFUNCTION("""COMPUTED_VALUE"""),"19113/VM")</f>
        <v>19113/VM</v>
      </c>
      <c r="B10820" s="226" t="str">
        <f>IFERROR(__xludf.DUMMYFUNCTION("""COMPUTED_VALUE"""),"8054521990670")</f>
        <v>8054521990670</v>
      </c>
      <c r="C10820" t="str">
        <f>IFERROR(__xludf.DUMMYFUNCTION("""COMPUTED_VALUE"""),"Umbra")</f>
        <v>Umbra</v>
      </c>
    </row>
    <row r="10821">
      <c r="A10821" t="str">
        <f>IFERROR(__xludf.DUMMYFUNCTION("""COMPUTED_VALUE"""),"19111/HC")</f>
        <v>19111/HC</v>
      </c>
      <c r="C10821" t="str">
        <f>IFERROR(__xludf.DUMMYFUNCTION("""COMPUTED_VALUE"""),"Umbra")</f>
        <v>Umbra</v>
      </c>
    </row>
    <row r="10822">
      <c r="A10822" t="str">
        <f>IFERROR(__xludf.DUMMYFUNCTION("""COMPUTED_VALUE"""),"19111/HF")</f>
        <v>19111/HF</v>
      </c>
      <c r="C10822" t="str">
        <f>IFERROR(__xludf.DUMMYFUNCTION("""COMPUTED_VALUE"""),"Umbra")</f>
        <v>Umbra</v>
      </c>
    </row>
    <row r="10823">
      <c r="A10823" t="str">
        <f>IFERROR(__xludf.DUMMYFUNCTION("""COMPUTED_VALUE"""),"19111/HVM")</f>
        <v>19111/HVM</v>
      </c>
      <c r="C10823" t="str">
        <f>IFERROR(__xludf.DUMMYFUNCTION("""COMPUTED_VALUE"""),"Umbra")</f>
        <v>Umbra</v>
      </c>
    </row>
    <row r="10824">
      <c r="A10824" t="str">
        <f>IFERROR(__xludf.DUMMYFUNCTION("""COMPUTED_VALUE"""),"45006")</f>
        <v>45006</v>
      </c>
      <c r="B10824" s="226" t="str">
        <f>IFERROR(__xludf.DUMMYFUNCTION("""COMPUTED_VALUE"""),"8058772229930")</f>
        <v>8058772229930</v>
      </c>
      <c r="C10824" t="str">
        <f>IFERROR(__xludf.DUMMYFUNCTION("""COMPUTED_VALUE"""),"Umbra")</f>
        <v>Umbra</v>
      </c>
    </row>
    <row r="10825">
      <c r="A10825" t="str">
        <f>IFERROR(__xludf.DUMMYFUNCTION("""COMPUTED_VALUE"""),"45006")</f>
        <v>45006</v>
      </c>
      <c r="B10825" s="226" t="str">
        <f>IFERROR(__xludf.DUMMYFUNCTION("""COMPUTED_VALUE"""),"8058772229930")</f>
        <v>8058772229930</v>
      </c>
      <c r="C10825" t="str">
        <f>IFERROR(__xludf.DUMMYFUNCTION("""COMPUTED_VALUE"""),"Umbra")</f>
        <v>Umbra</v>
      </c>
    </row>
    <row r="10826">
      <c r="A10826" t="str">
        <f>IFERROR(__xludf.DUMMYFUNCTION("""COMPUTED_VALUE"""),"45006")</f>
        <v>45006</v>
      </c>
      <c r="B10826" s="226" t="str">
        <f>IFERROR(__xludf.DUMMYFUNCTION("""COMPUTED_VALUE"""),"8058772229930")</f>
        <v>8058772229930</v>
      </c>
      <c r="C10826" t="str">
        <f>IFERROR(__xludf.DUMMYFUNCTION("""COMPUTED_VALUE"""),"Umbra")</f>
        <v>Umbra</v>
      </c>
    </row>
    <row r="10827">
      <c r="A10827" t="str">
        <f>IFERROR(__xludf.DUMMYFUNCTION("""COMPUTED_VALUE"""),"45010")</f>
        <v>45010</v>
      </c>
      <c r="B10827" s="226" t="str">
        <f>IFERROR(__xludf.DUMMYFUNCTION("""COMPUTED_VALUE"""),"8058772229978")</f>
        <v>8058772229978</v>
      </c>
      <c r="C10827" t="str">
        <f>IFERROR(__xludf.DUMMYFUNCTION("""COMPUTED_VALUE"""),"Umbra")</f>
        <v>Umbra</v>
      </c>
    </row>
    <row r="10828">
      <c r="A10828" t="str">
        <f>IFERROR(__xludf.DUMMYFUNCTION("""COMPUTED_VALUE"""),"19117/VM")</f>
        <v>19117/VM</v>
      </c>
      <c r="B10828" s="226" t="str">
        <f>IFERROR(__xludf.DUMMYFUNCTION("""COMPUTED_VALUE"""),"NULL")</f>
        <v>NULL</v>
      </c>
      <c r="C10828" t="str">
        <f>IFERROR(__xludf.DUMMYFUNCTION("""COMPUTED_VALUE"""),"Umbra")</f>
        <v>Umbra</v>
      </c>
    </row>
    <row r="10829">
      <c r="A10829" t="str">
        <f>IFERROR(__xludf.DUMMYFUNCTION("""COMPUTED_VALUE"""),"19117/C")</f>
        <v>19117/C</v>
      </c>
      <c r="B10829" s="226" t="str">
        <f>IFERROR(__xludf.DUMMYFUNCTION("""COMPUTED_VALUE"""),"NULL")</f>
        <v>NULL</v>
      </c>
      <c r="C10829" t="str">
        <f>IFERROR(__xludf.DUMMYFUNCTION("""COMPUTED_VALUE"""),"Umbra")</f>
        <v>Umbra</v>
      </c>
    </row>
    <row r="10830">
      <c r="A10830" t="str">
        <f>IFERROR(__xludf.DUMMYFUNCTION("""COMPUTED_VALUE"""),"19117/F")</f>
        <v>19117/F</v>
      </c>
      <c r="B10830" s="226" t="str">
        <f>IFERROR(__xludf.DUMMYFUNCTION("""COMPUTED_VALUE"""),"NULL")</f>
        <v>NULL</v>
      </c>
      <c r="C10830" t="str">
        <f>IFERROR(__xludf.DUMMYFUNCTION("""COMPUTED_VALUE"""),"Umbra")</f>
        <v>Umbra</v>
      </c>
    </row>
    <row r="10831">
      <c r="A10831" t="str">
        <f>IFERROR(__xludf.DUMMYFUNCTION("""COMPUTED_VALUE"""),"45009")</f>
        <v>45009</v>
      </c>
      <c r="C10831" t="str">
        <f>IFERROR(__xludf.DUMMYFUNCTION("""COMPUTED_VALUE"""),"Umbra")</f>
        <v>Umbra</v>
      </c>
    </row>
    <row r="10832">
      <c r="A10832" t="str">
        <f>IFERROR(__xludf.DUMMYFUNCTION("""COMPUTED_VALUE"""),"45015/C")</f>
        <v>45015/C</v>
      </c>
      <c r="B10832" s="226" t="str">
        <f>IFERROR(__xludf.DUMMYFUNCTION("""COMPUTED_VALUE"""),"8054521990021")</f>
        <v>8054521990021</v>
      </c>
      <c r="C10832" t="str">
        <f>IFERROR(__xludf.DUMMYFUNCTION("""COMPUTED_VALUE"""),"Umbra")</f>
        <v>Umbra</v>
      </c>
    </row>
    <row r="10833">
      <c r="A10833" t="str">
        <f>IFERROR(__xludf.DUMMYFUNCTION("""COMPUTED_VALUE"""),"45015/F")</f>
        <v>45015/F</v>
      </c>
      <c r="B10833" s="226" t="str">
        <f>IFERROR(__xludf.DUMMYFUNCTION("""COMPUTED_VALUE"""),"8058772226052")</f>
        <v>8058772226052</v>
      </c>
      <c r="C10833" t="str">
        <f>IFERROR(__xludf.DUMMYFUNCTION("""COMPUTED_VALUE"""),"Umbra")</f>
        <v>Umbra</v>
      </c>
    </row>
    <row r="10834">
      <c r="A10834" t="str">
        <f>IFERROR(__xludf.DUMMYFUNCTION("""COMPUTED_VALUE"""),"19115/C")</f>
        <v>19115/C</v>
      </c>
      <c r="B10834" s="226" t="str">
        <f>IFERROR(__xludf.DUMMYFUNCTION("""COMPUTED_VALUE"""),"8058772223266")</f>
        <v>8058772223266</v>
      </c>
      <c r="C10834" t="str">
        <f>IFERROR(__xludf.DUMMYFUNCTION("""COMPUTED_VALUE"""),"Umbra")</f>
        <v>Umbra</v>
      </c>
    </row>
    <row r="10835">
      <c r="A10835" t="str">
        <f>IFERROR(__xludf.DUMMYFUNCTION("""COMPUTED_VALUE"""),"19115/F")</f>
        <v>19115/F</v>
      </c>
      <c r="B10835" s="226" t="str">
        <f>IFERROR(__xludf.DUMMYFUNCTION("""COMPUTED_VALUE"""),"8058772223259")</f>
        <v>8058772223259</v>
      </c>
      <c r="C10835" t="str">
        <f>IFERROR(__xludf.DUMMYFUNCTION("""COMPUTED_VALUE"""),"Umbra")</f>
        <v>Umbra</v>
      </c>
    </row>
    <row r="10836">
      <c r="A10836" t="str">
        <f>IFERROR(__xludf.DUMMYFUNCTION("""COMPUTED_VALUE"""),"19115/VM")</f>
        <v>19115/VM</v>
      </c>
      <c r="B10836" s="226" t="str">
        <f>IFERROR(__xludf.DUMMYFUNCTION("""COMPUTED_VALUE"""),"8058772223273")</f>
        <v>8058772223273</v>
      </c>
      <c r="C10836" t="str">
        <f>IFERROR(__xludf.DUMMYFUNCTION("""COMPUTED_VALUE"""),"Umbra")</f>
        <v>Umbra</v>
      </c>
    </row>
    <row r="10837">
      <c r="A10837" t="str">
        <f>IFERROR(__xludf.DUMMYFUNCTION("""COMPUTED_VALUE"""),"45011")</f>
        <v>45011</v>
      </c>
      <c r="B10837" s="226" t="str">
        <f>IFERROR(__xludf.DUMMYFUNCTION("""COMPUTED_VALUE"""),"8058772229985")</f>
        <v>8058772229985</v>
      </c>
      <c r="C10837" t="str">
        <f>IFERROR(__xludf.DUMMYFUNCTION("""COMPUTED_VALUE"""),"Umbra")</f>
        <v>Umbra</v>
      </c>
    </row>
    <row r="10838">
      <c r="A10838" t="str">
        <f>IFERROR(__xludf.DUMMYFUNCTION("""COMPUTED_VALUE"""),"45011/F")</f>
        <v>45011/F</v>
      </c>
      <c r="B10838" s="226" t="str">
        <f>IFERROR(__xludf.DUMMYFUNCTION("""COMPUTED_VALUE"""),"8058772226038")</f>
        <v>8058772226038</v>
      </c>
      <c r="C10838" t="str">
        <f>IFERROR(__xludf.DUMMYFUNCTION("""COMPUTED_VALUE"""),"Umbra")</f>
        <v>Umbra</v>
      </c>
    </row>
    <row r="10839">
      <c r="A10839" t="str">
        <f>IFERROR(__xludf.DUMMYFUNCTION("""COMPUTED_VALUE"""),"45024/C")</f>
        <v>45024/C</v>
      </c>
      <c r="B10839" s="226" t="str">
        <f>IFERROR(__xludf.DUMMYFUNCTION("""COMPUTED_VALUE"""),"8054521996269")</f>
        <v>8054521996269</v>
      </c>
      <c r="C10839" t="str">
        <f>IFERROR(__xludf.DUMMYFUNCTION("""COMPUTED_VALUE"""),"Umbra")</f>
        <v>Umbra</v>
      </c>
    </row>
    <row r="10840">
      <c r="A10840" t="str">
        <f>IFERROR(__xludf.DUMMYFUNCTION("""COMPUTED_VALUE"""),"45024/F")</f>
        <v>45024/F</v>
      </c>
      <c r="B10840" s="226" t="str">
        <f>IFERROR(__xludf.DUMMYFUNCTION("""COMPUTED_VALUE"""),"8054521996252")</f>
        <v>8054521996252</v>
      </c>
      <c r="C10840" t="str">
        <f>IFERROR(__xludf.DUMMYFUNCTION("""COMPUTED_VALUE"""),"Umbra")</f>
        <v>Umbra</v>
      </c>
    </row>
    <row r="10841">
      <c r="A10841" t="str">
        <f>IFERROR(__xludf.DUMMYFUNCTION("""COMPUTED_VALUE"""),"45024/VM")</f>
        <v>45024/VM</v>
      </c>
      <c r="B10841" s="226" t="str">
        <f>IFERROR(__xludf.DUMMYFUNCTION("""COMPUTED_VALUE"""),"8054521996276")</f>
        <v>8054521996276</v>
      </c>
      <c r="C10841" t="str">
        <f>IFERROR(__xludf.DUMMYFUNCTION("""COMPUTED_VALUE"""),"Umbra")</f>
        <v>Umbra</v>
      </c>
    </row>
    <row r="10842">
      <c r="A10842" t="str">
        <f>IFERROR(__xludf.DUMMYFUNCTION("""COMPUTED_VALUE"""),"45021/C")</f>
        <v>45021/C</v>
      </c>
      <c r="B10842" s="226" t="str">
        <f>IFERROR(__xludf.DUMMYFUNCTION("""COMPUTED_VALUE"""),"8054521990113")</f>
        <v>8054521990113</v>
      </c>
      <c r="C10842" t="str">
        <f>IFERROR(__xludf.DUMMYFUNCTION("""COMPUTED_VALUE"""),"Umbra")</f>
        <v>Umbra</v>
      </c>
    </row>
    <row r="10843">
      <c r="A10843" t="str">
        <f>IFERROR(__xludf.DUMMYFUNCTION("""COMPUTED_VALUE"""),"45021/F")</f>
        <v>45021/F</v>
      </c>
      <c r="B10843" s="226" t="str">
        <f>IFERROR(__xludf.DUMMYFUNCTION("""COMPUTED_VALUE"""),"8058772226106")</f>
        <v>8058772226106</v>
      </c>
      <c r="C10843" t="str">
        <f>IFERROR(__xludf.DUMMYFUNCTION("""COMPUTED_VALUE"""),"Umbra")</f>
        <v>Umbra</v>
      </c>
    </row>
    <row r="10844">
      <c r="A10844" t="str">
        <f>IFERROR(__xludf.DUMMYFUNCTION("""COMPUTED_VALUE"""),"45021/VM")</f>
        <v>45021/VM</v>
      </c>
      <c r="B10844" s="226" t="str">
        <f>IFERROR(__xludf.DUMMYFUNCTION("""COMPUTED_VALUE"""),"8054521990120")</f>
        <v>8054521990120</v>
      </c>
      <c r="C10844" t="str">
        <f>IFERROR(__xludf.DUMMYFUNCTION("""COMPUTED_VALUE"""),"Umbra")</f>
        <v>Umbra</v>
      </c>
    </row>
    <row r="10845">
      <c r="A10845" t="str">
        <f>IFERROR(__xludf.DUMMYFUNCTION("""COMPUTED_VALUE"""),"17004")</f>
        <v>17004</v>
      </c>
      <c r="B10845" s="226" t="str">
        <f>IFERROR(__xludf.DUMMYFUNCTION("""COMPUTED_VALUE"""),"8054521990243")</f>
        <v>8054521990243</v>
      </c>
      <c r="C10845" t="str">
        <f>IFERROR(__xludf.DUMMYFUNCTION("""COMPUTED_VALUE"""),"Umbra")</f>
        <v>Umbra</v>
      </c>
    </row>
    <row r="10846">
      <c r="A10846" t="str">
        <f>IFERROR(__xludf.DUMMYFUNCTION("""COMPUTED_VALUE"""),"17005/C")</f>
        <v>17005/C</v>
      </c>
      <c r="B10846" s="226" t="str">
        <f>IFERROR(__xludf.DUMMYFUNCTION("""COMPUTED_VALUE"""),"8054521990250")</f>
        <v>8054521990250</v>
      </c>
      <c r="C10846" t="str">
        <f>IFERROR(__xludf.DUMMYFUNCTION("""COMPUTED_VALUE"""),"Umbra")</f>
        <v>Umbra</v>
      </c>
    </row>
    <row r="10847">
      <c r="A10847" t="str">
        <f>IFERROR(__xludf.DUMMYFUNCTION("""COMPUTED_VALUE"""),"17005/G")</f>
        <v>17005/G</v>
      </c>
      <c r="B10847" s="226" t="str">
        <f>IFERROR(__xludf.DUMMYFUNCTION("""COMPUTED_VALUE"""),"8054521990267")</f>
        <v>8054521990267</v>
      </c>
      <c r="C10847" t="str">
        <f>IFERROR(__xludf.DUMMYFUNCTION("""COMPUTED_VALUE"""),"Umbra")</f>
        <v>Umbra</v>
      </c>
    </row>
    <row r="10848">
      <c r="A10848" t="str">
        <f>IFERROR(__xludf.DUMMYFUNCTION("""COMPUTED_VALUE"""),"17005/SF")</f>
        <v>17005/SF</v>
      </c>
      <c r="B10848" s="226" t="str">
        <f>IFERROR(__xludf.DUMMYFUNCTION("""COMPUTED_VALUE"""),"8054521990274")</f>
        <v>8054521990274</v>
      </c>
      <c r="C10848" t="str">
        <f>IFERROR(__xludf.DUMMYFUNCTION("""COMPUTED_VALUE"""),"Umbra")</f>
        <v>Umbra</v>
      </c>
    </row>
    <row r="10849">
      <c r="A10849" t="str">
        <f>IFERROR(__xludf.DUMMYFUNCTION("""COMPUTED_VALUE"""),"17007/C")</f>
        <v>17007/C</v>
      </c>
      <c r="B10849" s="226" t="str">
        <f>IFERROR(__xludf.DUMMYFUNCTION("""COMPUTED_VALUE"""),"8054521990304")</f>
        <v>8054521990304</v>
      </c>
      <c r="C10849" t="str">
        <f>IFERROR(__xludf.DUMMYFUNCTION("""COMPUTED_VALUE"""),"Umbra")</f>
        <v>Umbra</v>
      </c>
    </row>
    <row r="10850">
      <c r="A10850" t="str">
        <f>IFERROR(__xludf.DUMMYFUNCTION("""COMPUTED_VALUE"""),"17007/G")</f>
        <v>17007/G</v>
      </c>
      <c r="B10850" s="226" t="str">
        <f>IFERROR(__xludf.DUMMYFUNCTION("""COMPUTED_VALUE"""),"8054521990311")</f>
        <v>8054521990311</v>
      </c>
      <c r="C10850" t="str">
        <f>IFERROR(__xludf.DUMMYFUNCTION("""COMPUTED_VALUE"""),"Umbra")</f>
        <v>Umbra</v>
      </c>
    </row>
    <row r="10851">
      <c r="A10851" t="str">
        <f>IFERROR(__xludf.DUMMYFUNCTION("""COMPUTED_VALUE"""),"17009/SF")</f>
        <v>17009/SF</v>
      </c>
      <c r="B10851" s="226" t="str">
        <f>IFERROR(__xludf.DUMMYFUNCTION("""COMPUTED_VALUE"""),"8054521995590")</f>
        <v>8054521995590</v>
      </c>
      <c r="C10851" t="str">
        <f>IFERROR(__xludf.DUMMYFUNCTION("""COMPUTED_VALUE"""),"Umbra")</f>
        <v>Umbra</v>
      </c>
    </row>
    <row r="10852">
      <c r="A10852" t="str">
        <f>IFERROR(__xludf.DUMMYFUNCTION("""COMPUTED_VALUE"""),"17007/SF")</f>
        <v>17007/SF</v>
      </c>
      <c r="B10852" s="226" t="str">
        <f>IFERROR(__xludf.DUMMYFUNCTION("""COMPUTED_VALUE"""),"8054521990328")</f>
        <v>8054521990328</v>
      </c>
      <c r="C10852" t="str">
        <f>IFERROR(__xludf.DUMMYFUNCTION("""COMPUTED_VALUE"""),"Umbra")</f>
        <v>Umbra</v>
      </c>
    </row>
    <row r="10853">
      <c r="A10853" t="str">
        <f>IFERROR(__xludf.DUMMYFUNCTION("""COMPUTED_VALUE"""),"17009/SFM")</f>
        <v>17009/SFM</v>
      </c>
      <c r="B10853" s="226" t="str">
        <f>IFERROR(__xludf.DUMMYFUNCTION("""COMPUTED_VALUE"""),"8054521995606")</f>
        <v>8054521995606</v>
      </c>
      <c r="C10853" t="str">
        <f>IFERROR(__xludf.DUMMYFUNCTION("""COMPUTED_VALUE"""),"Umbra")</f>
        <v>Umbra</v>
      </c>
    </row>
    <row r="10854">
      <c r="A10854" t="str">
        <f>IFERROR(__xludf.DUMMYFUNCTION("""COMPUTED_VALUE"""),"17007/SFM")</f>
        <v>17007/SFM</v>
      </c>
      <c r="C10854" t="str">
        <f>IFERROR(__xludf.DUMMYFUNCTION("""COMPUTED_VALUE"""),"Umbra")</f>
        <v>Umbra</v>
      </c>
    </row>
    <row r="10855">
      <c r="A10855" t="str">
        <f>IFERROR(__xludf.DUMMYFUNCTION("""COMPUTED_VALUE"""),"17007/VM")</f>
        <v>17007/VM</v>
      </c>
      <c r="B10855" s="226" t="str">
        <f>IFERROR(__xludf.DUMMYFUNCTION("""COMPUTED_VALUE"""),"8054521990335")</f>
        <v>8054521990335</v>
      </c>
      <c r="C10855" t="str">
        <f>IFERROR(__xludf.DUMMYFUNCTION("""COMPUTED_VALUE"""),"Umbra")</f>
        <v>Umbra</v>
      </c>
    </row>
    <row r="10856">
      <c r="A10856" t="str">
        <f>IFERROR(__xludf.DUMMYFUNCTION("""COMPUTED_VALUE"""),"17008")</f>
        <v>17008</v>
      </c>
      <c r="B10856" s="226" t="str">
        <f>IFERROR(__xludf.DUMMYFUNCTION("""COMPUTED_VALUE"""),"8058772222993")</f>
        <v>8058772222993</v>
      </c>
      <c r="C10856" t="str">
        <f>IFERROR(__xludf.DUMMYFUNCTION("""COMPUTED_VALUE"""),"Umbra")</f>
        <v>Umbra</v>
      </c>
    </row>
    <row r="10857">
      <c r="A10857" t="str">
        <f>IFERROR(__xludf.DUMMYFUNCTION("""COMPUTED_VALUE"""),"17006/G")</f>
        <v>17006/G</v>
      </c>
      <c r="B10857" s="226" t="str">
        <f>IFERROR(__xludf.DUMMYFUNCTION("""COMPUTED_VALUE"""),"8054521990281")</f>
        <v>8054521990281</v>
      </c>
      <c r="C10857" t="str">
        <f>IFERROR(__xludf.DUMMYFUNCTION("""COMPUTED_VALUE"""),"Umbra")</f>
        <v>Umbra</v>
      </c>
    </row>
    <row r="10858">
      <c r="A10858" t="str">
        <f>IFERROR(__xludf.DUMMYFUNCTION("""COMPUTED_VALUE"""),"17006/SFM")</f>
        <v>17006/SFM</v>
      </c>
      <c r="B10858" s="226" t="str">
        <f>IFERROR(__xludf.DUMMYFUNCTION("""COMPUTED_VALUE"""),"8054521990298")</f>
        <v>8054521990298</v>
      </c>
      <c r="C10858" t="str">
        <f>IFERROR(__xludf.DUMMYFUNCTION("""COMPUTED_VALUE"""),"Umbra")</f>
        <v>Umbra</v>
      </c>
    </row>
    <row r="10859">
      <c r="A10859" t="str">
        <f>IFERROR(__xludf.DUMMYFUNCTION("""COMPUTED_VALUE"""),"17002")</f>
        <v>17002</v>
      </c>
      <c r="B10859" s="226" t="str">
        <f>IFERROR(__xludf.DUMMYFUNCTION("""COMPUTED_VALUE"""),"8054521990229")</f>
        <v>8054521990229</v>
      </c>
      <c r="C10859" t="str">
        <f>IFERROR(__xludf.DUMMYFUNCTION("""COMPUTED_VALUE"""),"Umbra")</f>
        <v>Umbra</v>
      </c>
    </row>
    <row r="10860">
      <c r="A10860" t="str">
        <f>IFERROR(__xludf.DUMMYFUNCTION("""COMPUTED_VALUE"""),"17003")</f>
        <v>17003</v>
      </c>
      <c r="B10860" s="226" t="str">
        <f>IFERROR(__xludf.DUMMYFUNCTION("""COMPUTED_VALUE"""),"8054521990236")</f>
        <v>8054521990236</v>
      </c>
      <c r="C10860" t="str">
        <f>IFERROR(__xludf.DUMMYFUNCTION("""COMPUTED_VALUE"""),"Umbra")</f>
        <v>Umbra</v>
      </c>
    </row>
    <row r="10861">
      <c r="A10861" t="str">
        <f>IFERROR(__xludf.DUMMYFUNCTION("""COMPUTED_VALUE"""),"19013")</f>
        <v>19013</v>
      </c>
      <c r="B10861" s="226" t="str">
        <f>IFERROR(__xludf.DUMMYFUNCTION("""COMPUTED_VALUE"""),"8054521990397")</f>
        <v>8054521990397</v>
      </c>
      <c r="C10861" t="str">
        <f>IFERROR(__xludf.DUMMYFUNCTION("""COMPUTED_VALUE"""),"Umbra")</f>
        <v>Umbra</v>
      </c>
    </row>
    <row r="10862">
      <c r="A10862" t="str">
        <f>IFERROR(__xludf.DUMMYFUNCTION("""COMPUTED_VALUE"""),"10002/C")</f>
        <v>10002/C</v>
      </c>
      <c r="B10862" s="226" t="str">
        <f>IFERROR(__xludf.DUMMYFUNCTION("""COMPUTED_VALUE"""),"8058772228162")</f>
        <v>8058772228162</v>
      </c>
      <c r="C10862" t="str">
        <f>IFERROR(__xludf.DUMMYFUNCTION("""COMPUTED_VALUE"""),"Umbra")</f>
        <v>Umbra</v>
      </c>
    </row>
    <row r="10863">
      <c r="A10863" t="str">
        <f>IFERROR(__xludf.DUMMYFUNCTION("""COMPUTED_VALUE"""),"10002/G")</f>
        <v>10002/G</v>
      </c>
      <c r="B10863" s="226" t="str">
        <f>IFERROR(__xludf.DUMMYFUNCTION("""COMPUTED_VALUE"""),"8058772228179")</f>
        <v>8058772228179</v>
      </c>
      <c r="C10863" t="str">
        <f>IFERROR(__xludf.DUMMYFUNCTION("""COMPUTED_VALUE"""),"Umbra")</f>
        <v>Umbra</v>
      </c>
    </row>
    <row r="10864">
      <c r="A10864" t="str">
        <f>IFERROR(__xludf.DUMMYFUNCTION("""COMPUTED_VALUE"""),"10002/SF")</f>
        <v>10002/SF</v>
      </c>
      <c r="B10864" s="226" t="str">
        <f>IFERROR(__xludf.DUMMYFUNCTION("""COMPUTED_VALUE"""),"8058772228186")</f>
        <v>8058772228186</v>
      </c>
      <c r="C10864" t="str">
        <f>IFERROR(__xludf.DUMMYFUNCTION("""COMPUTED_VALUE"""),"Umbra")</f>
        <v>Umbra</v>
      </c>
    </row>
    <row r="10865">
      <c r="A10865" t="str">
        <f>IFERROR(__xludf.DUMMYFUNCTION("""COMPUTED_VALUE"""),"19021/C")</f>
        <v>19021/C</v>
      </c>
      <c r="B10865" s="226" t="str">
        <f>IFERROR(__xludf.DUMMYFUNCTION("""COMPUTED_VALUE"""),"8058772223044")</f>
        <v>8058772223044</v>
      </c>
      <c r="C10865" t="str">
        <f>IFERROR(__xludf.DUMMYFUNCTION("""COMPUTED_VALUE"""),"Umbra")</f>
        <v>Umbra</v>
      </c>
    </row>
    <row r="10866">
      <c r="A10866" t="str">
        <f>IFERROR(__xludf.DUMMYFUNCTION("""COMPUTED_VALUE"""),"19021/F")</f>
        <v>19021/F</v>
      </c>
      <c r="B10866" s="226" t="str">
        <f>IFERROR(__xludf.DUMMYFUNCTION("""COMPUTED_VALUE"""),"8058772223037")</f>
        <v>8058772223037</v>
      </c>
      <c r="C10866" t="str">
        <f>IFERROR(__xludf.DUMMYFUNCTION("""COMPUTED_VALUE"""),"Umbra")</f>
        <v>Umbra</v>
      </c>
    </row>
    <row r="10867">
      <c r="A10867" t="str">
        <f>IFERROR(__xludf.DUMMYFUNCTION("""COMPUTED_VALUE"""),"19021/VM")</f>
        <v>19021/VM</v>
      </c>
      <c r="B10867" s="226" t="str">
        <f>IFERROR(__xludf.DUMMYFUNCTION("""COMPUTED_VALUE"""),"8058772223051")</f>
        <v>8058772223051</v>
      </c>
      <c r="C10867" t="str">
        <f>IFERROR(__xludf.DUMMYFUNCTION("""COMPUTED_VALUE"""),"Umbra")</f>
        <v>Umbra</v>
      </c>
    </row>
    <row r="10868">
      <c r="A10868" t="str">
        <f>IFERROR(__xludf.DUMMYFUNCTION("""COMPUTED_VALUE"""),"19015/C")</f>
        <v>19015/C</v>
      </c>
      <c r="B10868" s="226" t="str">
        <f>IFERROR(__xludf.DUMMYFUNCTION("""COMPUTED_VALUE"""),"8054521990427")</f>
        <v>8054521990427</v>
      </c>
      <c r="C10868" t="str">
        <f>IFERROR(__xludf.DUMMYFUNCTION("""COMPUTED_VALUE"""),"Umbra")</f>
        <v>Umbra</v>
      </c>
    </row>
    <row r="10869">
      <c r="A10869" t="str">
        <f>IFERROR(__xludf.DUMMYFUNCTION("""COMPUTED_VALUE"""),"19015/VM")</f>
        <v>19015/VM</v>
      </c>
      <c r="B10869" s="226" t="str">
        <f>IFERROR(__xludf.DUMMYFUNCTION("""COMPUTED_VALUE"""),"8054521990434")</f>
        <v>8054521990434</v>
      </c>
      <c r="C10869" t="str">
        <f>IFERROR(__xludf.DUMMYFUNCTION("""COMPUTED_VALUE"""),"Umbra")</f>
        <v>Umbra</v>
      </c>
    </row>
    <row r="10870">
      <c r="A10870" t="str">
        <f>IFERROR(__xludf.DUMMYFUNCTION("""COMPUTED_VALUE"""),"19019")</f>
        <v>19019</v>
      </c>
      <c r="B10870" s="226" t="str">
        <f>IFERROR(__xludf.DUMMYFUNCTION("""COMPUTED_VALUE"""),"8054521990496")</f>
        <v>8054521990496</v>
      </c>
      <c r="C10870" t="str">
        <f>IFERROR(__xludf.DUMMYFUNCTION("""COMPUTED_VALUE"""),"Umbra")</f>
        <v>Umbra</v>
      </c>
    </row>
    <row r="10871">
      <c r="A10871" t="str">
        <f>IFERROR(__xludf.DUMMYFUNCTION("""COMPUTED_VALUE"""),"19010")</f>
        <v>19010</v>
      </c>
      <c r="B10871" s="226" t="str">
        <f>IFERROR(__xludf.DUMMYFUNCTION("""COMPUTED_VALUE"""),"8054521990380")</f>
        <v>8054521990380</v>
      </c>
      <c r="C10871" t="str">
        <f>IFERROR(__xludf.DUMMYFUNCTION("""COMPUTED_VALUE"""),"Umbra")</f>
        <v>Umbra</v>
      </c>
    </row>
    <row r="10872">
      <c r="A10872" t="str">
        <f>IFERROR(__xludf.DUMMYFUNCTION("""COMPUTED_VALUE"""),"19014/C")</f>
        <v>19014/C</v>
      </c>
      <c r="B10872" s="226" t="str">
        <f>IFERROR(__xludf.DUMMYFUNCTION("""COMPUTED_VALUE"""),"8054521990410")</f>
        <v>8054521990410</v>
      </c>
      <c r="C10872" t="str">
        <f>IFERROR(__xludf.DUMMYFUNCTION("""COMPUTED_VALUE"""),"Umbra")</f>
        <v>Umbra</v>
      </c>
    </row>
    <row r="10873">
      <c r="A10873" t="str">
        <f>IFERROR(__xludf.DUMMYFUNCTION("""COMPUTED_VALUE"""),"19014/F")</f>
        <v>19014/F</v>
      </c>
      <c r="B10873" s="226" t="str">
        <f>IFERROR(__xludf.DUMMYFUNCTION("""COMPUTED_VALUE"""),"8058772223006")</f>
        <v>8058772223006</v>
      </c>
      <c r="C10873" t="str">
        <f>IFERROR(__xludf.DUMMYFUNCTION("""COMPUTED_VALUE"""),"Umbra")</f>
        <v>Umbra</v>
      </c>
    </row>
    <row r="10874">
      <c r="A10874" t="str">
        <f>IFERROR(__xludf.DUMMYFUNCTION("""COMPUTED_VALUE"""),"19020")</f>
        <v>19020</v>
      </c>
      <c r="B10874" s="226" t="str">
        <f>IFERROR(__xludf.DUMMYFUNCTION("""COMPUTED_VALUE"""),"8054521990502")</f>
        <v>8054521990502</v>
      </c>
      <c r="C10874" t="str">
        <f>IFERROR(__xludf.DUMMYFUNCTION("""COMPUTED_VALUE"""),"Umbra")</f>
        <v>Umbra</v>
      </c>
    </row>
    <row r="10875">
      <c r="A10875" t="str">
        <f>IFERROR(__xludf.DUMMYFUNCTION("""COMPUTED_VALUE"""),"19015/C")</f>
        <v>19015/C</v>
      </c>
      <c r="B10875" s="226" t="str">
        <f>IFERROR(__xludf.DUMMYFUNCTION("""COMPUTED_VALUE"""),"8054521990427")</f>
        <v>8054521990427</v>
      </c>
      <c r="C10875" t="str">
        <f>IFERROR(__xludf.DUMMYFUNCTION("""COMPUTED_VALUE"""),"Umbra")</f>
        <v>Umbra</v>
      </c>
    </row>
    <row r="10876">
      <c r="A10876" t="str">
        <f>IFERROR(__xludf.DUMMYFUNCTION("""COMPUTED_VALUE"""),"19015/F")</f>
        <v>19015/F</v>
      </c>
      <c r="B10876" s="226" t="str">
        <f>IFERROR(__xludf.DUMMYFUNCTION("""COMPUTED_VALUE"""),"8058772223013")</f>
        <v>8058772223013</v>
      </c>
      <c r="C10876" t="str">
        <f>IFERROR(__xludf.DUMMYFUNCTION("""COMPUTED_VALUE"""),"Umbra")</f>
        <v>Umbra</v>
      </c>
    </row>
    <row r="10877">
      <c r="A10877" t="str">
        <f>IFERROR(__xludf.DUMMYFUNCTION("""COMPUTED_VALUE"""),"19015/VM")</f>
        <v>19015/VM</v>
      </c>
      <c r="B10877" s="226" t="str">
        <f>IFERROR(__xludf.DUMMYFUNCTION("""COMPUTED_VALUE"""),"8054521990434")</f>
        <v>8054521990434</v>
      </c>
      <c r="C10877" t="str">
        <f>IFERROR(__xludf.DUMMYFUNCTION("""COMPUTED_VALUE"""),"Umbra")</f>
        <v>Umbra</v>
      </c>
    </row>
    <row r="10878">
      <c r="A10878" t="str">
        <f>IFERROR(__xludf.DUMMYFUNCTION("""COMPUTED_VALUE"""),"19019")</f>
        <v>19019</v>
      </c>
      <c r="B10878" s="226" t="str">
        <f>IFERROR(__xludf.DUMMYFUNCTION("""COMPUTED_VALUE"""),"8054521990496")</f>
        <v>8054521990496</v>
      </c>
      <c r="C10878" t="str">
        <f>IFERROR(__xludf.DUMMYFUNCTION("""COMPUTED_VALUE"""),"Umbra")</f>
        <v>Umbra</v>
      </c>
    </row>
    <row r="10879">
      <c r="A10879" t="str">
        <f>IFERROR(__xludf.DUMMYFUNCTION("""COMPUTED_VALUE"""),"19022/C")</f>
        <v>19022/C</v>
      </c>
      <c r="B10879" s="226" t="str">
        <f>IFERROR(__xludf.DUMMYFUNCTION("""COMPUTED_VALUE"""),"8058772223075")</f>
        <v>8058772223075</v>
      </c>
      <c r="C10879" t="str">
        <f>IFERROR(__xludf.DUMMYFUNCTION("""COMPUTED_VALUE"""),"Umbra")</f>
        <v>Umbra</v>
      </c>
    </row>
    <row r="10880">
      <c r="A10880" t="str">
        <f>IFERROR(__xludf.DUMMYFUNCTION("""COMPUTED_VALUE"""),"19022/F")</f>
        <v>19022/F</v>
      </c>
      <c r="B10880" s="226" t="str">
        <f>IFERROR(__xludf.DUMMYFUNCTION("""COMPUTED_VALUE"""),"8058772223068")</f>
        <v>8058772223068</v>
      </c>
      <c r="C10880" t="str">
        <f>IFERROR(__xludf.DUMMYFUNCTION("""COMPUTED_VALUE"""),"Umbra")</f>
        <v>Umbra</v>
      </c>
    </row>
    <row r="10881">
      <c r="A10881" t="str">
        <f>IFERROR(__xludf.DUMMYFUNCTION("""COMPUTED_VALUE"""),"19022/VM")</f>
        <v>19022/VM</v>
      </c>
      <c r="B10881" s="226" t="str">
        <f>IFERROR(__xludf.DUMMYFUNCTION("""COMPUTED_VALUE"""),"8058772223082")</f>
        <v>8058772223082</v>
      </c>
      <c r="C10881" t="str">
        <f>IFERROR(__xludf.DUMMYFUNCTION("""COMPUTED_VALUE"""),"Umbra")</f>
        <v>Umbra</v>
      </c>
    </row>
    <row r="10882">
      <c r="A10882" t="str">
        <f>IFERROR(__xludf.DUMMYFUNCTION("""COMPUTED_VALUE"""),"19017/C")</f>
        <v>19017/C</v>
      </c>
      <c r="B10882" s="226" t="str">
        <f>IFERROR(__xludf.DUMMYFUNCTION("""COMPUTED_VALUE"""),"8054521990458")</f>
        <v>8054521990458</v>
      </c>
      <c r="C10882" t="str">
        <f>IFERROR(__xludf.DUMMYFUNCTION("""COMPUTED_VALUE"""),"Umbra")</f>
        <v>Umbra</v>
      </c>
    </row>
    <row r="10883">
      <c r="A10883" t="str">
        <f>IFERROR(__xludf.DUMMYFUNCTION("""COMPUTED_VALUE"""),"19017/F")</f>
        <v>19017/F</v>
      </c>
      <c r="B10883" s="226" t="str">
        <f>IFERROR(__xludf.DUMMYFUNCTION("""COMPUTED_VALUE"""),"8058772223020")</f>
        <v>8058772223020</v>
      </c>
      <c r="C10883" t="str">
        <f>IFERROR(__xludf.DUMMYFUNCTION("""COMPUTED_VALUE"""),"Umbra")</f>
        <v>Umbra</v>
      </c>
    </row>
    <row r="10884">
      <c r="A10884" t="str">
        <f>IFERROR(__xludf.DUMMYFUNCTION("""COMPUTED_VALUE"""),"19017/G")</f>
        <v>19017/G</v>
      </c>
      <c r="B10884" s="226" t="str">
        <f>IFERROR(__xludf.DUMMYFUNCTION("""COMPUTED_VALUE"""),"8054521990465")</f>
        <v>8054521990465</v>
      </c>
      <c r="C10884" t="str">
        <f>IFERROR(__xludf.DUMMYFUNCTION("""COMPUTED_VALUE"""),"Umbra")</f>
        <v>Umbra</v>
      </c>
    </row>
    <row r="10885">
      <c r="A10885" t="str">
        <f>IFERROR(__xludf.DUMMYFUNCTION("""COMPUTED_VALUE"""),"19017/SF")</f>
        <v>19017/SF</v>
      </c>
      <c r="B10885" s="226" t="str">
        <f>IFERROR(__xludf.DUMMYFUNCTION("""COMPUTED_VALUE"""),"8054521990472")</f>
        <v>8054521990472</v>
      </c>
      <c r="C10885" t="str">
        <f>IFERROR(__xludf.DUMMYFUNCTION("""COMPUTED_VALUE"""),"Umbra")</f>
        <v>Umbra</v>
      </c>
    </row>
    <row r="10886">
      <c r="A10886" t="str">
        <f>IFERROR(__xludf.DUMMYFUNCTION("""COMPUTED_VALUE"""),"19018")</f>
        <v>19018</v>
      </c>
      <c r="B10886" s="226" t="str">
        <f>IFERROR(__xludf.DUMMYFUNCTION("""COMPUTED_VALUE"""),"8054521990489")</f>
        <v>8054521990489</v>
      </c>
      <c r="C10886" t="str">
        <f>IFERROR(__xludf.DUMMYFUNCTION("""COMPUTED_VALUE"""),"Umbra")</f>
        <v>Umbra</v>
      </c>
    </row>
    <row r="10887">
      <c r="A10887" t="str">
        <f>IFERROR(__xludf.DUMMYFUNCTION("""COMPUTED_VALUE"""),"19116/C")</f>
        <v>19116/C</v>
      </c>
      <c r="B10887" s="226" t="str">
        <f>IFERROR(__xludf.DUMMYFUNCTION("""COMPUTED_VALUE"""),"8058772223297")</f>
        <v>8058772223297</v>
      </c>
      <c r="C10887" t="str">
        <f>IFERROR(__xludf.DUMMYFUNCTION("""COMPUTED_VALUE"""),"Umbra")</f>
        <v>Umbra</v>
      </c>
    </row>
    <row r="10888">
      <c r="A10888" t="str">
        <f>IFERROR(__xludf.DUMMYFUNCTION("""COMPUTED_VALUE"""),"19116/F")</f>
        <v>19116/F</v>
      </c>
      <c r="B10888" s="226" t="str">
        <f>IFERROR(__xludf.DUMMYFUNCTION("""COMPUTED_VALUE"""),"8058772223280")</f>
        <v>8058772223280</v>
      </c>
      <c r="C10888" t="str">
        <f>IFERROR(__xludf.DUMMYFUNCTION("""COMPUTED_VALUE"""),"Umbra")</f>
        <v>Umbra</v>
      </c>
    </row>
    <row r="10889">
      <c r="A10889" t="str">
        <f>IFERROR(__xludf.DUMMYFUNCTION("""COMPUTED_VALUE"""),"19116/VM")</f>
        <v>19116/VM</v>
      </c>
      <c r="B10889" s="226" t="str">
        <f>IFERROR(__xludf.DUMMYFUNCTION("""COMPUTED_VALUE"""),"8058772223303")</f>
        <v>8058772223303</v>
      </c>
      <c r="C10889" t="str">
        <f>IFERROR(__xludf.DUMMYFUNCTION("""COMPUTED_VALUE"""),"Umbra")</f>
        <v>Umbra</v>
      </c>
    </row>
    <row r="10890">
      <c r="A10890" t="str">
        <f>IFERROR(__xludf.DUMMYFUNCTION("""COMPUTED_VALUE"""),"19107/C")</f>
        <v>19107/C</v>
      </c>
      <c r="B10890" s="226" t="str">
        <f>IFERROR(__xludf.DUMMYFUNCTION("""COMPUTED_VALUE"""),"8054521990588")</f>
        <v>8054521990588</v>
      </c>
      <c r="C10890" t="str">
        <f>IFERROR(__xludf.DUMMYFUNCTION("""COMPUTED_VALUE"""),"Umbra")</f>
        <v>Umbra</v>
      </c>
    </row>
    <row r="10891">
      <c r="A10891" t="str">
        <f>IFERROR(__xludf.DUMMYFUNCTION("""COMPUTED_VALUE"""),"19107/F")</f>
        <v>19107/F</v>
      </c>
      <c r="B10891" s="226" t="str">
        <f>IFERROR(__xludf.DUMMYFUNCTION("""COMPUTED_VALUE"""),"8058772223136")</f>
        <v>8058772223136</v>
      </c>
      <c r="C10891" t="str">
        <f>IFERROR(__xludf.DUMMYFUNCTION("""COMPUTED_VALUE"""),"Umbra")</f>
        <v>Umbra</v>
      </c>
    </row>
    <row r="10892">
      <c r="A10892" t="str">
        <f>IFERROR(__xludf.DUMMYFUNCTION("""COMPUTED_VALUE"""),"19102")</f>
        <v>19102</v>
      </c>
      <c r="B10892" s="226" t="str">
        <f>IFERROR(__xludf.DUMMYFUNCTION("""COMPUTED_VALUE"""),"8054521990526")</f>
        <v>8054521990526</v>
      </c>
      <c r="C10892" t="str">
        <f>IFERROR(__xludf.DUMMYFUNCTION("""COMPUTED_VALUE"""),"Umbra")</f>
        <v>Umbra</v>
      </c>
    </row>
    <row r="10893">
      <c r="A10893" t="str">
        <f>IFERROR(__xludf.DUMMYFUNCTION("""COMPUTED_VALUE"""),"19102/F")</f>
        <v>19102/F</v>
      </c>
      <c r="B10893" s="226" t="str">
        <f>IFERROR(__xludf.DUMMYFUNCTION("""COMPUTED_VALUE"""),"8054521996535")</f>
        <v>8054521996535</v>
      </c>
      <c r="C10893" t="str">
        <f>IFERROR(__xludf.DUMMYFUNCTION("""COMPUTED_VALUE"""),"Umbra")</f>
        <v>Umbra</v>
      </c>
    </row>
    <row r="10894">
      <c r="A10894" t="str">
        <f>IFERROR(__xludf.DUMMYFUNCTION("""COMPUTED_VALUE"""),"45017/C")</f>
        <v>45017/C</v>
      </c>
      <c r="B10894" s="226" t="str">
        <f>IFERROR(__xludf.DUMMYFUNCTION("""COMPUTED_VALUE"""),"8054521990045")</f>
        <v>8054521990045</v>
      </c>
      <c r="C10894" t="str">
        <f>IFERROR(__xludf.DUMMYFUNCTION("""COMPUTED_VALUE"""),"Umbra")</f>
        <v>Umbra</v>
      </c>
    </row>
    <row r="10895">
      <c r="A10895" t="str">
        <f>IFERROR(__xludf.DUMMYFUNCTION("""COMPUTED_VALUE"""),"45017/F")</f>
        <v>45017/F</v>
      </c>
      <c r="B10895" s="226" t="str">
        <f>IFERROR(__xludf.DUMMYFUNCTION("""COMPUTED_VALUE"""),"8058772226076")</f>
        <v>8058772226076</v>
      </c>
      <c r="C10895" t="str">
        <f>IFERROR(__xludf.DUMMYFUNCTION("""COMPUTED_VALUE"""),"Umbra")</f>
        <v>Umbra</v>
      </c>
    </row>
    <row r="10896">
      <c r="A10896" t="str">
        <f>IFERROR(__xludf.DUMMYFUNCTION("""COMPUTED_VALUE"""),"45017/VM")</f>
        <v>45017/VM</v>
      </c>
      <c r="B10896" s="226" t="str">
        <f>IFERROR(__xludf.DUMMYFUNCTION("""COMPUTED_VALUE"""),"8054521990052")</f>
        <v>8054521990052</v>
      </c>
      <c r="C10896" t="str">
        <f>IFERROR(__xludf.DUMMYFUNCTION("""COMPUTED_VALUE"""),"Umbra")</f>
        <v>Umbra</v>
      </c>
    </row>
    <row r="10897">
      <c r="A10897" t="str">
        <f>IFERROR(__xludf.DUMMYFUNCTION("""COMPUTED_VALUE"""),"19114/C")</f>
        <v>19114/C</v>
      </c>
      <c r="B10897" s="226" t="str">
        <f>IFERROR(__xludf.DUMMYFUNCTION("""COMPUTED_VALUE"""),"8054521990687")</f>
        <v>8054521990687</v>
      </c>
      <c r="C10897" t="str">
        <f>IFERROR(__xludf.DUMMYFUNCTION("""COMPUTED_VALUE"""),"Umbra")</f>
        <v>Umbra</v>
      </c>
    </row>
    <row r="10898">
      <c r="A10898" t="str">
        <f>IFERROR(__xludf.DUMMYFUNCTION("""COMPUTED_VALUE"""),"19114/F")</f>
        <v>19114/F</v>
      </c>
      <c r="B10898" s="226" t="str">
        <f>IFERROR(__xludf.DUMMYFUNCTION("""COMPUTED_VALUE"""),"8058772223242")</f>
        <v>8058772223242</v>
      </c>
      <c r="C10898" t="str">
        <f>IFERROR(__xludf.DUMMYFUNCTION("""COMPUTED_VALUE"""),"Umbra")</f>
        <v>Umbra</v>
      </c>
    </row>
    <row r="10899">
      <c r="A10899" t="str">
        <f>IFERROR(__xludf.DUMMYFUNCTION("""COMPUTED_VALUE"""),"19114/VM")</f>
        <v>19114/VM</v>
      </c>
      <c r="B10899" s="226" t="str">
        <f>IFERROR(__xludf.DUMMYFUNCTION("""COMPUTED_VALUE"""),"8054521990694")</f>
        <v>8054521990694</v>
      </c>
      <c r="C10899" t="str">
        <f>IFERROR(__xludf.DUMMYFUNCTION("""COMPUTED_VALUE"""),"Umbra")</f>
        <v>Umbra</v>
      </c>
    </row>
    <row r="10900">
      <c r="A10900" t="str">
        <f>IFERROR(__xludf.DUMMYFUNCTION("""COMPUTED_VALUE"""),"19106/C")</f>
        <v>19106/C</v>
      </c>
      <c r="B10900" s="226" t="str">
        <f>IFERROR(__xludf.DUMMYFUNCTION("""COMPUTED_VALUE"""),"8054521990564")</f>
        <v>8054521990564</v>
      </c>
      <c r="C10900" t="str">
        <f>IFERROR(__xludf.DUMMYFUNCTION("""COMPUTED_VALUE"""),"Umbra")</f>
        <v>Umbra</v>
      </c>
    </row>
    <row r="10901">
      <c r="A10901" t="str">
        <f>IFERROR(__xludf.DUMMYFUNCTION("""COMPUTED_VALUE"""),"19106/F")</f>
        <v>19106/F</v>
      </c>
      <c r="C10901" t="str">
        <f>IFERROR(__xludf.DUMMYFUNCTION("""COMPUTED_VALUE"""),"Umbra")</f>
        <v>Umbra</v>
      </c>
    </row>
    <row r="10902">
      <c r="A10902" t="str">
        <f>IFERROR(__xludf.DUMMYFUNCTION("""COMPUTED_VALUE"""),"19106/VM")</f>
        <v>19106/VM</v>
      </c>
      <c r="B10902" s="226" t="str">
        <f>IFERROR(__xludf.DUMMYFUNCTION("""COMPUTED_VALUE"""),"8054521990571")</f>
        <v>8054521990571</v>
      </c>
      <c r="C10902" t="str">
        <f>IFERROR(__xludf.DUMMYFUNCTION("""COMPUTED_VALUE"""),"Umbra")</f>
        <v>Umbra</v>
      </c>
    </row>
    <row r="10903">
      <c r="A10903" t="str">
        <f>IFERROR(__xludf.DUMMYFUNCTION("""COMPUTED_VALUE"""),"19114/C")</f>
        <v>19114/C</v>
      </c>
      <c r="B10903" s="226" t="str">
        <f>IFERROR(__xludf.DUMMYFUNCTION("""COMPUTED_VALUE"""),"8054521990687")</f>
        <v>8054521990687</v>
      </c>
      <c r="C10903" t="str">
        <f>IFERROR(__xludf.DUMMYFUNCTION("""COMPUTED_VALUE"""),"Umbra")</f>
        <v>Umbra</v>
      </c>
    </row>
    <row r="10904">
      <c r="A10904" t="str">
        <f>IFERROR(__xludf.DUMMYFUNCTION("""COMPUTED_VALUE"""),"19114/F")</f>
        <v>19114/F</v>
      </c>
      <c r="B10904" s="226" t="str">
        <f>IFERROR(__xludf.DUMMYFUNCTION("""COMPUTED_VALUE"""),"8058772223242")</f>
        <v>8058772223242</v>
      </c>
      <c r="C10904" t="str">
        <f>IFERROR(__xludf.DUMMYFUNCTION("""COMPUTED_VALUE"""),"Umbra")</f>
        <v>Umbra</v>
      </c>
    </row>
    <row r="10905">
      <c r="A10905" t="str">
        <f>IFERROR(__xludf.DUMMYFUNCTION("""COMPUTED_VALUE"""),"19114/VM")</f>
        <v>19114/VM</v>
      </c>
      <c r="B10905" s="226" t="str">
        <f>IFERROR(__xludf.DUMMYFUNCTION("""COMPUTED_VALUE"""),"8054521990694")</f>
        <v>8054521990694</v>
      </c>
      <c r="C10905" t="str">
        <f>IFERROR(__xludf.DUMMYFUNCTION("""COMPUTED_VALUE"""),"Umbra")</f>
        <v>Umbra</v>
      </c>
    </row>
    <row r="10906">
      <c r="A10906" t="str">
        <f>IFERROR(__xludf.DUMMYFUNCTION("""COMPUTED_VALUE"""),"19103")</f>
        <v>19103</v>
      </c>
      <c r="B10906" s="226" t="str">
        <f>IFERROR(__xludf.DUMMYFUNCTION("""COMPUTED_VALUE"""),"8054521990533")</f>
        <v>8054521990533</v>
      </c>
      <c r="C10906" t="str">
        <f>IFERROR(__xludf.DUMMYFUNCTION("""COMPUTED_VALUE"""),"Umbra")</f>
        <v>Umbra</v>
      </c>
    </row>
    <row r="10907">
      <c r="A10907" t="str">
        <f>IFERROR(__xludf.DUMMYFUNCTION("""COMPUTED_VALUE"""),"19105/C")</f>
        <v>19105/C</v>
      </c>
      <c r="B10907" s="226" t="str">
        <f>IFERROR(__xludf.DUMMYFUNCTION("""COMPUTED_VALUE"""),"8054521990557")</f>
        <v>8054521990557</v>
      </c>
      <c r="C10907" t="str">
        <f>IFERROR(__xludf.DUMMYFUNCTION("""COMPUTED_VALUE"""),"Umbra")</f>
        <v>Umbra</v>
      </c>
    </row>
    <row r="10908">
      <c r="A10908" t="str">
        <f>IFERROR(__xludf.DUMMYFUNCTION("""COMPUTED_VALUE"""),"19105/F")</f>
        <v>19105/F</v>
      </c>
      <c r="B10908" s="226" t="str">
        <f>IFERROR(__xludf.DUMMYFUNCTION("""COMPUTED_VALUE"""),"8058772223112")</f>
        <v>8058772223112</v>
      </c>
      <c r="C10908" t="str">
        <f>IFERROR(__xludf.DUMMYFUNCTION("""COMPUTED_VALUE"""),"Umbra")</f>
        <v>Umbra</v>
      </c>
    </row>
    <row r="10909">
      <c r="A10909" t="str">
        <f>IFERROR(__xludf.DUMMYFUNCTION("""COMPUTED_VALUE"""),"19112/C")</f>
        <v>19112/C</v>
      </c>
      <c r="B10909" s="226" t="str">
        <f>IFERROR(__xludf.DUMMYFUNCTION("""COMPUTED_VALUE"""),"8054521990656")</f>
        <v>8054521990656</v>
      </c>
      <c r="C10909" t="str">
        <f>IFERROR(__xludf.DUMMYFUNCTION("""COMPUTED_VALUE"""),"Umbra")</f>
        <v>Umbra</v>
      </c>
    </row>
    <row r="10910">
      <c r="A10910" t="str">
        <f>IFERROR(__xludf.DUMMYFUNCTION("""COMPUTED_VALUE"""),"19112/F")</f>
        <v>19112/F</v>
      </c>
      <c r="B10910" s="226" t="str">
        <f>IFERROR(__xludf.DUMMYFUNCTION("""COMPUTED_VALUE"""),"8058772223228")</f>
        <v>8058772223228</v>
      </c>
      <c r="C10910" t="str">
        <f>IFERROR(__xludf.DUMMYFUNCTION("""COMPUTED_VALUE"""),"Umbra")</f>
        <v>Umbra</v>
      </c>
    </row>
    <row r="10911">
      <c r="A10911" t="str">
        <f>IFERROR(__xludf.DUMMYFUNCTION("""COMPUTED_VALUE"""),"45017/C")</f>
        <v>45017/C</v>
      </c>
      <c r="B10911" s="226" t="str">
        <f>IFERROR(__xludf.DUMMYFUNCTION("""COMPUTED_VALUE"""),"8054521990045")</f>
        <v>8054521990045</v>
      </c>
      <c r="C10911" t="str">
        <f>IFERROR(__xludf.DUMMYFUNCTION("""COMPUTED_VALUE"""),"Umbra")</f>
        <v>Umbra</v>
      </c>
    </row>
    <row r="10912">
      <c r="A10912" t="str">
        <f>IFERROR(__xludf.DUMMYFUNCTION("""COMPUTED_VALUE"""),"45017/F")</f>
        <v>45017/F</v>
      </c>
      <c r="B10912" s="226" t="str">
        <f>IFERROR(__xludf.DUMMYFUNCTION("""COMPUTED_VALUE"""),"8058772226076")</f>
        <v>8058772226076</v>
      </c>
      <c r="C10912" t="str">
        <f>IFERROR(__xludf.DUMMYFUNCTION("""COMPUTED_VALUE"""),"Umbra")</f>
        <v>Umbra</v>
      </c>
    </row>
    <row r="10913">
      <c r="A10913" t="str">
        <f>IFERROR(__xludf.DUMMYFUNCTION("""COMPUTED_VALUE"""),"45017/F")</f>
        <v>45017/F</v>
      </c>
      <c r="B10913" s="226" t="str">
        <f>IFERROR(__xludf.DUMMYFUNCTION("""COMPUTED_VALUE"""),"8058772226076")</f>
        <v>8058772226076</v>
      </c>
      <c r="C10913" t="str">
        <f>IFERROR(__xludf.DUMMYFUNCTION("""COMPUTED_VALUE"""),"Umbra")</f>
        <v>Umbra</v>
      </c>
    </row>
    <row r="10914">
      <c r="A10914" t="str">
        <f>IFERROR(__xludf.DUMMYFUNCTION("""COMPUTED_VALUE"""),"45017/VM")</f>
        <v>45017/VM</v>
      </c>
      <c r="B10914" s="226" t="str">
        <f>IFERROR(__xludf.DUMMYFUNCTION("""COMPUTED_VALUE"""),"8054521990052")</f>
        <v>8054521990052</v>
      </c>
      <c r="C10914" t="str">
        <f>IFERROR(__xludf.DUMMYFUNCTION("""COMPUTED_VALUE"""),"Umbra")</f>
        <v>Umbra</v>
      </c>
    </row>
    <row r="10915">
      <c r="A10915" t="str">
        <f>IFERROR(__xludf.DUMMYFUNCTION("""COMPUTED_VALUE"""),"19113/C")</f>
        <v>19113/C</v>
      </c>
      <c r="B10915" s="226" t="str">
        <f>IFERROR(__xludf.DUMMYFUNCTION("""COMPUTED_VALUE"""),"8054521990663")</f>
        <v>8054521990663</v>
      </c>
      <c r="C10915" t="str">
        <f>IFERROR(__xludf.DUMMYFUNCTION("""COMPUTED_VALUE"""),"Umbra")</f>
        <v>Umbra</v>
      </c>
    </row>
    <row r="10916">
      <c r="A10916" t="str">
        <f>IFERROR(__xludf.DUMMYFUNCTION("""COMPUTED_VALUE"""),"19113/F")</f>
        <v>19113/F</v>
      </c>
      <c r="B10916" s="226" t="str">
        <f>IFERROR(__xludf.DUMMYFUNCTION("""COMPUTED_VALUE"""),"8058772223235")</f>
        <v>8058772223235</v>
      </c>
      <c r="C10916" t="str">
        <f>IFERROR(__xludf.DUMMYFUNCTION("""COMPUTED_VALUE"""),"Umbra")</f>
        <v>Umbra</v>
      </c>
    </row>
    <row r="10917">
      <c r="A10917" t="str">
        <f>IFERROR(__xludf.DUMMYFUNCTION("""COMPUTED_VALUE"""),"19113/VM")</f>
        <v>19113/VM</v>
      </c>
      <c r="B10917" s="226" t="str">
        <f>IFERROR(__xludf.DUMMYFUNCTION("""COMPUTED_VALUE"""),"8054521990670")</f>
        <v>8054521990670</v>
      </c>
      <c r="C10917" t="str">
        <f>IFERROR(__xludf.DUMMYFUNCTION("""COMPUTED_VALUE"""),"Umbra")</f>
        <v>Umbra</v>
      </c>
    </row>
    <row r="10918">
      <c r="A10918" t="str">
        <f>IFERROR(__xludf.DUMMYFUNCTION("""COMPUTED_VALUE"""),"19117/C")</f>
        <v>19117/C</v>
      </c>
      <c r="B10918" s="226" t="str">
        <f>IFERROR(__xludf.DUMMYFUNCTION("""COMPUTED_VALUE"""),"NULL")</f>
        <v>NULL</v>
      </c>
      <c r="C10918" t="str">
        <f>IFERROR(__xludf.DUMMYFUNCTION("""COMPUTED_VALUE"""),"Umbra")</f>
        <v>Umbra</v>
      </c>
    </row>
    <row r="10919">
      <c r="A10919" t="str">
        <f>IFERROR(__xludf.DUMMYFUNCTION("""COMPUTED_VALUE"""),"19117/F")</f>
        <v>19117/F</v>
      </c>
      <c r="B10919" s="226" t="str">
        <f>IFERROR(__xludf.DUMMYFUNCTION("""COMPUTED_VALUE"""),"NULL")</f>
        <v>NULL</v>
      </c>
      <c r="C10919" t="str">
        <f>IFERROR(__xludf.DUMMYFUNCTION("""COMPUTED_VALUE"""),"Umbra")</f>
        <v>Umbra</v>
      </c>
    </row>
    <row r="10920">
      <c r="A10920" t="str">
        <f>IFERROR(__xludf.DUMMYFUNCTION("""COMPUTED_VALUE"""),"19117/VM")</f>
        <v>19117/VM</v>
      </c>
      <c r="B10920" s="226" t="str">
        <f>IFERROR(__xludf.DUMMYFUNCTION("""COMPUTED_VALUE"""),"NULL")</f>
        <v>NULL</v>
      </c>
      <c r="C10920" t="str">
        <f>IFERROR(__xludf.DUMMYFUNCTION("""COMPUTED_VALUE"""),"Umbra")</f>
        <v>Umbra</v>
      </c>
    </row>
    <row r="10921">
      <c r="A10921" t="str">
        <f>IFERROR(__xludf.DUMMYFUNCTION("""COMPUTED_VALUE"""),"19104")</f>
        <v>19104</v>
      </c>
      <c r="B10921" s="226" t="str">
        <f>IFERROR(__xludf.DUMMYFUNCTION("""COMPUTED_VALUE"""),"8054521990540")</f>
        <v>8054521990540</v>
      </c>
      <c r="C10921" t="str">
        <f>IFERROR(__xludf.DUMMYFUNCTION("""COMPUTED_VALUE"""),"Umbra")</f>
        <v>Umbra</v>
      </c>
    </row>
    <row r="10922">
      <c r="A10922" t="str">
        <f>IFERROR(__xludf.DUMMYFUNCTION("""COMPUTED_VALUE"""),"19104/F")</f>
        <v>19104/F</v>
      </c>
      <c r="B10922" s="226" t="str">
        <f>IFERROR(__xludf.DUMMYFUNCTION("""COMPUTED_VALUE"""),"8058772223105")</f>
        <v>8058772223105</v>
      </c>
      <c r="C10922" t="str">
        <f>IFERROR(__xludf.DUMMYFUNCTION("""COMPUTED_VALUE"""),"Umbra")</f>
        <v>Umbra</v>
      </c>
    </row>
    <row r="10923">
      <c r="A10923" t="str">
        <f>IFERROR(__xludf.DUMMYFUNCTION("""COMPUTED_VALUE"""),"19110/C")</f>
        <v>19110/C</v>
      </c>
      <c r="B10923" s="226" t="str">
        <f>IFERROR(__xludf.DUMMYFUNCTION("""COMPUTED_VALUE"""),"8054521990632")</f>
        <v>8054521990632</v>
      </c>
      <c r="C10923" t="str">
        <f>IFERROR(__xludf.DUMMYFUNCTION("""COMPUTED_VALUE"""),"Umbra")</f>
        <v>Umbra</v>
      </c>
    </row>
    <row r="10924">
      <c r="A10924" t="str">
        <f>IFERROR(__xludf.DUMMYFUNCTION("""COMPUTED_VALUE"""),"19110/F")</f>
        <v>19110/F</v>
      </c>
      <c r="B10924" s="226" t="str">
        <f>IFERROR(__xludf.DUMMYFUNCTION("""COMPUTED_VALUE"""),"8058772223150")</f>
        <v>8058772223150</v>
      </c>
      <c r="C10924" t="str">
        <f>IFERROR(__xludf.DUMMYFUNCTION("""COMPUTED_VALUE"""),"Umbra")</f>
        <v>Umbra</v>
      </c>
    </row>
    <row r="10925">
      <c r="A10925" t="str">
        <f>IFERROR(__xludf.DUMMYFUNCTION("""COMPUTED_VALUE"""),"19110/VM")</f>
        <v>19110/VM</v>
      </c>
      <c r="B10925" s="226" t="str">
        <f>IFERROR(__xludf.DUMMYFUNCTION("""COMPUTED_VALUE"""),"8054521990649")</f>
        <v>8054521990649</v>
      </c>
      <c r="C10925" t="str">
        <f>IFERROR(__xludf.DUMMYFUNCTION("""COMPUTED_VALUE"""),"Umbra")</f>
        <v>Umbra</v>
      </c>
    </row>
    <row r="10926">
      <c r="A10926" t="str">
        <f>IFERROR(__xludf.DUMMYFUNCTION("""COMPUTED_VALUE"""),"19115/C")</f>
        <v>19115/C</v>
      </c>
      <c r="B10926" s="226" t="str">
        <f>IFERROR(__xludf.DUMMYFUNCTION("""COMPUTED_VALUE"""),"8058772223266")</f>
        <v>8058772223266</v>
      </c>
      <c r="C10926" t="str">
        <f>IFERROR(__xludf.DUMMYFUNCTION("""COMPUTED_VALUE"""),"Umbra")</f>
        <v>Umbra</v>
      </c>
    </row>
    <row r="10927">
      <c r="A10927" t="str">
        <f>IFERROR(__xludf.DUMMYFUNCTION("""COMPUTED_VALUE"""),"19115/F")</f>
        <v>19115/F</v>
      </c>
      <c r="B10927" s="226" t="str">
        <f>IFERROR(__xludf.DUMMYFUNCTION("""COMPUTED_VALUE"""),"8058772223259")</f>
        <v>8058772223259</v>
      </c>
      <c r="C10927" t="str">
        <f>IFERROR(__xludf.DUMMYFUNCTION("""COMPUTED_VALUE"""),"Umbra")</f>
        <v>Umbra</v>
      </c>
    </row>
    <row r="10928">
      <c r="A10928" t="str">
        <f>IFERROR(__xludf.DUMMYFUNCTION("""COMPUTED_VALUE"""),"19115/VM")</f>
        <v>19115/VM</v>
      </c>
      <c r="B10928" s="226" t="str">
        <f>IFERROR(__xludf.DUMMYFUNCTION("""COMPUTED_VALUE"""),"8058772223273")</f>
        <v>8058772223273</v>
      </c>
      <c r="C10928" t="str">
        <f>IFERROR(__xludf.DUMMYFUNCTION("""COMPUTED_VALUE"""),"Umbra")</f>
        <v>Umbra</v>
      </c>
    </row>
    <row r="10929">
      <c r="A10929" t="str">
        <f>IFERROR(__xludf.DUMMYFUNCTION("""COMPUTED_VALUE"""),"19108/C")</f>
        <v>19108/C</v>
      </c>
      <c r="B10929" s="226" t="str">
        <f>IFERROR(__xludf.DUMMYFUNCTION("""COMPUTED_VALUE"""),"8054521990595")</f>
        <v>8054521990595</v>
      </c>
      <c r="C10929" t="str">
        <f>IFERROR(__xludf.DUMMYFUNCTION("""COMPUTED_VALUE"""),"Umbra")</f>
        <v>Umbra</v>
      </c>
    </row>
    <row r="10930">
      <c r="A10930" t="str">
        <f>IFERROR(__xludf.DUMMYFUNCTION("""COMPUTED_VALUE"""),"19108/F")</f>
        <v>19108/F</v>
      </c>
      <c r="B10930" s="226" t="str">
        <f>IFERROR(__xludf.DUMMYFUNCTION("""COMPUTED_VALUE"""),"8058772223143")</f>
        <v>8058772223143</v>
      </c>
      <c r="C10930" t="str">
        <f>IFERROR(__xludf.DUMMYFUNCTION("""COMPUTED_VALUE"""),"Umbra")</f>
        <v>Umbra</v>
      </c>
    </row>
    <row r="10931">
      <c r="A10931" t="str">
        <f>IFERROR(__xludf.DUMMYFUNCTION("""COMPUTED_VALUE"""),"19108/VM")</f>
        <v>19108/VM</v>
      </c>
      <c r="B10931" s="226" t="str">
        <f>IFERROR(__xludf.DUMMYFUNCTION("""COMPUTED_VALUE"""),"8054521990601")</f>
        <v>8054521990601</v>
      </c>
      <c r="C10931" t="str">
        <f>IFERROR(__xludf.DUMMYFUNCTION("""COMPUTED_VALUE"""),"Umbra")</f>
        <v>Umbra</v>
      </c>
    </row>
    <row r="10932">
      <c r="A10932" t="str">
        <f>IFERROR(__xludf.DUMMYFUNCTION("""COMPUTED_VALUE"""),"45024/C")</f>
        <v>45024/C</v>
      </c>
      <c r="B10932" s="226" t="str">
        <f>IFERROR(__xludf.DUMMYFUNCTION("""COMPUTED_VALUE"""),"8054521996269")</f>
        <v>8054521996269</v>
      </c>
      <c r="C10932" t="str">
        <f>IFERROR(__xludf.DUMMYFUNCTION("""COMPUTED_VALUE"""),"Umbra")</f>
        <v>Umbra</v>
      </c>
    </row>
    <row r="10933">
      <c r="A10933" t="str">
        <f>IFERROR(__xludf.DUMMYFUNCTION("""COMPUTED_VALUE"""),"45024/F")</f>
        <v>45024/F</v>
      </c>
      <c r="B10933" s="226" t="str">
        <f>IFERROR(__xludf.DUMMYFUNCTION("""COMPUTED_VALUE"""),"8054521996252")</f>
        <v>8054521996252</v>
      </c>
      <c r="C10933" t="str">
        <f>IFERROR(__xludf.DUMMYFUNCTION("""COMPUTED_VALUE"""),"Umbra")</f>
        <v>Umbra</v>
      </c>
    </row>
    <row r="10934">
      <c r="A10934" t="str">
        <f>IFERROR(__xludf.DUMMYFUNCTION("""COMPUTED_VALUE"""),"45024/VM")</f>
        <v>45024/VM</v>
      </c>
      <c r="B10934" s="226" t="str">
        <f>IFERROR(__xludf.DUMMYFUNCTION("""COMPUTED_VALUE"""),"8054521996276")</f>
        <v>8054521996276</v>
      </c>
      <c r="C10934" t="str">
        <f>IFERROR(__xludf.DUMMYFUNCTION("""COMPUTED_VALUE"""),"Umbra")</f>
        <v>Umbra</v>
      </c>
    </row>
    <row r="10935">
      <c r="A10935" t="str">
        <f>IFERROR(__xludf.DUMMYFUNCTION("""COMPUTED_VALUE"""),"19111/C")</f>
        <v>19111/C</v>
      </c>
      <c r="B10935" s="226" t="str">
        <f>IFERROR(__xludf.DUMMYFUNCTION("""COMPUTED_VALUE"""),"8058772223174")</f>
        <v>8058772223174</v>
      </c>
      <c r="C10935" t="str">
        <f>IFERROR(__xludf.DUMMYFUNCTION("""COMPUTED_VALUE"""),"Umbra")</f>
        <v>Umbra</v>
      </c>
    </row>
    <row r="10936">
      <c r="A10936" t="str">
        <f>IFERROR(__xludf.DUMMYFUNCTION("""COMPUTED_VALUE"""),"19111/F")</f>
        <v>19111/F</v>
      </c>
      <c r="B10936" s="226" t="str">
        <f>IFERROR(__xludf.DUMMYFUNCTION("""COMPUTED_VALUE"""),"8058772223167")</f>
        <v>8058772223167</v>
      </c>
      <c r="C10936" t="str">
        <f>IFERROR(__xludf.DUMMYFUNCTION("""COMPUTED_VALUE"""),"Umbra")</f>
        <v>Umbra</v>
      </c>
    </row>
    <row r="10937">
      <c r="A10937" t="str">
        <f>IFERROR(__xludf.DUMMYFUNCTION("""COMPUTED_VALUE"""),"19111/VM")</f>
        <v>19111/VM</v>
      </c>
      <c r="B10937" s="226" t="str">
        <f>IFERROR(__xludf.DUMMYFUNCTION("""COMPUTED_VALUE"""),"8058772223181")</f>
        <v>8058772223181</v>
      </c>
      <c r="C10937" t="str">
        <f>IFERROR(__xludf.DUMMYFUNCTION("""COMPUTED_VALUE"""),"Umbra")</f>
        <v>Umbra</v>
      </c>
    </row>
    <row r="10938">
      <c r="A10938" t="str">
        <f>IFERROR(__xludf.DUMMYFUNCTION("""COMPUTED_VALUE"""),"45021/C")</f>
        <v>45021/C</v>
      </c>
      <c r="B10938" s="226" t="str">
        <f>IFERROR(__xludf.DUMMYFUNCTION("""COMPUTED_VALUE"""),"8054521990113")</f>
        <v>8054521990113</v>
      </c>
      <c r="C10938" t="str">
        <f>IFERROR(__xludf.DUMMYFUNCTION("""COMPUTED_VALUE"""),"Umbra")</f>
        <v>Umbra</v>
      </c>
    </row>
    <row r="10939">
      <c r="A10939" t="str">
        <f>IFERROR(__xludf.DUMMYFUNCTION("""COMPUTED_VALUE"""),"45021/F")</f>
        <v>45021/F</v>
      </c>
      <c r="B10939" s="226" t="str">
        <f>IFERROR(__xludf.DUMMYFUNCTION("""COMPUTED_VALUE"""),"8058772226106")</f>
        <v>8058772226106</v>
      </c>
      <c r="C10939" t="str">
        <f>IFERROR(__xludf.DUMMYFUNCTION("""COMPUTED_VALUE"""),"Umbra")</f>
        <v>Umbra</v>
      </c>
    </row>
    <row r="10940">
      <c r="A10940" t="str">
        <f>IFERROR(__xludf.DUMMYFUNCTION("""COMPUTED_VALUE"""),"45021/VM")</f>
        <v>45021/VM</v>
      </c>
      <c r="B10940" s="226" t="str">
        <f>IFERROR(__xludf.DUMMYFUNCTION("""COMPUTED_VALUE"""),"8054521990120")</f>
        <v>8054521990120</v>
      </c>
      <c r="C10940" t="str">
        <f>IFERROR(__xludf.DUMMYFUNCTION("""COMPUTED_VALUE"""),"Umbra")</f>
        <v>Umbra</v>
      </c>
    </row>
    <row r="10941">
      <c r="A10941" t="str">
        <f>IFERROR(__xludf.DUMMYFUNCTION("""COMPUTED_VALUE"""),"19101")</f>
        <v>19101</v>
      </c>
      <c r="B10941" s="226" t="str">
        <f>IFERROR(__xludf.DUMMYFUNCTION("""COMPUTED_VALUE"""),"8054521990519")</f>
        <v>8054521990519</v>
      </c>
      <c r="C10941" t="str">
        <f>IFERROR(__xludf.DUMMYFUNCTION("""COMPUTED_VALUE"""),"Umbra")</f>
        <v>Umbra</v>
      </c>
    </row>
    <row r="10942">
      <c r="A10942" t="str">
        <f>IFERROR(__xludf.DUMMYFUNCTION("""COMPUTED_VALUE"""),"19113/C")</f>
        <v>19113/C</v>
      </c>
      <c r="B10942" s="226" t="str">
        <f>IFERROR(__xludf.DUMMYFUNCTION("""COMPUTED_VALUE"""),"8054521990663")</f>
        <v>8054521990663</v>
      </c>
      <c r="C10942" t="str">
        <f>IFERROR(__xludf.DUMMYFUNCTION("""COMPUTED_VALUE"""),"Umbra")</f>
        <v>Umbra</v>
      </c>
    </row>
    <row r="10943">
      <c r="A10943" t="str">
        <f>IFERROR(__xludf.DUMMYFUNCTION("""COMPUTED_VALUE"""),"19113/F")</f>
        <v>19113/F</v>
      </c>
      <c r="B10943" s="226" t="str">
        <f>IFERROR(__xludf.DUMMYFUNCTION("""COMPUTED_VALUE"""),"8058772223235")</f>
        <v>8058772223235</v>
      </c>
      <c r="C10943" t="str">
        <f>IFERROR(__xludf.DUMMYFUNCTION("""COMPUTED_VALUE"""),"Umbra")</f>
        <v>Umbra</v>
      </c>
    </row>
    <row r="10944">
      <c r="A10944" t="str">
        <f>IFERROR(__xludf.DUMMYFUNCTION("""COMPUTED_VALUE"""),"19113/VM")</f>
        <v>19113/VM</v>
      </c>
      <c r="B10944" s="226" t="str">
        <f>IFERROR(__xludf.DUMMYFUNCTION("""COMPUTED_VALUE"""),"8054521990670")</f>
        <v>8054521990670</v>
      </c>
      <c r="C10944" t="str">
        <f>IFERROR(__xludf.DUMMYFUNCTION("""COMPUTED_VALUE"""),"Umbra")</f>
        <v>Umbra</v>
      </c>
    </row>
    <row r="10945">
      <c r="A10945" t="str">
        <f>IFERROR(__xludf.DUMMYFUNCTION("""COMPUTED_VALUE"""),"20007/C")</f>
        <v>20007/C</v>
      </c>
      <c r="B10945" s="226" t="str">
        <f>IFERROR(__xludf.DUMMYFUNCTION("""COMPUTED_VALUE"""),"8054521990755")</f>
        <v>8054521990755</v>
      </c>
      <c r="C10945" t="str">
        <f>IFERROR(__xludf.DUMMYFUNCTION("""COMPUTED_VALUE"""),"Umbra")</f>
        <v>Umbra</v>
      </c>
    </row>
    <row r="10946">
      <c r="A10946" t="str">
        <f>IFERROR(__xludf.DUMMYFUNCTION("""COMPUTED_VALUE"""),"20007/G")</f>
        <v>20007/G</v>
      </c>
      <c r="B10946" s="226" t="str">
        <f>IFERROR(__xludf.DUMMYFUNCTION("""COMPUTED_VALUE"""),"8054521990762")</f>
        <v>8054521990762</v>
      </c>
      <c r="C10946" t="str">
        <f>IFERROR(__xludf.DUMMYFUNCTION("""COMPUTED_VALUE"""),"Umbra")</f>
        <v>Umbra</v>
      </c>
    </row>
    <row r="10947">
      <c r="A10947" t="str">
        <f>IFERROR(__xludf.DUMMYFUNCTION("""COMPUTED_VALUE"""),"20007/SF")</f>
        <v>20007/SF</v>
      </c>
      <c r="B10947" s="226" t="str">
        <f>IFERROR(__xludf.DUMMYFUNCTION("""COMPUTED_VALUE"""),"8054521990779")</f>
        <v>8054521990779</v>
      </c>
      <c r="C10947" t="str">
        <f>IFERROR(__xludf.DUMMYFUNCTION("""COMPUTED_VALUE"""),"Umbra")</f>
        <v>Umbra</v>
      </c>
    </row>
    <row r="10948">
      <c r="A10948" t="str">
        <f>IFERROR(__xludf.DUMMYFUNCTION("""COMPUTED_VALUE"""),"13150/C")</f>
        <v>13150/C</v>
      </c>
      <c r="B10948" s="226" t="str">
        <f>IFERROR(__xludf.DUMMYFUNCTION("""COMPUTED_VALUE"""),"8058772228896")</f>
        <v>8058772228896</v>
      </c>
      <c r="C10948" t="str">
        <f>IFERROR(__xludf.DUMMYFUNCTION("""COMPUTED_VALUE"""),"Umbra")</f>
        <v>Umbra</v>
      </c>
    </row>
    <row r="10949">
      <c r="A10949" t="str">
        <f>IFERROR(__xludf.DUMMYFUNCTION("""COMPUTED_VALUE"""),"13150/F")</f>
        <v>13150/F</v>
      </c>
      <c r="B10949" s="226" t="str">
        <f>IFERROR(__xludf.DUMMYFUNCTION("""COMPUTED_VALUE"""),"8058772222467")</f>
        <v>8058772222467</v>
      </c>
      <c r="C10949" t="str">
        <f>IFERROR(__xludf.DUMMYFUNCTION("""COMPUTED_VALUE"""),"Umbra")</f>
        <v>Umbra</v>
      </c>
    </row>
    <row r="10950">
      <c r="A10950" t="str">
        <f>IFERROR(__xludf.DUMMYFUNCTION("""COMPUTED_VALUE"""),"13150/VM")</f>
        <v>13150/VM</v>
      </c>
      <c r="B10950" s="226" t="str">
        <f>IFERROR(__xludf.DUMMYFUNCTION("""COMPUTED_VALUE"""),"8058772228902")</f>
        <v>8058772228902</v>
      </c>
      <c r="C10950" t="str">
        <f>IFERROR(__xludf.DUMMYFUNCTION("""COMPUTED_VALUE"""),"Umbra")</f>
        <v>Umbra</v>
      </c>
    </row>
    <row r="10951">
      <c r="A10951" t="str">
        <f>IFERROR(__xludf.DUMMYFUNCTION("""COMPUTED_VALUE"""),"21036")</f>
        <v>21036</v>
      </c>
      <c r="B10951" s="226" t="str">
        <f>IFERROR(__xludf.DUMMYFUNCTION("""COMPUTED_VALUE"""),"8054521990984")</f>
        <v>8054521990984</v>
      </c>
      <c r="C10951" t="str">
        <f>IFERROR(__xludf.DUMMYFUNCTION("""COMPUTED_VALUE"""),"Umbra")</f>
        <v>Umbra</v>
      </c>
    </row>
    <row r="10952">
      <c r="A10952" t="str">
        <f>IFERROR(__xludf.DUMMYFUNCTION("""COMPUTED_VALUE"""),"21037")</f>
        <v>21037</v>
      </c>
      <c r="B10952" s="226" t="str">
        <f>IFERROR(__xludf.DUMMYFUNCTION("""COMPUTED_VALUE"""),"8054521990991")</f>
        <v>8054521990991</v>
      </c>
      <c r="C10952" t="str">
        <f>IFERROR(__xludf.DUMMYFUNCTION("""COMPUTED_VALUE"""),"Umbra")</f>
        <v>Umbra</v>
      </c>
    </row>
    <row r="10953">
      <c r="A10953" t="str">
        <f>IFERROR(__xludf.DUMMYFUNCTION("""COMPUTED_VALUE"""),"21039/C")</f>
        <v>21039/C</v>
      </c>
      <c r="B10953" s="226" t="str">
        <f>IFERROR(__xludf.DUMMYFUNCTION("""COMPUTED_VALUE"""),"8054521991028")</f>
        <v>8054521991028</v>
      </c>
      <c r="C10953" t="str">
        <f>IFERROR(__xludf.DUMMYFUNCTION("""COMPUTED_VALUE"""),"Umbra")</f>
        <v>Umbra</v>
      </c>
    </row>
    <row r="10954">
      <c r="A10954" t="str">
        <f>IFERROR(__xludf.DUMMYFUNCTION("""COMPUTED_VALUE"""),"13166/C")</f>
        <v>13166/C</v>
      </c>
      <c r="B10954" s="226" t="str">
        <f>IFERROR(__xludf.DUMMYFUNCTION("""COMPUTED_VALUE"""),"8054521996467")</f>
        <v>8054521996467</v>
      </c>
      <c r="C10954" t="str">
        <f>IFERROR(__xludf.DUMMYFUNCTION("""COMPUTED_VALUE"""),"Umbra")</f>
        <v>Umbra</v>
      </c>
    </row>
    <row r="10955">
      <c r="A10955" t="str">
        <f>IFERROR(__xludf.DUMMYFUNCTION("""COMPUTED_VALUE"""),"21039/F")</f>
        <v>21039/F</v>
      </c>
      <c r="B10955" s="226" t="str">
        <f>IFERROR(__xludf.DUMMYFUNCTION("""COMPUTED_VALUE"""),"8058772223334")</f>
        <v>8058772223334</v>
      </c>
      <c r="C10955" t="str">
        <f>IFERROR(__xludf.DUMMYFUNCTION("""COMPUTED_VALUE"""),"Umbra")</f>
        <v>Umbra</v>
      </c>
    </row>
    <row r="10956">
      <c r="A10956" t="str">
        <f>IFERROR(__xludf.DUMMYFUNCTION("""COMPUTED_VALUE"""),"13166/F")</f>
        <v>13166/F</v>
      </c>
      <c r="B10956" s="226" t="str">
        <f>IFERROR(__xludf.DUMMYFUNCTION("""COMPUTED_VALUE"""),"8054521996450")</f>
        <v>8054521996450</v>
      </c>
      <c r="C10956" t="str">
        <f>IFERROR(__xludf.DUMMYFUNCTION("""COMPUTED_VALUE"""),"Umbra")</f>
        <v>Umbra</v>
      </c>
    </row>
    <row r="10957">
      <c r="A10957" t="str">
        <f>IFERROR(__xludf.DUMMYFUNCTION("""COMPUTED_VALUE"""),"21039/VM")</f>
        <v>21039/VM</v>
      </c>
      <c r="B10957" s="226" t="str">
        <f>IFERROR(__xludf.DUMMYFUNCTION("""COMPUTED_VALUE"""),"8054521991035")</f>
        <v>8054521991035</v>
      </c>
      <c r="C10957" t="str">
        <f>IFERROR(__xludf.DUMMYFUNCTION("""COMPUTED_VALUE"""),"Umbra")</f>
        <v>Umbra</v>
      </c>
    </row>
    <row r="10958">
      <c r="A10958" t="str">
        <f>IFERROR(__xludf.DUMMYFUNCTION("""COMPUTED_VALUE"""),"13166/VM")</f>
        <v>13166/VM</v>
      </c>
      <c r="B10958" s="226" t="str">
        <f>IFERROR(__xludf.DUMMYFUNCTION("""COMPUTED_VALUE"""),"8054521996474")</f>
        <v>8054521996474</v>
      </c>
      <c r="C10958" t="str">
        <f>IFERROR(__xludf.DUMMYFUNCTION("""COMPUTED_VALUE"""),"Umbra")</f>
        <v>Umbra</v>
      </c>
    </row>
    <row r="10959">
      <c r="A10959" t="str">
        <f>IFERROR(__xludf.DUMMYFUNCTION("""COMPUTED_VALUE"""),"13137/C")</f>
        <v>13137/C</v>
      </c>
      <c r="B10959" s="226" t="str">
        <f>IFERROR(__xludf.DUMMYFUNCTION("""COMPUTED_VALUE"""),"8058772228698")</f>
        <v>8058772228698</v>
      </c>
      <c r="C10959" t="str">
        <f>IFERROR(__xludf.DUMMYFUNCTION("""COMPUTED_VALUE"""),"Umbra")</f>
        <v>Umbra</v>
      </c>
    </row>
    <row r="10960">
      <c r="A10960" t="str">
        <f>IFERROR(__xludf.DUMMYFUNCTION("""COMPUTED_VALUE"""),"13137/F")</f>
        <v>13137/F</v>
      </c>
      <c r="B10960" s="226" t="str">
        <f>IFERROR(__xludf.DUMMYFUNCTION("""COMPUTED_VALUE"""),"8058772222382")</f>
        <v>8058772222382</v>
      </c>
      <c r="C10960" t="str">
        <f>IFERROR(__xludf.DUMMYFUNCTION("""COMPUTED_VALUE"""),"Umbra")</f>
        <v>Umbra</v>
      </c>
    </row>
    <row r="10961">
      <c r="A10961" t="str">
        <f>IFERROR(__xludf.DUMMYFUNCTION("""COMPUTED_VALUE"""),"21041/C")</f>
        <v>21041/C</v>
      </c>
      <c r="B10961" s="226" t="str">
        <f>IFERROR(__xludf.DUMMYFUNCTION("""COMPUTED_VALUE"""),"8058772223358")</f>
        <v>8058772223358</v>
      </c>
      <c r="C10961" t="str">
        <f>IFERROR(__xludf.DUMMYFUNCTION("""COMPUTED_VALUE"""),"Umbra")</f>
        <v>Umbra</v>
      </c>
    </row>
    <row r="10962">
      <c r="A10962" t="str">
        <f>IFERROR(__xludf.DUMMYFUNCTION("""COMPUTED_VALUE"""),"21041/F")</f>
        <v>21041/F</v>
      </c>
      <c r="B10962" s="226" t="str">
        <f>IFERROR(__xludf.DUMMYFUNCTION("""COMPUTED_VALUE"""),"8058772223341")</f>
        <v>8058772223341</v>
      </c>
      <c r="C10962" t="str">
        <f>IFERROR(__xludf.DUMMYFUNCTION("""COMPUTED_VALUE"""),"Umbra")</f>
        <v>Umbra</v>
      </c>
    </row>
    <row r="10963">
      <c r="A10963" t="str">
        <f>IFERROR(__xludf.DUMMYFUNCTION("""COMPUTED_VALUE"""),"21041/VM")</f>
        <v>21041/VM</v>
      </c>
      <c r="B10963" s="226" t="str">
        <f>IFERROR(__xludf.DUMMYFUNCTION("""COMPUTED_VALUE"""),"8058772223365")</f>
        <v>8058772223365</v>
      </c>
      <c r="C10963" t="str">
        <f>IFERROR(__xludf.DUMMYFUNCTION("""COMPUTED_VALUE"""),"Umbra")</f>
        <v>Umbra</v>
      </c>
    </row>
    <row r="10964">
      <c r="A10964" t="str">
        <f>IFERROR(__xludf.DUMMYFUNCTION("""COMPUTED_VALUE"""),"21038/C")</f>
        <v>21038/C</v>
      </c>
      <c r="B10964" s="226" t="str">
        <f>IFERROR(__xludf.DUMMYFUNCTION("""COMPUTED_VALUE"""),"8054521991004")</f>
        <v>8054521991004</v>
      </c>
      <c r="C10964" t="str">
        <f>IFERROR(__xludf.DUMMYFUNCTION("""COMPUTED_VALUE"""),"Umbra")</f>
        <v>Umbra</v>
      </c>
    </row>
    <row r="10965">
      <c r="A10965" t="str">
        <f>IFERROR(__xludf.DUMMYFUNCTION("""COMPUTED_VALUE"""),"21038/F")</f>
        <v>21038/F</v>
      </c>
      <c r="B10965" s="226" t="str">
        <f>IFERROR(__xludf.DUMMYFUNCTION("""COMPUTED_VALUE"""),"8058772223327")</f>
        <v>8058772223327</v>
      </c>
      <c r="C10965" t="str">
        <f>IFERROR(__xludf.DUMMYFUNCTION("""COMPUTED_VALUE"""),"Umbra")</f>
        <v>Umbra</v>
      </c>
    </row>
    <row r="10966">
      <c r="A10966" t="str">
        <f>IFERROR(__xludf.DUMMYFUNCTION("""COMPUTED_VALUE"""),"21038/VM")</f>
        <v>21038/VM</v>
      </c>
      <c r="B10966" s="226" t="str">
        <f>IFERROR(__xludf.DUMMYFUNCTION("""COMPUTED_VALUE"""),"8054521991011")</f>
        <v>8054521991011</v>
      </c>
      <c r="C10966" t="str">
        <f>IFERROR(__xludf.DUMMYFUNCTION("""COMPUTED_VALUE"""),"Umbra")</f>
        <v>Umbra</v>
      </c>
    </row>
    <row r="10967">
      <c r="A10967" t="str">
        <f>IFERROR(__xludf.DUMMYFUNCTION("""COMPUTED_VALUE"""),"06055/C")</f>
        <v>06055/C</v>
      </c>
      <c r="B10967" s="226" t="str">
        <f>IFERROR(__xludf.DUMMYFUNCTION("""COMPUTED_VALUE"""),"8058772227424")</f>
        <v>8058772227424</v>
      </c>
      <c r="C10967" t="str">
        <f>IFERROR(__xludf.DUMMYFUNCTION("""COMPUTED_VALUE"""),"Umbra")</f>
        <v>Umbra</v>
      </c>
    </row>
    <row r="10968">
      <c r="A10968" t="str">
        <f>IFERROR(__xludf.DUMMYFUNCTION("""COMPUTED_VALUE"""),"06055/F")</f>
        <v>06055/F</v>
      </c>
      <c r="C10968" t="str">
        <f>IFERROR(__xludf.DUMMYFUNCTION("""COMPUTED_VALUE"""),"Umbra")</f>
        <v>Umbra</v>
      </c>
    </row>
    <row r="10969">
      <c r="A10969" t="str">
        <f>IFERROR(__xludf.DUMMYFUNCTION("""COMPUTED_VALUE"""),"06055/VM")</f>
        <v>06055/VM</v>
      </c>
      <c r="C10969" t="str">
        <f>IFERROR(__xludf.DUMMYFUNCTION("""COMPUTED_VALUE"""),"Umbra")</f>
        <v>Umbra</v>
      </c>
    </row>
    <row r="10970">
      <c r="A10970" t="str">
        <f>IFERROR(__xludf.DUMMYFUNCTION("""COMPUTED_VALUE"""),"13123")</f>
        <v>13123</v>
      </c>
      <c r="B10970" s="226" t="str">
        <f>IFERROR(__xludf.DUMMYFUNCTION("""COMPUTED_VALUE"""),"8058772228599")</f>
        <v>8058772228599</v>
      </c>
      <c r="C10970" t="str">
        <f>IFERROR(__xludf.DUMMYFUNCTION("""COMPUTED_VALUE"""),"Umbra")</f>
        <v>Umbra</v>
      </c>
    </row>
    <row r="10971">
      <c r="A10971" t="str">
        <f>IFERROR(__xludf.DUMMYFUNCTION("""COMPUTED_VALUE"""),"21040/C")</f>
        <v>21040/C</v>
      </c>
      <c r="C10971" t="str">
        <f>IFERROR(__xludf.DUMMYFUNCTION("""COMPUTED_VALUE"""),"Umbra")</f>
        <v>Umbra</v>
      </c>
    </row>
    <row r="10972">
      <c r="A10972" t="str">
        <f>IFERROR(__xludf.DUMMYFUNCTION("""COMPUTED_VALUE"""),"13162/C")</f>
        <v>13162/C</v>
      </c>
      <c r="B10972" s="226" t="str">
        <f>IFERROR(__xludf.DUMMYFUNCTION("""COMPUTED_VALUE"""),"8058772222597")</f>
        <v>8058772222597</v>
      </c>
      <c r="C10972" t="str">
        <f>IFERROR(__xludf.DUMMYFUNCTION("""COMPUTED_VALUE"""),"Umbra")</f>
        <v>Umbra</v>
      </c>
    </row>
    <row r="10973">
      <c r="A10973" t="str">
        <f>IFERROR(__xludf.DUMMYFUNCTION("""COMPUTED_VALUE"""),"21040/F")</f>
        <v>21040/F</v>
      </c>
      <c r="C10973" t="str">
        <f>IFERROR(__xludf.DUMMYFUNCTION("""COMPUTED_VALUE"""),"Umbra")</f>
        <v>Umbra</v>
      </c>
    </row>
    <row r="10974">
      <c r="A10974" t="str">
        <f>IFERROR(__xludf.DUMMYFUNCTION("""COMPUTED_VALUE"""),"13162/F")</f>
        <v>13162/F</v>
      </c>
      <c r="B10974" s="226" t="str">
        <f>IFERROR(__xludf.DUMMYFUNCTION("""COMPUTED_VALUE"""),"8058772222580")</f>
        <v>8058772222580</v>
      </c>
      <c r="C10974" t="str">
        <f>IFERROR(__xludf.DUMMYFUNCTION("""COMPUTED_VALUE"""),"Umbra")</f>
        <v>Umbra</v>
      </c>
    </row>
    <row r="10975">
      <c r="A10975" t="str">
        <f>IFERROR(__xludf.DUMMYFUNCTION("""COMPUTED_VALUE"""),"21040/VM")</f>
        <v>21040/VM</v>
      </c>
      <c r="C10975" t="str">
        <f>IFERROR(__xludf.DUMMYFUNCTION("""COMPUTED_VALUE"""),"Umbra")</f>
        <v>Umbra</v>
      </c>
    </row>
    <row r="10976">
      <c r="A10976" t="str">
        <f>IFERROR(__xludf.DUMMYFUNCTION("""COMPUTED_VALUE"""),"13162/VM")</f>
        <v>13162/VM</v>
      </c>
      <c r="B10976" s="226" t="str">
        <f>IFERROR(__xludf.DUMMYFUNCTION("""COMPUTED_VALUE"""),"8058772222603")</f>
        <v>8058772222603</v>
      </c>
      <c r="C10976" t="str">
        <f>IFERROR(__xludf.DUMMYFUNCTION("""COMPUTED_VALUE"""),"Umbra")</f>
        <v>Umbra</v>
      </c>
    </row>
    <row r="10977">
      <c r="A10977" t="str">
        <f>IFERROR(__xludf.DUMMYFUNCTION("""COMPUTED_VALUE"""),"13131/R")</f>
        <v>13131/R</v>
      </c>
      <c r="B10977" s="226" t="str">
        <f>IFERROR(__xludf.DUMMYFUNCTION("""COMPUTED_VALUE"""),"8058772228650")</f>
        <v>8058772228650</v>
      </c>
      <c r="C10977" t="str">
        <f>IFERROR(__xludf.DUMMYFUNCTION("""COMPUTED_VALUE"""),"Umbra")</f>
        <v>Umbra</v>
      </c>
    </row>
    <row r="10978">
      <c r="A10978" t="str">
        <f>IFERROR(__xludf.DUMMYFUNCTION("""COMPUTED_VALUE"""),"13166/C")</f>
        <v>13166/C</v>
      </c>
      <c r="B10978" s="226" t="str">
        <f>IFERROR(__xludf.DUMMYFUNCTION("""COMPUTED_VALUE"""),"8054521996467")</f>
        <v>8054521996467</v>
      </c>
      <c r="C10978" t="str">
        <f>IFERROR(__xludf.DUMMYFUNCTION("""COMPUTED_VALUE"""),"Umbra")</f>
        <v>Umbra</v>
      </c>
    </row>
    <row r="10979">
      <c r="A10979" t="str">
        <f>IFERROR(__xludf.DUMMYFUNCTION("""COMPUTED_VALUE"""),"13166/F")</f>
        <v>13166/F</v>
      </c>
      <c r="B10979" s="226" t="str">
        <f>IFERROR(__xludf.DUMMYFUNCTION("""COMPUTED_VALUE"""),"8054521996450")</f>
        <v>8054521996450</v>
      </c>
      <c r="C10979" t="str">
        <f>IFERROR(__xludf.DUMMYFUNCTION("""COMPUTED_VALUE"""),"Umbra")</f>
        <v>Umbra</v>
      </c>
    </row>
    <row r="10980">
      <c r="A10980" t="str">
        <f>IFERROR(__xludf.DUMMYFUNCTION("""COMPUTED_VALUE"""),"13166/VM")</f>
        <v>13166/VM</v>
      </c>
      <c r="B10980" s="226" t="str">
        <f>IFERROR(__xludf.DUMMYFUNCTION("""COMPUTED_VALUE"""),"8054521996474")</f>
        <v>8054521996474</v>
      </c>
      <c r="C10980" t="str">
        <f>IFERROR(__xludf.DUMMYFUNCTION("""COMPUTED_VALUE"""),"Umbra")</f>
        <v>Umbra</v>
      </c>
    </row>
    <row r="10981">
      <c r="A10981" t="str">
        <f>IFERROR(__xludf.DUMMYFUNCTION("""COMPUTED_VALUE"""),"13133")</f>
        <v>13133</v>
      </c>
      <c r="B10981" s="226" t="str">
        <f>IFERROR(__xludf.DUMMYFUNCTION("""COMPUTED_VALUE"""),"8058772228674")</f>
        <v>8058772228674</v>
      </c>
      <c r="C10981" t="str">
        <f>IFERROR(__xludf.DUMMYFUNCTION("""COMPUTED_VALUE"""),"Umbra")</f>
        <v>Umbra</v>
      </c>
    </row>
    <row r="10982">
      <c r="A10982" t="str">
        <f>IFERROR(__xludf.DUMMYFUNCTION("""COMPUTED_VALUE"""),"13133/F")</f>
        <v>13133/F</v>
      </c>
      <c r="B10982" s="226" t="str">
        <f>IFERROR(__xludf.DUMMYFUNCTION("""COMPUTED_VALUE"""),"8058772222375")</f>
        <v>8058772222375</v>
      </c>
      <c r="C10982" t="str">
        <f>IFERROR(__xludf.DUMMYFUNCTION("""COMPUTED_VALUE"""),"Umbra")</f>
        <v>Umbra</v>
      </c>
    </row>
    <row r="10983">
      <c r="A10983" t="str">
        <f>IFERROR(__xludf.DUMMYFUNCTION("""COMPUTED_VALUE"""),"21201/C")</f>
        <v>21201/C</v>
      </c>
      <c r="B10983" s="226" t="str">
        <f>IFERROR(__xludf.DUMMYFUNCTION("""COMPUTED_VALUE"""),"8054521991059")</f>
        <v>8054521991059</v>
      </c>
      <c r="C10983" t="str">
        <f>IFERROR(__xludf.DUMMYFUNCTION("""COMPUTED_VALUE"""),"Umbra")</f>
        <v>Umbra</v>
      </c>
    </row>
    <row r="10984">
      <c r="A10984" t="str">
        <f>IFERROR(__xludf.DUMMYFUNCTION("""COMPUTED_VALUE"""),"21202/G")</f>
        <v>21202/G</v>
      </c>
      <c r="C10984" t="str">
        <f>IFERROR(__xludf.DUMMYFUNCTION("""COMPUTED_VALUE"""),"Umbra")</f>
        <v>Umbra</v>
      </c>
    </row>
    <row r="10985">
      <c r="A10985" t="str">
        <f>IFERROR(__xludf.DUMMYFUNCTION("""COMPUTED_VALUE"""),"21201/G")</f>
        <v>21201/G</v>
      </c>
      <c r="B10985" s="226" t="str">
        <f>IFERROR(__xludf.DUMMYFUNCTION("""COMPUTED_VALUE"""),"8054521991066")</f>
        <v>8054521991066</v>
      </c>
      <c r="C10985" t="str">
        <f>IFERROR(__xludf.DUMMYFUNCTION("""COMPUTED_VALUE"""),"Umbra")</f>
        <v>Umbra</v>
      </c>
    </row>
    <row r="10986">
      <c r="A10986" t="str">
        <f>IFERROR(__xludf.DUMMYFUNCTION("""COMPUTED_VALUE"""),"21202/SF")</f>
        <v>21202/SF</v>
      </c>
      <c r="B10986" s="226" t="str">
        <f>IFERROR(__xludf.DUMMYFUNCTION("""COMPUTED_VALUE"""),"8054521991080")</f>
        <v>8054521991080</v>
      </c>
      <c r="C10986" t="str">
        <f>IFERROR(__xludf.DUMMYFUNCTION("""COMPUTED_VALUE"""),"Umbra")</f>
        <v>Umbra</v>
      </c>
    </row>
    <row r="10987">
      <c r="A10987" t="str">
        <f>IFERROR(__xludf.DUMMYFUNCTION("""COMPUTED_VALUE"""),"21201/SF")</f>
        <v>21201/SF</v>
      </c>
      <c r="B10987" s="226" t="str">
        <f>IFERROR(__xludf.DUMMYFUNCTION("""COMPUTED_VALUE"""),"8054521991073")</f>
        <v>8054521991073</v>
      </c>
      <c r="C10987" t="str">
        <f>IFERROR(__xludf.DUMMYFUNCTION("""COMPUTED_VALUE"""),"Umbra")</f>
        <v>Umbra</v>
      </c>
    </row>
    <row r="10988">
      <c r="A10988" t="str">
        <f>IFERROR(__xludf.DUMMYFUNCTION("""COMPUTED_VALUE"""),"22001/C")</f>
        <v>22001/C</v>
      </c>
      <c r="B10988" s="226" t="str">
        <f>IFERROR(__xludf.DUMMYFUNCTION("""COMPUTED_VALUE"""),"8054521991097")</f>
        <v>8054521991097</v>
      </c>
      <c r="C10988" t="str">
        <f>IFERROR(__xludf.DUMMYFUNCTION("""COMPUTED_VALUE"""),"Umbra")</f>
        <v>Umbra</v>
      </c>
    </row>
    <row r="10989">
      <c r="A10989" t="str">
        <f>IFERROR(__xludf.DUMMYFUNCTION("""COMPUTED_VALUE"""),"22001/F")</f>
        <v>22001/F</v>
      </c>
      <c r="B10989" s="226" t="str">
        <f>IFERROR(__xludf.DUMMYFUNCTION("""COMPUTED_VALUE"""),"8058772223402")</f>
        <v>8058772223402</v>
      </c>
      <c r="C10989" t="str">
        <f>IFERROR(__xludf.DUMMYFUNCTION("""COMPUTED_VALUE"""),"Umbra")</f>
        <v>Umbra</v>
      </c>
    </row>
    <row r="10990">
      <c r="A10990" t="str">
        <f>IFERROR(__xludf.DUMMYFUNCTION("""COMPUTED_VALUE"""),"22004/C")</f>
        <v>22004/C</v>
      </c>
      <c r="B10990" s="226" t="str">
        <f>IFERROR(__xludf.DUMMYFUNCTION("""COMPUTED_VALUE"""),"8054521991165")</f>
        <v>8054521991165</v>
      </c>
      <c r="C10990" t="str">
        <f>IFERROR(__xludf.DUMMYFUNCTION("""COMPUTED_VALUE"""),"Umbra")</f>
        <v>Umbra</v>
      </c>
    </row>
    <row r="10991">
      <c r="A10991" t="str">
        <f>IFERROR(__xludf.DUMMYFUNCTION("""COMPUTED_VALUE"""),"22004/F")</f>
        <v>22004/F</v>
      </c>
      <c r="B10991" s="226" t="str">
        <f>IFERROR(__xludf.DUMMYFUNCTION("""COMPUTED_VALUE"""),"8058772223440")</f>
        <v>8058772223440</v>
      </c>
      <c r="C10991" t="str">
        <f>IFERROR(__xludf.DUMMYFUNCTION("""COMPUTED_VALUE"""),"Umbra")</f>
        <v>Umbra</v>
      </c>
    </row>
    <row r="10992">
      <c r="A10992" t="str">
        <f>IFERROR(__xludf.DUMMYFUNCTION("""COMPUTED_VALUE"""),"22004/VM")</f>
        <v>22004/VM</v>
      </c>
      <c r="B10992" s="226" t="str">
        <f>IFERROR(__xludf.DUMMYFUNCTION("""COMPUTED_VALUE"""),"8054521991172")</f>
        <v>8054521991172</v>
      </c>
      <c r="C10992" t="str">
        <f>IFERROR(__xludf.DUMMYFUNCTION("""COMPUTED_VALUE"""),"Umbra")</f>
        <v>Umbra</v>
      </c>
    </row>
    <row r="10993">
      <c r="A10993" t="str">
        <f>IFERROR(__xludf.DUMMYFUNCTION("""COMPUTED_VALUE"""),"22002/C")</f>
        <v>22002/C</v>
      </c>
      <c r="B10993" s="226" t="str">
        <f>IFERROR(__xludf.DUMMYFUNCTION("""COMPUTED_VALUE"""),"8054521991103")</f>
        <v>8054521991103</v>
      </c>
      <c r="C10993" t="str">
        <f>IFERROR(__xludf.DUMMYFUNCTION("""COMPUTED_VALUE"""),"Umbra")</f>
        <v>Umbra</v>
      </c>
    </row>
    <row r="10994">
      <c r="A10994" t="str">
        <f>IFERROR(__xludf.DUMMYFUNCTION("""COMPUTED_VALUE"""),"22002/F")</f>
        <v>22002/F</v>
      </c>
      <c r="B10994" s="226" t="str">
        <f>IFERROR(__xludf.DUMMYFUNCTION("""COMPUTED_VALUE"""),"8058772223419")</f>
        <v>8058772223419</v>
      </c>
      <c r="C10994" t="str">
        <f>IFERROR(__xludf.DUMMYFUNCTION("""COMPUTED_VALUE"""),"Umbra")</f>
        <v>Umbra</v>
      </c>
    </row>
    <row r="10995">
      <c r="A10995" t="str">
        <f>IFERROR(__xludf.DUMMYFUNCTION("""COMPUTED_VALUE"""),"22002/VM")</f>
        <v>22002/VM</v>
      </c>
      <c r="B10995" s="226" t="str">
        <f>IFERROR(__xludf.DUMMYFUNCTION("""COMPUTED_VALUE"""),"8054521991110")</f>
        <v>8054521991110</v>
      </c>
      <c r="C10995" t="str">
        <f>IFERROR(__xludf.DUMMYFUNCTION("""COMPUTED_VALUE"""),"Umbra")</f>
        <v>Umbra</v>
      </c>
    </row>
    <row r="10996">
      <c r="A10996" t="str">
        <f>IFERROR(__xludf.DUMMYFUNCTION("""COMPUTED_VALUE"""),"22002S/C")</f>
        <v>22002S/C</v>
      </c>
      <c r="B10996" s="226" t="str">
        <f>IFERROR(__xludf.DUMMYFUNCTION("""COMPUTED_VALUE"""),"8054521991127")</f>
        <v>8054521991127</v>
      </c>
      <c r="C10996" t="str">
        <f>IFERROR(__xludf.DUMMYFUNCTION("""COMPUTED_VALUE"""),"Umbra")</f>
        <v>Umbra</v>
      </c>
    </row>
    <row r="10997">
      <c r="A10997" t="str">
        <f>IFERROR(__xludf.DUMMYFUNCTION("""COMPUTED_VALUE"""),"22002S/F")</f>
        <v>22002S/F</v>
      </c>
      <c r="C10997" t="str">
        <f>IFERROR(__xludf.DUMMYFUNCTION("""COMPUTED_VALUE"""),"Umbra")</f>
        <v>Umbra</v>
      </c>
    </row>
    <row r="10998">
      <c r="A10998" t="str">
        <f>IFERROR(__xludf.DUMMYFUNCTION("""COMPUTED_VALUE"""),"22002S/VM")</f>
        <v>22002S/VM</v>
      </c>
      <c r="B10998" s="226" t="str">
        <f>IFERROR(__xludf.DUMMYFUNCTION("""COMPUTED_VALUE"""),"8054521991134")</f>
        <v>8054521991134</v>
      </c>
      <c r="C10998" t="str">
        <f>IFERROR(__xludf.DUMMYFUNCTION("""COMPUTED_VALUE"""),"Umbra")</f>
        <v>Umbra</v>
      </c>
    </row>
    <row r="10999">
      <c r="A10999" t="str">
        <f>IFERROR(__xludf.DUMMYFUNCTION("""COMPUTED_VALUE"""),"22007/C")</f>
        <v>22007/C</v>
      </c>
      <c r="B10999" s="226" t="str">
        <f>IFERROR(__xludf.DUMMYFUNCTION("""COMPUTED_VALUE"""),"8058772223501")</f>
        <v>8058772223501</v>
      </c>
      <c r="C10999" t="str">
        <f>IFERROR(__xludf.DUMMYFUNCTION("""COMPUTED_VALUE"""),"Umbra")</f>
        <v>Umbra</v>
      </c>
    </row>
    <row r="11000">
      <c r="A11000" t="str">
        <f>IFERROR(__xludf.DUMMYFUNCTION("""COMPUTED_VALUE"""),"22007/F")</f>
        <v>22007/F</v>
      </c>
      <c r="B11000" s="226" t="str">
        <f>IFERROR(__xludf.DUMMYFUNCTION("""COMPUTED_VALUE"""),"8058772223495")</f>
        <v>8058772223495</v>
      </c>
      <c r="C11000" t="str">
        <f>IFERROR(__xludf.DUMMYFUNCTION("""COMPUTED_VALUE"""),"Umbra")</f>
        <v>Umbra</v>
      </c>
    </row>
    <row r="11001">
      <c r="A11001" t="str">
        <f>IFERROR(__xludf.DUMMYFUNCTION("""COMPUTED_VALUE"""),"22007/VM")</f>
        <v>22007/VM</v>
      </c>
      <c r="B11001" s="226" t="str">
        <f>IFERROR(__xludf.DUMMYFUNCTION("""COMPUTED_VALUE"""),"8058772223518")</f>
        <v>8058772223518</v>
      </c>
      <c r="C11001" t="str">
        <f>IFERROR(__xludf.DUMMYFUNCTION("""COMPUTED_VALUE"""),"Umbra")</f>
        <v>Umbra</v>
      </c>
    </row>
    <row r="11002">
      <c r="A11002" t="str">
        <f>IFERROR(__xludf.DUMMYFUNCTION("""COMPUTED_VALUE"""),"22005/C")</f>
        <v>22005/C</v>
      </c>
      <c r="B11002" s="226" t="str">
        <f>IFERROR(__xludf.DUMMYFUNCTION("""COMPUTED_VALUE"""),"8054521991189")</f>
        <v>8054521991189</v>
      </c>
      <c r="C11002" t="str">
        <f>IFERROR(__xludf.DUMMYFUNCTION("""COMPUTED_VALUE"""),"Umbra")</f>
        <v>Umbra</v>
      </c>
    </row>
    <row r="11003">
      <c r="A11003" t="str">
        <f>IFERROR(__xludf.DUMMYFUNCTION("""COMPUTED_VALUE"""),"22005/F")</f>
        <v>22005/F</v>
      </c>
      <c r="B11003" s="226" t="str">
        <f>IFERROR(__xludf.DUMMYFUNCTION("""COMPUTED_VALUE"""),"8058772223457")</f>
        <v>8058772223457</v>
      </c>
      <c r="C11003" t="str">
        <f>IFERROR(__xludf.DUMMYFUNCTION("""COMPUTED_VALUE"""),"Umbra")</f>
        <v>Umbra</v>
      </c>
    </row>
    <row r="11004">
      <c r="A11004" t="str">
        <f>IFERROR(__xludf.DUMMYFUNCTION("""COMPUTED_VALUE"""),"22005/VM")</f>
        <v>22005/VM</v>
      </c>
      <c r="B11004" s="226" t="str">
        <f>IFERROR(__xludf.DUMMYFUNCTION("""COMPUTED_VALUE"""),"8054521991196")</f>
        <v>8054521991196</v>
      </c>
      <c r="C11004" t="str">
        <f>IFERROR(__xludf.DUMMYFUNCTION("""COMPUTED_VALUE"""),"Umbra")</f>
        <v>Umbra</v>
      </c>
    </row>
    <row r="11005">
      <c r="A11005" t="str">
        <f>IFERROR(__xludf.DUMMYFUNCTION("""COMPUTED_VALUE"""),"22003/C")</f>
        <v>22003/C</v>
      </c>
      <c r="B11005" s="226" t="str">
        <f>IFERROR(__xludf.DUMMYFUNCTION("""COMPUTED_VALUE"""),"8054521991141")</f>
        <v>8054521991141</v>
      </c>
      <c r="C11005" t="str">
        <f>IFERROR(__xludf.DUMMYFUNCTION("""COMPUTED_VALUE"""),"Umbra")</f>
        <v>Umbra</v>
      </c>
    </row>
    <row r="11006">
      <c r="A11006" t="str">
        <f>IFERROR(__xludf.DUMMYFUNCTION("""COMPUTED_VALUE"""),"22003/F")</f>
        <v>22003/F</v>
      </c>
      <c r="B11006" s="226" t="str">
        <f>IFERROR(__xludf.DUMMYFUNCTION("""COMPUTED_VALUE"""),"8058772223433")</f>
        <v>8058772223433</v>
      </c>
      <c r="C11006" t="str">
        <f>IFERROR(__xludf.DUMMYFUNCTION("""COMPUTED_VALUE"""),"Umbra")</f>
        <v>Umbra</v>
      </c>
    </row>
    <row r="11007">
      <c r="A11007" t="str">
        <f>IFERROR(__xludf.DUMMYFUNCTION("""COMPUTED_VALUE"""),"22003/VM")</f>
        <v>22003/VM</v>
      </c>
      <c r="B11007" s="226" t="str">
        <f>IFERROR(__xludf.DUMMYFUNCTION("""COMPUTED_VALUE"""),"8054521991158")</f>
        <v>8054521991158</v>
      </c>
      <c r="C11007" t="str">
        <f>IFERROR(__xludf.DUMMYFUNCTION("""COMPUTED_VALUE"""),"Umbra")</f>
        <v>Umbra</v>
      </c>
    </row>
    <row r="11008">
      <c r="A11008" t="str">
        <f>IFERROR(__xludf.DUMMYFUNCTION("""COMPUTED_VALUE"""),"22007/C")</f>
        <v>22007/C</v>
      </c>
      <c r="B11008" s="226" t="str">
        <f>IFERROR(__xludf.DUMMYFUNCTION("""COMPUTED_VALUE"""),"8058772223501")</f>
        <v>8058772223501</v>
      </c>
      <c r="C11008" t="str">
        <f>IFERROR(__xludf.DUMMYFUNCTION("""COMPUTED_VALUE"""),"Umbra")</f>
        <v>Umbra</v>
      </c>
    </row>
    <row r="11009">
      <c r="A11009" t="str">
        <f>IFERROR(__xludf.DUMMYFUNCTION("""COMPUTED_VALUE"""),"22007/F")</f>
        <v>22007/F</v>
      </c>
      <c r="B11009" s="226" t="str">
        <f>IFERROR(__xludf.DUMMYFUNCTION("""COMPUTED_VALUE"""),"8058772223495")</f>
        <v>8058772223495</v>
      </c>
      <c r="C11009" t="str">
        <f>IFERROR(__xludf.DUMMYFUNCTION("""COMPUTED_VALUE"""),"Umbra")</f>
        <v>Umbra</v>
      </c>
    </row>
    <row r="11010">
      <c r="A11010" t="str">
        <f>IFERROR(__xludf.DUMMYFUNCTION("""COMPUTED_VALUE"""),"22007/VM")</f>
        <v>22007/VM</v>
      </c>
      <c r="B11010" s="226" t="str">
        <f>IFERROR(__xludf.DUMMYFUNCTION("""COMPUTED_VALUE"""),"8058772223518")</f>
        <v>8058772223518</v>
      </c>
      <c r="C11010" t="str">
        <f>IFERROR(__xludf.DUMMYFUNCTION("""COMPUTED_VALUE"""),"Umbra")</f>
        <v>Umbra</v>
      </c>
    </row>
    <row r="11011">
      <c r="A11011" t="str">
        <f>IFERROR(__xludf.DUMMYFUNCTION("""COMPUTED_VALUE"""),"14081/G")</f>
        <v>14081/G</v>
      </c>
      <c r="B11011" s="226" t="str">
        <f>IFERROR(__xludf.DUMMYFUNCTION("""COMPUTED_VALUE"""),"8058772229497")</f>
        <v>8058772229497</v>
      </c>
      <c r="C11011" t="str">
        <f>IFERROR(__xludf.DUMMYFUNCTION("""COMPUTED_VALUE"""),"Umbra")</f>
        <v>Umbra</v>
      </c>
    </row>
    <row r="11012">
      <c r="A11012" t="str">
        <f>IFERROR(__xludf.DUMMYFUNCTION("""COMPUTED_VALUE"""),"14081/SF")</f>
        <v>14081/SF</v>
      </c>
      <c r="B11012" s="226" t="str">
        <f>IFERROR(__xludf.DUMMYFUNCTION("""COMPUTED_VALUE"""),"8058772229503")</f>
        <v>8058772229503</v>
      </c>
      <c r="C11012" t="str">
        <f>IFERROR(__xludf.DUMMYFUNCTION("""COMPUTED_VALUE"""),"Umbra")</f>
        <v>Umbra</v>
      </c>
    </row>
    <row r="11013">
      <c r="A11013" t="str">
        <f>IFERROR(__xludf.DUMMYFUNCTION("""COMPUTED_VALUE"""),"22008/C")</f>
        <v>22008/C</v>
      </c>
      <c r="B11013" s="226" t="str">
        <f>IFERROR(__xludf.DUMMYFUNCTION("""COMPUTED_VALUE"""),"8054521996344")</f>
        <v>8054521996344</v>
      </c>
      <c r="C11013" t="str">
        <f>IFERROR(__xludf.DUMMYFUNCTION("""COMPUTED_VALUE"""),"Umbra")</f>
        <v>Umbra</v>
      </c>
    </row>
    <row r="11014">
      <c r="A11014" t="str">
        <f>IFERROR(__xludf.DUMMYFUNCTION("""COMPUTED_VALUE"""),"22008/F")</f>
        <v>22008/F</v>
      </c>
      <c r="B11014" s="226" t="str">
        <f>IFERROR(__xludf.DUMMYFUNCTION("""COMPUTED_VALUE"""),"8054521996337")</f>
        <v>8054521996337</v>
      </c>
      <c r="C11014" t="str">
        <f>IFERROR(__xludf.DUMMYFUNCTION("""COMPUTED_VALUE"""),"Umbra")</f>
        <v>Umbra</v>
      </c>
    </row>
    <row r="11015">
      <c r="A11015" t="str">
        <f>IFERROR(__xludf.DUMMYFUNCTION("""COMPUTED_VALUE"""),"22008/VM")</f>
        <v>22008/VM</v>
      </c>
      <c r="B11015" s="226" t="str">
        <f>IFERROR(__xludf.DUMMYFUNCTION("""COMPUTED_VALUE"""),"8054521996351")</f>
        <v>8054521996351</v>
      </c>
      <c r="C11015" t="str">
        <f>IFERROR(__xludf.DUMMYFUNCTION("""COMPUTED_VALUE"""),"Umbra")</f>
        <v>Umbra</v>
      </c>
    </row>
    <row r="11016">
      <c r="A11016" t="str">
        <f>IFERROR(__xludf.DUMMYFUNCTION("""COMPUTED_VALUE"""),"22006/C")</f>
        <v>22006/C</v>
      </c>
      <c r="B11016" s="226" t="str">
        <f>IFERROR(__xludf.DUMMYFUNCTION("""COMPUTED_VALUE"""),"8058772223471")</f>
        <v>8058772223471</v>
      </c>
      <c r="C11016" t="str">
        <f>IFERROR(__xludf.DUMMYFUNCTION("""COMPUTED_VALUE"""),"Umbra")</f>
        <v>Umbra</v>
      </c>
    </row>
    <row r="11017">
      <c r="A11017" t="str">
        <f>IFERROR(__xludf.DUMMYFUNCTION("""COMPUTED_VALUE"""),"22006/F")</f>
        <v>22006/F</v>
      </c>
      <c r="B11017" s="226" t="str">
        <f>IFERROR(__xludf.DUMMYFUNCTION("""COMPUTED_VALUE"""),"8058772223464")</f>
        <v>8058772223464</v>
      </c>
      <c r="C11017" t="str">
        <f>IFERROR(__xludf.DUMMYFUNCTION("""COMPUTED_VALUE"""),"Umbra")</f>
        <v>Umbra</v>
      </c>
    </row>
    <row r="11018">
      <c r="A11018" t="str">
        <f>IFERROR(__xludf.DUMMYFUNCTION("""COMPUTED_VALUE"""),"22006/VM")</f>
        <v>22006/VM</v>
      </c>
      <c r="B11018" s="226" t="str">
        <f>IFERROR(__xludf.DUMMYFUNCTION("""COMPUTED_VALUE"""),"8058772223488")</f>
        <v>8058772223488</v>
      </c>
      <c r="C11018" t="str">
        <f>IFERROR(__xludf.DUMMYFUNCTION("""COMPUTED_VALUE"""),"Umbra")</f>
        <v>Umbra</v>
      </c>
    </row>
    <row r="11019">
      <c r="A11019" t="str">
        <f>IFERROR(__xludf.DUMMYFUNCTION("""COMPUTED_VALUE"""),"23041/C")</f>
        <v>23041/C</v>
      </c>
      <c r="B11019" s="226" t="str">
        <f>IFERROR(__xludf.DUMMYFUNCTION("""COMPUTED_VALUE"""),"8054521991493")</f>
        <v>8054521991493</v>
      </c>
      <c r="C11019" t="str">
        <f>IFERROR(__xludf.DUMMYFUNCTION("""COMPUTED_VALUE"""),"Umbra")</f>
        <v>Umbra</v>
      </c>
    </row>
    <row r="11020">
      <c r="A11020" t="str">
        <f>IFERROR(__xludf.DUMMYFUNCTION("""COMPUTED_VALUE"""),"23041/F")</f>
        <v>23041/F</v>
      </c>
      <c r="B11020" s="226" t="str">
        <f>IFERROR(__xludf.DUMMYFUNCTION("""COMPUTED_VALUE"""),"8058772223587")</f>
        <v>8058772223587</v>
      </c>
      <c r="C11020" t="str">
        <f>IFERROR(__xludf.DUMMYFUNCTION("""COMPUTED_VALUE"""),"Umbra")</f>
        <v>Umbra</v>
      </c>
    </row>
    <row r="11021">
      <c r="A11021" t="str">
        <f>IFERROR(__xludf.DUMMYFUNCTION("""COMPUTED_VALUE"""),"23041/VM")</f>
        <v>23041/VM</v>
      </c>
      <c r="B11021" s="226" t="str">
        <f>IFERROR(__xludf.DUMMYFUNCTION("""COMPUTED_VALUE"""),"8054521991509")</f>
        <v>8054521991509</v>
      </c>
      <c r="C11021" t="str">
        <f>IFERROR(__xludf.DUMMYFUNCTION("""COMPUTED_VALUE"""),"Umbra")</f>
        <v>Umbra</v>
      </c>
    </row>
    <row r="11022">
      <c r="A11022" t="str">
        <f>IFERROR(__xludf.DUMMYFUNCTION("""COMPUTED_VALUE"""),"23052/C")</f>
        <v>23052/C</v>
      </c>
      <c r="B11022" s="226" t="str">
        <f>IFERROR(__xludf.DUMMYFUNCTION("""COMPUTED_VALUE"""),"8058772223709")</f>
        <v>8058772223709</v>
      </c>
      <c r="C11022" t="str">
        <f>IFERROR(__xludf.DUMMYFUNCTION("""COMPUTED_VALUE"""),"Umbra")</f>
        <v>Umbra</v>
      </c>
    </row>
    <row r="11023">
      <c r="A11023" t="str">
        <f>IFERROR(__xludf.DUMMYFUNCTION("""COMPUTED_VALUE"""),"23052/F")</f>
        <v>23052/F</v>
      </c>
      <c r="B11023" s="226" t="str">
        <f>IFERROR(__xludf.DUMMYFUNCTION("""COMPUTED_VALUE"""),"8058772223693")</f>
        <v>8058772223693</v>
      </c>
      <c r="C11023" t="str">
        <f>IFERROR(__xludf.DUMMYFUNCTION("""COMPUTED_VALUE"""),"Umbra")</f>
        <v>Umbra</v>
      </c>
    </row>
    <row r="11024">
      <c r="A11024" t="str">
        <f>IFERROR(__xludf.DUMMYFUNCTION("""COMPUTED_VALUE"""),"23052/VM")</f>
        <v>23052/VM</v>
      </c>
      <c r="B11024" s="226" t="str">
        <f>IFERROR(__xludf.DUMMYFUNCTION("""COMPUTED_VALUE"""),"8058772223716")</f>
        <v>8058772223716</v>
      </c>
      <c r="C11024" t="str">
        <f>IFERROR(__xludf.DUMMYFUNCTION("""COMPUTED_VALUE"""),"Umbra")</f>
        <v>Umbra</v>
      </c>
    </row>
    <row r="11025">
      <c r="A11025" t="str">
        <f>IFERROR(__xludf.DUMMYFUNCTION("""COMPUTED_VALUE"""),"23031")</f>
        <v>23031</v>
      </c>
      <c r="B11025" s="226" t="str">
        <f>IFERROR(__xludf.DUMMYFUNCTION("""COMPUTED_VALUE"""),"8054521991394")</f>
        <v>8054521991394</v>
      </c>
      <c r="C11025" t="str">
        <f>IFERROR(__xludf.DUMMYFUNCTION("""COMPUTED_VALUE"""),"Umbra")</f>
        <v>Umbra</v>
      </c>
    </row>
    <row r="11026">
      <c r="A11026" t="str">
        <f>IFERROR(__xludf.DUMMYFUNCTION("""COMPUTED_VALUE"""),"23041/C")</f>
        <v>23041/C</v>
      </c>
      <c r="B11026" s="226" t="str">
        <f>IFERROR(__xludf.DUMMYFUNCTION("""COMPUTED_VALUE"""),"8054521991493")</f>
        <v>8054521991493</v>
      </c>
      <c r="C11026" t="str">
        <f>IFERROR(__xludf.DUMMYFUNCTION("""COMPUTED_VALUE"""),"Umbra")</f>
        <v>Umbra</v>
      </c>
    </row>
    <row r="11027">
      <c r="A11027" t="str">
        <f>IFERROR(__xludf.DUMMYFUNCTION("""COMPUTED_VALUE"""),"23041/F")</f>
        <v>23041/F</v>
      </c>
      <c r="B11027" s="226" t="str">
        <f>IFERROR(__xludf.DUMMYFUNCTION("""COMPUTED_VALUE"""),"8058772223587")</f>
        <v>8058772223587</v>
      </c>
      <c r="C11027" t="str">
        <f>IFERROR(__xludf.DUMMYFUNCTION("""COMPUTED_VALUE"""),"Umbra")</f>
        <v>Umbra</v>
      </c>
    </row>
    <row r="11028">
      <c r="A11028" t="str">
        <f>IFERROR(__xludf.DUMMYFUNCTION("""COMPUTED_VALUE"""),"23041/VM")</f>
        <v>23041/VM</v>
      </c>
      <c r="B11028" s="226" t="str">
        <f>IFERROR(__xludf.DUMMYFUNCTION("""COMPUTED_VALUE"""),"8054521991509")</f>
        <v>8054521991509</v>
      </c>
      <c r="C11028" t="str">
        <f>IFERROR(__xludf.DUMMYFUNCTION("""COMPUTED_VALUE"""),"Umbra")</f>
        <v>Umbra</v>
      </c>
    </row>
    <row r="11029">
      <c r="A11029" t="str">
        <f>IFERROR(__xludf.DUMMYFUNCTION("""COMPUTED_VALUE"""),"23052/C")</f>
        <v>23052/C</v>
      </c>
      <c r="B11029" s="226" t="str">
        <f>IFERROR(__xludf.DUMMYFUNCTION("""COMPUTED_VALUE"""),"8058772223709")</f>
        <v>8058772223709</v>
      </c>
      <c r="C11029" t="str">
        <f>IFERROR(__xludf.DUMMYFUNCTION("""COMPUTED_VALUE"""),"Umbra")</f>
        <v>Umbra</v>
      </c>
    </row>
    <row r="11030">
      <c r="A11030" t="str">
        <f>IFERROR(__xludf.DUMMYFUNCTION("""COMPUTED_VALUE"""),"23052/F")</f>
        <v>23052/F</v>
      </c>
      <c r="B11030" s="226" t="str">
        <f>IFERROR(__xludf.DUMMYFUNCTION("""COMPUTED_VALUE"""),"8058772223693")</f>
        <v>8058772223693</v>
      </c>
      <c r="C11030" t="str">
        <f>IFERROR(__xludf.DUMMYFUNCTION("""COMPUTED_VALUE"""),"Umbra")</f>
        <v>Umbra</v>
      </c>
    </row>
    <row r="11031">
      <c r="A11031" t="str">
        <f>IFERROR(__xludf.DUMMYFUNCTION("""COMPUTED_VALUE"""),"23052/VM")</f>
        <v>23052/VM</v>
      </c>
      <c r="B11031" s="226" t="str">
        <f>IFERROR(__xludf.DUMMYFUNCTION("""COMPUTED_VALUE"""),"8058772223716")</f>
        <v>8058772223716</v>
      </c>
      <c r="C11031" t="str">
        <f>IFERROR(__xludf.DUMMYFUNCTION("""COMPUTED_VALUE"""),"Umbra")</f>
        <v>Umbra</v>
      </c>
    </row>
    <row r="11032">
      <c r="A11032" t="str">
        <f>IFERROR(__xludf.DUMMYFUNCTION("""COMPUTED_VALUE"""),"23033/C")</f>
        <v>23033/C</v>
      </c>
      <c r="C11032" t="str">
        <f>IFERROR(__xludf.DUMMYFUNCTION("""COMPUTED_VALUE"""),"Umbra")</f>
        <v>Umbra</v>
      </c>
    </row>
    <row r="11033">
      <c r="A11033" t="str">
        <f>IFERROR(__xludf.DUMMYFUNCTION("""COMPUTED_VALUE"""),"23046/C")</f>
        <v>23046/C</v>
      </c>
      <c r="B11033" s="226" t="str">
        <f>IFERROR(__xludf.DUMMYFUNCTION("""COMPUTED_VALUE"""),"8054521991561")</f>
        <v>8054521991561</v>
      </c>
      <c r="C11033" t="str">
        <f>IFERROR(__xludf.DUMMYFUNCTION("""COMPUTED_VALUE"""),"Umbra")</f>
        <v>Umbra</v>
      </c>
    </row>
    <row r="11034">
      <c r="A11034" t="str">
        <f>IFERROR(__xludf.DUMMYFUNCTION("""COMPUTED_VALUE"""),"23046/C")</f>
        <v>23046/C</v>
      </c>
      <c r="B11034" s="226" t="str">
        <f>IFERROR(__xludf.DUMMYFUNCTION("""COMPUTED_VALUE"""),"8054521991561")</f>
        <v>8054521991561</v>
      </c>
      <c r="C11034" t="str">
        <f>IFERROR(__xludf.DUMMYFUNCTION("""COMPUTED_VALUE"""),"Umbra")</f>
        <v>Umbra</v>
      </c>
    </row>
    <row r="11035">
      <c r="A11035" t="str">
        <f>IFERROR(__xludf.DUMMYFUNCTION("""COMPUTED_VALUE"""),"23046/F")</f>
        <v>23046/F</v>
      </c>
      <c r="B11035" s="226" t="str">
        <f>IFERROR(__xludf.DUMMYFUNCTION("""COMPUTED_VALUE"""),"8058772223617")</f>
        <v>8058772223617</v>
      </c>
      <c r="C11035" t="str">
        <f>IFERROR(__xludf.DUMMYFUNCTION("""COMPUTED_VALUE"""),"Umbra")</f>
        <v>Umbra</v>
      </c>
    </row>
    <row r="11036">
      <c r="A11036" t="str">
        <f>IFERROR(__xludf.DUMMYFUNCTION("""COMPUTED_VALUE"""),"23046/F")</f>
        <v>23046/F</v>
      </c>
      <c r="B11036" s="226" t="str">
        <f>IFERROR(__xludf.DUMMYFUNCTION("""COMPUTED_VALUE"""),"8058772223617")</f>
        <v>8058772223617</v>
      </c>
      <c r="C11036" t="str">
        <f>IFERROR(__xludf.DUMMYFUNCTION("""COMPUTED_VALUE"""),"Umbra")</f>
        <v>Umbra</v>
      </c>
    </row>
    <row r="11037">
      <c r="A11037" t="str">
        <f>IFERROR(__xludf.DUMMYFUNCTION("""COMPUTED_VALUE"""),"23046/VM")</f>
        <v>23046/VM</v>
      </c>
      <c r="B11037" s="226" t="str">
        <f>IFERROR(__xludf.DUMMYFUNCTION("""COMPUTED_VALUE"""),"8054521991578")</f>
        <v>8054521991578</v>
      </c>
      <c r="C11037" t="str">
        <f>IFERROR(__xludf.DUMMYFUNCTION("""COMPUTED_VALUE"""),"Umbra")</f>
        <v>Umbra</v>
      </c>
    </row>
    <row r="11038">
      <c r="A11038" t="str">
        <f>IFERROR(__xludf.DUMMYFUNCTION("""COMPUTED_VALUE"""),"23046/VM")</f>
        <v>23046/VM</v>
      </c>
      <c r="B11038" s="226" t="str">
        <f>IFERROR(__xludf.DUMMYFUNCTION("""COMPUTED_VALUE"""),"8054521991578")</f>
        <v>8054521991578</v>
      </c>
      <c r="C11038" t="str">
        <f>IFERROR(__xludf.DUMMYFUNCTION("""COMPUTED_VALUE"""),"Umbra")</f>
        <v>Umbra</v>
      </c>
    </row>
    <row r="11039">
      <c r="A11039" t="str">
        <f>IFERROR(__xludf.DUMMYFUNCTION("""COMPUTED_VALUE"""),"23054/C")</f>
        <v>23054/C</v>
      </c>
      <c r="B11039" s="226" t="str">
        <f>IFERROR(__xludf.DUMMYFUNCTION("""COMPUTED_VALUE"""),"8058772223792")</f>
        <v>8058772223792</v>
      </c>
      <c r="C11039" t="str">
        <f>IFERROR(__xludf.DUMMYFUNCTION("""COMPUTED_VALUE"""),"Umbra")</f>
        <v>Umbra</v>
      </c>
    </row>
    <row r="11040">
      <c r="A11040" t="str">
        <f>IFERROR(__xludf.DUMMYFUNCTION("""COMPUTED_VALUE"""),"23054/F")</f>
        <v>23054/F</v>
      </c>
      <c r="B11040" s="226" t="str">
        <f>IFERROR(__xludf.DUMMYFUNCTION("""COMPUTED_VALUE"""),"8058772223785")</f>
        <v>8058772223785</v>
      </c>
      <c r="C11040" t="str">
        <f>IFERROR(__xludf.DUMMYFUNCTION("""COMPUTED_VALUE"""),"Umbra")</f>
        <v>Umbra</v>
      </c>
    </row>
    <row r="11041">
      <c r="A11041" t="str">
        <f>IFERROR(__xludf.DUMMYFUNCTION("""COMPUTED_VALUE"""),"23054/VM")</f>
        <v>23054/VM</v>
      </c>
      <c r="B11041" s="226" t="str">
        <f>IFERROR(__xludf.DUMMYFUNCTION("""COMPUTED_VALUE"""),"8058772223808")</f>
        <v>8058772223808</v>
      </c>
      <c r="C11041" t="str">
        <f>IFERROR(__xludf.DUMMYFUNCTION("""COMPUTED_VALUE"""),"Umbra")</f>
        <v>Umbra</v>
      </c>
    </row>
    <row r="11042">
      <c r="A11042" t="str">
        <f>IFERROR(__xludf.DUMMYFUNCTION("""COMPUTED_VALUE"""),"23033/C")</f>
        <v>23033/C</v>
      </c>
      <c r="C11042" t="str">
        <f>IFERROR(__xludf.DUMMYFUNCTION("""COMPUTED_VALUE"""),"Umbra")</f>
        <v>Umbra</v>
      </c>
    </row>
    <row r="11043">
      <c r="A11043" t="str">
        <f>IFERROR(__xludf.DUMMYFUNCTION("""COMPUTED_VALUE"""),"23053/C")</f>
        <v>23053/C</v>
      </c>
      <c r="B11043" s="226" t="str">
        <f>IFERROR(__xludf.DUMMYFUNCTION("""COMPUTED_VALUE"""),"8058772223761")</f>
        <v>8058772223761</v>
      </c>
      <c r="C11043" t="str">
        <f>IFERROR(__xludf.DUMMYFUNCTION("""COMPUTED_VALUE"""),"Umbra")</f>
        <v>Umbra</v>
      </c>
    </row>
    <row r="11044">
      <c r="A11044" t="str">
        <f>IFERROR(__xludf.DUMMYFUNCTION("""COMPUTED_VALUE"""),"23053/F")</f>
        <v>23053/F</v>
      </c>
      <c r="B11044" s="226" t="str">
        <f>IFERROR(__xludf.DUMMYFUNCTION("""COMPUTED_VALUE"""),"8058772223754")</f>
        <v>8058772223754</v>
      </c>
      <c r="C11044" t="str">
        <f>IFERROR(__xludf.DUMMYFUNCTION("""COMPUTED_VALUE"""),"Umbra")</f>
        <v>Umbra</v>
      </c>
    </row>
    <row r="11045">
      <c r="A11045" t="str">
        <f>IFERROR(__xludf.DUMMYFUNCTION("""COMPUTED_VALUE"""),"23053/VM")</f>
        <v>23053/VM</v>
      </c>
      <c r="B11045" s="226" t="str">
        <f>IFERROR(__xludf.DUMMYFUNCTION("""COMPUTED_VALUE"""),"8058772223778")</f>
        <v>8058772223778</v>
      </c>
      <c r="C11045" t="str">
        <f>IFERROR(__xludf.DUMMYFUNCTION("""COMPUTED_VALUE"""),"Umbra")</f>
        <v>Umbra</v>
      </c>
    </row>
    <row r="11046">
      <c r="A11046" t="str">
        <f>IFERROR(__xludf.DUMMYFUNCTION("""COMPUTED_VALUE"""),"23053/C")</f>
        <v>23053/C</v>
      </c>
      <c r="B11046" s="226" t="str">
        <f>IFERROR(__xludf.DUMMYFUNCTION("""COMPUTED_VALUE"""),"8058772223761")</f>
        <v>8058772223761</v>
      </c>
      <c r="C11046" t="str">
        <f>IFERROR(__xludf.DUMMYFUNCTION("""COMPUTED_VALUE"""),"Umbra")</f>
        <v>Umbra</v>
      </c>
    </row>
    <row r="11047">
      <c r="A11047" t="str">
        <f>IFERROR(__xludf.DUMMYFUNCTION("""COMPUTED_VALUE"""),"23053/F")</f>
        <v>23053/F</v>
      </c>
      <c r="B11047" s="226" t="str">
        <f>IFERROR(__xludf.DUMMYFUNCTION("""COMPUTED_VALUE"""),"8058772223754")</f>
        <v>8058772223754</v>
      </c>
      <c r="C11047" t="str">
        <f>IFERROR(__xludf.DUMMYFUNCTION("""COMPUTED_VALUE"""),"Umbra")</f>
        <v>Umbra</v>
      </c>
    </row>
    <row r="11048">
      <c r="A11048" t="str">
        <f>IFERROR(__xludf.DUMMYFUNCTION("""COMPUTED_VALUE"""),"23053/VM")</f>
        <v>23053/VM</v>
      </c>
      <c r="B11048" s="226" t="str">
        <f>IFERROR(__xludf.DUMMYFUNCTION("""COMPUTED_VALUE"""),"8058772223778")</f>
        <v>8058772223778</v>
      </c>
      <c r="C11048" t="str">
        <f>IFERROR(__xludf.DUMMYFUNCTION("""COMPUTED_VALUE"""),"Umbra")</f>
        <v>Umbra</v>
      </c>
    </row>
    <row r="11049">
      <c r="A11049" t="str">
        <f>IFERROR(__xludf.DUMMYFUNCTION("""COMPUTED_VALUE"""),"23046/C")</f>
        <v>23046/C</v>
      </c>
      <c r="B11049" s="226" t="str">
        <f>IFERROR(__xludf.DUMMYFUNCTION("""COMPUTED_VALUE"""),"8054521991561")</f>
        <v>8054521991561</v>
      </c>
      <c r="C11049" t="str">
        <f>IFERROR(__xludf.DUMMYFUNCTION("""COMPUTED_VALUE"""),"Umbra")</f>
        <v>Umbra</v>
      </c>
    </row>
    <row r="11050">
      <c r="A11050" t="str">
        <f>IFERROR(__xludf.DUMMYFUNCTION("""COMPUTED_VALUE"""),"23046/F")</f>
        <v>23046/F</v>
      </c>
      <c r="B11050" s="226" t="str">
        <f>IFERROR(__xludf.DUMMYFUNCTION("""COMPUTED_VALUE"""),"8058772223617")</f>
        <v>8058772223617</v>
      </c>
      <c r="C11050" t="str">
        <f>IFERROR(__xludf.DUMMYFUNCTION("""COMPUTED_VALUE"""),"Umbra")</f>
        <v>Umbra</v>
      </c>
    </row>
    <row r="11051">
      <c r="A11051" t="str">
        <f>IFERROR(__xludf.DUMMYFUNCTION("""COMPUTED_VALUE"""),"23046/VM")</f>
        <v>23046/VM</v>
      </c>
      <c r="B11051" s="226" t="str">
        <f>IFERROR(__xludf.DUMMYFUNCTION("""COMPUTED_VALUE"""),"8054521991578")</f>
        <v>8054521991578</v>
      </c>
      <c r="C11051" t="str">
        <f>IFERROR(__xludf.DUMMYFUNCTION("""COMPUTED_VALUE"""),"Umbra")</f>
        <v>Umbra</v>
      </c>
    </row>
    <row r="11052">
      <c r="A11052" t="str">
        <f>IFERROR(__xludf.DUMMYFUNCTION("""COMPUTED_VALUE"""),"23035")</f>
        <v>23035</v>
      </c>
      <c r="B11052" s="226" t="str">
        <f>IFERROR(__xludf.DUMMYFUNCTION("""COMPUTED_VALUE"""),"8054521991417")</f>
        <v>8054521991417</v>
      </c>
      <c r="C11052" t="str">
        <f>IFERROR(__xludf.DUMMYFUNCTION("""COMPUTED_VALUE"""),"Umbra")</f>
        <v>Umbra</v>
      </c>
    </row>
    <row r="11053">
      <c r="A11053" t="str">
        <f>IFERROR(__xludf.DUMMYFUNCTION("""COMPUTED_VALUE"""),"23035/F")</f>
        <v>23035/F</v>
      </c>
      <c r="B11053" s="226" t="str">
        <f>IFERROR(__xludf.DUMMYFUNCTION("""COMPUTED_VALUE"""),"8058772223549")</f>
        <v>8058772223549</v>
      </c>
      <c r="C11053" t="str">
        <f>IFERROR(__xludf.DUMMYFUNCTION("""COMPUTED_VALUE"""),"Umbra")</f>
        <v>Umbra</v>
      </c>
    </row>
    <row r="11054">
      <c r="A11054" t="str">
        <f>IFERROR(__xludf.DUMMYFUNCTION("""COMPUTED_VALUE"""),"31102/C")</f>
        <v>31102/C</v>
      </c>
      <c r="B11054" s="226" t="str">
        <f>IFERROR(__xludf.DUMMYFUNCTION("""COMPUTED_VALUE"""),"8058772224935")</f>
        <v>8058772224935</v>
      </c>
      <c r="C11054" t="str">
        <f>IFERROR(__xludf.DUMMYFUNCTION("""COMPUTED_VALUE"""),"Umbra")</f>
        <v>Umbra</v>
      </c>
    </row>
    <row r="11055">
      <c r="A11055" t="str">
        <f>IFERROR(__xludf.DUMMYFUNCTION("""COMPUTED_VALUE"""),"31102/F")</f>
        <v>31102/F</v>
      </c>
      <c r="B11055" s="226" t="str">
        <f>IFERROR(__xludf.DUMMYFUNCTION("""COMPUTED_VALUE"""),"8058772224928")</f>
        <v>8058772224928</v>
      </c>
      <c r="C11055" t="str">
        <f>IFERROR(__xludf.DUMMYFUNCTION("""COMPUTED_VALUE"""),"Umbra")</f>
        <v>Umbra</v>
      </c>
    </row>
    <row r="11056">
      <c r="A11056" t="str">
        <f>IFERROR(__xludf.DUMMYFUNCTION("""COMPUTED_VALUE"""),"31102/VM")</f>
        <v>31102/VM</v>
      </c>
      <c r="B11056" s="226" t="str">
        <f>IFERROR(__xludf.DUMMYFUNCTION("""COMPUTED_VALUE"""),"8058772224942")</f>
        <v>8058772224942</v>
      </c>
      <c r="C11056" t="str">
        <f>IFERROR(__xludf.DUMMYFUNCTION("""COMPUTED_VALUE"""),"Umbra")</f>
        <v>Umbra</v>
      </c>
    </row>
    <row r="11057">
      <c r="A11057" t="str">
        <f>IFERROR(__xludf.DUMMYFUNCTION("""COMPUTED_VALUE"""),"31094/C")</f>
        <v>31094/C</v>
      </c>
      <c r="C11057" t="str">
        <f>IFERROR(__xludf.DUMMYFUNCTION("""COMPUTED_VALUE"""),"Umbra")</f>
        <v>Umbra</v>
      </c>
    </row>
    <row r="11058">
      <c r="A11058" t="str">
        <f>IFERROR(__xludf.DUMMYFUNCTION("""COMPUTED_VALUE"""),"31094/F")</f>
        <v>31094/F</v>
      </c>
      <c r="C11058" t="str">
        <f>IFERROR(__xludf.DUMMYFUNCTION("""COMPUTED_VALUE"""),"Umbra")</f>
        <v>Umbra</v>
      </c>
    </row>
    <row r="11059">
      <c r="A11059" t="str">
        <f>IFERROR(__xludf.DUMMYFUNCTION("""COMPUTED_VALUE"""),"31094/VM")</f>
        <v>31094/VM</v>
      </c>
      <c r="C11059" t="str">
        <f>IFERROR(__xludf.DUMMYFUNCTION("""COMPUTED_VALUE"""),"Umbra")</f>
        <v>Umbra</v>
      </c>
    </row>
    <row r="11060">
      <c r="A11060" t="str">
        <f>IFERROR(__xludf.DUMMYFUNCTION("""COMPUTED_VALUE"""),"23052/CL C")</f>
        <v>23052/CL C</v>
      </c>
      <c r="C11060" t="str">
        <f>IFERROR(__xludf.DUMMYFUNCTION("""COMPUTED_VALUE"""),"Umbra")</f>
        <v>Umbra</v>
      </c>
    </row>
    <row r="11061">
      <c r="A11061" t="str">
        <f>IFERROR(__xludf.DUMMYFUNCTION("""COMPUTED_VALUE"""),"23052/CL F")</f>
        <v>23052/CL F</v>
      </c>
      <c r="C11061" t="str">
        <f>IFERROR(__xludf.DUMMYFUNCTION("""COMPUTED_VALUE"""),"Umbra")</f>
        <v>Umbra</v>
      </c>
    </row>
    <row r="11062">
      <c r="A11062" t="str">
        <f>IFERROR(__xludf.DUMMYFUNCTION("""COMPUTED_VALUE"""),"23052/CL VM")</f>
        <v>23052/CL VM</v>
      </c>
      <c r="C11062" t="str">
        <f>IFERROR(__xludf.DUMMYFUNCTION("""COMPUTED_VALUE"""),"Umbra")</f>
        <v>Umbra</v>
      </c>
    </row>
    <row r="11063">
      <c r="A11063" t="str">
        <f>IFERROR(__xludf.DUMMYFUNCTION("""COMPUTED_VALUE"""),"23037/C")</f>
        <v>23037/C</v>
      </c>
      <c r="B11063" s="226" t="str">
        <f>IFERROR(__xludf.DUMMYFUNCTION("""COMPUTED_VALUE"""),"8054521991448")</f>
        <v>8054521991448</v>
      </c>
      <c r="C11063" t="str">
        <f>IFERROR(__xludf.DUMMYFUNCTION("""COMPUTED_VALUE"""),"Umbra")</f>
        <v>Umbra</v>
      </c>
    </row>
    <row r="11064">
      <c r="A11064" t="str">
        <f>IFERROR(__xludf.DUMMYFUNCTION("""COMPUTED_VALUE"""),"23037/F")</f>
        <v>23037/F</v>
      </c>
      <c r="B11064" s="226" t="str">
        <f>IFERROR(__xludf.DUMMYFUNCTION("""COMPUTED_VALUE"""),"8058772223563")</f>
        <v>8058772223563</v>
      </c>
      <c r="C11064" t="str">
        <f>IFERROR(__xludf.DUMMYFUNCTION("""COMPUTED_VALUE"""),"Umbra")</f>
        <v>Umbra</v>
      </c>
    </row>
    <row r="11065">
      <c r="A11065" t="str">
        <f>IFERROR(__xludf.DUMMYFUNCTION("""COMPUTED_VALUE"""),"23035")</f>
        <v>23035</v>
      </c>
      <c r="B11065" s="226" t="str">
        <f>IFERROR(__xludf.DUMMYFUNCTION("""COMPUTED_VALUE"""),"8054521991417")</f>
        <v>8054521991417</v>
      </c>
      <c r="C11065" t="str">
        <f>IFERROR(__xludf.DUMMYFUNCTION("""COMPUTED_VALUE"""),"Umbra")</f>
        <v>Umbra</v>
      </c>
    </row>
    <row r="11066">
      <c r="A11066" t="str">
        <f>IFERROR(__xludf.DUMMYFUNCTION("""COMPUTED_VALUE"""),"23035/F")</f>
        <v>23035/F</v>
      </c>
      <c r="B11066" s="226" t="str">
        <f>IFERROR(__xludf.DUMMYFUNCTION("""COMPUTED_VALUE"""),"8058772223549")</f>
        <v>8058772223549</v>
      </c>
      <c r="C11066" t="str">
        <f>IFERROR(__xludf.DUMMYFUNCTION("""COMPUTED_VALUE"""),"Umbra")</f>
        <v>Umbra</v>
      </c>
    </row>
    <row r="11067">
      <c r="A11067" t="str">
        <f>IFERROR(__xludf.DUMMYFUNCTION("""COMPUTED_VALUE"""),"23036/C")</f>
        <v>23036/C</v>
      </c>
      <c r="B11067" s="226" t="str">
        <f>IFERROR(__xludf.DUMMYFUNCTION("""COMPUTED_VALUE"""),"8054521991424")</f>
        <v>8054521991424</v>
      </c>
      <c r="C11067" t="str">
        <f>IFERROR(__xludf.DUMMYFUNCTION("""COMPUTED_VALUE"""),"Umbra")</f>
        <v>Umbra</v>
      </c>
    </row>
    <row r="11068">
      <c r="A11068" t="str">
        <f>IFERROR(__xludf.DUMMYFUNCTION("""COMPUTED_VALUE"""),"23036/F")</f>
        <v>23036/F</v>
      </c>
      <c r="B11068" s="226" t="str">
        <f>IFERROR(__xludf.DUMMYFUNCTION("""COMPUTED_VALUE"""),"8058772223556")</f>
        <v>8058772223556</v>
      </c>
      <c r="C11068" t="str">
        <f>IFERROR(__xludf.DUMMYFUNCTION("""COMPUTED_VALUE"""),"Umbra")</f>
        <v>Umbra</v>
      </c>
    </row>
    <row r="11069">
      <c r="A11069" t="str">
        <f>IFERROR(__xludf.DUMMYFUNCTION("""COMPUTED_VALUE"""),"23038/C")</f>
        <v>23038/C</v>
      </c>
      <c r="B11069" s="226" t="str">
        <f>IFERROR(__xludf.DUMMYFUNCTION("""COMPUTED_VALUE"""),"8054521991462")</f>
        <v>8054521991462</v>
      </c>
      <c r="C11069" t="str">
        <f>IFERROR(__xludf.DUMMYFUNCTION("""COMPUTED_VALUE"""),"Umbra")</f>
        <v>Umbra</v>
      </c>
    </row>
    <row r="11070">
      <c r="A11070" t="str">
        <f>IFERROR(__xludf.DUMMYFUNCTION("""COMPUTED_VALUE"""),"23038/F")</f>
        <v>23038/F</v>
      </c>
      <c r="B11070" s="226" t="str">
        <f>IFERROR(__xludf.DUMMYFUNCTION("""COMPUTED_VALUE"""),"8058772223570")</f>
        <v>8058772223570</v>
      </c>
      <c r="C11070" t="str">
        <f>IFERROR(__xludf.DUMMYFUNCTION("""COMPUTED_VALUE"""),"Umbra")</f>
        <v>Umbra</v>
      </c>
    </row>
    <row r="11071">
      <c r="A11071" t="str">
        <f>IFERROR(__xludf.DUMMYFUNCTION("""COMPUTED_VALUE"""),"23038/VM")</f>
        <v>23038/VM</v>
      </c>
      <c r="B11071" s="226" t="str">
        <f>IFERROR(__xludf.DUMMYFUNCTION("""COMPUTED_VALUE"""),"8054521991479")</f>
        <v>8054521991479</v>
      </c>
      <c r="C11071" t="str">
        <f>IFERROR(__xludf.DUMMYFUNCTION("""COMPUTED_VALUE"""),"Umbra")</f>
        <v>Umbra</v>
      </c>
    </row>
    <row r="11072">
      <c r="A11072" t="str">
        <f>IFERROR(__xludf.DUMMYFUNCTION("""COMPUTED_VALUE"""),"23051/C")</f>
        <v>23051/C</v>
      </c>
      <c r="B11072" s="226" t="str">
        <f>IFERROR(__xludf.DUMMYFUNCTION("""COMPUTED_VALUE"""),"8054521991660")</f>
        <v>8054521991660</v>
      </c>
      <c r="C11072" t="str">
        <f>IFERROR(__xludf.DUMMYFUNCTION("""COMPUTED_VALUE"""),"Umbra")</f>
        <v>Umbra</v>
      </c>
    </row>
    <row r="11073">
      <c r="A11073" t="str">
        <f>IFERROR(__xludf.DUMMYFUNCTION("""COMPUTED_VALUE"""),"23051/F")</f>
        <v>23051/F</v>
      </c>
      <c r="B11073" s="226" t="str">
        <f>IFERROR(__xludf.DUMMYFUNCTION("""COMPUTED_VALUE"""),"8058772223686")</f>
        <v>8058772223686</v>
      </c>
      <c r="C11073" t="str">
        <f>IFERROR(__xludf.DUMMYFUNCTION("""COMPUTED_VALUE"""),"Umbra")</f>
        <v>Umbra</v>
      </c>
    </row>
    <row r="11074">
      <c r="A11074" t="str">
        <f>IFERROR(__xludf.DUMMYFUNCTION("""COMPUTED_VALUE"""),"23051/VM")</f>
        <v>23051/VM</v>
      </c>
      <c r="B11074" s="226" t="str">
        <f>IFERROR(__xludf.DUMMYFUNCTION("""COMPUTED_VALUE"""),"8054521991677")</f>
        <v>8054521991677</v>
      </c>
      <c r="C11074" t="str">
        <f>IFERROR(__xludf.DUMMYFUNCTION("""COMPUTED_VALUE"""),"Umbra")</f>
        <v>Umbra</v>
      </c>
    </row>
    <row r="11075">
      <c r="A11075" t="str">
        <f>IFERROR(__xludf.DUMMYFUNCTION("""COMPUTED_VALUE"""),"23050/C")</f>
        <v>23050/C</v>
      </c>
      <c r="B11075" s="226" t="str">
        <f>IFERROR(__xludf.DUMMYFUNCTION("""COMPUTED_VALUE"""),"8054521991646")</f>
        <v>8054521991646</v>
      </c>
      <c r="C11075" t="str">
        <f>IFERROR(__xludf.DUMMYFUNCTION("""COMPUTED_VALUE"""),"Umbra")</f>
        <v>Umbra</v>
      </c>
    </row>
    <row r="11076">
      <c r="A11076" t="str">
        <f>IFERROR(__xludf.DUMMYFUNCTION("""COMPUTED_VALUE"""),"23050/F")</f>
        <v>23050/F</v>
      </c>
      <c r="B11076" s="226" t="str">
        <f>IFERROR(__xludf.DUMMYFUNCTION("""COMPUTED_VALUE"""),"8058772223679")</f>
        <v>8058772223679</v>
      </c>
      <c r="C11076" t="str">
        <f>IFERROR(__xludf.DUMMYFUNCTION("""COMPUTED_VALUE"""),"Umbra")</f>
        <v>Umbra</v>
      </c>
    </row>
    <row r="11077">
      <c r="A11077" t="str">
        <f>IFERROR(__xludf.DUMMYFUNCTION("""COMPUTED_VALUE"""),"23050/VM")</f>
        <v>23050/VM</v>
      </c>
      <c r="B11077" s="226" t="str">
        <f>IFERROR(__xludf.DUMMYFUNCTION("""COMPUTED_VALUE"""),"8054521991653")</f>
        <v>8054521991653</v>
      </c>
      <c r="C11077" t="str">
        <f>IFERROR(__xludf.DUMMYFUNCTION("""COMPUTED_VALUE"""),"Umbra")</f>
        <v>Umbra</v>
      </c>
    </row>
    <row r="11078">
      <c r="A11078" t="str">
        <f>IFERROR(__xludf.DUMMYFUNCTION("""COMPUTED_VALUE"""),"23050/C")</f>
        <v>23050/C</v>
      </c>
      <c r="B11078" s="226" t="str">
        <f>IFERROR(__xludf.DUMMYFUNCTION("""COMPUTED_VALUE"""),"8054521991646")</f>
        <v>8054521991646</v>
      </c>
      <c r="C11078" t="str">
        <f>IFERROR(__xludf.DUMMYFUNCTION("""COMPUTED_VALUE"""),"Umbra")</f>
        <v>Umbra</v>
      </c>
    </row>
    <row r="11079">
      <c r="A11079" t="str">
        <f>IFERROR(__xludf.DUMMYFUNCTION("""COMPUTED_VALUE"""),"23050/F")</f>
        <v>23050/F</v>
      </c>
      <c r="B11079" s="226" t="str">
        <f>IFERROR(__xludf.DUMMYFUNCTION("""COMPUTED_VALUE"""),"8058772223679")</f>
        <v>8058772223679</v>
      </c>
      <c r="C11079" t="str">
        <f>IFERROR(__xludf.DUMMYFUNCTION("""COMPUTED_VALUE"""),"Umbra")</f>
        <v>Umbra</v>
      </c>
    </row>
    <row r="11080">
      <c r="A11080" t="str">
        <f>IFERROR(__xludf.DUMMYFUNCTION("""COMPUTED_VALUE"""),"23050/VM")</f>
        <v>23050/VM</v>
      </c>
      <c r="B11080" s="226" t="str">
        <f>IFERROR(__xludf.DUMMYFUNCTION("""COMPUTED_VALUE"""),"8054521991653")</f>
        <v>8054521991653</v>
      </c>
      <c r="C11080" t="str">
        <f>IFERROR(__xludf.DUMMYFUNCTION("""COMPUTED_VALUE"""),"Umbra")</f>
        <v>Umbra</v>
      </c>
    </row>
    <row r="11081">
      <c r="A11081" t="str">
        <f>IFERROR(__xludf.DUMMYFUNCTION("""COMPUTED_VALUE"""),"23023")</f>
        <v>23023</v>
      </c>
      <c r="B11081" s="226" t="str">
        <f>IFERROR(__xludf.DUMMYFUNCTION("""COMPUTED_VALUE"""),"8054521991325")</f>
        <v>8054521991325</v>
      </c>
      <c r="C11081" t="str">
        <f>IFERROR(__xludf.DUMMYFUNCTION("""COMPUTED_VALUE"""),"Umbra")</f>
        <v>Umbra</v>
      </c>
    </row>
    <row r="11082">
      <c r="A11082" t="str">
        <f>IFERROR(__xludf.DUMMYFUNCTION("""COMPUTED_VALUE"""),"23049/C")</f>
        <v>23049/C</v>
      </c>
      <c r="C11082" t="str">
        <f>IFERROR(__xludf.DUMMYFUNCTION("""COMPUTED_VALUE"""),"Umbra")</f>
        <v>Umbra</v>
      </c>
    </row>
    <row r="11083">
      <c r="A11083" t="str">
        <f>IFERROR(__xludf.DUMMYFUNCTION("""COMPUTED_VALUE"""),"23049/F")</f>
        <v>23049/F</v>
      </c>
      <c r="C11083" t="str">
        <f>IFERROR(__xludf.DUMMYFUNCTION("""COMPUTED_VALUE"""),"Umbra")</f>
        <v>Umbra</v>
      </c>
    </row>
    <row r="11084">
      <c r="A11084" t="str">
        <f>IFERROR(__xludf.DUMMYFUNCTION("""COMPUTED_VALUE"""),"23049/VM")</f>
        <v>23049/VM</v>
      </c>
      <c r="B11084" s="226" t="str">
        <f>IFERROR(__xludf.DUMMYFUNCTION("""COMPUTED_VALUE"""),"8054521991639")</f>
        <v>8054521991639</v>
      </c>
      <c r="C11084" t="str">
        <f>IFERROR(__xludf.DUMMYFUNCTION("""COMPUTED_VALUE"""),"Umbra")</f>
        <v>Umbra</v>
      </c>
    </row>
    <row r="11085">
      <c r="A11085" t="str">
        <f>IFERROR(__xludf.DUMMYFUNCTION("""COMPUTED_VALUE"""),"23051/C")</f>
        <v>23051/C</v>
      </c>
      <c r="B11085" s="226" t="str">
        <f>IFERROR(__xludf.DUMMYFUNCTION("""COMPUTED_VALUE"""),"8054521991660")</f>
        <v>8054521991660</v>
      </c>
      <c r="C11085" t="str">
        <f>IFERROR(__xludf.DUMMYFUNCTION("""COMPUTED_VALUE"""),"Umbra")</f>
        <v>Umbra</v>
      </c>
    </row>
    <row r="11086">
      <c r="A11086" t="str">
        <f>IFERROR(__xludf.DUMMYFUNCTION("""COMPUTED_VALUE"""),"23051/F")</f>
        <v>23051/F</v>
      </c>
      <c r="B11086" s="226" t="str">
        <f>IFERROR(__xludf.DUMMYFUNCTION("""COMPUTED_VALUE"""),"8058772223686")</f>
        <v>8058772223686</v>
      </c>
      <c r="C11086" t="str">
        <f>IFERROR(__xludf.DUMMYFUNCTION("""COMPUTED_VALUE"""),"Umbra")</f>
        <v>Umbra</v>
      </c>
    </row>
    <row r="11087">
      <c r="A11087" t="str">
        <f>IFERROR(__xludf.DUMMYFUNCTION("""COMPUTED_VALUE"""),"23051/VM")</f>
        <v>23051/VM</v>
      </c>
      <c r="B11087" s="226" t="str">
        <f>IFERROR(__xludf.DUMMYFUNCTION("""COMPUTED_VALUE"""),"8054521991677")</f>
        <v>8054521991677</v>
      </c>
      <c r="C11087" t="str">
        <f>IFERROR(__xludf.DUMMYFUNCTION("""COMPUTED_VALUE"""),"Umbra")</f>
        <v>Umbra</v>
      </c>
    </row>
    <row r="11088">
      <c r="A11088" t="str">
        <f>IFERROR(__xludf.DUMMYFUNCTION("""COMPUTED_VALUE"""),"23030")</f>
        <v>23030</v>
      </c>
      <c r="B11088" s="226" t="str">
        <f>IFERROR(__xludf.DUMMYFUNCTION("""COMPUTED_VALUE"""),"8054521991387")</f>
        <v>8054521991387</v>
      </c>
      <c r="C11088" t="str">
        <f>IFERROR(__xludf.DUMMYFUNCTION("""COMPUTED_VALUE"""),"Umbra")</f>
        <v>Umbra</v>
      </c>
    </row>
    <row r="11089">
      <c r="A11089" t="str">
        <f>IFERROR(__xludf.DUMMYFUNCTION("""COMPUTED_VALUE"""),"23030/F")</f>
        <v>23030/F</v>
      </c>
      <c r="B11089" s="226" t="str">
        <f>IFERROR(__xludf.DUMMYFUNCTION("""COMPUTED_VALUE"""),"8058772223532")</f>
        <v>8058772223532</v>
      </c>
      <c r="C11089" t="str">
        <f>IFERROR(__xludf.DUMMYFUNCTION("""COMPUTED_VALUE"""),"Umbra")</f>
        <v>Umbra</v>
      </c>
    </row>
    <row r="11090">
      <c r="A11090" t="str">
        <f>IFERROR(__xludf.DUMMYFUNCTION("""COMPUTED_VALUE"""),"23047/GLF")</f>
        <v>23047/GLF</v>
      </c>
      <c r="B11090" s="226" t="str">
        <f>IFERROR(__xludf.DUMMYFUNCTION("""COMPUTED_VALUE"""),"8058772223624")</f>
        <v>8058772223624</v>
      </c>
      <c r="C11090" t="str">
        <f>IFERROR(__xludf.DUMMYFUNCTION("""COMPUTED_VALUE"""),"Umbra")</f>
        <v>Umbra</v>
      </c>
    </row>
    <row r="11091">
      <c r="A11091" t="str">
        <f>IFERROR(__xludf.DUMMYFUNCTION("""COMPUTED_VALUE"""),"23047/GL")</f>
        <v>23047/GL</v>
      </c>
      <c r="B11091" s="226" t="str">
        <f>IFERROR(__xludf.DUMMYFUNCTION("""COMPUTED_VALUE"""),"8054521991585")</f>
        <v>8054521991585</v>
      </c>
      <c r="C11091" t="str">
        <f>IFERROR(__xludf.DUMMYFUNCTION("""COMPUTED_VALUE"""),"Umbra")</f>
        <v>Umbra</v>
      </c>
    </row>
    <row r="11092">
      <c r="A11092" t="str">
        <f>IFERROR(__xludf.DUMMYFUNCTION("""COMPUTED_VALUE"""),"23047/GL12")</f>
        <v>23047/GL12</v>
      </c>
      <c r="C11092" t="str">
        <f>IFERROR(__xludf.DUMMYFUNCTION("""COMPUTED_VALUE"""),"Umbra")</f>
        <v>Umbra</v>
      </c>
    </row>
    <row r="11093">
      <c r="A11093" t="str">
        <f>IFERROR(__xludf.DUMMYFUNCTION("""COMPUTED_VALUE"""),"23052G/C")</f>
        <v>23052G/C</v>
      </c>
      <c r="C11093" t="str">
        <f>IFERROR(__xludf.DUMMYFUNCTION("""COMPUTED_VALUE"""),"Umbra")</f>
        <v>Umbra</v>
      </c>
    </row>
    <row r="11094">
      <c r="A11094" t="str">
        <f>IFERROR(__xludf.DUMMYFUNCTION("""COMPUTED_VALUE"""),"23052G/F")</f>
        <v>23052G/F</v>
      </c>
      <c r="C11094" t="str">
        <f>IFERROR(__xludf.DUMMYFUNCTION("""COMPUTED_VALUE"""),"Umbra")</f>
        <v>Umbra</v>
      </c>
    </row>
    <row r="11095">
      <c r="A11095" t="str">
        <f>IFERROR(__xludf.DUMMYFUNCTION("""COMPUTED_VALUE"""),"23052G/VM")</f>
        <v>23052G/VM</v>
      </c>
      <c r="C11095" t="str">
        <f>IFERROR(__xludf.DUMMYFUNCTION("""COMPUTED_VALUE"""),"Umbra")</f>
        <v>Umbra</v>
      </c>
    </row>
    <row r="11096">
      <c r="A11096" t="str">
        <f>IFERROR(__xludf.DUMMYFUNCTION("""COMPUTED_VALUE"""),"23056/C")</f>
        <v>23056/C</v>
      </c>
      <c r="B11096" s="226" t="str">
        <f>IFERROR(__xludf.DUMMYFUNCTION("""COMPUTED_VALUE"""),"NULL")</f>
        <v>NULL</v>
      </c>
      <c r="C11096" t="str">
        <f>IFERROR(__xludf.DUMMYFUNCTION("""COMPUTED_VALUE"""),"Umbra")</f>
        <v>Umbra</v>
      </c>
    </row>
    <row r="11097">
      <c r="A11097" t="str">
        <f>IFERROR(__xludf.DUMMYFUNCTION("""COMPUTED_VALUE"""),"23056/F")</f>
        <v>23056/F</v>
      </c>
      <c r="B11097" s="226" t="str">
        <f>IFERROR(__xludf.DUMMYFUNCTION("""COMPUTED_VALUE"""),"NULL")</f>
        <v>NULL</v>
      </c>
      <c r="C11097" t="str">
        <f>IFERROR(__xludf.DUMMYFUNCTION("""COMPUTED_VALUE"""),"Umbra")</f>
        <v>Umbra</v>
      </c>
    </row>
    <row r="11098">
      <c r="A11098" t="str">
        <f>IFERROR(__xludf.DUMMYFUNCTION("""COMPUTED_VALUE"""),"23056/VM")</f>
        <v>23056/VM</v>
      </c>
      <c r="B11098" s="226" t="str">
        <f>IFERROR(__xludf.DUMMYFUNCTION("""COMPUTED_VALUE"""),"NULL")</f>
        <v>NULL</v>
      </c>
      <c r="C11098" t="str">
        <f>IFERROR(__xludf.DUMMYFUNCTION("""COMPUTED_VALUE"""),"Umbra")</f>
        <v>Umbra</v>
      </c>
    </row>
    <row r="11099">
      <c r="A11099" t="str">
        <f>IFERROR(__xludf.DUMMYFUNCTION("""COMPUTED_VALUE"""),"23047/ML11F")</f>
        <v>23047/ML11F</v>
      </c>
      <c r="B11099" s="226" t="str">
        <f>IFERROR(__xludf.DUMMYFUNCTION("""COMPUTED_VALUE"""),"8058772223631")</f>
        <v>8058772223631</v>
      </c>
      <c r="C11099" t="str">
        <f>IFERROR(__xludf.DUMMYFUNCTION("""COMPUTED_VALUE"""),"Umbra")</f>
        <v>Umbra</v>
      </c>
    </row>
    <row r="11100">
      <c r="A11100" t="str">
        <f>IFERROR(__xludf.DUMMYFUNCTION("""COMPUTED_VALUE"""),"23047/ML11")</f>
        <v>23047/ML11</v>
      </c>
      <c r="B11100" s="226" t="str">
        <f>IFERROR(__xludf.DUMMYFUNCTION("""COMPUTED_VALUE"""),"8054521991608")</f>
        <v>8054521991608</v>
      </c>
      <c r="C11100" t="str">
        <f>IFERROR(__xludf.DUMMYFUNCTION("""COMPUTED_VALUE"""),"Umbra")</f>
        <v>Umbra</v>
      </c>
    </row>
    <row r="11101">
      <c r="A11101" t="str">
        <f>IFERROR(__xludf.DUMMYFUNCTION("""COMPUTED_VALUE"""),"23048/C")</f>
        <v>23048/C</v>
      </c>
      <c r="B11101" s="226" t="str">
        <f>IFERROR(__xludf.DUMMYFUNCTION("""COMPUTED_VALUE"""),"8054521991615")</f>
        <v>8054521991615</v>
      </c>
      <c r="C11101" t="str">
        <f>IFERROR(__xludf.DUMMYFUNCTION("""COMPUTED_VALUE"""),"Umbra")</f>
        <v>Umbra</v>
      </c>
    </row>
    <row r="11102">
      <c r="A11102" t="str">
        <f>IFERROR(__xludf.DUMMYFUNCTION("""COMPUTED_VALUE"""),"23048/F")</f>
        <v>23048/F</v>
      </c>
      <c r="B11102" s="226" t="str">
        <f>IFERROR(__xludf.DUMMYFUNCTION("""COMPUTED_VALUE"""),"8058772223662")</f>
        <v>8058772223662</v>
      </c>
      <c r="C11102" t="str">
        <f>IFERROR(__xludf.DUMMYFUNCTION("""COMPUTED_VALUE"""),"Umbra")</f>
        <v>Umbra</v>
      </c>
    </row>
    <row r="11103">
      <c r="A11103" t="str">
        <f>IFERROR(__xludf.DUMMYFUNCTION("""COMPUTED_VALUE"""),"23048/VM")</f>
        <v>23048/VM</v>
      </c>
      <c r="B11103" s="226" t="str">
        <f>IFERROR(__xludf.DUMMYFUNCTION("""COMPUTED_VALUE"""),"8054521991622")</f>
        <v>8054521991622</v>
      </c>
      <c r="C11103" t="str">
        <f>IFERROR(__xludf.DUMMYFUNCTION("""COMPUTED_VALUE"""),"Umbra")</f>
        <v>Umbra</v>
      </c>
    </row>
    <row r="11104">
      <c r="A11104" t="str">
        <f>IFERROR(__xludf.DUMMYFUNCTION("""COMPUTED_VALUE"""),"23040")</f>
        <v>23040</v>
      </c>
      <c r="B11104" s="226" t="str">
        <f>IFERROR(__xludf.DUMMYFUNCTION("""COMPUTED_VALUE"""),"8054521991486")</f>
        <v>8054521991486</v>
      </c>
      <c r="C11104" t="str">
        <f>IFERROR(__xludf.DUMMYFUNCTION("""COMPUTED_VALUE"""),"Umbra")</f>
        <v>Umbra</v>
      </c>
    </row>
    <row r="11105">
      <c r="A11105" t="str">
        <f>IFERROR(__xludf.DUMMYFUNCTION("""COMPUTED_VALUE"""),"23047/MLF")</f>
        <v>23047/MLF</v>
      </c>
      <c r="C11105" t="str">
        <f>IFERROR(__xludf.DUMMYFUNCTION("""COMPUTED_VALUE"""),"Umbra")</f>
        <v>Umbra</v>
      </c>
    </row>
    <row r="11106">
      <c r="A11106" t="str">
        <f>IFERROR(__xludf.DUMMYFUNCTION("""COMPUTED_VALUE"""),"23047/ML")</f>
        <v>23047/ML</v>
      </c>
      <c r="B11106" s="226" t="str">
        <f>IFERROR(__xludf.DUMMYFUNCTION("""COMPUTED_VALUE"""),"8054521991592")</f>
        <v>8054521991592</v>
      </c>
      <c r="C11106" t="str">
        <f>IFERROR(__xludf.DUMMYFUNCTION("""COMPUTED_VALUE"""),"Umbra")</f>
        <v>Umbra</v>
      </c>
    </row>
    <row r="11107">
      <c r="A11107" t="str">
        <f>IFERROR(__xludf.DUMMYFUNCTION("""COMPUTED_VALUE"""),"23047/ML11F")</f>
        <v>23047/ML11F</v>
      </c>
      <c r="B11107" s="226" t="str">
        <f>IFERROR(__xludf.DUMMYFUNCTION("""COMPUTED_VALUE"""),"8058772223631")</f>
        <v>8058772223631</v>
      </c>
      <c r="C11107" t="str">
        <f>IFERROR(__xludf.DUMMYFUNCTION("""COMPUTED_VALUE"""),"Umbra")</f>
        <v>Umbra</v>
      </c>
    </row>
    <row r="11108">
      <c r="A11108" t="str">
        <f>IFERROR(__xludf.DUMMYFUNCTION("""COMPUTED_VALUE"""),"23047/ML11")</f>
        <v>23047/ML11</v>
      </c>
      <c r="B11108" s="226" t="str">
        <f>IFERROR(__xludf.DUMMYFUNCTION("""COMPUTED_VALUE"""),"8054521991608")</f>
        <v>8054521991608</v>
      </c>
      <c r="C11108" t="str">
        <f>IFERROR(__xludf.DUMMYFUNCTION("""COMPUTED_VALUE"""),"Umbra")</f>
        <v>Umbra</v>
      </c>
    </row>
    <row r="11109">
      <c r="A11109" t="str">
        <f>IFERROR(__xludf.DUMMYFUNCTION("""COMPUTED_VALUE"""),"23045")</f>
        <v>23045</v>
      </c>
      <c r="C11109" t="str">
        <f>IFERROR(__xludf.DUMMYFUNCTION("""COMPUTED_VALUE"""),"Umbra")</f>
        <v>Umbra</v>
      </c>
    </row>
    <row r="11110">
      <c r="A11110" t="str">
        <f>IFERROR(__xludf.DUMMYFUNCTION("""COMPUTED_VALUE"""),"23027")</f>
        <v>23027</v>
      </c>
      <c r="B11110" s="226" t="str">
        <f>IFERROR(__xludf.DUMMYFUNCTION("""COMPUTED_VALUE"""),"8054521991363")</f>
        <v>8054521991363</v>
      </c>
      <c r="C11110" t="str">
        <f>IFERROR(__xludf.DUMMYFUNCTION("""COMPUTED_VALUE"""),"Umbra")</f>
        <v>Umbra</v>
      </c>
    </row>
    <row r="11111">
      <c r="A11111" t="str">
        <f>IFERROR(__xludf.DUMMYFUNCTION("""COMPUTED_VALUE"""),"23028")</f>
        <v>23028</v>
      </c>
      <c r="B11111" s="226" t="str">
        <f>IFERROR(__xludf.DUMMYFUNCTION("""COMPUTED_VALUE"""),"8054521991370")</f>
        <v>8054521991370</v>
      </c>
      <c r="C11111" t="str">
        <f>IFERROR(__xludf.DUMMYFUNCTION("""COMPUTED_VALUE"""),"Umbra")</f>
        <v>Umbra</v>
      </c>
    </row>
    <row r="11112">
      <c r="A11112" t="str">
        <f>IFERROR(__xludf.DUMMYFUNCTION("""COMPUTED_VALUE"""),"23043/G")</f>
        <v>23043/G</v>
      </c>
      <c r="B11112" s="226" t="str">
        <f>IFERROR(__xludf.DUMMYFUNCTION("""COMPUTED_VALUE"""),"8054521991523")</f>
        <v>8054521991523</v>
      </c>
      <c r="C11112" t="str">
        <f>IFERROR(__xludf.DUMMYFUNCTION("""COMPUTED_VALUE"""),"Umbra")</f>
        <v>Umbra</v>
      </c>
    </row>
    <row r="11113">
      <c r="A11113" t="str">
        <f>IFERROR(__xludf.DUMMYFUNCTION("""COMPUTED_VALUE"""),"23043/SF")</f>
        <v>23043/SF</v>
      </c>
      <c r="B11113" s="226" t="str">
        <f>IFERROR(__xludf.DUMMYFUNCTION("""COMPUTED_VALUE"""),"8054521991530")</f>
        <v>8054521991530</v>
      </c>
      <c r="C11113" t="str">
        <f>IFERROR(__xludf.DUMMYFUNCTION("""COMPUTED_VALUE"""),"Umbra")</f>
        <v>Umbra</v>
      </c>
    </row>
    <row r="11114">
      <c r="A11114" t="str">
        <f>IFERROR(__xludf.DUMMYFUNCTION("""COMPUTED_VALUE"""),"23055/G")</f>
        <v>23055/G</v>
      </c>
      <c r="B11114" s="226" t="str">
        <f>IFERROR(__xludf.DUMMYFUNCTION("""COMPUTED_VALUE"""),"8054521995835")</f>
        <v>8054521995835</v>
      </c>
      <c r="C11114" t="str">
        <f>IFERROR(__xludf.DUMMYFUNCTION("""COMPUTED_VALUE"""),"Umbra")</f>
        <v>Umbra</v>
      </c>
    </row>
    <row r="11115">
      <c r="A11115" t="str">
        <f>IFERROR(__xludf.DUMMYFUNCTION("""COMPUTED_VALUE"""),"23055/SF")</f>
        <v>23055/SF</v>
      </c>
      <c r="B11115" s="226" t="str">
        <f>IFERROR(__xludf.DUMMYFUNCTION("""COMPUTED_VALUE"""),"8054521995828")</f>
        <v>8054521995828</v>
      </c>
      <c r="C11115" t="str">
        <f>IFERROR(__xludf.DUMMYFUNCTION("""COMPUTED_VALUE"""),"Umbra")</f>
        <v>Umbra</v>
      </c>
    </row>
    <row r="11116">
      <c r="A11116" t="str">
        <f>IFERROR(__xludf.DUMMYFUNCTION("""COMPUTED_VALUE"""),"23044/C")</f>
        <v>23044/C</v>
      </c>
      <c r="B11116" s="226" t="str">
        <f>IFERROR(__xludf.DUMMYFUNCTION("""COMPUTED_VALUE"""),"8054521991547")</f>
        <v>8054521991547</v>
      </c>
      <c r="C11116" t="str">
        <f>IFERROR(__xludf.DUMMYFUNCTION("""COMPUTED_VALUE"""),"Umbra")</f>
        <v>Umbra</v>
      </c>
    </row>
    <row r="11117">
      <c r="A11117" t="str">
        <f>IFERROR(__xludf.DUMMYFUNCTION("""COMPUTED_VALUE"""),"23044/F")</f>
        <v>23044/F</v>
      </c>
      <c r="B11117" s="226" t="str">
        <f>IFERROR(__xludf.DUMMYFUNCTION("""COMPUTED_VALUE"""),"8058772223594")</f>
        <v>8058772223594</v>
      </c>
      <c r="C11117" t="str">
        <f>IFERROR(__xludf.DUMMYFUNCTION("""COMPUTED_VALUE"""),"Umbra")</f>
        <v>Umbra</v>
      </c>
    </row>
    <row r="11118">
      <c r="A11118" t="str">
        <f>IFERROR(__xludf.DUMMYFUNCTION("""COMPUTED_VALUE"""),"23026")</f>
        <v>23026</v>
      </c>
      <c r="B11118" s="226" t="str">
        <f>IFERROR(__xludf.DUMMYFUNCTION("""COMPUTED_VALUE"""),"8054521991356")</f>
        <v>8054521991356</v>
      </c>
      <c r="C11118" t="str">
        <f>IFERROR(__xludf.DUMMYFUNCTION("""COMPUTED_VALUE"""),"Umbra")</f>
        <v>Umbra</v>
      </c>
    </row>
    <row r="11119">
      <c r="A11119" t="str">
        <f>IFERROR(__xludf.DUMMYFUNCTION("""COMPUTED_VALUE"""),"23026/F")</f>
        <v>23026/F</v>
      </c>
      <c r="B11119" s="226" t="str">
        <f>IFERROR(__xludf.DUMMYFUNCTION("""COMPUTED_VALUE"""),"8058772223525")</f>
        <v>8058772223525</v>
      </c>
      <c r="C11119" t="str">
        <f>IFERROR(__xludf.DUMMYFUNCTION("""COMPUTED_VALUE"""),"Umbra")</f>
        <v>Umbra</v>
      </c>
    </row>
    <row r="11120">
      <c r="A11120" t="str">
        <f>IFERROR(__xludf.DUMMYFUNCTION("""COMPUTED_VALUE"""),"23055/G")</f>
        <v>23055/G</v>
      </c>
      <c r="B11120" s="226" t="str">
        <f>IFERROR(__xludf.DUMMYFUNCTION("""COMPUTED_VALUE"""),"8054521995835")</f>
        <v>8054521995835</v>
      </c>
      <c r="C11120" t="str">
        <f>IFERROR(__xludf.DUMMYFUNCTION("""COMPUTED_VALUE"""),"Umbra")</f>
        <v>Umbra</v>
      </c>
    </row>
    <row r="11121">
      <c r="A11121" t="str">
        <f>IFERROR(__xludf.DUMMYFUNCTION("""COMPUTED_VALUE"""),"23055/SF")</f>
        <v>23055/SF</v>
      </c>
      <c r="B11121" s="226" t="str">
        <f>IFERROR(__xludf.DUMMYFUNCTION("""COMPUTED_VALUE"""),"8054521995828")</f>
        <v>8054521995828</v>
      </c>
      <c r="C11121" t="str">
        <f>IFERROR(__xludf.DUMMYFUNCTION("""COMPUTED_VALUE"""),"Umbra")</f>
        <v>Umbra</v>
      </c>
    </row>
    <row r="11122">
      <c r="A11122" t="str">
        <f>IFERROR(__xludf.DUMMYFUNCTION("""COMPUTED_VALUE"""),"23044/C")</f>
        <v>23044/C</v>
      </c>
      <c r="B11122" s="226" t="str">
        <f>IFERROR(__xludf.DUMMYFUNCTION("""COMPUTED_VALUE"""),"8054521991547")</f>
        <v>8054521991547</v>
      </c>
      <c r="C11122" t="str">
        <f>IFERROR(__xludf.DUMMYFUNCTION("""COMPUTED_VALUE"""),"Umbra")</f>
        <v>Umbra</v>
      </c>
    </row>
    <row r="11123">
      <c r="A11123" t="str">
        <f>IFERROR(__xludf.DUMMYFUNCTION("""COMPUTED_VALUE"""),"23044/F")</f>
        <v>23044/F</v>
      </c>
      <c r="B11123" s="226" t="str">
        <f>IFERROR(__xludf.DUMMYFUNCTION("""COMPUTED_VALUE"""),"8058772223594")</f>
        <v>8058772223594</v>
      </c>
      <c r="C11123" t="str">
        <f>IFERROR(__xludf.DUMMYFUNCTION("""COMPUTED_VALUE"""),"Umbra")</f>
        <v>Umbra</v>
      </c>
    </row>
    <row r="11124">
      <c r="A11124" t="str">
        <f>IFERROR(__xludf.DUMMYFUNCTION("""COMPUTED_VALUE"""),"11002/C")</f>
        <v>11002/C</v>
      </c>
      <c r="B11124" s="226" t="str">
        <f>IFERROR(__xludf.DUMMYFUNCTION("""COMPUTED_VALUE"""),"8058772222269")</f>
        <v>8058772222269</v>
      </c>
      <c r="C11124" t="str">
        <f>IFERROR(__xludf.DUMMYFUNCTION("""COMPUTED_VALUE"""),"Umbra")</f>
        <v>Umbra</v>
      </c>
    </row>
    <row r="11125">
      <c r="A11125" t="str">
        <f>IFERROR(__xludf.DUMMYFUNCTION("""COMPUTED_VALUE"""),"11002/F")</f>
        <v>11002/F</v>
      </c>
      <c r="B11125" s="226" t="str">
        <f>IFERROR(__xludf.DUMMYFUNCTION("""COMPUTED_VALUE"""),"8058772222252")</f>
        <v>8058772222252</v>
      </c>
      <c r="C11125" t="str">
        <f>IFERROR(__xludf.DUMMYFUNCTION("""COMPUTED_VALUE"""),"Umbra")</f>
        <v>Umbra</v>
      </c>
    </row>
    <row r="11126">
      <c r="A11126" t="str">
        <f>IFERROR(__xludf.DUMMYFUNCTION("""COMPUTED_VALUE"""),"11002/VM")</f>
        <v>11002/VM</v>
      </c>
      <c r="B11126" s="226" t="str">
        <f>IFERROR(__xludf.DUMMYFUNCTION("""COMPUTED_VALUE"""),"8058772222276")</f>
        <v>8058772222276</v>
      </c>
      <c r="C11126" t="str">
        <f>IFERROR(__xludf.DUMMYFUNCTION("""COMPUTED_VALUE"""),"Umbra")</f>
        <v>Umbra</v>
      </c>
    </row>
    <row r="11127">
      <c r="A11127" t="str">
        <f>IFERROR(__xludf.DUMMYFUNCTION("""COMPUTED_VALUE"""),"11004/C")</f>
        <v>11004/C</v>
      </c>
      <c r="B11127" s="226" t="str">
        <f>IFERROR(__xludf.DUMMYFUNCTION("""COMPUTED_VALUE"""),"8058772222320")</f>
        <v>8058772222320</v>
      </c>
      <c r="C11127" t="str">
        <f>IFERROR(__xludf.DUMMYFUNCTION("""COMPUTED_VALUE"""),"Umbra")</f>
        <v>Umbra</v>
      </c>
    </row>
    <row r="11128">
      <c r="A11128" t="str">
        <f>IFERROR(__xludf.DUMMYFUNCTION("""COMPUTED_VALUE"""),"11004/F")</f>
        <v>11004/F</v>
      </c>
      <c r="B11128" s="226" t="str">
        <f>IFERROR(__xludf.DUMMYFUNCTION("""COMPUTED_VALUE"""),"8058772222313")</f>
        <v>8058772222313</v>
      </c>
      <c r="C11128" t="str">
        <f>IFERROR(__xludf.DUMMYFUNCTION("""COMPUTED_VALUE"""),"Umbra")</f>
        <v>Umbra</v>
      </c>
    </row>
    <row r="11129">
      <c r="A11129" t="str">
        <f>IFERROR(__xludf.DUMMYFUNCTION("""COMPUTED_VALUE"""),"11004/VM")</f>
        <v>11004/VM</v>
      </c>
      <c r="B11129" s="226" t="str">
        <f>IFERROR(__xludf.DUMMYFUNCTION("""COMPUTED_VALUE"""),"8058772222337")</f>
        <v>8058772222337</v>
      </c>
      <c r="C11129" t="str">
        <f>IFERROR(__xludf.DUMMYFUNCTION("""COMPUTED_VALUE"""),"Umbra")</f>
        <v>Umbra</v>
      </c>
    </row>
    <row r="11130">
      <c r="A11130" t="str">
        <f>IFERROR(__xludf.DUMMYFUNCTION("""COMPUTED_VALUE"""),"11001/C")</f>
        <v>11001/C</v>
      </c>
      <c r="B11130" s="226" t="str">
        <f>IFERROR(__xludf.DUMMYFUNCTION("""COMPUTED_VALUE"""),"8058772222238")</f>
        <v>8058772222238</v>
      </c>
      <c r="C11130" t="str">
        <f>IFERROR(__xludf.DUMMYFUNCTION("""COMPUTED_VALUE"""),"Umbra")</f>
        <v>Umbra</v>
      </c>
    </row>
    <row r="11131">
      <c r="A11131" t="str">
        <f>IFERROR(__xludf.DUMMYFUNCTION("""COMPUTED_VALUE"""),"11001/F")</f>
        <v>11001/F</v>
      </c>
      <c r="B11131" s="226" t="str">
        <f>IFERROR(__xludf.DUMMYFUNCTION("""COMPUTED_VALUE"""),"8058772222221")</f>
        <v>8058772222221</v>
      </c>
      <c r="C11131" t="str">
        <f>IFERROR(__xludf.DUMMYFUNCTION("""COMPUTED_VALUE"""),"Umbra")</f>
        <v>Umbra</v>
      </c>
    </row>
    <row r="11132">
      <c r="A11132" t="str">
        <f>IFERROR(__xludf.DUMMYFUNCTION("""COMPUTED_VALUE"""),"11001/VM")</f>
        <v>11001/VM</v>
      </c>
      <c r="B11132" s="226" t="str">
        <f>IFERROR(__xludf.DUMMYFUNCTION("""COMPUTED_VALUE"""),"8058772222245")</f>
        <v>8058772222245</v>
      </c>
      <c r="C11132" t="str">
        <f>IFERROR(__xludf.DUMMYFUNCTION("""COMPUTED_VALUE"""),"Umbra")</f>
        <v>Umbra</v>
      </c>
    </row>
    <row r="11133">
      <c r="A11133" t="str">
        <f>IFERROR(__xludf.DUMMYFUNCTION("""COMPUTED_VALUE"""),"11003/C")</f>
        <v>11003/C</v>
      </c>
      <c r="B11133" s="226" t="str">
        <f>IFERROR(__xludf.DUMMYFUNCTION("""COMPUTED_VALUE"""),"8058772222290")</f>
        <v>8058772222290</v>
      </c>
      <c r="C11133" t="str">
        <f>IFERROR(__xludf.DUMMYFUNCTION("""COMPUTED_VALUE"""),"Umbra")</f>
        <v>Umbra</v>
      </c>
    </row>
    <row r="11134">
      <c r="A11134" t="str">
        <f>IFERROR(__xludf.DUMMYFUNCTION("""COMPUTED_VALUE"""),"11003/F")</f>
        <v>11003/F</v>
      </c>
      <c r="B11134" s="226" t="str">
        <f>IFERROR(__xludf.DUMMYFUNCTION("""COMPUTED_VALUE"""),"8058772222283")</f>
        <v>8058772222283</v>
      </c>
      <c r="C11134" t="str">
        <f>IFERROR(__xludf.DUMMYFUNCTION("""COMPUTED_VALUE"""),"Umbra")</f>
        <v>Umbra</v>
      </c>
    </row>
    <row r="11135">
      <c r="A11135" t="str">
        <f>IFERROR(__xludf.DUMMYFUNCTION("""COMPUTED_VALUE"""),"11003/VM")</f>
        <v>11003/VM</v>
      </c>
      <c r="B11135" s="226" t="str">
        <f>IFERROR(__xludf.DUMMYFUNCTION("""COMPUTED_VALUE"""),"8058772222306")</f>
        <v>8058772222306</v>
      </c>
      <c r="C11135" t="str">
        <f>IFERROR(__xludf.DUMMYFUNCTION("""COMPUTED_VALUE"""),"Umbra")</f>
        <v>Umbra</v>
      </c>
    </row>
    <row r="11136">
      <c r="A11136" t="str">
        <f>IFERROR(__xludf.DUMMYFUNCTION("""COMPUTED_VALUE"""),"11004/C")</f>
        <v>11004/C</v>
      </c>
      <c r="B11136" s="226" t="str">
        <f>IFERROR(__xludf.DUMMYFUNCTION("""COMPUTED_VALUE"""),"8058772222320")</f>
        <v>8058772222320</v>
      </c>
      <c r="C11136" t="str">
        <f>IFERROR(__xludf.DUMMYFUNCTION("""COMPUTED_VALUE"""),"Umbra")</f>
        <v>Umbra</v>
      </c>
    </row>
    <row r="11137">
      <c r="A11137" t="str">
        <f>IFERROR(__xludf.DUMMYFUNCTION("""COMPUTED_VALUE"""),"11004/F")</f>
        <v>11004/F</v>
      </c>
      <c r="B11137" s="226" t="str">
        <f>IFERROR(__xludf.DUMMYFUNCTION("""COMPUTED_VALUE"""),"8058772222313")</f>
        <v>8058772222313</v>
      </c>
      <c r="C11137" t="str">
        <f>IFERROR(__xludf.DUMMYFUNCTION("""COMPUTED_VALUE"""),"Umbra")</f>
        <v>Umbra</v>
      </c>
    </row>
    <row r="11138">
      <c r="A11138" t="str">
        <f>IFERROR(__xludf.DUMMYFUNCTION("""COMPUTED_VALUE"""),"11004/VM")</f>
        <v>11004/VM</v>
      </c>
      <c r="B11138" s="226" t="str">
        <f>IFERROR(__xludf.DUMMYFUNCTION("""COMPUTED_VALUE"""),"8058772222337")</f>
        <v>8058772222337</v>
      </c>
      <c r="C11138" t="str">
        <f>IFERROR(__xludf.DUMMYFUNCTION("""COMPUTED_VALUE"""),"Umbra")</f>
        <v>Umbra</v>
      </c>
    </row>
    <row r="11139">
      <c r="A11139" t="str">
        <f>IFERROR(__xludf.DUMMYFUNCTION("""COMPUTED_VALUE"""),"11001/C")</f>
        <v>11001/C</v>
      </c>
      <c r="B11139" s="226" t="str">
        <f>IFERROR(__xludf.DUMMYFUNCTION("""COMPUTED_VALUE"""),"8058772222238")</f>
        <v>8058772222238</v>
      </c>
      <c r="C11139" t="str">
        <f>IFERROR(__xludf.DUMMYFUNCTION("""COMPUTED_VALUE"""),"Umbra")</f>
        <v>Umbra</v>
      </c>
    </row>
    <row r="11140">
      <c r="A11140" t="str">
        <f>IFERROR(__xludf.DUMMYFUNCTION("""COMPUTED_VALUE"""),"11001/F")</f>
        <v>11001/F</v>
      </c>
      <c r="B11140" s="226" t="str">
        <f>IFERROR(__xludf.DUMMYFUNCTION("""COMPUTED_VALUE"""),"8058772222221")</f>
        <v>8058772222221</v>
      </c>
      <c r="C11140" t="str">
        <f>IFERROR(__xludf.DUMMYFUNCTION("""COMPUTED_VALUE"""),"Umbra")</f>
        <v>Umbra</v>
      </c>
    </row>
    <row r="11141">
      <c r="A11141" t="str">
        <f>IFERROR(__xludf.DUMMYFUNCTION("""COMPUTED_VALUE"""),"11001/VM")</f>
        <v>11001/VM</v>
      </c>
      <c r="B11141" s="226" t="str">
        <f>IFERROR(__xludf.DUMMYFUNCTION("""COMPUTED_VALUE"""),"8058772222245")</f>
        <v>8058772222245</v>
      </c>
      <c r="C11141" t="str">
        <f>IFERROR(__xludf.DUMMYFUNCTION("""COMPUTED_VALUE"""),"Umbra")</f>
        <v>Umbra</v>
      </c>
    </row>
    <row r="11142">
      <c r="A11142" t="str">
        <f>IFERROR(__xludf.DUMMYFUNCTION("""COMPUTED_VALUE"""),"24020/C")</f>
        <v>24020/C</v>
      </c>
      <c r="B11142" s="226" t="str">
        <f>IFERROR(__xludf.DUMMYFUNCTION("""COMPUTED_VALUE"""),"8054521991950")</f>
        <v>8054521991950</v>
      </c>
      <c r="C11142" t="str">
        <f>IFERROR(__xludf.DUMMYFUNCTION("""COMPUTED_VALUE"""),"Umbra")</f>
        <v>Umbra</v>
      </c>
    </row>
    <row r="11143">
      <c r="A11143" t="str">
        <f>IFERROR(__xludf.DUMMYFUNCTION("""COMPUTED_VALUE"""),"24020/F")</f>
        <v>24020/F</v>
      </c>
      <c r="B11143" s="226" t="str">
        <f>IFERROR(__xludf.DUMMYFUNCTION("""COMPUTED_VALUE"""),"8058772223884")</f>
        <v>8058772223884</v>
      </c>
      <c r="C11143" t="str">
        <f>IFERROR(__xludf.DUMMYFUNCTION("""COMPUTED_VALUE"""),"Umbra")</f>
        <v>Umbra</v>
      </c>
    </row>
    <row r="11144">
      <c r="A11144" t="str">
        <f>IFERROR(__xludf.DUMMYFUNCTION("""COMPUTED_VALUE"""),"24020/VM")</f>
        <v>24020/VM</v>
      </c>
      <c r="B11144" s="226" t="str">
        <f>IFERROR(__xludf.DUMMYFUNCTION("""COMPUTED_VALUE"""),"8054521991967")</f>
        <v>8054521991967</v>
      </c>
      <c r="C11144" t="str">
        <f>IFERROR(__xludf.DUMMYFUNCTION("""COMPUTED_VALUE"""),"Umbra")</f>
        <v>Umbra</v>
      </c>
    </row>
    <row r="11145">
      <c r="A11145" t="str">
        <f>IFERROR(__xludf.DUMMYFUNCTION("""COMPUTED_VALUE"""),"24014")</f>
        <v>24014</v>
      </c>
      <c r="B11145" s="226" t="str">
        <f>IFERROR(__xludf.DUMMYFUNCTION("""COMPUTED_VALUE"""),"8054521991806")</f>
        <v>8054521991806</v>
      </c>
      <c r="C11145" t="str">
        <f>IFERROR(__xludf.DUMMYFUNCTION("""COMPUTED_VALUE"""),"Umbra")</f>
        <v>Umbra</v>
      </c>
    </row>
    <row r="11146">
      <c r="A11146" t="str">
        <f>IFERROR(__xludf.DUMMYFUNCTION("""COMPUTED_VALUE"""),"24016/C")</f>
        <v>24016/C</v>
      </c>
      <c r="B11146" s="226" t="str">
        <f>IFERROR(__xludf.DUMMYFUNCTION("""COMPUTED_VALUE"""),"8054521991820")</f>
        <v>8054521991820</v>
      </c>
      <c r="C11146" t="str">
        <f>IFERROR(__xludf.DUMMYFUNCTION("""COMPUTED_VALUE"""),"Umbra")</f>
        <v>Umbra</v>
      </c>
    </row>
    <row r="11147">
      <c r="A11147" t="str">
        <f>IFERROR(__xludf.DUMMYFUNCTION("""COMPUTED_VALUE"""),"24016/F")</f>
        <v>24016/F</v>
      </c>
      <c r="B11147" s="226" t="str">
        <f>IFERROR(__xludf.DUMMYFUNCTION("""COMPUTED_VALUE"""),"8058772223846")</f>
        <v>8058772223846</v>
      </c>
      <c r="C11147" t="str">
        <f>IFERROR(__xludf.DUMMYFUNCTION("""COMPUTED_VALUE"""),"Umbra")</f>
        <v>Umbra</v>
      </c>
    </row>
    <row r="11148">
      <c r="A11148" t="str">
        <f>IFERROR(__xludf.DUMMYFUNCTION("""COMPUTED_VALUE"""),"24016/G")</f>
        <v>24016/G</v>
      </c>
      <c r="B11148" s="226" t="str">
        <f>IFERROR(__xludf.DUMMYFUNCTION("""COMPUTED_VALUE"""),"8054521991837")</f>
        <v>8054521991837</v>
      </c>
      <c r="C11148" t="str">
        <f>IFERROR(__xludf.DUMMYFUNCTION("""COMPUTED_VALUE"""),"Umbra")</f>
        <v>Umbra</v>
      </c>
    </row>
    <row r="11149">
      <c r="A11149" t="str">
        <f>IFERROR(__xludf.DUMMYFUNCTION("""COMPUTED_VALUE"""),"24016/SF")</f>
        <v>24016/SF</v>
      </c>
      <c r="B11149" s="226" t="str">
        <f>IFERROR(__xludf.DUMMYFUNCTION("""COMPUTED_VALUE"""),"8054521991844")</f>
        <v>8054521991844</v>
      </c>
      <c r="C11149" t="str">
        <f>IFERROR(__xludf.DUMMYFUNCTION("""COMPUTED_VALUE"""),"Umbra")</f>
        <v>Umbra</v>
      </c>
    </row>
    <row r="11150">
      <c r="A11150" t="str">
        <f>IFERROR(__xludf.DUMMYFUNCTION("""COMPUTED_VALUE"""),"24019/C")</f>
        <v>24019/C</v>
      </c>
      <c r="B11150" s="226" t="str">
        <f>IFERROR(__xludf.DUMMYFUNCTION("""COMPUTED_VALUE"""),"8054521991929")</f>
        <v>8054521991929</v>
      </c>
      <c r="C11150" t="str">
        <f>IFERROR(__xludf.DUMMYFUNCTION("""COMPUTED_VALUE"""),"Umbra")</f>
        <v>Umbra</v>
      </c>
    </row>
    <row r="11151">
      <c r="A11151" t="str">
        <f>IFERROR(__xludf.DUMMYFUNCTION("""COMPUTED_VALUE"""),"24019/F")</f>
        <v>24019/F</v>
      </c>
      <c r="B11151" s="226" t="str">
        <f>IFERROR(__xludf.DUMMYFUNCTION("""COMPUTED_VALUE"""),"8058772223877")</f>
        <v>8058772223877</v>
      </c>
      <c r="C11151" t="str">
        <f>IFERROR(__xludf.DUMMYFUNCTION("""COMPUTED_VALUE"""),"Umbra")</f>
        <v>Umbra</v>
      </c>
    </row>
    <row r="11152">
      <c r="A11152" t="str">
        <f>IFERROR(__xludf.DUMMYFUNCTION("""COMPUTED_VALUE"""),"24019/G")</f>
        <v>24019/G</v>
      </c>
      <c r="B11152" s="226" t="str">
        <f>IFERROR(__xludf.DUMMYFUNCTION("""COMPUTED_VALUE"""),"8054521991936")</f>
        <v>8054521991936</v>
      </c>
      <c r="C11152" t="str">
        <f>IFERROR(__xludf.DUMMYFUNCTION("""COMPUTED_VALUE"""),"Umbra")</f>
        <v>Umbra</v>
      </c>
    </row>
    <row r="11153">
      <c r="A11153" t="str">
        <f>IFERROR(__xludf.DUMMYFUNCTION("""COMPUTED_VALUE"""),"24019/SF")</f>
        <v>24019/SF</v>
      </c>
      <c r="B11153" s="226" t="str">
        <f>IFERROR(__xludf.DUMMYFUNCTION("""COMPUTED_VALUE"""),"8054521991943")</f>
        <v>8054521991943</v>
      </c>
      <c r="C11153" t="str">
        <f>IFERROR(__xludf.DUMMYFUNCTION("""COMPUTED_VALUE"""),"Umbra")</f>
        <v>Umbra</v>
      </c>
    </row>
    <row r="11154">
      <c r="A11154" t="str">
        <f>IFERROR(__xludf.DUMMYFUNCTION("""COMPUTED_VALUE"""),"24016/C")</f>
        <v>24016/C</v>
      </c>
      <c r="B11154" s="226" t="str">
        <f>IFERROR(__xludf.DUMMYFUNCTION("""COMPUTED_VALUE"""),"8054521991820")</f>
        <v>8054521991820</v>
      </c>
      <c r="C11154" t="str">
        <f>IFERROR(__xludf.DUMMYFUNCTION("""COMPUTED_VALUE"""),"Umbra")</f>
        <v>Umbra</v>
      </c>
    </row>
    <row r="11155">
      <c r="A11155" t="str">
        <f>IFERROR(__xludf.DUMMYFUNCTION("""COMPUTED_VALUE"""),"24016/F")</f>
        <v>24016/F</v>
      </c>
      <c r="B11155" s="226" t="str">
        <f>IFERROR(__xludf.DUMMYFUNCTION("""COMPUTED_VALUE"""),"8058772223846")</f>
        <v>8058772223846</v>
      </c>
      <c r="C11155" t="str">
        <f>IFERROR(__xludf.DUMMYFUNCTION("""COMPUTED_VALUE"""),"Umbra")</f>
        <v>Umbra</v>
      </c>
    </row>
    <row r="11156">
      <c r="A11156" t="str">
        <f>IFERROR(__xludf.DUMMYFUNCTION("""COMPUTED_VALUE"""),"24016/G")</f>
        <v>24016/G</v>
      </c>
      <c r="B11156" s="226" t="str">
        <f>IFERROR(__xludf.DUMMYFUNCTION("""COMPUTED_VALUE"""),"8054521991837")</f>
        <v>8054521991837</v>
      </c>
      <c r="C11156" t="str">
        <f>IFERROR(__xludf.DUMMYFUNCTION("""COMPUTED_VALUE"""),"Umbra")</f>
        <v>Umbra</v>
      </c>
    </row>
    <row r="11157">
      <c r="A11157" t="str">
        <f>IFERROR(__xludf.DUMMYFUNCTION("""COMPUTED_VALUE"""),"24016/SF")</f>
        <v>24016/SF</v>
      </c>
      <c r="B11157" s="226" t="str">
        <f>IFERROR(__xludf.DUMMYFUNCTION("""COMPUTED_VALUE"""),"8054521991844")</f>
        <v>8054521991844</v>
      </c>
      <c r="C11157" t="str">
        <f>IFERROR(__xludf.DUMMYFUNCTION("""COMPUTED_VALUE"""),"Umbra")</f>
        <v>Umbra</v>
      </c>
    </row>
    <row r="11158">
      <c r="A11158" t="str">
        <f>IFERROR(__xludf.DUMMYFUNCTION("""COMPUTED_VALUE"""),"24008")</f>
        <v>24008</v>
      </c>
      <c r="B11158" s="226" t="str">
        <f>IFERROR(__xludf.DUMMYFUNCTION("""COMPUTED_VALUE"""),"8054521991721")</f>
        <v>8054521991721</v>
      </c>
      <c r="C11158" t="str">
        <f>IFERROR(__xludf.DUMMYFUNCTION("""COMPUTED_VALUE"""),"Umbra")</f>
        <v>Umbra</v>
      </c>
    </row>
    <row r="11159">
      <c r="A11159" t="str">
        <f>IFERROR(__xludf.DUMMYFUNCTION("""COMPUTED_VALUE"""),"24008/1")</f>
        <v>24008/1</v>
      </c>
      <c r="B11159" s="226" t="str">
        <f>IFERROR(__xludf.DUMMYFUNCTION("""COMPUTED_VALUE"""),"8054521991738")</f>
        <v>8054521991738</v>
      </c>
      <c r="C11159" t="str">
        <f>IFERROR(__xludf.DUMMYFUNCTION("""COMPUTED_VALUE"""),"Umbra")</f>
        <v>Umbra</v>
      </c>
    </row>
    <row r="11160">
      <c r="A11160" t="str">
        <f>IFERROR(__xludf.DUMMYFUNCTION("""COMPUTED_VALUE"""),"24013")</f>
        <v>24013</v>
      </c>
      <c r="B11160" s="226" t="str">
        <f>IFERROR(__xludf.DUMMYFUNCTION("""COMPUTED_VALUE"""),"8054521991790")</f>
        <v>8054521991790</v>
      </c>
      <c r="C11160" t="str">
        <f>IFERROR(__xludf.DUMMYFUNCTION("""COMPUTED_VALUE"""),"Umbra")</f>
        <v>Umbra</v>
      </c>
    </row>
    <row r="11161">
      <c r="A11161" t="str">
        <f>IFERROR(__xludf.DUMMYFUNCTION("""COMPUTED_VALUE"""),"24013/F")</f>
        <v>24013/F</v>
      </c>
      <c r="B11161" s="226" t="str">
        <f>IFERROR(__xludf.DUMMYFUNCTION("""COMPUTED_VALUE"""),"8058772223815")</f>
        <v>8058772223815</v>
      </c>
      <c r="C11161" t="str">
        <f>IFERROR(__xludf.DUMMYFUNCTION("""COMPUTED_VALUE"""),"Umbra")</f>
        <v>Umbra</v>
      </c>
    </row>
    <row r="11162">
      <c r="A11162" t="str">
        <f>IFERROR(__xludf.DUMMYFUNCTION("""COMPUTED_VALUE"""),"24018/C")</f>
        <v>24018/C</v>
      </c>
      <c r="B11162" s="226" t="str">
        <f>IFERROR(__xludf.DUMMYFUNCTION("""COMPUTED_VALUE"""),"8054521991912")</f>
        <v>8054521991912</v>
      </c>
      <c r="C11162" t="str">
        <f>IFERROR(__xludf.DUMMYFUNCTION("""COMPUTED_VALUE"""),"Umbra")</f>
        <v>Umbra</v>
      </c>
    </row>
    <row r="11163">
      <c r="A11163" t="str">
        <f>IFERROR(__xludf.DUMMYFUNCTION("""COMPUTED_VALUE"""),"24018/F")</f>
        <v>24018/F</v>
      </c>
      <c r="B11163" s="226" t="str">
        <f>IFERROR(__xludf.DUMMYFUNCTION("""COMPUTED_VALUE"""),"8058772223860")</f>
        <v>8058772223860</v>
      </c>
      <c r="C11163" t="str">
        <f>IFERROR(__xludf.DUMMYFUNCTION("""COMPUTED_VALUE"""),"Umbra")</f>
        <v>Umbra</v>
      </c>
    </row>
    <row r="11164">
      <c r="A11164" t="str">
        <f>IFERROR(__xludf.DUMMYFUNCTION("""COMPUTED_VALUE"""),"24021/C")</f>
        <v>24021/C</v>
      </c>
      <c r="B11164" s="226" t="str">
        <f>IFERROR(__xludf.DUMMYFUNCTION("""COMPUTED_VALUE"""),"8058772223907")</f>
        <v>8058772223907</v>
      </c>
      <c r="C11164" t="str">
        <f>IFERROR(__xludf.DUMMYFUNCTION("""COMPUTED_VALUE"""),"Umbra")</f>
        <v>Umbra</v>
      </c>
    </row>
    <row r="11165">
      <c r="A11165" t="str">
        <f>IFERROR(__xludf.DUMMYFUNCTION("""COMPUTED_VALUE"""),"24021/F")</f>
        <v>24021/F</v>
      </c>
      <c r="B11165" s="226" t="str">
        <f>IFERROR(__xludf.DUMMYFUNCTION("""COMPUTED_VALUE"""),"8058772223891")</f>
        <v>8058772223891</v>
      </c>
      <c r="C11165" t="str">
        <f>IFERROR(__xludf.DUMMYFUNCTION("""COMPUTED_VALUE"""),"Umbra")</f>
        <v>Umbra</v>
      </c>
    </row>
    <row r="11166">
      <c r="A11166" t="str">
        <f>IFERROR(__xludf.DUMMYFUNCTION("""COMPUTED_VALUE"""),"24021/VM")</f>
        <v>24021/VM</v>
      </c>
      <c r="B11166" s="226" t="str">
        <f>IFERROR(__xludf.DUMMYFUNCTION("""COMPUTED_VALUE"""),"8058772223914")</f>
        <v>8058772223914</v>
      </c>
      <c r="C11166" t="str">
        <f>IFERROR(__xludf.DUMMYFUNCTION("""COMPUTED_VALUE"""),"Umbra")</f>
        <v>Umbra</v>
      </c>
    </row>
    <row r="11167">
      <c r="A11167" t="str">
        <f>IFERROR(__xludf.DUMMYFUNCTION("""COMPUTED_VALUE"""),"24017/2C")</f>
        <v>24017/2C</v>
      </c>
      <c r="B11167" s="226" t="str">
        <f>IFERROR(__xludf.DUMMYFUNCTION("""COMPUTED_VALUE"""),"8054521991851")</f>
        <v>8054521991851</v>
      </c>
      <c r="C11167" t="str">
        <f>IFERROR(__xludf.DUMMYFUNCTION("""COMPUTED_VALUE"""),"Umbra")</f>
        <v>Umbra</v>
      </c>
    </row>
    <row r="11168">
      <c r="A11168" t="str">
        <f>IFERROR(__xludf.DUMMYFUNCTION("""COMPUTED_VALUE"""),"24017/4C")</f>
        <v>24017/4C</v>
      </c>
      <c r="B11168" s="226" t="str">
        <f>IFERROR(__xludf.DUMMYFUNCTION("""COMPUTED_VALUE"""),"8054521991882")</f>
        <v>8054521991882</v>
      </c>
      <c r="C11168" t="str">
        <f>IFERROR(__xludf.DUMMYFUNCTION("""COMPUTED_VALUE"""),"Umbra")</f>
        <v>Umbra</v>
      </c>
    </row>
    <row r="11169">
      <c r="A11169" t="str">
        <f>IFERROR(__xludf.DUMMYFUNCTION("""COMPUTED_VALUE"""),"24017/2G")</f>
        <v>24017/2G</v>
      </c>
      <c r="B11169" s="226" t="str">
        <f>IFERROR(__xludf.DUMMYFUNCTION("""COMPUTED_VALUE"""),"8054521991868")</f>
        <v>8054521991868</v>
      </c>
      <c r="C11169" t="str">
        <f>IFERROR(__xludf.DUMMYFUNCTION("""COMPUTED_VALUE"""),"Umbra")</f>
        <v>Umbra</v>
      </c>
    </row>
    <row r="11170">
      <c r="A11170" t="str">
        <f>IFERROR(__xludf.DUMMYFUNCTION("""COMPUTED_VALUE"""),"24017/4G")</f>
        <v>24017/4G</v>
      </c>
      <c r="B11170" s="226" t="str">
        <f>IFERROR(__xludf.DUMMYFUNCTION("""COMPUTED_VALUE"""),"8054521991899")</f>
        <v>8054521991899</v>
      </c>
      <c r="C11170" t="str">
        <f>IFERROR(__xludf.DUMMYFUNCTION("""COMPUTED_VALUE"""),"Umbra")</f>
        <v>Umbra</v>
      </c>
    </row>
    <row r="11171">
      <c r="A11171" t="str">
        <f>IFERROR(__xludf.DUMMYFUNCTION("""COMPUTED_VALUE"""),"24017/2SF")</f>
        <v>24017/2SF</v>
      </c>
      <c r="B11171" s="226" t="str">
        <f>IFERROR(__xludf.DUMMYFUNCTION("""COMPUTED_VALUE"""),"8054521991875")</f>
        <v>8054521991875</v>
      </c>
      <c r="C11171" t="str">
        <f>IFERROR(__xludf.DUMMYFUNCTION("""COMPUTED_VALUE"""),"Umbra")</f>
        <v>Umbra</v>
      </c>
    </row>
    <row r="11172">
      <c r="A11172" t="str">
        <f>IFERROR(__xludf.DUMMYFUNCTION("""COMPUTED_VALUE"""),"24017/4SF")</f>
        <v>24017/4SF</v>
      </c>
      <c r="B11172" s="226" t="str">
        <f>IFERROR(__xludf.DUMMYFUNCTION("""COMPUTED_VALUE"""),"8054521991905")</f>
        <v>8054521991905</v>
      </c>
      <c r="C11172" t="str">
        <f>IFERROR(__xludf.DUMMYFUNCTION("""COMPUTED_VALUE"""),"Umbra")</f>
        <v>Umbra</v>
      </c>
    </row>
    <row r="11173">
      <c r="A11173" t="str">
        <f>IFERROR(__xludf.DUMMYFUNCTION("""COMPUTED_VALUE"""),"24015")</f>
        <v>24015</v>
      </c>
      <c r="B11173" s="226" t="str">
        <f>IFERROR(__xludf.DUMMYFUNCTION("""COMPUTED_VALUE"""),"8054521991813")</f>
        <v>8054521991813</v>
      </c>
      <c r="C11173" t="str">
        <f>IFERROR(__xludf.DUMMYFUNCTION("""COMPUTED_VALUE"""),"Umbra")</f>
        <v>Umbra</v>
      </c>
    </row>
    <row r="11174">
      <c r="A11174" t="str">
        <f>IFERROR(__xludf.DUMMYFUNCTION("""COMPUTED_VALUE"""),"24012/C")</f>
        <v>24012/C</v>
      </c>
      <c r="B11174" s="226" t="str">
        <f>IFERROR(__xludf.DUMMYFUNCTION("""COMPUTED_VALUE"""),"8054521991776")</f>
        <v>8054521991776</v>
      </c>
      <c r="C11174" t="str">
        <f>IFERROR(__xludf.DUMMYFUNCTION("""COMPUTED_VALUE"""),"Umbra")</f>
        <v>Umbra</v>
      </c>
    </row>
    <row r="11175">
      <c r="A11175" t="str">
        <f>IFERROR(__xludf.DUMMYFUNCTION("""COMPUTED_VALUE"""),"24012/L")</f>
        <v>24012/L</v>
      </c>
      <c r="B11175" s="226" t="str">
        <f>IFERROR(__xludf.DUMMYFUNCTION("""COMPUTED_VALUE"""),"8054521991783")</f>
        <v>8054521991783</v>
      </c>
      <c r="C11175" t="str">
        <f>IFERROR(__xludf.DUMMYFUNCTION("""COMPUTED_VALUE"""),"Umbra")</f>
        <v>Umbra</v>
      </c>
    </row>
    <row r="11176">
      <c r="A11176" t="str">
        <f>IFERROR(__xludf.DUMMYFUNCTION("""COMPUTED_VALUE"""),"24007")</f>
        <v>24007</v>
      </c>
      <c r="B11176" s="226" t="str">
        <f>IFERROR(__xludf.DUMMYFUNCTION("""COMPUTED_VALUE"""),"8054521991714")</f>
        <v>8054521991714</v>
      </c>
      <c r="C11176" t="str">
        <f>IFERROR(__xludf.DUMMYFUNCTION("""COMPUTED_VALUE"""),"Umbra")</f>
        <v>Umbra</v>
      </c>
    </row>
    <row r="11177">
      <c r="A11177" t="str">
        <f>IFERROR(__xludf.DUMMYFUNCTION("""COMPUTED_VALUE"""),"24011")</f>
        <v>24011</v>
      </c>
      <c r="B11177" s="226" t="str">
        <f>IFERROR(__xludf.DUMMYFUNCTION("""COMPUTED_VALUE"""),"8054521991769")</f>
        <v>8054521991769</v>
      </c>
      <c r="C11177" t="str">
        <f>IFERROR(__xludf.DUMMYFUNCTION("""COMPUTED_VALUE"""),"Umbra")</f>
        <v>Umbra</v>
      </c>
    </row>
    <row r="11178">
      <c r="A11178" t="str">
        <f>IFERROR(__xludf.DUMMYFUNCTION("""COMPUTED_VALUE"""),"26015")</f>
        <v>26015</v>
      </c>
      <c r="B11178" s="226" t="str">
        <f>IFERROR(__xludf.DUMMYFUNCTION("""COMPUTED_VALUE"""),"8054521992124")</f>
        <v>8054521992124</v>
      </c>
      <c r="C11178" t="str">
        <f>IFERROR(__xludf.DUMMYFUNCTION("""COMPUTED_VALUE"""),"Umbra")</f>
        <v>Umbra</v>
      </c>
    </row>
    <row r="11179">
      <c r="A11179" t="str">
        <f>IFERROR(__xludf.DUMMYFUNCTION("""COMPUTED_VALUE"""),"26015/F")</f>
        <v>26015/F</v>
      </c>
      <c r="B11179" s="226" t="str">
        <f>IFERROR(__xludf.DUMMYFUNCTION("""COMPUTED_VALUE"""),"8058772223921")</f>
        <v>8058772223921</v>
      </c>
      <c r="C11179" t="str">
        <f>IFERROR(__xludf.DUMMYFUNCTION("""COMPUTED_VALUE"""),"Umbra")</f>
        <v>Umbra</v>
      </c>
    </row>
    <row r="11180">
      <c r="A11180" t="str">
        <f>IFERROR(__xludf.DUMMYFUNCTION("""COMPUTED_VALUE"""),"26016")</f>
        <v>26016</v>
      </c>
      <c r="B11180" s="226" t="str">
        <f>IFERROR(__xludf.DUMMYFUNCTION("""COMPUTED_VALUE"""),"8054521992131")</f>
        <v>8054521992131</v>
      </c>
      <c r="C11180" t="str">
        <f>IFERROR(__xludf.DUMMYFUNCTION("""COMPUTED_VALUE"""),"Umbra")</f>
        <v>Umbra</v>
      </c>
    </row>
    <row r="11181">
      <c r="A11181" t="str">
        <f>IFERROR(__xludf.DUMMYFUNCTION("""COMPUTED_VALUE"""),"26016/F")</f>
        <v>26016/F</v>
      </c>
      <c r="B11181" s="226" t="str">
        <f>IFERROR(__xludf.DUMMYFUNCTION("""COMPUTED_VALUE"""),"8058772223945")</f>
        <v>8058772223945</v>
      </c>
      <c r="C11181" t="str">
        <f>IFERROR(__xludf.DUMMYFUNCTION("""COMPUTED_VALUE"""),"Umbra")</f>
        <v>Umbra</v>
      </c>
    </row>
    <row r="11182">
      <c r="A11182" t="str">
        <f>IFERROR(__xludf.DUMMYFUNCTION("""COMPUTED_VALUE"""),"26013")</f>
        <v>26013</v>
      </c>
      <c r="B11182" s="226" t="str">
        <f>IFERROR(__xludf.DUMMYFUNCTION("""COMPUTED_VALUE"""),"8054521992117")</f>
        <v>8054521992117</v>
      </c>
      <c r="C11182" t="str">
        <f>IFERROR(__xludf.DUMMYFUNCTION("""COMPUTED_VALUE"""),"Umbra")</f>
        <v>Umbra</v>
      </c>
    </row>
    <row r="11183">
      <c r="A11183" t="str">
        <f>IFERROR(__xludf.DUMMYFUNCTION("""COMPUTED_VALUE"""),"26027")</f>
        <v>26027</v>
      </c>
      <c r="B11183" s="226" t="str">
        <f>IFERROR(__xludf.DUMMYFUNCTION("""COMPUTED_VALUE"""),"8054521992308")</f>
        <v>8054521992308</v>
      </c>
      <c r="C11183" t="str">
        <f>IFERROR(__xludf.DUMMYFUNCTION("""COMPUTED_VALUE"""),"Umbra")</f>
        <v>Umbra</v>
      </c>
    </row>
    <row r="11184">
      <c r="A11184" t="str">
        <f>IFERROR(__xludf.DUMMYFUNCTION("""COMPUTED_VALUE"""),"31101/G")</f>
        <v>31101/G</v>
      </c>
      <c r="B11184" s="226" t="str">
        <f>IFERROR(__xludf.DUMMYFUNCTION("""COMPUTED_VALUE"""),"8058772224911")</f>
        <v>8058772224911</v>
      </c>
      <c r="C11184" t="str">
        <f>IFERROR(__xludf.DUMMYFUNCTION("""COMPUTED_VALUE"""),"Umbra")</f>
        <v>Umbra</v>
      </c>
    </row>
    <row r="11185">
      <c r="A11185" t="str">
        <f>IFERROR(__xludf.DUMMYFUNCTION("""COMPUTED_VALUE"""),"31070")</f>
        <v>31070</v>
      </c>
      <c r="C11185" t="str">
        <f>IFERROR(__xludf.DUMMYFUNCTION("""COMPUTED_VALUE"""),"Umbra")</f>
        <v>Umbra</v>
      </c>
    </row>
    <row r="11186">
      <c r="A11186" t="str">
        <f>IFERROR(__xludf.DUMMYFUNCTION("""COMPUTED_VALUE"""),"31101/SF")</f>
        <v>31101/SF</v>
      </c>
      <c r="B11186" s="226" t="str">
        <f>IFERROR(__xludf.DUMMYFUNCTION("""COMPUTED_VALUE"""),"8058772224904")</f>
        <v>8058772224904</v>
      </c>
      <c r="C11186" t="str">
        <f>IFERROR(__xludf.DUMMYFUNCTION("""COMPUTED_VALUE"""),"Umbra")</f>
        <v>Umbra</v>
      </c>
    </row>
    <row r="11187">
      <c r="A11187" t="str">
        <f>IFERROR(__xludf.DUMMYFUNCTION("""COMPUTED_VALUE"""),"26028/C")</f>
        <v>26028/C</v>
      </c>
      <c r="B11187" s="226" t="str">
        <f>IFERROR(__xludf.DUMMYFUNCTION("""COMPUTED_VALUE"""),"8058772224010")</f>
        <v>8058772224010</v>
      </c>
      <c r="C11187" t="str">
        <f>IFERROR(__xludf.DUMMYFUNCTION("""COMPUTED_VALUE"""),"Umbra")</f>
        <v>Umbra</v>
      </c>
    </row>
    <row r="11188">
      <c r="A11188" t="str">
        <f>IFERROR(__xludf.DUMMYFUNCTION("""COMPUTED_VALUE"""),"26028/F")</f>
        <v>26028/F</v>
      </c>
      <c r="B11188" s="226" t="str">
        <f>IFERROR(__xludf.DUMMYFUNCTION("""COMPUTED_VALUE"""),"8058772224003")</f>
        <v>8058772224003</v>
      </c>
      <c r="C11188" t="str">
        <f>IFERROR(__xludf.DUMMYFUNCTION("""COMPUTED_VALUE"""),"Umbra")</f>
        <v>Umbra</v>
      </c>
    </row>
    <row r="11189">
      <c r="A11189" t="str">
        <f>IFERROR(__xludf.DUMMYFUNCTION("""COMPUTED_VALUE"""),"26018")</f>
        <v>26018</v>
      </c>
      <c r="B11189" s="226" t="str">
        <f>IFERROR(__xludf.DUMMYFUNCTION("""COMPUTED_VALUE"""),"8054521992155")</f>
        <v>8054521992155</v>
      </c>
      <c r="C11189" t="str">
        <f>IFERROR(__xludf.DUMMYFUNCTION("""COMPUTED_VALUE"""),"Umbra")</f>
        <v>Umbra</v>
      </c>
    </row>
    <row r="11190">
      <c r="A11190" t="str">
        <f>IFERROR(__xludf.DUMMYFUNCTION("""COMPUTED_VALUE"""),"31096/C")</f>
        <v>31096/C</v>
      </c>
      <c r="B11190" s="226" t="str">
        <f>IFERROR(__xludf.DUMMYFUNCTION("""COMPUTED_VALUE"""),"8058772224805")</f>
        <v>8058772224805</v>
      </c>
      <c r="C11190" t="str">
        <f>IFERROR(__xludf.DUMMYFUNCTION("""COMPUTED_VALUE"""),"Umbra")</f>
        <v>Umbra</v>
      </c>
    </row>
    <row r="11191">
      <c r="A11191" t="str">
        <f>IFERROR(__xludf.DUMMYFUNCTION("""COMPUTED_VALUE"""),"31096/F")</f>
        <v>31096/F</v>
      </c>
      <c r="B11191" s="226" t="str">
        <f>IFERROR(__xludf.DUMMYFUNCTION("""COMPUTED_VALUE"""),"8058772224799")</f>
        <v>8058772224799</v>
      </c>
      <c r="C11191" t="str">
        <f>IFERROR(__xludf.DUMMYFUNCTION("""COMPUTED_VALUE"""),"Umbra")</f>
        <v>Umbra</v>
      </c>
    </row>
    <row r="11192">
      <c r="A11192" t="str">
        <f>IFERROR(__xludf.DUMMYFUNCTION("""COMPUTED_VALUE"""),"26019")</f>
        <v>26019</v>
      </c>
      <c r="B11192" s="226" t="str">
        <f>IFERROR(__xludf.DUMMYFUNCTION("""COMPUTED_VALUE"""),"8054521992162")</f>
        <v>8054521992162</v>
      </c>
      <c r="C11192" t="str">
        <f>IFERROR(__xludf.DUMMYFUNCTION("""COMPUTED_VALUE"""),"Umbra")</f>
        <v>Umbra</v>
      </c>
    </row>
    <row r="11193">
      <c r="A11193" t="str">
        <f>IFERROR(__xludf.DUMMYFUNCTION("""COMPUTED_VALUE"""),"26022/PC")</f>
        <v>26022/PC</v>
      </c>
      <c r="B11193" s="226" t="str">
        <f>IFERROR(__xludf.DUMMYFUNCTION("""COMPUTED_VALUE"""),"8054521992216")</f>
        <v>8054521992216</v>
      </c>
      <c r="C11193" t="str">
        <f>IFERROR(__xludf.DUMMYFUNCTION("""COMPUTED_VALUE"""),"Umbra")</f>
        <v>Umbra</v>
      </c>
    </row>
    <row r="11194">
      <c r="A11194" t="str">
        <f>IFERROR(__xludf.DUMMYFUNCTION("""COMPUTED_VALUE"""),"26022/TC")</f>
        <v>26022/TC</v>
      </c>
      <c r="B11194" s="226" t="str">
        <f>IFERROR(__xludf.DUMMYFUNCTION("""COMPUTED_VALUE"""),"8054521992247")</f>
        <v>8054521992247</v>
      </c>
      <c r="C11194" t="str">
        <f>IFERROR(__xludf.DUMMYFUNCTION("""COMPUTED_VALUE"""),"Umbra")</f>
        <v>Umbra</v>
      </c>
    </row>
    <row r="11195">
      <c r="A11195" t="str">
        <f>IFERROR(__xludf.DUMMYFUNCTION("""COMPUTED_VALUE"""),"26022/TF")</f>
        <v>26022/TF</v>
      </c>
      <c r="B11195" s="226" t="str">
        <f>IFERROR(__xludf.DUMMYFUNCTION("""COMPUTED_VALUE"""),"8058772223969")</f>
        <v>8058772223969</v>
      </c>
      <c r="C11195" t="str">
        <f>IFERROR(__xludf.DUMMYFUNCTION("""COMPUTED_VALUE"""),"Umbra")</f>
        <v>Umbra</v>
      </c>
    </row>
    <row r="11196">
      <c r="A11196" t="str">
        <f>IFERROR(__xludf.DUMMYFUNCTION("""COMPUTED_VALUE"""),"26022/PF")</f>
        <v>26022/PF</v>
      </c>
      <c r="B11196" s="226" t="str">
        <f>IFERROR(__xludf.DUMMYFUNCTION("""COMPUTED_VALUE"""),"8058772223969")</f>
        <v>8058772223969</v>
      </c>
      <c r="C11196" t="str">
        <f>IFERROR(__xludf.DUMMYFUNCTION("""COMPUTED_VALUE"""),"Umbra")</f>
        <v>Umbra</v>
      </c>
    </row>
    <row r="11197">
      <c r="A11197" t="str">
        <f>IFERROR(__xludf.DUMMYFUNCTION("""COMPUTED_VALUE"""),"26022/TG")</f>
        <v>26022/TG</v>
      </c>
      <c r="C11197" t="str">
        <f>IFERROR(__xludf.DUMMYFUNCTION("""COMPUTED_VALUE"""),"Umbra")</f>
        <v>Umbra</v>
      </c>
    </row>
    <row r="11198">
      <c r="A11198" t="str">
        <f>IFERROR(__xludf.DUMMYFUNCTION("""COMPUTED_VALUE"""),"26022/PG")</f>
        <v>26022/PG</v>
      </c>
      <c r="B11198" s="226" t="str">
        <f>IFERROR(__xludf.DUMMYFUNCTION("""COMPUTED_VALUE"""),"8054521992223")</f>
        <v>8054521992223</v>
      </c>
      <c r="C11198" t="str">
        <f>IFERROR(__xludf.DUMMYFUNCTION("""COMPUTED_VALUE"""),"Umbra")</f>
        <v>Umbra</v>
      </c>
    </row>
    <row r="11199">
      <c r="A11199" t="str">
        <f>IFERROR(__xludf.DUMMYFUNCTION("""COMPUTED_VALUE"""),"26022/TSF")</f>
        <v>26022/TSF</v>
      </c>
      <c r="B11199" s="226" t="str">
        <f>IFERROR(__xludf.DUMMYFUNCTION("""COMPUTED_VALUE"""),"8054521992254")</f>
        <v>8054521992254</v>
      </c>
      <c r="C11199" t="str">
        <f>IFERROR(__xludf.DUMMYFUNCTION("""COMPUTED_VALUE"""),"Umbra")</f>
        <v>Umbra</v>
      </c>
    </row>
    <row r="11200">
      <c r="A11200" t="str">
        <f>IFERROR(__xludf.DUMMYFUNCTION("""COMPUTED_VALUE"""),"26022/PSF")</f>
        <v>26022/PSF</v>
      </c>
      <c r="B11200" s="226" t="str">
        <f>IFERROR(__xludf.DUMMYFUNCTION("""COMPUTED_VALUE"""),"8054521992230")</f>
        <v>8054521992230</v>
      </c>
      <c r="C11200" t="str">
        <f>IFERROR(__xludf.DUMMYFUNCTION("""COMPUTED_VALUE"""),"Umbra")</f>
        <v>Umbra</v>
      </c>
    </row>
    <row r="11201">
      <c r="A11201" t="str">
        <f>IFERROR(__xludf.DUMMYFUNCTION("""COMPUTED_VALUE"""),"26023/C")</f>
        <v>26023/C</v>
      </c>
      <c r="B11201" s="226" t="str">
        <f>IFERROR(__xludf.DUMMYFUNCTION("""COMPUTED_VALUE"""),"8054521992261")</f>
        <v>8054521992261</v>
      </c>
      <c r="C11201" t="str">
        <f>IFERROR(__xludf.DUMMYFUNCTION("""COMPUTED_VALUE"""),"Umbra")</f>
        <v>Umbra</v>
      </c>
    </row>
    <row r="11202">
      <c r="A11202" t="str">
        <f>IFERROR(__xludf.DUMMYFUNCTION("""COMPUTED_VALUE"""),"26023/F")</f>
        <v>26023/F</v>
      </c>
      <c r="B11202" s="226" t="str">
        <f>IFERROR(__xludf.DUMMYFUNCTION("""COMPUTED_VALUE"""),"8058772223983")</f>
        <v>8058772223983</v>
      </c>
      <c r="C11202" t="str">
        <f>IFERROR(__xludf.DUMMYFUNCTION("""COMPUTED_VALUE"""),"Umbra")</f>
        <v>Umbra</v>
      </c>
    </row>
    <row r="11203">
      <c r="A11203" t="str">
        <f>IFERROR(__xludf.DUMMYFUNCTION("""COMPUTED_VALUE"""),"26023/VM")</f>
        <v>26023/VM</v>
      </c>
      <c r="B11203" s="226" t="str">
        <f>IFERROR(__xludf.DUMMYFUNCTION("""COMPUTED_VALUE"""),"8054521992278")</f>
        <v>8054521992278</v>
      </c>
      <c r="C11203" t="str">
        <f>IFERROR(__xludf.DUMMYFUNCTION("""COMPUTED_VALUE"""),"Umbra")</f>
        <v>Umbra</v>
      </c>
    </row>
    <row r="11204">
      <c r="A11204" t="str">
        <f>IFERROR(__xludf.DUMMYFUNCTION("""COMPUTED_VALUE"""),"26018")</f>
        <v>26018</v>
      </c>
      <c r="B11204" s="226" t="str">
        <f>IFERROR(__xludf.DUMMYFUNCTION("""COMPUTED_VALUE"""),"8054521992155")</f>
        <v>8054521992155</v>
      </c>
      <c r="C11204" t="str">
        <f>IFERROR(__xludf.DUMMYFUNCTION("""COMPUTED_VALUE"""),"Umbra")</f>
        <v>Umbra</v>
      </c>
    </row>
    <row r="11205">
      <c r="A11205" t="str">
        <f>IFERROR(__xludf.DUMMYFUNCTION("""COMPUTED_VALUE"""),"26027")</f>
        <v>26027</v>
      </c>
      <c r="B11205" s="226" t="str">
        <f>IFERROR(__xludf.DUMMYFUNCTION("""COMPUTED_VALUE"""),"8054521992308")</f>
        <v>8054521992308</v>
      </c>
      <c r="C11205" t="str">
        <f>IFERROR(__xludf.DUMMYFUNCTION("""COMPUTED_VALUE"""),"Umbra")</f>
        <v>Umbra</v>
      </c>
    </row>
    <row r="11206">
      <c r="A11206" t="str">
        <f>IFERROR(__xludf.DUMMYFUNCTION("""COMPUTED_VALUE"""),"31095/G")</f>
        <v>31095/G</v>
      </c>
      <c r="B11206" s="226" t="str">
        <f>IFERROR(__xludf.DUMMYFUNCTION("""COMPUTED_VALUE"""),"8054521993817")</f>
        <v>8054521993817</v>
      </c>
      <c r="C11206" t="str">
        <f>IFERROR(__xludf.DUMMYFUNCTION("""COMPUTED_VALUE"""),"Umbra")</f>
        <v>Umbra</v>
      </c>
    </row>
    <row r="11207">
      <c r="A11207" t="str">
        <f>IFERROR(__xludf.DUMMYFUNCTION("""COMPUTED_VALUE"""),"31095/SF")</f>
        <v>31095/SF</v>
      </c>
      <c r="B11207" s="226" t="str">
        <f>IFERROR(__xludf.DUMMYFUNCTION("""COMPUTED_VALUE"""),"8054521993824")</f>
        <v>8054521993824</v>
      </c>
      <c r="C11207" t="str">
        <f>IFERROR(__xludf.DUMMYFUNCTION("""COMPUTED_VALUE"""),"Umbra")</f>
        <v>Umbra</v>
      </c>
    </row>
    <row r="11208">
      <c r="A11208" t="str">
        <f>IFERROR(__xludf.DUMMYFUNCTION("""COMPUTED_VALUE"""),"31104/G")</f>
        <v>31104/G</v>
      </c>
      <c r="B11208" s="226" t="str">
        <f>IFERROR(__xludf.DUMMYFUNCTION("""COMPUTED_VALUE"""),"8054521995668")</f>
        <v>8054521995668</v>
      </c>
      <c r="C11208" t="str">
        <f>IFERROR(__xludf.DUMMYFUNCTION("""COMPUTED_VALUE"""),"Umbra")</f>
        <v>Umbra</v>
      </c>
    </row>
    <row r="11209">
      <c r="A11209" t="str">
        <f>IFERROR(__xludf.DUMMYFUNCTION("""COMPUTED_VALUE"""),"31104/SF")</f>
        <v>31104/SF</v>
      </c>
      <c r="B11209" s="226" t="str">
        <f>IFERROR(__xludf.DUMMYFUNCTION("""COMPUTED_VALUE"""),"8054521995651")</f>
        <v>8054521995651</v>
      </c>
      <c r="C11209" t="str">
        <f>IFERROR(__xludf.DUMMYFUNCTION("""COMPUTED_VALUE"""),"Umbra")</f>
        <v>Umbra</v>
      </c>
    </row>
    <row r="11210">
      <c r="A11210" t="str">
        <f>IFERROR(__xludf.DUMMYFUNCTION("""COMPUTED_VALUE"""),"26021/C")</f>
        <v>26021/C</v>
      </c>
      <c r="B11210" s="226" t="str">
        <f>IFERROR(__xludf.DUMMYFUNCTION("""COMPUTED_VALUE"""),"8054521992186")</f>
        <v>8054521992186</v>
      </c>
      <c r="C11210" t="str">
        <f>IFERROR(__xludf.DUMMYFUNCTION("""COMPUTED_VALUE"""),"Umbra")</f>
        <v>Umbra</v>
      </c>
    </row>
    <row r="11211">
      <c r="A11211" t="str">
        <f>IFERROR(__xludf.DUMMYFUNCTION("""COMPUTED_VALUE"""),"26021/G")</f>
        <v>26021/G</v>
      </c>
      <c r="B11211" s="226" t="str">
        <f>IFERROR(__xludf.DUMMYFUNCTION("""COMPUTED_VALUE"""),"8054521992193")</f>
        <v>8054521992193</v>
      </c>
      <c r="C11211" t="str">
        <f>IFERROR(__xludf.DUMMYFUNCTION("""COMPUTED_VALUE"""),"Umbra")</f>
        <v>Umbra</v>
      </c>
    </row>
    <row r="11212">
      <c r="A11212" t="str">
        <f>IFERROR(__xludf.DUMMYFUNCTION("""COMPUTED_VALUE"""),"26021/SF")</f>
        <v>26021/SF</v>
      </c>
      <c r="B11212" s="226" t="str">
        <f>IFERROR(__xludf.DUMMYFUNCTION("""COMPUTED_VALUE"""),"8054521992209")</f>
        <v>8054521992209</v>
      </c>
      <c r="C11212" t="str">
        <f>IFERROR(__xludf.DUMMYFUNCTION("""COMPUTED_VALUE"""),"Umbra")</f>
        <v>Umbra</v>
      </c>
    </row>
    <row r="11213">
      <c r="A11213" t="str">
        <f>IFERROR(__xludf.DUMMYFUNCTION("""COMPUTED_VALUE"""),"26012")</f>
        <v>26012</v>
      </c>
      <c r="B11213" s="226" t="str">
        <f>IFERROR(__xludf.DUMMYFUNCTION("""COMPUTED_VALUE"""),"8054521992100")</f>
        <v>8054521992100</v>
      </c>
      <c r="C11213" t="str">
        <f>IFERROR(__xludf.DUMMYFUNCTION("""COMPUTED_VALUE"""),"Umbra")</f>
        <v>Umbra</v>
      </c>
    </row>
    <row r="11214">
      <c r="A11214" t="str">
        <f>IFERROR(__xludf.DUMMYFUNCTION("""COMPUTED_VALUE"""),"31075")</f>
        <v>31075</v>
      </c>
      <c r="B11214" s="226" t="str">
        <f>IFERROR(__xludf.DUMMYFUNCTION("""COMPUTED_VALUE"""),"8054521993541")</f>
        <v>8054521993541</v>
      </c>
      <c r="C11214" t="str">
        <f>IFERROR(__xludf.DUMMYFUNCTION("""COMPUTED_VALUE"""),"Umbra")</f>
        <v>Umbra</v>
      </c>
    </row>
    <row r="11215">
      <c r="A11215" t="str">
        <f>IFERROR(__xludf.DUMMYFUNCTION("""COMPUTED_VALUE"""),"31099/SF")</f>
        <v>31099/SF</v>
      </c>
      <c r="B11215" s="226" t="str">
        <f>IFERROR(__xludf.DUMMYFUNCTION("""COMPUTED_VALUE"""),"8058772224867")</f>
        <v>8058772224867</v>
      </c>
      <c r="C11215" t="str">
        <f>IFERROR(__xludf.DUMMYFUNCTION("""COMPUTED_VALUE"""),"Umbra")</f>
        <v>Umbra</v>
      </c>
    </row>
    <row r="11216">
      <c r="A11216" t="str">
        <f>IFERROR(__xludf.DUMMYFUNCTION("""COMPUTED_VALUE"""),"26020")</f>
        <v>26020</v>
      </c>
      <c r="B11216" s="226" t="str">
        <f>IFERROR(__xludf.DUMMYFUNCTION("""COMPUTED_VALUE"""),"8054521992179")</f>
        <v>8054521992179</v>
      </c>
      <c r="C11216" t="str">
        <f>IFERROR(__xludf.DUMMYFUNCTION("""COMPUTED_VALUE"""),"Umbra")</f>
        <v>Umbra</v>
      </c>
    </row>
    <row r="11217">
      <c r="A11217" t="str">
        <f>IFERROR(__xludf.DUMMYFUNCTION("""COMPUTED_VALUE"""),"26011")</f>
        <v>26011</v>
      </c>
      <c r="B11217" s="226" t="str">
        <f>IFERROR(__xludf.DUMMYFUNCTION("""COMPUTED_VALUE"""),"8054521992094")</f>
        <v>8054521992094</v>
      </c>
      <c r="C11217" t="str">
        <f>IFERROR(__xludf.DUMMYFUNCTION("""COMPUTED_VALUE"""),"Umbra")</f>
        <v>Umbra</v>
      </c>
    </row>
    <row r="11218">
      <c r="A11218" t="str">
        <f>IFERROR(__xludf.DUMMYFUNCTION("""COMPUTED_VALUE"""),"26029/C")</f>
        <v>26029/C</v>
      </c>
      <c r="B11218" s="226" t="str">
        <f>IFERROR(__xludf.DUMMYFUNCTION("""COMPUTED_VALUE"""),"8058772224034")</f>
        <v>8058772224034</v>
      </c>
      <c r="C11218" t="str">
        <f>IFERROR(__xludf.DUMMYFUNCTION("""COMPUTED_VALUE"""),"Umbra")</f>
        <v>Umbra</v>
      </c>
    </row>
    <row r="11219">
      <c r="A11219" t="str">
        <f>IFERROR(__xludf.DUMMYFUNCTION("""COMPUTED_VALUE"""),"26029/F")</f>
        <v>26029/F</v>
      </c>
      <c r="B11219" s="226" t="str">
        <f>IFERROR(__xludf.DUMMYFUNCTION("""COMPUTED_VALUE"""),"8058772224027")</f>
        <v>8058772224027</v>
      </c>
      <c r="C11219" t="str">
        <f>IFERROR(__xludf.DUMMYFUNCTION("""COMPUTED_VALUE"""),"Umbra")</f>
        <v>Umbra</v>
      </c>
    </row>
    <row r="11220">
      <c r="A11220" t="str">
        <f>IFERROR(__xludf.DUMMYFUNCTION("""COMPUTED_VALUE"""),"26029/VM")</f>
        <v>26029/VM</v>
      </c>
      <c r="B11220" s="226" t="str">
        <f>IFERROR(__xludf.DUMMYFUNCTION("""COMPUTED_VALUE"""),"8058772224041")</f>
        <v>8058772224041</v>
      </c>
      <c r="C11220" t="str">
        <f>IFERROR(__xludf.DUMMYFUNCTION("""COMPUTED_VALUE"""),"Umbra")</f>
        <v>Umbra</v>
      </c>
    </row>
    <row r="11221">
      <c r="A11221" t="str">
        <f>IFERROR(__xludf.DUMMYFUNCTION("""COMPUTED_VALUE"""),"26029/C")</f>
        <v>26029/C</v>
      </c>
      <c r="B11221" s="226" t="str">
        <f>IFERROR(__xludf.DUMMYFUNCTION("""COMPUTED_VALUE"""),"8058772224034")</f>
        <v>8058772224034</v>
      </c>
      <c r="C11221" t="str">
        <f>IFERROR(__xludf.DUMMYFUNCTION("""COMPUTED_VALUE"""),"Umbra")</f>
        <v>Umbra</v>
      </c>
    </row>
    <row r="11222">
      <c r="A11222" t="str">
        <f>IFERROR(__xludf.DUMMYFUNCTION("""COMPUTED_VALUE"""),"26029/F")</f>
        <v>26029/F</v>
      </c>
      <c r="B11222" s="226" t="str">
        <f>IFERROR(__xludf.DUMMYFUNCTION("""COMPUTED_VALUE"""),"8058772224027")</f>
        <v>8058772224027</v>
      </c>
      <c r="C11222" t="str">
        <f>IFERROR(__xludf.DUMMYFUNCTION("""COMPUTED_VALUE"""),"Umbra")</f>
        <v>Umbra</v>
      </c>
    </row>
    <row r="11223">
      <c r="A11223" t="str">
        <f>IFERROR(__xludf.DUMMYFUNCTION("""COMPUTED_VALUE"""),"26029/VM")</f>
        <v>26029/VM</v>
      </c>
      <c r="B11223" s="226" t="str">
        <f>IFERROR(__xludf.DUMMYFUNCTION("""COMPUTED_VALUE"""),"8058772224041")</f>
        <v>8058772224041</v>
      </c>
      <c r="C11223" t="str">
        <f>IFERROR(__xludf.DUMMYFUNCTION("""COMPUTED_VALUE"""),"Umbra")</f>
        <v>Umbra</v>
      </c>
    </row>
    <row r="11224">
      <c r="A11224" t="str">
        <f>IFERROR(__xludf.DUMMYFUNCTION("""COMPUTED_VALUE"""),"26010")</f>
        <v>26010</v>
      </c>
      <c r="B11224" s="226" t="str">
        <f>IFERROR(__xludf.DUMMYFUNCTION("""COMPUTED_VALUE"""),"8054521992070")</f>
        <v>8054521992070</v>
      </c>
      <c r="C11224" t="str">
        <f>IFERROR(__xludf.DUMMYFUNCTION("""COMPUTED_VALUE"""),"Umbra")</f>
        <v>Umbra</v>
      </c>
    </row>
    <row r="11225">
      <c r="A11225" t="str">
        <f>IFERROR(__xludf.DUMMYFUNCTION("""COMPUTED_VALUE"""),"26010/1")</f>
        <v>26010/1</v>
      </c>
      <c r="B11225" s="226" t="str">
        <f>IFERROR(__xludf.DUMMYFUNCTION("""COMPUTED_VALUE"""),"8054521992087")</f>
        <v>8054521992087</v>
      </c>
      <c r="C11225" t="str">
        <f>IFERROR(__xludf.DUMMYFUNCTION("""COMPUTED_VALUE"""),"Umbra")</f>
        <v>Umbra</v>
      </c>
    </row>
    <row r="11226">
      <c r="A11226" t="str">
        <f>IFERROR(__xludf.DUMMYFUNCTION("""COMPUTED_VALUE"""),"26017")</f>
        <v>26017</v>
      </c>
      <c r="B11226" s="226" t="str">
        <f>IFERROR(__xludf.DUMMYFUNCTION("""COMPUTED_VALUE"""),"8054521992148")</f>
        <v>8054521992148</v>
      </c>
      <c r="C11226" t="str">
        <f>IFERROR(__xludf.DUMMYFUNCTION("""COMPUTED_VALUE"""),"Umbra")</f>
        <v>Umbra</v>
      </c>
    </row>
    <row r="11227">
      <c r="A11227" t="str">
        <f>IFERROR(__xludf.DUMMYFUNCTION("""COMPUTED_VALUE"""),"26025/C")</f>
        <v>26025/C</v>
      </c>
      <c r="B11227" s="226" t="str">
        <f>IFERROR(__xludf.DUMMYFUNCTION("""COMPUTED_VALUE"""),"8054521992285")</f>
        <v>8054521992285</v>
      </c>
      <c r="C11227" t="str">
        <f>IFERROR(__xludf.DUMMYFUNCTION("""COMPUTED_VALUE"""),"Umbra")</f>
        <v>Umbra</v>
      </c>
    </row>
    <row r="11228">
      <c r="A11228" t="str">
        <f>IFERROR(__xludf.DUMMYFUNCTION("""COMPUTED_VALUE"""),"26025/F")</f>
        <v>26025/F</v>
      </c>
      <c r="B11228" s="226" t="str">
        <f>IFERROR(__xludf.DUMMYFUNCTION("""COMPUTED_VALUE"""),"8058772223990")</f>
        <v>8058772223990</v>
      </c>
      <c r="C11228" t="str">
        <f>IFERROR(__xludf.DUMMYFUNCTION("""COMPUTED_VALUE"""),"Umbra")</f>
        <v>Umbra</v>
      </c>
    </row>
    <row r="11229">
      <c r="A11229" t="str">
        <f>IFERROR(__xludf.DUMMYFUNCTION("""COMPUTED_VALUE"""),"26030/C")</f>
        <v>26030/C</v>
      </c>
      <c r="B11229" s="226" t="str">
        <f>IFERROR(__xludf.DUMMYFUNCTION("""COMPUTED_VALUE"""),"8058772224065")</f>
        <v>8058772224065</v>
      </c>
      <c r="C11229" t="str">
        <f>IFERROR(__xludf.DUMMYFUNCTION("""COMPUTED_VALUE"""),"Umbra")</f>
        <v>Umbra</v>
      </c>
    </row>
    <row r="11230">
      <c r="A11230" t="str">
        <f>IFERROR(__xludf.DUMMYFUNCTION("""COMPUTED_VALUE"""),"26030/F")</f>
        <v>26030/F</v>
      </c>
      <c r="B11230" s="226" t="str">
        <f>IFERROR(__xludf.DUMMYFUNCTION("""COMPUTED_VALUE"""),"8058772224058")</f>
        <v>8058772224058</v>
      </c>
      <c r="C11230" t="str">
        <f>IFERROR(__xludf.DUMMYFUNCTION("""COMPUTED_VALUE"""),"Umbra")</f>
        <v>Umbra</v>
      </c>
    </row>
    <row r="11231">
      <c r="A11231" t="str">
        <f>IFERROR(__xludf.DUMMYFUNCTION("""COMPUTED_VALUE"""),"26030/VM")</f>
        <v>26030/VM</v>
      </c>
      <c r="B11231" s="226" t="str">
        <f>IFERROR(__xludf.DUMMYFUNCTION("""COMPUTED_VALUE"""),"8058772224072")</f>
        <v>8058772224072</v>
      </c>
      <c r="C11231" t="str">
        <f>IFERROR(__xludf.DUMMYFUNCTION("""COMPUTED_VALUE"""),"Umbra")</f>
        <v>Umbra</v>
      </c>
    </row>
    <row r="11232">
      <c r="A11232" t="str">
        <f>IFERROR(__xludf.DUMMYFUNCTION("""COMPUTED_VALUE"""),"37012")</f>
        <v>37012</v>
      </c>
      <c r="B11232" s="226" t="str">
        <f>IFERROR(__xludf.DUMMYFUNCTION("""COMPUTED_VALUE"""),"8054521994449")</f>
        <v>8054521994449</v>
      </c>
      <c r="C11232" t="str">
        <f>IFERROR(__xludf.DUMMYFUNCTION("""COMPUTED_VALUE"""),"Umbra")</f>
        <v>Umbra</v>
      </c>
    </row>
    <row r="11233">
      <c r="A11233" t="str">
        <f>IFERROR(__xludf.DUMMYFUNCTION("""COMPUTED_VALUE"""),"37016")</f>
        <v>37016</v>
      </c>
      <c r="B11233" s="226" t="str">
        <f>IFERROR(__xludf.DUMMYFUNCTION("""COMPUTED_VALUE"""),"8054521992834")</f>
        <v>8054521992834</v>
      </c>
      <c r="C11233" t="str">
        <f>IFERROR(__xludf.DUMMYFUNCTION("""COMPUTED_VALUE"""),"Umbra")</f>
        <v>Umbra</v>
      </c>
    </row>
    <row r="11234">
      <c r="A11234" t="str">
        <f>IFERROR(__xludf.DUMMYFUNCTION("""COMPUTED_VALUE"""),"28056/C")</f>
        <v>28056/C</v>
      </c>
      <c r="B11234" s="226" t="str">
        <f>IFERROR(__xludf.DUMMYFUNCTION("""COMPUTED_VALUE"""),"8054521992667")</f>
        <v>8054521992667</v>
      </c>
      <c r="C11234" t="str">
        <f>IFERROR(__xludf.DUMMYFUNCTION("""COMPUTED_VALUE"""),"Umbra")</f>
        <v>Umbra</v>
      </c>
    </row>
    <row r="11235">
      <c r="A11235" t="str">
        <f>IFERROR(__xludf.DUMMYFUNCTION("""COMPUTED_VALUE"""),"28056/F")</f>
        <v>28056/F</v>
      </c>
      <c r="B11235" s="226" t="str">
        <f>IFERROR(__xludf.DUMMYFUNCTION("""COMPUTED_VALUE"""),"8058772224201")</f>
        <v>8058772224201</v>
      </c>
      <c r="C11235" t="str">
        <f>IFERROR(__xludf.DUMMYFUNCTION("""COMPUTED_VALUE"""),"Umbra")</f>
        <v>Umbra</v>
      </c>
    </row>
    <row r="11236">
      <c r="A11236" t="str">
        <f>IFERROR(__xludf.DUMMYFUNCTION("""COMPUTED_VALUE"""),"28056/G")</f>
        <v>28056/G</v>
      </c>
      <c r="B11236" s="226" t="str">
        <f>IFERROR(__xludf.DUMMYFUNCTION("""COMPUTED_VALUE"""),"8054521992674")</f>
        <v>8054521992674</v>
      </c>
      <c r="C11236" t="str">
        <f>IFERROR(__xludf.DUMMYFUNCTION("""COMPUTED_VALUE"""),"Umbra")</f>
        <v>Umbra</v>
      </c>
    </row>
    <row r="11237">
      <c r="A11237" t="str">
        <f>IFERROR(__xludf.DUMMYFUNCTION("""COMPUTED_VALUE"""),"28056/SF")</f>
        <v>28056/SF</v>
      </c>
      <c r="B11237" s="226" t="str">
        <f>IFERROR(__xludf.DUMMYFUNCTION("""COMPUTED_VALUE"""),"8054521992681")</f>
        <v>8054521992681</v>
      </c>
      <c r="C11237" t="str">
        <f>IFERROR(__xludf.DUMMYFUNCTION("""COMPUTED_VALUE"""),"Umbra")</f>
        <v>Umbra</v>
      </c>
    </row>
    <row r="11238">
      <c r="A11238" t="str">
        <f>IFERROR(__xludf.DUMMYFUNCTION("""COMPUTED_VALUE"""),"28056/VM")</f>
        <v>28056/VM</v>
      </c>
      <c r="B11238" s="226" t="str">
        <f>IFERROR(__xludf.DUMMYFUNCTION("""COMPUTED_VALUE"""),"8054521992698")</f>
        <v>8054521992698</v>
      </c>
      <c r="C11238" t="str">
        <f>IFERROR(__xludf.DUMMYFUNCTION("""COMPUTED_VALUE"""),"Umbra")</f>
        <v>Umbra</v>
      </c>
    </row>
    <row r="11239">
      <c r="A11239" t="str">
        <f>IFERROR(__xludf.DUMMYFUNCTION("""COMPUTED_VALUE"""),"28057/C")</f>
        <v>28057/C</v>
      </c>
      <c r="B11239" s="226" t="str">
        <f>IFERROR(__xludf.DUMMYFUNCTION("""COMPUTED_VALUE"""),"8054521992704")</f>
        <v>8054521992704</v>
      </c>
      <c r="C11239" t="str">
        <f>IFERROR(__xludf.DUMMYFUNCTION("""COMPUTED_VALUE"""),"Umbra")</f>
        <v>Umbra</v>
      </c>
    </row>
    <row r="11240">
      <c r="A11240" t="str">
        <f>IFERROR(__xludf.DUMMYFUNCTION("""COMPUTED_VALUE"""),"28057/F")</f>
        <v>28057/F</v>
      </c>
      <c r="B11240" s="226" t="str">
        <f>IFERROR(__xludf.DUMMYFUNCTION("""COMPUTED_VALUE"""),"8058772224218")</f>
        <v>8058772224218</v>
      </c>
      <c r="C11240" t="str">
        <f>IFERROR(__xludf.DUMMYFUNCTION("""COMPUTED_VALUE"""),"Umbra")</f>
        <v>Umbra</v>
      </c>
    </row>
    <row r="11241">
      <c r="A11241" t="str">
        <f>IFERROR(__xludf.DUMMYFUNCTION("""COMPUTED_VALUE"""),"28057/VM")</f>
        <v>28057/VM</v>
      </c>
      <c r="B11241" s="226" t="str">
        <f>IFERROR(__xludf.DUMMYFUNCTION("""COMPUTED_VALUE"""),"8054521992711")</f>
        <v>8054521992711</v>
      </c>
      <c r="C11241" t="str">
        <f>IFERROR(__xludf.DUMMYFUNCTION("""COMPUTED_VALUE"""),"Umbra")</f>
        <v>Umbra</v>
      </c>
    </row>
    <row r="11242">
      <c r="A11242" t="str">
        <f>IFERROR(__xludf.DUMMYFUNCTION("""COMPUTED_VALUE"""),"28054/C")</f>
        <v>28054/C</v>
      </c>
      <c r="B11242" s="226" t="str">
        <f>IFERROR(__xludf.DUMMYFUNCTION("""COMPUTED_VALUE"""),"8054521992629")</f>
        <v>8054521992629</v>
      </c>
      <c r="C11242" t="str">
        <f>IFERROR(__xludf.DUMMYFUNCTION("""COMPUTED_VALUE"""),"Umbra")</f>
        <v>Umbra</v>
      </c>
    </row>
    <row r="11243">
      <c r="A11243" t="str">
        <f>IFERROR(__xludf.DUMMYFUNCTION("""COMPUTED_VALUE"""),"28054/F")</f>
        <v>28054/F</v>
      </c>
      <c r="B11243" s="226" t="str">
        <f>IFERROR(__xludf.DUMMYFUNCTION("""COMPUTED_VALUE"""),"8058772224188")</f>
        <v>8058772224188</v>
      </c>
      <c r="C11243" t="str">
        <f>IFERROR(__xludf.DUMMYFUNCTION("""COMPUTED_VALUE"""),"Umbra")</f>
        <v>Umbra</v>
      </c>
    </row>
    <row r="11244">
      <c r="A11244" t="str">
        <f>IFERROR(__xludf.DUMMYFUNCTION("""COMPUTED_VALUE"""),"28054/VM")</f>
        <v>28054/VM</v>
      </c>
      <c r="B11244" s="226" t="str">
        <f>IFERROR(__xludf.DUMMYFUNCTION("""COMPUTED_VALUE"""),"8054521992636")</f>
        <v>8054521992636</v>
      </c>
      <c r="C11244" t="str">
        <f>IFERROR(__xludf.DUMMYFUNCTION("""COMPUTED_VALUE"""),"Umbra")</f>
        <v>Umbra</v>
      </c>
    </row>
    <row r="11245">
      <c r="A11245" t="str">
        <f>IFERROR(__xludf.DUMMYFUNCTION("""COMPUTED_VALUE"""),"28044")</f>
        <v>28044</v>
      </c>
      <c r="B11245" s="226" t="str">
        <f>IFERROR(__xludf.DUMMYFUNCTION("""COMPUTED_VALUE"""),"8054521992506")</f>
        <v>8054521992506</v>
      </c>
      <c r="C11245" t="str">
        <f>IFERROR(__xludf.DUMMYFUNCTION("""COMPUTED_VALUE"""),"Umbra")</f>
        <v>Umbra</v>
      </c>
    </row>
    <row r="11246">
      <c r="A11246" t="str">
        <f>IFERROR(__xludf.DUMMYFUNCTION("""COMPUTED_VALUE"""),"28043")</f>
        <v>28043</v>
      </c>
      <c r="B11246" s="226" t="str">
        <f>IFERROR(__xludf.DUMMYFUNCTION("""COMPUTED_VALUE"""),"8054521992490")</f>
        <v>8054521992490</v>
      </c>
      <c r="C11246" t="str">
        <f>IFERROR(__xludf.DUMMYFUNCTION("""COMPUTED_VALUE"""),"Umbra")</f>
        <v>Umbra</v>
      </c>
    </row>
    <row r="11247">
      <c r="A11247" t="str">
        <f>IFERROR(__xludf.DUMMYFUNCTION("""COMPUTED_VALUE"""),"28043/F")</f>
        <v>28043/F</v>
      </c>
      <c r="B11247" s="226" t="str">
        <f>IFERROR(__xludf.DUMMYFUNCTION("""COMPUTED_VALUE"""),"8058772224096")</f>
        <v>8058772224096</v>
      </c>
      <c r="C11247" t="str">
        <f>IFERROR(__xludf.DUMMYFUNCTION("""COMPUTED_VALUE"""),"Umbra")</f>
        <v>Umbra</v>
      </c>
    </row>
    <row r="11248">
      <c r="A11248" t="str">
        <f>IFERROR(__xludf.DUMMYFUNCTION("""COMPUTED_VALUE"""),"28044")</f>
        <v>28044</v>
      </c>
      <c r="B11248" s="226" t="str">
        <f>IFERROR(__xludf.DUMMYFUNCTION("""COMPUTED_VALUE"""),"8054521992506")</f>
        <v>8054521992506</v>
      </c>
      <c r="C11248" t="str">
        <f>IFERROR(__xludf.DUMMYFUNCTION("""COMPUTED_VALUE"""),"Umbra")</f>
        <v>Umbra</v>
      </c>
    </row>
    <row r="11249">
      <c r="A11249" t="str">
        <f>IFERROR(__xludf.DUMMYFUNCTION("""COMPUTED_VALUE"""),"28053/C")</f>
        <v>28053/C</v>
      </c>
      <c r="B11249" s="226" t="str">
        <f>IFERROR(__xludf.DUMMYFUNCTION("""COMPUTED_VALUE"""),"8054521992605")</f>
        <v>8054521992605</v>
      </c>
      <c r="C11249" t="str">
        <f>IFERROR(__xludf.DUMMYFUNCTION("""COMPUTED_VALUE"""),"Umbra")</f>
        <v>Umbra</v>
      </c>
    </row>
    <row r="11250">
      <c r="A11250" t="str">
        <f>IFERROR(__xludf.DUMMYFUNCTION("""COMPUTED_VALUE"""),"28053/F")</f>
        <v>28053/F</v>
      </c>
      <c r="B11250" s="226" t="str">
        <f>IFERROR(__xludf.DUMMYFUNCTION("""COMPUTED_VALUE"""),"8058772224171")</f>
        <v>8058772224171</v>
      </c>
      <c r="C11250" t="str">
        <f>IFERROR(__xludf.DUMMYFUNCTION("""COMPUTED_VALUE"""),"Umbra")</f>
        <v>Umbra</v>
      </c>
    </row>
    <row r="11251">
      <c r="A11251" t="str">
        <f>IFERROR(__xludf.DUMMYFUNCTION("""COMPUTED_VALUE"""),"28053/VM")</f>
        <v>28053/VM</v>
      </c>
      <c r="B11251" s="226" t="str">
        <f>IFERROR(__xludf.DUMMYFUNCTION("""COMPUTED_VALUE"""),"8054521992612")</f>
        <v>8054521992612</v>
      </c>
      <c r="C11251" t="str">
        <f>IFERROR(__xludf.DUMMYFUNCTION("""COMPUTED_VALUE"""),"Umbra")</f>
        <v>Umbra</v>
      </c>
    </row>
    <row r="11252">
      <c r="A11252" t="str">
        <f>IFERROR(__xludf.DUMMYFUNCTION("""COMPUTED_VALUE"""),"28054/C")</f>
        <v>28054/C</v>
      </c>
      <c r="B11252" s="226" t="str">
        <f>IFERROR(__xludf.DUMMYFUNCTION("""COMPUTED_VALUE"""),"8054521992629")</f>
        <v>8054521992629</v>
      </c>
      <c r="C11252" t="str">
        <f>IFERROR(__xludf.DUMMYFUNCTION("""COMPUTED_VALUE"""),"Umbra")</f>
        <v>Umbra</v>
      </c>
    </row>
    <row r="11253">
      <c r="A11253" t="str">
        <f>IFERROR(__xludf.DUMMYFUNCTION("""COMPUTED_VALUE"""),"28054/F")</f>
        <v>28054/F</v>
      </c>
      <c r="B11253" s="226" t="str">
        <f>IFERROR(__xludf.DUMMYFUNCTION("""COMPUTED_VALUE"""),"8058772224188")</f>
        <v>8058772224188</v>
      </c>
      <c r="C11253" t="str">
        <f>IFERROR(__xludf.DUMMYFUNCTION("""COMPUTED_VALUE"""),"Umbra")</f>
        <v>Umbra</v>
      </c>
    </row>
    <row r="11254">
      <c r="A11254" t="str">
        <f>IFERROR(__xludf.DUMMYFUNCTION("""COMPUTED_VALUE"""),"28054/VM")</f>
        <v>28054/VM</v>
      </c>
      <c r="B11254" s="226" t="str">
        <f>IFERROR(__xludf.DUMMYFUNCTION("""COMPUTED_VALUE"""),"8054521992636")</f>
        <v>8054521992636</v>
      </c>
      <c r="C11254" t="str">
        <f>IFERROR(__xludf.DUMMYFUNCTION("""COMPUTED_VALUE"""),"Umbra")</f>
        <v>Umbra</v>
      </c>
    </row>
    <row r="11255">
      <c r="A11255" t="str">
        <f>IFERROR(__xludf.DUMMYFUNCTION("""COMPUTED_VALUE"""),"28053/C")</f>
        <v>28053/C</v>
      </c>
      <c r="B11255" s="226" t="str">
        <f>IFERROR(__xludf.DUMMYFUNCTION("""COMPUTED_VALUE"""),"8054521992605")</f>
        <v>8054521992605</v>
      </c>
      <c r="C11255" t="str">
        <f>IFERROR(__xludf.DUMMYFUNCTION("""COMPUTED_VALUE"""),"Umbra")</f>
        <v>Umbra</v>
      </c>
    </row>
    <row r="11256">
      <c r="A11256" t="str">
        <f>IFERROR(__xludf.DUMMYFUNCTION("""COMPUTED_VALUE"""),"28053/F")</f>
        <v>28053/F</v>
      </c>
      <c r="B11256" s="226" t="str">
        <f>IFERROR(__xludf.DUMMYFUNCTION("""COMPUTED_VALUE"""),"8058772224171")</f>
        <v>8058772224171</v>
      </c>
      <c r="C11256" t="str">
        <f>IFERROR(__xludf.DUMMYFUNCTION("""COMPUTED_VALUE"""),"Umbra")</f>
        <v>Umbra</v>
      </c>
    </row>
    <row r="11257">
      <c r="A11257" t="str">
        <f>IFERROR(__xludf.DUMMYFUNCTION("""COMPUTED_VALUE"""),"28053/VM")</f>
        <v>28053/VM</v>
      </c>
      <c r="B11257" s="226" t="str">
        <f>IFERROR(__xludf.DUMMYFUNCTION("""COMPUTED_VALUE"""),"8054521992612")</f>
        <v>8054521992612</v>
      </c>
      <c r="C11257" t="str">
        <f>IFERROR(__xludf.DUMMYFUNCTION("""COMPUTED_VALUE"""),"Umbra")</f>
        <v>Umbra</v>
      </c>
    </row>
    <row r="11258">
      <c r="A11258" t="str">
        <f>IFERROR(__xludf.DUMMYFUNCTION("""COMPUTED_VALUE"""),"28059/C")</f>
        <v>28059/C</v>
      </c>
      <c r="B11258" s="226" t="str">
        <f>IFERROR(__xludf.DUMMYFUNCTION("""COMPUTED_VALUE"""),"8054521992742")</f>
        <v>8054521992742</v>
      </c>
      <c r="C11258" t="str">
        <f>IFERROR(__xludf.DUMMYFUNCTION("""COMPUTED_VALUE"""),"Umbra")</f>
        <v>Umbra</v>
      </c>
    </row>
    <row r="11259">
      <c r="A11259" t="str">
        <f>IFERROR(__xludf.DUMMYFUNCTION("""COMPUTED_VALUE"""),"28059/F")</f>
        <v>28059/F</v>
      </c>
      <c r="B11259" s="226" t="str">
        <f>IFERROR(__xludf.DUMMYFUNCTION("""COMPUTED_VALUE"""),"8058772224232")</f>
        <v>8058772224232</v>
      </c>
      <c r="C11259" t="str">
        <f>IFERROR(__xludf.DUMMYFUNCTION("""COMPUTED_VALUE"""),"Umbra")</f>
        <v>Umbra</v>
      </c>
    </row>
    <row r="11260">
      <c r="A11260" t="str">
        <f>IFERROR(__xludf.DUMMYFUNCTION("""COMPUTED_VALUE"""),"28059/VM")</f>
        <v>28059/VM</v>
      </c>
      <c r="B11260" s="226" t="str">
        <f>IFERROR(__xludf.DUMMYFUNCTION("""COMPUTED_VALUE"""),"8054521992759")</f>
        <v>8054521992759</v>
      </c>
      <c r="C11260" t="str">
        <f>IFERROR(__xludf.DUMMYFUNCTION("""COMPUTED_VALUE"""),"Umbra")</f>
        <v>Umbra</v>
      </c>
    </row>
    <row r="11261">
      <c r="A11261" t="str">
        <f>IFERROR(__xludf.DUMMYFUNCTION("""COMPUTED_VALUE"""),"28062/C")</f>
        <v>28062/C</v>
      </c>
      <c r="B11261" s="226" t="str">
        <f>IFERROR(__xludf.DUMMYFUNCTION("""COMPUTED_VALUE"""),"8054521992803")</f>
        <v>8054521992803</v>
      </c>
      <c r="C11261" t="str">
        <f>IFERROR(__xludf.DUMMYFUNCTION("""COMPUTED_VALUE"""),"Umbra")</f>
        <v>Umbra</v>
      </c>
    </row>
    <row r="11262">
      <c r="A11262" t="str">
        <f>IFERROR(__xludf.DUMMYFUNCTION("""COMPUTED_VALUE"""),"28062/F")</f>
        <v>28062/F</v>
      </c>
      <c r="B11262" s="226" t="str">
        <f>IFERROR(__xludf.DUMMYFUNCTION("""COMPUTED_VALUE"""),"8058772224263")</f>
        <v>8058772224263</v>
      </c>
      <c r="C11262" t="str">
        <f>IFERROR(__xludf.DUMMYFUNCTION("""COMPUTED_VALUE"""),"Umbra")</f>
        <v>Umbra</v>
      </c>
    </row>
    <row r="11263">
      <c r="A11263" t="str">
        <f>IFERROR(__xludf.DUMMYFUNCTION("""COMPUTED_VALUE"""),"28062/VM")</f>
        <v>28062/VM</v>
      </c>
      <c r="B11263" s="226" t="str">
        <f>IFERROR(__xludf.DUMMYFUNCTION("""COMPUTED_VALUE"""),"8054521992810")</f>
        <v>8054521992810</v>
      </c>
      <c r="C11263" t="str">
        <f>IFERROR(__xludf.DUMMYFUNCTION("""COMPUTED_VALUE"""),"Umbra")</f>
        <v>Umbra</v>
      </c>
    </row>
    <row r="11264">
      <c r="A11264" t="str">
        <f>IFERROR(__xludf.DUMMYFUNCTION("""COMPUTED_VALUE"""),"28061/C")</f>
        <v>28061/C</v>
      </c>
      <c r="B11264" s="226" t="str">
        <f>IFERROR(__xludf.DUMMYFUNCTION("""COMPUTED_VALUE"""),"8054521992780")</f>
        <v>8054521992780</v>
      </c>
      <c r="C11264" t="str">
        <f>IFERROR(__xludf.DUMMYFUNCTION("""COMPUTED_VALUE"""),"Umbra")</f>
        <v>Umbra</v>
      </c>
    </row>
    <row r="11265">
      <c r="A11265" t="str">
        <f>IFERROR(__xludf.DUMMYFUNCTION("""COMPUTED_VALUE"""),"28061/F")</f>
        <v>28061/F</v>
      </c>
      <c r="B11265" s="226" t="str">
        <f>IFERROR(__xludf.DUMMYFUNCTION("""COMPUTED_VALUE"""),"8058772224256")</f>
        <v>8058772224256</v>
      </c>
      <c r="C11265" t="str">
        <f>IFERROR(__xludf.DUMMYFUNCTION("""COMPUTED_VALUE"""),"Umbra")</f>
        <v>Umbra</v>
      </c>
    </row>
    <row r="11266">
      <c r="A11266" t="str">
        <f>IFERROR(__xludf.DUMMYFUNCTION("""COMPUTED_VALUE"""),"28061/VM")</f>
        <v>28061/VM</v>
      </c>
      <c r="B11266" s="226" t="str">
        <f>IFERROR(__xludf.DUMMYFUNCTION("""COMPUTED_VALUE"""),"8054521992797")</f>
        <v>8054521992797</v>
      </c>
      <c r="C11266" t="str">
        <f>IFERROR(__xludf.DUMMYFUNCTION("""COMPUTED_VALUE"""),"Umbra")</f>
        <v>Umbra</v>
      </c>
    </row>
    <row r="11267">
      <c r="A11267" t="str">
        <f>IFERROR(__xludf.DUMMYFUNCTION("""COMPUTED_VALUE"""),"28065/C")</f>
        <v>28065/C</v>
      </c>
      <c r="B11267" s="226" t="str">
        <f>IFERROR(__xludf.DUMMYFUNCTION("""COMPUTED_VALUE"""),"8054521996733")</f>
        <v>8054521996733</v>
      </c>
      <c r="C11267" t="str">
        <f>IFERROR(__xludf.DUMMYFUNCTION("""COMPUTED_VALUE"""),"Umbra")</f>
        <v>Umbra</v>
      </c>
    </row>
    <row r="11268">
      <c r="A11268" t="str">
        <f>IFERROR(__xludf.DUMMYFUNCTION("""COMPUTED_VALUE"""),"28065/F")</f>
        <v>28065/F</v>
      </c>
      <c r="B11268" s="226" t="str">
        <f>IFERROR(__xludf.DUMMYFUNCTION("""COMPUTED_VALUE"""),"8054521996726")</f>
        <v>8054521996726</v>
      </c>
      <c r="C11268" t="str">
        <f>IFERROR(__xludf.DUMMYFUNCTION("""COMPUTED_VALUE"""),"Umbra")</f>
        <v>Umbra</v>
      </c>
    </row>
    <row r="11269">
      <c r="A11269" t="str">
        <f>IFERROR(__xludf.DUMMYFUNCTION("""COMPUTED_VALUE"""),"28065/VM")</f>
        <v>28065/VM</v>
      </c>
      <c r="B11269" s="226" t="str">
        <f>IFERROR(__xludf.DUMMYFUNCTION("""COMPUTED_VALUE"""),"8054521996740")</f>
        <v>8054521996740</v>
      </c>
      <c r="C11269" t="str">
        <f>IFERROR(__xludf.DUMMYFUNCTION("""COMPUTED_VALUE"""),"Umbra")</f>
        <v>Umbra</v>
      </c>
    </row>
    <row r="11270">
      <c r="A11270" t="str">
        <f>IFERROR(__xludf.DUMMYFUNCTION("""COMPUTED_VALUE"""),"28065/C")</f>
        <v>28065/C</v>
      </c>
      <c r="B11270" s="226" t="str">
        <f>IFERROR(__xludf.DUMMYFUNCTION("""COMPUTED_VALUE"""),"8054521996733")</f>
        <v>8054521996733</v>
      </c>
      <c r="C11270" t="str">
        <f>IFERROR(__xludf.DUMMYFUNCTION("""COMPUTED_VALUE"""),"Umbra")</f>
        <v>Umbra</v>
      </c>
    </row>
    <row r="11271">
      <c r="A11271" t="str">
        <f>IFERROR(__xludf.DUMMYFUNCTION("""COMPUTED_VALUE"""),"28065/F")</f>
        <v>28065/F</v>
      </c>
      <c r="B11271" s="226" t="str">
        <f>IFERROR(__xludf.DUMMYFUNCTION("""COMPUTED_VALUE"""),"8054521996726")</f>
        <v>8054521996726</v>
      </c>
      <c r="C11271" t="str">
        <f>IFERROR(__xludf.DUMMYFUNCTION("""COMPUTED_VALUE"""),"Umbra")</f>
        <v>Umbra</v>
      </c>
    </row>
    <row r="11272">
      <c r="A11272" t="str">
        <f>IFERROR(__xludf.DUMMYFUNCTION("""COMPUTED_VALUE"""),"28065/VM")</f>
        <v>28065/VM</v>
      </c>
      <c r="B11272" s="226" t="str">
        <f>IFERROR(__xludf.DUMMYFUNCTION("""COMPUTED_VALUE"""),"8054521996740")</f>
        <v>8054521996740</v>
      </c>
      <c r="C11272" t="str">
        <f>IFERROR(__xludf.DUMMYFUNCTION("""COMPUTED_VALUE"""),"Umbra")</f>
        <v>Umbra</v>
      </c>
    </row>
    <row r="11273">
      <c r="A11273" t="str">
        <f>IFERROR(__xludf.DUMMYFUNCTION("""COMPUTED_VALUE"""),"28065/C")</f>
        <v>28065/C</v>
      </c>
      <c r="B11273" s="226" t="str">
        <f>IFERROR(__xludf.DUMMYFUNCTION("""COMPUTED_VALUE"""),"8054521996733")</f>
        <v>8054521996733</v>
      </c>
      <c r="C11273" t="str">
        <f>IFERROR(__xludf.DUMMYFUNCTION("""COMPUTED_VALUE"""),"Umbra")</f>
        <v>Umbra</v>
      </c>
    </row>
    <row r="11274">
      <c r="A11274" t="str">
        <f>IFERROR(__xludf.DUMMYFUNCTION("""COMPUTED_VALUE"""),"28065/F")</f>
        <v>28065/F</v>
      </c>
      <c r="B11274" s="226" t="str">
        <f>IFERROR(__xludf.DUMMYFUNCTION("""COMPUTED_VALUE"""),"8054521996726")</f>
        <v>8054521996726</v>
      </c>
      <c r="C11274" t="str">
        <f>IFERROR(__xludf.DUMMYFUNCTION("""COMPUTED_VALUE"""),"Umbra")</f>
        <v>Umbra</v>
      </c>
    </row>
    <row r="11275">
      <c r="A11275" t="str">
        <f>IFERROR(__xludf.DUMMYFUNCTION("""COMPUTED_VALUE"""),"28065/VM")</f>
        <v>28065/VM</v>
      </c>
      <c r="B11275" s="226" t="str">
        <f>IFERROR(__xludf.DUMMYFUNCTION("""COMPUTED_VALUE"""),"8054521996740")</f>
        <v>8054521996740</v>
      </c>
      <c r="C11275" t="str">
        <f>IFERROR(__xludf.DUMMYFUNCTION("""COMPUTED_VALUE"""),"Umbra")</f>
        <v>Umbra</v>
      </c>
    </row>
    <row r="11276">
      <c r="A11276" t="str">
        <f>IFERROR(__xludf.DUMMYFUNCTION("""COMPUTED_VALUE"""),"17002")</f>
        <v>17002</v>
      </c>
      <c r="B11276" s="226" t="str">
        <f>IFERROR(__xludf.DUMMYFUNCTION("""COMPUTED_VALUE"""),"8054521990229")</f>
        <v>8054521990229</v>
      </c>
      <c r="C11276" t="str">
        <f>IFERROR(__xludf.DUMMYFUNCTION("""COMPUTED_VALUE"""),"Umbra")</f>
        <v>Umbra</v>
      </c>
    </row>
    <row r="11277">
      <c r="A11277" t="str">
        <f>IFERROR(__xludf.DUMMYFUNCTION("""COMPUTED_VALUE"""),"13157/C")</f>
        <v>13157/C</v>
      </c>
      <c r="B11277" s="226" t="str">
        <f>IFERROR(__xludf.DUMMYFUNCTION("""COMPUTED_VALUE"""),"8058772229015")</f>
        <v>8058772229015</v>
      </c>
      <c r="C11277" t="str">
        <f>IFERROR(__xludf.DUMMYFUNCTION("""COMPUTED_VALUE"""),"Umbra")</f>
        <v>Umbra</v>
      </c>
    </row>
    <row r="11278">
      <c r="A11278" t="str">
        <f>IFERROR(__xludf.DUMMYFUNCTION("""COMPUTED_VALUE"""),"13157/F")</f>
        <v>13157/F</v>
      </c>
      <c r="B11278" s="226" t="str">
        <f>IFERROR(__xludf.DUMMYFUNCTION("""COMPUTED_VALUE"""),"8058772222504")</f>
        <v>8058772222504</v>
      </c>
      <c r="C11278" t="str">
        <f>IFERROR(__xludf.DUMMYFUNCTION("""COMPUTED_VALUE"""),"Umbra")</f>
        <v>Umbra</v>
      </c>
    </row>
    <row r="11279">
      <c r="A11279" t="str">
        <f>IFERROR(__xludf.DUMMYFUNCTION("""COMPUTED_VALUE"""),"13157/VM")</f>
        <v>13157/VM</v>
      </c>
      <c r="B11279" s="226" t="str">
        <f>IFERROR(__xludf.DUMMYFUNCTION("""COMPUTED_VALUE"""),"8058772229022")</f>
        <v>8058772229022</v>
      </c>
      <c r="C11279" t="str">
        <f>IFERROR(__xludf.DUMMYFUNCTION("""COMPUTED_VALUE"""),"Umbra")</f>
        <v>Umbra</v>
      </c>
    </row>
    <row r="11280">
      <c r="A11280" t="str">
        <f>IFERROR(__xludf.DUMMYFUNCTION("""COMPUTED_VALUE"""),"28037")</f>
        <v>28037</v>
      </c>
      <c r="B11280" s="226" t="str">
        <f>IFERROR(__xludf.DUMMYFUNCTION("""COMPUTED_VALUE"""),"8054521992421")</f>
        <v>8054521992421</v>
      </c>
      <c r="C11280" t="str">
        <f>IFERROR(__xludf.DUMMYFUNCTION("""COMPUTED_VALUE"""),"Umbra")</f>
        <v>Umbra</v>
      </c>
    </row>
    <row r="11281">
      <c r="A11281" t="str">
        <f>IFERROR(__xludf.DUMMYFUNCTION("""COMPUTED_VALUE"""),"28047/F")</f>
        <v>28047/F</v>
      </c>
      <c r="B11281" s="226" t="str">
        <f>IFERROR(__xludf.DUMMYFUNCTION("""COMPUTED_VALUE"""),"8058772224102")</f>
        <v>8058772224102</v>
      </c>
      <c r="C11281" t="str">
        <f>IFERROR(__xludf.DUMMYFUNCTION("""COMPUTED_VALUE"""),"Umbra")</f>
        <v>Umbra</v>
      </c>
    </row>
    <row r="11282">
      <c r="A11282" t="str">
        <f>IFERROR(__xludf.DUMMYFUNCTION("""COMPUTED_VALUE"""),"28047")</f>
        <v>28047</v>
      </c>
      <c r="B11282" s="226" t="str">
        <f>IFERROR(__xludf.DUMMYFUNCTION("""COMPUTED_VALUE"""),"8054521992520")</f>
        <v>8054521992520</v>
      </c>
      <c r="C11282" t="str">
        <f>IFERROR(__xludf.DUMMYFUNCTION("""COMPUTED_VALUE"""),"Umbra")</f>
        <v>Umbra</v>
      </c>
    </row>
    <row r="11283">
      <c r="A11283" t="str">
        <f>IFERROR(__xludf.DUMMYFUNCTION("""COMPUTED_VALUE"""),"13149/C")</f>
        <v>13149/C</v>
      </c>
      <c r="B11283" s="226" t="str">
        <f>IFERROR(__xludf.DUMMYFUNCTION("""COMPUTED_VALUE"""),"8058772228872")</f>
        <v>8058772228872</v>
      </c>
      <c r="C11283" t="str">
        <f>IFERROR(__xludf.DUMMYFUNCTION("""COMPUTED_VALUE"""),"Umbra")</f>
        <v>Umbra</v>
      </c>
    </row>
    <row r="11284">
      <c r="A11284" t="str">
        <f>IFERROR(__xludf.DUMMYFUNCTION("""COMPUTED_VALUE"""),"13149/F")</f>
        <v>13149/F</v>
      </c>
      <c r="B11284" s="226" t="str">
        <f>IFERROR(__xludf.DUMMYFUNCTION("""COMPUTED_VALUE"""),"8058772222450")</f>
        <v>8058772222450</v>
      </c>
      <c r="C11284" t="str">
        <f>IFERROR(__xludf.DUMMYFUNCTION("""COMPUTED_VALUE"""),"Umbra")</f>
        <v>Umbra</v>
      </c>
    </row>
    <row r="11285">
      <c r="A11285" t="str">
        <f>IFERROR(__xludf.DUMMYFUNCTION("""COMPUTED_VALUE"""),"13149/VM")</f>
        <v>13149/VM</v>
      </c>
      <c r="B11285" s="226" t="str">
        <f>IFERROR(__xludf.DUMMYFUNCTION("""COMPUTED_VALUE"""),"8058772228889")</f>
        <v>8058772228889</v>
      </c>
      <c r="C11285" t="str">
        <f>IFERROR(__xludf.DUMMYFUNCTION("""COMPUTED_VALUE"""),"Umbra")</f>
        <v>Umbra</v>
      </c>
    </row>
    <row r="11286">
      <c r="A11286" t="str">
        <f>IFERROR(__xludf.DUMMYFUNCTION("""COMPUTED_VALUE"""),"13149/C")</f>
        <v>13149/C</v>
      </c>
      <c r="B11286" s="226" t="str">
        <f>IFERROR(__xludf.DUMMYFUNCTION("""COMPUTED_VALUE"""),"8058772228872")</f>
        <v>8058772228872</v>
      </c>
      <c r="C11286" t="str">
        <f>IFERROR(__xludf.DUMMYFUNCTION("""COMPUTED_VALUE"""),"Umbra")</f>
        <v>Umbra</v>
      </c>
    </row>
    <row r="11287">
      <c r="A11287" t="str">
        <f>IFERROR(__xludf.DUMMYFUNCTION("""COMPUTED_VALUE"""),"13149/F")</f>
        <v>13149/F</v>
      </c>
      <c r="B11287" s="226" t="str">
        <f>IFERROR(__xludf.DUMMYFUNCTION("""COMPUTED_VALUE"""),"8058772222450")</f>
        <v>8058772222450</v>
      </c>
      <c r="C11287" t="str">
        <f>IFERROR(__xludf.DUMMYFUNCTION("""COMPUTED_VALUE"""),"Umbra")</f>
        <v>Umbra</v>
      </c>
    </row>
    <row r="11288">
      <c r="A11288" t="str">
        <f>IFERROR(__xludf.DUMMYFUNCTION("""COMPUTED_VALUE"""),"13149/VM")</f>
        <v>13149/VM</v>
      </c>
      <c r="B11288" s="226" t="str">
        <f>IFERROR(__xludf.DUMMYFUNCTION("""COMPUTED_VALUE"""),"8058772228889")</f>
        <v>8058772228889</v>
      </c>
      <c r="C11288" t="str">
        <f>IFERROR(__xludf.DUMMYFUNCTION("""COMPUTED_VALUE"""),"Umbra")</f>
        <v>Umbra</v>
      </c>
    </row>
    <row r="11289">
      <c r="A11289" t="str">
        <f>IFERROR(__xludf.DUMMYFUNCTION("""COMPUTED_VALUE"""),"28041")</f>
        <v>28041</v>
      </c>
      <c r="B11289" s="226" t="str">
        <f>IFERROR(__xludf.DUMMYFUNCTION("""COMPUTED_VALUE"""),"8054521992476")</f>
        <v>8054521992476</v>
      </c>
      <c r="C11289" t="str">
        <f>IFERROR(__xludf.DUMMYFUNCTION("""COMPUTED_VALUE"""),"Umbra")</f>
        <v>Umbra</v>
      </c>
    </row>
    <row r="11290">
      <c r="A11290" t="str">
        <f>IFERROR(__xludf.DUMMYFUNCTION("""COMPUTED_VALUE"""),"28046")</f>
        <v>28046</v>
      </c>
      <c r="B11290" s="226" t="str">
        <f>IFERROR(__xludf.DUMMYFUNCTION("""COMPUTED_VALUE"""),"8054521992513")</f>
        <v>8054521992513</v>
      </c>
      <c r="C11290" t="str">
        <f>IFERROR(__xludf.DUMMYFUNCTION("""COMPUTED_VALUE"""),"Umbra")</f>
        <v>Umbra</v>
      </c>
    </row>
    <row r="11291">
      <c r="A11291" t="str">
        <f>IFERROR(__xludf.DUMMYFUNCTION("""COMPUTED_VALUE"""),"28058/C")</f>
        <v>28058/C</v>
      </c>
      <c r="B11291" s="226" t="str">
        <f>IFERROR(__xludf.DUMMYFUNCTION("""COMPUTED_VALUE"""),"8054521992728")</f>
        <v>8054521992728</v>
      </c>
      <c r="C11291" t="str">
        <f>IFERROR(__xludf.DUMMYFUNCTION("""COMPUTED_VALUE"""),"Umbra")</f>
        <v>Umbra</v>
      </c>
    </row>
    <row r="11292">
      <c r="A11292" t="str">
        <f>IFERROR(__xludf.DUMMYFUNCTION("""COMPUTED_VALUE"""),"28058/F")</f>
        <v>28058/F</v>
      </c>
      <c r="B11292" s="226" t="str">
        <f>IFERROR(__xludf.DUMMYFUNCTION("""COMPUTED_VALUE"""),"8058772224225")</f>
        <v>8058772224225</v>
      </c>
      <c r="C11292" t="str">
        <f>IFERROR(__xludf.DUMMYFUNCTION("""COMPUTED_VALUE"""),"Umbra")</f>
        <v>Umbra</v>
      </c>
    </row>
    <row r="11293">
      <c r="A11293" t="str">
        <f>IFERROR(__xludf.DUMMYFUNCTION("""COMPUTED_VALUE"""),"28058/VM")</f>
        <v>28058/VM</v>
      </c>
      <c r="B11293" s="226" t="str">
        <f>IFERROR(__xludf.DUMMYFUNCTION("""COMPUTED_VALUE"""),"8054521992735")</f>
        <v>8054521992735</v>
      </c>
      <c r="C11293" t="str">
        <f>IFERROR(__xludf.DUMMYFUNCTION("""COMPUTED_VALUE"""),"Umbra")</f>
        <v>Umbra</v>
      </c>
    </row>
    <row r="11294">
      <c r="A11294" t="str">
        <f>IFERROR(__xludf.DUMMYFUNCTION("""COMPUTED_VALUE"""),"28058/C")</f>
        <v>28058/C</v>
      </c>
      <c r="B11294" s="226" t="str">
        <f>IFERROR(__xludf.DUMMYFUNCTION("""COMPUTED_VALUE"""),"8054521992728")</f>
        <v>8054521992728</v>
      </c>
      <c r="C11294" t="str">
        <f>IFERROR(__xludf.DUMMYFUNCTION("""COMPUTED_VALUE"""),"Umbra")</f>
        <v>Umbra</v>
      </c>
    </row>
    <row r="11295">
      <c r="A11295" t="str">
        <f>IFERROR(__xludf.DUMMYFUNCTION("""COMPUTED_VALUE"""),"28058/F")</f>
        <v>28058/F</v>
      </c>
      <c r="B11295" s="226" t="str">
        <f>IFERROR(__xludf.DUMMYFUNCTION("""COMPUTED_VALUE"""),"8058772224225")</f>
        <v>8058772224225</v>
      </c>
      <c r="C11295" t="str">
        <f>IFERROR(__xludf.DUMMYFUNCTION("""COMPUTED_VALUE"""),"Umbra")</f>
        <v>Umbra</v>
      </c>
    </row>
    <row r="11296">
      <c r="A11296" t="str">
        <f>IFERROR(__xludf.DUMMYFUNCTION("""COMPUTED_VALUE"""),"28058/VM")</f>
        <v>28058/VM</v>
      </c>
      <c r="B11296" s="226" t="str">
        <f>IFERROR(__xludf.DUMMYFUNCTION("""COMPUTED_VALUE"""),"8054521992735")</f>
        <v>8054521992735</v>
      </c>
      <c r="C11296" t="str">
        <f>IFERROR(__xludf.DUMMYFUNCTION("""COMPUTED_VALUE"""),"Umbra")</f>
        <v>Umbra</v>
      </c>
    </row>
    <row r="11297">
      <c r="A11297" t="str">
        <f>IFERROR(__xludf.DUMMYFUNCTION("""COMPUTED_VALUE"""),"28050")</f>
        <v>28050</v>
      </c>
      <c r="B11297" s="226" t="str">
        <f>IFERROR(__xludf.DUMMYFUNCTION("""COMPUTED_VALUE"""),"8054521992551")</f>
        <v>8054521992551</v>
      </c>
      <c r="C11297" t="str">
        <f>IFERROR(__xludf.DUMMYFUNCTION("""COMPUTED_VALUE"""),"Umbra")</f>
        <v>Umbra</v>
      </c>
    </row>
    <row r="11298">
      <c r="A11298" t="str">
        <f>IFERROR(__xludf.DUMMYFUNCTION("""COMPUTED_VALUE"""),"28050/F")</f>
        <v>28050/F</v>
      </c>
      <c r="B11298" s="226" t="str">
        <f>IFERROR(__xludf.DUMMYFUNCTION("""COMPUTED_VALUE"""),"8058772224133")</f>
        <v>8058772224133</v>
      </c>
      <c r="C11298" t="str">
        <f>IFERROR(__xludf.DUMMYFUNCTION("""COMPUTED_VALUE"""),"Umbra")</f>
        <v>Umbra</v>
      </c>
    </row>
    <row r="11299">
      <c r="A11299" t="str">
        <f>IFERROR(__xludf.DUMMYFUNCTION("""COMPUTED_VALUE"""),"28060/C")</f>
        <v>28060/C</v>
      </c>
      <c r="B11299" s="226" t="str">
        <f>IFERROR(__xludf.DUMMYFUNCTION("""COMPUTED_VALUE"""),"8054521992766")</f>
        <v>8054521992766</v>
      </c>
      <c r="C11299" t="str">
        <f>IFERROR(__xludf.DUMMYFUNCTION("""COMPUTED_VALUE"""),"Umbra")</f>
        <v>Umbra</v>
      </c>
    </row>
    <row r="11300">
      <c r="A11300" t="str">
        <f>IFERROR(__xludf.DUMMYFUNCTION("""COMPUTED_VALUE"""),"28060/F")</f>
        <v>28060/F</v>
      </c>
      <c r="B11300" s="226" t="str">
        <f>IFERROR(__xludf.DUMMYFUNCTION("""COMPUTED_VALUE"""),"8058772224249")</f>
        <v>8058772224249</v>
      </c>
      <c r="C11300" t="str">
        <f>IFERROR(__xludf.DUMMYFUNCTION("""COMPUTED_VALUE"""),"Umbra")</f>
        <v>Umbra</v>
      </c>
    </row>
    <row r="11301">
      <c r="A11301" t="str">
        <f>IFERROR(__xludf.DUMMYFUNCTION("""COMPUTED_VALUE"""),"28060/VM")</f>
        <v>28060/VM</v>
      </c>
      <c r="B11301" s="226" t="str">
        <f>IFERROR(__xludf.DUMMYFUNCTION("""COMPUTED_VALUE"""),"8054521992773")</f>
        <v>8054521992773</v>
      </c>
      <c r="C11301" t="str">
        <f>IFERROR(__xludf.DUMMYFUNCTION("""COMPUTED_VALUE"""),"Umbra")</f>
        <v>Umbra</v>
      </c>
    </row>
    <row r="11302">
      <c r="A11302" t="str">
        <f>IFERROR(__xludf.DUMMYFUNCTION("""COMPUTED_VALUE"""),"28063/C")</f>
        <v>28063/C</v>
      </c>
      <c r="B11302" s="226" t="str">
        <f>IFERROR(__xludf.DUMMYFUNCTION("""COMPUTED_VALUE"""),"8058772224287")</f>
        <v>8058772224287</v>
      </c>
      <c r="C11302" t="str">
        <f>IFERROR(__xludf.DUMMYFUNCTION("""COMPUTED_VALUE"""),"Umbra")</f>
        <v>Umbra</v>
      </c>
    </row>
    <row r="11303">
      <c r="A11303" t="str">
        <f>IFERROR(__xludf.DUMMYFUNCTION("""COMPUTED_VALUE"""),"28064/C")</f>
        <v>28064/C</v>
      </c>
      <c r="B11303" s="226" t="str">
        <f>IFERROR(__xludf.DUMMYFUNCTION("""COMPUTED_VALUE"""),"NULL")</f>
        <v>NULL</v>
      </c>
      <c r="C11303" t="str">
        <f>IFERROR(__xludf.DUMMYFUNCTION("""COMPUTED_VALUE"""),"Umbra")</f>
        <v>Umbra</v>
      </c>
    </row>
    <row r="11304">
      <c r="A11304" t="str">
        <f>IFERROR(__xludf.DUMMYFUNCTION("""COMPUTED_VALUE"""),"28063/F")</f>
        <v>28063/F</v>
      </c>
      <c r="B11304" s="226" t="str">
        <f>IFERROR(__xludf.DUMMYFUNCTION("""COMPUTED_VALUE"""),"8058772224270")</f>
        <v>8058772224270</v>
      </c>
      <c r="C11304" t="str">
        <f>IFERROR(__xludf.DUMMYFUNCTION("""COMPUTED_VALUE"""),"Umbra")</f>
        <v>Umbra</v>
      </c>
    </row>
    <row r="11305">
      <c r="A11305" t="str">
        <f>IFERROR(__xludf.DUMMYFUNCTION("""COMPUTED_VALUE"""),"28064/F")</f>
        <v>28064/F</v>
      </c>
      <c r="B11305" s="226" t="str">
        <f>IFERROR(__xludf.DUMMYFUNCTION("""COMPUTED_VALUE"""),"NULL")</f>
        <v>NULL</v>
      </c>
      <c r="C11305" t="str">
        <f>IFERROR(__xludf.DUMMYFUNCTION("""COMPUTED_VALUE"""),"Umbra")</f>
        <v>Umbra</v>
      </c>
    </row>
    <row r="11306">
      <c r="A11306" t="str">
        <f>IFERROR(__xludf.DUMMYFUNCTION("""COMPUTED_VALUE"""),"28063/VM")</f>
        <v>28063/VM</v>
      </c>
      <c r="B11306" s="226" t="str">
        <f>IFERROR(__xludf.DUMMYFUNCTION("""COMPUTED_VALUE"""),"8058772224294")</f>
        <v>8058772224294</v>
      </c>
      <c r="C11306" t="str">
        <f>IFERROR(__xludf.DUMMYFUNCTION("""COMPUTED_VALUE"""),"Umbra")</f>
        <v>Umbra</v>
      </c>
    </row>
    <row r="11307">
      <c r="A11307" t="str">
        <f>IFERROR(__xludf.DUMMYFUNCTION("""COMPUTED_VALUE"""),"28064/VM")</f>
        <v>28064/VM</v>
      </c>
      <c r="B11307" s="226" t="str">
        <f>IFERROR(__xludf.DUMMYFUNCTION("""COMPUTED_VALUE"""),"NULL")</f>
        <v>NULL</v>
      </c>
      <c r="C11307" t="str">
        <f>IFERROR(__xludf.DUMMYFUNCTION("""COMPUTED_VALUE"""),"Umbra")</f>
        <v>Umbra</v>
      </c>
    </row>
    <row r="11308">
      <c r="A11308" t="str">
        <f>IFERROR(__xludf.DUMMYFUNCTION("""COMPUTED_VALUE"""),"17003")</f>
        <v>17003</v>
      </c>
      <c r="B11308" s="226" t="str">
        <f>IFERROR(__xludf.DUMMYFUNCTION("""COMPUTED_VALUE"""),"8054521990236")</f>
        <v>8054521990236</v>
      </c>
      <c r="C11308" t="str">
        <f>IFERROR(__xludf.DUMMYFUNCTION("""COMPUTED_VALUE"""),"Umbra")</f>
        <v>Umbra</v>
      </c>
    </row>
    <row r="11309">
      <c r="A11309" t="str">
        <f>IFERROR(__xludf.DUMMYFUNCTION("""COMPUTED_VALUE"""),"31070")</f>
        <v>31070</v>
      </c>
      <c r="C11309" t="str">
        <f>IFERROR(__xludf.DUMMYFUNCTION("""COMPUTED_VALUE"""),"Umbra")</f>
        <v>Umbra</v>
      </c>
    </row>
    <row r="11310">
      <c r="A11310" t="str">
        <f>IFERROR(__xludf.DUMMYFUNCTION("""COMPUTED_VALUE"""),"31101/G")</f>
        <v>31101/G</v>
      </c>
      <c r="B11310" s="226" t="str">
        <f>IFERROR(__xludf.DUMMYFUNCTION("""COMPUTED_VALUE"""),"8058772224911")</f>
        <v>8058772224911</v>
      </c>
      <c r="C11310" t="str">
        <f>IFERROR(__xludf.DUMMYFUNCTION("""COMPUTED_VALUE"""),"Umbra")</f>
        <v>Umbra</v>
      </c>
    </row>
    <row r="11311">
      <c r="A11311" t="str">
        <f>IFERROR(__xludf.DUMMYFUNCTION("""COMPUTED_VALUE"""),"31101/SF")</f>
        <v>31101/SF</v>
      </c>
      <c r="B11311" s="226" t="str">
        <f>IFERROR(__xludf.DUMMYFUNCTION("""COMPUTED_VALUE"""),"8058772224904")</f>
        <v>8058772224904</v>
      </c>
      <c r="C11311" t="str">
        <f>IFERROR(__xludf.DUMMYFUNCTION("""COMPUTED_VALUE"""),"Umbra")</f>
        <v>Umbra</v>
      </c>
    </row>
    <row r="11312">
      <c r="A11312" t="str">
        <f>IFERROR(__xludf.DUMMYFUNCTION("""COMPUTED_VALUE"""),"31095/G")</f>
        <v>31095/G</v>
      </c>
      <c r="B11312" s="226" t="str">
        <f>IFERROR(__xludf.DUMMYFUNCTION("""COMPUTED_VALUE"""),"8054521993817")</f>
        <v>8054521993817</v>
      </c>
      <c r="C11312" t="str">
        <f>IFERROR(__xludf.DUMMYFUNCTION("""COMPUTED_VALUE"""),"Umbra")</f>
        <v>Umbra</v>
      </c>
    </row>
    <row r="11313">
      <c r="A11313" t="str">
        <f>IFERROR(__xludf.DUMMYFUNCTION("""COMPUTED_VALUE"""),"31095/SF")</f>
        <v>31095/SF</v>
      </c>
      <c r="B11313" s="226" t="str">
        <f>IFERROR(__xludf.DUMMYFUNCTION("""COMPUTED_VALUE"""),"8054521993824")</f>
        <v>8054521993824</v>
      </c>
      <c r="C11313" t="str">
        <f>IFERROR(__xludf.DUMMYFUNCTION("""COMPUTED_VALUE"""),"Umbra")</f>
        <v>Umbra</v>
      </c>
    </row>
    <row r="11314">
      <c r="A11314" t="str">
        <f>IFERROR(__xludf.DUMMYFUNCTION("""COMPUTED_VALUE"""),"31104/G")</f>
        <v>31104/G</v>
      </c>
      <c r="B11314" s="226" t="str">
        <f>IFERROR(__xludf.DUMMYFUNCTION("""COMPUTED_VALUE"""),"8054521995668")</f>
        <v>8054521995668</v>
      </c>
      <c r="C11314" t="str">
        <f>IFERROR(__xludf.DUMMYFUNCTION("""COMPUTED_VALUE"""),"Umbra")</f>
        <v>Umbra</v>
      </c>
    </row>
    <row r="11315">
      <c r="A11315" t="str">
        <f>IFERROR(__xludf.DUMMYFUNCTION("""COMPUTED_VALUE"""),"31104/SF")</f>
        <v>31104/SF</v>
      </c>
      <c r="B11315" s="226" t="str">
        <f>IFERROR(__xludf.DUMMYFUNCTION("""COMPUTED_VALUE"""),"8054521995651")</f>
        <v>8054521995651</v>
      </c>
      <c r="C11315" t="str">
        <f>IFERROR(__xludf.DUMMYFUNCTION("""COMPUTED_VALUE"""),"Umbra")</f>
        <v>Umbra</v>
      </c>
    </row>
    <row r="11316">
      <c r="A11316" t="str">
        <f>IFERROR(__xludf.DUMMYFUNCTION("""COMPUTED_VALUE"""),"28038")</f>
        <v>28038</v>
      </c>
      <c r="B11316" s="226" t="str">
        <f>IFERROR(__xludf.DUMMYFUNCTION("""COMPUTED_VALUE"""),"8054521992438")</f>
        <v>8054521992438</v>
      </c>
      <c r="C11316" t="str">
        <f>IFERROR(__xludf.DUMMYFUNCTION("""COMPUTED_VALUE"""),"Umbra")</f>
        <v>Umbra</v>
      </c>
    </row>
    <row r="11317">
      <c r="A11317" t="str">
        <f>IFERROR(__xludf.DUMMYFUNCTION("""COMPUTED_VALUE"""),"28039")</f>
        <v>28039</v>
      </c>
      <c r="B11317" s="226" t="str">
        <f>IFERROR(__xludf.DUMMYFUNCTION("""COMPUTED_VALUE"""),"8054521992445")</f>
        <v>8054521992445</v>
      </c>
      <c r="C11317" t="str">
        <f>IFERROR(__xludf.DUMMYFUNCTION("""COMPUTED_VALUE"""),"Umbra")</f>
        <v>Umbra</v>
      </c>
    </row>
    <row r="11318">
      <c r="A11318" t="str">
        <f>IFERROR(__xludf.DUMMYFUNCTION("""COMPUTED_VALUE"""),"28051/C")</f>
        <v>28051/C</v>
      </c>
      <c r="B11318" s="226" t="str">
        <f>IFERROR(__xludf.DUMMYFUNCTION("""COMPUTED_VALUE"""),"8054521992568")</f>
        <v>8054521992568</v>
      </c>
      <c r="C11318" t="str">
        <f>IFERROR(__xludf.DUMMYFUNCTION("""COMPUTED_VALUE"""),"Umbra")</f>
        <v>Umbra</v>
      </c>
    </row>
    <row r="11319">
      <c r="A11319" t="str">
        <f>IFERROR(__xludf.DUMMYFUNCTION("""COMPUTED_VALUE"""),"28051/F")</f>
        <v>28051/F</v>
      </c>
      <c r="B11319" s="226" t="str">
        <f>IFERROR(__xludf.DUMMYFUNCTION("""COMPUTED_VALUE"""),"8058772224140")</f>
        <v>8058772224140</v>
      </c>
      <c r="C11319" t="str">
        <f>IFERROR(__xludf.DUMMYFUNCTION("""COMPUTED_VALUE"""),"Umbra")</f>
        <v>Umbra</v>
      </c>
    </row>
    <row r="11320">
      <c r="A11320" t="str">
        <f>IFERROR(__xludf.DUMMYFUNCTION("""COMPUTED_VALUE"""),"28051/VM")</f>
        <v>28051/VM</v>
      </c>
      <c r="B11320" s="226" t="str">
        <f>IFERROR(__xludf.DUMMYFUNCTION("""COMPUTED_VALUE"""),"8054521992575")</f>
        <v>8054521992575</v>
      </c>
      <c r="C11320" t="str">
        <f>IFERROR(__xludf.DUMMYFUNCTION("""COMPUTED_VALUE"""),"Umbra")</f>
        <v>Umbra</v>
      </c>
    </row>
    <row r="11321">
      <c r="A11321" t="str">
        <f>IFERROR(__xludf.DUMMYFUNCTION("""COMPUTED_VALUE"""),"28040/1")</f>
        <v>28040/1</v>
      </c>
      <c r="B11321" s="226" t="str">
        <f>IFERROR(__xludf.DUMMYFUNCTION("""COMPUTED_VALUE"""),"8054521992452")</f>
        <v>8054521992452</v>
      </c>
      <c r="C11321" t="str">
        <f>IFERROR(__xludf.DUMMYFUNCTION("""COMPUTED_VALUE"""),"Umbra")</f>
        <v>Umbra</v>
      </c>
    </row>
    <row r="11322">
      <c r="A11322" t="str">
        <f>IFERROR(__xludf.DUMMYFUNCTION("""COMPUTED_VALUE"""),"28040/2")</f>
        <v>28040/2</v>
      </c>
      <c r="B11322" s="226" t="str">
        <f>IFERROR(__xludf.DUMMYFUNCTION("""COMPUTED_VALUE"""),"8054521992469")</f>
        <v>8054521992469</v>
      </c>
      <c r="C11322" t="str">
        <f>IFERROR(__xludf.DUMMYFUNCTION("""COMPUTED_VALUE"""),"Umbra")</f>
        <v>Umbra</v>
      </c>
    </row>
    <row r="11323">
      <c r="A11323" t="str">
        <f>IFERROR(__xludf.DUMMYFUNCTION("""COMPUTED_VALUE"""),"28042")</f>
        <v>28042</v>
      </c>
      <c r="B11323" s="226" t="str">
        <f>IFERROR(__xludf.DUMMYFUNCTION("""COMPUTED_VALUE"""),"8054521992483")</f>
        <v>8054521992483</v>
      </c>
      <c r="C11323" t="str">
        <f>IFERROR(__xludf.DUMMYFUNCTION("""COMPUTED_VALUE"""),"Umbra")</f>
        <v>Umbra</v>
      </c>
    </row>
    <row r="11324">
      <c r="A11324" t="str">
        <f>IFERROR(__xludf.DUMMYFUNCTION("""COMPUTED_VALUE"""),"28049/C")</f>
        <v>28049/C</v>
      </c>
      <c r="B11324" s="226" t="str">
        <f>IFERROR(__xludf.DUMMYFUNCTION("""COMPUTED_VALUE"""),"8054521992544")</f>
        <v>8054521992544</v>
      </c>
      <c r="C11324" t="str">
        <f>IFERROR(__xludf.DUMMYFUNCTION("""COMPUTED_VALUE"""),"Umbra")</f>
        <v>Umbra</v>
      </c>
    </row>
    <row r="11325">
      <c r="A11325" t="str">
        <f>IFERROR(__xludf.DUMMYFUNCTION("""COMPUTED_VALUE"""),"28052/C")</f>
        <v>28052/C</v>
      </c>
      <c r="B11325" s="226" t="str">
        <f>IFERROR(__xludf.DUMMYFUNCTION("""COMPUTED_VALUE"""),"8054521992582")</f>
        <v>8054521992582</v>
      </c>
      <c r="C11325" t="str">
        <f>IFERROR(__xludf.DUMMYFUNCTION("""COMPUTED_VALUE"""),"Umbra")</f>
        <v>Umbra</v>
      </c>
    </row>
    <row r="11326">
      <c r="A11326" t="str">
        <f>IFERROR(__xludf.DUMMYFUNCTION("""COMPUTED_VALUE"""),"28049/F")</f>
        <v>28049/F</v>
      </c>
      <c r="B11326" s="226" t="str">
        <f>IFERROR(__xludf.DUMMYFUNCTION("""COMPUTED_VALUE"""),"8058772224126")</f>
        <v>8058772224126</v>
      </c>
      <c r="C11326" t="str">
        <f>IFERROR(__xludf.DUMMYFUNCTION("""COMPUTED_VALUE"""),"Umbra")</f>
        <v>Umbra</v>
      </c>
    </row>
    <row r="11327">
      <c r="A11327" t="str">
        <f>IFERROR(__xludf.DUMMYFUNCTION("""COMPUTED_VALUE"""),"28052/F")</f>
        <v>28052/F</v>
      </c>
      <c r="B11327" s="226" t="str">
        <f>IFERROR(__xludf.DUMMYFUNCTION("""COMPUTED_VALUE"""),"8058772224157")</f>
        <v>8058772224157</v>
      </c>
      <c r="C11327" t="str">
        <f>IFERROR(__xludf.DUMMYFUNCTION("""COMPUTED_VALUE"""),"Umbra")</f>
        <v>Umbra</v>
      </c>
    </row>
    <row r="11328">
      <c r="A11328" t="str">
        <f>IFERROR(__xludf.DUMMYFUNCTION("""COMPUTED_VALUE"""),"28052/VM")</f>
        <v>28052/VM</v>
      </c>
      <c r="B11328" s="226" t="str">
        <f>IFERROR(__xludf.DUMMYFUNCTION("""COMPUTED_VALUE"""),"8054521992599")</f>
        <v>8054521992599</v>
      </c>
      <c r="C11328" t="str">
        <f>IFERROR(__xludf.DUMMYFUNCTION("""COMPUTED_VALUE"""),"Umbra")</f>
        <v>Umbra</v>
      </c>
    </row>
    <row r="11329">
      <c r="A11329" t="str">
        <f>IFERROR(__xludf.DUMMYFUNCTION("""COMPUTED_VALUE"""),"31075")</f>
        <v>31075</v>
      </c>
      <c r="B11329" s="226" t="str">
        <f>IFERROR(__xludf.DUMMYFUNCTION("""COMPUTED_VALUE"""),"8054521993541")</f>
        <v>8054521993541</v>
      </c>
      <c r="C11329" t="str">
        <f>IFERROR(__xludf.DUMMYFUNCTION("""COMPUTED_VALUE"""),"Umbra")</f>
        <v>Umbra</v>
      </c>
    </row>
    <row r="11330">
      <c r="A11330" t="str">
        <f>IFERROR(__xludf.DUMMYFUNCTION("""COMPUTED_VALUE"""),"31099/SF")</f>
        <v>31099/SF</v>
      </c>
      <c r="B11330" s="226" t="str">
        <f>IFERROR(__xludf.DUMMYFUNCTION("""COMPUTED_VALUE"""),"8058772224867")</f>
        <v>8058772224867</v>
      </c>
      <c r="C11330" t="str">
        <f>IFERROR(__xludf.DUMMYFUNCTION("""COMPUTED_VALUE"""),"Umbra")</f>
        <v>Umbra</v>
      </c>
    </row>
    <row r="11331">
      <c r="A11331" t="str">
        <f>IFERROR(__xludf.DUMMYFUNCTION("""COMPUTED_VALUE"""),"31103/G")</f>
        <v>31103/G</v>
      </c>
      <c r="B11331" s="226" t="str">
        <f>IFERROR(__xludf.DUMMYFUNCTION("""COMPUTED_VALUE"""),"8058772224966")</f>
        <v>8058772224966</v>
      </c>
      <c r="C11331" t="str">
        <f>IFERROR(__xludf.DUMMYFUNCTION("""COMPUTED_VALUE"""),"Umbra")</f>
        <v>Umbra</v>
      </c>
    </row>
    <row r="11332">
      <c r="A11332" t="str">
        <f>IFERROR(__xludf.DUMMYFUNCTION("""COMPUTED_VALUE"""),"31103/SF")</f>
        <v>31103/SF</v>
      </c>
      <c r="B11332" s="226" t="str">
        <f>IFERROR(__xludf.DUMMYFUNCTION("""COMPUTED_VALUE"""),"8058772224959")</f>
        <v>8058772224959</v>
      </c>
      <c r="C11332" t="str">
        <f>IFERROR(__xludf.DUMMYFUNCTION("""COMPUTED_VALUE"""),"Umbra")</f>
        <v>Umbra</v>
      </c>
    </row>
    <row r="11333">
      <c r="A11333" t="str">
        <f>IFERROR(__xludf.DUMMYFUNCTION("""COMPUTED_VALUE"""),"28048/C")</f>
        <v>28048/C</v>
      </c>
      <c r="B11333" s="226" t="str">
        <f>IFERROR(__xludf.DUMMYFUNCTION("""COMPUTED_VALUE"""),"8054521992537")</f>
        <v>8054521992537</v>
      </c>
      <c r="C11333" t="str">
        <f>IFERROR(__xludf.DUMMYFUNCTION("""COMPUTED_VALUE"""),"Umbra")</f>
        <v>Umbra</v>
      </c>
    </row>
    <row r="11334">
      <c r="A11334" t="str">
        <f>IFERROR(__xludf.DUMMYFUNCTION("""COMPUTED_VALUE"""),"28048/F")</f>
        <v>28048/F</v>
      </c>
      <c r="B11334" s="226" t="str">
        <f>IFERROR(__xludf.DUMMYFUNCTION("""COMPUTED_VALUE"""),"8058772224119")</f>
        <v>8058772224119</v>
      </c>
      <c r="C11334" t="str">
        <f>IFERROR(__xludf.DUMMYFUNCTION("""COMPUTED_VALUE"""),"Umbra")</f>
        <v>Umbra</v>
      </c>
    </row>
    <row r="11335">
      <c r="A11335" t="str">
        <f>IFERROR(__xludf.DUMMYFUNCTION("""COMPUTED_VALUE"""),"28055/C")</f>
        <v>28055/C</v>
      </c>
      <c r="B11335" s="226" t="str">
        <f>IFERROR(__xludf.DUMMYFUNCTION("""COMPUTED_VALUE"""),"8054521992643")</f>
        <v>8054521992643</v>
      </c>
      <c r="C11335" t="str">
        <f>IFERROR(__xludf.DUMMYFUNCTION("""COMPUTED_VALUE"""),"Umbra")</f>
        <v>Umbra</v>
      </c>
    </row>
    <row r="11336">
      <c r="A11336" t="str">
        <f>IFERROR(__xludf.DUMMYFUNCTION("""COMPUTED_VALUE"""),"28055/F")</f>
        <v>28055/F</v>
      </c>
      <c r="B11336" s="226" t="str">
        <f>IFERROR(__xludf.DUMMYFUNCTION("""COMPUTED_VALUE"""),"8058772224195")</f>
        <v>8058772224195</v>
      </c>
      <c r="C11336" t="str">
        <f>IFERROR(__xludf.DUMMYFUNCTION("""COMPUTED_VALUE"""),"Umbra")</f>
        <v>Umbra</v>
      </c>
    </row>
    <row r="11337">
      <c r="A11337" t="str">
        <f>IFERROR(__xludf.DUMMYFUNCTION("""COMPUTED_VALUE"""),"28055/VM")</f>
        <v>28055/VM</v>
      </c>
      <c r="B11337" s="226" t="str">
        <f>IFERROR(__xludf.DUMMYFUNCTION("""COMPUTED_VALUE"""),"8054521992650")</f>
        <v>8054521992650</v>
      </c>
      <c r="C11337" t="str">
        <f>IFERROR(__xludf.DUMMYFUNCTION("""COMPUTED_VALUE"""),"Umbra")</f>
        <v>Umbra</v>
      </c>
    </row>
    <row r="11338">
      <c r="A11338" t="str">
        <f>IFERROR(__xludf.DUMMYFUNCTION("""COMPUTED_VALUE"""),"07106/1C")</f>
        <v>07106/1C</v>
      </c>
      <c r="B11338" s="226" t="str">
        <f>IFERROR(__xludf.DUMMYFUNCTION("""COMPUTED_VALUE"""),"8058772227356")</f>
        <v>8058772227356</v>
      </c>
      <c r="C11338" t="str">
        <f>IFERROR(__xludf.DUMMYFUNCTION("""COMPUTED_VALUE"""),"Umbra")</f>
        <v>Umbra</v>
      </c>
    </row>
    <row r="11339">
      <c r="A11339" t="str">
        <f>IFERROR(__xludf.DUMMYFUNCTION("""COMPUTED_VALUE"""),"07106/1F")</f>
        <v>07106/1F</v>
      </c>
      <c r="C11339" t="str">
        <f>IFERROR(__xludf.DUMMYFUNCTION("""COMPUTED_VALUE"""),"Umbra")</f>
        <v>Umbra</v>
      </c>
    </row>
    <row r="11340">
      <c r="A11340" t="str">
        <f>IFERROR(__xludf.DUMMYFUNCTION("""COMPUTED_VALUE"""),"07106/VM")</f>
        <v>07106/VM</v>
      </c>
      <c r="B11340" s="226" t="str">
        <f>IFERROR(__xludf.DUMMYFUNCTION("""COMPUTED_VALUE"""),"8058772227370")</f>
        <v>8058772227370</v>
      </c>
      <c r="C11340" t="str">
        <f>IFERROR(__xludf.DUMMYFUNCTION("""COMPUTED_VALUE"""),"Umbra")</f>
        <v>Umbra</v>
      </c>
    </row>
    <row r="11341">
      <c r="A11341" t="str">
        <f>IFERROR(__xludf.DUMMYFUNCTION("""COMPUTED_VALUE"""),"29040/C")</f>
        <v>29040/C</v>
      </c>
      <c r="B11341" s="226" t="str">
        <f>IFERROR(__xludf.DUMMYFUNCTION("""COMPUTED_VALUE"""),"8058772227981")</f>
        <v>8058772227981</v>
      </c>
      <c r="C11341" t="str">
        <f>IFERROR(__xludf.DUMMYFUNCTION("""COMPUTED_VALUE"""),"Umbra")</f>
        <v>Umbra</v>
      </c>
    </row>
    <row r="11342">
      <c r="A11342" t="str">
        <f>IFERROR(__xludf.DUMMYFUNCTION("""COMPUTED_VALUE"""),"29040/F")</f>
        <v>29040/F</v>
      </c>
      <c r="B11342" s="226" t="str">
        <f>IFERROR(__xludf.DUMMYFUNCTION("""COMPUTED_VALUE"""),"8058772224355")</f>
        <v>8058772224355</v>
      </c>
      <c r="C11342" t="str">
        <f>IFERROR(__xludf.DUMMYFUNCTION("""COMPUTED_VALUE"""),"Umbra")</f>
        <v>Umbra</v>
      </c>
    </row>
    <row r="11343">
      <c r="A11343" t="str">
        <f>IFERROR(__xludf.DUMMYFUNCTION("""COMPUTED_VALUE"""),"29040/VM")</f>
        <v>29040/VM</v>
      </c>
      <c r="B11343" s="226" t="str">
        <f>IFERROR(__xludf.DUMMYFUNCTION("""COMPUTED_VALUE"""),"8058772227998")</f>
        <v>8058772227998</v>
      </c>
      <c r="C11343" t="str">
        <f>IFERROR(__xludf.DUMMYFUNCTION("""COMPUTED_VALUE"""),"Umbra")</f>
        <v>Umbra</v>
      </c>
    </row>
    <row r="11344">
      <c r="A11344" t="str">
        <f>IFERROR(__xludf.DUMMYFUNCTION("""COMPUTED_VALUE"""),"07029")</f>
        <v>07029</v>
      </c>
      <c r="B11344" s="226" t="str">
        <f>IFERROR(__xludf.DUMMYFUNCTION("""COMPUTED_VALUE"""),"8058772227721")</f>
        <v>8058772227721</v>
      </c>
      <c r="C11344" t="str">
        <f>IFERROR(__xludf.DUMMYFUNCTION("""COMPUTED_VALUE"""),"Umbra")</f>
        <v>Umbra</v>
      </c>
    </row>
    <row r="11345">
      <c r="A11345" t="str">
        <f>IFERROR(__xludf.DUMMYFUNCTION("""COMPUTED_VALUE"""),"29049/C")</f>
        <v>29049/C</v>
      </c>
      <c r="B11345" s="226" t="str">
        <f>IFERROR(__xludf.DUMMYFUNCTION("""COMPUTED_VALUE"""),"8058772224508")</f>
        <v>8058772224508</v>
      </c>
      <c r="C11345" t="str">
        <f>IFERROR(__xludf.DUMMYFUNCTION("""COMPUTED_VALUE"""),"Umbra")</f>
        <v>Umbra</v>
      </c>
    </row>
    <row r="11346">
      <c r="A11346" t="str">
        <f>IFERROR(__xludf.DUMMYFUNCTION("""COMPUTED_VALUE"""),"29049/F")</f>
        <v>29049/F</v>
      </c>
      <c r="B11346" s="226" t="str">
        <f>IFERROR(__xludf.DUMMYFUNCTION("""COMPUTED_VALUE"""),"8058772224492")</f>
        <v>8058772224492</v>
      </c>
      <c r="C11346" t="str">
        <f>IFERROR(__xludf.DUMMYFUNCTION("""COMPUTED_VALUE"""),"Umbra")</f>
        <v>Umbra</v>
      </c>
    </row>
    <row r="11347">
      <c r="A11347" t="str">
        <f>IFERROR(__xludf.DUMMYFUNCTION("""COMPUTED_VALUE"""),"29049/VM")</f>
        <v>29049/VM</v>
      </c>
      <c r="B11347" s="226" t="str">
        <f>IFERROR(__xludf.DUMMYFUNCTION("""COMPUTED_VALUE"""),"8058772224515")</f>
        <v>8058772224515</v>
      </c>
      <c r="C11347" t="str">
        <f>IFERROR(__xludf.DUMMYFUNCTION("""COMPUTED_VALUE"""),"Umbra")</f>
        <v>Umbra</v>
      </c>
    </row>
    <row r="11348">
      <c r="A11348" t="str">
        <f>IFERROR(__xludf.DUMMYFUNCTION("""COMPUTED_VALUE"""),"29034")</f>
        <v>29034</v>
      </c>
      <c r="B11348" s="226" t="str">
        <f>IFERROR(__xludf.DUMMYFUNCTION("""COMPUTED_VALUE"""),"8054521992933")</f>
        <v>8054521992933</v>
      </c>
      <c r="C11348" t="str">
        <f>IFERROR(__xludf.DUMMYFUNCTION("""COMPUTED_VALUE"""),"Umbra")</f>
        <v>Umbra</v>
      </c>
    </row>
    <row r="11349">
      <c r="A11349" t="str">
        <f>IFERROR(__xludf.DUMMYFUNCTION("""COMPUTED_VALUE"""),"29034/F")</f>
        <v>29034/F</v>
      </c>
      <c r="B11349" s="226" t="str">
        <f>IFERROR(__xludf.DUMMYFUNCTION("""COMPUTED_VALUE"""),"8058772224324")</f>
        <v>8058772224324</v>
      </c>
      <c r="C11349" t="str">
        <f>IFERROR(__xludf.DUMMYFUNCTION("""COMPUTED_VALUE"""),"Umbra")</f>
        <v>Umbra</v>
      </c>
    </row>
    <row r="11350">
      <c r="A11350" t="str">
        <f>IFERROR(__xludf.DUMMYFUNCTION("""COMPUTED_VALUE"""),"29037")</f>
        <v>29037</v>
      </c>
      <c r="C11350" t="str">
        <f>IFERROR(__xludf.DUMMYFUNCTION("""COMPUTED_VALUE"""),"Umbra")</f>
        <v>Umbra</v>
      </c>
    </row>
    <row r="11351">
      <c r="A11351" t="str">
        <f>IFERROR(__xludf.DUMMYFUNCTION("""COMPUTED_VALUE"""),"29034")</f>
        <v>29034</v>
      </c>
      <c r="B11351" s="226" t="str">
        <f>IFERROR(__xludf.DUMMYFUNCTION("""COMPUTED_VALUE"""),"8054521992933")</f>
        <v>8054521992933</v>
      </c>
      <c r="C11351" t="str">
        <f>IFERROR(__xludf.DUMMYFUNCTION("""COMPUTED_VALUE"""),"Umbra")</f>
        <v>Umbra</v>
      </c>
    </row>
    <row r="11352">
      <c r="A11352" t="str">
        <f>IFERROR(__xludf.DUMMYFUNCTION("""COMPUTED_VALUE"""),"29034/F")</f>
        <v>29034/F</v>
      </c>
      <c r="B11352" s="226" t="str">
        <f>IFERROR(__xludf.DUMMYFUNCTION("""COMPUTED_VALUE"""),"8058772224324")</f>
        <v>8058772224324</v>
      </c>
      <c r="C11352" t="str">
        <f>IFERROR(__xludf.DUMMYFUNCTION("""COMPUTED_VALUE"""),"Umbra")</f>
        <v>Umbra</v>
      </c>
    </row>
    <row r="11353">
      <c r="A11353" t="str">
        <f>IFERROR(__xludf.DUMMYFUNCTION("""COMPUTED_VALUE"""),"29041/7C")</f>
        <v>29041/7C</v>
      </c>
      <c r="B11353" s="226" t="str">
        <f>IFERROR(__xludf.DUMMYFUNCTION("""COMPUTED_VALUE"""),"8054521992971")</f>
        <v>8054521992971</v>
      </c>
      <c r="C11353" t="str">
        <f>IFERROR(__xludf.DUMMYFUNCTION("""COMPUTED_VALUE"""),"Umbra")</f>
        <v>Umbra</v>
      </c>
    </row>
    <row r="11354">
      <c r="A11354" t="str">
        <f>IFERROR(__xludf.DUMMYFUNCTION("""COMPUTED_VALUE"""),"29042/C")</f>
        <v>29042/C</v>
      </c>
      <c r="B11354" s="226" t="str">
        <f>IFERROR(__xludf.DUMMYFUNCTION("""COMPUTED_VALUE"""),"8054521993015")</f>
        <v>8054521993015</v>
      </c>
      <c r="C11354" t="str">
        <f>IFERROR(__xludf.DUMMYFUNCTION("""COMPUTED_VALUE"""),"Umbra")</f>
        <v>Umbra</v>
      </c>
    </row>
    <row r="11355">
      <c r="A11355" t="str">
        <f>IFERROR(__xludf.DUMMYFUNCTION("""COMPUTED_VALUE"""),"29041/7F")</f>
        <v>29041/7F</v>
      </c>
      <c r="C11355" t="str">
        <f>IFERROR(__xludf.DUMMYFUNCTION("""COMPUTED_VALUE"""),"Umbra")</f>
        <v>Umbra</v>
      </c>
    </row>
    <row r="11356">
      <c r="A11356" t="str">
        <f>IFERROR(__xludf.DUMMYFUNCTION("""COMPUTED_VALUE"""),"29042/F")</f>
        <v>29042/F</v>
      </c>
      <c r="B11356" s="226" t="str">
        <f>IFERROR(__xludf.DUMMYFUNCTION("""COMPUTED_VALUE"""),"8058772224409")</f>
        <v>8058772224409</v>
      </c>
      <c r="C11356" t="str">
        <f>IFERROR(__xludf.DUMMYFUNCTION("""COMPUTED_VALUE"""),"Umbra")</f>
        <v>Umbra</v>
      </c>
    </row>
    <row r="11357">
      <c r="A11357" t="str">
        <f>IFERROR(__xludf.DUMMYFUNCTION("""COMPUTED_VALUE"""),"29041/7VM")</f>
        <v>29041/7VM</v>
      </c>
      <c r="B11357" s="226" t="str">
        <f>IFERROR(__xludf.DUMMYFUNCTION("""COMPUTED_VALUE"""),"8054521992988")</f>
        <v>8054521992988</v>
      </c>
      <c r="C11357" t="str">
        <f>IFERROR(__xludf.DUMMYFUNCTION("""COMPUTED_VALUE"""),"Umbra")</f>
        <v>Umbra</v>
      </c>
    </row>
    <row r="11358">
      <c r="A11358" t="str">
        <f>IFERROR(__xludf.DUMMYFUNCTION("""COMPUTED_VALUE"""),"29042/VM")</f>
        <v>29042/VM</v>
      </c>
      <c r="B11358" s="226" t="str">
        <f>IFERROR(__xludf.DUMMYFUNCTION("""COMPUTED_VALUE"""),"8054521993022")</f>
        <v>8054521993022</v>
      </c>
      <c r="C11358" t="str">
        <f>IFERROR(__xludf.DUMMYFUNCTION("""COMPUTED_VALUE"""),"Umbra")</f>
        <v>Umbra</v>
      </c>
    </row>
    <row r="11359">
      <c r="A11359" t="str">
        <f>IFERROR(__xludf.DUMMYFUNCTION("""COMPUTED_VALUE"""),"29041/8C")</f>
        <v>29041/8C</v>
      </c>
      <c r="B11359" s="226" t="str">
        <f>IFERROR(__xludf.DUMMYFUNCTION("""COMPUTED_VALUE"""),"8054521992995")</f>
        <v>8054521992995</v>
      </c>
      <c r="C11359" t="str">
        <f>IFERROR(__xludf.DUMMYFUNCTION("""COMPUTED_VALUE"""),"Umbra")</f>
        <v>Umbra</v>
      </c>
    </row>
    <row r="11360">
      <c r="A11360" t="str">
        <f>IFERROR(__xludf.DUMMYFUNCTION("""COMPUTED_VALUE"""),"29041/8F")</f>
        <v>29041/8F</v>
      </c>
      <c r="C11360" t="str">
        <f>IFERROR(__xludf.DUMMYFUNCTION("""COMPUTED_VALUE"""),"Umbra")</f>
        <v>Umbra</v>
      </c>
    </row>
    <row r="11361">
      <c r="A11361" t="str">
        <f>IFERROR(__xludf.DUMMYFUNCTION("""COMPUTED_VALUE"""),"29041/8VM")</f>
        <v>29041/8VM</v>
      </c>
      <c r="B11361" s="226" t="str">
        <f>IFERROR(__xludf.DUMMYFUNCTION("""COMPUTED_VALUE"""),"8054521993008")</f>
        <v>8054521993008</v>
      </c>
      <c r="C11361" t="str">
        <f>IFERROR(__xludf.DUMMYFUNCTION("""COMPUTED_VALUE"""),"Umbra")</f>
        <v>Umbra</v>
      </c>
    </row>
    <row r="11362">
      <c r="A11362" t="str">
        <f>IFERROR(__xludf.DUMMYFUNCTION("""COMPUTED_VALUE"""),"29046/C")</f>
        <v>29046/C</v>
      </c>
      <c r="B11362" s="226" t="str">
        <f>IFERROR(__xludf.DUMMYFUNCTION("""COMPUTED_VALUE"""),"8054521993114")</f>
        <v>8054521993114</v>
      </c>
      <c r="C11362" t="str">
        <f>IFERROR(__xludf.DUMMYFUNCTION("""COMPUTED_VALUE"""),"Umbra")</f>
        <v>Umbra</v>
      </c>
    </row>
    <row r="11363">
      <c r="A11363" t="str">
        <f>IFERROR(__xludf.DUMMYFUNCTION("""COMPUTED_VALUE"""),"29046/F")</f>
        <v>29046/F</v>
      </c>
      <c r="B11363" s="226" t="str">
        <f>IFERROR(__xludf.DUMMYFUNCTION("""COMPUTED_VALUE"""),"8058772224454")</f>
        <v>8058772224454</v>
      </c>
      <c r="C11363" t="str">
        <f>IFERROR(__xludf.DUMMYFUNCTION("""COMPUTED_VALUE"""),"Umbra")</f>
        <v>Umbra</v>
      </c>
    </row>
    <row r="11364">
      <c r="A11364" t="str">
        <f>IFERROR(__xludf.DUMMYFUNCTION("""COMPUTED_VALUE"""),"29046/VM")</f>
        <v>29046/VM</v>
      </c>
      <c r="B11364" s="226" t="str">
        <f>IFERROR(__xludf.DUMMYFUNCTION("""COMPUTED_VALUE"""),"8054521993121")</f>
        <v>8054521993121</v>
      </c>
      <c r="C11364" t="str">
        <f>IFERROR(__xludf.DUMMYFUNCTION("""COMPUTED_VALUE"""),"Umbra")</f>
        <v>Umbra</v>
      </c>
    </row>
    <row r="11365">
      <c r="A11365" t="str">
        <f>IFERROR(__xludf.DUMMYFUNCTION("""COMPUTED_VALUE"""),"29031")</f>
        <v>29031</v>
      </c>
      <c r="B11365" s="226" t="str">
        <f>IFERROR(__xludf.DUMMYFUNCTION("""COMPUTED_VALUE"""),"8054521992926")</f>
        <v>8054521992926</v>
      </c>
      <c r="C11365" t="str">
        <f>IFERROR(__xludf.DUMMYFUNCTION("""COMPUTED_VALUE"""),"Umbra")</f>
        <v>Umbra</v>
      </c>
    </row>
    <row r="11366">
      <c r="A11366" t="str">
        <f>IFERROR(__xludf.DUMMYFUNCTION("""COMPUTED_VALUE"""),"29043/C")</f>
        <v>29043/C</v>
      </c>
      <c r="B11366" s="226" t="str">
        <f>IFERROR(__xludf.DUMMYFUNCTION("""COMPUTED_VALUE"""),"8054521993039")</f>
        <v>8054521993039</v>
      </c>
      <c r="C11366" t="str">
        <f>IFERROR(__xludf.DUMMYFUNCTION("""COMPUTED_VALUE"""),"Umbra")</f>
        <v>Umbra</v>
      </c>
    </row>
    <row r="11367">
      <c r="A11367" t="str">
        <f>IFERROR(__xludf.DUMMYFUNCTION("""COMPUTED_VALUE"""),"29043/F")</f>
        <v>29043/F</v>
      </c>
      <c r="B11367" s="226" t="str">
        <f>IFERROR(__xludf.DUMMYFUNCTION("""COMPUTED_VALUE"""),"8058772224416")</f>
        <v>8058772224416</v>
      </c>
      <c r="C11367" t="str">
        <f>IFERROR(__xludf.DUMMYFUNCTION("""COMPUTED_VALUE"""),"Umbra")</f>
        <v>Umbra</v>
      </c>
    </row>
    <row r="11368">
      <c r="A11368" t="str">
        <f>IFERROR(__xludf.DUMMYFUNCTION("""COMPUTED_VALUE"""),"29043/VM")</f>
        <v>29043/VM</v>
      </c>
      <c r="B11368" s="226" t="str">
        <f>IFERROR(__xludf.DUMMYFUNCTION("""COMPUTED_VALUE"""),"8054521993046")</f>
        <v>8054521993046</v>
      </c>
      <c r="C11368" t="str">
        <f>IFERROR(__xludf.DUMMYFUNCTION("""COMPUTED_VALUE"""),"Umbra")</f>
        <v>Umbra</v>
      </c>
    </row>
    <row r="11369">
      <c r="A11369" t="str">
        <f>IFERROR(__xludf.DUMMYFUNCTION("""COMPUTED_VALUE"""),"29036/C")</f>
        <v>29036/C</v>
      </c>
      <c r="B11369" s="226" t="str">
        <f>IFERROR(__xludf.DUMMYFUNCTION("""COMPUTED_VALUE"""),"8054521992940")</f>
        <v>8054521992940</v>
      </c>
      <c r="C11369" t="str">
        <f>IFERROR(__xludf.DUMMYFUNCTION("""COMPUTED_VALUE"""),"Umbra")</f>
        <v>Umbra</v>
      </c>
    </row>
    <row r="11370">
      <c r="A11370" t="str">
        <f>IFERROR(__xludf.DUMMYFUNCTION("""COMPUTED_VALUE"""),"29036/F")</f>
        <v>29036/F</v>
      </c>
      <c r="B11370" s="226" t="str">
        <f>IFERROR(__xludf.DUMMYFUNCTION("""COMPUTED_VALUE"""),"8058772224331")</f>
        <v>8058772224331</v>
      </c>
      <c r="C11370" t="str">
        <f>IFERROR(__xludf.DUMMYFUNCTION("""COMPUTED_VALUE"""),"Umbra")</f>
        <v>Umbra</v>
      </c>
    </row>
    <row r="11371">
      <c r="A11371" t="str">
        <f>IFERROR(__xludf.DUMMYFUNCTION("""COMPUTED_VALUE"""),"07047/C")</f>
        <v>07047/C</v>
      </c>
      <c r="B11371" s="226" t="str">
        <f>IFERROR(__xludf.DUMMYFUNCTION("""COMPUTED_VALUE"""),"8058772221910")</f>
        <v>8058772221910</v>
      </c>
      <c r="C11371" t="str">
        <f>IFERROR(__xludf.DUMMYFUNCTION("""COMPUTED_VALUE"""),"Umbra")</f>
        <v>Umbra</v>
      </c>
    </row>
    <row r="11372">
      <c r="A11372" t="str">
        <f>IFERROR(__xludf.DUMMYFUNCTION("""COMPUTED_VALUE"""),"07047/F")</f>
        <v>07047/F</v>
      </c>
      <c r="B11372" s="226" t="str">
        <f>IFERROR(__xludf.DUMMYFUNCTION("""COMPUTED_VALUE"""),"8058772221903")</f>
        <v>8058772221903</v>
      </c>
      <c r="C11372" t="str">
        <f>IFERROR(__xludf.DUMMYFUNCTION("""COMPUTED_VALUE"""),"Umbra")</f>
        <v>Umbra</v>
      </c>
    </row>
    <row r="11373">
      <c r="A11373" t="str">
        <f>IFERROR(__xludf.DUMMYFUNCTION("""COMPUTED_VALUE"""),"07047/VM")</f>
        <v>07047/VM</v>
      </c>
      <c r="B11373" s="226" t="str">
        <f>IFERROR(__xludf.DUMMYFUNCTION("""COMPUTED_VALUE"""),"8058772221927")</f>
        <v>8058772221927</v>
      </c>
      <c r="C11373" t="str">
        <f>IFERROR(__xludf.DUMMYFUNCTION("""COMPUTED_VALUE"""),"Umbra")</f>
        <v>Umbra</v>
      </c>
    </row>
    <row r="11374">
      <c r="A11374" t="str">
        <f>IFERROR(__xludf.DUMMYFUNCTION("""COMPUTED_VALUE"""),"29043/C")</f>
        <v>29043/C</v>
      </c>
      <c r="B11374" s="226" t="str">
        <f>IFERROR(__xludf.DUMMYFUNCTION("""COMPUTED_VALUE"""),"8054521993039")</f>
        <v>8054521993039</v>
      </c>
      <c r="C11374" t="str">
        <f>IFERROR(__xludf.DUMMYFUNCTION("""COMPUTED_VALUE"""),"Umbra")</f>
        <v>Umbra</v>
      </c>
    </row>
    <row r="11375">
      <c r="A11375" t="str">
        <f>IFERROR(__xludf.DUMMYFUNCTION("""COMPUTED_VALUE"""),"29044/C")</f>
        <v>29044/C</v>
      </c>
      <c r="B11375" s="226" t="str">
        <f>IFERROR(__xludf.DUMMYFUNCTION("""COMPUTED_VALUE"""),"8054521993053")</f>
        <v>8054521993053</v>
      </c>
      <c r="C11375" t="str">
        <f>IFERROR(__xludf.DUMMYFUNCTION("""COMPUTED_VALUE"""),"Umbra")</f>
        <v>Umbra</v>
      </c>
    </row>
    <row r="11376">
      <c r="A11376" t="str">
        <f>IFERROR(__xludf.DUMMYFUNCTION("""COMPUTED_VALUE"""),"29043/F")</f>
        <v>29043/F</v>
      </c>
      <c r="B11376" s="226" t="str">
        <f>IFERROR(__xludf.DUMMYFUNCTION("""COMPUTED_VALUE"""),"8058772224416")</f>
        <v>8058772224416</v>
      </c>
      <c r="C11376" t="str">
        <f>IFERROR(__xludf.DUMMYFUNCTION("""COMPUTED_VALUE"""),"Umbra")</f>
        <v>Umbra</v>
      </c>
    </row>
    <row r="11377">
      <c r="A11377" t="str">
        <f>IFERROR(__xludf.DUMMYFUNCTION("""COMPUTED_VALUE"""),"29044/F")</f>
        <v>29044/F</v>
      </c>
      <c r="B11377" s="226" t="str">
        <f>IFERROR(__xludf.DUMMYFUNCTION("""COMPUTED_VALUE"""),"8058772224423")</f>
        <v>8058772224423</v>
      </c>
      <c r="C11377" t="str">
        <f>IFERROR(__xludf.DUMMYFUNCTION("""COMPUTED_VALUE"""),"Umbra")</f>
        <v>Umbra</v>
      </c>
    </row>
    <row r="11378">
      <c r="A11378" t="str">
        <f>IFERROR(__xludf.DUMMYFUNCTION("""COMPUTED_VALUE"""),"29043/VM")</f>
        <v>29043/VM</v>
      </c>
      <c r="B11378" s="226" t="str">
        <f>IFERROR(__xludf.DUMMYFUNCTION("""COMPUTED_VALUE"""),"8054521993046")</f>
        <v>8054521993046</v>
      </c>
      <c r="C11378" t="str">
        <f>IFERROR(__xludf.DUMMYFUNCTION("""COMPUTED_VALUE"""),"Umbra")</f>
        <v>Umbra</v>
      </c>
    </row>
    <row r="11379">
      <c r="A11379" t="str">
        <f>IFERROR(__xludf.DUMMYFUNCTION("""COMPUTED_VALUE"""),"29044/VM")</f>
        <v>29044/VM</v>
      </c>
      <c r="B11379" s="226" t="str">
        <f>IFERROR(__xludf.DUMMYFUNCTION("""COMPUTED_VALUE"""),"8054521993060")</f>
        <v>8054521993060</v>
      </c>
      <c r="C11379" t="str">
        <f>IFERROR(__xludf.DUMMYFUNCTION("""COMPUTED_VALUE"""),"Umbra")</f>
        <v>Umbra</v>
      </c>
    </row>
    <row r="11380">
      <c r="A11380" t="str">
        <f>IFERROR(__xludf.DUMMYFUNCTION("""COMPUTED_VALUE"""),"29050/C")</f>
        <v>29050/C</v>
      </c>
      <c r="B11380" s="226" t="str">
        <f>IFERROR(__xludf.DUMMYFUNCTION("""COMPUTED_VALUE"""),"8058772224539")</f>
        <v>8058772224539</v>
      </c>
      <c r="C11380" t="str">
        <f>IFERROR(__xludf.DUMMYFUNCTION("""COMPUTED_VALUE"""),"Umbra")</f>
        <v>Umbra</v>
      </c>
    </row>
    <row r="11381">
      <c r="A11381" t="str">
        <f>IFERROR(__xludf.DUMMYFUNCTION("""COMPUTED_VALUE"""),"29050/F")</f>
        <v>29050/F</v>
      </c>
      <c r="B11381" s="226" t="str">
        <f>IFERROR(__xludf.DUMMYFUNCTION("""COMPUTED_VALUE"""),"8058772224522")</f>
        <v>8058772224522</v>
      </c>
      <c r="C11381" t="str">
        <f>IFERROR(__xludf.DUMMYFUNCTION("""COMPUTED_VALUE"""),"Umbra")</f>
        <v>Umbra</v>
      </c>
    </row>
    <row r="11382">
      <c r="A11382" t="str">
        <f>IFERROR(__xludf.DUMMYFUNCTION("""COMPUTED_VALUE"""),"29050/VM")</f>
        <v>29050/VM</v>
      </c>
      <c r="B11382" s="226" t="str">
        <f>IFERROR(__xludf.DUMMYFUNCTION("""COMPUTED_VALUE"""),"8058772224546")</f>
        <v>8058772224546</v>
      </c>
      <c r="C11382" t="str">
        <f>IFERROR(__xludf.DUMMYFUNCTION("""COMPUTED_VALUE"""),"Umbra")</f>
        <v>Umbra</v>
      </c>
    </row>
    <row r="11383">
      <c r="A11383" t="str">
        <f>IFERROR(__xludf.DUMMYFUNCTION("""COMPUTED_VALUE"""),"24018/C")</f>
        <v>24018/C</v>
      </c>
      <c r="B11383" s="226" t="str">
        <f>IFERROR(__xludf.DUMMYFUNCTION("""COMPUTED_VALUE"""),"8054521991912")</f>
        <v>8054521991912</v>
      </c>
      <c r="C11383" t="str">
        <f>IFERROR(__xludf.DUMMYFUNCTION("""COMPUTED_VALUE"""),"Umbra")</f>
        <v>Umbra</v>
      </c>
    </row>
    <row r="11384">
      <c r="A11384" t="str">
        <f>IFERROR(__xludf.DUMMYFUNCTION("""COMPUTED_VALUE"""),"24018/F")</f>
        <v>24018/F</v>
      </c>
      <c r="B11384" s="226" t="str">
        <f>IFERROR(__xludf.DUMMYFUNCTION("""COMPUTED_VALUE"""),"8058772223860")</f>
        <v>8058772223860</v>
      </c>
      <c r="C11384" t="str">
        <f>IFERROR(__xludf.DUMMYFUNCTION("""COMPUTED_VALUE"""),"Umbra")</f>
        <v>Umbra</v>
      </c>
    </row>
    <row r="11385">
      <c r="A11385" t="str">
        <f>IFERROR(__xludf.DUMMYFUNCTION("""COMPUTED_VALUE"""),"24020/C")</f>
        <v>24020/C</v>
      </c>
      <c r="B11385" s="226" t="str">
        <f>IFERROR(__xludf.DUMMYFUNCTION("""COMPUTED_VALUE"""),"8054521991950")</f>
        <v>8054521991950</v>
      </c>
      <c r="C11385" t="str">
        <f>IFERROR(__xludf.DUMMYFUNCTION("""COMPUTED_VALUE"""),"Umbra")</f>
        <v>Umbra</v>
      </c>
    </row>
    <row r="11386">
      <c r="A11386" t="str">
        <f>IFERROR(__xludf.DUMMYFUNCTION("""COMPUTED_VALUE"""),"24020/F")</f>
        <v>24020/F</v>
      </c>
      <c r="B11386" s="226" t="str">
        <f>IFERROR(__xludf.DUMMYFUNCTION("""COMPUTED_VALUE"""),"8058772223884")</f>
        <v>8058772223884</v>
      </c>
      <c r="C11386" t="str">
        <f>IFERROR(__xludf.DUMMYFUNCTION("""COMPUTED_VALUE"""),"Umbra")</f>
        <v>Umbra</v>
      </c>
    </row>
    <row r="11387">
      <c r="A11387" t="str">
        <f>IFERROR(__xludf.DUMMYFUNCTION("""COMPUTED_VALUE"""),"24020/VM")</f>
        <v>24020/VM</v>
      </c>
      <c r="B11387" s="226" t="str">
        <f>IFERROR(__xludf.DUMMYFUNCTION("""COMPUTED_VALUE"""),"8054521991967")</f>
        <v>8054521991967</v>
      </c>
      <c r="C11387" t="str">
        <f>IFERROR(__xludf.DUMMYFUNCTION("""COMPUTED_VALUE"""),"Umbra")</f>
        <v>Umbra</v>
      </c>
    </row>
    <row r="11388">
      <c r="A11388" t="str">
        <f>IFERROR(__xludf.DUMMYFUNCTION("""COMPUTED_VALUE"""),"29030")</f>
        <v>29030</v>
      </c>
      <c r="B11388" s="226" t="str">
        <f>IFERROR(__xludf.DUMMYFUNCTION("""COMPUTED_VALUE"""),"8054521992919")</f>
        <v>8054521992919</v>
      </c>
      <c r="C11388" t="str">
        <f>IFERROR(__xludf.DUMMYFUNCTION("""COMPUTED_VALUE"""),"Umbra")</f>
        <v>Umbra</v>
      </c>
    </row>
    <row r="11389">
      <c r="A11389" t="str">
        <f>IFERROR(__xludf.DUMMYFUNCTION("""COMPUTED_VALUE"""),"29028")</f>
        <v>29028</v>
      </c>
      <c r="B11389" s="226" t="str">
        <f>IFERROR(__xludf.DUMMYFUNCTION("""COMPUTED_VALUE"""),"8054521992896")</f>
        <v>8054521992896</v>
      </c>
      <c r="C11389" t="str">
        <f>IFERROR(__xludf.DUMMYFUNCTION("""COMPUTED_VALUE"""),"Umbra")</f>
        <v>Umbra</v>
      </c>
    </row>
    <row r="11390">
      <c r="A11390" t="str">
        <f>IFERROR(__xludf.DUMMYFUNCTION("""COMPUTED_VALUE"""),"07042/PC")</f>
        <v>07042/PC</v>
      </c>
      <c r="C11390" t="str">
        <f>IFERROR(__xludf.DUMMYFUNCTION("""COMPUTED_VALUE"""),"Umbra")</f>
        <v>Umbra</v>
      </c>
    </row>
    <row r="11391">
      <c r="A11391" t="str">
        <f>IFERROR(__xludf.DUMMYFUNCTION("""COMPUTED_VALUE"""),"07042/PF")</f>
        <v>07042/PF</v>
      </c>
      <c r="C11391" t="str">
        <f>IFERROR(__xludf.DUMMYFUNCTION("""COMPUTED_VALUE"""),"Umbra")</f>
        <v>Umbra</v>
      </c>
    </row>
    <row r="11392">
      <c r="A11392" t="str">
        <f>IFERROR(__xludf.DUMMYFUNCTION("""COMPUTED_VALUE"""),"07042/PVM")</f>
        <v>07042/PVM</v>
      </c>
      <c r="C11392" t="str">
        <f>IFERROR(__xludf.DUMMYFUNCTION("""COMPUTED_VALUE"""),"Umbra")</f>
        <v>Umbra</v>
      </c>
    </row>
    <row r="11393">
      <c r="A11393" t="str">
        <f>IFERROR(__xludf.DUMMYFUNCTION("""COMPUTED_VALUE"""),"07041/C")</f>
        <v>07041/C</v>
      </c>
      <c r="B11393" s="226" t="str">
        <f>IFERROR(__xludf.DUMMYFUNCTION("""COMPUTED_VALUE"""),"8058772227905")</f>
        <v>8058772227905</v>
      </c>
      <c r="C11393" t="str">
        <f>IFERROR(__xludf.DUMMYFUNCTION("""COMPUTED_VALUE"""),"Umbra")</f>
        <v>Umbra</v>
      </c>
    </row>
    <row r="11394">
      <c r="A11394" t="str">
        <f>IFERROR(__xludf.DUMMYFUNCTION("""COMPUTED_VALUE"""),"07041/F")</f>
        <v>07041/F</v>
      </c>
      <c r="B11394" s="226" t="str">
        <f>IFERROR(__xludf.DUMMYFUNCTION("""COMPUTED_VALUE"""),"8058772221828")</f>
        <v>8058772221828</v>
      </c>
      <c r="C11394" t="str">
        <f>IFERROR(__xludf.DUMMYFUNCTION("""COMPUTED_VALUE"""),"Umbra")</f>
        <v>Umbra</v>
      </c>
    </row>
    <row r="11395">
      <c r="A11395" t="str">
        <f>IFERROR(__xludf.DUMMYFUNCTION("""COMPUTED_VALUE"""),"07041/VM")</f>
        <v>07041/VM</v>
      </c>
      <c r="B11395" s="226" t="str">
        <f>IFERROR(__xludf.DUMMYFUNCTION("""COMPUTED_VALUE"""),"8058772227912")</f>
        <v>8058772227912</v>
      </c>
      <c r="C11395" t="str">
        <f>IFERROR(__xludf.DUMMYFUNCTION("""COMPUTED_VALUE"""),"Umbra")</f>
        <v>Umbra</v>
      </c>
    </row>
    <row r="11396">
      <c r="A11396" t="str">
        <f>IFERROR(__xludf.DUMMYFUNCTION("""COMPUTED_VALUE"""),"29047/C")</f>
        <v>29047/C</v>
      </c>
      <c r="B11396" s="226" t="str">
        <f>IFERROR(__xludf.DUMMYFUNCTION("""COMPUTED_VALUE"""),"8054521993138")</f>
        <v>8054521993138</v>
      </c>
      <c r="C11396" t="str">
        <f>IFERROR(__xludf.DUMMYFUNCTION("""COMPUTED_VALUE"""),"Umbra")</f>
        <v>Umbra</v>
      </c>
    </row>
    <row r="11397">
      <c r="A11397" t="str">
        <f>IFERROR(__xludf.DUMMYFUNCTION("""COMPUTED_VALUE"""),"29047/F")</f>
        <v>29047/F</v>
      </c>
      <c r="B11397" s="226" t="str">
        <f>IFERROR(__xludf.DUMMYFUNCTION("""COMPUTED_VALUE"""),"8058772224461")</f>
        <v>8058772224461</v>
      </c>
      <c r="C11397" t="str">
        <f>IFERROR(__xludf.DUMMYFUNCTION("""COMPUTED_VALUE"""),"Umbra")</f>
        <v>Umbra</v>
      </c>
    </row>
    <row r="11398">
      <c r="A11398" t="str">
        <f>IFERROR(__xludf.DUMMYFUNCTION("""COMPUTED_VALUE"""),"29047/VM")</f>
        <v>29047/VM</v>
      </c>
      <c r="B11398" s="226" t="str">
        <f>IFERROR(__xludf.DUMMYFUNCTION("""COMPUTED_VALUE"""),"8054521993145")</f>
        <v>8054521993145</v>
      </c>
      <c r="C11398" t="str">
        <f>IFERROR(__xludf.DUMMYFUNCTION("""COMPUTED_VALUE"""),"Umbra")</f>
        <v>Umbra</v>
      </c>
    </row>
    <row r="11399">
      <c r="A11399" t="str">
        <f>IFERROR(__xludf.DUMMYFUNCTION("""COMPUTED_VALUE"""),"29051/C")</f>
        <v>29051/C</v>
      </c>
      <c r="B11399" s="226" t="str">
        <f>IFERROR(__xludf.DUMMYFUNCTION("""COMPUTED_VALUE"""),"8058772224553")</f>
        <v>8058772224553</v>
      </c>
      <c r="C11399" t="str">
        <f>IFERROR(__xludf.DUMMYFUNCTION("""COMPUTED_VALUE"""),"Umbra")</f>
        <v>Umbra</v>
      </c>
    </row>
    <row r="11400">
      <c r="A11400" t="str">
        <f>IFERROR(__xludf.DUMMYFUNCTION("""COMPUTED_VALUE"""),"29051/VM")</f>
        <v>29051/VM</v>
      </c>
      <c r="B11400" s="226" t="str">
        <f>IFERROR(__xludf.DUMMYFUNCTION("""COMPUTED_VALUE"""),"8058772224560")</f>
        <v>8058772224560</v>
      </c>
      <c r="C11400" t="str">
        <f>IFERROR(__xludf.DUMMYFUNCTION("""COMPUTED_VALUE"""),"Umbra")</f>
        <v>Umbra</v>
      </c>
    </row>
    <row r="11401">
      <c r="A11401" t="str">
        <f>IFERROR(__xludf.DUMMYFUNCTION("""COMPUTED_VALUE"""),"29029")</f>
        <v>29029</v>
      </c>
      <c r="B11401" s="226" t="str">
        <f>IFERROR(__xludf.DUMMYFUNCTION("""COMPUTED_VALUE"""),"8054521992902")</f>
        <v>8054521992902</v>
      </c>
      <c r="C11401" t="str">
        <f>IFERROR(__xludf.DUMMYFUNCTION("""COMPUTED_VALUE"""),"Umbra")</f>
        <v>Umbra</v>
      </c>
    </row>
    <row r="11402">
      <c r="A11402" t="str">
        <f>IFERROR(__xludf.DUMMYFUNCTION("""COMPUTED_VALUE"""),"13133")</f>
        <v>13133</v>
      </c>
      <c r="B11402" s="226" t="str">
        <f>IFERROR(__xludf.DUMMYFUNCTION("""COMPUTED_VALUE"""),"8058772228674")</f>
        <v>8058772228674</v>
      </c>
      <c r="C11402" t="str">
        <f>IFERROR(__xludf.DUMMYFUNCTION("""COMPUTED_VALUE"""),"Umbra")</f>
        <v>Umbra</v>
      </c>
    </row>
    <row r="11403">
      <c r="A11403" t="str">
        <f>IFERROR(__xludf.DUMMYFUNCTION("""COMPUTED_VALUE"""),"13133/F")</f>
        <v>13133/F</v>
      </c>
      <c r="B11403" s="226" t="str">
        <f>IFERROR(__xludf.DUMMYFUNCTION("""COMPUTED_VALUE"""),"8058772222375")</f>
        <v>8058772222375</v>
      </c>
      <c r="C11403" t="str">
        <f>IFERROR(__xludf.DUMMYFUNCTION("""COMPUTED_VALUE"""),"Umbra")</f>
        <v>Umbra</v>
      </c>
    </row>
    <row r="11404">
      <c r="A11404" t="str">
        <f>IFERROR(__xludf.DUMMYFUNCTION("""COMPUTED_VALUE"""),"13137/C")</f>
        <v>13137/C</v>
      </c>
      <c r="B11404" s="226" t="str">
        <f>IFERROR(__xludf.DUMMYFUNCTION("""COMPUTED_VALUE"""),"8058772228698")</f>
        <v>8058772228698</v>
      </c>
      <c r="C11404" t="str">
        <f>IFERROR(__xludf.DUMMYFUNCTION("""COMPUTED_VALUE"""),"Umbra")</f>
        <v>Umbra</v>
      </c>
    </row>
    <row r="11405">
      <c r="A11405" t="str">
        <f>IFERROR(__xludf.DUMMYFUNCTION("""COMPUTED_VALUE"""),"13137/F")</f>
        <v>13137/F</v>
      </c>
      <c r="B11405" s="226" t="str">
        <f>IFERROR(__xludf.DUMMYFUNCTION("""COMPUTED_VALUE"""),"8058772222382")</f>
        <v>8058772222382</v>
      </c>
      <c r="C11405" t="str">
        <f>IFERROR(__xludf.DUMMYFUNCTION("""COMPUTED_VALUE"""),"Umbra")</f>
        <v>Umbra</v>
      </c>
    </row>
    <row r="11406">
      <c r="A11406" t="str">
        <f>IFERROR(__xludf.DUMMYFUNCTION("""COMPUTED_VALUE"""),"13152")</f>
        <v>13152</v>
      </c>
      <c r="B11406" s="226" t="str">
        <f>IFERROR(__xludf.DUMMYFUNCTION("""COMPUTED_VALUE"""),"8058772228926")</f>
        <v>8058772228926</v>
      </c>
      <c r="C11406" t="str">
        <f>IFERROR(__xludf.DUMMYFUNCTION("""COMPUTED_VALUE"""),"Umbra")</f>
        <v>Umbra</v>
      </c>
    </row>
    <row r="11407">
      <c r="A11407" t="str">
        <f>IFERROR(__xludf.DUMMYFUNCTION("""COMPUTED_VALUE"""),"13152/F")</f>
        <v>13152/F</v>
      </c>
      <c r="B11407" s="226" t="str">
        <f>IFERROR(__xludf.DUMMYFUNCTION("""COMPUTED_VALUE"""),"8058772222481")</f>
        <v>8058772222481</v>
      </c>
      <c r="C11407" t="str">
        <f>IFERROR(__xludf.DUMMYFUNCTION("""COMPUTED_VALUE"""),"Umbra")</f>
        <v>Umbra</v>
      </c>
    </row>
    <row r="11408">
      <c r="A11408" t="str">
        <f>IFERROR(__xludf.DUMMYFUNCTION("""COMPUTED_VALUE"""),"13152")</f>
        <v>13152</v>
      </c>
      <c r="B11408" s="226" t="str">
        <f>IFERROR(__xludf.DUMMYFUNCTION("""COMPUTED_VALUE"""),"8058772228926")</f>
        <v>8058772228926</v>
      </c>
      <c r="C11408" t="str">
        <f>IFERROR(__xludf.DUMMYFUNCTION("""COMPUTED_VALUE"""),"Umbra")</f>
        <v>Umbra</v>
      </c>
    </row>
    <row r="11409">
      <c r="A11409" t="str">
        <f>IFERROR(__xludf.DUMMYFUNCTION("""COMPUTED_VALUE"""),"13152/F")</f>
        <v>13152/F</v>
      </c>
      <c r="B11409" s="226" t="str">
        <f>IFERROR(__xludf.DUMMYFUNCTION("""COMPUTED_VALUE"""),"8058772222481")</f>
        <v>8058772222481</v>
      </c>
      <c r="C11409" t="str">
        <f>IFERROR(__xludf.DUMMYFUNCTION("""COMPUTED_VALUE"""),"Umbra")</f>
        <v>Umbra</v>
      </c>
    </row>
    <row r="11410">
      <c r="A11410" t="str">
        <f>IFERROR(__xludf.DUMMYFUNCTION("""COMPUTED_VALUE"""),"13146")</f>
        <v>13146</v>
      </c>
      <c r="B11410" s="226" t="str">
        <f>IFERROR(__xludf.DUMMYFUNCTION("""COMPUTED_VALUE"""),"8058772228803")</f>
        <v>8058772228803</v>
      </c>
      <c r="C11410" t="str">
        <f>IFERROR(__xludf.DUMMYFUNCTION("""COMPUTED_VALUE"""),"Umbra")</f>
        <v>Umbra</v>
      </c>
    </row>
    <row r="11411">
      <c r="A11411" t="str">
        <f>IFERROR(__xludf.DUMMYFUNCTION("""COMPUTED_VALUE"""),"13147/C")</f>
        <v>13147/C</v>
      </c>
      <c r="B11411" s="226" t="str">
        <f>IFERROR(__xludf.DUMMYFUNCTION("""COMPUTED_VALUE"""),"8058772228810")</f>
        <v>8058772228810</v>
      </c>
      <c r="C11411" t="str">
        <f>IFERROR(__xludf.DUMMYFUNCTION("""COMPUTED_VALUE"""),"Umbra")</f>
        <v>Umbra</v>
      </c>
    </row>
    <row r="11412">
      <c r="A11412" t="str">
        <f>IFERROR(__xludf.DUMMYFUNCTION("""COMPUTED_VALUE"""),"13147/G")</f>
        <v>13147/G</v>
      </c>
      <c r="B11412" s="226" t="str">
        <f>IFERROR(__xludf.DUMMYFUNCTION("""COMPUTED_VALUE"""),"8058772228827")</f>
        <v>8058772228827</v>
      </c>
      <c r="C11412" t="str">
        <f>IFERROR(__xludf.DUMMYFUNCTION("""COMPUTED_VALUE"""),"Umbra")</f>
        <v>Umbra</v>
      </c>
    </row>
    <row r="11413">
      <c r="A11413" t="str">
        <f>IFERROR(__xludf.DUMMYFUNCTION("""COMPUTED_VALUE"""),"13148/G")</f>
        <v>13148/G</v>
      </c>
      <c r="B11413" s="226" t="str">
        <f>IFERROR(__xludf.DUMMYFUNCTION("""COMPUTED_VALUE"""),"8058772228858")</f>
        <v>8058772228858</v>
      </c>
      <c r="C11413" t="str">
        <f>IFERROR(__xludf.DUMMYFUNCTION("""COMPUTED_VALUE"""),"Umbra")</f>
        <v>Umbra</v>
      </c>
    </row>
    <row r="11414">
      <c r="A11414" t="str">
        <f>IFERROR(__xludf.DUMMYFUNCTION("""COMPUTED_VALUE"""),"13148/1G")</f>
        <v>13148/1G</v>
      </c>
      <c r="B11414" s="226" t="str">
        <f>IFERROR(__xludf.DUMMYFUNCTION("""COMPUTED_VALUE"""),"8058772228834")</f>
        <v>8058772228834</v>
      </c>
      <c r="C11414" t="str">
        <f>IFERROR(__xludf.DUMMYFUNCTION("""COMPUTED_VALUE"""),"Umbra")</f>
        <v>Umbra</v>
      </c>
    </row>
    <row r="11415">
      <c r="A11415" t="str">
        <f>IFERROR(__xludf.DUMMYFUNCTION("""COMPUTED_VALUE"""),"13148/SF")</f>
        <v>13148/SF</v>
      </c>
      <c r="B11415" s="226" t="str">
        <f>IFERROR(__xludf.DUMMYFUNCTION("""COMPUTED_VALUE"""),"8058772228865")</f>
        <v>8058772228865</v>
      </c>
      <c r="C11415" t="str">
        <f>IFERROR(__xludf.DUMMYFUNCTION("""COMPUTED_VALUE"""),"Umbra")</f>
        <v>Umbra</v>
      </c>
    </row>
    <row r="11416">
      <c r="A11416" t="str">
        <f>IFERROR(__xludf.DUMMYFUNCTION("""COMPUTED_VALUE"""),"13148/1SF")</f>
        <v>13148/1SF</v>
      </c>
      <c r="B11416" s="226" t="str">
        <f>IFERROR(__xludf.DUMMYFUNCTION("""COMPUTED_VALUE"""),"8058772228841")</f>
        <v>8058772228841</v>
      </c>
      <c r="C11416" t="str">
        <f>IFERROR(__xludf.DUMMYFUNCTION("""COMPUTED_VALUE"""),"Umbra")</f>
        <v>Umbra</v>
      </c>
    </row>
    <row r="11417">
      <c r="A11417" t="str">
        <f>IFERROR(__xludf.DUMMYFUNCTION("""COMPUTED_VALUE"""),"13151/C")</f>
        <v>13151/C</v>
      </c>
      <c r="B11417" s="226" t="str">
        <f>IFERROR(__xludf.DUMMYFUNCTION("""COMPUTED_VALUE"""),"8058772228919")</f>
        <v>8058772228919</v>
      </c>
      <c r="C11417" t="str">
        <f>IFERROR(__xludf.DUMMYFUNCTION("""COMPUTED_VALUE"""),"Umbra")</f>
        <v>Umbra</v>
      </c>
    </row>
    <row r="11418">
      <c r="A11418" t="str">
        <f>IFERROR(__xludf.DUMMYFUNCTION("""COMPUTED_VALUE"""),"13151/F")</f>
        <v>13151/F</v>
      </c>
      <c r="B11418" s="226" t="str">
        <f>IFERROR(__xludf.DUMMYFUNCTION("""COMPUTED_VALUE"""),"8058772222474")</f>
        <v>8058772222474</v>
      </c>
      <c r="C11418" t="str">
        <f>IFERROR(__xludf.DUMMYFUNCTION("""COMPUTED_VALUE"""),"Umbra")</f>
        <v>Umbra</v>
      </c>
    </row>
    <row r="11419">
      <c r="A11419" t="str">
        <f>IFERROR(__xludf.DUMMYFUNCTION("""COMPUTED_VALUE"""),"13133")</f>
        <v>13133</v>
      </c>
      <c r="B11419" s="226" t="str">
        <f>IFERROR(__xludf.DUMMYFUNCTION("""COMPUTED_VALUE"""),"8058772228674")</f>
        <v>8058772228674</v>
      </c>
      <c r="C11419" t="str">
        <f>IFERROR(__xludf.DUMMYFUNCTION("""COMPUTED_VALUE"""),"Umbra")</f>
        <v>Umbra</v>
      </c>
    </row>
    <row r="11420">
      <c r="A11420" t="str">
        <f>IFERROR(__xludf.DUMMYFUNCTION("""COMPUTED_VALUE"""),"13133/F")</f>
        <v>13133/F</v>
      </c>
      <c r="B11420" s="226" t="str">
        <f>IFERROR(__xludf.DUMMYFUNCTION("""COMPUTED_VALUE"""),"8058772222375")</f>
        <v>8058772222375</v>
      </c>
      <c r="C11420" t="str">
        <f>IFERROR(__xludf.DUMMYFUNCTION("""COMPUTED_VALUE"""),"Umbra")</f>
        <v>Umbra</v>
      </c>
    </row>
    <row r="11421">
      <c r="A11421" t="str">
        <f>IFERROR(__xludf.DUMMYFUNCTION("""COMPUTED_VALUE"""),"13151/C")</f>
        <v>13151/C</v>
      </c>
      <c r="B11421" s="226" t="str">
        <f>IFERROR(__xludf.DUMMYFUNCTION("""COMPUTED_VALUE"""),"8058772228919")</f>
        <v>8058772228919</v>
      </c>
      <c r="C11421" t="str">
        <f>IFERROR(__xludf.DUMMYFUNCTION("""COMPUTED_VALUE"""),"Umbra")</f>
        <v>Umbra</v>
      </c>
    </row>
    <row r="11422">
      <c r="A11422" t="str">
        <f>IFERROR(__xludf.DUMMYFUNCTION("""COMPUTED_VALUE"""),"13151/F")</f>
        <v>13151/F</v>
      </c>
      <c r="B11422" s="226" t="str">
        <f>IFERROR(__xludf.DUMMYFUNCTION("""COMPUTED_VALUE"""),"8058772222474")</f>
        <v>8058772222474</v>
      </c>
      <c r="C11422" t="str">
        <f>IFERROR(__xludf.DUMMYFUNCTION("""COMPUTED_VALUE"""),"Umbra")</f>
        <v>Umbra</v>
      </c>
    </row>
    <row r="11423">
      <c r="A11423" t="str">
        <f>IFERROR(__xludf.DUMMYFUNCTION("""COMPUTED_VALUE"""),"07045/C")</f>
        <v>07045/C</v>
      </c>
      <c r="B11423" s="226" t="str">
        <f>IFERROR(__xludf.DUMMYFUNCTION("""COMPUTED_VALUE"""),"8058772221866")</f>
        <v>8058772221866</v>
      </c>
      <c r="C11423" t="str">
        <f>IFERROR(__xludf.DUMMYFUNCTION("""COMPUTED_VALUE"""),"Umbra")</f>
        <v>Umbra</v>
      </c>
    </row>
    <row r="11424">
      <c r="A11424" t="str">
        <f>IFERROR(__xludf.DUMMYFUNCTION("""COMPUTED_VALUE"""),"07045/F")</f>
        <v>07045/F</v>
      </c>
      <c r="B11424" s="226" t="str">
        <f>IFERROR(__xludf.DUMMYFUNCTION("""COMPUTED_VALUE"""),"8058772221859")</f>
        <v>8058772221859</v>
      </c>
      <c r="C11424" t="str">
        <f>IFERROR(__xludf.DUMMYFUNCTION("""COMPUTED_VALUE"""),"Umbra")</f>
        <v>Umbra</v>
      </c>
    </row>
    <row r="11425">
      <c r="A11425" t="str">
        <f>IFERROR(__xludf.DUMMYFUNCTION("""COMPUTED_VALUE"""),"29045/C")</f>
        <v>29045/C</v>
      </c>
      <c r="B11425" s="226" t="str">
        <f>IFERROR(__xludf.DUMMYFUNCTION("""COMPUTED_VALUE"""),"8054521993077")</f>
        <v>8054521993077</v>
      </c>
      <c r="C11425" t="str">
        <f>IFERROR(__xludf.DUMMYFUNCTION("""COMPUTED_VALUE"""),"Umbra")</f>
        <v>Umbra</v>
      </c>
    </row>
    <row r="11426">
      <c r="A11426" t="str">
        <f>IFERROR(__xludf.DUMMYFUNCTION("""COMPUTED_VALUE"""),"29045/LC")</f>
        <v>29045/LC</v>
      </c>
      <c r="B11426" s="226" t="str">
        <f>IFERROR(__xludf.DUMMYFUNCTION("""COMPUTED_VALUE"""),"8054521993084")</f>
        <v>8054521993084</v>
      </c>
      <c r="C11426" t="str">
        <f>IFERROR(__xludf.DUMMYFUNCTION("""COMPUTED_VALUE"""),"Umbra")</f>
        <v>Umbra</v>
      </c>
    </row>
    <row r="11427">
      <c r="A11427" t="str">
        <f>IFERROR(__xludf.DUMMYFUNCTION("""COMPUTED_VALUE"""),"29045/F")</f>
        <v>29045/F</v>
      </c>
      <c r="B11427" s="226" t="str">
        <f>IFERROR(__xludf.DUMMYFUNCTION("""COMPUTED_VALUE"""),"8058772224430")</f>
        <v>8058772224430</v>
      </c>
      <c r="C11427" t="str">
        <f>IFERROR(__xludf.DUMMYFUNCTION("""COMPUTED_VALUE"""),"Umbra")</f>
        <v>Umbra</v>
      </c>
    </row>
    <row r="11428">
      <c r="A11428" t="str">
        <f>IFERROR(__xludf.DUMMYFUNCTION("""COMPUTED_VALUE"""),"29045/LF")</f>
        <v>29045/LF</v>
      </c>
      <c r="C11428" t="str">
        <f>IFERROR(__xludf.DUMMYFUNCTION("""COMPUTED_VALUE"""),"Umbra")</f>
        <v>Umbra</v>
      </c>
    </row>
    <row r="11429">
      <c r="A11429" t="str">
        <f>IFERROR(__xludf.DUMMYFUNCTION("""COMPUTED_VALUE"""),"29045/VM")</f>
        <v>29045/VM</v>
      </c>
      <c r="B11429" s="226" t="str">
        <f>IFERROR(__xludf.DUMMYFUNCTION("""COMPUTED_VALUE"""),"8054521993107")</f>
        <v>8054521993107</v>
      </c>
      <c r="C11429" t="str">
        <f>IFERROR(__xludf.DUMMYFUNCTION("""COMPUTED_VALUE"""),"Umbra")</f>
        <v>Umbra</v>
      </c>
    </row>
    <row r="11430">
      <c r="A11430" t="str">
        <f>IFERROR(__xludf.DUMMYFUNCTION("""COMPUTED_VALUE"""),"29045/LVM")</f>
        <v>29045/LVM</v>
      </c>
      <c r="B11430" s="226" t="str">
        <f>IFERROR(__xludf.DUMMYFUNCTION("""COMPUTED_VALUE"""),"8054521993091")</f>
        <v>8054521993091</v>
      </c>
      <c r="C11430" t="str">
        <f>IFERROR(__xludf.DUMMYFUNCTION("""COMPUTED_VALUE"""),"Umbra")</f>
        <v>Umbra</v>
      </c>
    </row>
    <row r="11431">
      <c r="A11431" t="str">
        <f>IFERROR(__xludf.DUMMYFUNCTION("""COMPUTED_VALUE"""),"29045/C")</f>
        <v>29045/C</v>
      </c>
      <c r="B11431" s="226" t="str">
        <f>IFERROR(__xludf.DUMMYFUNCTION("""COMPUTED_VALUE"""),"8054521993077")</f>
        <v>8054521993077</v>
      </c>
      <c r="C11431" t="str">
        <f>IFERROR(__xludf.DUMMYFUNCTION("""COMPUTED_VALUE"""),"Umbra")</f>
        <v>Umbra</v>
      </c>
    </row>
    <row r="11432">
      <c r="A11432" t="str">
        <f>IFERROR(__xludf.DUMMYFUNCTION("""COMPUTED_VALUE"""),"29045/F")</f>
        <v>29045/F</v>
      </c>
      <c r="B11432" s="226" t="str">
        <f>IFERROR(__xludf.DUMMYFUNCTION("""COMPUTED_VALUE"""),"8058772224430")</f>
        <v>8058772224430</v>
      </c>
      <c r="C11432" t="str">
        <f>IFERROR(__xludf.DUMMYFUNCTION("""COMPUTED_VALUE"""),"Umbra")</f>
        <v>Umbra</v>
      </c>
    </row>
    <row r="11433">
      <c r="A11433" t="str">
        <f>IFERROR(__xludf.DUMMYFUNCTION("""COMPUTED_VALUE"""),"29045/VM")</f>
        <v>29045/VM</v>
      </c>
      <c r="B11433" s="226" t="str">
        <f>IFERROR(__xludf.DUMMYFUNCTION("""COMPUTED_VALUE"""),"8054521993107")</f>
        <v>8054521993107</v>
      </c>
      <c r="C11433" t="str">
        <f>IFERROR(__xludf.DUMMYFUNCTION("""COMPUTED_VALUE"""),"Umbra")</f>
        <v>Umbra</v>
      </c>
    </row>
    <row r="11434">
      <c r="A11434" t="str">
        <f>IFERROR(__xludf.DUMMYFUNCTION("""COMPUTED_VALUE"""),"29045/C")</f>
        <v>29045/C</v>
      </c>
      <c r="B11434" s="226" t="str">
        <f>IFERROR(__xludf.DUMMYFUNCTION("""COMPUTED_VALUE"""),"8054521993077")</f>
        <v>8054521993077</v>
      </c>
      <c r="C11434" t="str">
        <f>IFERROR(__xludf.DUMMYFUNCTION("""COMPUTED_VALUE"""),"Umbra")</f>
        <v>Umbra</v>
      </c>
    </row>
    <row r="11435">
      <c r="A11435" t="str">
        <f>IFERROR(__xludf.DUMMYFUNCTION("""COMPUTED_VALUE"""),"29045/LC")</f>
        <v>29045/LC</v>
      </c>
      <c r="B11435" s="226" t="str">
        <f>IFERROR(__xludf.DUMMYFUNCTION("""COMPUTED_VALUE"""),"8054521993084")</f>
        <v>8054521993084</v>
      </c>
      <c r="C11435" t="str">
        <f>IFERROR(__xludf.DUMMYFUNCTION("""COMPUTED_VALUE"""),"Umbra")</f>
        <v>Umbra</v>
      </c>
    </row>
    <row r="11436">
      <c r="A11436" t="str">
        <f>IFERROR(__xludf.DUMMYFUNCTION("""COMPUTED_VALUE"""),"29045/F")</f>
        <v>29045/F</v>
      </c>
      <c r="B11436" s="226" t="str">
        <f>IFERROR(__xludf.DUMMYFUNCTION("""COMPUTED_VALUE"""),"8058772224430")</f>
        <v>8058772224430</v>
      </c>
      <c r="C11436" t="str">
        <f>IFERROR(__xludf.DUMMYFUNCTION("""COMPUTED_VALUE"""),"Umbra")</f>
        <v>Umbra</v>
      </c>
    </row>
    <row r="11437">
      <c r="A11437" t="str">
        <f>IFERROR(__xludf.DUMMYFUNCTION("""COMPUTED_VALUE"""),"29045/LF")</f>
        <v>29045/LF</v>
      </c>
      <c r="C11437" t="str">
        <f>IFERROR(__xludf.DUMMYFUNCTION("""COMPUTED_VALUE"""),"Umbra")</f>
        <v>Umbra</v>
      </c>
    </row>
    <row r="11438">
      <c r="A11438" t="str">
        <f>IFERROR(__xludf.DUMMYFUNCTION("""COMPUTED_VALUE"""),"29045/VM")</f>
        <v>29045/VM</v>
      </c>
      <c r="B11438" s="226" t="str">
        <f>IFERROR(__xludf.DUMMYFUNCTION("""COMPUTED_VALUE"""),"8054521993107")</f>
        <v>8054521993107</v>
      </c>
      <c r="C11438" t="str">
        <f>IFERROR(__xludf.DUMMYFUNCTION("""COMPUTED_VALUE"""),"Umbra")</f>
        <v>Umbra</v>
      </c>
    </row>
    <row r="11439">
      <c r="A11439" t="str">
        <f>IFERROR(__xludf.DUMMYFUNCTION("""COMPUTED_VALUE"""),"29045/LVM")</f>
        <v>29045/LVM</v>
      </c>
      <c r="B11439" s="226" t="str">
        <f>IFERROR(__xludf.DUMMYFUNCTION("""COMPUTED_VALUE"""),"8054521993091")</f>
        <v>8054521993091</v>
      </c>
      <c r="C11439" t="str">
        <f>IFERROR(__xludf.DUMMYFUNCTION("""COMPUTED_VALUE"""),"Umbra")</f>
        <v>Umbra</v>
      </c>
    </row>
    <row r="11440">
      <c r="A11440" t="str">
        <f>IFERROR(__xludf.DUMMYFUNCTION("""COMPUTED_VALUE"""),"07045/C")</f>
        <v>07045/C</v>
      </c>
      <c r="B11440" s="226" t="str">
        <f>IFERROR(__xludf.DUMMYFUNCTION("""COMPUTED_VALUE"""),"8058772221866")</f>
        <v>8058772221866</v>
      </c>
      <c r="C11440" t="str">
        <f>IFERROR(__xludf.DUMMYFUNCTION("""COMPUTED_VALUE"""),"Umbra")</f>
        <v>Umbra</v>
      </c>
    </row>
    <row r="11441">
      <c r="A11441" t="str">
        <f>IFERROR(__xludf.DUMMYFUNCTION("""COMPUTED_VALUE"""),"07045/F")</f>
        <v>07045/F</v>
      </c>
      <c r="B11441" s="226" t="str">
        <f>IFERROR(__xludf.DUMMYFUNCTION("""COMPUTED_VALUE"""),"8058772221859")</f>
        <v>8058772221859</v>
      </c>
      <c r="C11441" t="str">
        <f>IFERROR(__xludf.DUMMYFUNCTION("""COMPUTED_VALUE"""),"Umbra")</f>
        <v>Umbra</v>
      </c>
    </row>
    <row r="11442">
      <c r="A11442" t="str">
        <f>IFERROR(__xludf.DUMMYFUNCTION("""COMPUTED_VALUE"""),"43054/VM")</f>
        <v>43054/VM</v>
      </c>
      <c r="B11442" s="226" t="str">
        <f>IFERROR(__xludf.DUMMYFUNCTION("""COMPUTED_VALUE"""),"8054521995293")</f>
        <v>8054521995293</v>
      </c>
      <c r="C11442" t="str">
        <f>IFERROR(__xludf.DUMMYFUNCTION("""COMPUTED_VALUE"""),"Umbra")</f>
        <v>Umbra</v>
      </c>
    </row>
    <row r="11443">
      <c r="A11443" t="str">
        <f>IFERROR(__xludf.DUMMYFUNCTION("""COMPUTED_VALUE"""),"43054/VM")</f>
        <v>43054/VM</v>
      </c>
      <c r="B11443" s="226" t="str">
        <f>IFERROR(__xludf.DUMMYFUNCTION("""COMPUTED_VALUE"""),"8054521995293")</f>
        <v>8054521995293</v>
      </c>
      <c r="C11443" t="str">
        <f>IFERROR(__xludf.DUMMYFUNCTION("""COMPUTED_VALUE"""),"Umbra")</f>
        <v>Umbra</v>
      </c>
    </row>
    <row r="11444">
      <c r="A11444" t="str">
        <f>IFERROR(__xludf.DUMMYFUNCTION("""COMPUTED_VALUE"""),"31100/C")</f>
        <v>31100/C</v>
      </c>
      <c r="B11444" s="226" t="str">
        <f>IFERROR(__xludf.DUMMYFUNCTION("""COMPUTED_VALUE"""),"8058772224881")</f>
        <v>8058772224881</v>
      </c>
      <c r="C11444" t="str">
        <f>IFERROR(__xludf.DUMMYFUNCTION("""COMPUTED_VALUE"""),"Umbra")</f>
        <v>Umbra</v>
      </c>
    </row>
    <row r="11445">
      <c r="A11445" t="str">
        <f>IFERROR(__xludf.DUMMYFUNCTION("""COMPUTED_VALUE"""),"31100/F")</f>
        <v>31100/F</v>
      </c>
      <c r="B11445" s="226" t="str">
        <f>IFERROR(__xludf.DUMMYFUNCTION("""COMPUTED_VALUE"""),"8058772224874")</f>
        <v>8058772224874</v>
      </c>
      <c r="C11445" t="str">
        <f>IFERROR(__xludf.DUMMYFUNCTION("""COMPUTED_VALUE"""),"Umbra")</f>
        <v>Umbra</v>
      </c>
    </row>
    <row r="11446">
      <c r="A11446" t="str">
        <f>IFERROR(__xludf.DUMMYFUNCTION("""COMPUTED_VALUE"""),"31100/VM")</f>
        <v>31100/VM</v>
      </c>
      <c r="C11446" t="str">
        <f>IFERROR(__xludf.DUMMYFUNCTION("""COMPUTED_VALUE"""),"Umbra")</f>
        <v>Umbra</v>
      </c>
    </row>
    <row r="11447">
      <c r="A11447" t="str">
        <f>IFERROR(__xludf.DUMMYFUNCTION("""COMPUTED_VALUE"""),"31068")</f>
        <v>31068</v>
      </c>
      <c r="B11447" s="226" t="str">
        <f>IFERROR(__xludf.DUMMYFUNCTION("""COMPUTED_VALUE"""),"8054521993480")</f>
        <v>8054521993480</v>
      </c>
      <c r="C11447" t="str">
        <f>IFERROR(__xludf.DUMMYFUNCTION("""COMPUTED_VALUE"""),"Umbra")</f>
        <v>Umbra</v>
      </c>
    </row>
    <row r="11448">
      <c r="A11448" t="str">
        <f>IFERROR(__xludf.DUMMYFUNCTION("""COMPUTED_VALUE"""),"31068/F")</f>
        <v>31068/F</v>
      </c>
      <c r="B11448" s="226" t="str">
        <f>IFERROR(__xludf.DUMMYFUNCTION("""COMPUTED_VALUE"""),"8058772224607")</f>
        <v>8058772224607</v>
      </c>
      <c r="C11448" t="str">
        <f>IFERROR(__xludf.DUMMYFUNCTION("""COMPUTED_VALUE"""),"Umbra")</f>
        <v>Umbra</v>
      </c>
    </row>
    <row r="11449">
      <c r="A11449" t="str">
        <f>IFERROR(__xludf.DUMMYFUNCTION("""COMPUTED_VALUE"""),"31083/C")</f>
        <v>31083/C</v>
      </c>
      <c r="B11449" s="226" t="str">
        <f>IFERROR(__xludf.DUMMYFUNCTION("""COMPUTED_VALUE"""),"8054521993657")</f>
        <v>8054521993657</v>
      </c>
      <c r="C11449" t="str">
        <f>IFERROR(__xludf.DUMMYFUNCTION("""COMPUTED_VALUE"""),"Umbra")</f>
        <v>Umbra</v>
      </c>
    </row>
    <row r="11450">
      <c r="A11450" t="str">
        <f>IFERROR(__xludf.DUMMYFUNCTION("""COMPUTED_VALUE"""),"31083/F")</f>
        <v>31083/F</v>
      </c>
      <c r="B11450" s="226" t="str">
        <f>IFERROR(__xludf.DUMMYFUNCTION("""COMPUTED_VALUE"""),"8058772224706")</f>
        <v>8058772224706</v>
      </c>
      <c r="C11450" t="str">
        <f>IFERROR(__xludf.DUMMYFUNCTION("""COMPUTED_VALUE"""),"Umbra")</f>
        <v>Umbra</v>
      </c>
    </row>
    <row r="11451">
      <c r="A11451" t="str">
        <f>IFERROR(__xludf.DUMMYFUNCTION("""COMPUTED_VALUE"""),"31097/C")</f>
        <v>31097/C</v>
      </c>
      <c r="B11451" s="226" t="str">
        <f>IFERROR(__xludf.DUMMYFUNCTION("""COMPUTED_VALUE"""),"8058772224829")</f>
        <v>8058772224829</v>
      </c>
      <c r="C11451" t="str">
        <f>IFERROR(__xludf.DUMMYFUNCTION("""COMPUTED_VALUE"""),"Umbra")</f>
        <v>Umbra</v>
      </c>
    </row>
    <row r="11452">
      <c r="A11452" t="str">
        <f>IFERROR(__xludf.DUMMYFUNCTION("""COMPUTED_VALUE"""),"31097/F")</f>
        <v>31097/F</v>
      </c>
      <c r="B11452" s="226" t="str">
        <f>IFERROR(__xludf.DUMMYFUNCTION("""COMPUTED_VALUE"""),"8058772224812")</f>
        <v>8058772224812</v>
      </c>
      <c r="C11452" t="str">
        <f>IFERROR(__xludf.DUMMYFUNCTION("""COMPUTED_VALUE"""),"Umbra")</f>
        <v>Umbra</v>
      </c>
    </row>
    <row r="11453">
      <c r="A11453" t="str">
        <f>IFERROR(__xludf.DUMMYFUNCTION("""COMPUTED_VALUE"""),"31097/VM")</f>
        <v>31097/VM</v>
      </c>
      <c r="B11453" s="226" t="str">
        <f>IFERROR(__xludf.DUMMYFUNCTION("""COMPUTED_VALUE"""),"8058772224836")</f>
        <v>8058772224836</v>
      </c>
      <c r="C11453" t="str">
        <f>IFERROR(__xludf.DUMMYFUNCTION("""COMPUTED_VALUE"""),"Umbra")</f>
        <v>Umbra</v>
      </c>
    </row>
    <row r="11454">
      <c r="A11454" t="str">
        <f>IFERROR(__xludf.DUMMYFUNCTION("""COMPUTED_VALUE"""),"31100/C")</f>
        <v>31100/C</v>
      </c>
      <c r="B11454" s="226" t="str">
        <f>IFERROR(__xludf.DUMMYFUNCTION("""COMPUTED_VALUE"""),"8058772224881")</f>
        <v>8058772224881</v>
      </c>
      <c r="C11454" t="str">
        <f>IFERROR(__xludf.DUMMYFUNCTION("""COMPUTED_VALUE"""),"Umbra")</f>
        <v>Umbra</v>
      </c>
    </row>
    <row r="11455">
      <c r="A11455" t="str">
        <f>IFERROR(__xludf.DUMMYFUNCTION("""COMPUTED_VALUE"""),"31100/F")</f>
        <v>31100/F</v>
      </c>
      <c r="B11455" s="226" t="str">
        <f>IFERROR(__xludf.DUMMYFUNCTION("""COMPUTED_VALUE"""),"8058772224874")</f>
        <v>8058772224874</v>
      </c>
      <c r="C11455" t="str">
        <f>IFERROR(__xludf.DUMMYFUNCTION("""COMPUTED_VALUE"""),"Umbra")</f>
        <v>Umbra</v>
      </c>
    </row>
    <row r="11456">
      <c r="A11456" t="str">
        <f>IFERROR(__xludf.DUMMYFUNCTION("""COMPUTED_VALUE"""),"31100/VM")</f>
        <v>31100/VM</v>
      </c>
      <c r="C11456" t="str">
        <f>IFERROR(__xludf.DUMMYFUNCTION("""COMPUTED_VALUE"""),"Umbra")</f>
        <v>Umbra</v>
      </c>
    </row>
    <row r="11457">
      <c r="A11457" t="str">
        <f>IFERROR(__xludf.DUMMYFUNCTION("""COMPUTED_VALUE"""),"31086/C")</f>
        <v>31086/C</v>
      </c>
      <c r="B11457" s="226" t="str">
        <f>IFERROR(__xludf.DUMMYFUNCTION("""COMPUTED_VALUE"""),"8054521993671")</f>
        <v>8054521993671</v>
      </c>
      <c r="C11457" t="str">
        <f>IFERROR(__xludf.DUMMYFUNCTION("""COMPUTED_VALUE"""),"Umbra")</f>
        <v>Umbra</v>
      </c>
    </row>
    <row r="11458">
      <c r="A11458" t="str">
        <f>IFERROR(__xludf.DUMMYFUNCTION("""COMPUTED_VALUE"""),"31086/F")</f>
        <v>31086/F</v>
      </c>
      <c r="B11458" s="226" t="str">
        <f>IFERROR(__xludf.DUMMYFUNCTION("""COMPUTED_VALUE"""),"8058772224713")</f>
        <v>8058772224713</v>
      </c>
      <c r="C11458" t="str">
        <f>IFERROR(__xludf.DUMMYFUNCTION("""COMPUTED_VALUE"""),"Umbra")</f>
        <v>Umbra</v>
      </c>
    </row>
    <row r="11459">
      <c r="A11459" t="str">
        <f>IFERROR(__xludf.DUMMYFUNCTION("""COMPUTED_VALUE"""),"31067")</f>
        <v>31067</v>
      </c>
      <c r="B11459" s="226" t="str">
        <f>IFERROR(__xludf.DUMMYFUNCTION("""COMPUTED_VALUE"""),"8054521993473")</f>
        <v>8054521993473</v>
      </c>
      <c r="C11459" t="str">
        <f>IFERROR(__xludf.DUMMYFUNCTION("""COMPUTED_VALUE"""),"Umbra")</f>
        <v>Umbra</v>
      </c>
    </row>
    <row r="11460">
      <c r="A11460" t="str">
        <f>IFERROR(__xludf.DUMMYFUNCTION("""COMPUTED_VALUE"""),"31077")</f>
        <v>31077</v>
      </c>
      <c r="B11460" s="226" t="str">
        <f>IFERROR(__xludf.DUMMYFUNCTION("""COMPUTED_VALUE"""),"8054521993558")</f>
        <v>8054521993558</v>
      </c>
      <c r="C11460" t="str">
        <f>IFERROR(__xludf.DUMMYFUNCTION("""COMPUTED_VALUE"""),"Umbra")</f>
        <v>Umbra</v>
      </c>
    </row>
    <row r="11461">
      <c r="A11461" t="str">
        <f>IFERROR(__xludf.DUMMYFUNCTION("""COMPUTED_VALUE"""),"31077/F")</f>
        <v>31077/F</v>
      </c>
      <c r="B11461" s="226" t="str">
        <f>IFERROR(__xludf.DUMMYFUNCTION("""COMPUTED_VALUE"""),"8058772224652")</f>
        <v>8058772224652</v>
      </c>
      <c r="C11461" t="str">
        <f>IFERROR(__xludf.DUMMYFUNCTION("""COMPUTED_VALUE"""),"Umbra")</f>
        <v>Umbra</v>
      </c>
    </row>
    <row r="11462">
      <c r="A11462" t="str">
        <f>IFERROR(__xludf.DUMMYFUNCTION("""COMPUTED_VALUE"""),"31081/C")</f>
        <v>31081/C</v>
      </c>
      <c r="B11462" s="226" t="str">
        <f>IFERROR(__xludf.DUMMYFUNCTION("""COMPUTED_VALUE"""),"8054521993626")</f>
        <v>8054521993626</v>
      </c>
      <c r="C11462" t="str">
        <f>IFERROR(__xludf.DUMMYFUNCTION("""COMPUTED_VALUE"""),"Umbra")</f>
        <v>Umbra</v>
      </c>
    </row>
    <row r="11463">
      <c r="A11463" t="str">
        <f>IFERROR(__xludf.DUMMYFUNCTION("""COMPUTED_VALUE"""),"31081/F")</f>
        <v>31081/F</v>
      </c>
      <c r="B11463" s="226" t="str">
        <f>IFERROR(__xludf.DUMMYFUNCTION("""COMPUTED_VALUE"""),"8058772224690")</f>
        <v>8058772224690</v>
      </c>
      <c r="C11463" t="str">
        <f>IFERROR(__xludf.DUMMYFUNCTION("""COMPUTED_VALUE"""),"Umbra")</f>
        <v>Umbra</v>
      </c>
    </row>
    <row r="11464">
      <c r="A11464" t="str">
        <f>IFERROR(__xludf.DUMMYFUNCTION("""COMPUTED_VALUE"""),"31081/VM")</f>
        <v>31081/VM</v>
      </c>
      <c r="B11464" s="226" t="str">
        <f>IFERROR(__xludf.DUMMYFUNCTION("""COMPUTED_VALUE"""),"8054521993633")</f>
        <v>8054521993633</v>
      </c>
      <c r="C11464" t="str">
        <f>IFERROR(__xludf.DUMMYFUNCTION("""COMPUTED_VALUE"""),"Umbra")</f>
        <v>Umbra</v>
      </c>
    </row>
    <row r="11465">
      <c r="A11465" t="str">
        <f>IFERROR(__xludf.DUMMYFUNCTION("""COMPUTED_VALUE"""),"31067")</f>
        <v>31067</v>
      </c>
      <c r="B11465" s="226" t="str">
        <f>IFERROR(__xludf.DUMMYFUNCTION("""COMPUTED_VALUE"""),"8054521993473")</f>
        <v>8054521993473</v>
      </c>
      <c r="C11465" t="str">
        <f>IFERROR(__xludf.DUMMYFUNCTION("""COMPUTED_VALUE"""),"Umbra")</f>
        <v>Umbra</v>
      </c>
    </row>
    <row r="11466">
      <c r="A11466" t="str">
        <f>IFERROR(__xludf.DUMMYFUNCTION("""COMPUTED_VALUE"""),"31080/C")</f>
        <v>31080/C</v>
      </c>
      <c r="B11466" s="226" t="str">
        <f>IFERROR(__xludf.DUMMYFUNCTION("""COMPUTED_VALUE"""),"8054521993589")</f>
        <v>8054521993589</v>
      </c>
      <c r="C11466" t="str">
        <f>IFERROR(__xludf.DUMMYFUNCTION("""COMPUTED_VALUE"""),"Umbra")</f>
        <v>Umbra</v>
      </c>
    </row>
    <row r="11467">
      <c r="A11467" t="str">
        <f>IFERROR(__xludf.DUMMYFUNCTION("""COMPUTED_VALUE"""),"31105/C")</f>
        <v>31105/C</v>
      </c>
      <c r="B11467" s="226" t="str">
        <f>IFERROR(__xludf.DUMMYFUNCTION("""COMPUTED_VALUE"""),"8054521996405")</f>
        <v>8054521996405</v>
      </c>
      <c r="C11467" t="str">
        <f>IFERROR(__xludf.DUMMYFUNCTION("""COMPUTED_VALUE"""),"Umbra")</f>
        <v>Umbra</v>
      </c>
    </row>
    <row r="11468">
      <c r="A11468" t="str">
        <f>IFERROR(__xludf.DUMMYFUNCTION("""COMPUTED_VALUE"""),"31080/F")</f>
        <v>31080/F</v>
      </c>
      <c r="B11468" s="226" t="str">
        <f>IFERROR(__xludf.DUMMYFUNCTION("""COMPUTED_VALUE"""),"8058772224676")</f>
        <v>8058772224676</v>
      </c>
      <c r="C11468" t="str">
        <f>IFERROR(__xludf.DUMMYFUNCTION("""COMPUTED_VALUE"""),"Umbra")</f>
        <v>Umbra</v>
      </c>
    </row>
    <row r="11469">
      <c r="A11469" t="str">
        <f>IFERROR(__xludf.DUMMYFUNCTION("""COMPUTED_VALUE"""),"31105/F")</f>
        <v>31105/F</v>
      </c>
      <c r="B11469" s="226" t="str">
        <f>IFERROR(__xludf.DUMMYFUNCTION("""COMPUTED_VALUE"""),"8054521996399")</f>
        <v>8054521996399</v>
      </c>
      <c r="C11469" t="str">
        <f>IFERROR(__xludf.DUMMYFUNCTION("""COMPUTED_VALUE"""),"Umbra")</f>
        <v>Umbra</v>
      </c>
    </row>
    <row r="11470">
      <c r="A11470" t="str">
        <f>IFERROR(__xludf.DUMMYFUNCTION("""COMPUTED_VALUE"""),"31080/VM")</f>
        <v>31080/VM</v>
      </c>
      <c r="B11470" s="226" t="str">
        <f>IFERROR(__xludf.DUMMYFUNCTION("""COMPUTED_VALUE"""),"8054521993596")</f>
        <v>8054521993596</v>
      </c>
      <c r="C11470" t="str">
        <f>IFERROR(__xludf.DUMMYFUNCTION("""COMPUTED_VALUE"""),"Umbra")</f>
        <v>Umbra</v>
      </c>
    </row>
    <row r="11471">
      <c r="A11471" t="str">
        <f>IFERROR(__xludf.DUMMYFUNCTION("""COMPUTED_VALUE"""),"31105/VM")</f>
        <v>31105/VM</v>
      </c>
      <c r="B11471" s="226" t="str">
        <f>IFERROR(__xludf.DUMMYFUNCTION("""COMPUTED_VALUE"""),"8054521996412")</f>
        <v>8054521996412</v>
      </c>
      <c r="C11471" t="str">
        <f>IFERROR(__xludf.DUMMYFUNCTION("""COMPUTED_VALUE"""),"Umbra")</f>
        <v>Umbra</v>
      </c>
    </row>
    <row r="11472">
      <c r="A11472" t="str">
        <f>IFERROR(__xludf.DUMMYFUNCTION("""COMPUTED_VALUE"""),"31092/7C")</f>
        <v>31092/7C</v>
      </c>
      <c r="B11472" s="226" t="str">
        <f>IFERROR(__xludf.DUMMYFUNCTION("""COMPUTED_VALUE"""),"8054521993770")</f>
        <v>8054521993770</v>
      </c>
      <c r="C11472" t="str">
        <f>IFERROR(__xludf.DUMMYFUNCTION("""COMPUTED_VALUE"""),"Umbra")</f>
        <v>Umbra</v>
      </c>
    </row>
    <row r="11473">
      <c r="A11473" t="str">
        <f>IFERROR(__xludf.DUMMYFUNCTION("""COMPUTED_VALUE"""),"31105/C")</f>
        <v>31105/C</v>
      </c>
      <c r="B11473" s="226" t="str">
        <f>IFERROR(__xludf.DUMMYFUNCTION("""COMPUTED_VALUE"""),"8054521996405")</f>
        <v>8054521996405</v>
      </c>
      <c r="C11473" t="str">
        <f>IFERROR(__xludf.DUMMYFUNCTION("""COMPUTED_VALUE"""),"Umbra")</f>
        <v>Umbra</v>
      </c>
    </row>
    <row r="11474">
      <c r="A11474" t="str">
        <f>IFERROR(__xludf.DUMMYFUNCTION("""COMPUTED_VALUE"""),"31092/7F")</f>
        <v>31092/7F</v>
      </c>
      <c r="C11474" t="str">
        <f>IFERROR(__xludf.DUMMYFUNCTION("""COMPUTED_VALUE"""),"Umbra")</f>
        <v>Umbra</v>
      </c>
    </row>
    <row r="11475">
      <c r="A11475" t="str">
        <f>IFERROR(__xludf.DUMMYFUNCTION("""COMPUTED_VALUE"""),"31105/F")</f>
        <v>31105/F</v>
      </c>
      <c r="B11475" s="226" t="str">
        <f>IFERROR(__xludf.DUMMYFUNCTION("""COMPUTED_VALUE"""),"8054521996399")</f>
        <v>8054521996399</v>
      </c>
      <c r="C11475" t="str">
        <f>IFERROR(__xludf.DUMMYFUNCTION("""COMPUTED_VALUE"""),"Umbra")</f>
        <v>Umbra</v>
      </c>
    </row>
    <row r="11476">
      <c r="A11476" t="str">
        <f>IFERROR(__xludf.DUMMYFUNCTION("""COMPUTED_VALUE"""),"31092/7VM")</f>
        <v>31092/7VM</v>
      </c>
      <c r="B11476" s="226" t="str">
        <f>IFERROR(__xludf.DUMMYFUNCTION("""COMPUTED_VALUE"""),"8054521993787")</f>
        <v>8054521993787</v>
      </c>
      <c r="C11476" t="str">
        <f>IFERROR(__xludf.DUMMYFUNCTION("""COMPUTED_VALUE"""),"Umbra")</f>
        <v>Umbra</v>
      </c>
    </row>
    <row r="11477">
      <c r="A11477" t="str">
        <f>IFERROR(__xludf.DUMMYFUNCTION("""COMPUTED_VALUE"""),"31105/VM")</f>
        <v>31105/VM</v>
      </c>
      <c r="B11477" s="226" t="str">
        <f>IFERROR(__xludf.DUMMYFUNCTION("""COMPUTED_VALUE"""),"8054521996412")</f>
        <v>8054521996412</v>
      </c>
      <c r="C11477" t="str">
        <f>IFERROR(__xludf.DUMMYFUNCTION("""COMPUTED_VALUE"""),"Umbra")</f>
        <v>Umbra</v>
      </c>
    </row>
    <row r="11478">
      <c r="A11478" t="str">
        <f>IFERROR(__xludf.DUMMYFUNCTION("""COMPUTED_VALUE"""),"31106/C")</f>
        <v>31106/C</v>
      </c>
      <c r="B11478" s="226" t="str">
        <f>IFERROR(__xludf.DUMMYFUNCTION("""COMPUTED_VALUE"""),"NULL")</f>
        <v>NULL</v>
      </c>
      <c r="C11478" t="str">
        <f>IFERROR(__xludf.DUMMYFUNCTION("""COMPUTED_VALUE"""),"Umbra")</f>
        <v>Umbra</v>
      </c>
    </row>
    <row r="11479">
      <c r="A11479" t="str">
        <f>IFERROR(__xludf.DUMMYFUNCTION("""COMPUTED_VALUE"""),"31106/F")</f>
        <v>31106/F</v>
      </c>
      <c r="B11479" s="226" t="str">
        <f>IFERROR(__xludf.DUMMYFUNCTION("""COMPUTED_VALUE"""),"NULL")</f>
        <v>NULL</v>
      </c>
      <c r="C11479" t="str">
        <f>IFERROR(__xludf.DUMMYFUNCTION("""COMPUTED_VALUE"""),"Umbra")</f>
        <v>Umbra</v>
      </c>
    </row>
    <row r="11480">
      <c r="A11480" t="str">
        <f>IFERROR(__xludf.DUMMYFUNCTION("""COMPUTED_VALUE"""),"31106/VM")</f>
        <v>31106/VM</v>
      </c>
      <c r="B11480" s="226" t="str">
        <f>IFERROR(__xludf.DUMMYFUNCTION("""COMPUTED_VALUE"""),"NULL")</f>
        <v>NULL</v>
      </c>
      <c r="C11480" t="str">
        <f>IFERROR(__xludf.DUMMYFUNCTION("""COMPUTED_VALUE"""),"Umbra")</f>
        <v>Umbra</v>
      </c>
    </row>
    <row r="11481">
      <c r="A11481" t="str">
        <f>IFERROR(__xludf.DUMMYFUNCTION("""COMPUTED_VALUE"""),"31102/C")</f>
        <v>31102/C</v>
      </c>
      <c r="B11481" s="226" t="str">
        <f>IFERROR(__xludf.DUMMYFUNCTION("""COMPUTED_VALUE"""),"8058772224935")</f>
        <v>8058772224935</v>
      </c>
      <c r="C11481" t="str">
        <f>IFERROR(__xludf.DUMMYFUNCTION("""COMPUTED_VALUE"""),"Umbra")</f>
        <v>Umbra</v>
      </c>
    </row>
    <row r="11482">
      <c r="A11482" t="str">
        <f>IFERROR(__xludf.DUMMYFUNCTION("""COMPUTED_VALUE"""),"31102/F")</f>
        <v>31102/F</v>
      </c>
      <c r="B11482" s="226" t="str">
        <f>IFERROR(__xludf.DUMMYFUNCTION("""COMPUTED_VALUE"""),"8058772224928")</f>
        <v>8058772224928</v>
      </c>
      <c r="C11482" t="str">
        <f>IFERROR(__xludf.DUMMYFUNCTION("""COMPUTED_VALUE"""),"Umbra")</f>
        <v>Umbra</v>
      </c>
    </row>
    <row r="11483">
      <c r="A11483" t="str">
        <f>IFERROR(__xludf.DUMMYFUNCTION("""COMPUTED_VALUE"""),"31102/VM")</f>
        <v>31102/VM</v>
      </c>
      <c r="B11483" s="226" t="str">
        <f>IFERROR(__xludf.DUMMYFUNCTION("""COMPUTED_VALUE"""),"8058772224942")</f>
        <v>8058772224942</v>
      </c>
      <c r="C11483" t="str">
        <f>IFERROR(__xludf.DUMMYFUNCTION("""COMPUTED_VALUE"""),"Umbra")</f>
        <v>Umbra</v>
      </c>
    </row>
    <row r="11484">
      <c r="A11484" t="str">
        <f>IFERROR(__xludf.DUMMYFUNCTION("""COMPUTED_VALUE"""),"31096/C")</f>
        <v>31096/C</v>
      </c>
      <c r="B11484" s="226" t="str">
        <f>IFERROR(__xludf.DUMMYFUNCTION("""COMPUTED_VALUE"""),"8058772224805")</f>
        <v>8058772224805</v>
      </c>
      <c r="C11484" t="str">
        <f>IFERROR(__xludf.DUMMYFUNCTION("""COMPUTED_VALUE"""),"Umbra")</f>
        <v>Umbra</v>
      </c>
    </row>
    <row r="11485">
      <c r="A11485" t="str">
        <f>IFERROR(__xludf.DUMMYFUNCTION("""COMPUTED_VALUE"""),"31098/C")</f>
        <v>31098/C</v>
      </c>
      <c r="B11485" s="226" t="str">
        <f>IFERROR(__xludf.DUMMYFUNCTION("""COMPUTED_VALUE"""),"8058772224850")</f>
        <v>8058772224850</v>
      </c>
      <c r="C11485" t="str">
        <f>IFERROR(__xludf.DUMMYFUNCTION("""COMPUTED_VALUE"""),"Umbra")</f>
        <v>Umbra</v>
      </c>
    </row>
    <row r="11486">
      <c r="A11486" t="str">
        <f>IFERROR(__xludf.DUMMYFUNCTION("""COMPUTED_VALUE"""),"31096/F")</f>
        <v>31096/F</v>
      </c>
      <c r="B11486" s="226" t="str">
        <f>IFERROR(__xludf.DUMMYFUNCTION("""COMPUTED_VALUE"""),"8058772224799")</f>
        <v>8058772224799</v>
      </c>
      <c r="C11486" t="str">
        <f>IFERROR(__xludf.DUMMYFUNCTION("""COMPUTED_VALUE"""),"Umbra")</f>
        <v>Umbra</v>
      </c>
    </row>
    <row r="11487">
      <c r="A11487" t="str">
        <f>IFERROR(__xludf.DUMMYFUNCTION("""COMPUTED_VALUE"""),"31098/F")</f>
        <v>31098/F</v>
      </c>
      <c r="B11487" s="226" t="str">
        <f>IFERROR(__xludf.DUMMYFUNCTION("""COMPUTED_VALUE"""),"8058772224843")</f>
        <v>8058772224843</v>
      </c>
      <c r="C11487" t="str">
        <f>IFERROR(__xludf.DUMMYFUNCTION("""COMPUTED_VALUE"""),"Umbra")</f>
        <v>Umbra</v>
      </c>
    </row>
    <row r="11488">
      <c r="A11488" t="str">
        <f>IFERROR(__xludf.DUMMYFUNCTION("""COMPUTED_VALUE"""),"31094/C")</f>
        <v>31094/C</v>
      </c>
      <c r="C11488" t="str">
        <f>IFERROR(__xludf.DUMMYFUNCTION("""COMPUTED_VALUE"""),"Umbra")</f>
        <v>Umbra</v>
      </c>
    </row>
    <row r="11489">
      <c r="A11489" t="str">
        <f>IFERROR(__xludf.DUMMYFUNCTION("""COMPUTED_VALUE"""),"31094/F")</f>
        <v>31094/F</v>
      </c>
      <c r="C11489" t="str">
        <f>IFERROR(__xludf.DUMMYFUNCTION("""COMPUTED_VALUE"""),"Umbra")</f>
        <v>Umbra</v>
      </c>
    </row>
    <row r="11490">
      <c r="A11490" t="str">
        <f>IFERROR(__xludf.DUMMYFUNCTION("""COMPUTED_VALUE"""),"31094/VM")</f>
        <v>31094/VM</v>
      </c>
      <c r="C11490" t="str">
        <f>IFERROR(__xludf.DUMMYFUNCTION("""COMPUTED_VALUE"""),"Umbra")</f>
        <v>Umbra</v>
      </c>
    </row>
    <row r="11491">
      <c r="A11491" t="str">
        <f>IFERROR(__xludf.DUMMYFUNCTION("""COMPUTED_VALUE"""),"31074")</f>
        <v>31074</v>
      </c>
      <c r="C11491" t="str">
        <f>IFERROR(__xludf.DUMMYFUNCTION("""COMPUTED_VALUE"""),"Umbra")</f>
        <v>Umbra</v>
      </c>
    </row>
    <row r="11492">
      <c r="A11492" t="str">
        <f>IFERROR(__xludf.DUMMYFUNCTION("""COMPUTED_VALUE"""),"31090/C")</f>
        <v>31090/C</v>
      </c>
      <c r="B11492" s="226" t="str">
        <f>IFERROR(__xludf.DUMMYFUNCTION("""COMPUTED_VALUE"""),"8054521993732")</f>
        <v>8054521993732</v>
      </c>
      <c r="C11492" t="str">
        <f>IFERROR(__xludf.DUMMYFUNCTION("""COMPUTED_VALUE"""),"Umbra")</f>
        <v>Umbra</v>
      </c>
    </row>
    <row r="11493">
      <c r="A11493" t="str">
        <f>IFERROR(__xludf.DUMMYFUNCTION("""COMPUTED_VALUE"""),"31090/F")</f>
        <v>31090/F</v>
      </c>
      <c r="B11493" s="226" t="str">
        <f>IFERROR(__xludf.DUMMYFUNCTION("""COMPUTED_VALUE"""),"8058772224751")</f>
        <v>8058772224751</v>
      </c>
      <c r="C11493" t="str">
        <f>IFERROR(__xludf.DUMMYFUNCTION("""COMPUTED_VALUE"""),"Umbra")</f>
        <v>Umbra</v>
      </c>
    </row>
    <row r="11494">
      <c r="A11494" t="str">
        <f>IFERROR(__xludf.DUMMYFUNCTION("""COMPUTED_VALUE"""),"31090/VM")</f>
        <v>31090/VM</v>
      </c>
      <c r="B11494" s="226" t="str">
        <f>IFERROR(__xludf.DUMMYFUNCTION("""COMPUTED_VALUE"""),"8054521993749")</f>
        <v>8054521993749</v>
      </c>
      <c r="C11494" t="str">
        <f>IFERROR(__xludf.DUMMYFUNCTION("""COMPUTED_VALUE"""),"Umbra")</f>
        <v>Umbra</v>
      </c>
    </row>
    <row r="11495">
      <c r="A11495" t="str">
        <f>IFERROR(__xludf.DUMMYFUNCTION("""COMPUTED_VALUE"""),"31072/C")</f>
        <v>31072/C</v>
      </c>
      <c r="B11495" s="226" t="str">
        <f>IFERROR(__xludf.DUMMYFUNCTION("""COMPUTED_VALUE"""),"8054521993510")</f>
        <v>8054521993510</v>
      </c>
      <c r="C11495" t="str">
        <f>IFERROR(__xludf.DUMMYFUNCTION("""COMPUTED_VALUE"""),"Umbra")</f>
        <v>Umbra</v>
      </c>
    </row>
    <row r="11496">
      <c r="A11496" t="str">
        <f>IFERROR(__xludf.DUMMYFUNCTION("""COMPUTED_VALUE"""),"31063")</f>
        <v>31063</v>
      </c>
      <c r="B11496" s="226" t="str">
        <f>IFERROR(__xludf.DUMMYFUNCTION("""COMPUTED_VALUE"""),"8054521993442")</f>
        <v>8054521993442</v>
      </c>
      <c r="C11496" t="str">
        <f>IFERROR(__xludf.DUMMYFUNCTION("""COMPUTED_VALUE"""),"Umbra")</f>
        <v>Umbra</v>
      </c>
    </row>
    <row r="11497">
      <c r="A11497" t="str">
        <f>IFERROR(__xludf.DUMMYFUNCTION("""COMPUTED_VALUE"""),"31073")</f>
        <v>31073</v>
      </c>
      <c r="B11497" s="226" t="str">
        <f>IFERROR(__xludf.DUMMYFUNCTION("""COMPUTED_VALUE"""),"8054521993534")</f>
        <v>8054521993534</v>
      </c>
      <c r="C11497" t="str">
        <f>IFERROR(__xludf.DUMMYFUNCTION("""COMPUTED_VALUE"""),"Umbra")</f>
        <v>Umbra</v>
      </c>
    </row>
    <row r="11498">
      <c r="A11498" t="str">
        <f>IFERROR(__xludf.DUMMYFUNCTION("""COMPUTED_VALUE"""),"31073/F")</f>
        <v>31073/F</v>
      </c>
      <c r="B11498" s="226" t="str">
        <f>IFERROR(__xludf.DUMMYFUNCTION("""COMPUTED_VALUE"""),"8058772224638")</f>
        <v>8058772224638</v>
      </c>
      <c r="C11498" t="str">
        <f>IFERROR(__xludf.DUMMYFUNCTION("""COMPUTED_VALUE"""),"Umbra")</f>
        <v>Umbra</v>
      </c>
    </row>
    <row r="11499">
      <c r="A11499" t="str">
        <f>IFERROR(__xludf.DUMMYFUNCTION("""COMPUTED_VALUE"""),"31088/C")</f>
        <v>31088/C</v>
      </c>
      <c r="B11499" s="226" t="str">
        <f>IFERROR(__xludf.DUMMYFUNCTION("""COMPUTED_VALUE"""),"8054521993701")</f>
        <v>8054521993701</v>
      </c>
      <c r="C11499" t="str">
        <f>IFERROR(__xludf.DUMMYFUNCTION("""COMPUTED_VALUE"""),"Umbra")</f>
        <v>Umbra</v>
      </c>
    </row>
    <row r="11500">
      <c r="A11500" t="str">
        <f>IFERROR(__xludf.DUMMYFUNCTION("""COMPUTED_VALUE"""),"31088/F")</f>
        <v>31088/F</v>
      </c>
      <c r="B11500" s="226" t="str">
        <f>IFERROR(__xludf.DUMMYFUNCTION("""COMPUTED_VALUE"""),"8058772224737")</f>
        <v>8058772224737</v>
      </c>
      <c r="C11500" t="str">
        <f>IFERROR(__xludf.DUMMYFUNCTION("""COMPUTED_VALUE"""),"Umbra")</f>
        <v>Umbra</v>
      </c>
    </row>
    <row r="11501">
      <c r="A11501" t="str">
        <f>IFERROR(__xludf.DUMMYFUNCTION("""COMPUTED_VALUE"""),"31088/VM")</f>
        <v>31088/VM</v>
      </c>
      <c r="B11501" s="226" t="str">
        <f>IFERROR(__xludf.DUMMYFUNCTION("""COMPUTED_VALUE"""),"8054521993718")</f>
        <v>8054521993718</v>
      </c>
      <c r="C11501" t="str">
        <f>IFERROR(__xludf.DUMMYFUNCTION("""COMPUTED_VALUE"""),"Umbra")</f>
        <v>Umbra</v>
      </c>
    </row>
    <row r="11502">
      <c r="A11502" t="str">
        <f>IFERROR(__xludf.DUMMYFUNCTION("""COMPUTED_VALUE"""),"31087/C")</f>
        <v>31087/C</v>
      </c>
      <c r="B11502" s="226" t="str">
        <f>IFERROR(__xludf.DUMMYFUNCTION("""COMPUTED_VALUE"""),"8054521993688")</f>
        <v>8054521993688</v>
      </c>
      <c r="C11502" t="str">
        <f>IFERROR(__xludf.DUMMYFUNCTION("""COMPUTED_VALUE"""),"Umbra")</f>
        <v>Umbra</v>
      </c>
    </row>
    <row r="11503">
      <c r="A11503" t="str">
        <f>IFERROR(__xludf.DUMMYFUNCTION("""COMPUTED_VALUE"""),"31087/F")</f>
        <v>31087/F</v>
      </c>
      <c r="B11503" s="226" t="str">
        <f>IFERROR(__xludf.DUMMYFUNCTION("""COMPUTED_VALUE"""),"8058772224720")</f>
        <v>8058772224720</v>
      </c>
      <c r="C11503" t="str">
        <f>IFERROR(__xludf.DUMMYFUNCTION("""COMPUTED_VALUE"""),"Umbra")</f>
        <v>Umbra</v>
      </c>
    </row>
    <row r="11504">
      <c r="A11504" t="str">
        <f>IFERROR(__xludf.DUMMYFUNCTION("""COMPUTED_VALUE"""),"31087/VM")</f>
        <v>31087/VM</v>
      </c>
      <c r="B11504" s="226" t="str">
        <f>IFERROR(__xludf.DUMMYFUNCTION("""COMPUTED_VALUE"""),"8054521993695")</f>
        <v>8054521993695</v>
      </c>
      <c r="C11504" t="str">
        <f>IFERROR(__xludf.DUMMYFUNCTION("""COMPUTED_VALUE"""),"Umbra")</f>
        <v>Umbra</v>
      </c>
    </row>
    <row r="11505">
      <c r="A11505" t="str">
        <f>IFERROR(__xludf.DUMMYFUNCTION("""COMPUTED_VALUE"""),"31070")</f>
        <v>31070</v>
      </c>
      <c r="C11505" t="str">
        <f>IFERROR(__xludf.DUMMYFUNCTION("""COMPUTED_VALUE"""),"Umbra")</f>
        <v>Umbra</v>
      </c>
    </row>
    <row r="11506">
      <c r="A11506" t="str">
        <f>IFERROR(__xludf.DUMMYFUNCTION("""COMPUTED_VALUE"""),"31101/G")</f>
        <v>31101/G</v>
      </c>
      <c r="B11506" s="226" t="str">
        <f>IFERROR(__xludf.DUMMYFUNCTION("""COMPUTED_VALUE"""),"8058772224911")</f>
        <v>8058772224911</v>
      </c>
      <c r="C11506" t="str">
        <f>IFERROR(__xludf.DUMMYFUNCTION("""COMPUTED_VALUE"""),"Umbra")</f>
        <v>Umbra</v>
      </c>
    </row>
    <row r="11507">
      <c r="A11507" t="str">
        <f>IFERROR(__xludf.DUMMYFUNCTION("""COMPUTED_VALUE"""),"31101/SF")</f>
        <v>31101/SF</v>
      </c>
      <c r="B11507" s="226" t="str">
        <f>IFERROR(__xludf.DUMMYFUNCTION("""COMPUTED_VALUE"""),"8058772224904")</f>
        <v>8058772224904</v>
      </c>
      <c r="C11507" t="str">
        <f>IFERROR(__xludf.DUMMYFUNCTION("""COMPUTED_VALUE"""),"Umbra")</f>
        <v>Umbra</v>
      </c>
    </row>
    <row r="11508">
      <c r="A11508" t="str">
        <f>IFERROR(__xludf.DUMMYFUNCTION("""COMPUTED_VALUE"""),"31095/G")</f>
        <v>31095/G</v>
      </c>
      <c r="B11508" s="226" t="str">
        <f>IFERROR(__xludf.DUMMYFUNCTION("""COMPUTED_VALUE"""),"8054521993817")</f>
        <v>8054521993817</v>
      </c>
      <c r="C11508" t="str">
        <f>IFERROR(__xludf.DUMMYFUNCTION("""COMPUTED_VALUE"""),"Umbra")</f>
        <v>Umbra</v>
      </c>
    </row>
    <row r="11509">
      <c r="A11509" t="str">
        <f>IFERROR(__xludf.DUMMYFUNCTION("""COMPUTED_VALUE"""),"31095/SF")</f>
        <v>31095/SF</v>
      </c>
      <c r="B11509" s="226" t="str">
        <f>IFERROR(__xludf.DUMMYFUNCTION("""COMPUTED_VALUE"""),"8054521993824")</f>
        <v>8054521993824</v>
      </c>
      <c r="C11509" t="str">
        <f>IFERROR(__xludf.DUMMYFUNCTION("""COMPUTED_VALUE"""),"Umbra")</f>
        <v>Umbra</v>
      </c>
    </row>
    <row r="11510">
      <c r="A11510" t="str">
        <f>IFERROR(__xludf.DUMMYFUNCTION("""COMPUTED_VALUE"""),"31104/G")</f>
        <v>31104/G</v>
      </c>
      <c r="B11510" s="226" t="str">
        <f>IFERROR(__xludf.DUMMYFUNCTION("""COMPUTED_VALUE"""),"8054521995668")</f>
        <v>8054521995668</v>
      </c>
      <c r="C11510" t="str">
        <f>IFERROR(__xludf.DUMMYFUNCTION("""COMPUTED_VALUE"""),"Umbra")</f>
        <v>Umbra</v>
      </c>
    </row>
    <row r="11511">
      <c r="A11511" t="str">
        <f>IFERROR(__xludf.DUMMYFUNCTION("""COMPUTED_VALUE"""),"31104/SF")</f>
        <v>31104/SF</v>
      </c>
      <c r="B11511" s="226" t="str">
        <f>IFERROR(__xludf.DUMMYFUNCTION("""COMPUTED_VALUE"""),"8054521995651")</f>
        <v>8054521995651</v>
      </c>
      <c r="C11511" t="str">
        <f>IFERROR(__xludf.DUMMYFUNCTION("""COMPUTED_VALUE"""),"Umbra")</f>
        <v>Umbra</v>
      </c>
    </row>
    <row r="11512">
      <c r="A11512" t="str">
        <f>IFERROR(__xludf.DUMMYFUNCTION("""COMPUTED_VALUE"""),"31061")</f>
        <v>31061</v>
      </c>
      <c r="B11512" s="226" t="str">
        <f>IFERROR(__xludf.DUMMYFUNCTION("""COMPUTED_VALUE"""),"8054521993428")</f>
        <v>8054521993428</v>
      </c>
      <c r="C11512" t="str">
        <f>IFERROR(__xludf.DUMMYFUNCTION("""COMPUTED_VALUE"""),"Umbra")</f>
        <v>Umbra</v>
      </c>
    </row>
    <row r="11513">
      <c r="A11513" t="str">
        <f>IFERROR(__xludf.DUMMYFUNCTION("""COMPUTED_VALUE"""),"31060")</f>
        <v>31060</v>
      </c>
      <c r="B11513" s="226" t="str">
        <f>IFERROR(__xludf.DUMMYFUNCTION("""COMPUTED_VALUE"""),"8054521993411")</f>
        <v>8054521993411</v>
      </c>
      <c r="C11513" t="str">
        <f>IFERROR(__xludf.DUMMYFUNCTION("""COMPUTED_VALUE"""),"Umbra")</f>
        <v>Umbra</v>
      </c>
    </row>
    <row r="11514">
      <c r="A11514" t="str">
        <f>IFERROR(__xludf.DUMMYFUNCTION("""COMPUTED_VALUE"""),"31062")</f>
        <v>31062</v>
      </c>
      <c r="B11514" s="226" t="str">
        <f>IFERROR(__xludf.DUMMYFUNCTION("""COMPUTED_VALUE"""),"8054521993435")</f>
        <v>8054521993435</v>
      </c>
      <c r="C11514" t="str">
        <f>IFERROR(__xludf.DUMMYFUNCTION("""COMPUTED_VALUE"""),"Umbra")</f>
        <v>Umbra</v>
      </c>
    </row>
    <row r="11515">
      <c r="A11515" t="str">
        <f>IFERROR(__xludf.DUMMYFUNCTION("""COMPUTED_VALUE"""),"31069")</f>
        <v>31069</v>
      </c>
      <c r="B11515" s="226" t="str">
        <f>IFERROR(__xludf.DUMMYFUNCTION("""COMPUTED_VALUE"""),"8054521993497")</f>
        <v>8054521993497</v>
      </c>
      <c r="C11515" t="str">
        <f>IFERROR(__xludf.DUMMYFUNCTION("""COMPUTED_VALUE"""),"Umbra")</f>
        <v>Umbra</v>
      </c>
    </row>
    <row r="11516">
      <c r="A11516" t="str">
        <f>IFERROR(__xludf.DUMMYFUNCTION("""COMPUTED_VALUE"""),"31080M/C")</f>
        <v>31080M/C</v>
      </c>
      <c r="C11516" t="str">
        <f>IFERROR(__xludf.DUMMYFUNCTION("""COMPUTED_VALUE"""),"Umbra")</f>
        <v>Umbra</v>
      </c>
    </row>
    <row r="11517">
      <c r="A11517" t="str">
        <f>IFERROR(__xludf.DUMMYFUNCTION("""COMPUTED_VALUE"""),"31080M/F")</f>
        <v>31080M/F</v>
      </c>
      <c r="C11517" t="str">
        <f>IFERROR(__xludf.DUMMYFUNCTION("""COMPUTED_VALUE"""),"Umbra")</f>
        <v>Umbra</v>
      </c>
    </row>
    <row r="11518">
      <c r="A11518" t="str">
        <f>IFERROR(__xludf.DUMMYFUNCTION("""COMPUTED_VALUE"""),"31079/C")</f>
        <v>31079/C</v>
      </c>
      <c r="B11518" s="226" t="str">
        <f>IFERROR(__xludf.DUMMYFUNCTION("""COMPUTED_VALUE"""),"8054521993572")</f>
        <v>8054521993572</v>
      </c>
      <c r="C11518" t="str">
        <f>IFERROR(__xludf.DUMMYFUNCTION("""COMPUTED_VALUE"""),"Umbra")</f>
        <v>Umbra</v>
      </c>
    </row>
    <row r="11519">
      <c r="A11519" t="str">
        <f>IFERROR(__xludf.DUMMYFUNCTION("""COMPUTED_VALUE"""),"31079/F")</f>
        <v>31079/F</v>
      </c>
      <c r="B11519" s="226" t="str">
        <f>IFERROR(__xludf.DUMMYFUNCTION("""COMPUTED_VALUE"""),"8058772224669")</f>
        <v>8058772224669</v>
      </c>
      <c r="C11519" t="str">
        <f>IFERROR(__xludf.DUMMYFUNCTION("""COMPUTED_VALUE"""),"Umbra")</f>
        <v>Umbra</v>
      </c>
    </row>
    <row r="11520">
      <c r="A11520" t="str">
        <f>IFERROR(__xludf.DUMMYFUNCTION("""COMPUTED_VALUE"""),"31105/C")</f>
        <v>31105/C</v>
      </c>
      <c r="B11520" s="226" t="str">
        <f>IFERROR(__xludf.DUMMYFUNCTION("""COMPUTED_VALUE"""),"8054521996405")</f>
        <v>8054521996405</v>
      </c>
      <c r="C11520" t="str">
        <f>IFERROR(__xludf.DUMMYFUNCTION("""COMPUTED_VALUE"""),"Umbra")</f>
        <v>Umbra</v>
      </c>
    </row>
    <row r="11521">
      <c r="A11521" t="str">
        <f>IFERROR(__xludf.DUMMYFUNCTION("""COMPUTED_VALUE"""),"31105/F")</f>
        <v>31105/F</v>
      </c>
      <c r="B11521" s="226" t="str">
        <f>IFERROR(__xludf.DUMMYFUNCTION("""COMPUTED_VALUE"""),"8054521996399")</f>
        <v>8054521996399</v>
      </c>
      <c r="C11521" t="str">
        <f>IFERROR(__xludf.DUMMYFUNCTION("""COMPUTED_VALUE"""),"Umbra")</f>
        <v>Umbra</v>
      </c>
    </row>
    <row r="11522">
      <c r="A11522" t="str">
        <f>IFERROR(__xludf.DUMMYFUNCTION("""COMPUTED_VALUE"""),"31080M/VM")</f>
        <v>31080M/VM</v>
      </c>
      <c r="B11522" s="226" t="str">
        <f>IFERROR(__xludf.DUMMYFUNCTION("""COMPUTED_VALUE"""),"8054521993619")</f>
        <v>8054521993619</v>
      </c>
      <c r="C11522" t="str">
        <f>IFERROR(__xludf.DUMMYFUNCTION("""COMPUTED_VALUE"""),"Umbra")</f>
        <v>Umbra</v>
      </c>
    </row>
    <row r="11523">
      <c r="A11523" t="str">
        <f>IFERROR(__xludf.DUMMYFUNCTION("""COMPUTED_VALUE"""),"31105/VM")</f>
        <v>31105/VM</v>
      </c>
      <c r="B11523" s="226" t="str">
        <f>IFERROR(__xludf.DUMMYFUNCTION("""COMPUTED_VALUE"""),"8054521996412")</f>
        <v>8054521996412</v>
      </c>
      <c r="C11523" t="str">
        <f>IFERROR(__xludf.DUMMYFUNCTION("""COMPUTED_VALUE"""),"Umbra")</f>
        <v>Umbra</v>
      </c>
    </row>
    <row r="11524">
      <c r="A11524" t="str">
        <f>IFERROR(__xludf.DUMMYFUNCTION("""COMPUTED_VALUE"""),"31079/C")</f>
        <v>31079/C</v>
      </c>
      <c r="B11524" s="226" t="str">
        <f>IFERROR(__xludf.DUMMYFUNCTION("""COMPUTED_VALUE"""),"8054521993572")</f>
        <v>8054521993572</v>
      </c>
      <c r="C11524" t="str">
        <f>IFERROR(__xludf.DUMMYFUNCTION("""COMPUTED_VALUE"""),"Umbra")</f>
        <v>Umbra</v>
      </c>
    </row>
    <row r="11525">
      <c r="A11525" t="str">
        <f>IFERROR(__xludf.DUMMYFUNCTION("""COMPUTED_VALUE"""),"31079/F")</f>
        <v>31079/F</v>
      </c>
      <c r="B11525" s="226" t="str">
        <f>IFERROR(__xludf.DUMMYFUNCTION("""COMPUTED_VALUE"""),"8058772224669")</f>
        <v>8058772224669</v>
      </c>
      <c r="C11525" t="str">
        <f>IFERROR(__xludf.DUMMYFUNCTION("""COMPUTED_VALUE"""),"Umbra")</f>
        <v>Umbra</v>
      </c>
    </row>
    <row r="11526">
      <c r="A11526" t="str">
        <f>IFERROR(__xludf.DUMMYFUNCTION("""COMPUTED_VALUE"""),"31091/C")</f>
        <v>31091/C</v>
      </c>
      <c r="B11526" s="226" t="str">
        <f>IFERROR(__xludf.DUMMYFUNCTION("""COMPUTED_VALUE"""),"8054521993756")</f>
        <v>8054521993756</v>
      </c>
      <c r="C11526" t="str">
        <f>IFERROR(__xludf.DUMMYFUNCTION("""COMPUTED_VALUE"""),"Umbra")</f>
        <v>Umbra</v>
      </c>
    </row>
    <row r="11527">
      <c r="A11527" t="str">
        <f>IFERROR(__xludf.DUMMYFUNCTION("""COMPUTED_VALUE"""),"31091/F")</f>
        <v>31091/F</v>
      </c>
      <c r="B11527" s="226" t="str">
        <f>IFERROR(__xludf.DUMMYFUNCTION("""COMPUTED_VALUE"""),"8058772224768")</f>
        <v>8058772224768</v>
      </c>
      <c r="C11527" t="str">
        <f>IFERROR(__xludf.DUMMYFUNCTION("""COMPUTED_VALUE"""),"Umbra")</f>
        <v>Umbra</v>
      </c>
    </row>
    <row r="11528">
      <c r="A11528" t="str">
        <f>IFERROR(__xludf.DUMMYFUNCTION("""COMPUTED_VALUE"""),"31091/VM")</f>
        <v>31091/VM</v>
      </c>
      <c r="B11528" s="226" t="str">
        <f>IFERROR(__xludf.DUMMYFUNCTION("""COMPUTED_VALUE"""),"8054521993763")</f>
        <v>8054521993763</v>
      </c>
      <c r="C11528" t="str">
        <f>IFERROR(__xludf.DUMMYFUNCTION("""COMPUTED_VALUE"""),"Umbra")</f>
        <v>Umbra</v>
      </c>
    </row>
    <row r="11529">
      <c r="A11529" t="str">
        <f>IFERROR(__xludf.DUMMYFUNCTION("""COMPUTED_VALUE"""),"31105/C")</f>
        <v>31105/C</v>
      </c>
      <c r="B11529" s="226" t="str">
        <f>IFERROR(__xludf.DUMMYFUNCTION("""COMPUTED_VALUE"""),"8054521996405")</f>
        <v>8054521996405</v>
      </c>
      <c r="C11529" t="str">
        <f>IFERROR(__xludf.DUMMYFUNCTION("""COMPUTED_VALUE"""),"Umbra")</f>
        <v>Umbra</v>
      </c>
    </row>
    <row r="11530">
      <c r="A11530" t="str">
        <f>IFERROR(__xludf.DUMMYFUNCTION("""COMPUTED_VALUE"""),"31105/VM")</f>
        <v>31105/VM</v>
      </c>
      <c r="B11530" s="226" t="str">
        <f>IFERROR(__xludf.DUMMYFUNCTION("""COMPUTED_VALUE"""),"8054521996412")</f>
        <v>8054521996412</v>
      </c>
      <c r="C11530" t="str">
        <f>IFERROR(__xludf.DUMMYFUNCTION("""COMPUTED_VALUE"""),"Umbra")</f>
        <v>Umbra</v>
      </c>
    </row>
    <row r="11531">
      <c r="A11531" t="str">
        <f>IFERROR(__xludf.DUMMYFUNCTION("""COMPUTED_VALUE"""),"31093/C")</f>
        <v>31093/C</v>
      </c>
      <c r="B11531" s="226" t="str">
        <f>IFERROR(__xludf.DUMMYFUNCTION("""COMPUTED_VALUE"""),"8054521993794")</f>
        <v>8054521993794</v>
      </c>
      <c r="C11531" t="str">
        <f>IFERROR(__xludf.DUMMYFUNCTION("""COMPUTED_VALUE"""),"Umbra")</f>
        <v>Umbra</v>
      </c>
    </row>
    <row r="11532">
      <c r="A11532" t="str">
        <f>IFERROR(__xludf.DUMMYFUNCTION("""COMPUTED_VALUE"""),"31093/F")</f>
        <v>31093/F</v>
      </c>
      <c r="B11532" s="226" t="str">
        <f>IFERROR(__xludf.DUMMYFUNCTION("""COMPUTED_VALUE"""),"8058772224782")</f>
        <v>8058772224782</v>
      </c>
      <c r="C11532" t="str">
        <f>IFERROR(__xludf.DUMMYFUNCTION("""COMPUTED_VALUE"""),"Umbra")</f>
        <v>Umbra</v>
      </c>
    </row>
    <row r="11533">
      <c r="A11533" t="str">
        <f>IFERROR(__xludf.DUMMYFUNCTION("""COMPUTED_VALUE"""),"31093/VM")</f>
        <v>31093/VM</v>
      </c>
      <c r="B11533" s="226" t="str">
        <f>IFERROR(__xludf.DUMMYFUNCTION("""COMPUTED_VALUE"""),"8054521993800")</f>
        <v>8054521993800</v>
      </c>
      <c r="C11533" t="str">
        <f>IFERROR(__xludf.DUMMYFUNCTION("""COMPUTED_VALUE"""),"Umbra")</f>
        <v>Umbra</v>
      </c>
    </row>
    <row r="11534">
      <c r="A11534" t="str">
        <f>IFERROR(__xludf.DUMMYFUNCTION("""COMPUTED_VALUE"""),"31059")</f>
        <v>31059</v>
      </c>
      <c r="B11534" s="226" t="str">
        <f>IFERROR(__xludf.DUMMYFUNCTION("""COMPUTED_VALUE"""),"8054521993404")</f>
        <v>8054521993404</v>
      </c>
      <c r="C11534" t="str">
        <f>IFERROR(__xludf.DUMMYFUNCTION("""COMPUTED_VALUE"""),"Umbra")</f>
        <v>Umbra</v>
      </c>
    </row>
    <row r="11535">
      <c r="A11535" t="str">
        <f>IFERROR(__xludf.DUMMYFUNCTION("""COMPUTED_VALUE"""),"31059/F")</f>
        <v>31059/F</v>
      </c>
      <c r="B11535" s="226" t="str">
        <f>IFERROR(__xludf.DUMMYFUNCTION("""COMPUTED_VALUE"""),"8058772224577")</f>
        <v>8058772224577</v>
      </c>
      <c r="C11535" t="str">
        <f>IFERROR(__xludf.DUMMYFUNCTION("""COMPUTED_VALUE"""),"Umbra")</f>
        <v>Umbra</v>
      </c>
    </row>
    <row r="11536">
      <c r="A11536" t="str">
        <f>IFERROR(__xludf.DUMMYFUNCTION("""COMPUTED_VALUE"""),"31097/C")</f>
        <v>31097/C</v>
      </c>
      <c r="B11536" s="226" t="str">
        <f>IFERROR(__xludf.DUMMYFUNCTION("""COMPUTED_VALUE"""),"8058772224829")</f>
        <v>8058772224829</v>
      </c>
      <c r="C11536" t="str">
        <f>IFERROR(__xludf.DUMMYFUNCTION("""COMPUTED_VALUE"""),"Umbra")</f>
        <v>Umbra</v>
      </c>
    </row>
    <row r="11537">
      <c r="A11537" t="str">
        <f>IFERROR(__xludf.DUMMYFUNCTION("""COMPUTED_VALUE"""),"31097/F")</f>
        <v>31097/F</v>
      </c>
      <c r="B11537" s="226" t="str">
        <f>IFERROR(__xludf.DUMMYFUNCTION("""COMPUTED_VALUE"""),"8058772224812")</f>
        <v>8058772224812</v>
      </c>
      <c r="C11537" t="str">
        <f>IFERROR(__xludf.DUMMYFUNCTION("""COMPUTED_VALUE"""),"Umbra")</f>
        <v>Umbra</v>
      </c>
    </row>
    <row r="11538">
      <c r="A11538" t="str">
        <f>IFERROR(__xludf.DUMMYFUNCTION("""COMPUTED_VALUE"""),"31097/VM")</f>
        <v>31097/VM</v>
      </c>
      <c r="B11538" s="226" t="str">
        <f>IFERROR(__xludf.DUMMYFUNCTION("""COMPUTED_VALUE"""),"8058772224836")</f>
        <v>8058772224836</v>
      </c>
      <c r="C11538" t="str">
        <f>IFERROR(__xludf.DUMMYFUNCTION("""COMPUTED_VALUE"""),"Umbra")</f>
        <v>Umbra</v>
      </c>
    </row>
    <row r="11539">
      <c r="A11539" t="str">
        <f>IFERROR(__xludf.DUMMYFUNCTION("""COMPUTED_VALUE"""),"31082")</f>
        <v>31082</v>
      </c>
      <c r="B11539" s="226" t="str">
        <f>IFERROR(__xludf.DUMMYFUNCTION("""COMPUTED_VALUE"""),"8054521993640")</f>
        <v>8054521993640</v>
      </c>
      <c r="C11539" t="str">
        <f>IFERROR(__xludf.DUMMYFUNCTION("""COMPUTED_VALUE"""),"Umbra")</f>
        <v>Umbra</v>
      </c>
    </row>
    <row r="11540">
      <c r="A11540" t="str">
        <f>IFERROR(__xludf.DUMMYFUNCTION("""COMPUTED_VALUE"""),"31064")</f>
        <v>31064</v>
      </c>
      <c r="C11540" t="str">
        <f>IFERROR(__xludf.DUMMYFUNCTION("""COMPUTED_VALUE"""),"Umbra")</f>
        <v>Umbra</v>
      </c>
    </row>
    <row r="11541">
      <c r="A11541" t="str">
        <f>IFERROR(__xludf.DUMMYFUNCTION("""COMPUTED_VALUE"""),"31071/F")</f>
        <v>31071/F</v>
      </c>
      <c r="B11541" s="226" t="str">
        <f>IFERROR(__xludf.DUMMYFUNCTION("""COMPUTED_VALUE"""),"8058772224621")</f>
        <v>8058772224621</v>
      </c>
      <c r="C11541" t="str">
        <f>IFERROR(__xludf.DUMMYFUNCTION("""COMPUTED_VALUE"""),"Umbra")</f>
        <v>Umbra</v>
      </c>
    </row>
    <row r="11542">
      <c r="A11542" t="str">
        <f>IFERROR(__xludf.DUMMYFUNCTION("""COMPUTED_VALUE"""),"31071/C")</f>
        <v>31071/C</v>
      </c>
      <c r="B11542" s="226" t="str">
        <f>IFERROR(__xludf.DUMMYFUNCTION("""COMPUTED_VALUE"""),"8054521993503")</f>
        <v>8054521993503</v>
      </c>
      <c r="C11542" t="str">
        <f>IFERROR(__xludf.DUMMYFUNCTION("""COMPUTED_VALUE"""),"Umbra")</f>
        <v>Umbra</v>
      </c>
    </row>
    <row r="11543">
      <c r="A11543" t="str">
        <f>IFERROR(__xludf.DUMMYFUNCTION("""COMPUTED_VALUE"""),"31080/C")</f>
        <v>31080/C</v>
      </c>
      <c r="B11543" s="226" t="str">
        <f>IFERROR(__xludf.DUMMYFUNCTION("""COMPUTED_VALUE"""),"8054521993589")</f>
        <v>8054521993589</v>
      </c>
      <c r="C11543" t="str">
        <f>IFERROR(__xludf.DUMMYFUNCTION("""COMPUTED_VALUE"""),"Umbra")</f>
        <v>Umbra</v>
      </c>
    </row>
    <row r="11544">
      <c r="A11544" t="str">
        <f>IFERROR(__xludf.DUMMYFUNCTION("""COMPUTED_VALUE"""),"31105/C")</f>
        <v>31105/C</v>
      </c>
      <c r="B11544" s="226" t="str">
        <f>IFERROR(__xludf.DUMMYFUNCTION("""COMPUTED_VALUE"""),"8054521996405")</f>
        <v>8054521996405</v>
      </c>
      <c r="C11544" t="str">
        <f>IFERROR(__xludf.DUMMYFUNCTION("""COMPUTED_VALUE"""),"Umbra")</f>
        <v>Umbra</v>
      </c>
    </row>
    <row r="11545">
      <c r="A11545" t="str">
        <f>IFERROR(__xludf.DUMMYFUNCTION("""COMPUTED_VALUE"""),"31080/F")</f>
        <v>31080/F</v>
      </c>
      <c r="B11545" s="226" t="str">
        <f>IFERROR(__xludf.DUMMYFUNCTION("""COMPUTED_VALUE"""),"8058772224676")</f>
        <v>8058772224676</v>
      </c>
      <c r="C11545" t="str">
        <f>IFERROR(__xludf.DUMMYFUNCTION("""COMPUTED_VALUE"""),"Umbra")</f>
        <v>Umbra</v>
      </c>
    </row>
    <row r="11546">
      <c r="A11546" t="str">
        <f>IFERROR(__xludf.DUMMYFUNCTION("""COMPUTED_VALUE"""),"31105/F")</f>
        <v>31105/F</v>
      </c>
      <c r="B11546" s="226" t="str">
        <f>IFERROR(__xludf.DUMMYFUNCTION("""COMPUTED_VALUE"""),"8054521996399")</f>
        <v>8054521996399</v>
      </c>
      <c r="C11546" t="str">
        <f>IFERROR(__xludf.DUMMYFUNCTION("""COMPUTED_VALUE"""),"Umbra")</f>
        <v>Umbra</v>
      </c>
    </row>
    <row r="11547">
      <c r="A11547" t="str">
        <f>IFERROR(__xludf.DUMMYFUNCTION("""COMPUTED_VALUE"""),"31080/VM")</f>
        <v>31080/VM</v>
      </c>
      <c r="B11547" s="226" t="str">
        <f>IFERROR(__xludf.DUMMYFUNCTION("""COMPUTED_VALUE"""),"8054521993596")</f>
        <v>8054521993596</v>
      </c>
      <c r="C11547" t="str">
        <f>IFERROR(__xludf.DUMMYFUNCTION("""COMPUTED_VALUE"""),"Umbra")</f>
        <v>Umbra</v>
      </c>
    </row>
    <row r="11548">
      <c r="A11548" t="str">
        <f>IFERROR(__xludf.DUMMYFUNCTION("""COMPUTED_VALUE"""),"31105/VM")</f>
        <v>31105/VM</v>
      </c>
      <c r="B11548" s="226" t="str">
        <f>IFERROR(__xludf.DUMMYFUNCTION("""COMPUTED_VALUE"""),"8054521996412")</f>
        <v>8054521996412</v>
      </c>
      <c r="C11548" t="str">
        <f>IFERROR(__xludf.DUMMYFUNCTION("""COMPUTED_VALUE"""),"Umbra")</f>
        <v>Umbra</v>
      </c>
    </row>
    <row r="11549">
      <c r="A11549" t="str">
        <f>IFERROR(__xludf.DUMMYFUNCTION("""COMPUTED_VALUE"""),"31092/7C")</f>
        <v>31092/7C</v>
      </c>
      <c r="B11549" s="226" t="str">
        <f>IFERROR(__xludf.DUMMYFUNCTION("""COMPUTED_VALUE"""),"8054521993770")</f>
        <v>8054521993770</v>
      </c>
      <c r="C11549" t="str">
        <f>IFERROR(__xludf.DUMMYFUNCTION("""COMPUTED_VALUE"""),"Umbra")</f>
        <v>Umbra</v>
      </c>
    </row>
    <row r="11550">
      <c r="A11550" t="str">
        <f>IFERROR(__xludf.DUMMYFUNCTION("""COMPUTED_VALUE"""),"31105/C")</f>
        <v>31105/C</v>
      </c>
      <c r="B11550" s="226" t="str">
        <f>IFERROR(__xludf.DUMMYFUNCTION("""COMPUTED_VALUE"""),"8054521996405")</f>
        <v>8054521996405</v>
      </c>
      <c r="C11550" t="str">
        <f>IFERROR(__xludf.DUMMYFUNCTION("""COMPUTED_VALUE"""),"Umbra")</f>
        <v>Umbra</v>
      </c>
    </row>
    <row r="11551">
      <c r="A11551" t="str">
        <f>IFERROR(__xludf.DUMMYFUNCTION("""COMPUTED_VALUE"""),"31092/7F")</f>
        <v>31092/7F</v>
      </c>
      <c r="C11551" t="str">
        <f>IFERROR(__xludf.DUMMYFUNCTION("""COMPUTED_VALUE"""),"Umbra")</f>
        <v>Umbra</v>
      </c>
    </row>
    <row r="11552">
      <c r="A11552" t="str">
        <f>IFERROR(__xludf.DUMMYFUNCTION("""COMPUTED_VALUE"""),"31105/F")</f>
        <v>31105/F</v>
      </c>
      <c r="B11552" s="226" t="str">
        <f>IFERROR(__xludf.DUMMYFUNCTION("""COMPUTED_VALUE"""),"8054521996399")</f>
        <v>8054521996399</v>
      </c>
      <c r="C11552" t="str">
        <f>IFERROR(__xludf.DUMMYFUNCTION("""COMPUTED_VALUE"""),"Umbra")</f>
        <v>Umbra</v>
      </c>
    </row>
    <row r="11553">
      <c r="A11553" t="str">
        <f>IFERROR(__xludf.DUMMYFUNCTION("""COMPUTED_VALUE"""),"31092/7VM")</f>
        <v>31092/7VM</v>
      </c>
      <c r="B11553" s="226" t="str">
        <f>IFERROR(__xludf.DUMMYFUNCTION("""COMPUTED_VALUE"""),"8054521993787")</f>
        <v>8054521993787</v>
      </c>
      <c r="C11553" t="str">
        <f>IFERROR(__xludf.DUMMYFUNCTION("""COMPUTED_VALUE"""),"Umbra")</f>
        <v>Umbra</v>
      </c>
    </row>
    <row r="11554">
      <c r="A11554" t="str">
        <f>IFERROR(__xludf.DUMMYFUNCTION("""COMPUTED_VALUE"""),"31105/VM")</f>
        <v>31105/VM</v>
      </c>
      <c r="B11554" s="226" t="str">
        <f>IFERROR(__xludf.DUMMYFUNCTION("""COMPUTED_VALUE"""),"8054521996412")</f>
        <v>8054521996412</v>
      </c>
      <c r="C11554" t="str">
        <f>IFERROR(__xludf.DUMMYFUNCTION("""COMPUTED_VALUE"""),"Umbra")</f>
        <v>Umbra</v>
      </c>
    </row>
    <row r="11555">
      <c r="A11555" t="str">
        <f>IFERROR(__xludf.DUMMYFUNCTION("""COMPUTED_VALUE"""),"31075")</f>
        <v>31075</v>
      </c>
      <c r="B11555" s="226" t="str">
        <f>IFERROR(__xludf.DUMMYFUNCTION("""COMPUTED_VALUE"""),"8054521993541")</f>
        <v>8054521993541</v>
      </c>
      <c r="C11555" t="str">
        <f>IFERROR(__xludf.DUMMYFUNCTION("""COMPUTED_VALUE"""),"Umbra")</f>
        <v>Umbra</v>
      </c>
    </row>
    <row r="11556">
      <c r="A11556" t="str">
        <f>IFERROR(__xludf.DUMMYFUNCTION("""COMPUTED_VALUE"""),"31099/SF")</f>
        <v>31099/SF</v>
      </c>
      <c r="B11556" s="226" t="str">
        <f>IFERROR(__xludf.DUMMYFUNCTION("""COMPUTED_VALUE"""),"8058772224867")</f>
        <v>8058772224867</v>
      </c>
      <c r="C11556" t="str">
        <f>IFERROR(__xludf.DUMMYFUNCTION("""COMPUTED_VALUE"""),"Umbra")</f>
        <v>Umbra</v>
      </c>
    </row>
    <row r="11557">
      <c r="A11557" t="str">
        <f>IFERROR(__xludf.DUMMYFUNCTION("""COMPUTED_VALUE"""),"31103/G")</f>
        <v>31103/G</v>
      </c>
      <c r="B11557" s="226" t="str">
        <f>IFERROR(__xludf.DUMMYFUNCTION("""COMPUTED_VALUE"""),"8058772224966")</f>
        <v>8058772224966</v>
      </c>
      <c r="C11557" t="str">
        <f>IFERROR(__xludf.DUMMYFUNCTION("""COMPUTED_VALUE"""),"Umbra")</f>
        <v>Umbra</v>
      </c>
    </row>
    <row r="11558">
      <c r="A11558" t="str">
        <f>IFERROR(__xludf.DUMMYFUNCTION("""COMPUTED_VALUE"""),"31103/SF")</f>
        <v>31103/SF</v>
      </c>
      <c r="B11558" s="226" t="str">
        <f>IFERROR(__xludf.DUMMYFUNCTION("""COMPUTED_VALUE"""),"8058772224959")</f>
        <v>8058772224959</v>
      </c>
      <c r="C11558" t="str">
        <f>IFERROR(__xludf.DUMMYFUNCTION("""COMPUTED_VALUE"""),"Umbra")</f>
        <v>Umbra</v>
      </c>
    </row>
    <row r="11559">
      <c r="A11559" t="str">
        <f>IFERROR(__xludf.DUMMYFUNCTION("""COMPUTED_VALUE"""),"31065")</f>
        <v>31065</v>
      </c>
      <c r="B11559" s="226" t="str">
        <f>IFERROR(__xludf.DUMMYFUNCTION("""COMPUTED_VALUE"""),"8054521993466")</f>
        <v>8054521993466</v>
      </c>
      <c r="C11559" t="str">
        <f>IFERROR(__xludf.DUMMYFUNCTION("""COMPUTED_VALUE"""),"Umbra")</f>
        <v>Umbra</v>
      </c>
    </row>
    <row r="11560">
      <c r="A11560" t="str">
        <f>IFERROR(__xludf.DUMMYFUNCTION("""COMPUTED_VALUE"""),"31084")</f>
        <v>31084</v>
      </c>
      <c r="B11560" s="226" t="str">
        <f>IFERROR(__xludf.DUMMYFUNCTION("""COMPUTED_VALUE"""),"8054521993664")</f>
        <v>8054521993664</v>
      </c>
      <c r="C11560" t="str">
        <f>IFERROR(__xludf.DUMMYFUNCTION("""COMPUTED_VALUE"""),"Umbra")</f>
        <v>Umbra</v>
      </c>
    </row>
    <row r="11561">
      <c r="A11561" t="str">
        <f>IFERROR(__xludf.DUMMYFUNCTION("""COMPUTED_VALUE"""),"03027/1C")</f>
        <v>03027/1C</v>
      </c>
      <c r="B11561" s="226" t="str">
        <f>IFERROR(__xludf.DUMMYFUNCTION("""COMPUTED_VALUE"""),"8058772226922")</f>
        <v>8058772226922</v>
      </c>
      <c r="C11561" t="str">
        <f>IFERROR(__xludf.DUMMYFUNCTION("""COMPUTED_VALUE"""),"Umbra")</f>
        <v>Umbra</v>
      </c>
    </row>
    <row r="11562">
      <c r="A11562" t="str">
        <f>IFERROR(__xludf.DUMMYFUNCTION("""COMPUTED_VALUE"""),"03027/1G")</f>
        <v>03027/1G</v>
      </c>
      <c r="B11562" s="226" t="str">
        <f>IFERROR(__xludf.DUMMYFUNCTION("""COMPUTED_VALUE"""),"8058772226939")</f>
        <v>8058772226939</v>
      </c>
      <c r="C11562" t="str">
        <f>IFERROR(__xludf.DUMMYFUNCTION("""COMPUTED_VALUE"""),"Umbra")</f>
        <v>Umbra</v>
      </c>
    </row>
    <row r="11563">
      <c r="A11563" t="str">
        <f>IFERROR(__xludf.DUMMYFUNCTION("""COMPUTED_VALUE"""),"03027/1SF")</f>
        <v>03027/1SF</v>
      </c>
      <c r="B11563" s="226" t="str">
        <f>IFERROR(__xludf.DUMMYFUNCTION("""COMPUTED_VALUE"""),"8058772226946")</f>
        <v>8058772226946</v>
      </c>
      <c r="C11563" t="str">
        <f>IFERROR(__xludf.DUMMYFUNCTION("""COMPUTED_VALUE"""),"Umbra")</f>
        <v>Umbra</v>
      </c>
    </row>
    <row r="11564">
      <c r="A11564" t="str">
        <f>IFERROR(__xludf.DUMMYFUNCTION("""COMPUTED_VALUE"""),"03027/2C")</f>
        <v>03027/2C</v>
      </c>
      <c r="B11564" s="226" t="str">
        <f>IFERROR(__xludf.DUMMYFUNCTION("""COMPUTED_VALUE"""),"8058772226953")</f>
        <v>8058772226953</v>
      </c>
      <c r="C11564" t="str">
        <f>IFERROR(__xludf.DUMMYFUNCTION("""COMPUTED_VALUE"""),"Umbra")</f>
        <v>Umbra</v>
      </c>
    </row>
    <row r="11565">
      <c r="A11565" t="str">
        <f>IFERROR(__xludf.DUMMYFUNCTION("""COMPUTED_VALUE"""),"03027/2G")</f>
        <v>03027/2G</v>
      </c>
      <c r="B11565" s="226" t="str">
        <f>IFERROR(__xludf.DUMMYFUNCTION("""COMPUTED_VALUE"""),"8058772226977")</f>
        <v>8058772226977</v>
      </c>
      <c r="C11565" t="str">
        <f>IFERROR(__xludf.DUMMYFUNCTION("""COMPUTED_VALUE"""),"Umbra")</f>
        <v>Umbra</v>
      </c>
    </row>
    <row r="11566">
      <c r="A11566" t="str">
        <f>IFERROR(__xludf.DUMMYFUNCTION("""COMPUTED_VALUE"""),"03027/2SF")</f>
        <v>03027/2SF</v>
      </c>
      <c r="B11566" s="226" t="str">
        <f>IFERROR(__xludf.DUMMYFUNCTION("""COMPUTED_VALUE"""),"8058772226991")</f>
        <v>8058772226991</v>
      </c>
      <c r="C11566" t="str">
        <f>IFERROR(__xludf.DUMMYFUNCTION("""COMPUTED_VALUE"""),"Umbra")</f>
        <v>Umbra</v>
      </c>
    </row>
    <row r="11567">
      <c r="A11567" t="str">
        <f>IFERROR(__xludf.DUMMYFUNCTION("""COMPUTED_VALUE"""),"03027/2C CC")</f>
        <v>03027/2C CC</v>
      </c>
      <c r="B11567" s="226" t="str">
        <f>IFERROR(__xludf.DUMMYFUNCTION("""COMPUTED_VALUE"""),"8058772226960")</f>
        <v>8058772226960</v>
      </c>
      <c r="C11567" t="str">
        <f>IFERROR(__xludf.DUMMYFUNCTION("""COMPUTED_VALUE"""),"Umbra")</f>
        <v>Umbra</v>
      </c>
    </row>
    <row r="11568">
      <c r="A11568" t="str">
        <f>IFERROR(__xludf.DUMMYFUNCTION("""COMPUTED_VALUE"""),"03027/2G CC")</f>
        <v>03027/2G CC</v>
      </c>
      <c r="B11568" s="226" t="str">
        <f>IFERROR(__xludf.DUMMYFUNCTION("""COMPUTED_VALUE"""),"8058772226984")</f>
        <v>8058772226984</v>
      </c>
      <c r="C11568" t="str">
        <f>IFERROR(__xludf.DUMMYFUNCTION("""COMPUTED_VALUE"""),"Umbra")</f>
        <v>Umbra</v>
      </c>
    </row>
    <row r="11569">
      <c r="A11569" t="str">
        <f>IFERROR(__xludf.DUMMYFUNCTION("""COMPUTED_VALUE"""),"03027/2SF CC")</f>
        <v>03027/2SF CC</v>
      </c>
      <c r="B11569" s="226" t="str">
        <f>IFERROR(__xludf.DUMMYFUNCTION("""COMPUTED_VALUE"""),"8058772227004")</f>
        <v>8058772227004</v>
      </c>
      <c r="C11569" t="str">
        <f>IFERROR(__xludf.DUMMYFUNCTION("""COMPUTED_VALUE"""),"Umbra")</f>
        <v>Umbra</v>
      </c>
    </row>
    <row r="11570">
      <c r="A11570" t="str">
        <f>IFERROR(__xludf.DUMMYFUNCTION("""COMPUTED_VALUE"""),"03023")</f>
        <v>03023</v>
      </c>
      <c r="B11570" s="226" t="str">
        <f>IFERROR(__xludf.DUMMYFUNCTION("""COMPUTED_VALUE"""),"8058772226847")</f>
        <v>8058772226847</v>
      </c>
      <c r="C11570" t="str">
        <f>IFERROR(__xludf.DUMMYFUNCTION("""COMPUTED_VALUE"""),"Umbra")</f>
        <v>Umbra</v>
      </c>
    </row>
    <row r="11571">
      <c r="A11571" t="str">
        <f>IFERROR(__xludf.DUMMYFUNCTION("""COMPUTED_VALUE"""),"03023/F")</f>
        <v>03023/F</v>
      </c>
      <c r="B11571" s="226" t="str">
        <f>IFERROR(__xludf.DUMMYFUNCTION("""COMPUTED_VALUE"""),"8058772221538")</f>
        <v>8058772221538</v>
      </c>
      <c r="C11571" t="str">
        <f>IFERROR(__xludf.DUMMYFUNCTION("""COMPUTED_VALUE"""),"Umbra")</f>
        <v>Umbra</v>
      </c>
    </row>
    <row r="11572">
      <c r="A11572" t="str">
        <f>IFERROR(__xludf.DUMMYFUNCTION("""COMPUTED_VALUE"""),"03024/C")</f>
        <v>03024/C</v>
      </c>
      <c r="B11572" s="226" t="str">
        <f>IFERROR(__xludf.DUMMYFUNCTION("""COMPUTED_VALUE"""),"8058772226854")</f>
        <v>8058772226854</v>
      </c>
      <c r="C11572" t="str">
        <f>IFERROR(__xludf.DUMMYFUNCTION("""COMPUTED_VALUE"""),"Umbra")</f>
        <v>Umbra</v>
      </c>
    </row>
    <row r="11573">
      <c r="A11573" t="str">
        <f>IFERROR(__xludf.DUMMYFUNCTION("""COMPUTED_VALUE"""),"03026/C")</f>
        <v>03026/C</v>
      </c>
      <c r="B11573" s="226" t="str">
        <f>IFERROR(__xludf.DUMMYFUNCTION("""COMPUTED_VALUE"""),"8058772226885")</f>
        <v>8058772226885</v>
      </c>
      <c r="C11573" t="str">
        <f>IFERROR(__xludf.DUMMYFUNCTION("""COMPUTED_VALUE"""),"Umbra")</f>
        <v>Umbra</v>
      </c>
    </row>
    <row r="11574">
      <c r="A11574" t="str">
        <f>IFERROR(__xludf.DUMMYFUNCTION("""COMPUTED_VALUE"""),"03026/F")</f>
        <v>03026/F</v>
      </c>
      <c r="C11574" t="str">
        <f>IFERROR(__xludf.DUMMYFUNCTION("""COMPUTED_VALUE"""),"Umbra")</f>
        <v>Umbra</v>
      </c>
    </row>
    <row r="11575">
      <c r="A11575" t="str">
        <f>IFERROR(__xludf.DUMMYFUNCTION("""COMPUTED_VALUE"""),"03026/G")</f>
        <v>03026/G</v>
      </c>
      <c r="B11575" s="226" t="str">
        <f>IFERROR(__xludf.DUMMYFUNCTION("""COMPUTED_VALUE"""),"8058772226892")</f>
        <v>8058772226892</v>
      </c>
      <c r="C11575" t="str">
        <f>IFERROR(__xludf.DUMMYFUNCTION("""COMPUTED_VALUE"""),"Umbra")</f>
        <v>Umbra</v>
      </c>
    </row>
    <row r="11576">
      <c r="A11576" t="str">
        <f>IFERROR(__xludf.DUMMYFUNCTION("""COMPUTED_VALUE"""),"03026/SF")</f>
        <v>03026/SF</v>
      </c>
      <c r="B11576" s="226" t="str">
        <f>IFERROR(__xludf.DUMMYFUNCTION("""COMPUTED_VALUE"""),"8058772226908")</f>
        <v>8058772226908</v>
      </c>
      <c r="C11576" t="str">
        <f>IFERROR(__xludf.DUMMYFUNCTION("""COMPUTED_VALUE"""),"Umbra")</f>
        <v>Umbra</v>
      </c>
    </row>
    <row r="11577">
      <c r="A11577" t="str">
        <f>IFERROR(__xludf.DUMMYFUNCTION("""COMPUTED_VALUE"""),"03026/VM")</f>
        <v>03026/VM</v>
      </c>
      <c r="B11577" s="226" t="str">
        <f>IFERROR(__xludf.DUMMYFUNCTION("""COMPUTED_VALUE"""),"8058772226915")</f>
        <v>8058772226915</v>
      </c>
      <c r="C11577" t="str">
        <f>IFERROR(__xludf.DUMMYFUNCTION("""COMPUTED_VALUE"""),"Umbra")</f>
        <v>Umbra</v>
      </c>
    </row>
    <row r="11578">
      <c r="A11578" t="str">
        <f>IFERROR(__xludf.DUMMYFUNCTION("""COMPUTED_VALUE"""),"03026/C")</f>
        <v>03026/C</v>
      </c>
      <c r="B11578" s="226" t="str">
        <f>IFERROR(__xludf.DUMMYFUNCTION("""COMPUTED_VALUE"""),"8058772226885")</f>
        <v>8058772226885</v>
      </c>
      <c r="C11578" t="str">
        <f>IFERROR(__xludf.DUMMYFUNCTION("""COMPUTED_VALUE"""),"Umbra")</f>
        <v>Umbra</v>
      </c>
    </row>
    <row r="11579">
      <c r="A11579" t="str">
        <f>IFERROR(__xludf.DUMMYFUNCTION("""COMPUTED_VALUE"""),"03026/F")</f>
        <v>03026/F</v>
      </c>
      <c r="C11579" t="str">
        <f>IFERROR(__xludf.DUMMYFUNCTION("""COMPUTED_VALUE"""),"Umbra")</f>
        <v>Umbra</v>
      </c>
    </row>
    <row r="11580">
      <c r="A11580" t="str">
        <f>IFERROR(__xludf.DUMMYFUNCTION("""COMPUTED_VALUE"""),"03026/G")</f>
        <v>03026/G</v>
      </c>
      <c r="B11580" s="226" t="str">
        <f>IFERROR(__xludf.DUMMYFUNCTION("""COMPUTED_VALUE"""),"8058772226892")</f>
        <v>8058772226892</v>
      </c>
      <c r="C11580" t="str">
        <f>IFERROR(__xludf.DUMMYFUNCTION("""COMPUTED_VALUE"""),"Umbra")</f>
        <v>Umbra</v>
      </c>
    </row>
    <row r="11581">
      <c r="A11581" t="str">
        <f>IFERROR(__xludf.DUMMYFUNCTION("""COMPUTED_VALUE"""),"03026/SF")</f>
        <v>03026/SF</v>
      </c>
      <c r="B11581" s="226" t="str">
        <f>IFERROR(__xludf.DUMMYFUNCTION("""COMPUTED_VALUE"""),"8058772226908")</f>
        <v>8058772226908</v>
      </c>
      <c r="C11581" t="str">
        <f>IFERROR(__xludf.DUMMYFUNCTION("""COMPUTED_VALUE"""),"Umbra")</f>
        <v>Umbra</v>
      </c>
    </row>
    <row r="11582">
      <c r="A11582" t="str">
        <f>IFERROR(__xludf.DUMMYFUNCTION("""COMPUTED_VALUE"""),"03026/VM")</f>
        <v>03026/VM</v>
      </c>
      <c r="B11582" s="226" t="str">
        <f>IFERROR(__xludf.DUMMYFUNCTION("""COMPUTED_VALUE"""),"8058772226915")</f>
        <v>8058772226915</v>
      </c>
      <c r="C11582" t="str">
        <f>IFERROR(__xludf.DUMMYFUNCTION("""COMPUTED_VALUE"""),"Umbra")</f>
        <v>Umbra</v>
      </c>
    </row>
    <row r="11583">
      <c r="A11583" t="str">
        <f>IFERROR(__xludf.DUMMYFUNCTION("""COMPUTED_VALUE"""),"03020")</f>
        <v>03020</v>
      </c>
      <c r="B11583" s="226" t="str">
        <f>IFERROR(__xludf.DUMMYFUNCTION("""COMPUTED_VALUE"""),"8058772226816")</f>
        <v>8058772226816</v>
      </c>
      <c r="C11583" t="str">
        <f>IFERROR(__xludf.DUMMYFUNCTION("""COMPUTED_VALUE"""),"Umbra")</f>
        <v>Umbra</v>
      </c>
    </row>
    <row r="11584">
      <c r="A11584" t="str">
        <f>IFERROR(__xludf.DUMMYFUNCTION("""COMPUTED_VALUE"""),"03025")</f>
        <v>03025</v>
      </c>
      <c r="B11584" s="226" t="str">
        <f>IFERROR(__xludf.DUMMYFUNCTION("""COMPUTED_VALUE"""),"8058772226878")</f>
        <v>8058772226878</v>
      </c>
      <c r="C11584" t="str">
        <f>IFERROR(__xludf.DUMMYFUNCTION("""COMPUTED_VALUE"""),"Umbra")</f>
        <v>Umbra</v>
      </c>
    </row>
    <row r="11585">
      <c r="A11585" t="str">
        <f>IFERROR(__xludf.DUMMYFUNCTION("""COMPUTED_VALUE"""),"03028/C")</f>
        <v>03028/C</v>
      </c>
      <c r="B11585" s="226" t="str">
        <f>IFERROR(__xludf.DUMMYFUNCTION("""COMPUTED_VALUE"""),"8058772227011")</f>
        <v>8058772227011</v>
      </c>
      <c r="C11585" t="str">
        <f>IFERROR(__xludf.DUMMYFUNCTION("""COMPUTED_VALUE"""),"Umbra")</f>
        <v>Umbra</v>
      </c>
    </row>
    <row r="11586">
      <c r="A11586" t="str">
        <f>IFERROR(__xludf.DUMMYFUNCTION("""COMPUTED_VALUE"""),"03028/F")</f>
        <v>03028/F</v>
      </c>
      <c r="C11586" t="str">
        <f>IFERROR(__xludf.DUMMYFUNCTION("""COMPUTED_VALUE"""),"Umbra")</f>
        <v>Umbra</v>
      </c>
    </row>
    <row r="11587">
      <c r="A11587" t="str">
        <f>IFERROR(__xludf.DUMMYFUNCTION("""COMPUTED_VALUE"""),"03028/VM")</f>
        <v>03028/VM</v>
      </c>
      <c r="B11587" s="226" t="str">
        <f>IFERROR(__xludf.DUMMYFUNCTION("""COMPUTED_VALUE"""),"8058772227028")</f>
        <v>8058772227028</v>
      </c>
      <c r="C11587" t="str">
        <f>IFERROR(__xludf.DUMMYFUNCTION("""COMPUTED_VALUE"""),"Umbra")</f>
        <v>Umbra</v>
      </c>
    </row>
    <row r="11588">
      <c r="A11588" t="str">
        <f>IFERROR(__xludf.DUMMYFUNCTION("""COMPUTED_VALUE"""),"03028/C")</f>
        <v>03028/C</v>
      </c>
      <c r="B11588" s="226" t="str">
        <f>IFERROR(__xludf.DUMMYFUNCTION("""COMPUTED_VALUE"""),"8058772227011")</f>
        <v>8058772227011</v>
      </c>
      <c r="C11588" t="str">
        <f>IFERROR(__xludf.DUMMYFUNCTION("""COMPUTED_VALUE"""),"Umbra")</f>
        <v>Umbra</v>
      </c>
    </row>
    <row r="11589">
      <c r="A11589" t="str">
        <f>IFERROR(__xludf.DUMMYFUNCTION("""COMPUTED_VALUE"""),"03028/F")</f>
        <v>03028/F</v>
      </c>
      <c r="C11589" t="str">
        <f>IFERROR(__xludf.DUMMYFUNCTION("""COMPUTED_VALUE"""),"Umbra")</f>
        <v>Umbra</v>
      </c>
    </row>
    <row r="11590">
      <c r="A11590" t="str">
        <f>IFERROR(__xludf.DUMMYFUNCTION("""COMPUTED_VALUE"""),"03028/VM")</f>
        <v>03028/VM</v>
      </c>
      <c r="B11590" s="226" t="str">
        <f>IFERROR(__xludf.DUMMYFUNCTION("""COMPUTED_VALUE"""),"8058772227028")</f>
        <v>8058772227028</v>
      </c>
      <c r="C11590" t="str">
        <f>IFERROR(__xludf.DUMMYFUNCTION("""COMPUTED_VALUE"""),"Umbra")</f>
        <v>Umbra</v>
      </c>
    </row>
    <row r="11591">
      <c r="A11591" t="str">
        <f>IFERROR(__xludf.DUMMYFUNCTION("""COMPUTED_VALUE"""),"03019")</f>
        <v>03019</v>
      </c>
      <c r="B11591" s="226" t="str">
        <f>IFERROR(__xludf.DUMMYFUNCTION("""COMPUTED_VALUE"""),"8058772226809")</f>
        <v>8058772226809</v>
      </c>
      <c r="C11591" t="str">
        <f>IFERROR(__xludf.DUMMYFUNCTION("""COMPUTED_VALUE"""),"Umbra")</f>
        <v>Umbra</v>
      </c>
    </row>
    <row r="11592">
      <c r="A11592" t="str">
        <f>IFERROR(__xludf.DUMMYFUNCTION("""COMPUTED_VALUE"""),"14063/2C")</f>
        <v>14063/2C</v>
      </c>
      <c r="C11592" t="str">
        <f>IFERROR(__xludf.DUMMYFUNCTION("""COMPUTED_VALUE"""),"Umbra")</f>
        <v>Umbra</v>
      </c>
    </row>
    <row r="11593">
      <c r="A11593" t="str">
        <f>IFERROR(__xludf.DUMMYFUNCTION("""COMPUTED_VALUE"""),"14063/2F")</f>
        <v>14063/2F</v>
      </c>
      <c r="C11593" t="str">
        <f>IFERROR(__xludf.DUMMYFUNCTION("""COMPUTED_VALUE"""),"Umbra")</f>
        <v>Umbra</v>
      </c>
    </row>
    <row r="11594">
      <c r="A11594" t="str">
        <f>IFERROR(__xludf.DUMMYFUNCTION("""COMPUTED_VALUE"""),"33022/C")</f>
        <v>33022/C</v>
      </c>
      <c r="B11594" s="226" t="str">
        <f>IFERROR(__xludf.DUMMYFUNCTION("""COMPUTED_VALUE"""),"8054521994074")</f>
        <v>8054521994074</v>
      </c>
      <c r="C11594" t="str">
        <f>IFERROR(__xludf.DUMMYFUNCTION("""COMPUTED_VALUE"""),"Umbra")</f>
        <v>Umbra</v>
      </c>
    </row>
    <row r="11595">
      <c r="A11595" t="str">
        <f>IFERROR(__xludf.DUMMYFUNCTION("""COMPUTED_VALUE"""),"33022/F")</f>
        <v>33022/F</v>
      </c>
      <c r="B11595" s="226" t="str">
        <f>IFERROR(__xludf.DUMMYFUNCTION("""COMPUTED_VALUE"""),"8058772225048")</f>
        <v>8058772225048</v>
      </c>
      <c r="C11595" t="str">
        <f>IFERROR(__xludf.DUMMYFUNCTION("""COMPUTED_VALUE"""),"Umbra")</f>
        <v>Umbra</v>
      </c>
    </row>
    <row r="11596">
      <c r="A11596" t="str">
        <f>IFERROR(__xludf.DUMMYFUNCTION("""COMPUTED_VALUE"""),"33022/VM")</f>
        <v>33022/VM</v>
      </c>
      <c r="B11596" s="226" t="str">
        <f>IFERROR(__xludf.DUMMYFUNCTION("""COMPUTED_VALUE"""),"8054521994081")</f>
        <v>8054521994081</v>
      </c>
      <c r="C11596" t="str">
        <f>IFERROR(__xludf.DUMMYFUNCTION("""COMPUTED_VALUE"""),"Umbra")</f>
        <v>Umbra</v>
      </c>
    </row>
    <row r="11597">
      <c r="A11597" t="str">
        <f>IFERROR(__xludf.DUMMYFUNCTION("""COMPUTED_VALUE"""),"14063/1C")</f>
        <v>14063/1C</v>
      </c>
      <c r="B11597" s="226" t="str">
        <f>IFERROR(__xludf.DUMMYFUNCTION("""COMPUTED_VALUE"""),"8058772222658")</f>
        <v>8058772222658</v>
      </c>
      <c r="C11597" t="str">
        <f>IFERROR(__xludf.DUMMYFUNCTION("""COMPUTED_VALUE"""),"Umbra")</f>
        <v>Umbra</v>
      </c>
    </row>
    <row r="11598">
      <c r="A11598" t="str">
        <f>IFERROR(__xludf.DUMMYFUNCTION("""COMPUTED_VALUE"""),"14063/1F")</f>
        <v>14063/1F</v>
      </c>
      <c r="B11598" s="226" t="str">
        <f>IFERROR(__xludf.DUMMYFUNCTION("""COMPUTED_VALUE"""),"8058772222641")</f>
        <v>8058772222641</v>
      </c>
      <c r="C11598" t="str">
        <f>IFERROR(__xludf.DUMMYFUNCTION("""COMPUTED_VALUE"""),"Umbra")</f>
        <v>Umbra</v>
      </c>
    </row>
    <row r="11599">
      <c r="A11599" t="str">
        <f>IFERROR(__xludf.DUMMYFUNCTION("""COMPUTED_VALUE"""),"33019/C")</f>
        <v>33019/C</v>
      </c>
      <c r="B11599" s="226" t="str">
        <f>IFERROR(__xludf.DUMMYFUNCTION("""COMPUTED_VALUE"""),"8054521994012")</f>
        <v>8054521994012</v>
      </c>
      <c r="C11599" t="str">
        <f>IFERROR(__xludf.DUMMYFUNCTION("""COMPUTED_VALUE"""),"Umbra")</f>
        <v>Umbra</v>
      </c>
    </row>
    <row r="11600">
      <c r="A11600" t="str">
        <f>IFERROR(__xludf.DUMMYFUNCTION("""COMPUTED_VALUE"""),"33019/F")</f>
        <v>33019/F</v>
      </c>
      <c r="B11600" s="226" t="str">
        <f>IFERROR(__xludf.DUMMYFUNCTION("""COMPUTED_VALUE"""),"8058772225000")</f>
        <v>8058772225000</v>
      </c>
      <c r="C11600" t="str">
        <f>IFERROR(__xludf.DUMMYFUNCTION("""COMPUTED_VALUE"""),"Umbra")</f>
        <v>Umbra</v>
      </c>
    </row>
    <row r="11601">
      <c r="A11601" t="str">
        <f>IFERROR(__xludf.DUMMYFUNCTION("""COMPUTED_VALUE"""),"33019/VM")</f>
        <v>33019/VM</v>
      </c>
      <c r="B11601" s="226" t="str">
        <f>IFERROR(__xludf.DUMMYFUNCTION("""COMPUTED_VALUE"""),"8054521994029")</f>
        <v>8054521994029</v>
      </c>
      <c r="C11601" t="str">
        <f>IFERROR(__xludf.DUMMYFUNCTION("""COMPUTED_VALUE"""),"Umbra")</f>
        <v>Umbra</v>
      </c>
    </row>
    <row r="11602">
      <c r="A11602" t="str">
        <f>IFERROR(__xludf.DUMMYFUNCTION("""COMPUTED_VALUE"""),"33020/C")</f>
        <v>33020/C</v>
      </c>
      <c r="B11602" s="226" t="str">
        <f>IFERROR(__xludf.DUMMYFUNCTION("""COMPUTED_VALUE"""),"8054521994036")</f>
        <v>8054521994036</v>
      </c>
      <c r="C11602" t="str">
        <f>IFERROR(__xludf.DUMMYFUNCTION("""COMPUTED_VALUE"""),"Umbra")</f>
        <v>Umbra</v>
      </c>
    </row>
    <row r="11603">
      <c r="A11603" t="str">
        <f>IFERROR(__xludf.DUMMYFUNCTION("""COMPUTED_VALUE"""),"33020/F")</f>
        <v>33020/F</v>
      </c>
      <c r="B11603" s="226" t="str">
        <f>IFERROR(__xludf.DUMMYFUNCTION("""COMPUTED_VALUE"""),"8058772225024")</f>
        <v>8058772225024</v>
      </c>
      <c r="C11603" t="str">
        <f>IFERROR(__xludf.DUMMYFUNCTION("""COMPUTED_VALUE"""),"Umbra")</f>
        <v>Umbra</v>
      </c>
    </row>
    <row r="11604">
      <c r="A11604" t="str">
        <f>IFERROR(__xludf.DUMMYFUNCTION("""COMPUTED_VALUE"""),"33020/VM")</f>
        <v>33020/VM</v>
      </c>
      <c r="B11604" s="226" t="str">
        <f>IFERROR(__xludf.DUMMYFUNCTION("""COMPUTED_VALUE"""),"8054521994043")</f>
        <v>8054521994043</v>
      </c>
      <c r="C11604" t="str">
        <f>IFERROR(__xludf.DUMMYFUNCTION("""COMPUTED_VALUE"""),"Umbra")</f>
        <v>Umbra</v>
      </c>
    </row>
    <row r="11605">
      <c r="A11605" t="str">
        <f>IFERROR(__xludf.DUMMYFUNCTION("""COMPUTED_VALUE"""),"43044")</f>
        <v>43044</v>
      </c>
      <c r="B11605" s="226" t="str">
        <f>IFERROR(__xludf.DUMMYFUNCTION("""COMPUTED_VALUE"""),"8054521994111")</f>
        <v>8054521994111</v>
      </c>
      <c r="C11605" t="str">
        <f>IFERROR(__xludf.DUMMYFUNCTION("""COMPUTED_VALUE"""),"Umbra")</f>
        <v>Umbra</v>
      </c>
    </row>
    <row r="11606">
      <c r="A11606" t="str">
        <f>IFERROR(__xludf.DUMMYFUNCTION("""COMPUTED_VALUE"""),"33018")</f>
        <v>33018</v>
      </c>
      <c r="B11606" s="226" t="str">
        <f>IFERROR(__xludf.DUMMYFUNCTION("""COMPUTED_VALUE"""),"8054521994005")</f>
        <v>8054521994005</v>
      </c>
      <c r="C11606" t="str">
        <f>IFERROR(__xludf.DUMMYFUNCTION("""COMPUTED_VALUE"""),"Umbra")</f>
        <v>Umbra</v>
      </c>
    </row>
    <row r="11607">
      <c r="A11607" t="str">
        <f>IFERROR(__xludf.DUMMYFUNCTION("""COMPUTED_VALUE"""),"33015")</f>
        <v>33015</v>
      </c>
      <c r="B11607" s="226" t="str">
        <f>IFERROR(__xludf.DUMMYFUNCTION("""COMPUTED_VALUE"""),"8054521993978")</f>
        <v>8054521993978</v>
      </c>
      <c r="C11607" t="str">
        <f>IFERROR(__xludf.DUMMYFUNCTION("""COMPUTED_VALUE"""),"Umbra")</f>
        <v>Umbra</v>
      </c>
    </row>
    <row r="11608">
      <c r="A11608" t="str">
        <f>IFERROR(__xludf.DUMMYFUNCTION("""COMPUTED_VALUE"""),"33015/F")</f>
        <v>33015/F</v>
      </c>
      <c r="C11608" t="str">
        <f>IFERROR(__xludf.DUMMYFUNCTION("""COMPUTED_VALUE"""),"Umbra")</f>
        <v>Umbra</v>
      </c>
    </row>
    <row r="11609">
      <c r="A11609" t="str">
        <f>IFERROR(__xludf.DUMMYFUNCTION("""COMPUTED_VALUE"""),"43043")</f>
        <v>43043</v>
      </c>
      <c r="B11609" s="226" t="str">
        <f>IFERROR(__xludf.DUMMYFUNCTION("""COMPUTED_VALUE"""),"8054521994104")</f>
        <v>8054521994104</v>
      </c>
      <c r="C11609" t="str">
        <f>IFERROR(__xludf.DUMMYFUNCTION("""COMPUTED_VALUE"""),"Umbra")</f>
        <v>Umbra</v>
      </c>
    </row>
    <row r="11610">
      <c r="A11610" t="str">
        <f>IFERROR(__xludf.DUMMYFUNCTION("""COMPUTED_VALUE"""),"02027/1C")</f>
        <v>02027/1C</v>
      </c>
      <c r="B11610" s="226" t="str">
        <f>IFERROR(__xludf.DUMMYFUNCTION("""COMPUTED_VALUE"""),"8054521993893")</f>
        <v>8054521993893</v>
      </c>
      <c r="C11610" t="str">
        <f>IFERROR(__xludf.DUMMYFUNCTION("""COMPUTED_VALUE"""),"Umbra")</f>
        <v>Umbra</v>
      </c>
    </row>
    <row r="11611">
      <c r="A11611" t="str">
        <f>IFERROR(__xludf.DUMMYFUNCTION("""COMPUTED_VALUE"""),"02027/1F")</f>
        <v>02027/1F</v>
      </c>
      <c r="C11611" t="str">
        <f>IFERROR(__xludf.DUMMYFUNCTION("""COMPUTED_VALUE"""),"Umbra")</f>
        <v>Umbra</v>
      </c>
    </row>
    <row r="11612">
      <c r="A11612" t="str">
        <f>IFERROR(__xludf.DUMMYFUNCTION("""COMPUTED_VALUE"""),"02027/1VM")</f>
        <v>02027/1VM</v>
      </c>
      <c r="B11612" s="226" t="str">
        <f>IFERROR(__xludf.DUMMYFUNCTION("""COMPUTED_VALUE"""),"8054521993909")</f>
        <v>8054521993909</v>
      </c>
      <c r="C11612" t="str">
        <f>IFERROR(__xludf.DUMMYFUNCTION("""COMPUTED_VALUE"""),"Umbra")</f>
        <v>Umbra</v>
      </c>
    </row>
    <row r="11613">
      <c r="A11613" t="str">
        <f>IFERROR(__xludf.DUMMYFUNCTION("""COMPUTED_VALUE"""),"33017")</f>
        <v>33017</v>
      </c>
      <c r="B11613" s="226" t="str">
        <f>IFERROR(__xludf.DUMMYFUNCTION("""COMPUTED_VALUE"""),"8054521993992")</f>
        <v>8054521993992</v>
      </c>
      <c r="C11613" t="str">
        <f>IFERROR(__xludf.DUMMYFUNCTION("""COMPUTED_VALUE"""),"Umbra")</f>
        <v>Umbra</v>
      </c>
    </row>
    <row r="11614">
      <c r="A11614" t="str">
        <f>IFERROR(__xludf.DUMMYFUNCTION("""COMPUTED_VALUE"""),"33021/C")</f>
        <v>33021/C</v>
      </c>
      <c r="B11614" s="226" t="str">
        <f>IFERROR(__xludf.DUMMYFUNCTION("""COMPUTED_VALUE"""),"8054521994050")</f>
        <v>8054521994050</v>
      </c>
      <c r="C11614" t="str">
        <f>IFERROR(__xludf.DUMMYFUNCTION("""COMPUTED_VALUE"""),"Umbra")</f>
        <v>Umbra</v>
      </c>
    </row>
    <row r="11615">
      <c r="A11615" t="str">
        <f>IFERROR(__xludf.DUMMYFUNCTION("""COMPUTED_VALUE"""),"33021/F")</f>
        <v>33021/F</v>
      </c>
      <c r="B11615" s="226" t="str">
        <f>IFERROR(__xludf.DUMMYFUNCTION("""COMPUTED_VALUE"""),"8058772225031")</f>
        <v>8058772225031</v>
      </c>
      <c r="C11615" t="str">
        <f>IFERROR(__xludf.DUMMYFUNCTION("""COMPUTED_VALUE"""),"Umbra")</f>
        <v>Umbra</v>
      </c>
    </row>
    <row r="11616">
      <c r="A11616" t="str">
        <f>IFERROR(__xludf.DUMMYFUNCTION("""COMPUTED_VALUE"""),"33021/VM")</f>
        <v>33021/VM</v>
      </c>
      <c r="B11616" s="226" t="str">
        <f>IFERROR(__xludf.DUMMYFUNCTION("""COMPUTED_VALUE"""),"8054521994067")</f>
        <v>8054521994067</v>
      </c>
      <c r="C11616" t="str">
        <f>IFERROR(__xludf.DUMMYFUNCTION("""COMPUTED_VALUE"""),"Umbra")</f>
        <v>Umbra</v>
      </c>
    </row>
    <row r="11617">
      <c r="A11617" t="str">
        <f>IFERROR(__xludf.DUMMYFUNCTION("""COMPUTED_VALUE"""),"33021/C")</f>
        <v>33021/C</v>
      </c>
      <c r="B11617" s="226" t="str">
        <f>IFERROR(__xludf.DUMMYFUNCTION("""COMPUTED_VALUE"""),"8054521994050")</f>
        <v>8054521994050</v>
      </c>
      <c r="C11617" t="str">
        <f>IFERROR(__xludf.DUMMYFUNCTION("""COMPUTED_VALUE"""),"Umbra")</f>
        <v>Umbra</v>
      </c>
    </row>
    <row r="11618">
      <c r="A11618" t="str">
        <f>IFERROR(__xludf.DUMMYFUNCTION("""COMPUTED_VALUE"""),"33021/F")</f>
        <v>33021/F</v>
      </c>
      <c r="B11618" s="226" t="str">
        <f>IFERROR(__xludf.DUMMYFUNCTION("""COMPUTED_VALUE"""),"8058772225031")</f>
        <v>8058772225031</v>
      </c>
      <c r="C11618" t="str">
        <f>IFERROR(__xludf.DUMMYFUNCTION("""COMPUTED_VALUE"""),"Umbra")</f>
        <v>Umbra</v>
      </c>
    </row>
    <row r="11619">
      <c r="A11619" t="str">
        <f>IFERROR(__xludf.DUMMYFUNCTION("""COMPUTED_VALUE"""),"33021/VM")</f>
        <v>33021/VM</v>
      </c>
      <c r="B11619" s="226" t="str">
        <f>IFERROR(__xludf.DUMMYFUNCTION("""COMPUTED_VALUE"""),"8054521994067")</f>
        <v>8054521994067</v>
      </c>
      <c r="C11619" t="str">
        <f>IFERROR(__xludf.DUMMYFUNCTION("""COMPUTED_VALUE"""),"Umbra")</f>
        <v>Umbra</v>
      </c>
    </row>
    <row r="11620">
      <c r="A11620" t="str">
        <f>IFERROR(__xludf.DUMMYFUNCTION("""COMPUTED_VALUE"""),"33015")</f>
        <v>33015</v>
      </c>
      <c r="B11620" s="226" t="str">
        <f>IFERROR(__xludf.DUMMYFUNCTION("""COMPUTED_VALUE"""),"8054521993978")</f>
        <v>8054521993978</v>
      </c>
      <c r="C11620" t="str">
        <f>IFERROR(__xludf.DUMMYFUNCTION("""COMPUTED_VALUE"""),"Umbra")</f>
        <v>Umbra</v>
      </c>
    </row>
    <row r="11621">
      <c r="A11621" t="str">
        <f>IFERROR(__xludf.DUMMYFUNCTION("""COMPUTED_VALUE"""),"33015/F")</f>
        <v>33015/F</v>
      </c>
      <c r="C11621" t="str">
        <f>IFERROR(__xludf.DUMMYFUNCTION("""COMPUTED_VALUE"""),"Umbra")</f>
        <v>Umbra</v>
      </c>
    </row>
    <row r="11622">
      <c r="A11622" t="str">
        <f>IFERROR(__xludf.DUMMYFUNCTION("""COMPUTED_VALUE"""),"34001")</f>
        <v>34001</v>
      </c>
      <c r="B11622" s="226" t="str">
        <f>IFERROR(__xludf.DUMMYFUNCTION("""COMPUTED_VALUE"""),"8054521994098")</f>
        <v>8054521994098</v>
      </c>
      <c r="C11622" t="str">
        <f>IFERROR(__xludf.DUMMYFUNCTION("""COMPUTED_VALUE"""),"Umbra")</f>
        <v>Umbra</v>
      </c>
    </row>
    <row r="11623">
      <c r="A11623" t="str">
        <f>IFERROR(__xludf.DUMMYFUNCTION("""COMPUTED_VALUE"""),"34001/F")</f>
        <v>34001/F</v>
      </c>
      <c r="B11623" s="226" t="str">
        <f>IFERROR(__xludf.DUMMYFUNCTION("""COMPUTED_VALUE"""),"8058772225055")</f>
        <v>8058772225055</v>
      </c>
      <c r="C11623" t="str">
        <f>IFERROR(__xludf.DUMMYFUNCTION("""COMPUTED_VALUE"""),"Umbra")</f>
        <v>Umbra</v>
      </c>
    </row>
    <row r="11624">
      <c r="A11624" t="str">
        <f>IFERROR(__xludf.DUMMYFUNCTION("""COMPUTED_VALUE"""),"33019/C")</f>
        <v>33019/C</v>
      </c>
      <c r="B11624" s="226" t="str">
        <f>IFERROR(__xludf.DUMMYFUNCTION("""COMPUTED_VALUE"""),"8054521994012")</f>
        <v>8054521994012</v>
      </c>
      <c r="C11624" t="str">
        <f>IFERROR(__xludf.DUMMYFUNCTION("""COMPUTED_VALUE"""),"Umbra")</f>
        <v>Umbra</v>
      </c>
    </row>
    <row r="11625">
      <c r="A11625" t="str">
        <f>IFERROR(__xludf.DUMMYFUNCTION("""COMPUTED_VALUE"""),"33019/F")</f>
        <v>33019/F</v>
      </c>
      <c r="B11625" s="226" t="str">
        <f>IFERROR(__xludf.DUMMYFUNCTION("""COMPUTED_VALUE"""),"8058772225000")</f>
        <v>8058772225000</v>
      </c>
      <c r="C11625" t="str">
        <f>IFERROR(__xludf.DUMMYFUNCTION("""COMPUTED_VALUE"""),"Umbra")</f>
        <v>Umbra</v>
      </c>
    </row>
    <row r="11626">
      <c r="A11626" t="str">
        <f>IFERROR(__xludf.DUMMYFUNCTION("""COMPUTED_VALUE"""),"33019/VM")</f>
        <v>33019/VM</v>
      </c>
      <c r="B11626" s="226" t="str">
        <f>IFERROR(__xludf.DUMMYFUNCTION("""COMPUTED_VALUE"""),"8054521994029")</f>
        <v>8054521994029</v>
      </c>
      <c r="C11626" t="str">
        <f>IFERROR(__xludf.DUMMYFUNCTION("""COMPUTED_VALUE"""),"Umbra")</f>
        <v>Umbra</v>
      </c>
    </row>
    <row r="11627">
      <c r="A11627" t="str">
        <f>IFERROR(__xludf.DUMMYFUNCTION("""COMPUTED_VALUE"""),"02031/C")</f>
        <v>02031/C</v>
      </c>
      <c r="B11627" s="226" t="str">
        <f>IFERROR(__xludf.DUMMYFUNCTION("""COMPUTED_VALUE"""),"8058772221514")</f>
        <v>8058772221514</v>
      </c>
      <c r="C11627" t="str">
        <f>IFERROR(__xludf.DUMMYFUNCTION("""COMPUTED_VALUE"""),"Umbra")</f>
        <v>Umbra</v>
      </c>
    </row>
    <row r="11628">
      <c r="A11628" t="str">
        <f>IFERROR(__xludf.DUMMYFUNCTION("""COMPUTED_VALUE"""),"02031/F")</f>
        <v>02031/F</v>
      </c>
      <c r="B11628" s="226" t="str">
        <f>IFERROR(__xludf.DUMMYFUNCTION("""COMPUTED_VALUE"""),"8058772221507")</f>
        <v>8058772221507</v>
      </c>
      <c r="C11628" t="str">
        <f>IFERROR(__xludf.DUMMYFUNCTION("""COMPUTED_VALUE"""),"Umbra")</f>
        <v>Umbra</v>
      </c>
    </row>
    <row r="11629">
      <c r="A11629" t="str">
        <f>IFERROR(__xludf.DUMMYFUNCTION("""COMPUTED_VALUE"""),"02031/VM")</f>
        <v>02031/VM</v>
      </c>
      <c r="B11629" s="226" t="str">
        <f>IFERROR(__xludf.DUMMYFUNCTION("""COMPUTED_VALUE"""),"8058772221521")</f>
        <v>8058772221521</v>
      </c>
      <c r="C11629" t="str">
        <f>IFERROR(__xludf.DUMMYFUNCTION("""COMPUTED_VALUE"""),"Umbra")</f>
        <v>Umbra</v>
      </c>
    </row>
    <row r="11630">
      <c r="A11630" t="str">
        <f>IFERROR(__xludf.DUMMYFUNCTION("""COMPUTED_VALUE"""),"02031/C")</f>
        <v>02031/C</v>
      </c>
      <c r="B11630" s="226" t="str">
        <f>IFERROR(__xludf.DUMMYFUNCTION("""COMPUTED_VALUE"""),"8058772221514")</f>
        <v>8058772221514</v>
      </c>
      <c r="C11630" t="str">
        <f>IFERROR(__xludf.DUMMYFUNCTION("""COMPUTED_VALUE"""),"Umbra")</f>
        <v>Umbra</v>
      </c>
    </row>
    <row r="11631">
      <c r="A11631" t="str">
        <f>IFERROR(__xludf.DUMMYFUNCTION("""COMPUTED_VALUE"""),"02031/F")</f>
        <v>02031/F</v>
      </c>
      <c r="B11631" s="226" t="str">
        <f>IFERROR(__xludf.DUMMYFUNCTION("""COMPUTED_VALUE"""),"8058772221507")</f>
        <v>8058772221507</v>
      </c>
      <c r="C11631" t="str">
        <f>IFERROR(__xludf.DUMMYFUNCTION("""COMPUTED_VALUE"""),"Umbra")</f>
        <v>Umbra</v>
      </c>
    </row>
    <row r="11632">
      <c r="A11632" t="str">
        <f>IFERROR(__xludf.DUMMYFUNCTION("""COMPUTED_VALUE"""),"02031/VM")</f>
        <v>02031/VM</v>
      </c>
      <c r="B11632" s="226" t="str">
        <f>IFERROR(__xludf.DUMMYFUNCTION("""COMPUTED_VALUE"""),"8058772221521")</f>
        <v>8058772221521</v>
      </c>
      <c r="C11632" t="str">
        <f>IFERROR(__xludf.DUMMYFUNCTION("""COMPUTED_VALUE"""),"Umbra")</f>
        <v>Umbra</v>
      </c>
    </row>
    <row r="11633">
      <c r="A11633" t="str">
        <f>IFERROR(__xludf.DUMMYFUNCTION("""COMPUTED_VALUE"""),"33016")</f>
        <v>33016</v>
      </c>
      <c r="B11633" s="226" t="str">
        <f>IFERROR(__xludf.DUMMYFUNCTION("""COMPUTED_VALUE"""),"8054521993985")</f>
        <v>8054521993985</v>
      </c>
      <c r="C11633" t="str">
        <f>IFERROR(__xludf.DUMMYFUNCTION("""COMPUTED_VALUE"""),"Umbra")</f>
        <v>Umbra</v>
      </c>
    </row>
    <row r="11634">
      <c r="A11634" t="str">
        <f>IFERROR(__xludf.DUMMYFUNCTION("""COMPUTED_VALUE"""),"33020/C")</f>
        <v>33020/C</v>
      </c>
      <c r="B11634" s="226" t="str">
        <f>IFERROR(__xludf.DUMMYFUNCTION("""COMPUTED_VALUE"""),"8054521994036")</f>
        <v>8054521994036</v>
      </c>
      <c r="C11634" t="str">
        <f>IFERROR(__xludf.DUMMYFUNCTION("""COMPUTED_VALUE"""),"Umbra")</f>
        <v>Umbra</v>
      </c>
    </row>
    <row r="11635">
      <c r="A11635" t="str">
        <f>IFERROR(__xludf.DUMMYFUNCTION("""COMPUTED_VALUE"""),"33020/F")</f>
        <v>33020/F</v>
      </c>
      <c r="B11635" s="226" t="str">
        <f>IFERROR(__xludf.DUMMYFUNCTION("""COMPUTED_VALUE"""),"8058772225024")</f>
        <v>8058772225024</v>
      </c>
      <c r="C11635" t="str">
        <f>IFERROR(__xludf.DUMMYFUNCTION("""COMPUTED_VALUE"""),"Umbra")</f>
        <v>Umbra</v>
      </c>
    </row>
    <row r="11636">
      <c r="A11636" t="str">
        <f>IFERROR(__xludf.DUMMYFUNCTION("""COMPUTED_VALUE"""),"33020/VM")</f>
        <v>33020/VM</v>
      </c>
      <c r="B11636" s="226" t="str">
        <f>IFERROR(__xludf.DUMMYFUNCTION("""COMPUTED_VALUE"""),"8054521994043")</f>
        <v>8054521994043</v>
      </c>
      <c r="C11636" t="str">
        <f>IFERROR(__xludf.DUMMYFUNCTION("""COMPUTED_VALUE"""),"Umbra")</f>
        <v>Umbra</v>
      </c>
    </row>
    <row r="11637">
      <c r="A11637" t="str">
        <f>IFERROR(__xludf.DUMMYFUNCTION("""COMPUTED_VALUE"""),"34007/1C")</f>
        <v>34007/1C</v>
      </c>
      <c r="B11637" s="226" t="str">
        <f>IFERROR(__xludf.DUMMYFUNCTION("""COMPUTED_VALUE"""),"8054521994197")</f>
        <v>8054521994197</v>
      </c>
      <c r="C11637" t="str">
        <f>IFERROR(__xludf.DUMMYFUNCTION("""COMPUTED_VALUE"""),"Umbra")</f>
        <v>Umbra</v>
      </c>
    </row>
    <row r="11638">
      <c r="A11638" t="str">
        <f>IFERROR(__xludf.DUMMYFUNCTION("""COMPUTED_VALUE"""),"34007/1C")</f>
        <v>34007/1C</v>
      </c>
      <c r="B11638" s="226" t="str">
        <f>IFERROR(__xludf.DUMMYFUNCTION("""COMPUTED_VALUE"""),"8054521994197")</f>
        <v>8054521994197</v>
      </c>
      <c r="C11638" t="str">
        <f>IFERROR(__xludf.DUMMYFUNCTION("""COMPUTED_VALUE"""),"Umbra")</f>
        <v>Umbra</v>
      </c>
    </row>
    <row r="11639">
      <c r="A11639" t="str">
        <f>IFERROR(__xludf.DUMMYFUNCTION("""COMPUTED_VALUE"""),"34007/2C")</f>
        <v>34007/2C</v>
      </c>
      <c r="B11639" s="226" t="str">
        <f>IFERROR(__xludf.DUMMYFUNCTION("""COMPUTED_VALUE"""),"8054521994203")</f>
        <v>8054521994203</v>
      </c>
      <c r="C11639" t="str">
        <f>IFERROR(__xludf.DUMMYFUNCTION("""COMPUTED_VALUE"""),"Umbra")</f>
        <v>Umbra</v>
      </c>
    </row>
    <row r="11640">
      <c r="A11640" t="str">
        <f>IFERROR(__xludf.DUMMYFUNCTION("""COMPUTED_VALUE"""),"34003")</f>
        <v>34003</v>
      </c>
      <c r="B11640" s="226" t="str">
        <f>IFERROR(__xludf.DUMMYFUNCTION("""COMPUTED_VALUE"""),"8054521994135")</f>
        <v>8054521994135</v>
      </c>
      <c r="C11640" t="str">
        <f>IFERROR(__xludf.DUMMYFUNCTION("""COMPUTED_VALUE"""),"Umbra")</f>
        <v>Umbra</v>
      </c>
    </row>
    <row r="11641">
      <c r="A11641" t="str">
        <f>IFERROR(__xludf.DUMMYFUNCTION("""COMPUTED_VALUE"""),"34002")</f>
        <v>34002</v>
      </c>
      <c r="B11641" s="226" t="str">
        <f>IFERROR(__xludf.DUMMYFUNCTION("""COMPUTED_VALUE"""),"8054521994128")</f>
        <v>8054521994128</v>
      </c>
      <c r="C11641" t="str">
        <f>IFERROR(__xludf.DUMMYFUNCTION("""COMPUTED_VALUE"""),"Umbra")</f>
        <v>Umbra</v>
      </c>
    </row>
    <row r="11642">
      <c r="A11642" t="str">
        <f>IFERROR(__xludf.DUMMYFUNCTION("""COMPUTED_VALUE"""),"34001")</f>
        <v>34001</v>
      </c>
      <c r="B11642" s="226" t="str">
        <f>IFERROR(__xludf.DUMMYFUNCTION("""COMPUTED_VALUE"""),"8054521994098")</f>
        <v>8054521994098</v>
      </c>
      <c r="C11642" t="str">
        <f>IFERROR(__xludf.DUMMYFUNCTION("""COMPUTED_VALUE"""),"Umbra")</f>
        <v>Umbra</v>
      </c>
    </row>
    <row r="11643">
      <c r="A11643" t="str">
        <f>IFERROR(__xludf.DUMMYFUNCTION("""COMPUTED_VALUE"""),"34005/C")</f>
        <v>34005/C</v>
      </c>
      <c r="B11643" s="226" t="str">
        <f>IFERROR(__xludf.DUMMYFUNCTION("""COMPUTED_VALUE"""),"8054521994159")</f>
        <v>8054521994159</v>
      </c>
      <c r="C11643" t="str">
        <f>IFERROR(__xludf.DUMMYFUNCTION("""COMPUTED_VALUE"""),"Umbra")</f>
        <v>Umbra</v>
      </c>
    </row>
    <row r="11644">
      <c r="A11644" t="str">
        <f>IFERROR(__xludf.DUMMYFUNCTION("""COMPUTED_VALUE"""),"34001/F")</f>
        <v>34001/F</v>
      </c>
      <c r="B11644" s="226" t="str">
        <f>IFERROR(__xludf.DUMMYFUNCTION("""COMPUTED_VALUE"""),"8058772225055")</f>
        <v>8058772225055</v>
      </c>
      <c r="C11644" t="str">
        <f>IFERROR(__xludf.DUMMYFUNCTION("""COMPUTED_VALUE"""),"Umbra")</f>
        <v>Umbra</v>
      </c>
    </row>
    <row r="11645">
      <c r="A11645" t="str">
        <f>IFERROR(__xludf.DUMMYFUNCTION("""COMPUTED_VALUE"""),"34005/F")</f>
        <v>34005/F</v>
      </c>
      <c r="B11645" s="226" t="str">
        <f>IFERROR(__xludf.DUMMYFUNCTION("""COMPUTED_VALUE"""),"8058772225079")</f>
        <v>8058772225079</v>
      </c>
      <c r="C11645" t="str">
        <f>IFERROR(__xludf.DUMMYFUNCTION("""COMPUTED_VALUE"""),"Umbra")</f>
        <v>Umbra</v>
      </c>
    </row>
    <row r="11646">
      <c r="A11646" t="str">
        <f>IFERROR(__xludf.DUMMYFUNCTION("""COMPUTED_VALUE"""),"34005/VM")</f>
        <v>34005/VM</v>
      </c>
      <c r="B11646" s="226" t="str">
        <f>IFERROR(__xludf.DUMMYFUNCTION("""COMPUTED_VALUE"""),"8054521994166")</f>
        <v>8054521994166</v>
      </c>
      <c r="C11646" t="str">
        <f>IFERROR(__xludf.DUMMYFUNCTION("""COMPUTED_VALUE"""),"Umbra")</f>
        <v>Umbra</v>
      </c>
    </row>
    <row r="11647">
      <c r="A11647" t="str">
        <f>IFERROR(__xludf.DUMMYFUNCTION("""COMPUTED_VALUE"""),"34010/C")</f>
        <v>34010/C</v>
      </c>
      <c r="B11647" s="226" t="str">
        <f>IFERROR(__xludf.DUMMYFUNCTION("""COMPUTED_VALUE"""),"8058772225130")</f>
        <v>8058772225130</v>
      </c>
      <c r="C11647" t="str">
        <f>IFERROR(__xludf.DUMMYFUNCTION("""COMPUTED_VALUE"""),"Umbra")</f>
        <v>Umbra</v>
      </c>
    </row>
    <row r="11648">
      <c r="A11648" t="str">
        <f>IFERROR(__xludf.DUMMYFUNCTION("""COMPUTED_VALUE"""),"34010/F")</f>
        <v>34010/F</v>
      </c>
      <c r="B11648" s="226" t="str">
        <f>IFERROR(__xludf.DUMMYFUNCTION("""COMPUTED_VALUE"""),"8058772225123")</f>
        <v>8058772225123</v>
      </c>
      <c r="C11648" t="str">
        <f>IFERROR(__xludf.DUMMYFUNCTION("""COMPUTED_VALUE"""),"Umbra")</f>
        <v>Umbra</v>
      </c>
    </row>
    <row r="11649">
      <c r="A11649" t="str">
        <f>IFERROR(__xludf.DUMMYFUNCTION("""COMPUTED_VALUE"""),"34010/VM")</f>
        <v>34010/VM</v>
      </c>
      <c r="B11649" s="226" t="str">
        <f>IFERROR(__xludf.DUMMYFUNCTION("""COMPUTED_VALUE"""),"8058772225147")</f>
        <v>8058772225147</v>
      </c>
      <c r="C11649" t="str">
        <f>IFERROR(__xludf.DUMMYFUNCTION("""COMPUTED_VALUE"""),"Umbra")</f>
        <v>Umbra</v>
      </c>
    </row>
    <row r="11650">
      <c r="A11650" t="str">
        <f>IFERROR(__xludf.DUMMYFUNCTION("""COMPUTED_VALUE"""),"34006/C")</f>
        <v>34006/C</v>
      </c>
      <c r="B11650" s="226" t="str">
        <f>IFERROR(__xludf.DUMMYFUNCTION("""COMPUTED_VALUE"""),"8054521994173")</f>
        <v>8054521994173</v>
      </c>
      <c r="C11650" t="str">
        <f>IFERROR(__xludf.DUMMYFUNCTION("""COMPUTED_VALUE"""),"Umbra")</f>
        <v>Umbra</v>
      </c>
    </row>
    <row r="11651">
      <c r="A11651" t="str">
        <f>IFERROR(__xludf.DUMMYFUNCTION("""COMPUTED_VALUE"""),"34006/F")</f>
        <v>34006/F</v>
      </c>
      <c r="B11651" s="226" t="str">
        <f>IFERROR(__xludf.DUMMYFUNCTION("""COMPUTED_VALUE"""),"8058772225086")</f>
        <v>8058772225086</v>
      </c>
      <c r="C11651" t="str">
        <f>IFERROR(__xludf.DUMMYFUNCTION("""COMPUTED_VALUE"""),"Umbra")</f>
        <v>Umbra</v>
      </c>
    </row>
    <row r="11652">
      <c r="A11652" t="str">
        <f>IFERROR(__xludf.DUMMYFUNCTION("""COMPUTED_VALUE"""),"34006/VM")</f>
        <v>34006/VM</v>
      </c>
      <c r="B11652" s="226" t="str">
        <f>IFERROR(__xludf.DUMMYFUNCTION("""COMPUTED_VALUE"""),"8054521994180")</f>
        <v>8054521994180</v>
      </c>
      <c r="C11652" t="str">
        <f>IFERROR(__xludf.DUMMYFUNCTION("""COMPUTED_VALUE"""),"Umbra")</f>
        <v>Umbra</v>
      </c>
    </row>
    <row r="11653">
      <c r="A11653" t="str">
        <f>IFERROR(__xludf.DUMMYFUNCTION("""COMPUTED_VALUE"""),"34011/C")</f>
        <v>34011/C</v>
      </c>
      <c r="B11653" s="226" t="str">
        <f>IFERROR(__xludf.DUMMYFUNCTION("""COMPUTED_VALUE"""),"8058772225161")</f>
        <v>8058772225161</v>
      </c>
      <c r="C11653" t="str">
        <f>IFERROR(__xludf.DUMMYFUNCTION("""COMPUTED_VALUE"""),"Umbra")</f>
        <v>Umbra</v>
      </c>
    </row>
    <row r="11654">
      <c r="A11654" t="str">
        <f>IFERROR(__xludf.DUMMYFUNCTION("""COMPUTED_VALUE"""),"34011/F")</f>
        <v>34011/F</v>
      </c>
      <c r="B11654" s="226" t="str">
        <f>IFERROR(__xludf.DUMMYFUNCTION("""COMPUTED_VALUE"""),"8058772225154")</f>
        <v>8058772225154</v>
      </c>
      <c r="C11654" t="str">
        <f>IFERROR(__xludf.DUMMYFUNCTION("""COMPUTED_VALUE"""),"Umbra")</f>
        <v>Umbra</v>
      </c>
    </row>
    <row r="11655">
      <c r="A11655" t="str">
        <f>IFERROR(__xludf.DUMMYFUNCTION("""COMPUTED_VALUE"""),"34011/VM")</f>
        <v>34011/VM</v>
      </c>
      <c r="B11655" s="226" t="str">
        <f>IFERROR(__xludf.DUMMYFUNCTION("""COMPUTED_VALUE"""),"8058772225178")</f>
        <v>8058772225178</v>
      </c>
      <c r="C11655" t="str">
        <f>IFERROR(__xludf.DUMMYFUNCTION("""COMPUTED_VALUE"""),"Umbra")</f>
        <v>Umbra</v>
      </c>
    </row>
    <row r="11656">
      <c r="A11656" t="str">
        <f>IFERROR(__xludf.DUMMYFUNCTION("""COMPUTED_VALUE"""),"34011/C")</f>
        <v>34011/C</v>
      </c>
      <c r="B11656" s="226" t="str">
        <f>IFERROR(__xludf.DUMMYFUNCTION("""COMPUTED_VALUE"""),"8058772225161")</f>
        <v>8058772225161</v>
      </c>
      <c r="C11656" t="str">
        <f>IFERROR(__xludf.DUMMYFUNCTION("""COMPUTED_VALUE"""),"Umbra")</f>
        <v>Umbra</v>
      </c>
    </row>
    <row r="11657">
      <c r="A11657" t="str">
        <f>IFERROR(__xludf.DUMMYFUNCTION("""COMPUTED_VALUE"""),"34011/F")</f>
        <v>34011/F</v>
      </c>
      <c r="B11657" s="226" t="str">
        <f>IFERROR(__xludf.DUMMYFUNCTION("""COMPUTED_VALUE"""),"8058772225154")</f>
        <v>8058772225154</v>
      </c>
      <c r="C11657" t="str">
        <f>IFERROR(__xludf.DUMMYFUNCTION("""COMPUTED_VALUE"""),"Umbra")</f>
        <v>Umbra</v>
      </c>
    </row>
    <row r="11658">
      <c r="A11658" t="str">
        <f>IFERROR(__xludf.DUMMYFUNCTION("""COMPUTED_VALUE"""),"34011/VM")</f>
        <v>34011/VM</v>
      </c>
      <c r="B11658" s="226" t="str">
        <f>IFERROR(__xludf.DUMMYFUNCTION("""COMPUTED_VALUE"""),"8058772225178")</f>
        <v>8058772225178</v>
      </c>
      <c r="C11658" t="str">
        <f>IFERROR(__xludf.DUMMYFUNCTION("""COMPUTED_VALUE"""),"Umbra")</f>
        <v>Umbra</v>
      </c>
    </row>
    <row r="11659">
      <c r="A11659" t="str">
        <f>IFERROR(__xludf.DUMMYFUNCTION("""COMPUTED_VALUE"""),"34008/C")</f>
        <v>34008/C</v>
      </c>
      <c r="B11659" s="226" t="str">
        <f>IFERROR(__xludf.DUMMYFUNCTION("""COMPUTED_VALUE"""),"8054521994210")</f>
        <v>8054521994210</v>
      </c>
      <c r="C11659" t="str">
        <f>IFERROR(__xludf.DUMMYFUNCTION("""COMPUTED_VALUE"""),"Umbra")</f>
        <v>Umbra</v>
      </c>
    </row>
    <row r="11660">
      <c r="A11660" t="str">
        <f>IFERROR(__xludf.DUMMYFUNCTION("""COMPUTED_VALUE"""),"43041")</f>
        <v>43041</v>
      </c>
      <c r="B11660" s="226" t="str">
        <f>IFERROR(__xludf.DUMMYFUNCTION("""COMPUTED_VALUE"""),"8054521995156")</f>
        <v>8054521995156</v>
      </c>
      <c r="C11660" t="str">
        <f>IFERROR(__xludf.DUMMYFUNCTION("""COMPUTED_VALUE"""),"Umbra")</f>
        <v>Umbra</v>
      </c>
    </row>
    <row r="11661">
      <c r="A11661" t="str">
        <f>IFERROR(__xludf.DUMMYFUNCTION("""COMPUTED_VALUE"""),"43041/F")</f>
        <v>43041/F</v>
      </c>
      <c r="B11661" s="226" t="str">
        <f>IFERROR(__xludf.DUMMYFUNCTION("""COMPUTED_VALUE"""),"8058772225604")</f>
        <v>8058772225604</v>
      </c>
      <c r="C11661" t="str">
        <f>IFERROR(__xludf.DUMMYFUNCTION("""COMPUTED_VALUE"""),"Umbra")</f>
        <v>Umbra</v>
      </c>
    </row>
    <row r="11662">
      <c r="A11662" t="str">
        <f>IFERROR(__xludf.DUMMYFUNCTION("""COMPUTED_VALUE"""),"34009/C")</f>
        <v>34009/C</v>
      </c>
      <c r="B11662" s="226" t="str">
        <f>IFERROR(__xludf.DUMMYFUNCTION("""COMPUTED_VALUE"""),"8058772225109")</f>
        <v>8058772225109</v>
      </c>
      <c r="C11662" t="str">
        <f>IFERROR(__xludf.DUMMYFUNCTION("""COMPUTED_VALUE"""),"Umbra")</f>
        <v>Umbra</v>
      </c>
    </row>
    <row r="11663">
      <c r="A11663" t="str">
        <f>IFERROR(__xludf.DUMMYFUNCTION("""COMPUTED_VALUE"""),"43064/C")</f>
        <v>43064/C</v>
      </c>
      <c r="B11663" s="226" t="str">
        <f>IFERROR(__xludf.DUMMYFUNCTION("""COMPUTED_VALUE"""),"8054521996375")</f>
        <v>8054521996375</v>
      </c>
      <c r="C11663" t="str">
        <f>IFERROR(__xludf.DUMMYFUNCTION("""COMPUTED_VALUE"""),"Umbra")</f>
        <v>Umbra</v>
      </c>
    </row>
    <row r="11664">
      <c r="A11664" t="str">
        <f>IFERROR(__xludf.DUMMYFUNCTION("""COMPUTED_VALUE"""),"34009/F")</f>
        <v>34009/F</v>
      </c>
      <c r="B11664" s="226" t="str">
        <f>IFERROR(__xludf.DUMMYFUNCTION("""COMPUTED_VALUE"""),"8058772225093")</f>
        <v>8058772225093</v>
      </c>
      <c r="C11664" t="str">
        <f>IFERROR(__xludf.DUMMYFUNCTION("""COMPUTED_VALUE"""),"Umbra")</f>
        <v>Umbra</v>
      </c>
    </row>
    <row r="11665">
      <c r="A11665" t="str">
        <f>IFERROR(__xludf.DUMMYFUNCTION("""COMPUTED_VALUE"""),"43064/F")</f>
        <v>43064/F</v>
      </c>
      <c r="B11665" s="226" t="str">
        <f>IFERROR(__xludf.DUMMYFUNCTION("""COMPUTED_VALUE"""),"8054521996368")</f>
        <v>8054521996368</v>
      </c>
      <c r="C11665" t="str">
        <f>IFERROR(__xludf.DUMMYFUNCTION("""COMPUTED_VALUE"""),"Umbra")</f>
        <v>Umbra</v>
      </c>
    </row>
    <row r="11666">
      <c r="A11666" t="str">
        <f>IFERROR(__xludf.DUMMYFUNCTION("""COMPUTED_VALUE"""),"34009/VM")</f>
        <v>34009/VM</v>
      </c>
      <c r="B11666" s="226" t="str">
        <f>IFERROR(__xludf.DUMMYFUNCTION("""COMPUTED_VALUE"""),"8058772225116")</f>
        <v>8058772225116</v>
      </c>
      <c r="C11666" t="str">
        <f>IFERROR(__xludf.DUMMYFUNCTION("""COMPUTED_VALUE"""),"Umbra")</f>
        <v>Umbra</v>
      </c>
    </row>
    <row r="11667">
      <c r="A11667" t="str">
        <f>IFERROR(__xludf.DUMMYFUNCTION("""COMPUTED_VALUE"""),"43064/VM")</f>
        <v>43064/VM</v>
      </c>
      <c r="B11667" s="226" t="str">
        <f>IFERROR(__xludf.DUMMYFUNCTION("""COMPUTED_VALUE"""),"8054521996382")</f>
        <v>8054521996382</v>
      </c>
      <c r="C11667" t="str">
        <f>IFERROR(__xludf.DUMMYFUNCTION("""COMPUTED_VALUE"""),"Umbra")</f>
        <v>Umbra</v>
      </c>
    </row>
    <row r="11668">
      <c r="A11668" t="str">
        <f>IFERROR(__xludf.DUMMYFUNCTION("""COMPUTED_VALUE"""),"34009/C")</f>
        <v>34009/C</v>
      </c>
      <c r="B11668" s="226" t="str">
        <f>IFERROR(__xludf.DUMMYFUNCTION("""COMPUTED_VALUE"""),"8058772225109")</f>
        <v>8058772225109</v>
      </c>
      <c r="C11668" t="str">
        <f>IFERROR(__xludf.DUMMYFUNCTION("""COMPUTED_VALUE"""),"Umbra")</f>
        <v>Umbra</v>
      </c>
    </row>
    <row r="11669">
      <c r="A11669" t="str">
        <f>IFERROR(__xludf.DUMMYFUNCTION("""COMPUTED_VALUE"""),"34009/F")</f>
        <v>34009/F</v>
      </c>
      <c r="B11669" s="226" t="str">
        <f>IFERROR(__xludf.DUMMYFUNCTION("""COMPUTED_VALUE"""),"8058772225093")</f>
        <v>8058772225093</v>
      </c>
      <c r="C11669" t="str">
        <f>IFERROR(__xludf.DUMMYFUNCTION("""COMPUTED_VALUE"""),"Umbra")</f>
        <v>Umbra</v>
      </c>
    </row>
    <row r="11670">
      <c r="A11670" t="str">
        <f>IFERROR(__xludf.DUMMYFUNCTION("""COMPUTED_VALUE"""),"34009/VM")</f>
        <v>34009/VM</v>
      </c>
      <c r="B11670" s="226" t="str">
        <f>IFERROR(__xludf.DUMMYFUNCTION("""COMPUTED_VALUE"""),"8058772225116")</f>
        <v>8058772225116</v>
      </c>
      <c r="C11670" t="str">
        <f>IFERROR(__xludf.DUMMYFUNCTION("""COMPUTED_VALUE"""),"Umbra")</f>
        <v>Umbra</v>
      </c>
    </row>
    <row r="11671">
      <c r="A11671" t="str">
        <f>IFERROR(__xludf.DUMMYFUNCTION("""COMPUTED_VALUE"""),"43064/C")</f>
        <v>43064/C</v>
      </c>
      <c r="B11671" s="226" t="str">
        <f>IFERROR(__xludf.DUMMYFUNCTION("""COMPUTED_VALUE"""),"8054521996375")</f>
        <v>8054521996375</v>
      </c>
      <c r="C11671" t="str">
        <f>IFERROR(__xludf.DUMMYFUNCTION("""COMPUTED_VALUE"""),"Umbra")</f>
        <v>Umbra</v>
      </c>
    </row>
    <row r="11672">
      <c r="A11672" t="str">
        <f>IFERROR(__xludf.DUMMYFUNCTION("""COMPUTED_VALUE"""),"43064/F")</f>
        <v>43064/F</v>
      </c>
      <c r="B11672" s="226" t="str">
        <f>IFERROR(__xludf.DUMMYFUNCTION("""COMPUTED_VALUE"""),"8054521996368")</f>
        <v>8054521996368</v>
      </c>
      <c r="C11672" t="str">
        <f>IFERROR(__xludf.DUMMYFUNCTION("""COMPUTED_VALUE"""),"Umbra")</f>
        <v>Umbra</v>
      </c>
    </row>
    <row r="11673">
      <c r="A11673" t="str">
        <f>IFERROR(__xludf.DUMMYFUNCTION("""COMPUTED_VALUE"""),"43064/VM")</f>
        <v>43064/VM</v>
      </c>
      <c r="B11673" s="226" t="str">
        <f>IFERROR(__xludf.DUMMYFUNCTION("""COMPUTED_VALUE"""),"8054521996382")</f>
        <v>8054521996382</v>
      </c>
      <c r="C11673" t="str">
        <f>IFERROR(__xludf.DUMMYFUNCTION("""COMPUTED_VALUE"""),"Umbra")</f>
        <v>Umbra</v>
      </c>
    </row>
    <row r="11674">
      <c r="A11674" t="str">
        <f>IFERROR(__xludf.DUMMYFUNCTION("""COMPUTED_VALUE"""),"34009/C")</f>
        <v>34009/C</v>
      </c>
      <c r="B11674" s="226" t="str">
        <f>IFERROR(__xludf.DUMMYFUNCTION("""COMPUTED_VALUE"""),"8058772225109")</f>
        <v>8058772225109</v>
      </c>
      <c r="C11674" t="str">
        <f>IFERROR(__xludf.DUMMYFUNCTION("""COMPUTED_VALUE"""),"Umbra")</f>
        <v>Umbra</v>
      </c>
    </row>
    <row r="11675">
      <c r="A11675" t="str">
        <f>IFERROR(__xludf.DUMMYFUNCTION("""COMPUTED_VALUE"""),"43064/C")</f>
        <v>43064/C</v>
      </c>
      <c r="B11675" s="226" t="str">
        <f>IFERROR(__xludf.DUMMYFUNCTION("""COMPUTED_VALUE"""),"8054521996375")</f>
        <v>8054521996375</v>
      </c>
      <c r="C11675" t="str">
        <f>IFERROR(__xludf.DUMMYFUNCTION("""COMPUTED_VALUE"""),"Umbra")</f>
        <v>Umbra</v>
      </c>
    </row>
    <row r="11676">
      <c r="A11676" t="str">
        <f>IFERROR(__xludf.DUMMYFUNCTION("""COMPUTED_VALUE"""),"34009/F")</f>
        <v>34009/F</v>
      </c>
      <c r="B11676" s="226" t="str">
        <f>IFERROR(__xludf.DUMMYFUNCTION("""COMPUTED_VALUE"""),"8058772225093")</f>
        <v>8058772225093</v>
      </c>
      <c r="C11676" t="str">
        <f>IFERROR(__xludf.DUMMYFUNCTION("""COMPUTED_VALUE"""),"Umbra")</f>
        <v>Umbra</v>
      </c>
    </row>
    <row r="11677">
      <c r="A11677" t="str">
        <f>IFERROR(__xludf.DUMMYFUNCTION("""COMPUTED_VALUE"""),"43064/F")</f>
        <v>43064/F</v>
      </c>
      <c r="B11677" s="226" t="str">
        <f>IFERROR(__xludf.DUMMYFUNCTION("""COMPUTED_VALUE"""),"8054521996368")</f>
        <v>8054521996368</v>
      </c>
      <c r="C11677" t="str">
        <f>IFERROR(__xludf.DUMMYFUNCTION("""COMPUTED_VALUE"""),"Umbra")</f>
        <v>Umbra</v>
      </c>
    </row>
    <row r="11678">
      <c r="A11678" t="str">
        <f>IFERROR(__xludf.DUMMYFUNCTION("""COMPUTED_VALUE"""),"34009/VM")</f>
        <v>34009/VM</v>
      </c>
      <c r="B11678" s="226" t="str">
        <f>IFERROR(__xludf.DUMMYFUNCTION("""COMPUTED_VALUE"""),"8058772225116")</f>
        <v>8058772225116</v>
      </c>
      <c r="C11678" t="str">
        <f>IFERROR(__xludf.DUMMYFUNCTION("""COMPUTED_VALUE"""),"Umbra")</f>
        <v>Umbra</v>
      </c>
    </row>
    <row r="11679">
      <c r="A11679" t="str">
        <f>IFERROR(__xludf.DUMMYFUNCTION("""COMPUTED_VALUE"""),"43064/VM")</f>
        <v>43064/VM</v>
      </c>
      <c r="B11679" s="226" t="str">
        <f>IFERROR(__xludf.DUMMYFUNCTION("""COMPUTED_VALUE"""),"8054521996382")</f>
        <v>8054521996382</v>
      </c>
      <c r="C11679" t="str">
        <f>IFERROR(__xludf.DUMMYFUNCTION("""COMPUTED_VALUE"""),"Umbra")</f>
        <v>Umbra</v>
      </c>
    </row>
    <row r="11680">
      <c r="A11680" t="str">
        <f>IFERROR(__xludf.DUMMYFUNCTION("""COMPUTED_VALUE"""),"34101")</f>
        <v>34101</v>
      </c>
      <c r="B11680" s="226" t="str">
        <f>IFERROR(__xludf.DUMMYFUNCTION("""COMPUTED_VALUE"""),"8054521994227")</f>
        <v>8054521994227</v>
      </c>
      <c r="C11680" t="str">
        <f>IFERROR(__xludf.DUMMYFUNCTION("""COMPUTED_VALUE"""),"Umbra")</f>
        <v>Umbra</v>
      </c>
    </row>
    <row r="11681">
      <c r="A11681" t="str">
        <f>IFERROR(__xludf.DUMMYFUNCTION("""COMPUTED_VALUE"""),"34203/C")</f>
        <v>34203/C</v>
      </c>
      <c r="B11681" s="226" t="str">
        <f>IFERROR(__xludf.DUMMYFUNCTION("""COMPUTED_VALUE"""),"8054521994258")</f>
        <v>8054521994258</v>
      </c>
      <c r="C11681" t="str">
        <f>IFERROR(__xludf.DUMMYFUNCTION("""COMPUTED_VALUE"""),"Umbra")</f>
        <v>Umbra</v>
      </c>
    </row>
    <row r="11682">
      <c r="A11682" t="str">
        <f>IFERROR(__xludf.DUMMYFUNCTION("""COMPUTED_VALUE"""),"34203/F")</f>
        <v>34203/F</v>
      </c>
      <c r="B11682" s="226" t="str">
        <f>IFERROR(__xludf.DUMMYFUNCTION("""COMPUTED_VALUE"""),"8058772225192")</f>
        <v>8058772225192</v>
      </c>
      <c r="C11682" t="str">
        <f>IFERROR(__xludf.DUMMYFUNCTION("""COMPUTED_VALUE"""),"Umbra")</f>
        <v>Umbra</v>
      </c>
    </row>
    <row r="11683">
      <c r="A11683" t="str">
        <f>IFERROR(__xludf.DUMMYFUNCTION("""COMPUTED_VALUE"""),"34203/G")</f>
        <v>34203/G</v>
      </c>
      <c r="B11683" s="226" t="str">
        <f>IFERROR(__xludf.DUMMYFUNCTION("""COMPUTED_VALUE"""),"8054521994265")</f>
        <v>8054521994265</v>
      </c>
      <c r="C11683" t="str">
        <f>IFERROR(__xludf.DUMMYFUNCTION("""COMPUTED_VALUE"""),"Umbra")</f>
        <v>Umbra</v>
      </c>
    </row>
    <row r="11684">
      <c r="A11684" t="str">
        <f>IFERROR(__xludf.DUMMYFUNCTION("""COMPUTED_VALUE"""),"34203/SF")</f>
        <v>34203/SF</v>
      </c>
      <c r="B11684" s="226" t="str">
        <f>IFERROR(__xludf.DUMMYFUNCTION("""COMPUTED_VALUE"""),"8054521994272")</f>
        <v>8054521994272</v>
      </c>
      <c r="C11684" t="str">
        <f>IFERROR(__xludf.DUMMYFUNCTION("""COMPUTED_VALUE"""),"Umbra")</f>
        <v>Umbra</v>
      </c>
    </row>
    <row r="11685">
      <c r="A11685" t="str">
        <f>IFERROR(__xludf.DUMMYFUNCTION("""COMPUTED_VALUE"""),"34203/VM")</f>
        <v>34203/VM</v>
      </c>
      <c r="B11685" s="226" t="str">
        <f>IFERROR(__xludf.DUMMYFUNCTION("""COMPUTED_VALUE"""),"8054521994289")</f>
        <v>8054521994289</v>
      </c>
      <c r="C11685" t="str">
        <f>IFERROR(__xludf.DUMMYFUNCTION("""COMPUTED_VALUE"""),"Umbra")</f>
        <v>Umbra</v>
      </c>
    </row>
    <row r="11686">
      <c r="A11686" t="str">
        <f>IFERROR(__xludf.DUMMYFUNCTION("""COMPUTED_VALUE"""),"34204/C")</f>
        <v>34204/C</v>
      </c>
      <c r="B11686" s="226" t="str">
        <f>IFERROR(__xludf.DUMMYFUNCTION("""COMPUTED_VALUE"""),"8054521994296")</f>
        <v>8054521994296</v>
      </c>
      <c r="C11686" t="str">
        <f>IFERROR(__xludf.DUMMYFUNCTION("""COMPUTED_VALUE"""),"Umbra")</f>
        <v>Umbra</v>
      </c>
    </row>
    <row r="11687">
      <c r="A11687" t="str">
        <f>IFERROR(__xludf.DUMMYFUNCTION("""COMPUTED_VALUE"""),"34204/F")</f>
        <v>34204/F</v>
      </c>
      <c r="B11687" s="226" t="str">
        <f>IFERROR(__xludf.DUMMYFUNCTION("""COMPUTED_VALUE"""),"8058772225208")</f>
        <v>8058772225208</v>
      </c>
      <c r="C11687" t="str">
        <f>IFERROR(__xludf.DUMMYFUNCTION("""COMPUTED_VALUE"""),"Umbra")</f>
        <v>Umbra</v>
      </c>
    </row>
    <row r="11688">
      <c r="A11688" t="str">
        <f>IFERROR(__xludf.DUMMYFUNCTION("""COMPUTED_VALUE"""),"34204/VM")</f>
        <v>34204/VM</v>
      </c>
      <c r="B11688" s="226" t="str">
        <f>IFERROR(__xludf.DUMMYFUNCTION("""COMPUTED_VALUE"""),"8054521994302")</f>
        <v>8054521994302</v>
      </c>
      <c r="C11688" t="str">
        <f>IFERROR(__xludf.DUMMYFUNCTION("""COMPUTED_VALUE"""),"Umbra")</f>
        <v>Umbra</v>
      </c>
    </row>
    <row r="11689">
      <c r="A11689" t="str">
        <f>IFERROR(__xludf.DUMMYFUNCTION("""COMPUTED_VALUE"""),"34202/C")</f>
        <v>34202/C</v>
      </c>
      <c r="B11689" s="226" t="str">
        <f>IFERROR(__xludf.DUMMYFUNCTION("""COMPUTED_VALUE"""),"8054521994234")</f>
        <v>8054521994234</v>
      </c>
      <c r="C11689" t="str">
        <f>IFERROR(__xludf.DUMMYFUNCTION("""COMPUTED_VALUE"""),"Umbra")</f>
        <v>Umbra</v>
      </c>
    </row>
    <row r="11690">
      <c r="A11690" t="str">
        <f>IFERROR(__xludf.DUMMYFUNCTION("""COMPUTED_VALUE"""),"34202/F")</f>
        <v>34202/F</v>
      </c>
      <c r="B11690" s="226" t="str">
        <f>IFERROR(__xludf.DUMMYFUNCTION("""COMPUTED_VALUE"""),"8058772225185")</f>
        <v>8058772225185</v>
      </c>
      <c r="C11690" t="str">
        <f>IFERROR(__xludf.DUMMYFUNCTION("""COMPUTED_VALUE"""),"Umbra")</f>
        <v>Umbra</v>
      </c>
    </row>
    <row r="11691">
      <c r="A11691" t="str">
        <f>IFERROR(__xludf.DUMMYFUNCTION("""COMPUTED_VALUE"""),"34202/VM")</f>
        <v>34202/VM</v>
      </c>
      <c r="B11691" s="226" t="str">
        <f>IFERROR(__xludf.DUMMYFUNCTION("""COMPUTED_VALUE"""),"8054521994241")</f>
        <v>8054521994241</v>
      </c>
      <c r="C11691" t="str">
        <f>IFERROR(__xludf.DUMMYFUNCTION("""COMPUTED_VALUE"""),"Umbra")</f>
        <v>Umbra</v>
      </c>
    </row>
    <row r="11692">
      <c r="A11692" t="str">
        <f>IFERROR(__xludf.DUMMYFUNCTION("""COMPUTED_VALUE"""),"34202/C")</f>
        <v>34202/C</v>
      </c>
      <c r="B11692" s="226" t="str">
        <f>IFERROR(__xludf.DUMMYFUNCTION("""COMPUTED_VALUE"""),"8054521994234")</f>
        <v>8054521994234</v>
      </c>
      <c r="C11692" t="str">
        <f>IFERROR(__xludf.DUMMYFUNCTION("""COMPUTED_VALUE"""),"Umbra")</f>
        <v>Umbra</v>
      </c>
    </row>
    <row r="11693">
      <c r="A11693" t="str">
        <f>IFERROR(__xludf.DUMMYFUNCTION("""COMPUTED_VALUE"""),"34202/F")</f>
        <v>34202/F</v>
      </c>
      <c r="B11693" s="226" t="str">
        <f>IFERROR(__xludf.DUMMYFUNCTION("""COMPUTED_VALUE"""),"8058772225185")</f>
        <v>8058772225185</v>
      </c>
      <c r="C11693" t="str">
        <f>IFERROR(__xludf.DUMMYFUNCTION("""COMPUTED_VALUE"""),"Umbra")</f>
        <v>Umbra</v>
      </c>
    </row>
    <row r="11694">
      <c r="A11694" t="str">
        <f>IFERROR(__xludf.DUMMYFUNCTION("""COMPUTED_VALUE"""),"34202/VM")</f>
        <v>34202/VM</v>
      </c>
      <c r="B11694" s="226" t="str">
        <f>IFERROR(__xludf.DUMMYFUNCTION("""COMPUTED_VALUE"""),"8054521994241")</f>
        <v>8054521994241</v>
      </c>
      <c r="C11694" t="str">
        <f>IFERROR(__xludf.DUMMYFUNCTION("""COMPUTED_VALUE"""),"Umbra")</f>
        <v>Umbra</v>
      </c>
    </row>
    <row r="11695">
      <c r="A11695" t="str">
        <f>IFERROR(__xludf.DUMMYFUNCTION("""COMPUTED_VALUE"""),"34205/C")</f>
        <v>34205/C</v>
      </c>
      <c r="B11695" s="226" t="str">
        <f>IFERROR(__xludf.DUMMYFUNCTION("""COMPUTED_VALUE"""),"NULL")</f>
        <v>NULL</v>
      </c>
      <c r="C11695" t="str">
        <f>IFERROR(__xludf.DUMMYFUNCTION("""COMPUTED_VALUE"""),"Umbra")</f>
        <v>Umbra</v>
      </c>
    </row>
    <row r="11696">
      <c r="A11696" t="str">
        <f>IFERROR(__xludf.DUMMYFUNCTION("""COMPUTED_VALUE"""),"34205/VM")</f>
        <v>34205/VM</v>
      </c>
      <c r="B11696" s="226" t="str">
        <f>IFERROR(__xludf.DUMMYFUNCTION("""COMPUTED_VALUE"""),"NULL")</f>
        <v>NULL</v>
      </c>
      <c r="C11696" t="str">
        <f>IFERROR(__xludf.DUMMYFUNCTION("""COMPUTED_VALUE"""),"Umbra")</f>
        <v>Umbra</v>
      </c>
    </row>
    <row r="11697">
      <c r="A11697" t="str">
        <f>IFERROR(__xludf.DUMMYFUNCTION("""COMPUTED_VALUE"""),"35002")</f>
        <v>35002</v>
      </c>
      <c r="B11697" s="226" t="str">
        <f>IFERROR(__xludf.DUMMYFUNCTION("""COMPUTED_VALUE"""),"8054521994326")</f>
        <v>8054521994326</v>
      </c>
      <c r="C11697" t="str">
        <f>IFERROR(__xludf.DUMMYFUNCTION("""COMPUTED_VALUE"""),"Umbra")</f>
        <v>Umbra</v>
      </c>
    </row>
    <row r="11698">
      <c r="A11698" t="str">
        <f>IFERROR(__xludf.DUMMYFUNCTION("""COMPUTED_VALUE"""),"35001")</f>
        <v>35001</v>
      </c>
      <c r="B11698" s="226" t="str">
        <f>IFERROR(__xludf.DUMMYFUNCTION("""COMPUTED_VALUE"""),"8054521994319")</f>
        <v>8054521994319</v>
      </c>
      <c r="C11698" t="str">
        <f>IFERROR(__xludf.DUMMYFUNCTION("""COMPUTED_VALUE"""),"Umbra")</f>
        <v>Umbra</v>
      </c>
    </row>
    <row r="11699">
      <c r="A11699" t="str">
        <f>IFERROR(__xludf.DUMMYFUNCTION("""COMPUTED_VALUE"""),"35005/F")</f>
        <v>35005/F</v>
      </c>
      <c r="B11699" s="226" t="str">
        <f>IFERROR(__xludf.DUMMYFUNCTION("""COMPUTED_VALUE"""),"8058772225222")</f>
        <v>8058772225222</v>
      </c>
      <c r="C11699" t="str">
        <f>IFERROR(__xludf.DUMMYFUNCTION("""COMPUTED_VALUE"""),"Umbra")</f>
        <v>Umbra</v>
      </c>
    </row>
    <row r="11700">
      <c r="A11700" t="str">
        <f>IFERROR(__xludf.DUMMYFUNCTION("""COMPUTED_VALUE"""),"35005/C")</f>
        <v>35005/C</v>
      </c>
      <c r="B11700" s="226" t="str">
        <f>IFERROR(__xludf.DUMMYFUNCTION("""COMPUTED_VALUE"""),"8058772225239")</f>
        <v>8058772225239</v>
      </c>
      <c r="C11700" t="str">
        <f>IFERROR(__xludf.DUMMYFUNCTION("""COMPUTED_VALUE"""),"Umbra")</f>
        <v>Umbra</v>
      </c>
    </row>
    <row r="11701">
      <c r="A11701" t="str">
        <f>IFERROR(__xludf.DUMMYFUNCTION("""COMPUTED_VALUE"""),"35005/F")</f>
        <v>35005/F</v>
      </c>
      <c r="B11701" s="226" t="str">
        <f>IFERROR(__xludf.DUMMYFUNCTION("""COMPUTED_VALUE"""),"8058772225222")</f>
        <v>8058772225222</v>
      </c>
      <c r="C11701" t="str">
        <f>IFERROR(__xludf.DUMMYFUNCTION("""COMPUTED_VALUE"""),"Umbra")</f>
        <v>Umbra</v>
      </c>
    </row>
    <row r="11702">
      <c r="A11702" t="str">
        <f>IFERROR(__xludf.DUMMYFUNCTION("""COMPUTED_VALUE"""),"35005/VM")</f>
        <v>35005/VM</v>
      </c>
      <c r="B11702" s="226" t="str">
        <f>IFERROR(__xludf.DUMMYFUNCTION("""COMPUTED_VALUE"""),"8058772225246")</f>
        <v>8058772225246</v>
      </c>
      <c r="C11702" t="str">
        <f>IFERROR(__xludf.DUMMYFUNCTION("""COMPUTED_VALUE"""),"Umbra")</f>
        <v>Umbra</v>
      </c>
    </row>
    <row r="11703">
      <c r="A11703" t="str">
        <f>IFERROR(__xludf.DUMMYFUNCTION("""COMPUTED_VALUE"""),"35004/C")</f>
        <v>35004/C</v>
      </c>
      <c r="B11703" s="226" t="str">
        <f>IFERROR(__xludf.DUMMYFUNCTION("""COMPUTED_VALUE"""),"8054521994340")</f>
        <v>8054521994340</v>
      </c>
      <c r="C11703" t="str">
        <f>IFERROR(__xludf.DUMMYFUNCTION("""COMPUTED_VALUE"""),"Umbra")</f>
        <v>Umbra</v>
      </c>
    </row>
    <row r="11704">
      <c r="A11704" t="str">
        <f>IFERROR(__xludf.DUMMYFUNCTION("""COMPUTED_VALUE"""),"35004/F")</f>
        <v>35004/F</v>
      </c>
      <c r="B11704" s="226" t="str">
        <f>IFERROR(__xludf.DUMMYFUNCTION("""COMPUTED_VALUE"""),"8058772225215")</f>
        <v>8058772225215</v>
      </c>
      <c r="C11704" t="str">
        <f>IFERROR(__xludf.DUMMYFUNCTION("""COMPUTED_VALUE"""),"Umbra")</f>
        <v>Umbra</v>
      </c>
    </row>
    <row r="11705">
      <c r="A11705" t="str">
        <f>IFERROR(__xludf.DUMMYFUNCTION("""COMPUTED_VALUE"""),"35004/VM")</f>
        <v>35004/VM</v>
      </c>
      <c r="B11705" s="226" t="str">
        <f>IFERROR(__xludf.DUMMYFUNCTION("""COMPUTED_VALUE"""),"8054521994357")</f>
        <v>8054521994357</v>
      </c>
      <c r="C11705" t="str">
        <f>IFERROR(__xludf.DUMMYFUNCTION("""COMPUTED_VALUE"""),"Umbra")</f>
        <v>Umbra</v>
      </c>
    </row>
    <row r="11706">
      <c r="A11706" t="str">
        <f>IFERROR(__xludf.DUMMYFUNCTION("""COMPUTED_VALUE"""),"35003")</f>
        <v>35003</v>
      </c>
      <c r="B11706" s="226" t="str">
        <f>IFERROR(__xludf.DUMMYFUNCTION("""COMPUTED_VALUE"""),"8054521994333")</f>
        <v>8054521994333</v>
      </c>
      <c r="C11706" t="str">
        <f>IFERROR(__xludf.DUMMYFUNCTION("""COMPUTED_VALUE"""),"Umbra")</f>
        <v>Umbra</v>
      </c>
    </row>
    <row r="11707">
      <c r="A11707" t="str">
        <f>IFERROR(__xludf.DUMMYFUNCTION("""COMPUTED_VALUE"""),"35003")</f>
        <v>35003</v>
      </c>
      <c r="B11707" s="226" t="str">
        <f>IFERROR(__xludf.DUMMYFUNCTION("""COMPUTED_VALUE"""),"8054521994333")</f>
        <v>8054521994333</v>
      </c>
      <c r="C11707" t="str">
        <f>IFERROR(__xludf.DUMMYFUNCTION("""COMPUTED_VALUE"""),"Umbra")</f>
        <v>Umbra</v>
      </c>
    </row>
    <row r="11708">
      <c r="A11708" t="str">
        <f>IFERROR(__xludf.DUMMYFUNCTION("""COMPUTED_VALUE"""),"37018/C")</f>
        <v>37018/C</v>
      </c>
      <c r="C11708" t="str">
        <f>IFERROR(__xludf.DUMMYFUNCTION("""COMPUTED_VALUE"""),"Umbra")</f>
        <v>Umbra</v>
      </c>
    </row>
    <row r="11709">
      <c r="A11709" t="str">
        <f>IFERROR(__xludf.DUMMYFUNCTION("""COMPUTED_VALUE"""),"35005/C")</f>
        <v>35005/C</v>
      </c>
      <c r="B11709" s="226" t="str">
        <f>IFERROR(__xludf.DUMMYFUNCTION("""COMPUTED_VALUE"""),"8058772225239")</f>
        <v>8058772225239</v>
      </c>
      <c r="C11709" t="str">
        <f>IFERROR(__xludf.DUMMYFUNCTION("""COMPUTED_VALUE"""),"Umbra")</f>
        <v>Umbra</v>
      </c>
    </row>
    <row r="11710">
      <c r="A11710" t="str">
        <f>IFERROR(__xludf.DUMMYFUNCTION("""COMPUTED_VALUE"""),"35007/C")</f>
        <v>35007/C</v>
      </c>
      <c r="B11710" s="226" t="str">
        <f>IFERROR(__xludf.DUMMYFUNCTION("""COMPUTED_VALUE"""),"8054521996764")</f>
        <v>8054521996764</v>
      </c>
      <c r="C11710" t="str">
        <f>IFERROR(__xludf.DUMMYFUNCTION("""COMPUTED_VALUE"""),"Umbra")</f>
        <v>Umbra</v>
      </c>
    </row>
    <row r="11711">
      <c r="A11711" t="str">
        <f>IFERROR(__xludf.DUMMYFUNCTION("""COMPUTED_VALUE"""),"35005/F")</f>
        <v>35005/F</v>
      </c>
      <c r="B11711" s="226" t="str">
        <f>IFERROR(__xludf.DUMMYFUNCTION("""COMPUTED_VALUE"""),"8058772225222")</f>
        <v>8058772225222</v>
      </c>
      <c r="C11711" t="str">
        <f>IFERROR(__xludf.DUMMYFUNCTION("""COMPUTED_VALUE"""),"Umbra")</f>
        <v>Umbra</v>
      </c>
    </row>
    <row r="11712">
      <c r="A11712" t="str">
        <f>IFERROR(__xludf.DUMMYFUNCTION("""COMPUTED_VALUE"""),"35007/F")</f>
        <v>35007/F</v>
      </c>
      <c r="B11712" s="226" t="str">
        <f>IFERROR(__xludf.DUMMYFUNCTION("""COMPUTED_VALUE"""),"8054521996757")</f>
        <v>8054521996757</v>
      </c>
      <c r="C11712" t="str">
        <f>IFERROR(__xludf.DUMMYFUNCTION("""COMPUTED_VALUE"""),"Umbra")</f>
        <v>Umbra</v>
      </c>
    </row>
    <row r="11713">
      <c r="A11713" t="str">
        <f>IFERROR(__xludf.DUMMYFUNCTION("""COMPUTED_VALUE"""),"35005/VM")</f>
        <v>35005/VM</v>
      </c>
      <c r="B11713" s="226" t="str">
        <f>IFERROR(__xludf.DUMMYFUNCTION("""COMPUTED_VALUE"""),"8058772225246")</f>
        <v>8058772225246</v>
      </c>
      <c r="C11713" t="str">
        <f>IFERROR(__xludf.DUMMYFUNCTION("""COMPUTED_VALUE"""),"Umbra")</f>
        <v>Umbra</v>
      </c>
    </row>
    <row r="11714">
      <c r="A11714" t="str">
        <f>IFERROR(__xludf.DUMMYFUNCTION("""COMPUTED_VALUE"""),"35007/VM")</f>
        <v>35007/VM</v>
      </c>
      <c r="B11714" s="226" t="str">
        <f>IFERROR(__xludf.DUMMYFUNCTION("""COMPUTED_VALUE"""),"8054521996771")</f>
        <v>8054521996771</v>
      </c>
      <c r="C11714" t="str">
        <f>IFERROR(__xludf.DUMMYFUNCTION("""COMPUTED_VALUE"""),"Umbra")</f>
        <v>Umbra</v>
      </c>
    </row>
    <row r="11715">
      <c r="A11715" t="str">
        <f>IFERROR(__xludf.DUMMYFUNCTION("""COMPUTED_VALUE"""),"35006/C")</f>
        <v>35006/C</v>
      </c>
      <c r="B11715" s="226" t="str">
        <f>IFERROR(__xludf.DUMMYFUNCTION("""COMPUTED_VALUE"""),"8058772225260")</f>
        <v>8058772225260</v>
      </c>
      <c r="C11715" t="str">
        <f>IFERROR(__xludf.DUMMYFUNCTION("""COMPUTED_VALUE"""),"Umbra")</f>
        <v>Umbra</v>
      </c>
    </row>
    <row r="11716">
      <c r="A11716" t="str">
        <f>IFERROR(__xludf.DUMMYFUNCTION("""COMPUTED_VALUE"""),"35006/F")</f>
        <v>35006/F</v>
      </c>
      <c r="B11716" s="226" t="str">
        <f>IFERROR(__xludf.DUMMYFUNCTION("""COMPUTED_VALUE"""),"8058772225253")</f>
        <v>8058772225253</v>
      </c>
      <c r="C11716" t="str">
        <f>IFERROR(__xludf.DUMMYFUNCTION("""COMPUTED_VALUE"""),"Umbra")</f>
        <v>Umbra</v>
      </c>
    </row>
    <row r="11717">
      <c r="A11717" t="str">
        <f>IFERROR(__xludf.DUMMYFUNCTION("""COMPUTED_VALUE"""),"35006/VM")</f>
        <v>35006/VM</v>
      </c>
      <c r="B11717" s="226" t="str">
        <f>IFERROR(__xludf.DUMMYFUNCTION("""COMPUTED_VALUE"""),"8058772225277")</f>
        <v>8058772225277</v>
      </c>
      <c r="C11717" t="str">
        <f>IFERROR(__xludf.DUMMYFUNCTION("""COMPUTED_VALUE"""),"Umbra")</f>
        <v>Umbra</v>
      </c>
    </row>
    <row r="11718">
      <c r="A11718" t="str">
        <f>IFERROR(__xludf.DUMMYFUNCTION("""COMPUTED_VALUE"""),"37015")</f>
        <v>37015</v>
      </c>
      <c r="B11718" s="226" t="str">
        <f>IFERROR(__xludf.DUMMYFUNCTION("""COMPUTED_VALUE"""),"8054521994470")</f>
        <v>8054521994470</v>
      </c>
      <c r="C11718" t="str">
        <f>IFERROR(__xludf.DUMMYFUNCTION("""COMPUTED_VALUE"""),"Umbra")</f>
        <v>Umbra</v>
      </c>
    </row>
    <row r="11719">
      <c r="A11719" t="str">
        <f>IFERROR(__xludf.DUMMYFUNCTION("""COMPUTED_VALUE"""),"37008")</f>
        <v>37008</v>
      </c>
      <c r="B11719" s="226" t="str">
        <f>IFERROR(__xludf.DUMMYFUNCTION("""COMPUTED_VALUE"""),"8054521994425")</f>
        <v>8054521994425</v>
      </c>
      <c r="C11719" t="str">
        <f>IFERROR(__xludf.DUMMYFUNCTION("""COMPUTED_VALUE"""),"Umbra")</f>
        <v>Umbra</v>
      </c>
    </row>
    <row r="11720">
      <c r="A11720" t="str">
        <f>IFERROR(__xludf.DUMMYFUNCTION("""COMPUTED_VALUE"""),"37020")</f>
        <v>37020</v>
      </c>
      <c r="B11720" s="226" t="str">
        <f>IFERROR(__xludf.DUMMYFUNCTION("""COMPUTED_VALUE"""),"8054521994500")</f>
        <v>8054521994500</v>
      </c>
      <c r="C11720" t="str">
        <f>IFERROR(__xludf.DUMMYFUNCTION("""COMPUTED_VALUE"""),"Umbra")</f>
        <v>Umbra</v>
      </c>
    </row>
    <row r="11721">
      <c r="A11721" t="str">
        <f>IFERROR(__xludf.DUMMYFUNCTION("""COMPUTED_VALUE"""),"37022/2")</f>
        <v>37022/2</v>
      </c>
      <c r="B11721" s="226" t="str">
        <f>IFERROR(__xludf.DUMMYFUNCTION("""COMPUTED_VALUE"""),"8054521994524")</f>
        <v>8054521994524</v>
      </c>
      <c r="C11721" t="str">
        <f>IFERROR(__xludf.DUMMYFUNCTION("""COMPUTED_VALUE"""),"Umbra")</f>
        <v>Umbra</v>
      </c>
    </row>
    <row r="11722">
      <c r="A11722" t="str">
        <f>IFERROR(__xludf.DUMMYFUNCTION("""COMPUTED_VALUE"""),"37022/4")</f>
        <v>37022/4</v>
      </c>
      <c r="B11722" s="226" t="str">
        <f>IFERROR(__xludf.DUMMYFUNCTION("""COMPUTED_VALUE"""),"8054521994531")</f>
        <v>8054521994531</v>
      </c>
      <c r="C11722" t="str">
        <f>IFERROR(__xludf.DUMMYFUNCTION("""COMPUTED_VALUE"""),"Umbra")</f>
        <v>Umbra</v>
      </c>
    </row>
    <row r="11723">
      <c r="A11723" t="str">
        <f>IFERROR(__xludf.DUMMYFUNCTION("""COMPUTED_VALUE"""),"37013")</f>
        <v>37013</v>
      </c>
      <c r="B11723" s="226" t="str">
        <f>IFERROR(__xludf.DUMMYFUNCTION("""COMPUTED_VALUE"""),"8054521994456")</f>
        <v>8054521994456</v>
      </c>
      <c r="C11723" t="str">
        <f>IFERROR(__xludf.DUMMYFUNCTION("""COMPUTED_VALUE"""),"Umbra")</f>
        <v>Umbra</v>
      </c>
    </row>
    <row r="11724">
      <c r="A11724" t="str">
        <f>IFERROR(__xludf.DUMMYFUNCTION("""COMPUTED_VALUE"""),"37018")</f>
        <v>37018</v>
      </c>
      <c r="B11724" s="226" t="str">
        <f>IFERROR(__xludf.DUMMYFUNCTION("""COMPUTED_VALUE"""),"8054521994487")</f>
        <v>8054521994487</v>
      </c>
      <c r="C11724" t="str">
        <f>IFERROR(__xludf.DUMMYFUNCTION("""COMPUTED_VALUE"""),"Umbra")</f>
        <v>Umbra</v>
      </c>
    </row>
    <row r="11725">
      <c r="A11725" t="str">
        <f>IFERROR(__xludf.DUMMYFUNCTION("""COMPUTED_VALUE"""),"37019")</f>
        <v>37019</v>
      </c>
      <c r="B11725" s="226" t="str">
        <f>IFERROR(__xludf.DUMMYFUNCTION("""COMPUTED_VALUE"""),"8054521994494")</f>
        <v>8054521994494</v>
      </c>
      <c r="C11725" t="str">
        <f>IFERROR(__xludf.DUMMYFUNCTION("""COMPUTED_VALUE"""),"Umbra")</f>
        <v>Umbra</v>
      </c>
    </row>
    <row r="11726">
      <c r="A11726" t="str">
        <f>IFERROR(__xludf.DUMMYFUNCTION("""COMPUTED_VALUE"""),"37014/C")</f>
        <v>37014/C</v>
      </c>
      <c r="B11726" s="226" t="str">
        <f>IFERROR(__xludf.DUMMYFUNCTION("""COMPUTED_VALUE"""),"8054521994463")</f>
        <v>8054521994463</v>
      </c>
      <c r="C11726" t="str">
        <f>IFERROR(__xludf.DUMMYFUNCTION("""COMPUTED_VALUE"""),"Umbra")</f>
        <v>Umbra</v>
      </c>
    </row>
    <row r="11727">
      <c r="A11727" t="str">
        <f>IFERROR(__xludf.DUMMYFUNCTION("""COMPUTED_VALUE"""),"37010")</f>
        <v>37010</v>
      </c>
      <c r="B11727" s="226" t="str">
        <f>IFERROR(__xludf.DUMMYFUNCTION("""COMPUTED_VALUE"""),"8054521994432")</f>
        <v>8054521994432</v>
      </c>
      <c r="C11727" t="str">
        <f>IFERROR(__xludf.DUMMYFUNCTION("""COMPUTED_VALUE"""),"Umbra")</f>
        <v>Umbra</v>
      </c>
    </row>
    <row r="11728">
      <c r="A11728" t="str">
        <f>IFERROR(__xludf.DUMMYFUNCTION("""COMPUTED_VALUE"""),"37021/C")</f>
        <v>37021/C</v>
      </c>
      <c r="B11728" s="226" t="str">
        <f>IFERROR(__xludf.DUMMYFUNCTION("""COMPUTED_VALUE"""),"8054521994517")</f>
        <v>8054521994517</v>
      </c>
      <c r="C11728" t="str">
        <f>IFERROR(__xludf.DUMMYFUNCTION("""COMPUTED_VALUE"""),"Umbra")</f>
        <v>Umbra</v>
      </c>
    </row>
    <row r="11729">
      <c r="A11729" t="str">
        <f>IFERROR(__xludf.DUMMYFUNCTION("""COMPUTED_VALUE"""),"37021/F")</f>
        <v>37021/F</v>
      </c>
      <c r="B11729" s="226" t="str">
        <f>IFERROR(__xludf.DUMMYFUNCTION("""COMPUTED_VALUE"""),"8058772225321")</f>
        <v>8058772225321</v>
      </c>
      <c r="C11729" t="str">
        <f>IFERROR(__xludf.DUMMYFUNCTION("""COMPUTED_VALUE"""),"Umbra")</f>
        <v>Umbra</v>
      </c>
    </row>
    <row r="11730">
      <c r="A11730" t="str">
        <f>IFERROR(__xludf.DUMMYFUNCTION("""COMPUTED_VALUE"""),"37023/C")</f>
        <v>37023/C</v>
      </c>
      <c r="B11730" s="226" t="str">
        <f>IFERROR(__xludf.DUMMYFUNCTION("""COMPUTED_VALUE"""),"8054521994548")</f>
        <v>8054521994548</v>
      </c>
      <c r="C11730" t="str">
        <f>IFERROR(__xludf.DUMMYFUNCTION("""COMPUTED_VALUE"""),"Umbra")</f>
        <v>Umbra</v>
      </c>
    </row>
    <row r="11731">
      <c r="A11731" t="str">
        <f>IFERROR(__xludf.DUMMYFUNCTION("""COMPUTED_VALUE"""),"37026/C")</f>
        <v>37026/C</v>
      </c>
      <c r="B11731" s="226" t="str">
        <f>IFERROR(__xludf.DUMMYFUNCTION("""COMPUTED_VALUE"""),"8054521994579")</f>
        <v>8054521994579</v>
      </c>
      <c r="C11731" t="str">
        <f>IFERROR(__xludf.DUMMYFUNCTION("""COMPUTED_VALUE"""),"Umbra")</f>
        <v>Umbra</v>
      </c>
    </row>
    <row r="11732">
      <c r="A11732" t="str">
        <f>IFERROR(__xludf.DUMMYFUNCTION("""COMPUTED_VALUE"""),"37026/F")</f>
        <v>37026/F</v>
      </c>
      <c r="B11732" s="226" t="str">
        <f>IFERROR(__xludf.DUMMYFUNCTION("""COMPUTED_VALUE"""),"8058772225345")</f>
        <v>8058772225345</v>
      </c>
      <c r="C11732" t="str">
        <f>IFERROR(__xludf.DUMMYFUNCTION("""COMPUTED_VALUE"""),"Umbra")</f>
        <v>Umbra</v>
      </c>
    </row>
    <row r="11733">
      <c r="A11733" t="str">
        <f>IFERROR(__xludf.DUMMYFUNCTION("""COMPUTED_VALUE"""),"37013")</f>
        <v>37013</v>
      </c>
      <c r="B11733" s="226" t="str">
        <f>IFERROR(__xludf.DUMMYFUNCTION("""COMPUTED_VALUE"""),"8054521994456")</f>
        <v>8054521994456</v>
      </c>
      <c r="C11733" t="str">
        <f>IFERROR(__xludf.DUMMYFUNCTION("""COMPUTED_VALUE"""),"Umbra")</f>
        <v>Umbra</v>
      </c>
    </row>
    <row r="11734">
      <c r="A11734" t="str">
        <f>IFERROR(__xludf.DUMMYFUNCTION("""COMPUTED_VALUE"""),"37024/C")</f>
        <v>37024/C</v>
      </c>
      <c r="B11734" s="226" t="str">
        <f>IFERROR(__xludf.DUMMYFUNCTION("""COMPUTED_VALUE"""),"8054521994555")</f>
        <v>8054521994555</v>
      </c>
      <c r="C11734" t="str">
        <f>IFERROR(__xludf.DUMMYFUNCTION("""COMPUTED_VALUE"""),"Umbra")</f>
        <v>Umbra</v>
      </c>
    </row>
    <row r="11735">
      <c r="A11735" t="str">
        <f>IFERROR(__xludf.DUMMYFUNCTION("""COMPUTED_VALUE"""),"13145/C")</f>
        <v>13145/C</v>
      </c>
      <c r="B11735" s="226" t="str">
        <f>IFERROR(__xludf.DUMMYFUNCTION("""COMPUTED_VALUE"""),"8058772228780")</f>
        <v>8058772228780</v>
      </c>
      <c r="C11735" t="str">
        <f>IFERROR(__xludf.DUMMYFUNCTION("""COMPUTED_VALUE"""),"Umbra")</f>
        <v>Umbra</v>
      </c>
    </row>
    <row r="11736">
      <c r="A11736" t="str">
        <f>IFERROR(__xludf.DUMMYFUNCTION("""COMPUTED_VALUE"""),"13145/F")</f>
        <v>13145/F</v>
      </c>
      <c r="B11736" s="226" t="str">
        <f>IFERROR(__xludf.DUMMYFUNCTION("""COMPUTED_VALUE"""),"8058772222436")</f>
        <v>8058772222436</v>
      </c>
      <c r="C11736" t="str">
        <f>IFERROR(__xludf.DUMMYFUNCTION("""COMPUTED_VALUE"""),"Umbra")</f>
        <v>Umbra</v>
      </c>
    </row>
    <row r="11737">
      <c r="A11737" t="str">
        <f>IFERROR(__xludf.DUMMYFUNCTION("""COMPUTED_VALUE"""),"13145/VM")</f>
        <v>13145/VM</v>
      </c>
      <c r="B11737" s="226" t="str">
        <f>IFERROR(__xludf.DUMMYFUNCTION("""COMPUTED_VALUE"""),"8058772228797")</f>
        <v>8058772228797</v>
      </c>
      <c r="C11737" t="str">
        <f>IFERROR(__xludf.DUMMYFUNCTION("""COMPUTED_VALUE"""),"Umbra")</f>
        <v>Umbra</v>
      </c>
    </row>
    <row r="11738">
      <c r="A11738" t="str">
        <f>IFERROR(__xludf.DUMMYFUNCTION("""COMPUTED_VALUE"""),"37027/C")</f>
        <v>37027/C</v>
      </c>
      <c r="B11738" s="226" t="str">
        <f>IFERROR(__xludf.DUMMYFUNCTION("""COMPUTED_VALUE"""),"8058772225369")</f>
        <v>8058772225369</v>
      </c>
      <c r="C11738" t="str">
        <f>IFERROR(__xludf.DUMMYFUNCTION("""COMPUTED_VALUE"""),"Umbra")</f>
        <v>Umbra</v>
      </c>
    </row>
    <row r="11739">
      <c r="A11739" t="str">
        <f>IFERROR(__xludf.DUMMYFUNCTION("""COMPUTED_VALUE"""),"37027/F")</f>
        <v>37027/F</v>
      </c>
      <c r="B11739" s="226" t="str">
        <f>IFERROR(__xludf.DUMMYFUNCTION("""COMPUTED_VALUE"""),"8058772225352")</f>
        <v>8058772225352</v>
      </c>
      <c r="C11739" t="str">
        <f>IFERROR(__xludf.DUMMYFUNCTION("""COMPUTED_VALUE"""),"Umbra")</f>
        <v>Umbra</v>
      </c>
    </row>
    <row r="11740">
      <c r="A11740" t="str">
        <f>IFERROR(__xludf.DUMMYFUNCTION("""COMPUTED_VALUE"""),"37027/VM")</f>
        <v>37027/VM</v>
      </c>
      <c r="B11740" s="226" t="str">
        <f>IFERROR(__xludf.DUMMYFUNCTION("""COMPUTED_VALUE"""),"8058772225376")</f>
        <v>8058772225376</v>
      </c>
      <c r="C11740" t="str">
        <f>IFERROR(__xludf.DUMMYFUNCTION("""COMPUTED_VALUE"""),"Umbra")</f>
        <v>Umbra</v>
      </c>
    </row>
    <row r="11741">
      <c r="A11741" t="str">
        <f>IFERROR(__xludf.DUMMYFUNCTION("""COMPUTED_VALUE"""),"37027/C")</f>
        <v>37027/C</v>
      </c>
      <c r="B11741" s="226" t="str">
        <f>IFERROR(__xludf.DUMMYFUNCTION("""COMPUTED_VALUE"""),"8058772225369")</f>
        <v>8058772225369</v>
      </c>
      <c r="C11741" t="str">
        <f>IFERROR(__xludf.DUMMYFUNCTION("""COMPUTED_VALUE"""),"Umbra")</f>
        <v>Umbra</v>
      </c>
    </row>
    <row r="11742">
      <c r="A11742" t="str">
        <f>IFERROR(__xludf.DUMMYFUNCTION("""COMPUTED_VALUE"""),"37027/F")</f>
        <v>37027/F</v>
      </c>
      <c r="B11742" s="226" t="str">
        <f>IFERROR(__xludf.DUMMYFUNCTION("""COMPUTED_VALUE"""),"8058772225352")</f>
        <v>8058772225352</v>
      </c>
      <c r="C11742" t="str">
        <f>IFERROR(__xludf.DUMMYFUNCTION("""COMPUTED_VALUE"""),"Umbra")</f>
        <v>Umbra</v>
      </c>
    </row>
    <row r="11743">
      <c r="A11743" t="str">
        <f>IFERROR(__xludf.DUMMYFUNCTION("""COMPUTED_VALUE"""),"37027/VM")</f>
        <v>37027/VM</v>
      </c>
      <c r="B11743" s="226" t="str">
        <f>IFERROR(__xludf.DUMMYFUNCTION("""COMPUTED_VALUE"""),"8058772225376")</f>
        <v>8058772225376</v>
      </c>
      <c r="C11743" t="str">
        <f>IFERROR(__xludf.DUMMYFUNCTION("""COMPUTED_VALUE"""),"Umbra")</f>
        <v>Umbra</v>
      </c>
    </row>
    <row r="11744">
      <c r="A11744" t="str">
        <f>IFERROR(__xludf.DUMMYFUNCTION("""COMPUTED_VALUE"""),"37025/C3")</f>
        <v>37025/C3</v>
      </c>
      <c r="C11744" t="str">
        <f>IFERROR(__xludf.DUMMYFUNCTION("""COMPUTED_VALUE"""),"Umbra")</f>
        <v>Umbra</v>
      </c>
    </row>
    <row r="11745">
      <c r="A11745" t="str">
        <f>IFERROR(__xludf.DUMMYFUNCTION("""COMPUTED_VALUE"""),"37025/F3")</f>
        <v>37025/F3</v>
      </c>
      <c r="B11745" s="226" t="str">
        <f>IFERROR(__xludf.DUMMYFUNCTION("""COMPUTED_VALUE"""),"8058772225338")</f>
        <v>8058772225338</v>
      </c>
      <c r="C11745" t="str">
        <f>IFERROR(__xludf.DUMMYFUNCTION("""COMPUTED_VALUE"""),"Umbra")</f>
        <v>Umbra</v>
      </c>
    </row>
    <row r="11746">
      <c r="A11746" t="str">
        <f>IFERROR(__xludf.DUMMYFUNCTION("""COMPUTED_VALUE"""),"37025/C5")</f>
        <v>37025/C5</v>
      </c>
      <c r="B11746" s="226" t="str">
        <f>IFERROR(__xludf.DUMMYFUNCTION("""COMPUTED_VALUE"""),"8054521994562")</f>
        <v>8054521994562</v>
      </c>
      <c r="C11746" t="str">
        <f>IFERROR(__xludf.DUMMYFUNCTION("""COMPUTED_VALUE"""),"Umbra")</f>
        <v>Umbra</v>
      </c>
    </row>
    <row r="11747">
      <c r="A11747" t="str">
        <f>IFERROR(__xludf.DUMMYFUNCTION("""COMPUTED_VALUE"""),"37025/F5")</f>
        <v>37025/F5</v>
      </c>
      <c r="C11747" t="str">
        <f>IFERROR(__xludf.DUMMYFUNCTION("""COMPUTED_VALUE"""),"Umbra")</f>
        <v>Umbra</v>
      </c>
    </row>
    <row r="11748">
      <c r="A11748" t="str">
        <f>IFERROR(__xludf.DUMMYFUNCTION("""COMPUTED_VALUE"""),"37012")</f>
        <v>37012</v>
      </c>
      <c r="B11748" s="226" t="str">
        <f>IFERROR(__xludf.DUMMYFUNCTION("""COMPUTED_VALUE"""),"8054521994449")</f>
        <v>8054521994449</v>
      </c>
      <c r="C11748" t="str">
        <f>IFERROR(__xludf.DUMMYFUNCTION("""COMPUTED_VALUE"""),"Umbra")</f>
        <v>Umbra</v>
      </c>
    </row>
    <row r="11749">
      <c r="A11749" t="str">
        <f>IFERROR(__xludf.DUMMYFUNCTION("""COMPUTED_VALUE"""),"37016")</f>
        <v>37016</v>
      </c>
      <c r="B11749" s="226" t="str">
        <f>IFERROR(__xludf.DUMMYFUNCTION("""COMPUTED_VALUE"""),"8054521992834")</f>
        <v>8054521992834</v>
      </c>
      <c r="C11749" t="str">
        <f>IFERROR(__xludf.DUMMYFUNCTION("""COMPUTED_VALUE"""),"Umbra")</f>
        <v>Umbra</v>
      </c>
    </row>
    <row r="11750">
      <c r="A11750" t="str">
        <f>IFERROR(__xludf.DUMMYFUNCTION("""COMPUTED_VALUE"""),"38103")</f>
        <v>38103</v>
      </c>
      <c r="B11750" s="226" t="str">
        <f>IFERROR(__xludf.DUMMYFUNCTION("""COMPUTED_VALUE"""),"8054521994616")</f>
        <v>8054521994616</v>
      </c>
      <c r="C11750" t="str">
        <f>IFERROR(__xludf.DUMMYFUNCTION("""COMPUTED_VALUE"""),"Umbra")</f>
        <v>Umbra</v>
      </c>
    </row>
    <row r="11751">
      <c r="A11751" t="str">
        <f>IFERROR(__xludf.DUMMYFUNCTION("""COMPUTED_VALUE"""),"38102")</f>
        <v>38102</v>
      </c>
      <c r="B11751" s="226" t="str">
        <f>IFERROR(__xludf.DUMMYFUNCTION("""COMPUTED_VALUE"""),"8054521994609")</f>
        <v>8054521994609</v>
      </c>
      <c r="C11751" t="str">
        <f>IFERROR(__xludf.DUMMYFUNCTION("""COMPUTED_VALUE"""),"Umbra")</f>
        <v>Umbra</v>
      </c>
    </row>
    <row r="11752">
      <c r="A11752" t="str">
        <f>IFERROR(__xludf.DUMMYFUNCTION("""COMPUTED_VALUE"""),"38104/G")</f>
        <v>38104/G</v>
      </c>
      <c r="B11752" s="226" t="str">
        <f>IFERROR(__xludf.DUMMYFUNCTION("""COMPUTED_VALUE"""),"8054521994623")</f>
        <v>8054521994623</v>
      </c>
      <c r="C11752" t="str">
        <f>IFERROR(__xludf.DUMMYFUNCTION("""COMPUTED_VALUE"""),"Umbra")</f>
        <v>Umbra</v>
      </c>
    </row>
    <row r="11753">
      <c r="A11753" t="str">
        <f>IFERROR(__xludf.DUMMYFUNCTION("""COMPUTED_VALUE"""),"38104/SF")</f>
        <v>38104/SF</v>
      </c>
      <c r="B11753" s="226" t="str">
        <f>IFERROR(__xludf.DUMMYFUNCTION("""COMPUTED_VALUE"""),"8054521994630")</f>
        <v>8054521994630</v>
      </c>
      <c r="C11753" t="str">
        <f>IFERROR(__xludf.DUMMYFUNCTION("""COMPUTED_VALUE"""),"Umbra")</f>
        <v>Umbra</v>
      </c>
    </row>
    <row r="11754">
      <c r="A11754" t="str">
        <f>IFERROR(__xludf.DUMMYFUNCTION("""COMPUTED_VALUE"""),"38105/G")</f>
        <v>38105/G</v>
      </c>
      <c r="C11754" t="str">
        <f>IFERROR(__xludf.DUMMYFUNCTION("""COMPUTED_VALUE"""),"Umbra")</f>
        <v>Umbra</v>
      </c>
    </row>
    <row r="11755">
      <c r="A11755" t="str">
        <f>IFERROR(__xludf.DUMMYFUNCTION("""COMPUTED_VALUE"""),"38105/SF")</f>
        <v>38105/SF</v>
      </c>
      <c r="B11755" s="226" t="str">
        <f>IFERROR(__xludf.DUMMYFUNCTION("""COMPUTED_VALUE"""),"8054521994647")</f>
        <v>8054521994647</v>
      </c>
      <c r="C11755" t="str">
        <f>IFERROR(__xludf.DUMMYFUNCTION("""COMPUTED_VALUE"""),"Umbra")</f>
        <v>Umbra</v>
      </c>
    </row>
    <row r="11756">
      <c r="A11756" t="str">
        <f>IFERROR(__xludf.DUMMYFUNCTION("""COMPUTED_VALUE"""),"38101")</f>
        <v>38101</v>
      </c>
      <c r="B11756" s="226" t="str">
        <f>IFERROR(__xludf.DUMMYFUNCTION("""COMPUTED_VALUE"""),"8054521994593")</f>
        <v>8054521994593</v>
      </c>
      <c r="C11756" t="str">
        <f>IFERROR(__xludf.DUMMYFUNCTION("""COMPUTED_VALUE"""),"Umbra")</f>
        <v>Umbra</v>
      </c>
    </row>
    <row r="11757">
      <c r="A11757" t="str">
        <f>IFERROR(__xludf.DUMMYFUNCTION("""COMPUTED_VALUE"""),"38106/G")</f>
        <v>38106/G</v>
      </c>
      <c r="B11757" s="226" t="str">
        <f>IFERROR(__xludf.DUMMYFUNCTION("""COMPUTED_VALUE"""),"8054521994654")</f>
        <v>8054521994654</v>
      </c>
      <c r="C11757" t="str">
        <f>IFERROR(__xludf.DUMMYFUNCTION("""COMPUTED_VALUE"""),"Umbra")</f>
        <v>Umbra</v>
      </c>
    </row>
    <row r="11758">
      <c r="A11758" t="str">
        <f>IFERROR(__xludf.DUMMYFUNCTION("""COMPUTED_VALUE"""),"38106/SF")</f>
        <v>38106/SF</v>
      </c>
      <c r="B11758" s="226" t="str">
        <f>IFERROR(__xludf.DUMMYFUNCTION("""COMPUTED_VALUE"""),"8054521994661")</f>
        <v>8054521994661</v>
      </c>
      <c r="C11758" t="str">
        <f>IFERROR(__xludf.DUMMYFUNCTION("""COMPUTED_VALUE"""),"Umbra")</f>
        <v>Umbra</v>
      </c>
    </row>
    <row r="11759">
      <c r="A11759" t="str">
        <f>IFERROR(__xludf.DUMMYFUNCTION("""COMPUTED_VALUE"""),"39025/C")</f>
        <v>39025/C</v>
      </c>
      <c r="B11759" s="226" t="str">
        <f>IFERROR(__xludf.DUMMYFUNCTION("""COMPUTED_VALUE"""),"8054521994838")</f>
        <v>8054521994838</v>
      </c>
      <c r="C11759" t="str">
        <f>IFERROR(__xludf.DUMMYFUNCTION("""COMPUTED_VALUE"""),"Umbra")</f>
        <v>Umbra</v>
      </c>
    </row>
    <row r="11760">
      <c r="A11760" t="str">
        <f>IFERROR(__xludf.DUMMYFUNCTION("""COMPUTED_VALUE"""),"39025/F")</f>
        <v>39025/F</v>
      </c>
      <c r="B11760" s="226" t="str">
        <f>IFERROR(__xludf.DUMMYFUNCTION("""COMPUTED_VALUE"""),"8058772225437")</f>
        <v>8058772225437</v>
      </c>
      <c r="C11760" t="str">
        <f>IFERROR(__xludf.DUMMYFUNCTION("""COMPUTED_VALUE"""),"Umbra")</f>
        <v>Umbra</v>
      </c>
    </row>
    <row r="11761">
      <c r="A11761" t="str">
        <f>IFERROR(__xludf.DUMMYFUNCTION("""COMPUTED_VALUE"""),"39026/C")</f>
        <v>39026/C</v>
      </c>
      <c r="B11761" s="226" t="str">
        <f>IFERROR(__xludf.DUMMYFUNCTION("""COMPUTED_VALUE"""),"8054521994845")</f>
        <v>8054521994845</v>
      </c>
      <c r="C11761" t="str">
        <f>IFERROR(__xludf.DUMMYFUNCTION("""COMPUTED_VALUE"""),"Umbra")</f>
        <v>Umbra</v>
      </c>
    </row>
    <row r="11762">
      <c r="A11762" t="str">
        <f>IFERROR(__xludf.DUMMYFUNCTION("""COMPUTED_VALUE"""),"39026/F")</f>
        <v>39026/F</v>
      </c>
      <c r="B11762" s="226" t="str">
        <f>IFERROR(__xludf.DUMMYFUNCTION("""COMPUTED_VALUE"""),"8058772225444")</f>
        <v>8058772225444</v>
      </c>
      <c r="C11762" t="str">
        <f>IFERROR(__xludf.DUMMYFUNCTION("""COMPUTED_VALUE"""),"Umbra")</f>
        <v>Umbra</v>
      </c>
    </row>
    <row r="11763">
      <c r="A11763" t="str">
        <f>IFERROR(__xludf.DUMMYFUNCTION("""COMPUTED_VALUE"""),"39014")</f>
        <v>39014</v>
      </c>
      <c r="B11763" s="226" t="str">
        <f>IFERROR(__xludf.DUMMYFUNCTION("""COMPUTED_VALUE"""),"8054521994722")</f>
        <v>8054521994722</v>
      </c>
      <c r="C11763" t="str">
        <f>IFERROR(__xludf.DUMMYFUNCTION("""COMPUTED_VALUE"""),"Umbra")</f>
        <v>Umbra</v>
      </c>
    </row>
    <row r="11764">
      <c r="A11764" t="str">
        <f>IFERROR(__xludf.DUMMYFUNCTION("""COMPUTED_VALUE"""),"39023")</f>
        <v>39023</v>
      </c>
      <c r="B11764" s="226" t="str">
        <f>IFERROR(__xludf.DUMMYFUNCTION("""COMPUTED_VALUE"""),"8054521994814")</f>
        <v>8054521994814</v>
      </c>
      <c r="C11764" t="str">
        <f>IFERROR(__xludf.DUMMYFUNCTION("""COMPUTED_VALUE"""),"Umbra")</f>
        <v>Umbra</v>
      </c>
    </row>
    <row r="11765">
      <c r="A11765" t="str">
        <f>IFERROR(__xludf.DUMMYFUNCTION("""COMPUTED_VALUE"""),"39027/C")</f>
        <v>39027/C</v>
      </c>
      <c r="B11765" s="226" t="str">
        <f>IFERROR(__xludf.DUMMYFUNCTION("""COMPUTED_VALUE"""),"8054521994852")</f>
        <v>8054521994852</v>
      </c>
      <c r="C11765" t="str">
        <f>IFERROR(__xludf.DUMMYFUNCTION("""COMPUTED_VALUE"""),"Umbra")</f>
        <v>Umbra</v>
      </c>
    </row>
    <row r="11766">
      <c r="A11766" t="str">
        <f>IFERROR(__xludf.DUMMYFUNCTION("""COMPUTED_VALUE"""),"39027/F")</f>
        <v>39027/F</v>
      </c>
      <c r="B11766" s="226" t="str">
        <f>IFERROR(__xludf.DUMMYFUNCTION("""COMPUTED_VALUE"""),"8058772225451")</f>
        <v>8058772225451</v>
      </c>
      <c r="C11766" t="str">
        <f>IFERROR(__xludf.DUMMYFUNCTION("""COMPUTED_VALUE"""),"Umbra")</f>
        <v>Umbra</v>
      </c>
    </row>
    <row r="11767">
      <c r="A11767" t="str">
        <f>IFERROR(__xludf.DUMMYFUNCTION("""COMPUTED_VALUE"""),"39020")</f>
        <v>39020</v>
      </c>
      <c r="B11767" s="226" t="str">
        <f>IFERROR(__xludf.DUMMYFUNCTION("""COMPUTED_VALUE"""),"8054521994784")</f>
        <v>8054521994784</v>
      </c>
      <c r="C11767" t="str">
        <f>IFERROR(__xludf.DUMMYFUNCTION("""COMPUTED_VALUE"""),"Umbra")</f>
        <v>Umbra</v>
      </c>
    </row>
    <row r="11768">
      <c r="A11768" t="str">
        <f>IFERROR(__xludf.DUMMYFUNCTION("""COMPUTED_VALUE"""),"39024")</f>
        <v>39024</v>
      </c>
      <c r="B11768" s="226" t="str">
        <f>IFERROR(__xludf.DUMMYFUNCTION("""COMPUTED_VALUE"""),"8054521994821")</f>
        <v>8054521994821</v>
      </c>
      <c r="C11768" t="str">
        <f>IFERROR(__xludf.DUMMYFUNCTION("""COMPUTED_VALUE"""),"Umbra")</f>
        <v>Umbra</v>
      </c>
    </row>
    <row r="11769">
      <c r="A11769" t="str">
        <f>IFERROR(__xludf.DUMMYFUNCTION("""COMPUTED_VALUE"""),"39024/F")</f>
        <v>39024/F</v>
      </c>
      <c r="B11769" s="226" t="str">
        <f>IFERROR(__xludf.DUMMYFUNCTION("""COMPUTED_VALUE"""),"8058772225420")</f>
        <v>8058772225420</v>
      </c>
      <c r="C11769" t="str">
        <f>IFERROR(__xludf.DUMMYFUNCTION("""COMPUTED_VALUE"""),"Umbra")</f>
        <v>Umbra</v>
      </c>
    </row>
    <row r="11770">
      <c r="A11770" t="str">
        <f>IFERROR(__xludf.DUMMYFUNCTION("""COMPUTED_VALUE"""),"39019")</f>
        <v>39019</v>
      </c>
      <c r="B11770" s="226" t="str">
        <f>IFERROR(__xludf.DUMMYFUNCTION("""COMPUTED_VALUE"""),"8054521994777")</f>
        <v>8054521994777</v>
      </c>
      <c r="C11770" t="str">
        <f>IFERROR(__xludf.DUMMYFUNCTION("""COMPUTED_VALUE"""),"Umbra")</f>
        <v>Umbra</v>
      </c>
    </row>
    <row r="11771">
      <c r="A11771" t="str">
        <f>IFERROR(__xludf.DUMMYFUNCTION("""COMPUTED_VALUE"""),"39029/C")</f>
        <v>39029/C</v>
      </c>
      <c r="B11771" s="226" t="str">
        <f>IFERROR(__xludf.DUMMYFUNCTION("""COMPUTED_VALUE"""),"8054521994876")</f>
        <v>8054521994876</v>
      </c>
      <c r="C11771" t="str">
        <f>IFERROR(__xludf.DUMMYFUNCTION("""COMPUTED_VALUE"""),"Umbra")</f>
        <v>Umbra</v>
      </c>
    </row>
    <row r="11772">
      <c r="A11772" t="str">
        <f>IFERROR(__xludf.DUMMYFUNCTION("""COMPUTED_VALUE"""),"39029/F")</f>
        <v>39029/F</v>
      </c>
      <c r="B11772" s="226" t="str">
        <f>IFERROR(__xludf.DUMMYFUNCTION("""COMPUTED_VALUE"""),"8058772225475")</f>
        <v>8058772225475</v>
      </c>
      <c r="C11772" t="str">
        <f>IFERROR(__xludf.DUMMYFUNCTION("""COMPUTED_VALUE"""),"Umbra")</f>
        <v>Umbra</v>
      </c>
    </row>
    <row r="11773">
      <c r="A11773" t="str">
        <f>IFERROR(__xludf.DUMMYFUNCTION("""COMPUTED_VALUE"""),"39029/G")</f>
        <v>39029/G</v>
      </c>
      <c r="B11773" s="226" t="str">
        <f>IFERROR(__xludf.DUMMYFUNCTION("""COMPUTED_VALUE"""),"8054521994883")</f>
        <v>8054521994883</v>
      </c>
      <c r="C11773" t="str">
        <f>IFERROR(__xludf.DUMMYFUNCTION("""COMPUTED_VALUE"""),"Umbra")</f>
        <v>Umbra</v>
      </c>
    </row>
    <row r="11774">
      <c r="A11774" t="str">
        <f>IFERROR(__xludf.DUMMYFUNCTION("""COMPUTED_VALUE"""),"39029/SF")</f>
        <v>39029/SF</v>
      </c>
      <c r="B11774" s="226" t="str">
        <f>IFERROR(__xludf.DUMMYFUNCTION("""COMPUTED_VALUE"""),"8054521994890")</f>
        <v>8054521994890</v>
      </c>
      <c r="C11774" t="str">
        <f>IFERROR(__xludf.DUMMYFUNCTION("""COMPUTED_VALUE"""),"Umbra")</f>
        <v>Umbra</v>
      </c>
    </row>
    <row r="11775">
      <c r="A11775" t="str">
        <f>IFERROR(__xludf.DUMMYFUNCTION("""COMPUTED_VALUE"""),"39009")</f>
        <v>39009</v>
      </c>
      <c r="B11775" s="226" t="str">
        <f>IFERROR(__xludf.DUMMYFUNCTION("""COMPUTED_VALUE"""),"8054521994685")</f>
        <v>8054521994685</v>
      </c>
      <c r="C11775" t="str">
        <f>IFERROR(__xludf.DUMMYFUNCTION("""COMPUTED_VALUE"""),"Umbra")</f>
        <v>Umbra</v>
      </c>
    </row>
    <row r="11776">
      <c r="A11776" t="str">
        <f>IFERROR(__xludf.DUMMYFUNCTION("""COMPUTED_VALUE"""),"39022")</f>
        <v>39022</v>
      </c>
      <c r="B11776" s="226" t="str">
        <f>IFERROR(__xludf.DUMMYFUNCTION("""COMPUTED_VALUE"""),"8054521994807")</f>
        <v>8054521994807</v>
      </c>
      <c r="C11776" t="str">
        <f>IFERROR(__xludf.DUMMYFUNCTION("""COMPUTED_VALUE"""),"Umbra")</f>
        <v>Umbra</v>
      </c>
    </row>
    <row r="11777">
      <c r="A11777" t="str">
        <f>IFERROR(__xludf.DUMMYFUNCTION("""COMPUTED_VALUE"""),"39022/F")</f>
        <v>39022/F</v>
      </c>
      <c r="B11777" s="226" t="str">
        <f>IFERROR(__xludf.DUMMYFUNCTION("""COMPUTED_VALUE"""),"8058772225413")</f>
        <v>8058772225413</v>
      </c>
      <c r="C11777" t="str">
        <f>IFERROR(__xludf.DUMMYFUNCTION("""COMPUTED_VALUE"""),"Umbra")</f>
        <v>Umbra</v>
      </c>
    </row>
    <row r="11778">
      <c r="A11778" t="str">
        <f>IFERROR(__xludf.DUMMYFUNCTION("""COMPUTED_VALUE"""),"39016")</f>
        <v>39016</v>
      </c>
      <c r="B11778" s="226" t="str">
        <f>IFERROR(__xludf.DUMMYFUNCTION("""COMPUTED_VALUE"""),"8054521994746")</f>
        <v>8054521994746</v>
      </c>
      <c r="C11778" t="str">
        <f>IFERROR(__xludf.DUMMYFUNCTION("""COMPUTED_VALUE"""),"Umbra")</f>
        <v>Umbra</v>
      </c>
    </row>
    <row r="11779">
      <c r="A11779" t="str">
        <f>IFERROR(__xludf.DUMMYFUNCTION("""COMPUTED_VALUE"""),"39015")</f>
        <v>39015</v>
      </c>
      <c r="B11779" s="226" t="str">
        <f>IFERROR(__xludf.DUMMYFUNCTION("""COMPUTED_VALUE"""),"8054521994739")</f>
        <v>8054521994739</v>
      </c>
      <c r="C11779" t="str">
        <f>IFERROR(__xludf.DUMMYFUNCTION("""COMPUTED_VALUE"""),"Umbra")</f>
        <v>Umbra</v>
      </c>
    </row>
    <row r="11780">
      <c r="A11780" t="str">
        <f>IFERROR(__xludf.DUMMYFUNCTION("""COMPUTED_VALUE"""),"39013")</f>
        <v>39013</v>
      </c>
      <c r="B11780" s="226" t="str">
        <f>IFERROR(__xludf.DUMMYFUNCTION("""COMPUTED_VALUE"""),"8054521994715")</f>
        <v>8054521994715</v>
      </c>
      <c r="C11780" t="str">
        <f>IFERROR(__xludf.DUMMYFUNCTION("""COMPUTED_VALUE"""),"Umbra")</f>
        <v>Umbra</v>
      </c>
    </row>
    <row r="11781">
      <c r="A11781" t="str">
        <f>IFERROR(__xludf.DUMMYFUNCTION("""COMPUTED_VALUE"""),"39013/F")</f>
        <v>39013/F</v>
      </c>
      <c r="B11781" s="226" t="str">
        <f>IFERROR(__xludf.DUMMYFUNCTION("""COMPUTED_VALUE"""),"8058772225383")</f>
        <v>8058772225383</v>
      </c>
      <c r="C11781" t="str">
        <f>IFERROR(__xludf.DUMMYFUNCTION("""COMPUTED_VALUE"""),"Umbra")</f>
        <v>Umbra</v>
      </c>
    </row>
    <row r="11782">
      <c r="A11782" t="str">
        <f>IFERROR(__xludf.DUMMYFUNCTION("""COMPUTED_VALUE"""),"39021")</f>
        <v>39021</v>
      </c>
      <c r="B11782" s="226" t="str">
        <f>IFERROR(__xludf.DUMMYFUNCTION("""COMPUTED_VALUE"""),"8054521994791")</f>
        <v>8054521994791</v>
      </c>
      <c r="C11782" t="str">
        <f>IFERROR(__xludf.DUMMYFUNCTION("""COMPUTED_VALUE"""),"Umbra")</f>
        <v>Umbra</v>
      </c>
    </row>
    <row r="11783">
      <c r="A11783" t="str">
        <f>IFERROR(__xludf.DUMMYFUNCTION("""COMPUTED_VALUE"""),"39021/F")</f>
        <v>39021/F</v>
      </c>
      <c r="B11783" s="226" t="str">
        <f>IFERROR(__xludf.DUMMYFUNCTION("""COMPUTED_VALUE"""),"8058772225406")</f>
        <v>8058772225406</v>
      </c>
      <c r="C11783" t="str">
        <f>IFERROR(__xludf.DUMMYFUNCTION("""COMPUTED_VALUE"""),"Umbra")</f>
        <v>Umbra</v>
      </c>
    </row>
    <row r="11784">
      <c r="A11784" t="str">
        <f>IFERROR(__xludf.DUMMYFUNCTION("""COMPUTED_VALUE"""),"39030/C")</f>
        <v>39030/C</v>
      </c>
      <c r="B11784" s="226" t="str">
        <f>IFERROR(__xludf.DUMMYFUNCTION("""COMPUTED_VALUE"""),"8054521994906")</f>
        <v>8054521994906</v>
      </c>
      <c r="C11784" t="str">
        <f>IFERROR(__xludf.DUMMYFUNCTION("""COMPUTED_VALUE"""),"Umbra")</f>
        <v>Umbra</v>
      </c>
    </row>
    <row r="11785">
      <c r="A11785" t="str">
        <f>IFERROR(__xludf.DUMMYFUNCTION("""COMPUTED_VALUE"""),"39030/F")</f>
        <v>39030/F</v>
      </c>
      <c r="B11785" s="226" t="str">
        <f>IFERROR(__xludf.DUMMYFUNCTION("""COMPUTED_VALUE"""),"8058772225482")</f>
        <v>8058772225482</v>
      </c>
      <c r="C11785" t="str">
        <f>IFERROR(__xludf.DUMMYFUNCTION("""COMPUTED_VALUE"""),"Umbra")</f>
        <v>Umbra</v>
      </c>
    </row>
    <row r="11786">
      <c r="A11786" t="str">
        <f>IFERROR(__xludf.DUMMYFUNCTION("""COMPUTED_VALUE"""),"39030/VM")</f>
        <v>39030/VM</v>
      </c>
      <c r="B11786" s="226" t="str">
        <f>IFERROR(__xludf.DUMMYFUNCTION("""COMPUTED_VALUE"""),"8054521994913")</f>
        <v>8054521994913</v>
      </c>
      <c r="C11786" t="str">
        <f>IFERROR(__xludf.DUMMYFUNCTION("""COMPUTED_VALUE"""),"Umbra")</f>
        <v>Umbra</v>
      </c>
    </row>
    <row r="11787">
      <c r="A11787" t="str">
        <f>IFERROR(__xludf.DUMMYFUNCTION("""COMPUTED_VALUE"""),"39033/C")</f>
        <v>39033/C</v>
      </c>
      <c r="B11787" s="226" t="str">
        <f>IFERROR(__xludf.DUMMYFUNCTION("""COMPUTED_VALUE"""),"8058772225529")</f>
        <v>8058772225529</v>
      </c>
      <c r="C11787" t="str">
        <f>IFERROR(__xludf.DUMMYFUNCTION("""COMPUTED_VALUE"""),"Umbra")</f>
        <v>Umbra</v>
      </c>
    </row>
    <row r="11788">
      <c r="A11788" t="str">
        <f>IFERROR(__xludf.DUMMYFUNCTION("""COMPUTED_VALUE"""),"39033/F")</f>
        <v>39033/F</v>
      </c>
      <c r="B11788" s="226" t="str">
        <f>IFERROR(__xludf.DUMMYFUNCTION("""COMPUTED_VALUE"""),"8058772225512")</f>
        <v>8058772225512</v>
      </c>
      <c r="C11788" t="str">
        <f>IFERROR(__xludf.DUMMYFUNCTION("""COMPUTED_VALUE"""),"Umbra")</f>
        <v>Umbra</v>
      </c>
    </row>
    <row r="11789">
      <c r="A11789" t="str">
        <f>IFERROR(__xludf.DUMMYFUNCTION("""COMPUTED_VALUE"""),"39033/VM")</f>
        <v>39033/VM</v>
      </c>
      <c r="B11789" s="226" t="str">
        <f>IFERROR(__xludf.DUMMYFUNCTION("""COMPUTED_VALUE"""),"8058772225536")</f>
        <v>8058772225536</v>
      </c>
      <c r="C11789" t="str">
        <f>IFERROR(__xludf.DUMMYFUNCTION("""COMPUTED_VALUE"""),"Umbra")</f>
        <v>Umbra</v>
      </c>
    </row>
    <row r="11790">
      <c r="A11790" t="str">
        <f>IFERROR(__xludf.DUMMYFUNCTION("""COMPUTED_VALUE"""),"39010")</f>
        <v>39010</v>
      </c>
      <c r="B11790" s="226" t="str">
        <f>IFERROR(__xludf.DUMMYFUNCTION("""COMPUTED_VALUE"""),"8054521994692")</f>
        <v>8054521994692</v>
      </c>
      <c r="C11790" t="str">
        <f>IFERROR(__xludf.DUMMYFUNCTION("""COMPUTED_VALUE"""),"Umbra")</f>
        <v>Umbra</v>
      </c>
    </row>
    <row r="11791">
      <c r="A11791" t="str">
        <f>IFERROR(__xludf.DUMMYFUNCTION("""COMPUTED_VALUE"""),"39032/2C")</f>
        <v>39032/2C</v>
      </c>
      <c r="B11791" s="226" t="str">
        <f>IFERROR(__xludf.DUMMYFUNCTION("""COMPUTED_VALUE"""),"8054521994937")</f>
        <v>8054521994937</v>
      </c>
      <c r="C11791" t="str">
        <f>IFERROR(__xludf.DUMMYFUNCTION("""COMPUTED_VALUE"""),"Umbra")</f>
        <v>Umbra</v>
      </c>
    </row>
    <row r="11792">
      <c r="A11792" t="str">
        <f>IFERROR(__xludf.DUMMYFUNCTION("""COMPUTED_VALUE"""),"39032/4C")</f>
        <v>39032/4C</v>
      </c>
      <c r="B11792" s="226" t="str">
        <f>IFERROR(__xludf.DUMMYFUNCTION("""COMPUTED_VALUE"""),"8054521994951")</f>
        <v>8054521994951</v>
      </c>
      <c r="C11792" t="str">
        <f>IFERROR(__xludf.DUMMYFUNCTION("""COMPUTED_VALUE"""),"Umbra")</f>
        <v>Umbra</v>
      </c>
    </row>
    <row r="11793">
      <c r="A11793" t="str">
        <f>IFERROR(__xludf.DUMMYFUNCTION("""COMPUTED_VALUE"""),"39032/2F")</f>
        <v>39032/2F</v>
      </c>
      <c r="C11793" t="str">
        <f>IFERROR(__xludf.DUMMYFUNCTION("""COMPUTED_VALUE"""),"Umbra")</f>
        <v>Umbra</v>
      </c>
    </row>
    <row r="11794">
      <c r="A11794" t="str">
        <f>IFERROR(__xludf.DUMMYFUNCTION("""COMPUTED_VALUE"""),"39032/4F")</f>
        <v>39032/4F</v>
      </c>
      <c r="C11794" t="str">
        <f>IFERROR(__xludf.DUMMYFUNCTION("""COMPUTED_VALUE"""),"Umbra")</f>
        <v>Umbra</v>
      </c>
    </row>
    <row r="11795">
      <c r="A11795" t="str">
        <f>IFERROR(__xludf.DUMMYFUNCTION("""COMPUTED_VALUE"""),"39032/2VM")</f>
        <v>39032/2VM</v>
      </c>
      <c r="B11795" s="226" t="str">
        <f>IFERROR(__xludf.DUMMYFUNCTION("""COMPUTED_VALUE"""),"8054521994944")</f>
        <v>8054521994944</v>
      </c>
      <c r="C11795" t="str">
        <f>IFERROR(__xludf.DUMMYFUNCTION("""COMPUTED_VALUE"""),"Umbra")</f>
        <v>Umbra</v>
      </c>
    </row>
    <row r="11796">
      <c r="A11796" t="str">
        <f>IFERROR(__xludf.DUMMYFUNCTION("""COMPUTED_VALUE"""),"39032/4VM")</f>
        <v>39032/4VM</v>
      </c>
      <c r="B11796" s="226" t="str">
        <f>IFERROR(__xludf.DUMMYFUNCTION("""COMPUTED_VALUE"""),"8054521994968")</f>
        <v>8054521994968</v>
      </c>
      <c r="C11796" t="str">
        <f>IFERROR(__xludf.DUMMYFUNCTION("""COMPUTED_VALUE"""),"Umbra")</f>
        <v>Umbra</v>
      </c>
    </row>
    <row r="11797">
      <c r="A11797" t="str">
        <f>IFERROR(__xludf.DUMMYFUNCTION("""COMPUTED_VALUE"""),"39031")</f>
        <v>39031</v>
      </c>
      <c r="B11797" s="226" t="str">
        <f>IFERROR(__xludf.DUMMYFUNCTION("""COMPUTED_VALUE"""),"8054521994920")</f>
        <v>8054521994920</v>
      </c>
      <c r="C11797" t="str">
        <f>IFERROR(__xludf.DUMMYFUNCTION("""COMPUTED_VALUE"""),"Umbra")</f>
        <v>Umbra</v>
      </c>
    </row>
    <row r="11798">
      <c r="A11798" t="str">
        <f>IFERROR(__xludf.DUMMYFUNCTION("""COMPUTED_VALUE"""),"39017")</f>
        <v>39017</v>
      </c>
      <c r="B11798" s="226" t="str">
        <f>IFERROR(__xludf.DUMMYFUNCTION("""COMPUTED_VALUE"""),"8054521994753")</f>
        <v>8054521994753</v>
      </c>
      <c r="C11798" t="str">
        <f>IFERROR(__xludf.DUMMYFUNCTION("""COMPUTED_VALUE"""),"Umbra")</f>
        <v>Umbra</v>
      </c>
    </row>
    <row r="11799">
      <c r="A11799" t="str">
        <f>IFERROR(__xludf.DUMMYFUNCTION("""COMPUTED_VALUE"""),"39028/C")</f>
        <v>39028/C</v>
      </c>
      <c r="B11799" s="226" t="str">
        <f>IFERROR(__xludf.DUMMYFUNCTION("""COMPUTED_VALUE"""),"8054521994869")</f>
        <v>8054521994869</v>
      </c>
      <c r="C11799" t="str">
        <f>IFERROR(__xludf.DUMMYFUNCTION("""COMPUTED_VALUE"""),"Umbra")</f>
        <v>Umbra</v>
      </c>
    </row>
    <row r="11800">
      <c r="A11800" t="str">
        <f>IFERROR(__xludf.DUMMYFUNCTION("""COMPUTED_VALUE"""),"39028/F")</f>
        <v>39028/F</v>
      </c>
      <c r="B11800" s="226" t="str">
        <f>IFERROR(__xludf.DUMMYFUNCTION("""COMPUTED_VALUE"""),"8058772225468")</f>
        <v>8058772225468</v>
      </c>
      <c r="C11800" t="str">
        <f>IFERROR(__xludf.DUMMYFUNCTION("""COMPUTED_VALUE"""),"Umbra")</f>
        <v>Umbra</v>
      </c>
    </row>
    <row r="11801">
      <c r="A11801" t="str">
        <f>IFERROR(__xludf.DUMMYFUNCTION("""COMPUTED_VALUE"""),"39018")</f>
        <v>39018</v>
      </c>
      <c r="B11801" s="226" t="str">
        <f>IFERROR(__xludf.DUMMYFUNCTION("""COMPUTED_VALUE"""),"8054521994760")</f>
        <v>8054521994760</v>
      </c>
      <c r="C11801" t="str">
        <f>IFERROR(__xludf.DUMMYFUNCTION("""COMPUTED_VALUE"""),"Umbra")</f>
        <v>Umbra</v>
      </c>
    </row>
    <row r="11802">
      <c r="A11802" t="str">
        <f>IFERROR(__xludf.DUMMYFUNCTION("""COMPUTED_VALUE"""),"39018/F")</f>
        <v>39018/F</v>
      </c>
      <c r="B11802" s="226" t="str">
        <f>IFERROR(__xludf.DUMMYFUNCTION("""COMPUTED_VALUE"""),"8058772225390")</f>
        <v>8058772225390</v>
      </c>
      <c r="C11802" t="str">
        <f>IFERROR(__xludf.DUMMYFUNCTION("""COMPUTED_VALUE"""),"Umbra")</f>
        <v>Umbra</v>
      </c>
    </row>
    <row r="11803">
      <c r="A11803" t="str">
        <f>IFERROR(__xludf.DUMMYFUNCTION("""COMPUTED_VALUE"""),"43059/C")</f>
        <v>43059/C</v>
      </c>
      <c r="B11803" s="226" t="str">
        <f>IFERROR(__xludf.DUMMYFUNCTION("""COMPUTED_VALUE"""),"8054521995392")</f>
        <v>8054521995392</v>
      </c>
      <c r="C11803" t="str">
        <f>IFERROR(__xludf.DUMMYFUNCTION("""COMPUTED_VALUE"""),"Umbra")</f>
        <v>Umbra</v>
      </c>
    </row>
    <row r="11804">
      <c r="A11804" t="str">
        <f>IFERROR(__xludf.DUMMYFUNCTION("""COMPUTED_VALUE"""),"43059/F")</f>
        <v>43059/F</v>
      </c>
      <c r="C11804" t="str">
        <f>IFERROR(__xludf.DUMMYFUNCTION("""COMPUTED_VALUE"""),"Umbra")</f>
        <v>Umbra</v>
      </c>
    </row>
    <row r="11805">
      <c r="A11805" t="str">
        <f>IFERROR(__xludf.DUMMYFUNCTION("""COMPUTED_VALUE"""),"43059/G")</f>
        <v>43059/G</v>
      </c>
      <c r="B11805" s="226" t="str">
        <f>IFERROR(__xludf.DUMMYFUNCTION("""COMPUTED_VALUE"""),"8054521995408")</f>
        <v>8054521995408</v>
      </c>
      <c r="C11805" t="str">
        <f>IFERROR(__xludf.DUMMYFUNCTION("""COMPUTED_VALUE"""),"Umbra")</f>
        <v>Umbra</v>
      </c>
    </row>
    <row r="11806">
      <c r="A11806" t="str">
        <f>IFERROR(__xludf.DUMMYFUNCTION("""COMPUTED_VALUE"""),"43059/SF")</f>
        <v>43059/SF</v>
      </c>
      <c r="B11806" s="226" t="str">
        <f>IFERROR(__xludf.DUMMYFUNCTION("""COMPUTED_VALUE"""),"8054521995415")</f>
        <v>8054521995415</v>
      </c>
      <c r="C11806" t="str">
        <f>IFERROR(__xludf.DUMMYFUNCTION("""COMPUTED_VALUE"""),"Umbra")</f>
        <v>Umbra</v>
      </c>
    </row>
    <row r="11807">
      <c r="A11807" t="str">
        <f>IFERROR(__xludf.DUMMYFUNCTION("""COMPUTED_VALUE"""),"43042")</f>
        <v>43042</v>
      </c>
      <c r="B11807" s="226" t="str">
        <f>IFERROR(__xludf.DUMMYFUNCTION("""COMPUTED_VALUE"""),"8054521995163")</f>
        <v>8054521995163</v>
      </c>
      <c r="C11807" t="str">
        <f>IFERROR(__xludf.DUMMYFUNCTION("""COMPUTED_VALUE"""),"Umbra")</f>
        <v>Umbra</v>
      </c>
    </row>
    <row r="11808">
      <c r="A11808" t="str">
        <f>IFERROR(__xludf.DUMMYFUNCTION("""COMPUTED_VALUE"""),"43042/F")</f>
        <v>43042/F</v>
      </c>
      <c r="B11808" s="226" t="str">
        <f>IFERROR(__xludf.DUMMYFUNCTION("""COMPUTED_VALUE"""),"8058772225611")</f>
        <v>8058772225611</v>
      </c>
      <c r="C11808" t="str">
        <f>IFERROR(__xludf.DUMMYFUNCTION("""COMPUTED_VALUE"""),"Umbra")</f>
        <v>Umbra</v>
      </c>
    </row>
    <row r="11809">
      <c r="A11809" t="str">
        <f>IFERROR(__xludf.DUMMYFUNCTION("""COMPUTED_VALUE"""),"43045")</f>
        <v>43045</v>
      </c>
      <c r="B11809" s="226" t="str">
        <f>IFERROR(__xludf.DUMMYFUNCTION("""COMPUTED_VALUE"""),"8054521995194")</f>
        <v>8054521995194</v>
      </c>
      <c r="C11809" t="str">
        <f>IFERROR(__xludf.DUMMYFUNCTION("""COMPUTED_VALUE"""),"Umbra")</f>
        <v>Umbra</v>
      </c>
    </row>
    <row r="11810">
      <c r="A11810" t="str">
        <f>IFERROR(__xludf.DUMMYFUNCTION("""COMPUTED_VALUE"""),"43050/C")</f>
        <v>43050/C</v>
      </c>
      <c r="B11810" s="226" t="str">
        <f>IFERROR(__xludf.DUMMYFUNCTION("""COMPUTED_VALUE"""),"8054521995262")</f>
        <v>8054521995262</v>
      </c>
      <c r="C11810" t="str">
        <f>IFERROR(__xludf.DUMMYFUNCTION("""COMPUTED_VALUE"""),"Umbra")</f>
        <v>Umbra</v>
      </c>
    </row>
    <row r="11811">
      <c r="A11811" t="str">
        <f>IFERROR(__xludf.DUMMYFUNCTION("""COMPUTED_VALUE"""),"43062/C")</f>
        <v>43062/C</v>
      </c>
      <c r="B11811" s="226" t="str">
        <f>IFERROR(__xludf.DUMMYFUNCTION("""COMPUTED_VALUE"""),"8054521995620")</f>
        <v>8054521995620</v>
      </c>
      <c r="C11811" t="str">
        <f>IFERROR(__xludf.DUMMYFUNCTION("""COMPUTED_VALUE"""),"Umbra")</f>
        <v>Umbra</v>
      </c>
    </row>
    <row r="11812">
      <c r="A11812" t="str">
        <f>IFERROR(__xludf.DUMMYFUNCTION("""COMPUTED_VALUE"""),"43050/F")</f>
        <v>43050/F</v>
      </c>
      <c r="B11812" s="226" t="str">
        <f>IFERROR(__xludf.DUMMYFUNCTION("""COMPUTED_VALUE"""),"8058772225635")</f>
        <v>8058772225635</v>
      </c>
      <c r="C11812" t="str">
        <f>IFERROR(__xludf.DUMMYFUNCTION("""COMPUTED_VALUE"""),"Umbra")</f>
        <v>Umbra</v>
      </c>
    </row>
    <row r="11813">
      <c r="A11813" t="str">
        <f>IFERROR(__xludf.DUMMYFUNCTION("""COMPUTED_VALUE"""),"43062/F")</f>
        <v>43062/F</v>
      </c>
      <c r="B11813" s="226" t="str">
        <f>IFERROR(__xludf.DUMMYFUNCTION("""COMPUTED_VALUE"""),"8054521995613")</f>
        <v>8054521995613</v>
      </c>
      <c r="C11813" t="str">
        <f>IFERROR(__xludf.DUMMYFUNCTION("""COMPUTED_VALUE"""),"Umbra")</f>
        <v>Umbra</v>
      </c>
    </row>
    <row r="11814">
      <c r="A11814" t="str">
        <f>IFERROR(__xludf.DUMMYFUNCTION("""COMPUTED_VALUE"""),"43062/VM")</f>
        <v>43062/VM</v>
      </c>
      <c r="B11814" s="226" t="str">
        <f>IFERROR(__xludf.DUMMYFUNCTION("""COMPUTED_VALUE"""),"8054521995637")</f>
        <v>8054521995637</v>
      </c>
      <c r="C11814" t="str">
        <f>IFERROR(__xludf.DUMMYFUNCTION("""COMPUTED_VALUE"""),"Umbra")</f>
        <v>Umbra</v>
      </c>
    </row>
    <row r="11815">
      <c r="A11815" t="str">
        <f>IFERROR(__xludf.DUMMYFUNCTION("""COMPUTED_VALUE"""),"43050/C")</f>
        <v>43050/C</v>
      </c>
      <c r="B11815" s="226" t="str">
        <f>IFERROR(__xludf.DUMMYFUNCTION("""COMPUTED_VALUE"""),"8054521995262")</f>
        <v>8054521995262</v>
      </c>
      <c r="C11815" t="str">
        <f>IFERROR(__xludf.DUMMYFUNCTION("""COMPUTED_VALUE"""),"Umbra")</f>
        <v>Umbra</v>
      </c>
    </row>
    <row r="11816">
      <c r="A11816" t="str">
        <f>IFERROR(__xludf.DUMMYFUNCTION("""COMPUTED_VALUE"""),"43050/F")</f>
        <v>43050/F</v>
      </c>
      <c r="B11816" s="226" t="str">
        <f>IFERROR(__xludf.DUMMYFUNCTION("""COMPUTED_VALUE"""),"8058772225635")</f>
        <v>8058772225635</v>
      </c>
      <c r="C11816" t="str">
        <f>IFERROR(__xludf.DUMMYFUNCTION("""COMPUTED_VALUE"""),"Umbra")</f>
        <v>Umbra</v>
      </c>
    </row>
    <row r="11817">
      <c r="A11817" t="str">
        <f>IFERROR(__xludf.DUMMYFUNCTION("""COMPUTED_VALUE"""),"43062/C")</f>
        <v>43062/C</v>
      </c>
      <c r="B11817" s="226" t="str">
        <f>IFERROR(__xludf.DUMMYFUNCTION("""COMPUTED_VALUE"""),"8054521995620")</f>
        <v>8054521995620</v>
      </c>
      <c r="C11817" t="str">
        <f>IFERROR(__xludf.DUMMYFUNCTION("""COMPUTED_VALUE"""),"Umbra")</f>
        <v>Umbra</v>
      </c>
    </row>
    <row r="11818">
      <c r="A11818" t="str">
        <f>IFERROR(__xludf.DUMMYFUNCTION("""COMPUTED_VALUE"""),"43062/F")</f>
        <v>43062/F</v>
      </c>
      <c r="B11818" s="226" t="str">
        <f>IFERROR(__xludf.DUMMYFUNCTION("""COMPUTED_VALUE"""),"8054521995613")</f>
        <v>8054521995613</v>
      </c>
      <c r="C11818" t="str">
        <f>IFERROR(__xludf.DUMMYFUNCTION("""COMPUTED_VALUE"""),"Umbra")</f>
        <v>Umbra</v>
      </c>
    </row>
    <row r="11819">
      <c r="A11819" t="str">
        <f>IFERROR(__xludf.DUMMYFUNCTION("""COMPUTED_VALUE"""),"43062/VM")</f>
        <v>43062/VM</v>
      </c>
      <c r="B11819" s="226" t="str">
        <f>IFERROR(__xludf.DUMMYFUNCTION("""COMPUTED_VALUE"""),"8054521995637")</f>
        <v>8054521995637</v>
      </c>
      <c r="C11819" t="str">
        <f>IFERROR(__xludf.DUMMYFUNCTION("""COMPUTED_VALUE"""),"Umbra")</f>
        <v>Umbra</v>
      </c>
    </row>
    <row r="11820">
      <c r="A11820" t="str">
        <f>IFERROR(__xludf.DUMMYFUNCTION("""COMPUTED_VALUE"""),"43062/C")</f>
        <v>43062/C</v>
      </c>
      <c r="B11820" s="226" t="str">
        <f>IFERROR(__xludf.DUMMYFUNCTION("""COMPUTED_VALUE"""),"8054521995620")</f>
        <v>8054521995620</v>
      </c>
      <c r="C11820" t="str">
        <f>IFERROR(__xludf.DUMMYFUNCTION("""COMPUTED_VALUE"""),"Umbra")</f>
        <v>Umbra</v>
      </c>
    </row>
    <row r="11821">
      <c r="A11821" t="str">
        <f>IFERROR(__xludf.DUMMYFUNCTION("""COMPUTED_VALUE"""),"43062/F")</f>
        <v>43062/F</v>
      </c>
      <c r="B11821" s="226" t="str">
        <f>IFERROR(__xludf.DUMMYFUNCTION("""COMPUTED_VALUE"""),"8054521995613")</f>
        <v>8054521995613</v>
      </c>
      <c r="C11821" t="str">
        <f>IFERROR(__xludf.DUMMYFUNCTION("""COMPUTED_VALUE"""),"Umbra")</f>
        <v>Umbra</v>
      </c>
    </row>
    <row r="11822">
      <c r="A11822" t="str">
        <f>IFERROR(__xludf.DUMMYFUNCTION("""COMPUTED_VALUE"""),"43062/VM")</f>
        <v>43062/VM</v>
      </c>
      <c r="B11822" s="226" t="str">
        <f>IFERROR(__xludf.DUMMYFUNCTION("""COMPUTED_VALUE"""),"8054521995637")</f>
        <v>8054521995637</v>
      </c>
      <c r="C11822" t="str">
        <f>IFERROR(__xludf.DUMMYFUNCTION("""COMPUTED_VALUE"""),"Umbra")</f>
        <v>Umbra</v>
      </c>
    </row>
    <row r="11823">
      <c r="A11823" t="str">
        <f>IFERROR(__xludf.DUMMYFUNCTION("""COMPUTED_VALUE"""),"43062/C")</f>
        <v>43062/C</v>
      </c>
      <c r="B11823" s="226" t="str">
        <f>IFERROR(__xludf.DUMMYFUNCTION("""COMPUTED_VALUE"""),"8054521995620")</f>
        <v>8054521995620</v>
      </c>
      <c r="C11823" t="str">
        <f>IFERROR(__xludf.DUMMYFUNCTION("""COMPUTED_VALUE"""),"Umbra")</f>
        <v>Umbra</v>
      </c>
    </row>
    <row r="11824">
      <c r="A11824" t="str">
        <f>IFERROR(__xludf.DUMMYFUNCTION("""COMPUTED_VALUE"""),"43062/F")</f>
        <v>43062/F</v>
      </c>
      <c r="B11824" s="226" t="str">
        <f>IFERROR(__xludf.DUMMYFUNCTION("""COMPUTED_VALUE"""),"8054521995613")</f>
        <v>8054521995613</v>
      </c>
      <c r="C11824" t="str">
        <f>IFERROR(__xludf.DUMMYFUNCTION("""COMPUTED_VALUE"""),"Umbra")</f>
        <v>Umbra</v>
      </c>
    </row>
    <row r="11825">
      <c r="A11825" t="str">
        <f>IFERROR(__xludf.DUMMYFUNCTION("""COMPUTED_VALUE"""),"43062/VM")</f>
        <v>43062/VM</v>
      </c>
      <c r="B11825" s="226" t="str">
        <f>IFERROR(__xludf.DUMMYFUNCTION("""COMPUTED_VALUE"""),"8054521995637")</f>
        <v>8054521995637</v>
      </c>
      <c r="C11825" t="str">
        <f>IFERROR(__xludf.DUMMYFUNCTION("""COMPUTED_VALUE"""),"Umbra")</f>
        <v>Umbra</v>
      </c>
    </row>
    <row r="11826">
      <c r="A11826" t="str">
        <f>IFERROR(__xludf.DUMMYFUNCTION("""COMPUTED_VALUE"""),"23043/G")</f>
        <v>23043/G</v>
      </c>
      <c r="B11826" s="226" t="str">
        <f>IFERROR(__xludf.DUMMYFUNCTION("""COMPUTED_VALUE"""),"8054521991523")</f>
        <v>8054521991523</v>
      </c>
      <c r="C11826" t="str">
        <f>IFERROR(__xludf.DUMMYFUNCTION("""COMPUTED_VALUE"""),"Umbra")</f>
        <v>Umbra</v>
      </c>
    </row>
    <row r="11827">
      <c r="A11827" t="str">
        <f>IFERROR(__xludf.DUMMYFUNCTION("""COMPUTED_VALUE"""),"23043/SF")</f>
        <v>23043/SF</v>
      </c>
      <c r="B11827" s="226" t="str">
        <f>IFERROR(__xludf.DUMMYFUNCTION("""COMPUTED_VALUE"""),"8054521991530")</f>
        <v>8054521991530</v>
      </c>
      <c r="C11827" t="str">
        <f>IFERROR(__xludf.DUMMYFUNCTION("""COMPUTED_VALUE"""),"Umbra")</f>
        <v>Umbra</v>
      </c>
    </row>
    <row r="11828">
      <c r="A11828" t="str">
        <f>IFERROR(__xludf.DUMMYFUNCTION("""COMPUTED_VALUE"""),"23043/SF")</f>
        <v>23043/SF</v>
      </c>
      <c r="B11828" s="226" t="str">
        <f>IFERROR(__xludf.DUMMYFUNCTION("""COMPUTED_VALUE"""),"8054521991530")</f>
        <v>8054521991530</v>
      </c>
      <c r="C11828" t="str">
        <f>IFERROR(__xludf.DUMMYFUNCTION("""COMPUTED_VALUE"""),"Umbra")</f>
        <v>Umbra</v>
      </c>
    </row>
    <row r="11829">
      <c r="A11829" t="str">
        <f>IFERROR(__xludf.DUMMYFUNCTION("""COMPUTED_VALUE"""),"43057/C")</f>
        <v>43057/C</v>
      </c>
      <c r="B11829" s="226" t="str">
        <f>IFERROR(__xludf.DUMMYFUNCTION("""COMPUTED_VALUE"""),"8054521995361")</f>
        <v>8054521995361</v>
      </c>
      <c r="C11829" t="str">
        <f>IFERROR(__xludf.DUMMYFUNCTION("""COMPUTED_VALUE"""),"Umbra")</f>
        <v>Umbra</v>
      </c>
    </row>
    <row r="11830">
      <c r="A11830" t="str">
        <f>IFERROR(__xludf.DUMMYFUNCTION("""COMPUTED_VALUE"""),"43042")</f>
        <v>43042</v>
      </c>
      <c r="B11830" s="226" t="str">
        <f>IFERROR(__xludf.DUMMYFUNCTION("""COMPUTED_VALUE"""),"8054521995163")</f>
        <v>8054521995163</v>
      </c>
      <c r="C11830" t="str">
        <f>IFERROR(__xludf.DUMMYFUNCTION("""COMPUTED_VALUE"""),"Umbra")</f>
        <v>Umbra</v>
      </c>
    </row>
    <row r="11831">
      <c r="A11831" t="str">
        <f>IFERROR(__xludf.DUMMYFUNCTION("""COMPUTED_VALUE"""),"43042/F")</f>
        <v>43042/F</v>
      </c>
      <c r="B11831" s="226" t="str">
        <f>IFERROR(__xludf.DUMMYFUNCTION("""COMPUTED_VALUE"""),"8058772225611")</f>
        <v>8058772225611</v>
      </c>
      <c r="C11831" t="str">
        <f>IFERROR(__xludf.DUMMYFUNCTION("""COMPUTED_VALUE"""),"Umbra")</f>
        <v>Umbra</v>
      </c>
    </row>
    <row r="11832">
      <c r="A11832" t="str">
        <f>IFERROR(__xludf.DUMMYFUNCTION("""COMPUTED_VALUE"""),"43045")</f>
        <v>43045</v>
      </c>
      <c r="B11832" s="226" t="str">
        <f>IFERROR(__xludf.DUMMYFUNCTION("""COMPUTED_VALUE"""),"8054521995194")</f>
        <v>8054521995194</v>
      </c>
      <c r="C11832" t="str">
        <f>IFERROR(__xludf.DUMMYFUNCTION("""COMPUTED_VALUE"""),"Umbra")</f>
        <v>Umbra</v>
      </c>
    </row>
    <row r="11833">
      <c r="A11833" t="str">
        <f>IFERROR(__xludf.DUMMYFUNCTION("""COMPUTED_VALUE"""),"02031/C")</f>
        <v>02031/C</v>
      </c>
      <c r="B11833" s="226" t="str">
        <f>IFERROR(__xludf.DUMMYFUNCTION("""COMPUTED_VALUE"""),"8058772221514")</f>
        <v>8058772221514</v>
      </c>
      <c r="C11833" t="str">
        <f>IFERROR(__xludf.DUMMYFUNCTION("""COMPUTED_VALUE"""),"Umbra")</f>
        <v>Umbra</v>
      </c>
    </row>
    <row r="11834">
      <c r="A11834" t="str">
        <f>IFERROR(__xludf.DUMMYFUNCTION("""COMPUTED_VALUE"""),"02031/F")</f>
        <v>02031/F</v>
      </c>
      <c r="B11834" s="226" t="str">
        <f>IFERROR(__xludf.DUMMYFUNCTION("""COMPUTED_VALUE"""),"8058772221507")</f>
        <v>8058772221507</v>
      </c>
      <c r="C11834" t="str">
        <f>IFERROR(__xludf.DUMMYFUNCTION("""COMPUTED_VALUE"""),"Umbra")</f>
        <v>Umbra</v>
      </c>
    </row>
    <row r="11835">
      <c r="A11835" t="str">
        <f>IFERROR(__xludf.DUMMYFUNCTION("""COMPUTED_VALUE"""),"02031/VM")</f>
        <v>02031/VM</v>
      </c>
      <c r="B11835" s="226" t="str">
        <f>IFERROR(__xludf.DUMMYFUNCTION("""COMPUTED_VALUE"""),"8058772221521")</f>
        <v>8058772221521</v>
      </c>
      <c r="C11835" t="str">
        <f>IFERROR(__xludf.DUMMYFUNCTION("""COMPUTED_VALUE"""),"Umbra")</f>
        <v>Umbra</v>
      </c>
    </row>
    <row r="11836">
      <c r="A11836" t="str">
        <f>IFERROR(__xludf.DUMMYFUNCTION("""COMPUTED_VALUE"""),"02031/C")</f>
        <v>02031/C</v>
      </c>
      <c r="B11836" s="226" t="str">
        <f>IFERROR(__xludf.DUMMYFUNCTION("""COMPUTED_VALUE"""),"8058772221514")</f>
        <v>8058772221514</v>
      </c>
      <c r="C11836" t="str">
        <f>IFERROR(__xludf.DUMMYFUNCTION("""COMPUTED_VALUE"""),"Umbra")</f>
        <v>Umbra</v>
      </c>
    </row>
    <row r="11837">
      <c r="A11837" t="str">
        <f>IFERROR(__xludf.DUMMYFUNCTION("""COMPUTED_VALUE"""),"02031/F")</f>
        <v>02031/F</v>
      </c>
      <c r="B11837" s="226" t="str">
        <f>IFERROR(__xludf.DUMMYFUNCTION("""COMPUTED_VALUE"""),"8058772221507")</f>
        <v>8058772221507</v>
      </c>
      <c r="C11837" t="str">
        <f>IFERROR(__xludf.DUMMYFUNCTION("""COMPUTED_VALUE"""),"Umbra")</f>
        <v>Umbra</v>
      </c>
    </row>
    <row r="11838">
      <c r="A11838" t="str">
        <f>IFERROR(__xludf.DUMMYFUNCTION("""COMPUTED_VALUE"""),"02031/VM")</f>
        <v>02031/VM</v>
      </c>
      <c r="B11838" s="226" t="str">
        <f>IFERROR(__xludf.DUMMYFUNCTION("""COMPUTED_VALUE"""),"8058772221521")</f>
        <v>8058772221521</v>
      </c>
      <c r="C11838" t="str">
        <f>IFERROR(__xludf.DUMMYFUNCTION("""COMPUTED_VALUE"""),"Umbra")</f>
        <v>Umbra</v>
      </c>
    </row>
    <row r="11839">
      <c r="A11839" t="str">
        <f>IFERROR(__xludf.DUMMYFUNCTION("""COMPUTED_VALUE"""),"02031/C")</f>
        <v>02031/C</v>
      </c>
      <c r="B11839" s="226" t="str">
        <f>IFERROR(__xludf.DUMMYFUNCTION("""COMPUTED_VALUE"""),"8058772221514")</f>
        <v>8058772221514</v>
      </c>
      <c r="C11839" t="str">
        <f>IFERROR(__xludf.DUMMYFUNCTION("""COMPUTED_VALUE"""),"Umbra")</f>
        <v>Umbra</v>
      </c>
    </row>
    <row r="11840">
      <c r="A11840" t="str">
        <f>IFERROR(__xludf.DUMMYFUNCTION("""COMPUTED_VALUE"""),"02031/F")</f>
        <v>02031/F</v>
      </c>
      <c r="B11840" s="226" t="str">
        <f>IFERROR(__xludf.DUMMYFUNCTION("""COMPUTED_VALUE"""),"8058772221507")</f>
        <v>8058772221507</v>
      </c>
      <c r="C11840" t="str">
        <f>IFERROR(__xludf.DUMMYFUNCTION("""COMPUTED_VALUE"""),"Umbra")</f>
        <v>Umbra</v>
      </c>
    </row>
    <row r="11841">
      <c r="A11841" t="str">
        <f>IFERROR(__xludf.DUMMYFUNCTION("""COMPUTED_VALUE"""),"02031/VM")</f>
        <v>02031/VM</v>
      </c>
      <c r="B11841" s="226" t="str">
        <f>IFERROR(__xludf.DUMMYFUNCTION("""COMPUTED_VALUE"""),"8058772221521")</f>
        <v>8058772221521</v>
      </c>
      <c r="C11841" t="str">
        <f>IFERROR(__xludf.DUMMYFUNCTION("""COMPUTED_VALUE"""),"Umbra")</f>
        <v>Umbra</v>
      </c>
    </row>
    <row r="11842">
      <c r="A11842" t="str">
        <f>IFERROR(__xludf.DUMMYFUNCTION("""COMPUTED_VALUE"""),"43055/C")</f>
        <v>43055/C</v>
      </c>
      <c r="B11842" s="226" t="str">
        <f>IFERROR(__xludf.DUMMYFUNCTION("""COMPUTED_VALUE"""),"8054521995309")</f>
        <v>8054521995309</v>
      </c>
      <c r="C11842" t="str">
        <f>IFERROR(__xludf.DUMMYFUNCTION("""COMPUTED_VALUE"""),"Umbra")</f>
        <v>Umbra</v>
      </c>
    </row>
    <row r="11843">
      <c r="A11843" t="str">
        <f>IFERROR(__xludf.DUMMYFUNCTION("""COMPUTED_VALUE"""),"43055/F")</f>
        <v>43055/F</v>
      </c>
      <c r="B11843" s="226" t="str">
        <f>IFERROR(__xludf.DUMMYFUNCTION("""COMPUTED_VALUE"""),"8058772225666")</f>
        <v>8058772225666</v>
      </c>
      <c r="C11843" t="str">
        <f>IFERROR(__xludf.DUMMYFUNCTION("""COMPUTED_VALUE"""),"Umbra")</f>
        <v>Umbra</v>
      </c>
    </row>
    <row r="11844">
      <c r="A11844" t="str">
        <f>IFERROR(__xludf.DUMMYFUNCTION("""COMPUTED_VALUE"""),"43055/VM")</f>
        <v>43055/VM</v>
      </c>
      <c r="B11844" s="226" t="str">
        <f>IFERROR(__xludf.DUMMYFUNCTION("""COMPUTED_VALUE"""),"8054521995316")</f>
        <v>8054521995316</v>
      </c>
      <c r="C11844" t="str">
        <f>IFERROR(__xludf.DUMMYFUNCTION("""COMPUTED_VALUE"""),"Umbra")</f>
        <v>Umbra</v>
      </c>
    </row>
    <row r="11845">
      <c r="A11845" t="str">
        <f>IFERROR(__xludf.DUMMYFUNCTION("""COMPUTED_VALUE"""),"02031/C")</f>
        <v>02031/C</v>
      </c>
      <c r="B11845" s="226" t="str">
        <f>IFERROR(__xludf.DUMMYFUNCTION("""COMPUTED_VALUE"""),"8058772221514")</f>
        <v>8058772221514</v>
      </c>
      <c r="C11845" t="str">
        <f>IFERROR(__xludf.DUMMYFUNCTION("""COMPUTED_VALUE"""),"Umbra")</f>
        <v>Umbra</v>
      </c>
    </row>
    <row r="11846">
      <c r="A11846" t="str">
        <f>IFERROR(__xludf.DUMMYFUNCTION("""COMPUTED_VALUE"""),"02031/F")</f>
        <v>02031/F</v>
      </c>
      <c r="B11846" s="226" t="str">
        <f>IFERROR(__xludf.DUMMYFUNCTION("""COMPUTED_VALUE"""),"8058772221507")</f>
        <v>8058772221507</v>
      </c>
      <c r="C11846" t="str">
        <f>IFERROR(__xludf.DUMMYFUNCTION("""COMPUTED_VALUE"""),"Umbra")</f>
        <v>Umbra</v>
      </c>
    </row>
    <row r="11847">
      <c r="A11847" t="str">
        <f>IFERROR(__xludf.DUMMYFUNCTION("""COMPUTED_VALUE"""),"02031/VM")</f>
        <v>02031/VM</v>
      </c>
      <c r="B11847" s="226" t="str">
        <f>IFERROR(__xludf.DUMMYFUNCTION("""COMPUTED_VALUE"""),"8058772221521")</f>
        <v>8058772221521</v>
      </c>
      <c r="C11847" t="str">
        <f>IFERROR(__xludf.DUMMYFUNCTION("""COMPUTED_VALUE"""),"Umbra")</f>
        <v>Umbra</v>
      </c>
    </row>
    <row r="11848">
      <c r="A11848" t="str">
        <f>IFERROR(__xludf.DUMMYFUNCTION("""COMPUTED_VALUE"""),"02031/C")</f>
        <v>02031/C</v>
      </c>
      <c r="B11848" s="226" t="str">
        <f>IFERROR(__xludf.DUMMYFUNCTION("""COMPUTED_VALUE"""),"8058772221514")</f>
        <v>8058772221514</v>
      </c>
      <c r="C11848" t="str">
        <f>IFERROR(__xludf.DUMMYFUNCTION("""COMPUTED_VALUE"""),"Umbra")</f>
        <v>Umbra</v>
      </c>
    </row>
    <row r="11849">
      <c r="A11849" t="str">
        <f>IFERROR(__xludf.DUMMYFUNCTION("""COMPUTED_VALUE"""),"02031/F")</f>
        <v>02031/F</v>
      </c>
      <c r="B11849" s="226" t="str">
        <f>IFERROR(__xludf.DUMMYFUNCTION("""COMPUTED_VALUE"""),"8058772221507")</f>
        <v>8058772221507</v>
      </c>
      <c r="C11849" t="str">
        <f>IFERROR(__xludf.DUMMYFUNCTION("""COMPUTED_VALUE"""),"Umbra")</f>
        <v>Umbra</v>
      </c>
    </row>
    <row r="11850">
      <c r="A11850" t="str">
        <f>IFERROR(__xludf.DUMMYFUNCTION("""COMPUTED_VALUE"""),"02031/VM")</f>
        <v>02031/VM</v>
      </c>
      <c r="B11850" s="226" t="str">
        <f>IFERROR(__xludf.DUMMYFUNCTION("""COMPUTED_VALUE"""),"8058772221521")</f>
        <v>8058772221521</v>
      </c>
      <c r="C11850" t="str">
        <f>IFERROR(__xludf.DUMMYFUNCTION("""COMPUTED_VALUE"""),"Umbra")</f>
        <v>Umbra</v>
      </c>
    </row>
    <row r="11851">
      <c r="A11851" t="str">
        <f>IFERROR(__xludf.DUMMYFUNCTION("""COMPUTED_VALUE"""),"43060/C")</f>
        <v>43060/C</v>
      </c>
      <c r="B11851" s="226" t="str">
        <f>IFERROR(__xludf.DUMMYFUNCTION("""COMPUTED_VALUE"""),"8058772225765")</f>
        <v>8058772225765</v>
      </c>
      <c r="C11851" t="str">
        <f>IFERROR(__xludf.DUMMYFUNCTION("""COMPUTED_VALUE"""),"Umbra")</f>
        <v>Umbra</v>
      </c>
    </row>
    <row r="11852">
      <c r="A11852" t="str">
        <f>IFERROR(__xludf.DUMMYFUNCTION("""COMPUTED_VALUE"""),"43060/F")</f>
        <v>43060/F</v>
      </c>
      <c r="B11852" s="226" t="str">
        <f>IFERROR(__xludf.DUMMYFUNCTION("""COMPUTED_VALUE"""),"8058772225758")</f>
        <v>8058772225758</v>
      </c>
      <c r="C11852" t="str">
        <f>IFERROR(__xludf.DUMMYFUNCTION("""COMPUTED_VALUE"""),"Umbra")</f>
        <v>Umbra</v>
      </c>
    </row>
    <row r="11853">
      <c r="A11853" t="str">
        <f>IFERROR(__xludf.DUMMYFUNCTION("""COMPUTED_VALUE"""),"43060/VM")</f>
        <v>43060/VM</v>
      </c>
      <c r="B11853" s="226" t="str">
        <f>IFERROR(__xludf.DUMMYFUNCTION("""COMPUTED_VALUE"""),"8058772225772")</f>
        <v>8058772225772</v>
      </c>
      <c r="C11853" t="str">
        <f>IFERROR(__xludf.DUMMYFUNCTION("""COMPUTED_VALUE"""),"Umbra")</f>
        <v>Umbra</v>
      </c>
    </row>
    <row r="11854">
      <c r="A11854" t="str">
        <f>IFERROR(__xludf.DUMMYFUNCTION("""COMPUTED_VALUE"""),"43055/C")</f>
        <v>43055/C</v>
      </c>
      <c r="B11854" s="226" t="str">
        <f>IFERROR(__xludf.DUMMYFUNCTION("""COMPUTED_VALUE"""),"8054521995309")</f>
        <v>8054521995309</v>
      </c>
      <c r="C11854" t="str">
        <f>IFERROR(__xludf.DUMMYFUNCTION("""COMPUTED_VALUE"""),"Umbra")</f>
        <v>Umbra</v>
      </c>
    </row>
    <row r="11855">
      <c r="A11855" t="str">
        <f>IFERROR(__xludf.DUMMYFUNCTION("""COMPUTED_VALUE"""),"43055/F")</f>
        <v>43055/F</v>
      </c>
      <c r="B11855" s="226" t="str">
        <f>IFERROR(__xludf.DUMMYFUNCTION("""COMPUTED_VALUE"""),"8058772225666")</f>
        <v>8058772225666</v>
      </c>
      <c r="C11855" t="str">
        <f>IFERROR(__xludf.DUMMYFUNCTION("""COMPUTED_VALUE"""),"Umbra")</f>
        <v>Umbra</v>
      </c>
    </row>
    <row r="11856">
      <c r="A11856" t="str">
        <f>IFERROR(__xludf.DUMMYFUNCTION("""COMPUTED_VALUE"""),"43055/VM")</f>
        <v>43055/VM</v>
      </c>
      <c r="B11856" s="226" t="str">
        <f>IFERROR(__xludf.DUMMYFUNCTION("""COMPUTED_VALUE"""),"8054521995316")</f>
        <v>8054521995316</v>
      </c>
      <c r="C11856" t="str">
        <f>IFERROR(__xludf.DUMMYFUNCTION("""COMPUTED_VALUE"""),"Umbra")</f>
        <v>Umbra</v>
      </c>
    </row>
    <row r="11857">
      <c r="A11857" t="str">
        <f>IFERROR(__xludf.DUMMYFUNCTION("""COMPUTED_VALUE"""),"43044")</f>
        <v>43044</v>
      </c>
      <c r="B11857" s="226" t="str">
        <f>IFERROR(__xludf.DUMMYFUNCTION("""COMPUTED_VALUE"""),"8054521994111")</f>
        <v>8054521994111</v>
      </c>
      <c r="C11857" t="str">
        <f>IFERROR(__xludf.DUMMYFUNCTION("""COMPUTED_VALUE"""),"Umbra")</f>
        <v>Umbra</v>
      </c>
    </row>
    <row r="11858">
      <c r="A11858" t="str">
        <f>IFERROR(__xludf.DUMMYFUNCTION("""COMPUTED_VALUE"""),"43041")</f>
        <v>43041</v>
      </c>
      <c r="B11858" s="226" t="str">
        <f>IFERROR(__xludf.DUMMYFUNCTION("""COMPUTED_VALUE"""),"8054521995156")</f>
        <v>8054521995156</v>
      </c>
      <c r="C11858" t="str">
        <f>IFERROR(__xludf.DUMMYFUNCTION("""COMPUTED_VALUE"""),"Umbra")</f>
        <v>Umbra</v>
      </c>
    </row>
    <row r="11859">
      <c r="A11859" t="str">
        <f>IFERROR(__xludf.DUMMYFUNCTION("""COMPUTED_VALUE"""),"43041/F")</f>
        <v>43041/F</v>
      </c>
      <c r="B11859" s="226" t="str">
        <f>IFERROR(__xludf.DUMMYFUNCTION("""COMPUTED_VALUE"""),"8058772225604")</f>
        <v>8058772225604</v>
      </c>
      <c r="C11859" t="str">
        <f>IFERROR(__xludf.DUMMYFUNCTION("""COMPUTED_VALUE"""),"Umbra")</f>
        <v>Umbra</v>
      </c>
    </row>
    <row r="11860">
      <c r="A11860" t="str">
        <f>IFERROR(__xludf.DUMMYFUNCTION("""COMPUTED_VALUE"""),"43052/C")</f>
        <v>43052/C</v>
      </c>
      <c r="B11860" s="226" t="str">
        <f>IFERROR(__xludf.DUMMYFUNCTION("""COMPUTED_VALUE"""),"8054521995279")</f>
        <v>8054521995279</v>
      </c>
      <c r="C11860" t="str">
        <f>IFERROR(__xludf.DUMMYFUNCTION("""COMPUTED_VALUE"""),"Umbra")</f>
        <v>Umbra</v>
      </c>
    </row>
    <row r="11861">
      <c r="A11861" t="str">
        <f>IFERROR(__xludf.DUMMYFUNCTION("""COMPUTED_VALUE"""),"43052/F")</f>
        <v>43052/F</v>
      </c>
      <c r="B11861" s="226" t="str">
        <f>IFERROR(__xludf.DUMMYFUNCTION("""COMPUTED_VALUE"""),"8058772225642")</f>
        <v>8058772225642</v>
      </c>
      <c r="C11861" t="str">
        <f>IFERROR(__xludf.DUMMYFUNCTION("""COMPUTED_VALUE"""),"Umbra")</f>
        <v>Umbra</v>
      </c>
    </row>
    <row r="11862">
      <c r="A11862" t="str">
        <f>IFERROR(__xludf.DUMMYFUNCTION("""COMPUTED_VALUE"""),"43052/VM")</f>
        <v>43052/VM</v>
      </c>
      <c r="B11862" s="226" t="str">
        <f>IFERROR(__xludf.DUMMYFUNCTION("""COMPUTED_VALUE"""),"8054521995286")</f>
        <v>8054521995286</v>
      </c>
      <c r="C11862" t="str">
        <f>IFERROR(__xludf.DUMMYFUNCTION("""COMPUTED_VALUE"""),"Umbra")</f>
        <v>Umbra</v>
      </c>
    </row>
    <row r="11863">
      <c r="A11863" t="str">
        <f>IFERROR(__xludf.DUMMYFUNCTION("""COMPUTED_VALUE"""),"43063/C")</f>
        <v>43063/C</v>
      </c>
      <c r="B11863" s="226" t="str">
        <f>IFERROR(__xludf.DUMMYFUNCTION("""COMPUTED_VALUE"""),"8058772225826")</f>
        <v>8058772225826</v>
      </c>
      <c r="C11863" t="str">
        <f>IFERROR(__xludf.DUMMYFUNCTION("""COMPUTED_VALUE"""),"Umbra")</f>
        <v>Umbra</v>
      </c>
    </row>
    <row r="11864">
      <c r="A11864" t="str">
        <f>IFERROR(__xludf.DUMMYFUNCTION("""COMPUTED_VALUE"""),"43063/F")</f>
        <v>43063/F</v>
      </c>
      <c r="B11864" s="226" t="str">
        <f>IFERROR(__xludf.DUMMYFUNCTION("""COMPUTED_VALUE"""),"8058772225819")</f>
        <v>8058772225819</v>
      </c>
      <c r="C11864" t="str">
        <f>IFERROR(__xludf.DUMMYFUNCTION("""COMPUTED_VALUE"""),"Umbra")</f>
        <v>Umbra</v>
      </c>
    </row>
    <row r="11865">
      <c r="A11865" t="str">
        <f>IFERROR(__xludf.DUMMYFUNCTION("""COMPUTED_VALUE"""),"43063/VM")</f>
        <v>43063/VM</v>
      </c>
      <c r="B11865" s="226" t="str">
        <f>IFERROR(__xludf.DUMMYFUNCTION("""COMPUTED_VALUE"""),"8058772225833")</f>
        <v>8058772225833</v>
      </c>
      <c r="C11865" t="str">
        <f>IFERROR(__xludf.DUMMYFUNCTION("""COMPUTED_VALUE"""),"Umbra")</f>
        <v>Umbra</v>
      </c>
    </row>
    <row r="11866">
      <c r="A11866" t="str">
        <f>IFERROR(__xludf.DUMMYFUNCTION("""COMPUTED_VALUE"""),"43047/F")</f>
        <v>43047/F</v>
      </c>
      <c r="B11866" s="226" t="str">
        <f>IFERROR(__xludf.DUMMYFUNCTION("""COMPUTED_VALUE"""),"8058772225628")</f>
        <v>8058772225628</v>
      </c>
      <c r="C11866" t="str">
        <f>IFERROR(__xludf.DUMMYFUNCTION("""COMPUTED_VALUE"""),"Umbra")</f>
        <v>Umbra</v>
      </c>
    </row>
    <row r="11867">
      <c r="A11867" t="str">
        <f>IFERROR(__xludf.DUMMYFUNCTION("""COMPUTED_VALUE"""),"43047/C")</f>
        <v>43047/C</v>
      </c>
      <c r="B11867" s="226" t="str">
        <f>IFERROR(__xludf.DUMMYFUNCTION("""COMPUTED_VALUE"""),"8054521995217")</f>
        <v>8054521995217</v>
      </c>
      <c r="C11867" t="str">
        <f>IFERROR(__xludf.DUMMYFUNCTION("""COMPUTED_VALUE"""),"Umbra")</f>
        <v>Umbra</v>
      </c>
    </row>
    <row r="11868">
      <c r="A11868" t="str">
        <f>IFERROR(__xludf.DUMMYFUNCTION("""COMPUTED_VALUE"""),"43063/C")</f>
        <v>43063/C</v>
      </c>
      <c r="B11868" s="226" t="str">
        <f>IFERROR(__xludf.DUMMYFUNCTION("""COMPUTED_VALUE"""),"8058772225826")</f>
        <v>8058772225826</v>
      </c>
      <c r="C11868" t="str">
        <f>IFERROR(__xludf.DUMMYFUNCTION("""COMPUTED_VALUE"""),"Umbra")</f>
        <v>Umbra</v>
      </c>
    </row>
    <row r="11869">
      <c r="A11869" t="str">
        <f>IFERROR(__xludf.DUMMYFUNCTION("""COMPUTED_VALUE"""),"43063/F")</f>
        <v>43063/F</v>
      </c>
      <c r="B11869" s="226" t="str">
        <f>IFERROR(__xludf.DUMMYFUNCTION("""COMPUTED_VALUE"""),"8058772225819")</f>
        <v>8058772225819</v>
      </c>
      <c r="C11869" t="str">
        <f>IFERROR(__xludf.DUMMYFUNCTION("""COMPUTED_VALUE"""),"Umbra")</f>
        <v>Umbra</v>
      </c>
    </row>
    <row r="11870">
      <c r="A11870" t="str">
        <f>IFERROR(__xludf.DUMMYFUNCTION("""COMPUTED_VALUE"""),"43063/VM")</f>
        <v>43063/VM</v>
      </c>
      <c r="B11870" s="226" t="str">
        <f>IFERROR(__xludf.DUMMYFUNCTION("""COMPUTED_VALUE"""),"8058772225833")</f>
        <v>8058772225833</v>
      </c>
      <c r="C11870" t="str">
        <f>IFERROR(__xludf.DUMMYFUNCTION("""COMPUTED_VALUE"""),"Umbra")</f>
        <v>Umbra</v>
      </c>
    </row>
    <row r="11871">
      <c r="A11871" t="str">
        <f>IFERROR(__xludf.DUMMYFUNCTION("""COMPUTED_VALUE"""),"43063/C")</f>
        <v>43063/C</v>
      </c>
      <c r="B11871" s="226" t="str">
        <f>IFERROR(__xludf.DUMMYFUNCTION("""COMPUTED_VALUE"""),"8058772225826")</f>
        <v>8058772225826</v>
      </c>
      <c r="C11871" t="str">
        <f>IFERROR(__xludf.DUMMYFUNCTION("""COMPUTED_VALUE"""),"Umbra")</f>
        <v>Umbra</v>
      </c>
    </row>
    <row r="11872">
      <c r="A11872" t="str">
        <f>IFERROR(__xludf.DUMMYFUNCTION("""COMPUTED_VALUE"""),"43063/F")</f>
        <v>43063/F</v>
      </c>
      <c r="B11872" s="226" t="str">
        <f>IFERROR(__xludf.DUMMYFUNCTION("""COMPUTED_VALUE"""),"8058772225819")</f>
        <v>8058772225819</v>
      </c>
      <c r="C11872" t="str">
        <f>IFERROR(__xludf.DUMMYFUNCTION("""COMPUTED_VALUE"""),"Umbra")</f>
        <v>Umbra</v>
      </c>
    </row>
    <row r="11873">
      <c r="A11873" t="str">
        <f>IFERROR(__xludf.DUMMYFUNCTION("""COMPUTED_VALUE"""),"43063/VM")</f>
        <v>43063/VM</v>
      </c>
      <c r="B11873" s="226" t="str">
        <f>IFERROR(__xludf.DUMMYFUNCTION("""COMPUTED_VALUE"""),"8058772225833")</f>
        <v>8058772225833</v>
      </c>
      <c r="C11873" t="str">
        <f>IFERROR(__xludf.DUMMYFUNCTION("""COMPUTED_VALUE"""),"Umbra")</f>
        <v>Umbra</v>
      </c>
    </row>
    <row r="11874">
      <c r="A11874" t="str">
        <f>IFERROR(__xludf.DUMMYFUNCTION("""COMPUTED_VALUE"""),"43041")</f>
        <v>43041</v>
      </c>
      <c r="B11874" s="226" t="str">
        <f>IFERROR(__xludf.DUMMYFUNCTION("""COMPUTED_VALUE"""),"8054521995156")</f>
        <v>8054521995156</v>
      </c>
      <c r="C11874" t="str">
        <f>IFERROR(__xludf.DUMMYFUNCTION("""COMPUTED_VALUE"""),"Umbra")</f>
        <v>Umbra</v>
      </c>
    </row>
    <row r="11875">
      <c r="A11875" t="str">
        <f>IFERROR(__xludf.DUMMYFUNCTION("""COMPUTED_VALUE"""),"43041/F")</f>
        <v>43041/F</v>
      </c>
      <c r="B11875" s="226" t="str">
        <f>IFERROR(__xludf.DUMMYFUNCTION("""COMPUTED_VALUE"""),"8058772225604")</f>
        <v>8058772225604</v>
      </c>
      <c r="C11875" t="str">
        <f>IFERROR(__xludf.DUMMYFUNCTION("""COMPUTED_VALUE"""),"Umbra")</f>
        <v>Umbra</v>
      </c>
    </row>
    <row r="11876">
      <c r="A11876" t="str">
        <f>IFERROR(__xludf.DUMMYFUNCTION("""COMPUTED_VALUE"""),"43052/C")</f>
        <v>43052/C</v>
      </c>
      <c r="B11876" s="226" t="str">
        <f>IFERROR(__xludf.DUMMYFUNCTION("""COMPUTED_VALUE"""),"8054521995279")</f>
        <v>8054521995279</v>
      </c>
      <c r="C11876" t="str">
        <f>IFERROR(__xludf.DUMMYFUNCTION("""COMPUTED_VALUE"""),"Umbra")</f>
        <v>Umbra</v>
      </c>
    </row>
    <row r="11877">
      <c r="A11877" t="str">
        <f>IFERROR(__xludf.DUMMYFUNCTION("""COMPUTED_VALUE"""),"43052/F")</f>
        <v>43052/F</v>
      </c>
      <c r="B11877" s="226" t="str">
        <f>IFERROR(__xludf.DUMMYFUNCTION("""COMPUTED_VALUE"""),"8058772225642")</f>
        <v>8058772225642</v>
      </c>
      <c r="C11877" t="str">
        <f>IFERROR(__xludf.DUMMYFUNCTION("""COMPUTED_VALUE"""),"Umbra")</f>
        <v>Umbra</v>
      </c>
    </row>
    <row r="11878">
      <c r="A11878" t="str">
        <f>IFERROR(__xludf.DUMMYFUNCTION("""COMPUTED_VALUE"""),"43052/VM")</f>
        <v>43052/VM</v>
      </c>
      <c r="B11878" s="226" t="str">
        <f>IFERROR(__xludf.DUMMYFUNCTION("""COMPUTED_VALUE"""),"8054521995286")</f>
        <v>8054521995286</v>
      </c>
      <c r="C11878" t="str">
        <f>IFERROR(__xludf.DUMMYFUNCTION("""COMPUTED_VALUE"""),"Umbra")</f>
        <v>Umbra</v>
      </c>
    </row>
    <row r="11879">
      <c r="A11879" t="str">
        <f>IFERROR(__xludf.DUMMYFUNCTION("""COMPUTED_VALUE"""),"43063/C")</f>
        <v>43063/C</v>
      </c>
      <c r="B11879" s="226" t="str">
        <f>IFERROR(__xludf.DUMMYFUNCTION("""COMPUTED_VALUE"""),"8058772225826")</f>
        <v>8058772225826</v>
      </c>
      <c r="C11879" t="str">
        <f>IFERROR(__xludf.DUMMYFUNCTION("""COMPUTED_VALUE"""),"Umbra")</f>
        <v>Umbra</v>
      </c>
    </row>
    <row r="11880">
      <c r="A11880" t="str">
        <f>IFERROR(__xludf.DUMMYFUNCTION("""COMPUTED_VALUE"""),"43063/F")</f>
        <v>43063/F</v>
      </c>
      <c r="B11880" s="226" t="str">
        <f>IFERROR(__xludf.DUMMYFUNCTION("""COMPUTED_VALUE"""),"8058772225819")</f>
        <v>8058772225819</v>
      </c>
      <c r="C11880" t="str">
        <f>IFERROR(__xludf.DUMMYFUNCTION("""COMPUTED_VALUE"""),"Umbra")</f>
        <v>Umbra</v>
      </c>
    </row>
    <row r="11881">
      <c r="A11881" t="str">
        <f>IFERROR(__xludf.DUMMYFUNCTION("""COMPUTED_VALUE"""),"43063/VM")</f>
        <v>43063/VM</v>
      </c>
      <c r="B11881" s="226" t="str">
        <f>IFERROR(__xludf.DUMMYFUNCTION("""COMPUTED_VALUE"""),"8058772225833")</f>
        <v>8058772225833</v>
      </c>
      <c r="C11881" t="str">
        <f>IFERROR(__xludf.DUMMYFUNCTION("""COMPUTED_VALUE"""),"Umbra")</f>
        <v>Umbra</v>
      </c>
    </row>
    <row r="11882">
      <c r="A11882" t="str">
        <f>IFERROR(__xludf.DUMMYFUNCTION("""COMPUTED_VALUE"""),"43063/C")</f>
        <v>43063/C</v>
      </c>
      <c r="B11882" s="226" t="str">
        <f>IFERROR(__xludf.DUMMYFUNCTION("""COMPUTED_VALUE"""),"8058772225826")</f>
        <v>8058772225826</v>
      </c>
      <c r="C11882" t="str">
        <f>IFERROR(__xludf.DUMMYFUNCTION("""COMPUTED_VALUE"""),"Umbra")</f>
        <v>Umbra</v>
      </c>
    </row>
    <row r="11883">
      <c r="A11883" t="str">
        <f>IFERROR(__xludf.DUMMYFUNCTION("""COMPUTED_VALUE"""),"43063/F")</f>
        <v>43063/F</v>
      </c>
      <c r="B11883" s="226" t="str">
        <f>IFERROR(__xludf.DUMMYFUNCTION("""COMPUTED_VALUE"""),"8058772225819")</f>
        <v>8058772225819</v>
      </c>
      <c r="C11883" t="str">
        <f>IFERROR(__xludf.DUMMYFUNCTION("""COMPUTED_VALUE"""),"Umbra")</f>
        <v>Umbra</v>
      </c>
    </row>
    <row r="11884">
      <c r="A11884" t="str">
        <f>IFERROR(__xludf.DUMMYFUNCTION("""COMPUTED_VALUE"""),"43063/VM")</f>
        <v>43063/VM</v>
      </c>
      <c r="B11884" s="226" t="str">
        <f>IFERROR(__xludf.DUMMYFUNCTION("""COMPUTED_VALUE"""),"8058772225833")</f>
        <v>8058772225833</v>
      </c>
      <c r="C11884" t="str">
        <f>IFERROR(__xludf.DUMMYFUNCTION("""COMPUTED_VALUE"""),"Umbra")</f>
        <v>Umbra</v>
      </c>
    </row>
    <row r="11885">
      <c r="A11885" t="str">
        <f>IFERROR(__xludf.DUMMYFUNCTION("""COMPUTED_VALUE"""),"43047/F")</f>
        <v>43047/F</v>
      </c>
      <c r="B11885" s="226" t="str">
        <f>IFERROR(__xludf.DUMMYFUNCTION("""COMPUTED_VALUE"""),"8058772225628")</f>
        <v>8058772225628</v>
      </c>
      <c r="C11885" t="str">
        <f>IFERROR(__xludf.DUMMYFUNCTION("""COMPUTED_VALUE"""),"Umbra")</f>
        <v>Umbra</v>
      </c>
    </row>
    <row r="11886">
      <c r="A11886" t="str">
        <f>IFERROR(__xludf.DUMMYFUNCTION("""COMPUTED_VALUE"""),"43047/C")</f>
        <v>43047/C</v>
      </c>
      <c r="B11886" s="226" t="str">
        <f>IFERROR(__xludf.DUMMYFUNCTION("""COMPUTED_VALUE"""),"8054521995217")</f>
        <v>8054521995217</v>
      </c>
      <c r="C11886" t="str">
        <f>IFERROR(__xludf.DUMMYFUNCTION("""COMPUTED_VALUE"""),"Umbra")</f>
        <v>Umbra</v>
      </c>
    </row>
    <row r="11887">
      <c r="A11887" t="str">
        <f>IFERROR(__xludf.DUMMYFUNCTION("""COMPUTED_VALUE"""),"43046")</f>
        <v>43046</v>
      </c>
      <c r="B11887" s="226" t="str">
        <f>IFERROR(__xludf.DUMMYFUNCTION("""COMPUTED_VALUE"""),"8054521995200")</f>
        <v>8054521995200</v>
      </c>
      <c r="C11887" t="str">
        <f>IFERROR(__xludf.DUMMYFUNCTION("""COMPUTED_VALUE"""),"Umbra")</f>
        <v>Umbra</v>
      </c>
    </row>
    <row r="11888">
      <c r="A11888" t="str">
        <f>IFERROR(__xludf.DUMMYFUNCTION("""COMPUTED_VALUE"""),"43048")</f>
        <v>43048</v>
      </c>
      <c r="B11888" s="226" t="str">
        <f>IFERROR(__xludf.DUMMYFUNCTION("""COMPUTED_VALUE"""),"8054521995231")</f>
        <v>8054521995231</v>
      </c>
      <c r="C11888" t="str">
        <f>IFERROR(__xludf.DUMMYFUNCTION("""COMPUTED_VALUE"""),"Umbra")</f>
        <v>Umbra</v>
      </c>
    </row>
    <row r="11889">
      <c r="A11889" t="str">
        <f>IFERROR(__xludf.DUMMYFUNCTION("""COMPUTED_VALUE"""),"43058/C")</f>
        <v>43058/C</v>
      </c>
      <c r="B11889" s="226" t="str">
        <f>IFERROR(__xludf.DUMMYFUNCTION("""COMPUTED_VALUE"""),"8054521995378")</f>
        <v>8054521995378</v>
      </c>
      <c r="C11889" t="str">
        <f>IFERROR(__xludf.DUMMYFUNCTION("""COMPUTED_VALUE"""),"Umbra")</f>
        <v>Umbra</v>
      </c>
    </row>
    <row r="11890">
      <c r="A11890" t="str">
        <f>IFERROR(__xludf.DUMMYFUNCTION("""COMPUTED_VALUE"""),"43058/F")</f>
        <v>43058/F</v>
      </c>
      <c r="B11890" s="226" t="str">
        <f>IFERROR(__xludf.DUMMYFUNCTION("""COMPUTED_VALUE"""),"8058772225697")</f>
        <v>8058772225697</v>
      </c>
      <c r="C11890" t="str">
        <f>IFERROR(__xludf.DUMMYFUNCTION("""COMPUTED_VALUE"""),"Umbra")</f>
        <v>Umbra</v>
      </c>
    </row>
    <row r="11891">
      <c r="A11891" t="str">
        <f>IFERROR(__xludf.DUMMYFUNCTION("""COMPUTED_VALUE"""),"43058/VM")</f>
        <v>43058/VM</v>
      </c>
      <c r="B11891" s="226" t="str">
        <f>IFERROR(__xludf.DUMMYFUNCTION("""COMPUTED_VALUE"""),"8054521995385")</f>
        <v>8054521995385</v>
      </c>
      <c r="C11891" t="str">
        <f>IFERROR(__xludf.DUMMYFUNCTION("""COMPUTED_VALUE"""),"Umbra")</f>
        <v>Umbra</v>
      </c>
    </row>
    <row r="11892">
      <c r="A11892" t="str">
        <f>IFERROR(__xludf.DUMMYFUNCTION("""COMPUTED_VALUE"""),"43043")</f>
        <v>43043</v>
      </c>
      <c r="B11892" s="226" t="str">
        <f>IFERROR(__xludf.DUMMYFUNCTION("""COMPUTED_VALUE"""),"8054521994104")</f>
        <v>8054521994104</v>
      </c>
      <c r="C11892" t="str">
        <f>IFERROR(__xludf.DUMMYFUNCTION("""COMPUTED_VALUE"""),"Umbra")</f>
        <v>Umbra</v>
      </c>
    </row>
    <row r="11893">
      <c r="A11893" t="str">
        <f>IFERROR(__xludf.DUMMYFUNCTION("""COMPUTED_VALUE"""),"14063/2")</f>
        <v>14063/2</v>
      </c>
      <c r="B11893" s="226" t="str">
        <f>IFERROR(__xludf.DUMMYFUNCTION("""COMPUTED_VALUE"""),"8058772229305")</f>
        <v>8058772229305</v>
      </c>
      <c r="C11893" t="str">
        <f>IFERROR(__xludf.DUMMYFUNCTION("""COMPUTED_VALUE"""),"Umbra")</f>
        <v>Umbra</v>
      </c>
    </row>
    <row r="11894">
      <c r="A11894" t="str">
        <f>IFERROR(__xludf.DUMMYFUNCTION("""COMPUTED_VALUE"""),"14063/2F")</f>
        <v>14063/2F</v>
      </c>
      <c r="B11894" s="226" t="str">
        <f>IFERROR(__xludf.DUMMYFUNCTION("""COMPUTED_VALUE"""),"8058772222658")</f>
        <v>8058772222658</v>
      </c>
      <c r="C11894" t="str">
        <f>IFERROR(__xludf.DUMMYFUNCTION("""COMPUTED_VALUE"""),"Umbra")</f>
        <v>Umbra</v>
      </c>
    </row>
    <row r="11895">
      <c r="A11895" t="str">
        <f>IFERROR(__xludf.DUMMYFUNCTION("""COMPUTED_VALUE"""),"14063/1")</f>
        <v>14063/1</v>
      </c>
      <c r="B11895" s="226" t="str">
        <f>IFERROR(__xludf.DUMMYFUNCTION("""COMPUTED_VALUE"""),"8058772229299")</f>
        <v>8058772229299</v>
      </c>
      <c r="C11895" t="str">
        <f>IFERROR(__xludf.DUMMYFUNCTION("""COMPUTED_VALUE"""),"Umbra")</f>
        <v>Umbra</v>
      </c>
    </row>
    <row r="11896">
      <c r="A11896" t="str">
        <f>IFERROR(__xludf.DUMMYFUNCTION("""COMPUTED_VALUE"""),"14063/1F")</f>
        <v>14063/1F</v>
      </c>
      <c r="B11896" s="226" t="str">
        <f>IFERROR(__xludf.DUMMYFUNCTION("""COMPUTED_VALUE"""),"8058772222641")</f>
        <v>8058772222641</v>
      </c>
      <c r="C11896" t="str">
        <f>IFERROR(__xludf.DUMMYFUNCTION("""COMPUTED_VALUE"""),"Umbra")</f>
        <v>Umbra</v>
      </c>
    </row>
    <row r="11897">
      <c r="A11897" t="str">
        <f>IFERROR(__xludf.DUMMYFUNCTION("""COMPUTED_VALUE"""),"33022/C")</f>
        <v>33022/C</v>
      </c>
      <c r="B11897" s="226" t="str">
        <f>IFERROR(__xludf.DUMMYFUNCTION("""COMPUTED_VALUE"""),"8054521994074")</f>
        <v>8054521994074</v>
      </c>
      <c r="C11897" t="str">
        <f>IFERROR(__xludf.DUMMYFUNCTION("""COMPUTED_VALUE"""),"Umbra")</f>
        <v>Umbra</v>
      </c>
    </row>
    <row r="11898">
      <c r="A11898" t="str">
        <f>IFERROR(__xludf.DUMMYFUNCTION("""COMPUTED_VALUE"""),"33022/F")</f>
        <v>33022/F</v>
      </c>
      <c r="B11898" s="226" t="str">
        <f>IFERROR(__xludf.DUMMYFUNCTION("""COMPUTED_VALUE"""),"8058772225048")</f>
        <v>8058772225048</v>
      </c>
      <c r="C11898" t="str">
        <f>IFERROR(__xludf.DUMMYFUNCTION("""COMPUTED_VALUE"""),"Umbra")</f>
        <v>Umbra</v>
      </c>
    </row>
    <row r="11899">
      <c r="A11899" t="str">
        <f>IFERROR(__xludf.DUMMYFUNCTION("""COMPUTED_VALUE"""),"33022/VM")</f>
        <v>33022/VM</v>
      </c>
      <c r="B11899" s="226" t="str">
        <f>IFERROR(__xludf.DUMMYFUNCTION("""COMPUTED_VALUE"""),"8054521994081")</f>
        <v>8054521994081</v>
      </c>
      <c r="C11899" t="str">
        <f>IFERROR(__xludf.DUMMYFUNCTION("""COMPUTED_VALUE"""),"Umbra")</f>
        <v>Umbra</v>
      </c>
    </row>
    <row r="11900">
      <c r="A11900" t="str">
        <f>IFERROR(__xludf.DUMMYFUNCTION("""COMPUTED_VALUE"""),"43056/C")</f>
        <v>43056/C</v>
      </c>
      <c r="B11900" s="226" t="str">
        <f>IFERROR(__xludf.DUMMYFUNCTION("""COMPUTED_VALUE"""),"8054521995347")</f>
        <v>8054521995347</v>
      </c>
      <c r="C11900" t="str">
        <f>IFERROR(__xludf.DUMMYFUNCTION("""COMPUTED_VALUE"""),"Umbra")</f>
        <v>Umbra</v>
      </c>
    </row>
    <row r="11901">
      <c r="A11901" t="str">
        <f>IFERROR(__xludf.DUMMYFUNCTION("""COMPUTED_VALUE"""),"43056/F")</f>
        <v>43056/F</v>
      </c>
      <c r="B11901" s="226" t="str">
        <f>IFERROR(__xludf.DUMMYFUNCTION("""COMPUTED_VALUE"""),"8058772225673")</f>
        <v>8058772225673</v>
      </c>
      <c r="C11901" t="str">
        <f>IFERROR(__xludf.DUMMYFUNCTION("""COMPUTED_VALUE"""),"Umbra")</f>
        <v>Umbra</v>
      </c>
    </row>
    <row r="11902">
      <c r="A11902" t="str">
        <f>IFERROR(__xludf.DUMMYFUNCTION("""COMPUTED_VALUE"""),"43056/VM")</f>
        <v>43056/VM</v>
      </c>
      <c r="B11902" s="226" t="str">
        <f>IFERROR(__xludf.DUMMYFUNCTION("""COMPUTED_VALUE"""),"8054521995354")</f>
        <v>8054521995354</v>
      </c>
      <c r="C11902" t="str">
        <f>IFERROR(__xludf.DUMMYFUNCTION("""COMPUTED_VALUE"""),"Umbra")</f>
        <v>Umbra</v>
      </c>
    </row>
    <row r="11903">
      <c r="A11903" t="str">
        <f>IFERROR(__xludf.DUMMYFUNCTION("""COMPUTED_VALUE"""),"43054/VM")</f>
        <v>43054/VM</v>
      </c>
      <c r="B11903" s="226" t="str">
        <f>IFERROR(__xludf.DUMMYFUNCTION("""COMPUTED_VALUE"""),"8054521995293")</f>
        <v>8054521995293</v>
      </c>
      <c r="C11903" t="str">
        <f>IFERROR(__xludf.DUMMYFUNCTION("""COMPUTED_VALUE"""),"Umbra")</f>
        <v>Umbra</v>
      </c>
    </row>
    <row r="11904">
      <c r="A11904" t="str">
        <f>IFERROR(__xludf.DUMMYFUNCTION("""COMPUTED_VALUE"""),"34009/C")</f>
        <v>34009/C</v>
      </c>
      <c r="B11904" s="226" t="str">
        <f>IFERROR(__xludf.DUMMYFUNCTION("""COMPUTED_VALUE"""),"8058772225109")</f>
        <v>8058772225109</v>
      </c>
      <c r="C11904" t="str">
        <f>IFERROR(__xludf.DUMMYFUNCTION("""COMPUTED_VALUE"""),"Umbra")</f>
        <v>Umbra</v>
      </c>
    </row>
    <row r="11905">
      <c r="A11905" t="str">
        <f>IFERROR(__xludf.DUMMYFUNCTION("""COMPUTED_VALUE"""),"43064/C")</f>
        <v>43064/C</v>
      </c>
      <c r="B11905" s="226" t="str">
        <f>IFERROR(__xludf.DUMMYFUNCTION("""COMPUTED_VALUE"""),"8054521996375")</f>
        <v>8054521996375</v>
      </c>
      <c r="C11905" t="str">
        <f>IFERROR(__xludf.DUMMYFUNCTION("""COMPUTED_VALUE"""),"Umbra")</f>
        <v>Umbra</v>
      </c>
    </row>
    <row r="11906">
      <c r="A11906" t="str">
        <f>IFERROR(__xludf.DUMMYFUNCTION("""COMPUTED_VALUE"""),"34009/F")</f>
        <v>34009/F</v>
      </c>
      <c r="B11906" s="226" t="str">
        <f>IFERROR(__xludf.DUMMYFUNCTION("""COMPUTED_VALUE"""),"8058772225093")</f>
        <v>8058772225093</v>
      </c>
      <c r="C11906" t="str">
        <f>IFERROR(__xludf.DUMMYFUNCTION("""COMPUTED_VALUE"""),"Umbra")</f>
        <v>Umbra</v>
      </c>
    </row>
    <row r="11907">
      <c r="A11907" t="str">
        <f>IFERROR(__xludf.DUMMYFUNCTION("""COMPUTED_VALUE"""),"43064/F")</f>
        <v>43064/F</v>
      </c>
      <c r="B11907" s="226" t="str">
        <f>IFERROR(__xludf.DUMMYFUNCTION("""COMPUTED_VALUE"""),"8054521996368")</f>
        <v>8054521996368</v>
      </c>
      <c r="C11907" t="str">
        <f>IFERROR(__xludf.DUMMYFUNCTION("""COMPUTED_VALUE"""),"Umbra")</f>
        <v>Umbra</v>
      </c>
    </row>
    <row r="11908">
      <c r="A11908" t="str">
        <f>IFERROR(__xludf.DUMMYFUNCTION("""COMPUTED_VALUE"""),"34009/VM")</f>
        <v>34009/VM</v>
      </c>
      <c r="B11908" s="226" t="str">
        <f>IFERROR(__xludf.DUMMYFUNCTION("""COMPUTED_VALUE"""),"8058772225116")</f>
        <v>8058772225116</v>
      </c>
      <c r="C11908" t="str">
        <f>IFERROR(__xludf.DUMMYFUNCTION("""COMPUTED_VALUE"""),"Umbra")</f>
        <v>Umbra</v>
      </c>
    </row>
    <row r="11909">
      <c r="A11909" t="str">
        <f>IFERROR(__xludf.DUMMYFUNCTION("""COMPUTED_VALUE"""),"43064/VM")</f>
        <v>43064/VM</v>
      </c>
      <c r="B11909" s="226" t="str">
        <f>IFERROR(__xludf.DUMMYFUNCTION("""COMPUTED_VALUE"""),"8054521996382")</f>
        <v>8054521996382</v>
      </c>
      <c r="C11909" t="str">
        <f>IFERROR(__xludf.DUMMYFUNCTION("""COMPUTED_VALUE"""),"Umbra")</f>
        <v>Umbra</v>
      </c>
    </row>
    <row r="11910">
      <c r="A11910" t="str">
        <f>IFERROR(__xludf.DUMMYFUNCTION("""COMPUTED_VALUE"""),"43065/C")</f>
        <v>43065/C</v>
      </c>
      <c r="B11910" s="226" t="str">
        <f>IFERROR(__xludf.DUMMYFUNCTION("""COMPUTED_VALUE"""),"8054521996672")</f>
        <v>8054521996672</v>
      </c>
      <c r="C11910" t="str">
        <f>IFERROR(__xludf.DUMMYFUNCTION("""COMPUTED_VALUE"""),"Umbra")</f>
        <v>Umbra</v>
      </c>
    </row>
    <row r="11911">
      <c r="A11911" t="str">
        <f>IFERROR(__xludf.DUMMYFUNCTION("""COMPUTED_VALUE"""),"43065/F")</f>
        <v>43065/F</v>
      </c>
      <c r="B11911" s="226" t="str">
        <f>IFERROR(__xludf.DUMMYFUNCTION("""COMPUTED_VALUE"""),"8054521996665")</f>
        <v>8054521996665</v>
      </c>
      <c r="C11911" t="str">
        <f>IFERROR(__xludf.DUMMYFUNCTION("""COMPUTED_VALUE"""),"Umbra")</f>
        <v>Umbra</v>
      </c>
    </row>
    <row r="11912">
      <c r="A11912" t="str">
        <f>IFERROR(__xludf.DUMMYFUNCTION("""COMPUTED_VALUE"""),"43065/VM")</f>
        <v>43065/VM</v>
      </c>
      <c r="B11912" s="226" t="str">
        <f>IFERROR(__xludf.DUMMYFUNCTION("""COMPUTED_VALUE"""),"8054521996689")</f>
        <v>8054521996689</v>
      </c>
      <c r="C11912" t="str">
        <f>IFERROR(__xludf.DUMMYFUNCTION("""COMPUTED_VALUE"""),"Umbra")</f>
        <v>Umbra</v>
      </c>
    </row>
    <row r="11913">
      <c r="A11913" t="str">
        <f>IFERROR(__xludf.DUMMYFUNCTION("""COMPUTED_VALUE"""),"43051")</f>
        <v>43051</v>
      </c>
      <c r="C11913" t="str">
        <f>IFERROR(__xludf.DUMMYFUNCTION("""COMPUTED_VALUE"""),"Umbra")</f>
        <v>Umbra</v>
      </c>
    </row>
    <row r="11914">
      <c r="A11914" t="str">
        <f>IFERROR(__xludf.DUMMYFUNCTION("""COMPUTED_VALUE"""),"43061/C")</f>
        <v>43061/C</v>
      </c>
      <c r="B11914" s="226" t="str">
        <f>IFERROR(__xludf.DUMMYFUNCTION("""COMPUTED_VALUE"""),"8058772225796")</f>
        <v>8058772225796</v>
      </c>
      <c r="C11914" t="str">
        <f>IFERROR(__xludf.DUMMYFUNCTION("""COMPUTED_VALUE"""),"Umbra")</f>
        <v>Umbra</v>
      </c>
    </row>
    <row r="11915">
      <c r="A11915" t="str">
        <f>IFERROR(__xludf.DUMMYFUNCTION("""COMPUTED_VALUE"""),"43061/F")</f>
        <v>43061/F</v>
      </c>
      <c r="B11915" s="226" t="str">
        <f>IFERROR(__xludf.DUMMYFUNCTION("""COMPUTED_VALUE"""),"8058772225789")</f>
        <v>8058772225789</v>
      </c>
      <c r="C11915" t="str">
        <f>IFERROR(__xludf.DUMMYFUNCTION("""COMPUTED_VALUE"""),"Umbra")</f>
        <v>Umbra</v>
      </c>
    </row>
    <row r="11916">
      <c r="A11916" t="str">
        <f>IFERROR(__xludf.DUMMYFUNCTION("""COMPUTED_VALUE"""),"43061/VM")</f>
        <v>43061/VM</v>
      </c>
      <c r="B11916" s="226" t="str">
        <f>IFERROR(__xludf.DUMMYFUNCTION("""COMPUTED_VALUE"""),"8058772225802")</f>
        <v>8058772225802</v>
      </c>
      <c r="C11916" t="str">
        <f>IFERROR(__xludf.DUMMYFUNCTION("""COMPUTED_VALUE"""),"Umbra")</f>
        <v>Umbra</v>
      </c>
    </row>
    <row r="11917">
      <c r="A11917" t="str">
        <f>IFERROR(__xludf.DUMMYFUNCTION("""COMPUTED_VALUE"""),"43061/C")</f>
        <v>43061/C</v>
      </c>
      <c r="B11917" s="226" t="str">
        <f>IFERROR(__xludf.DUMMYFUNCTION("""COMPUTED_VALUE"""),"8058772225796")</f>
        <v>8058772225796</v>
      </c>
      <c r="C11917" t="str">
        <f>IFERROR(__xludf.DUMMYFUNCTION("""COMPUTED_VALUE"""),"Umbra")</f>
        <v>Umbra</v>
      </c>
    </row>
    <row r="11918">
      <c r="A11918" t="str">
        <f>IFERROR(__xludf.DUMMYFUNCTION("""COMPUTED_VALUE"""),"43061/F")</f>
        <v>43061/F</v>
      </c>
      <c r="B11918" s="226" t="str">
        <f>IFERROR(__xludf.DUMMYFUNCTION("""COMPUTED_VALUE"""),"8058772225789")</f>
        <v>8058772225789</v>
      </c>
      <c r="C11918" t="str">
        <f>IFERROR(__xludf.DUMMYFUNCTION("""COMPUTED_VALUE"""),"Umbra")</f>
        <v>Umbra</v>
      </c>
    </row>
    <row r="11919">
      <c r="A11919" t="str">
        <f>IFERROR(__xludf.DUMMYFUNCTION("""COMPUTED_VALUE"""),"43061/VM")</f>
        <v>43061/VM</v>
      </c>
      <c r="B11919" s="226" t="str">
        <f>IFERROR(__xludf.DUMMYFUNCTION("""COMPUTED_VALUE"""),"8058772225802")</f>
        <v>8058772225802</v>
      </c>
      <c r="C11919" t="str">
        <f>IFERROR(__xludf.DUMMYFUNCTION("""COMPUTED_VALUE"""),"Umbra")</f>
        <v>Umbra</v>
      </c>
    </row>
    <row r="11920">
      <c r="A11920" t="str">
        <f>IFERROR(__xludf.DUMMYFUNCTION("""COMPUTED_VALUE"""),"44012")</f>
        <v>44012</v>
      </c>
      <c r="B11920" s="226" t="str">
        <f>IFERROR(__xludf.DUMMYFUNCTION("""COMPUTED_VALUE"""),"8054521995477")</f>
        <v>8054521995477</v>
      </c>
      <c r="C11920" t="str">
        <f>IFERROR(__xludf.DUMMYFUNCTION("""COMPUTED_VALUE"""),"Umbra")</f>
        <v>Umbra</v>
      </c>
    </row>
    <row r="11921">
      <c r="A11921" t="str">
        <f>IFERROR(__xludf.DUMMYFUNCTION("""COMPUTED_VALUE"""),"44014/C2")</f>
        <v>44014/C2</v>
      </c>
      <c r="B11921" s="226" t="str">
        <f>IFERROR(__xludf.DUMMYFUNCTION("""COMPUTED_VALUE"""),"8054521995514")</f>
        <v>8054521995514</v>
      </c>
      <c r="C11921" t="str">
        <f>IFERROR(__xludf.DUMMYFUNCTION("""COMPUTED_VALUE"""),"Umbra")</f>
        <v>Umbra</v>
      </c>
    </row>
    <row r="11922">
      <c r="A11922" t="str">
        <f>IFERROR(__xludf.DUMMYFUNCTION("""COMPUTED_VALUE"""),"44014/F2")</f>
        <v>44014/F2</v>
      </c>
      <c r="C11922" t="str">
        <f>IFERROR(__xludf.DUMMYFUNCTION("""COMPUTED_VALUE"""),"Umbra")</f>
        <v>Umbra</v>
      </c>
    </row>
    <row r="11923">
      <c r="A11923" t="str">
        <f>IFERROR(__xludf.DUMMYFUNCTION("""COMPUTED_VALUE"""),"44014/VM2")</f>
        <v>44014/VM2</v>
      </c>
      <c r="C11923" t="str">
        <f>IFERROR(__xludf.DUMMYFUNCTION("""COMPUTED_VALUE"""),"Umbra")</f>
        <v>Umbra</v>
      </c>
    </row>
    <row r="11924">
      <c r="A11924" t="str">
        <f>IFERROR(__xludf.DUMMYFUNCTION("""COMPUTED_VALUE"""),"44017/C")</f>
        <v>44017/C</v>
      </c>
      <c r="B11924" s="226" t="str">
        <f>IFERROR(__xludf.DUMMYFUNCTION("""COMPUTED_VALUE"""),"8058772225932")</f>
        <v>8058772225932</v>
      </c>
      <c r="C11924" t="str">
        <f>IFERROR(__xludf.DUMMYFUNCTION("""COMPUTED_VALUE"""),"Umbra")</f>
        <v>Umbra</v>
      </c>
    </row>
    <row r="11925">
      <c r="A11925" t="str">
        <f>IFERROR(__xludf.DUMMYFUNCTION("""COMPUTED_VALUE"""),"44017/F")</f>
        <v>44017/F</v>
      </c>
      <c r="B11925" s="226" t="str">
        <f>IFERROR(__xludf.DUMMYFUNCTION("""COMPUTED_VALUE"""),"8058772225925")</f>
        <v>8058772225925</v>
      </c>
      <c r="C11925" t="str">
        <f>IFERROR(__xludf.DUMMYFUNCTION("""COMPUTED_VALUE"""),"Umbra")</f>
        <v>Umbra</v>
      </c>
    </row>
    <row r="11926">
      <c r="A11926" t="str">
        <f>IFERROR(__xludf.DUMMYFUNCTION("""COMPUTED_VALUE"""),"44017/VM")</f>
        <v>44017/VM</v>
      </c>
      <c r="B11926" s="226" t="str">
        <f>IFERROR(__xludf.DUMMYFUNCTION("""COMPUTED_VALUE"""),"8058772225949")</f>
        <v>8058772225949</v>
      </c>
      <c r="C11926" t="str">
        <f>IFERROR(__xludf.DUMMYFUNCTION("""COMPUTED_VALUE"""),"Umbra")</f>
        <v>Umbra</v>
      </c>
    </row>
    <row r="11927">
      <c r="A11927" t="str">
        <f>IFERROR(__xludf.DUMMYFUNCTION("""COMPUTED_VALUE"""),"44012")</f>
        <v>44012</v>
      </c>
      <c r="B11927" s="226" t="str">
        <f>IFERROR(__xludf.DUMMYFUNCTION("""COMPUTED_VALUE"""),"8054521995477")</f>
        <v>8054521995477</v>
      </c>
      <c r="C11927" t="str">
        <f>IFERROR(__xludf.DUMMYFUNCTION("""COMPUTED_VALUE"""),"Umbra")</f>
        <v>Umbra</v>
      </c>
    </row>
    <row r="11928">
      <c r="A11928" t="str">
        <f>IFERROR(__xludf.DUMMYFUNCTION("""COMPUTED_VALUE"""),"44015/C")</f>
        <v>44015/C</v>
      </c>
      <c r="B11928" s="226" t="str">
        <f>IFERROR(__xludf.DUMMYFUNCTION("""COMPUTED_VALUE"""),"8058772225871")</f>
        <v>8058772225871</v>
      </c>
      <c r="C11928" t="str">
        <f>IFERROR(__xludf.DUMMYFUNCTION("""COMPUTED_VALUE"""),"Umbra")</f>
        <v>Umbra</v>
      </c>
    </row>
    <row r="11929">
      <c r="A11929" t="str">
        <f>IFERROR(__xludf.DUMMYFUNCTION("""COMPUTED_VALUE"""),"44015/F")</f>
        <v>44015/F</v>
      </c>
      <c r="B11929" s="226" t="str">
        <f>IFERROR(__xludf.DUMMYFUNCTION("""COMPUTED_VALUE"""),"8058772225864")</f>
        <v>8058772225864</v>
      </c>
      <c r="C11929" t="str">
        <f>IFERROR(__xludf.DUMMYFUNCTION("""COMPUTED_VALUE"""),"Umbra")</f>
        <v>Umbra</v>
      </c>
    </row>
    <row r="11930">
      <c r="A11930" t="str">
        <f>IFERROR(__xludf.DUMMYFUNCTION("""COMPUTED_VALUE"""),"44015/VM")</f>
        <v>44015/VM</v>
      </c>
      <c r="B11930" s="226" t="str">
        <f>IFERROR(__xludf.DUMMYFUNCTION("""COMPUTED_VALUE"""),"8058772225888")</f>
        <v>8058772225888</v>
      </c>
      <c r="C11930" t="str">
        <f>IFERROR(__xludf.DUMMYFUNCTION("""COMPUTED_VALUE"""),"Umbra")</f>
        <v>Umbra</v>
      </c>
    </row>
    <row r="11931">
      <c r="A11931" t="str">
        <f>IFERROR(__xludf.DUMMYFUNCTION("""COMPUTED_VALUE"""),"44014/C1")</f>
        <v>44014/C1</v>
      </c>
      <c r="B11931" s="226" t="str">
        <f>IFERROR(__xludf.DUMMYFUNCTION("""COMPUTED_VALUE"""),"8054521995507")</f>
        <v>8054521995507</v>
      </c>
      <c r="C11931" t="str">
        <f>IFERROR(__xludf.DUMMYFUNCTION("""COMPUTED_VALUE"""),"Umbra")</f>
        <v>Umbra</v>
      </c>
    </row>
    <row r="11932">
      <c r="A11932" t="str">
        <f>IFERROR(__xludf.DUMMYFUNCTION("""COMPUTED_VALUE"""),"44014/F1")</f>
        <v>44014/F1</v>
      </c>
      <c r="C11932" t="str">
        <f>IFERROR(__xludf.DUMMYFUNCTION("""COMPUTED_VALUE"""),"Umbra")</f>
        <v>Umbra</v>
      </c>
    </row>
    <row r="11933">
      <c r="A11933" t="str">
        <f>IFERROR(__xludf.DUMMYFUNCTION("""COMPUTED_VALUE"""),"44014/VM1")</f>
        <v>44014/VM1</v>
      </c>
      <c r="C11933" t="str">
        <f>IFERROR(__xludf.DUMMYFUNCTION("""COMPUTED_VALUE"""),"Umbra")</f>
        <v>Umbra</v>
      </c>
    </row>
    <row r="11934">
      <c r="A11934" t="str">
        <f>IFERROR(__xludf.DUMMYFUNCTION("""COMPUTED_VALUE"""),"44017/C")</f>
        <v>44017/C</v>
      </c>
      <c r="B11934" s="226" t="str">
        <f>IFERROR(__xludf.DUMMYFUNCTION("""COMPUTED_VALUE"""),"8058772225932")</f>
        <v>8058772225932</v>
      </c>
      <c r="C11934" t="str">
        <f>IFERROR(__xludf.DUMMYFUNCTION("""COMPUTED_VALUE"""),"Umbra")</f>
        <v>Umbra</v>
      </c>
    </row>
    <row r="11935">
      <c r="A11935" t="str">
        <f>IFERROR(__xludf.DUMMYFUNCTION("""COMPUTED_VALUE"""),"44017/F")</f>
        <v>44017/F</v>
      </c>
      <c r="B11935" s="226" t="str">
        <f>IFERROR(__xludf.DUMMYFUNCTION("""COMPUTED_VALUE"""),"8058772225925")</f>
        <v>8058772225925</v>
      </c>
      <c r="C11935" t="str">
        <f>IFERROR(__xludf.DUMMYFUNCTION("""COMPUTED_VALUE"""),"Umbra")</f>
        <v>Umbra</v>
      </c>
    </row>
    <row r="11936">
      <c r="A11936" t="str">
        <f>IFERROR(__xludf.DUMMYFUNCTION("""COMPUTED_VALUE"""),"44017/VM")</f>
        <v>44017/VM</v>
      </c>
      <c r="B11936" s="226" t="str">
        <f>IFERROR(__xludf.DUMMYFUNCTION("""COMPUTED_VALUE"""),"8058772225949")</f>
        <v>8058772225949</v>
      </c>
      <c r="C11936" t="str">
        <f>IFERROR(__xludf.DUMMYFUNCTION("""COMPUTED_VALUE"""),"Umbra")</f>
        <v>Umbra</v>
      </c>
    </row>
    <row r="11937">
      <c r="A11937" t="str">
        <f>IFERROR(__xludf.DUMMYFUNCTION("""COMPUTED_VALUE"""),"44013/C1")</f>
        <v>44013/C1</v>
      </c>
      <c r="B11937" s="226" t="str">
        <f>IFERROR(__xludf.DUMMYFUNCTION("""COMPUTED_VALUE"""),"8054521995484")</f>
        <v>8054521995484</v>
      </c>
      <c r="C11937" t="str">
        <f>IFERROR(__xludf.DUMMYFUNCTION("""COMPUTED_VALUE"""),"Umbra")</f>
        <v>Umbra</v>
      </c>
    </row>
    <row r="11938">
      <c r="A11938" t="str">
        <f>IFERROR(__xludf.DUMMYFUNCTION("""COMPUTED_VALUE"""),"44013/F1")</f>
        <v>44013/F1</v>
      </c>
      <c r="B11938" s="226" t="str">
        <f>IFERROR(__xludf.DUMMYFUNCTION("""COMPUTED_VALUE"""),"8054521995644")</f>
        <v>8054521995644</v>
      </c>
      <c r="C11938" t="str">
        <f>IFERROR(__xludf.DUMMYFUNCTION("""COMPUTED_VALUE"""),"Umbra")</f>
        <v>Umbra</v>
      </c>
    </row>
    <row r="11939">
      <c r="A11939" t="str">
        <f>IFERROR(__xludf.DUMMYFUNCTION("""COMPUTED_VALUE"""),"44016/C")</f>
        <v>44016/C</v>
      </c>
      <c r="B11939" s="226" t="str">
        <f>IFERROR(__xludf.DUMMYFUNCTION("""COMPUTED_VALUE"""),"8058772225901")</f>
        <v>8058772225901</v>
      </c>
      <c r="C11939" t="str">
        <f>IFERROR(__xludf.DUMMYFUNCTION("""COMPUTED_VALUE"""),"Umbra")</f>
        <v>Umbra</v>
      </c>
    </row>
    <row r="11940">
      <c r="A11940" t="str">
        <f>IFERROR(__xludf.DUMMYFUNCTION("""COMPUTED_VALUE"""),"44016/F")</f>
        <v>44016/F</v>
      </c>
      <c r="B11940" s="226" t="str">
        <f>IFERROR(__xludf.DUMMYFUNCTION("""COMPUTED_VALUE"""),"8058772225895")</f>
        <v>8058772225895</v>
      </c>
      <c r="C11940" t="str">
        <f>IFERROR(__xludf.DUMMYFUNCTION("""COMPUTED_VALUE"""),"Umbra")</f>
        <v>Umbra</v>
      </c>
    </row>
    <row r="11941">
      <c r="A11941" t="str">
        <f>IFERROR(__xludf.DUMMYFUNCTION("""COMPUTED_VALUE"""),"44016/VM")</f>
        <v>44016/VM</v>
      </c>
      <c r="B11941" s="226" t="str">
        <f>IFERROR(__xludf.DUMMYFUNCTION("""COMPUTED_VALUE"""),"8058772225918")</f>
        <v>8058772225918</v>
      </c>
      <c r="C11941" t="str">
        <f>IFERROR(__xludf.DUMMYFUNCTION("""COMPUTED_VALUE"""),"Umbra")</f>
        <v>Umbra</v>
      </c>
    </row>
    <row r="11942">
      <c r="A11942" t="str">
        <f>IFERROR(__xludf.DUMMYFUNCTION("""COMPUTED_VALUE"""),"44013/C2")</f>
        <v>44013/C2</v>
      </c>
      <c r="B11942" s="226" t="str">
        <f>IFERROR(__xludf.DUMMYFUNCTION("""COMPUTED_VALUE"""),"8054521995491")</f>
        <v>8054521995491</v>
      </c>
      <c r="C11942" t="str">
        <f>IFERROR(__xludf.DUMMYFUNCTION("""COMPUTED_VALUE"""),"Umbra")</f>
        <v>Umbra</v>
      </c>
    </row>
    <row r="11943">
      <c r="A11943" t="str">
        <f>IFERROR(__xludf.DUMMYFUNCTION("""COMPUTED_VALUE"""),"44018/C")</f>
        <v>44018/C</v>
      </c>
      <c r="B11943" s="226" t="str">
        <f>IFERROR(__xludf.DUMMYFUNCTION("""COMPUTED_VALUE"""),"8058772225963")</f>
        <v>8058772225963</v>
      </c>
      <c r="C11943" t="str">
        <f>IFERROR(__xludf.DUMMYFUNCTION("""COMPUTED_VALUE"""),"Umbra")</f>
        <v>Umbra</v>
      </c>
    </row>
    <row r="11944">
      <c r="A11944" t="str">
        <f>IFERROR(__xludf.DUMMYFUNCTION("""COMPUTED_VALUE"""),"44018/F")</f>
        <v>44018/F</v>
      </c>
      <c r="B11944" s="226" t="str">
        <f>IFERROR(__xludf.DUMMYFUNCTION("""COMPUTED_VALUE"""),"8058772225956")</f>
        <v>8058772225956</v>
      </c>
      <c r="C11944" t="str">
        <f>IFERROR(__xludf.DUMMYFUNCTION("""COMPUTED_VALUE"""),"Umbra")</f>
        <v>Umbra</v>
      </c>
    </row>
    <row r="11945">
      <c r="A11945" t="str">
        <f>IFERROR(__xludf.DUMMYFUNCTION("""COMPUTED_VALUE"""),"44018/VM")</f>
        <v>44018/VM</v>
      </c>
      <c r="B11945" s="226" t="str">
        <f>IFERROR(__xludf.DUMMYFUNCTION("""COMPUTED_VALUE"""),"8058772225970")</f>
        <v>8058772225970</v>
      </c>
      <c r="C11945" t="str">
        <f>IFERROR(__xludf.DUMMYFUNCTION("""COMPUTED_VALUE"""),"Umbra")</f>
        <v>Umbra</v>
      </c>
    </row>
    <row r="11946">
      <c r="A11946" t="str">
        <f>IFERROR(__xludf.DUMMYFUNCTION("""COMPUTED_VALUE"""),"44019/C")</f>
        <v>44019/C</v>
      </c>
      <c r="B11946" s="226" t="str">
        <f>IFERROR(__xludf.DUMMYFUNCTION("""COMPUTED_VALUE"""),"8058772225994")</f>
        <v>8058772225994</v>
      </c>
      <c r="C11946" t="str">
        <f>IFERROR(__xludf.DUMMYFUNCTION("""COMPUTED_VALUE"""),"Umbra")</f>
        <v>Umbra</v>
      </c>
    </row>
    <row r="11947">
      <c r="A11947" t="str">
        <f>IFERROR(__xludf.DUMMYFUNCTION("""COMPUTED_VALUE"""),"44019/F")</f>
        <v>44019/F</v>
      </c>
      <c r="B11947" s="226" t="str">
        <f>IFERROR(__xludf.DUMMYFUNCTION("""COMPUTED_VALUE"""),"8058772225987")</f>
        <v>8058772225987</v>
      </c>
      <c r="C11947" t="str">
        <f>IFERROR(__xludf.DUMMYFUNCTION("""COMPUTED_VALUE"""),"Umbra")</f>
        <v>Umbra</v>
      </c>
    </row>
    <row r="11948">
      <c r="A11948" t="str">
        <f>IFERROR(__xludf.DUMMYFUNCTION("""COMPUTED_VALUE"""),"44019/VM")</f>
        <v>44019/VM</v>
      </c>
      <c r="B11948" s="226" t="str">
        <f>IFERROR(__xludf.DUMMYFUNCTION("""COMPUTED_VALUE"""),"8058772226007")</f>
        <v>8058772226007</v>
      </c>
      <c r="C11948" t="str">
        <f>IFERROR(__xludf.DUMMYFUNCTION("""COMPUTED_VALUE"""),"Umbra")</f>
        <v>Umbra</v>
      </c>
    </row>
    <row r="11949">
      <c r="A11949" t="str">
        <f>IFERROR(__xludf.DUMMYFUNCTION("""COMPUTED_VALUE"""),"AF003BB")</f>
        <v>AF003BB</v>
      </c>
      <c r="B11949" s="226" t="str">
        <f>IFERROR(__xludf.DUMMYFUNCTION("""COMPUTED_VALUE"""),"8717323000052")</f>
        <v>8717323000052</v>
      </c>
      <c r="C11949" t="str">
        <f>IFERROR(__xludf.DUMMYFUNCTION("""COMPUTED_VALUE"""),"ECS")</f>
        <v>ECS</v>
      </c>
    </row>
    <row r="11950">
      <c r="A11950" t="str">
        <f>IFERROR(__xludf.DUMMYFUNCTION("""COMPUTED_VALUE"""),"AF003BL")</f>
        <v>AF003BL</v>
      </c>
      <c r="B11950" s="226" t="str">
        <f>IFERROR(__xludf.DUMMYFUNCTION("""COMPUTED_VALUE"""),"8717323017807")</f>
        <v>8717323017807</v>
      </c>
      <c r="C11950" t="str">
        <f>IFERROR(__xludf.DUMMYFUNCTION("""COMPUTED_VALUE"""),"ECS")</f>
        <v>ECS</v>
      </c>
    </row>
    <row r="11951">
      <c r="A11951" t="str">
        <f>IFERROR(__xludf.DUMMYFUNCTION("""COMPUTED_VALUE"""),"AF003DL")</f>
        <v>AF003DL</v>
      </c>
      <c r="B11951" s="226" t="str">
        <f>IFERROR(__xludf.DUMMYFUNCTION("""COMPUTED_VALUE"""),"8717323017814")</f>
        <v>8717323017814</v>
      </c>
      <c r="C11951" t="str">
        <f>IFERROR(__xludf.DUMMYFUNCTION("""COMPUTED_VALUE"""),"ECS")</f>
        <v>ECS</v>
      </c>
    </row>
    <row r="11952">
      <c r="A11952" t="str">
        <f>IFERROR(__xludf.DUMMYFUNCTION("""COMPUTED_VALUE"""),"AF003BB")</f>
        <v>AF003BB</v>
      </c>
      <c r="B11952" s="226" t="str">
        <f>IFERROR(__xludf.DUMMYFUNCTION("""COMPUTED_VALUE"""),"8717323000052")</f>
        <v>8717323000052</v>
      </c>
      <c r="C11952" t="str">
        <f>IFERROR(__xludf.DUMMYFUNCTION("""COMPUTED_VALUE"""),"ECS")</f>
        <v>ECS</v>
      </c>
    </row>
    <row r="11953">
      <c r="A11953" t="str">
        <f>IFERROR(__xludf.DUMMYFUNCTION("""COMPUTED_VALUE"""),"AF003BL")</f>
        <v>AF003BL</v>
      </c>
      <c r="B11953" s="226" t="str">
        <f>IFERROR(__xludf.DUMMYFUNCTION("""COMPUTED_VALUE"""),"8717323017807")</f>
        <v>8717323017807</v>
      </c>
      <c r="C11953" t="str">
        <f>IFERROR(__xludf.DUMMYFUNCTION("""COMPUTED_VALUE"""),"ECS")</f>
        <v>ECS</v>
      </c>
    </row>
    <row r="11954">
      <c r="A11954" t="str">
        <f>IFERROR(__xludf.DUMMYFUNCTION("""COMPUTED_VALUE"""),"AF003DL")</f>
        <v>AF003DL</v>
      </c>
      <c r="B11954" s="226" t="str">
        <f>IFERROR(__xludf.DUMMYFUNCTION("""COMPUTED_VALUE"""),"8717323017814")</f>
        <v>8717323017814</v>
      </c>
      <c r="C11954" t="str">
        <f>IFERROR(__xludf.DUMMYFUNCTION("""COMPUTED_VALUE"""),"ECS")</f>
        <v>ECS</v>
      </c>
    </row>
    <row r="11955">
      <c r="A11955" t="str">
        <f>IFERROR(__xludf.DUMMYFUNCTION("""COMPUTED_VALUE"""),"ALF013Q")</f>
        <v>ALF013Q</v>
      </c>
      <c r="B11955" s="226" t="str">
        <f>IFERROR(__xludf.DUMMYFUNCTION("""COMPUTED_VALUE"""),"8717323000090")</f>
        <v>8717323000090</v>
      </c>
      <c r="C11955" t="str">
        <f>IFERROR(__xludf.DUMMYFUNCTION("""COMPUTED_VALUE"""),"ECS")</f>
        <v>ECS</v>
      </c>
    </row>
    <row r="11956">
      <c r="A11956" t="str">
        <f>IFERROR(__xludf.DUMMYFUNCTION("""COMPUTED_VALUE"""),"AF008BB")</f>
        <v>AF008BB</v>
      </c>
      <c r="B11956" s="226" t="str">
        <f>IFERROR(__xludf.DUMMYFUNCTION("""COMPUTED_VALUE"""),"8717323012925")</f>
        <v>8717323012925</v>
      </c>
      <c r="C11956" t="str">
        <f>IFERROR(__xludf.DUMMYFUNCTION("""COMPUTED_VALUE"""),"ECS")</f>
        <v>ECS</v>
      </c>
    </row>
    <row r="11957">
      <c r="A11957" t="str">
        <f>IFERROR(__xludf.DUMMYFUNCTION("""COMPUTED_VALUE"""),"AF008BL")</f>
        <v>AF008BL</v>
      </c>
      <c r="B11957" s="226" t="str">
        <f>IFERROR(__xludf.DUMMYFUNCTION("""COMPUTED_VALUE"""),"8717323012932")</f>
        <v>8717323012932</v>
      </c>
      <c r="C11957" t="str">
        <f>IFERROR(__xludf.DUMMYFUNCTION("""COMPUTED_VALUE"""),"ECS")</f>
        <v>ECS</v>
      </c>
    </row>
    <row r="11958">
      <c r="A11958" t="str">
        <f>IFERROR(__xludf.DUMMYFUNCTION("""COMPUTED_VALUE"""),"AF008DB")</f>
        <v>AF008DB</v>
      </c>
      <c r="B11958" s="226" t="str">
        <f>IFERROR(__xludf.DUMMYFUNCTION("""COMPUTED_VALUE"""),"8717323012949")</f>
        <v>8717323012949</v>
      </c>
      <c r="C11958" t="str">
        <f>IFERROR(__xludf.DUMMYFUNCTION("""COMPUTED_VALUE"""),"ECS")</f>
        <v>ECS</v>
      </c>
    </row>
    <row r="11959">
      <c r="A11959" t="str">
        <f>IFERROR(__xludf.DUMMYFUNCTION("""COMPUTED_VALUE"""),"AF008DL")</f>
        <v>AF008DL</v>
      </c>
      <c r="B11959" s="226" t="str">
        <f>IFERROR(__xludf.DUMMYFUNCTION("""COMPUTED_VALUE"""),"8717323012956")</f>
        <v>8717323012956</v>
      </c>
      <c r="C11959" t="str">
        <f>IFERROR(__xludf.DUMMYFUNCTION("""COMPUTED_VALUE"""),"ECS")</f>
        <v>ECS</v>
      </c>
    </row>
    <row r="11960">
      <c r="A11960" t="str">
        <f>IFERROR(__xludf.DUMMYFUNCTION("""COMPUTED_VALUE"""),"AF012BB")</f>
        <v>AF012BB</v>
      </c>
      <c r="B11960" s="226" t="str">
        <f>IFERROR(__xludf.DUMMYFUNCTION("""COMPUTED_VALUE"""),"8717323029596")</f>
        <v>8717323029596</v>
      </c>
      <c r="C11960" t="str">
        <f>IFERROR(__xludf.DUMMYFUNCTION("""COMPUTED_VALUE"""),"ECS")</f>
        <v>ECS</v>
      </c>
    </row>
    <row r="11961">
      <c r="A11961" t="str">
        <f>IFERROR(__xludf.DUMMYFUNCTION("""COMPUTED_VALUE"""),"AF004BB")</f>
        <v>AF004BB</v>
      </c>
      <c r="B11961" s="226" t="str">
        <f>IFERROR(__xludf.DUMMYFUNCTION("""COMPUTED_VALUE"""),"8717323009956")</f>
        <v>8717323009956</v>
      </c>
      <c r="C11961" t="str">
        <f>IFERROR(__xludf.DUMMYFUNCTION("""COMPUTED_VALUE"""),"ECS")</f>
        <v>ECS</v>
      </c>
    </row>
    <row r="11962">
      <c r="A11962" t="str">
        <f>IFERROR(__xludf.DUMMYFUNCTION("""COMPUTED_VALUE"""),"AF004DB")</f>
        <v>AF004DB</v>
      </c>
      <c r="B11962" s="226" t="str">
        <f>IFERROR(__xludf.DUMMYFUNCTION("""COMPUTED_VALUE"""),"8717323009963")</f>
        <v>8717323009963</v>
      </c>
      <c r="C11962" t="str">
        <f>IFERROR(__xludf.DUMMYFUNCTION("""COMPUTED_VALUE"""),"ECS")</f>
        <v>ECS</v>
      </c>
    </row>
    <row r="11963">
      <c r="A11963" t="str">
        <f>IFERROR(__xludf.DUMMYFUNCTION("""COMPUTED_VALUE"""),"AF004DL")</f>
        <v>AF004DL</v>
      </c>
      <c r="B11963" s="226" t="str">
        <f>IFERROR(__xludf.DUMMYFUNCTION("""COMPUTED_VALUE"""),"8717323017821")</f>
        <v>8717323017821</v>
      </c>
      <c r="C11963" t="str">
        <f>IFERROR(__xludf.DUMMYFUNCTION("""COMPUTED_VALUE"""),"ECS")</f>
        <v>ECS</v>
      </c>
    </row>
    <row r="11964">
      <c r="A11964" t="str">
        <f>IFERROR(__xludf.DUMMYFUNCTION("""COMPUTED_VALUE"""),"AF007BB")</f>
        <v>AF007BB</v>
      </c>
      <c r="B11964" s="226" t="str">
        <f>IFERROR(__xludf.DUMMYFUNCTION("""COMPUTED_VALUE"""),"8717323011393")</f>
        <v>8717323011393</v>
      </c>
      <c r="C11964" t="str">
        <f>IFERROR(__xludf.DUMMYFUNCTION("""COMPUTED_VALUE"""),"ECS")</f>
        <v>ECS</v>
      </c>
    </row>
    <row r="11965">
      <c r="A11965" t="str">
        <f>IFERROR(__xludf.DUMMYFUNCTION("""COMPUTED_VALUE"""),"AF007DL")</f>
        <v>AF007DL</v>
      </c>
      <c r="B11965" s="226" t="str">
        <f>IFERROR(__xludf.DUMMYFUNCTION("""COMPUTED_VALUE"""),"8717323011409")</f>
        <v>8717323011409</v>
      </c>
      <c r="C11965" t="str">
        <f>IFERROR(__xludf.DUMMYFUNCTION("""COMPUTED_VALUE"""),"ECS")</f>
        <v>ECS</v>
      </c>
    </row>
    <row r="11966">
      <c r="A11966" t="str">
        <f>IFERROR(__xludf.DUMMYFUNCTION("""COMPUTED_VALUE"""),"AF002BQ")</f>
        <v>AF002BQ</v>
      </c>
      <c r="B11966" s="226" t="str">
        <f>IFERROR(__xludf.DUMMYFUNCTION("""COMPUTED_VALUE"""),"8717323000038")</f>
        <v>8717323000038</v>
      </c>
      <c r="C11966" t="str">
        <f>IFERROR(__xludf.DUMMYFUNCTION("""COMPUTED_VALUE"""),"ECS")</f>
        <v>ECS</v>
      </c>
    </row>
    <row r="11967">
      <c r="A11967" t="str">
        <f>IFERROR(__xludf.DUMMYFUNCTION("""COMPUTED_VALUE"""),"AF007BB")</f>
        <v>AF007BB</v>
      </c>
      <c r="B11967" s="226" t="str">
        <f>IFERROR(__xludf.DUMMYFUNCTION("""COMPUTED_VALUE"""),"8717323011393")</f>
        <v>8717323011393</v>
      </c>
      <c r="C11967" t="str">
        <f>IFERROR(__xludf.DUMMYFUNCTION("""COMPUTED_VALUE"""),"ECS")</f>
        <v>ECS</v>
      </c>
    </row>
    <row r="11968">
      <c r="A11968" t="str">
        <f>IFERROR(__xludf.DUMMYFUNCTION("""COMPUTED_VALUE"""),"AF007DL")</f>
        <v>AF007DL</v>
      </c>
      <c r="B11968" s="226" t="str">
        <f>IFERROR(__xludf.DUMMYFUNCTION("""COMPUTED_VALUE"""),"8717323011409")</f>
        <v>8717323011409</v>
      </c>
      <c r="C11968" t="str">
        <f>IFERROR(__xludf.DUMMYFUNCTION("""COMPUTED_VALUE"""),"ECS")</f>
        <v>ECS</v>
      </c>
    </row>
    <row r="11969">
      <c r="A11969" t="str">
        <f>IFERROR(__xludf.DUMMYFUNCTION("""COMPUTED_VALUE"""),"AF009BB")</f>
        <v>AF009BB</v>
      </c>
      <c r="B11969" s="226" t="str">
        <f>IFERROR(__xludf.DUMMYFUNCTION("""COMPUTED_VALUE"""),"8717323013663")</f>
        <v>8717323013663</v>
      </c>
      <c r="C11969" t="str">
        <f>IFERROR(__xludf.DUMMYFUNCTION("""COMPUTED_VALUE"""),"ECS")</f>
        <v>ECS</v>
      </c>
    </row>
    <row r="11970">
      <c r="A11970" t="str">
        <f>IFERROR(__xludf.DUMMYFUNCTION("""COMPUTED_VALUE"""),"AF009DB")</f>
        <v>AF009DB</v>
      </c>
      <c r="B11970" s="226" t="str">
        <f>IFERROR(__xludf.DUMMYFUNCTION("""COMPUTED_VALUE"""),"8717323013670")</f>
        <v>8717323013670</v>
      </c>
      <c r="C11970" t="str">
        <f>IFERROR(__xludf.DUMMYFUNCTION("""COMPUTED_VALUE"""),"ECS")</f>
        <v>ECS</v>
      </c>
    </row>
    <row r="11971">
      <c r="A11971" t="str">
        <f>IFERROR(__xludf.DUMMYFUNCTION("""COMPUTED_VALUE"""),"AF009DL")</f>
        <v>AF009DL</v>
      </c>
      <c r="B11971" s="226" t="str">
        <f>IFERROR(__xludf.DUMMYFUNCTION("""COMPUTED_VALUE"""),"8717323013687")</f>
        <v>8717323013687</v>
      </c>
      <c r="C11971" t="str">
        <f>IFERROR(__xludf.DUMMYFUNCTION("""COMPUTED_VALUE"""),"ECS")</f>
        <v>ECS</v>
      </c>
    </row>
    <row r="11972">
      <c r="A11972" t="str">
        <f>IFERROR(__xludf.DUMMYFUNCTION("""COMPUTED_VALUE"""),"AF012BB")</f>
        <v>AF012BB</v>
      </c>
      <c r="B11972" s="226" t="str">
        <f>IFERROR(__xludf.DUMMYFUNCTION("""COMPUTED_VALUE"""),"8717323029596")</f>
        <v>8717323029596</v>
      </c>
      <c r="C11972" t="str">
        <f>IFERROR(__xludf.DUMMYFUNCTION("""COMPUTED_VALUE"""),"ECS")</f>
        <v>ECS</v>
      </c>
    </row>
    <row r="11973">
      <c r="A11973" t="str">
        <f>IFERROR(__xludf.DUMMYFUNCTION("""COMPUTED_VALUE"""),"AF009BB")</f>
        <v>AF009BB</v>
      </c>
      <c r="B11973" s="226" t="str">
        <f>IFERROR(__xludf.DUMMYFUNCTION("""COMPUTED_VALUE"""),"8717323013663")</f>
        <v>8717323013663</v>
      </c>
      <c r="C11973" t="str">
        <f>IFERROR(__xludf.DUMMYFUNCTION("""COMPUTED_VALUE"""),"ECS")</f>
        <v>ECS</v>
      </c>
    </row>
    <row r="11974">
      <c r="A11974" t="str">
        <f>IFERROR(__xludf.DUMMYFUNCTION("""COMPUTED_VALUE"""),"AF009DB")</f>
        <v>AF009DB</v>
      </c>
      <c r="B11974" s="226" t="str">
        <f>IFERROR(__xludf.DUMMYFUNCTION("""COMPUTED_VALUE"""),"8717323013670")</f>
        <v>8717323013670</v>
      </c>
      <c r="C11974" t="str">
        <f>IFERROR(__xludf.DUMMYFUNCTION("""COMPUTED_VALUE"""),"ECS")</f>
        <v>ECS</v>
      </c>
    </row>
    <row r="11975">
      <c r="A11975" t="str">
        <f>IFERROR(__xludf.DUMMYFUNCTION("""COMPUTED_VALUE"""),"AF009DL")</f>
        <v>AF009DL</v>
      </c>
      <c r="B11975" s="226" t="str">
        <f>IFERROR(__xludf.DUMMYFUNCTION("""COMPUTED_VALUE"""),"8717323013687")</f>
        <v>8717323013687</v>
      </c>
      <c r="C11975" t="str">
        <f>IFERROR(__xludf.DUMMYFUNCTION("""COMPUTED_VALUE"""),"ECS")</f>
        <v>ECS</v>
      </c>
    </row>
    <row r="11976">
      <c r="A11976" t="str">
        <f>IFERROR(__xludf.DUMMYFUNCTION("""COMPUTED_VALUE"""),"AF014BX")</f>
        <v>AF014BX</v>
      </c>
      <c r="B11976" s="226" t="str">
        <f>IFERROR(__xludf.DUMMYFUNCTION("""COMPUTED_VALUE"""),"8717323064214")</f>
        <v>8717323064214</v>
      </c>
      <c r="C11976" t="str">
        <f>IFERROR(__xludf.DUMMYFUNCTION("""COMPUTED_VALUE"""),"ECS")</f>
        <v>ECS</v>
      </c>
    </row>
    <row r="11977">
      <c r="A11977" t="str">
        <f>IFERROR(__xludf.DUMMYFUNCTION("""COMPUTED_VALUE"""),"AF014DX")</f>
        <v>AF014DX</v>
      </c>
      <c r="B11977" s="226" t="str">
        <f>IFERROR(__xludf.DUMMYFUNCTION("""COMPUTED_VALUE"""),"8717323064221")</f>
        <v>8717323064221</v>
      </c>
      <c r="C11977" t="str">
        <f>IFERROR(__xludf.DUMMYFUNCTION("""COMPUTED_VALUE"""),"ECS")</f>
        <v>ECS</v>
      </c>
    </row>
    <row r="11978">
      <c r="A11978" t="str">
        <f>IFERROR(__xludf.DUMMYFUNCTION("""COMPUTED_VALUE"""),"AF011BH")</f>
        <v>AF011BH</v>
      </c>
      <c r="B11978" s="226" t="str">
        <f>IFERROR(__xludf.DUMMYFUNCTION("""COMPUTED_VALUE"""),"8717323028308")</f>
        <v>8717323028308</v>
      </c>
      <c r="C11978" t="str">
        <f>IFERROR(__xludf.DUMMYFUNCTION("""COMPUTED_VALUE"""),"ECS")</f>
        <v>ECS</v>
      </c>
    </row>
    <row r="11979">
      <c r="A11979" t="str">
        <f>IFERROR(__xludf.DUMMYFUNCTION("""COMPUTED_VALUE"""),"AF011BQ")</f>
        <v>AF011BQ</v>
      </c>
      <c r="B11979" s="226" t="str">
        <f>IFERROR(__xludf.DUMMYFUNCTION("""COMPUTED_VALUE"""),"8717323024645")</f>
        <v>8717323024645</v>
      </c>
      <c r="C11979" t="str">
        <f>IFERROR(__xludf.DUMMYFUNCTION("""COMPUTED_VALUE"""),"ECS")</f>
        <v>ECS</v>
      </c>
    </row>
    <row r="11980">
      <c r="A11980" t="str">
        <f>IFERROR(__xludf.DUMMYFUNCTION("""COMPUTED_VALUE"""),"AF011DH")</f>
        <v>AF011DH</v>
      </c>
      <c r="B11980" s="226" t="str">
        <f>IFERROR(__xludf.DUMMYFUNCTION("""COMPUTED_VALUE"""),"8717323029589")</f>
        <v>8717323029589</v>
      </c>
      <c r="C11980" t="str">
        <f>IFERROR(__xludf.DUMMYFUNCTION("""COMPUTED_VALUE"""),"ECS")</f>
        <v>ECS</v>
      </c>
    </row>
    <row r="11981">
      <c r="A11981" t="str">
        <f>IFERROR(__xludf.DUMMYFUNCTION("""COMPUTED_VALUE"""),"AF011DQ")</f>
        <v>AF011DQ</v>
      </c>
      <c r="B11981" s="226" t="str">
        <f>IFERROR(__xludf.DUMMYFUNCTION("""COMPUTED_VALUE"""),"8717323023914")</f>
        <v>8717323023914</v>
      </c>
      <c r="C11981" t="str">
        <f>IFERROR(__xludf.DUMMYFUNCTION("""COMPUTED_VALUE"""),"ECS")</f>
        <v>ECS</v>
      </c>
    </row>
    <row r="11982">
      <c r="A11982" t="str">
        <f>IFERROR(__xludf.DUMMYFUNCTION("""COMPUTED_VALUE"""),"AF005DB")</f>
        <v>AF005DB</v>
      </c>
      <c r="B11982" s="226" t="str">
        <f>IFERROR(__xludf.DUMMYFUNCTION("""COMPUTED_VALUE"""),"8717323010303")</f>
        <v>8717323010303</v>
      </c>
      <c r="C11982" t="str">
        <f>IFERROR(__xludf.DUMMYFUNCTION("""COMPUTED_VALUE"""),"ECS")</f>
        <v>ECS</v>
      </c>
    </row>
    <row r="11983">
      <c r="A11983" t="str">
        <f>IFERROR(__xludf.DUMMYFUNCTION("""COMPUTED_VALUE"""),"AF010BB")</f>
        <v>AF010BB</v>
      </c>
      <c r="B11983" s="226" t="str">
        <f>IFERROR(__xludf.DUMMYFUNCTION("""COMPUTED_VALUE"""),"8717323016572")</f>
        <v>8717323016572</v>
      </c>
      <c r="C11983" t="str">
        <f>IFERROR(__xludf.DUMMYFUNCTION("""COMPUTED_VALUE"""),"ECS")</f>
        <v>ECS</v>
      </c>
    </row>
    <row r="11984">
      <c r="A11984" t="str">
        <f>IFERROR(__xludf.DUMMYFUNCTION("""COMPUTED_VALUE"""),"AF010BH")</f>
        <v>AF010BH</v>
      </c>
      <c r="B11984" s="226" t="str">
        <f>IFERROR(__xludf.DUMMYFUNCTION("""COMPUTED_VALUE"""),"8717323035566")</f>
        <v>8717323035566</v>
      </c>
      <c r="C11984" t="str">
        <f>IFERROR(__xludf.DUMMYFUNCTION("""COMPUTED_VALUE"""),"ECS")</f>
        <v>ECS</v>
      </c>
    </row>
    <row r="11985">
      <c r="A11985" t="str">
        <f>IFERROR(__xludf.DUMMYFUNCTION("""COMPUTED_VALUE"""),"AF010DH")</f>
        <v>AF010DH</v>
      </c>
      <c r="B11985" s="226" t="str">
        <f>IFERROR(__xludf.DUMMYFUNCTION("""COMPUTED_VALUE"""),"8717323016589")</f>
        <v>8717323016589</v>
      </c>
      <c r="C11985" t="str">
        <f>IFERROR(__xludf.DUMMYFUNCTION("""COMPUTED_VALUE"""),"ECS")</f>
        <v>ECS</v>
      </c>
    </row>
    <row r="11986">
      <c r="A11986" t="str">
        <f>IFERROR(__xludf.DUMMYFUNCTION("""COMPUTED_VALUE"""),"AF013BX")</f>
        <v>AF013BX</v>
      </c>
      <c r="B11986" s="226" t="str">
        <f>IFERROR(__xludf.DUMMYFUNCTION("""COMPUTED_VALUE"""),"8717323064665")</f>
        <v>8717323064665</v>
      </c>
      <c r="C11986" t="str">
        <f>IFERROR(__xludf.DUMMYFUNCTION("""COMPUTED_VALUE"""),"ECS")</f>
        <v>ECS</v>
      </c>
    </row>
    <row r="11987">
      <c r="A11987" t="str">
        <f>IFERROR(__xludf.DUMMYFUNCTION("""COMPUTED_VALUE"""),"AF013DX")</f>
        <v>AF013DX</v>
      </c>
      <c r="B11987" s="226" t="str">
        <f>IFERROR(__xludf.DUMMYFUNCTION("""COMPUTED_VALUE"""),"8717323064672")</f>
        <v>8717323064672</v>
      </c>
      <c r="C11987" t="str">
        <f>IFERROR(__xludf.DUMMYFUNCTION("""COMPUTED_VALUE"""),"ECS")</f>
        <v>ECS</v>
      </c>
    </row>
    <row r="11988">
      <c r="A11988" t="str">
        <f>IFERROR(__xludf.DUMMYFUNCTION("""COMPUTED_VALUE"""),"VW104B1")</f>
        <v>VW104B1</v>
      </c>
      <c r="B11988" s="226" t="str">
        <f>IFERROR(__xludf.DUMMYFUNCTION("""COMPUTED_VALUE"""),"8717323025499")</f>
        <v>8717323025499</v>
      </c>
      <c r="C11988" t="str">
        <f>IFERROR(__xludf.DUMMYFUNCTION("""COMPUTED_VALUE"""),"ECS")</f>
        <v>ECS</v>
      </c>
    </row>
    <row r="11989">
      <c r="A11989" t="str">
        <f>IFERROR(__xludf.DUMMYFUNCTION("""COMPUTED_VALUE"""),"VW104D1")</f>
        <v>VW104D1</v>
      </c>
      <c r="B11989" s="226" t="str">
        <f>IFERROR(__xludf.DUMMYFUNCTION("""COMPUTED_VALUE"""),"8717323026069")</f>
        <v>8717323026069</v>
      </c>
      <c r="C11989" t="str">
        <f>IFERROR(__xludf.DUMMYFUNCTION("""COMPUTED_VALUE"""),"ECS")</f>
        <v>ECS</v>
      </c>
    </row>
    <row r="11990">
      <c r="A11990" t="str">
        <f>IFERROR(__xludf.DUMMYFUNCTION("""COMPUTED_VALUE"""),"VW146B1")</f>
        <v>VW146B1</v>
      </c>
      <c r="B11990" s="226" t="str">
        <f>IFERROR(__xludf.DUMMYFUNCTION("""COMPUTED_VALUE"""),"8717323050644")</f>
        <v>8717323050644</v>
      </c>
      <c r="C11990" t="str">
        <f>IFERROR(__xludf.DUMMYFUNCTION("""COMPUTED_VALUE"""),"ECS")</f>
        <v>ECS</v>
      </c>
    </row>
    <row r="11991">
      <c r="A11991" t="str">
        <f>IFERROR(__xludf.DUMMYFUNCTION("""COMPUTED_VALUE"""),"VW146D1")</f>
        <v>VW146D1</v>
      </c>
      <c r="B11991" s="226" t="str">
        <f>IFERROR(__xludf.DUMMYFUNCTION("""COMPUTED_VALUE"""),"8717323050651")</f>
        <v>8717323050651</v>
      </c>
      <c r="C11991" t="str">
        <f>IFERROR(__xludf.DUMMYFUNCTION("""COMPUTED_VALUE"""),"ECS")</f>
        <v>ECS</v>
      </c>
    </row>
    <row r="11992">
      <c r="A11992" t="str">
        <f>IFERROR(__xludf.DUMMYFUNCTION("""COMPUTED_VALUE"""),"VW190B1")</f>
        <v>VW190B1</v>
      </c>
      <c r="B11992" s="226" t="str">
        <f>IFERROR(__xludf.DUMMYFUNCTION("""COMPUTED_VALUE"""),"8717323061039")</f>
        <v>8717323061039</v>
      </c>
      <c r="C11992" t="str">
        <f>IFERROR(__xludf.DUMMYFUNCTION("""COMPUTED_VALUE"""),"ECS")</f>
        <v>ECS</v>
      </c>
    </row>
    <row r="11993">
      <c r="A11993" t="str">
        <f>IFERROR(__xludf.DUMMYFUNCTION("""COMPUTED_VALUE"""),"VW190H1")</f>
        <v>VW190H1</v>
      </c>
      <c r="B11993" s="226" t="str">
        <f>IFERROR(__xludf.DUMMYFUNCTION("""COMPUTED_VALUE"""),"8717323060957")</f>
        <v>8717323060957</v>
      </c>
      <c r="C11993" t="str">
        <f>IFERROR(__xludf.DUMMYFUNCTION("""COMPUTED_VALUE"""),"ECS")</f>
        <v>ECS</v>
      </c>
    </row>
    <row r="11994">
      <c r="A11994" t="str">
        <f>IFERROR(__xludf.DUMMYFUNCTION("""COMPUTED_VALUE"""),"VW104B1")</f>
        <v>VW104B1</v>
      </c>
      <c r="B11994" s="226" t="str">
        <f>IFERROR(__xludf.DUMMYFUNCTION("""COMPUTED_VALUE"""),"8717323025499")</f>
        <v>8717323025499</v>
      </c>
      <c r="C11994" t="str">
        <f>IFERROR(__xludf.DUMMYFUNCTION("""COMPUTED_VALUE"""),"ECS")</f>
        <v>ECS</v>
      </c>
    </row>
    <row r="11995">
      <c r="A11995" t="str">
        <f>IFERROR(__xludf.DUMMYFUNCTION("""COMPUTED_VALUE"""),"VW104D1")</f>
        <v>VW104D1</v>
      </c>
      <c r="B11995" s="226" t="str">
        <f>IFERROR(__xludf.DUMMYFUNCTION("""COMPUTED_VALUE"""),"8717323026069")</f>
        <v>8717323026069</v>
      </c>
      <c r="C11995" t="str">
        <f>IFERROR(__xludf.DUMMYFUNCTION("""COMPUTED_VALUE"""),"ECS")</f>
        <v>ECS</v>
      </c>
    </row>
    <row r="11996">
      <c r="A11996" t="str">
        <f>IFERROR(__xludf.DUMMYFUNCTION("""COMPUTED_VALUE"""),"VW146B1")</f>
        <v>VW146B1</v>
      </c>
      <c r="B11996" s="226" t="str">
        <f>IFERROR(__xludf.DUMMYFUNCTION("""COMPUTED_VALUE"""),"8717323050644")</f>
        <v>8717323050644</v>
      </c>
      <c r="C11996" t="str">
        <f>IFERROR(__xludf.DUMMYFUNCTION("""COMPUTED_VALUE"""),"ECS")</f>
        <v>ECS</v>
      </c>
    </row>
    <row r="11997">
      <c r="A11997" t="str">
        <f>IFERROR(__xludf.DUMMYFUNCTION("""COMPUTED_VALUE"""),"VW146D1")</f>
        <v>VW146D1</v>
      </c>
      <c r="B11997" s="226" t="str">
        <f>IFERROR(__xludf.DUMMYFUNCTION("""COMPUTED_VALUE"""),"8717323050651")</f>
        <v>8717323050651</v>
      </c>
      <c r="C11997" t="str">
        <f>IFERROR(__xludf.DUMMYFUNCTION("""COMPUTED_VALUE"""),"ECS")</f>
        <v>ECS</v>
      </c>
    </row>
    <row r="11998">
      <c r="A11998" t="str">
        <f>IFERROR(__xludf.DUMMYFUNCTION("""COMPUTED_VALUE"""),"VW190B1")</f>
        <v>VW190B1</v>
      </c>
      <c r="B11998" s="226" t="str">
        <f>IFERROR(__xludf.DUMMYFUNCTION("""COMPUTED_VALUE"""),"8717323061039")</f>
        <v>8717323061039</v>
      </c>
      <c r="C11998" t="str">
        <f>IFERROR(__xludf.DUMMYFUNCTION("""COMPUTED_VALUE"""),"ECS")</f>
        <v>ECS</v>
      </c>
    </row>
    <row r="11999">
      <c r="A11999" t="str">
        <f>IFERROR(__xludf.DUMMYFUNCTION("""COMPUTED_VALUE"""),"VW190H1")</f>
        <v>VW190H1</v>
      </c>
      <c r="B11999" s="226" t="str">
        <f>IFERROR(__xludf.DUMMYFUNCTION("""COMPUTED_VALUE"""),"8717323060957")</f>
        <v>8717323060957</v>
      </c>
      <c r="C11999" t="str">
        <f>IFERROR(__xludf.DUMMYFUNCTION("""COMPUTED_VALUE"""),"ECS")</f>
        <v>ECS</v>
      </c>
    </row>
    <row r="12000">
      <c r="A12000" t="str">
        <f>IFERROR(__xludf.DUMMYFUNCTION("""COMPUTED_VALUE"""),"VAG041B")</f>
        <v>VAG041B</v>
      </c>
      <c r="B12000" s="226" t="str">
        <f>IFERROR(__xludf.DUMMYFUNCTION("""COMPUTED_VALUE"""),"8717323008553")</f>
        <v>8717323008553</v>
      </c>
      <c r="C12000" t="str">
        <f>IFERROR(__xludf.DUMMYFUNCTION("""COMPUTED_VALUE"""),"ECS")</f>
        <v>ECS</v>
      </c>
    </row>
    <row r="12001">
      <c r="A12001" t="str">
        <f>IFERROR(__xludf.DUMMYFUNCTION("""COMPUTED_VALUE"""),"AU037B1")</f>
        <v>AU037B1</v>
      </c>
      <c r="B12001" s="226" t="str">
        <f>IFERROR(__xludf.DUMMYFUNCTION("""COMPUTED_VALUE"""),"8717323025185")</f>
        <v>8717323025185</v>
      </c>
      <c r="C12001" t="str">
        <f>IFERROR(__xludf.DUMMYFUNCTION("""COMPUTED_VALUE"""),"ECS")</f>
        <v>ECS</v>
      </c>
    </row>
    <row r="12002">
      <c r="A12002" t="str">
        <f>IFERROR(__xludf.DUMMYFUNCTION("""COMPUTED_VALUE"""),"AU037D1")</f>
        <v>AU037D1</v>
      </c>
      <c r="B12002" s="226" t="str">
        <f>IFERROR(__xludf.DUMMYFUNCTION("""COMPUTED_VALUE"""),"8717323024669")</f>
        <v>8717323024669</v>
      </c>
      <c r="C12002" t="str">
        <f>IFERROR(__xludf.DUMMYFUNCTION("""COMPUTED_VALUE"""),"ECS")</f>
        <v>ECS</v>
      </c>
    </row>
    <row r="12003">
      <c r="A12003" t="str">
        <f>IFERROR(__xludf.DUMMYFUNCTION("""COMPUTED_VALUE"""),"VW146B1")</f>
        <v>VW146B1</v>
      </c>
      <c r="B12003" s="226" t="str">
        <f>IFERROR(__xludf.DUMMYFUNCTION("""COMPUTED_VALUE"""),"8717323050644")</f>
        <v>8717323050644</v>
      </c>
      <c r="C12003" t="str">
        <f>IFERROR(__xludf.DUMMYFUNCTION("""COMPUTED_VALUE"""),"ECS")</f>
        <v>ECS</v>
      </c>
    </row>
    <row r="12004">
      <c r="A12004" t="str">
        <f>IFERROR(__xludf.DUMMYFUNCTION("""COMPUTED_VALUE"""),"VW146D1")</f>
        <v>VW146D1</v>
      </c>
      <c r="B12004" s="226" t="str">
        <f>IFERROR(__xludf.DUMMYFUNCTION("""COMPUTED_VALUE"""),"8717323050651")</f>
        <v>8717323050651</v>
      </c>
      <c r="C12004" t="str">
        <f>IFERROR(__xludf.DUMMYFUNCTION("""COMPUTED_VALUE"""),"ECS")</f>
        <v>ECS</v>
      </c>
    </row>
    <row r="12005">
      <c r="A12005" t="str">
        <f>IFERROR(__xludf.DUMMYFUNCTION("""COMPUTED_VALUE"""),"VW190B1")</f>
        <v>VW190B1</v>
      </c>
      <c r="B12005" s="226" t="str">
        <f>IFERROR(__xludf.DUMMYFUNCTION("""COMPUTED_VALUE"""),"8717323061039")</f>
        <v>8717323061039</v>
      </c>
      <c r="C12005" t="str">
        <f>IFERROR(__xludf.DUMMYFUNCTION("""COMPUTED_VALUE"""),"ECS")</f>
        <v>ECS</v>
      </c>
    </row>
    <row r="12006">
      <c r="A12006" t="str">
        <f>IFERROR(__xludf.DUMMYFUNCTION("""COMPUTED_VALUE"""),"VW190H1")</f>
        <v>VW190H1</v>
      </c>
      <c r="B12006" s="226" t="str">
        <f>IFERROR(__xludf.DUMMYFUNCTION("""COMPUTED_VALUE"""),"8717323060957")</f>
        <v>8717323060957</v>
      </c>
      <c r="C12006" t="str">
        <f>IFERROR(__xludf.DUMMYFUNCTION("""COMPUTED_VALUE"""),"ECS")</f>
        <v>ECS</v>
      </c>
    </row>
    <row r="12007">
      <c r="A12007" t="str">
        <f>IFERROR(__xludf.DUMMYFUNCTION("""COMPUTED_VALUE"""),"AU057B1")</f>
        <v>AU057B1</v>
      </c>
      <c r="B12007" s="226" t="str">
        <f>IFERROR(__xludf.DUMMYFUNCTION("""COMPUTED_VALUE"""),"8717323050088")</f>
        <v>8717323050088</v>
      </c>
      <c r="C12007" t="str">
        <f>IFERROR(__xludf.DUMMYFUNCTION("""COMPUTED_VALUE"""),"ECS")</f>
        <v>ECS</v>
      </c>
    </row>
    <row r="12008">
      <c r="A12008" t="str">
        <f>IFERROR(__xludf.DUMMYFUNCTION("""COMPUTED_VALUE"""),"AU057H1")</f>
        <v>AU057H1</v>
      </c>
      <c r="B12008" s="226" t="str">
        <f>IFERROR(__xludf.DUMMYFUNCTION("""COMPUTED_VALUE"""),"8717323050101")</f>
        <v>8717323050101</v>
      </c>
      <c r="C12008" t="str">
        <f>IFERROR(__xludf.DUMMYFUNCTION("""COMPUTED_VALUE"""),"ECS")</f>
        <v>ECS</v>
      </c>
    </row>
    <row r="12009">
      <c r="A12009" t="str">
        <f>IFERROR(__xludf.DUMMYFUNCTION("""COMPUTED_VALUE"""),"AU037B1")</f>
        <v>AU037B1</v>
      </c>
      <c r="B12009" s="226" t="str">
        <f>IFERROR(__xludf.DUMMYFUNCTION("""COMPUTED_VALUE"""),"8717323025185")</f>
        <v>8717323025185</v>
      </c>
      <c r="C12009" t="str">
        <f>IFERROR(__xludf.DUMMYFUNCTION("""COMPUTED_VALUE"""),"ECS")</f>
        <v>ECS</v>
      </c>
    </row>
    <row r="12010">
      <c r="A12010" t="str">
        <f>IFERROR(__xludf.DUMMYFUNCTION("""COMPUTED_VALUE"""),"AU037D1")</f>
        <v>AU037D1</v>
      </c>
      <c r="B12010" s="226" t="str">
        <f>IFERROR(__xludf.DUMMYFUNCTION("""COMPUTED_VALUE"""),"8717323024669")</f>
        <v>8717323024669</v>
      </c>
      <c r="C12010" t="str">
        <f>IFERROR(__xludf.DUMMYFUNCTION("""COMPUTED_VALUE"""),"ECS")</f>
        <v>ECS</v>
      </c>
    </row>
    <row r="12011">
      <c r="A12011" t="str">
        <f>IFERROR(__xludf.DUMMYFUNCTION("""COMPUTED_VALUE"""),"VW146B1")</f>
        <v>VW146B1</v>
      </c>
      <c r="B12011" s="226" t="str">
        <f>IFERROR(__xludf.DUMMYFUNCTION("""COMPUTED_VALUE"""),"8717323050644")</f>
        <v>8717323050644</v>
      </c>
      <c r="C12011" t="str">
        <f>IFERROR(__xludf.DUMMYFUNCTION("""COMPUTED_VALUE"""),"ECS")</f>
        <v>ECS</v>
      </c>
    </row>
    <row r="12012">
      <c r="A12012" t="str">
        <f>IFERROR(__xludf.DUMMYFUNCTION("""COMPUTED_VALUE"""),"VW146D1")</f>
        <v>VW146D1</v>
      </c>
      <c r="B12012" s="226" t="str">
        <f>IFERROR(__xludf.DUMMYFUNCTION("""COMPUTED_VALUE"""),"8717323050651")</f>
        <v>8717323050651</v>
      </c>
      <c r="C12012" t="str">
        <f>IFERROR(__xludf.DUMMYFUNCTION("""COMPUTED_VALUE"""),"ECS")</f>
        <v>ECS</v>
      </c>
    </row>
    <row r="12013">
      <c r="A12013" t="str">
        <f>IFERROR(__xludf.DUMMYFUNCTION("""COMPUTED_VALUE"""),"VW190B1")</f>
        <v>VW190B1</v>
      </c>
      <c r="B12013" s="226" t="str">
        <f>IFERROR(__xludf.DUMMYFUNCTION("""COMPUTED_VALUE"""),"8717323061039")</f>
        <v>8717323061039</v>
      </c>
      <c r="C12013" t="str">
        <f>IFERROR(__xludf.DUMMYFUNCTION("""COMPUTED_VALUE"""),"ECS")</f>
        <v>ECS</v>
      </c>
    </row>
    <row r="12014">
      <c r="A12014" t="str">
        <f>IFERROR(__xludf.DUMMYFUNCTION("""COMPUTED_VALUE"""),"VW190H1")</f>
        <v>VW190H1</v>
      </c>
      <c r="B12014" s="226" t="str">
        <f>IFERROR(__xludf.DUMMYFUNCTION("""COMPUTED_VALUE"""),"8717323060957")</f>
        <v>8717323060957</v>
      </c>
      <c r="C12014" t="str">
        <f>IFERROR(__xludf.DUMMYFUNCTION("""COMPUTED_VALUE"""),"ECS")</f>
        <v>ECS</v>
      </c>
    </row>
    <row r="12015">
      <c r="A12015" t="str">
        <f>IFERROR(__xludf.DUMMYFUNCTION("""COMPUTED_VALUE"""),"VW146B1")</f>
        <v>VW146B1</v>
      </c>
      <c r="B12015" s="226" t="str">
        <f>IFERROR(__xludf.DUMMYFUNCTION("""COMPUTED_VALUE"""),"8717323050644")</f>
        <v>8717323050644</v>
      </c>
      <c r="C12015" t="str">
        <f>IFERROR(__xludf.DUMMYFUNCTION("""COMPUTED_VALUE"""),"ECS")</f>
        <v>ECS</v>
      </c>
    </row>
    <row r="12016">
      <c r="A12016" t="str">
        <f>IFERROR(__xludf.DUMMYFUNCTION("""COMPUTED_VALUE"""),"VW146D1")</f>
        <v>VW146D1</v>
      </c>
      <c r="B12016" s="226" t="str">
        <f>IFERROR(__xludf.DUMMYFUNCTION("""COMPUTED_VALUE"""),"8717323050651")</f>
        <v>8717323050651</v>
      </c>
      <c r="C12016" t="str">
        <f>IFERROR(__xludf.DUMMYFUNCTION("""COMPUTED_VALUE"""),"ECS")</f>
        <v>ECS</v>
      </c>
    </row>
    <row r="12017">
      <c r="A12017" t="str">
        <f>IFERROR(__xludf.DUMMYFUNCTION("""COMPUTED_VALUE"""),"VW190B1")</f>
        <v>VW190B1</v>
      </c>
      <c r="B12017" s="226" t="str">
        <f>IFERROR(__xludf.DUMMYFUNCTION("""COMPUTED_VALUE"""),"8717323061039")</f>
        <v>8717323061039</v>
      </c>
      <c r="C12017" t="str">
        <f>IFERROR(__xludf.DUMMYFUNCTION("""COMPUTED_VALUE"""),"ECS")</f>
        <v>ECS</v>
      </c>
    </row>
    <row r="12018">
      <c r="A12018" t="str">
        <f>IFERROR(__xludf.DUMMYFUNCTION("""COMPUTED_VALUE"""),"VW190H1")</f>
        <v>VW190H1</v>
      </c>
      <c r="B12018" s="226" t="str">
        <f>IFERROR(__xludf.DUMMYFUNCTION("""COMPUTED_VALUE"""),"8717323060957")</f>
        <v>8717323060957</v>
      </c>
      <c r="C12018" t="str">
        <f>IFERROR(__xludf.DUMMYFUNCTION("""COMPUTED_VALUE"""),"ECS")</f>
        <v>ECS</v>
      </c>
    </row>
    <row r="12019">
      <c r="A12019" t="str">
        <f>IFERROR(__xludf.DUMMYFUNCTION("""COMPUTED_VALUE"""),"AU057B1")</f>
        <v>AU057B1</v>
      </c>
      <c r="B12019" s="226" t="str">
        <f>IFERROR(__xludf.DUMMYFUNCTION("""COMPUTED_VALUE"""),"8717323050088")</f>
        <v>8717323050088</v>
      </c>
      <c r="C12019" t="str">
        <f>IFERROR(__xludf.DUMMYFUNCTION("""COMPUTED_VALUE"""),"ECS")</f>
        <v>ECS</v>
      </c>
    </row>
    <row r="12020">
      <c r="A12020" t="str">
        <f>IFERROR(__xludf.DUMMYFUNCTION("""COMPUTED_VALUE"""),"AU057H1")</f>
        <v>AU057H1</v>
      </c>
      <c r="B12020" s="226" t="str">
        <f>IFERROR(__xludf.DUMMYFUNCTION("""COMPUTED_VALUE"""),"8717323050101")</f>
        <v>8717323050101</v>
      </c>
      <c r="C12020" t="str">
        <f>IFERROR(__xludf.DUMMYFUNCTION("""COMPUTED_VALUE"""),"ECS")</f>
        <v>ECS</v>
      </c>
    </row>
    <row r="12021">
      <c r="A12021" t="str">
        <f>IFERROR(__xludf.DUMMYFUNCTION("""COMPUTED_VALUE"""),"AU037B1")</f>
        <v>AU037B1</v>
      </c>
      <c r="B12021" s="226" t="str">
        <f>IFERROR(__xludf.DUMMYFUNCTION("""COMPUTED_VALUE"""),"8717323025185")</f>
        <v>8717323025185</v>
      </c>
      <c r="C12021" t="str">
        <f>IFERROR(__xludf.DUMMYFUNCTION("""COMPUTED_VALUE"""),"ECS")</f>
        <v>ECS</v>
      </c>
    </row>
    <row r="12022">
      <c r="A12022" t="str">
        <f>IFERROR(__xludf.DUMMYFUNCTION("""COMPUTED_VALUE"""),"AU037D1")</f>
        <v>AU037D1</v>
      </c>
      <c r="B12022" s="226" t="str">
        <f>IFERROR(__xludf.DUMMYFUNCTION("""COMPUTED_VALUE"""),"8717323024669")</f>
        <v>8717323024669</v>
      </c>
      <c r="C12022" t="str">
        <f>IFERROR(__xludf.DUMMYFUNCTION("""COMPUTED_VALUE"""),"ECS")</f>
        <v>ECS</v>
      </c>
    </row>
    <row r="12023">
      <c r="A12023" t="str">
        <f>IFERROR(__xludf.DUMMYFUNCTION("""COMPUTED_VALUE"""),"VW146B1")</f>
        <v>VW146B1</v>
      </c>
      <c r="B12023" s="226" t="str">
        <f>IFERROR(__xludf.DUMMYFUNCTION("""COMPUTED_VALUE"""),"8717323050644")</f>
        <v>8717323050644</v>
      </c>
      <c r="C12023" t="str">
        <f>IFERROR(__xludf.DUMMYFUNCTION("""COMPUTED_VALUE"""),"ECS")</f>
        <v>ECS</v>
      </c>
    </row>
    <row r="12024">
      <c r="A12024" t="str">
        <f>IFERROR(__xludf.DUMMYFUNCTION("""COMPUTED_VALUE"""),"VW146D1")</f>
        <v>VW146D1</v>
      </c>
      <c r="B12024" s="226" t="str">
        <f>IFERROR(__xludf.DUMMYFUNCTION("""COMPUTED_VALUE"""),"8717323050651")</f>
        <v>8717323050651</v>
      </c>
      <c r="C12024" t="str">
        <f>IFERROR(__xludf.DUMMYFUNCTION("""COMPUTED_VALUE"""),"ECS")</f>
        <v>ECS</v>
      </c>
    </row>
    <row r="12025">
      <c r="A12025" t="str">
        <f>IFERROR(__xludf.DUMMYFUNCTION("""COMPUTED_VALUE"""),"VW190B1")</f>
        <v>VW190B1</v>
      </c>
      <c r="B12025" s="226" t="str">
        <f>IFERROR(__xludf.DUMMYFUNCTION("""COMPUTED_VALUE"""),"8717323061039")</f>
        <v>8717323061039</v>
      </c>
      <c r="C12025" t="str">
        <f>IFERROR(__xludf.DUMMYFUNCTION("""COMPUTED_VALUE"""),"ECS")</f>
        <v>ECS</v>
      </c>
    </row>
    <row r="12026">
      <c r="A12026" t="str">
        <f>IFERROR(__xludf.DUMMYFUNCTION("""COMPUTED_VALUE"""),"VW190H1")</f>
        <v>VW190H1</v>
      </c>
      <c r="B12026" s="226" t="str">
        <f>IFERROR(__xludf.DUMMYFUNCTION("""COMPUTED_VALUE"""),"8717323060957")</f>
        <v>8717323060957</v>
      </c>
      <c r="C12026" t="str">
        <f>IFERROR(__xludf.DUMMYFUNCTION("""COMPUTED_VALUE"""),"ECS")</f>
        <v>ECS</v>
      </c>
    </row>
    <row r="12027">
      <c r="A12027" t="str">
        <f>IFERROR(__xludf.DUMMYFUNCTION("""COMPUTED_VALUE"""),"AU057B1")</f>
        <v>AU057B1</v>
      </c>
      <c r="B12027" s="226" t="str">
        <f>IFERROR(__xludf.DUMMYFUNCTION("""COMPUTED_VALUE"""),"8717323050088")</f>
        <v>8717323050088</v>
      </c>
      <c r="C12027" t="str">
        <f>IFERROR(__xludf.DUMMYFUNCTION("""COMPUTED_VALUE"""),"ECS")</f>
        <v>ECS</v>
      </c>
    </row>
    <row r="12028">
      <c r="A12028" t="str">
        <f>IFERROR(__xludf.DUMMYFUNCTION("""COMPUTED_VALUE"""),"AU057H1")</f>
        <v>AU057H1</v>
      </c>
      <c r="B12028" s="226" t="str">
        <f>IFERROR(__xludf.DUMMYFUNCTION("""COMPUTED_VALUE"""),"8717323050101")</f>
        <v>8717323050101</v>
      </c>
      <c r="C12028" t="str">
        <f>IFERROR(__xludf.DUMMYFUNCTION("""COMPUTED_VALUE"""),"ECS")</f>
        <v>ECS</v>
      </c>
    </row>
    <row r="12029">
      <c r="A12029" t="str">
        <f>IFERROR(__xludf.DUMMYFUNCTION("""COMPUTED_VALUE"""),"AU053DG")</f>
        <v>AU053DG</v>
      </c>
      <c r="B12029" s="226" t="str">
        <f>IFERROR(__xludf.DUMMYFUNCTION("""COMPUTED_VALUE"""),"8717323047095")</f>
        <v>8717323047095</v>
      </c>
      <c r="C12029" t="str">
        <f>IFERROR(__xludf.DUMMYFUNCTION("""COMPUTED_VALUE"""),"ECS")</f>
        <v>ECS</v>
      </c>
    </row>
    <row r="12030">
      <c r="A12030" t="str">
        <f>IFERROR(__xludf.DUMMYFUNCTION("""COMPUTED_VALUE"""),"AU037B1")</f>
        <v>AU037B1</v>
      </c>
      <c r="B12030" s="226" t="str">
        <f>IFERROR(__xludf.DUMMYFUNCTION("""COMPUTED_VALUE"""),"8717323025185")</f>
        <v>8717323025185</v>
      </c>
      <c r="C12030" t="str">
        <f>IFERROR(__xludf.DUMMYFUNCTION("""COMPUTED_VALUE"""),"ECS")</f>
        <v>ECS</v>
      </c>
    </row>
    <row r="12031">
      <c r="A12031" t="str">
        <f>IFERROR(__xludf.DUMMYFUNCTION("""COMPUTED_VALUE"""),"AU037D1")</f>
        <v>AU037D1</v>
      </c>
      <c r="B12031" s="226" t="str">
        <f>IFERROR(__xludf.DUMMYFUNCTION("""COMPUTED_VALUE"""),"8717323024669")</f>
        <v>8717323024669</v>
      </c>
      <c r="C12031" t="str">
        <f>IFERROR(__xludf.DUMMYFUNCTION("""COMPUTED_VALUE"""),"ECS")</f>
        <v>ECS</v>
      </c>
    </row>
    <row r="12032">
      <c r="A12032" t="str">
        <f>IFERROR(__xludf.DUMMYFUNCTION("""COMPUTED_VALUE"""),"AU053DG")</f>
        <v>AU053DG</v>
      </c>
      <c r="B12032" s="226" t="str">
        <f>IFERROR(__xludf.DUMMYFUNCTION("""COMPUTED_VALUE"""),"8717323047095")</f>
        <v>8717323047095</v>
      </c>
      <c r="C12032" t="str">
        <f>IFERROR(__xludf.DUMMYFUNCTION("""COMPUTED_VALUE"""),"ECS")</f>
        <v>ECS</v>
      </c>
    </row>
    <row r="12033">
      <c r="A12033" t="str">
        <f>IFERROR(__xludf.DUMMYFUNCTION("""COMPUTED_VALUE"""),"AU037B1")</f>
        <v>AU037B1</v>
      </c>
      <c r="B12033" s="226" t="str">
        <f>IFERROR(__xludf.DUMMYFUNCTION("""COMPUTED_VALUE"""),"8717323025185")</f>
        <v>8717323025185</v>
      </c>
      <c r="C12033" t="str">
        <f>IFERROR(__xludf.DUMMYFUNCTION("""COMPUTED_VALUE"""),"ECS")</f>
        <v>ECS</v>
      </c>
    </row>
    <row r="12034">
      <c r="A12034" t="str">
        <f>IFERROR(__xludf.DUMMYFUNCTION("""COMPUTED_VALUE"""),"AU037D1")</f>
        <v>AU037D1</v>
      </c>
      <c r="B12034" s="226" t="str">
        <f>IFERROR(__xludf.DUMMYFUNCTION("""COMPUTED_VALUE"""),"8717323024669")</f>
        <v>8717323024669</v>
      </c>
      <c r="C12034" t="str">
        <f>IFERROR(__xludf.DUMMYFUNCTION("""COMPUTED_VALUE"""),"ECS")</f>
        <v>ECS</v>
      </c>
    </row>
    <row r="12035">
      <c r="A12035" t="str">
        <f>IFERROR(__xludf.DUMMYFUNCTION("""COMPUTED_VALUE"""),"AU042B1")</f>
        <v>AU042B1</v>
      </c>
      <c r="B12035" s="226" t="str">
        <f>IFERROR(__xludf.DUMMYFUNCTION("""COMPUTED_VALUE"""),"8717323027967")</f>
        <v>8717323027967</v>
      </c>
      <c r="C12035" t="str">
        <f>IFERROR(__xludf.DUMMYFUNCTION("""COMPUTED_VALUE"""),"ECS")</f>
        <v>ECS</v>
      </c>
    </row>
    <row r="12036">
      <c r="A12036" t="str">
        <f>IFERROR(__xludf.DUMMYFUNCTION("""COMPUTED_VALUE"""),"AU042D1")</f>
        <v>AU042D1</v>
      </c>
      <c r="B12036" s="226" t="str">
        <f>IFERROR(__xludf.DUMMYFUNCTION("""COMPUTED_VALUE"""),"8717323028100")</f>
        <v>8717323028100</v>
      </c>
      <c r="C12036" t="str">
        <f>IFERROR(__xludf.DUMMYFUNCTION("""COMPUTED_VALUE"""),"ECS")</f>
        <v>ECS</v>
      </c>
    </row>
    <row r="12037">
      <c r="A12037" t="str">
        <f>IFERROR(__xludf.DUMMYFUNCTION("""COMPUTED_VALUE"""),"AU054B1")</f>
        <v>AU054B1</v>
      </c>
      <c r="B12037" s="226" t="str">
        <f>IFERROR(__xludf.DUMMYFUNCTION("""COMPUTED_VALUE"""),"8717323047606")</f>
        <v>8717323047606</v>
      </c>
      <c r="C12037" t="str">
        <f>IFERROR(__xludf.DUMMYFUNCTION("""COMPUTED_VALUE"""),"ECS")</f>
        <v>ECS</v>
      </c>
    </row>
    <row r="12038">
      <c r="A12038" t="str">
        <f>IFERROR(__xludf.DUMMYFUNCTION("""COMPUTED_VALUE"""),"AU054D1")</f>
        <v>AU054D1</v>
      </c>
      <c r="B12038" s="226" t="str">
        <f>IFERROR(__xludf.DUMMYFUNCTION("""COMPUTED_VALUE"""),"8717323047613")</f>
        <v>8717323047613</v>
      </c>
      <c r="C12038" t="str">
        <f>IFERROR(__xludf.DUMMYFUNCTION("""COMPUTED_VALUE"""),"ECS")</f>
        <v>ECS</v>
      </c>
    </row>
    <row r="12039">
      <c r="A12039" t="str">
        <f>IFERROR(__xludf.DUMMYFUNCTION("""COMPUTED_VALUE"""),"AU061BX")</f>
        <v>AU061BX</v>
      </c>
      <c r="B12039" s="226" t="str">
        <f>IFERROR(__xludf.DUMMYFUNCTION("""COMPUTED_VALUE"""),"8717323055663")</f>
        <v>8717323055663</v>
      </c>
      <c r="C12039" t="str">
        <f>IFERROR(__xludf.DUMMYFUNCTION("""COMPUTED_VALUE"""),"ECS")</f>
        <v>ECS</v>
      </c>
    </row>
    <row r="12040">
      <c r="A12040" t="str">
        <f>IFERROR(__xludf.DUMMYFUNCTION("""COMPUTED_VALUE"""),"AU061HX")</f>
        <v>AU061HX</v>
      </c>
      <c r="B12040" s="226" t="str">
        <f>IFERROR(__xludf.DUMMYFUNCTION("""COMPUTED_VALUE"""),"8717323055670")</f>
        <v>8717323055670</v>
      </c>
      <c r="C12040" t="str">
        <f>IFERROR(__xludf.DUMMYFUNCTION("""COMPUTED_VALUE"""),"ECS")</f>
        <v>ECS</v>
      </c>
    </row>
    <row r="12041">
      <c r="A12041" t="str">
        <f>IFERROR(__xludf.DUMMYFUNCTION("""COMPUTED_VALUE"""),"AU068B1")</f>
        <v>AU068B1</v>
      </c>
      <c r="B12041" s="226" t="str">
        <f>IFERROR(__xludf.DUMMYFUNCTION("""COMPUTED_VALUE"""),"8717323061756")</f>
        <v>8717323061756</v>
      </c>
      <c r="C12041" t="str">
        <f>IFERROR(__xludf.DUMMYFUNCTION("""COMPUTED_VALUE"""),"ECS")</f>
        <v>ECS</v>
      </c>
    </row>
    <row r="12042">
      <c r="A12042" t="str">
        <f>IFERROR(__xludf.DUMMYFUNCTION("""COMPUTED_VALUE"""),"AU068H1")</f>
        <v>AU068H1</v>
      </c>
      <c r="B12042" s="226" t="str">
        <f>IFERROR(__xludf.DUMMYFUNCTION("""COMPUTED_VALUE"""),"8717323061763")</f>
        <v>8717323061763</v>
      </c>
      <c r="C12042" t="str">
        <f>IFERROR(__xludf.DUMMYFUNCTION("""COMPUTED_VALUE"""),"ECS")</f>
        <v>ECS</v>
      </c>
    </row>
    <row r="12043">
      <c r="A12043" t="str">
        <f>IFERROR(__xludf.DUMMYFUNCTION("""COMPUTED_VALUE"""),"AU053DG")</f>
        <v>AU053DG</v>
      </c>
      <c r="B12043" s="226" t="str">
        <f>IFERROR(__xludf.DUMMYFUNCTION("""COMPUTED_VALUE"""),"8717323047095")</f>
        <v>8717323047095</v>
      </c>
      <c r="C12043" t="str">
        <f>IFERROR(__xludf.DUMMYFUNCTION("""COMPUTED_VALUE"""),"ECS")</f>
        <v>ECS</v>
      </c>
    </row>
    <row r="12044">
      <c r="A12044" t="str">
        <f>IFERROR(__xludf.DUMMYFUNCTION("""COMPUTED_VALUE"""),"AU037B1")</f>
        <v>AU037B1</v>
      </c>
      <c r="B12044" s="226" t="str">
        <f>IFERROR(__xludf.DUMMYFUNCTION("""COMPUTED_VALUE"""),"8717323025185")</f>
        <v>8717323025185</v>
      </c>
      <c r="C12044" t="str">
        <f>IFERROR(__xludf.DUMMYFUNCTION("""COMPUTED_VALUE"""),"ECS")</f>
        <v>ECS</v>
      </c>
    </row>
    <row r="12045">
      <c r="A12045" t="str">
        <f>IFERROR(__xludf.DUMMYFUNCTION("""COMPUTED_VALUE"""),"AU037D1")</f>
        <v>AU037D1</v>
      </c>
      <c r="B12045" s="226" t="str">
        <f>IFERROR(__xludf.DUMMYFUNCTION("""COMPUTED_VALUE"""),"8717323024669")</f>
        <v>8717323024669</v>
      </c>
      <c r="C12045" t="str">
        <f>IFERROR(__xludf.DUMMYFUNCTION("""COMPUTED_VALUE"""),"ECS")</f>
        <v>ECS</v>
      </c>
    </row>
    <row r="12046">
      <c r="A12046" t="str">
        <f>IFERROR(__xludf.DUMMYFUNCTION("""COMPUTED_VALUE"""),"AU042B1")</f>
        <v>AU042B1</v>
      </c>
      <c r="B12046" s="226" t="str">
        <f>IFERROR(__xludf.DUMMYFUNCTION("""COMPUTED_VALUE"""),"8717323027967")</f>
        <v>8717323027967</v>
      </c>
      <c r="C12046" t="str">
        <f>IFERROR(__xludf.DUMMYFUNCTION("""COMPUTED_VALUE"""),"ECS")</f>
        <v>ECS</v>
      </c>
    </row>
    <row r="12047">
      <c r="A12047" t="str">
        <f>IFERROR(__xludf.DUMMYFUNCTION("""COMPUTED_VALUE"""),"AU042D1")</f>
        <v>AU042D1</v>
      </c>
      <c r="B12047" s="226" t="str">
        <f>IFERROR(__xludf.DUMMYFUNCTION("""COMPUTED_VALUE"""),"8717323028100")</f>
        <v>8717323028100</v>
      </c>
      <c r="C12047" t="str">
        <f>IFERROR(__xludf.DUMMYFUNCTION("""COMPUTED_VALUE"""),"ECS")</f>
        <v>ECS</v>
      </c>
    </row>
    <row r="12048">
      <c r="A12048" t="str">
        <f>IFERROR(__xludf.DUMMYFUNCTION("""COMPUTED_VALUE"""),"AU054B1")</f>
        <v>AU054B1</v>
      </c>
      <c r="B12048" s="226" t="str">
        <f>IFERROR(__xludf.DUMMYFUNCTION("""COMPUTED_VALUE"""),"8717323047606")</f>
        <v>8717323047606</v>
      </c>
      <c r="C12048" t="str">
        <f>IFERROR(__xludf.DUMMYFUNCTION("""COMPUTED_VALUE"""),"ECS")</f>
        <v>ECS</v>
      </c>
    </row>
    <row r="12049">
      <c r="A12049" t="str">
        <f>IFERROR(__xludf.DUMMYFUNCTION("""COMPUTED_VALUE"""),"AU054D1")</f>
        <v>AU054D1</v>
      </c>
      <c r="B12049" s="226" t="str">
        <f>IFERROR(__xludf.DUMMYFUNCTION("""COMPUTED_VALUE"""),"8717323047613")</f>
        <v>8717323047613</v>
      </c>
      <c r="C12049" t="str">
        <f>IFERROR(__xludf.DUMMYFUNCTION("""COMPUTED_VALUE"""),"ECS")</f>
        <v>ECS</v>
      </c>
    </row>
    <row r="12050">
      <c r="A12050" t="str">
        <f>IFERROR(__xludf.DUMMYFUNCTION("""COMPUTED_VALUE"""),"AU061BX")</f>
        <v>AU061BX</v>
      </c>
      <c r="B12050" s="226" t="str">
        <f>IFERROR(__xludf.DUMMYFUNCTION("""COMPUTED_VALUE"""),"8717323055663")</f>
        <v>8717323055663</v>
      </c>
      <c r="C12050" t="str">
        <f>IFERROR(__xludf.DUMMYFUNCTION("""COMPUTED_VALUE"""),"ECS")</f>
        <v>ECS</v>
      </c>
    </row>
    <row r="12051">
      <c r="A12051" t="str">
        <f>IFERROR(__xludf.DUMMYFUNCTION("""COMPUTED_VALUE"""),"AU061HX")</f>
        <v>AU061HX</v>
      </c>
      <c r="B12051" s="226" t="str">
        <f>IFERROR(__xludf.DUMMYFUNCTION("""COMPUTED_VALUE"""),"8717323055670")</f>
        <v>8717323055670</v>
      </c>
      <c r="C12051" t="str">
        <f>IFERROR(__xludf.DUMMYFUNCTION("""COMPUTED_VALUE"""),"ECS")</f>
        <v>ECS</v>
      </c>
    </row>
    <row r="12052">
      <c r="A12052" t="str">
        <f>IFERROR(__xludf.DUMMYFUNCTION("""COMPUTED_VALUE"""),"AU068B1")</f>
        <v>AU068B1</v>
      </c>
      <c r="B12052" s="226" t="str">
        <f>IFERROR(__xludf.DUMMYFUNCTION("""COMPUTED_VALUE"""),"8717323061756")</f>
        <v>8717323061756</v>
      </c>
      <c r="C12052" t="str">
        <f>IFERROR(__xludf.DUMMYFUNCTION("""COMPUTED_VALUE"""),"ECS")</f>
        <v>ECS</v>
      </c>
    </row>
    <row r="12053">
      <c r="A12053" t="str">
        <f>IFERROR(__xludf.DUMMYFUNCTION("""COMPUTED_VALUE"""),"AU068H1")</f>
        <v>AU068H1</v>
      </c>
      <c r="B12053" s="226" t="str">
        <f>IFERROR(__xludf.DUMMYFUNCTION("""COMPUTED_VALUE"""),"8717323061763")</f>
        <v>8717323061763</v>
      </c>
      <c r="C12053" t="str">
        <f>IFERROR(__xludf.DUMMYFUNCTION("""COMPUTED_VALUE"""),"ECS")</f>
        <v>ECS</v>
      </c>
    </row>
    <row r="12054">
      <c r="A12054" t="str">
        <f>IFERROR(__xludf.DUMMYFUNCTION("""COMPUTED_VALUE"""),"AU042B1")</f>
        <v>AU042B1</v>
      </c>
      <c r="B12054" s="226" t="str">
        <f>IFERROR(__xludf.DUMMYFUNCTION("""COMPUTED_VALUE"""),"8717323027967")</f>
        <v>8717323027967</v>
      </c>
      <c r="C12054" t="str">
        <f>IFERROR(__xludf.DUMMYFUNCTION("""COMPUTED_VALUE"""),"ECS")</f>
        <v>ECS</v>
      </c>
    </row>
    <row r="12055">
      <c r="A12055" t="str">
        <f>IFERROR(__xludf.DUMMYFUNCTION("""COMPUTED_VALUE"""),"AU042D1")</f>
        <v>AU042D1</v>
      </c>
      <c r="B12055" s="226" t="str">
        <f>IFERROR(__xludf.DUMMYFUNCTION("""COMPUTED_VALUE"""),"8717323028100")</f>
        <v>8717323028100</v>
      </c>
      <c r="C12055" t="str">
        <f>IFERROR(__xludf.DUMMYFUNCTION("""COMPUTED_VALUE"""),"ECS")</f>
        <v>ECS</v>
      </c>
    </row>
    <row r="12056">
      <c r="A12056" t="str">
        <f>IFERROR(__xludf.DUMMYFUNCTION("""COMPUTED_VALUE"""),"AU054B1")</f>
        <v>AU054B1</v>
      </c>
      <c r="B12056" s="226" t="str">
        <f>IFERROR(__xludf.DUMMYFUNCTION("""COMPUTED_VALUE"""),"8717323047606")</f>
        <v>8717323047606</v>
      </c>
      <c r="C12056" t="str">
        <f>IFERROR(__xludf.DUMMYFUNCTION("""COMPUTED_VALUE"""),"ECS")</f>
        <v>ECS</v>
      </c>
    </row>
    <row r="12057">
      <c r="A12057" t="str">
        <f>IFERROR(__xludf.DUMMYFUNCTION("""COMPUTED_VALUE"""),"AU054D1")</f>
        <v>AU054D1</v>
      </c>
      <c r="B12057" s="226" t="str">
        <f>IFERROR(__xludf.DUMMYFUNCTION("""COMPUTED_VALUE"""),"8717323047613")</f>
        <v>8717323047613</v>
      </c>
      <c r="C12057" t="str">
        <f>IFERROR(__xludf.DUMMYFUNCTION("""COMPUTED_VALUE"""),"ECS")</f>
        <v>ECS</v>
      </c>
    </row>
    <row r="12058">
      <c r="A12058" t="str">
        <f>IFERROR(__xludf.DUMMYFUNCTION("""COMPUTED_VALUE"""),"AU061BX")</f>
        <v>AU061BX</v>
      </c>
      <c r="B12058" s="226" t="str">
        <f>IFERROR(__xludf.DUMMYFUNCTION("""COMPUTED_VALUE"""),"8717323055663")</f>
        <v>8717323055663</v>
      </c>
      <c r="C12058" t="str">
        <f>IFERROR(__xludf.DUMMYFUNCTION("""COMPUTED_VALUE"""),"ECS")</f>
        <v>ECS</v>
      </c>
    </row>
    <row r="12059">
      <c r="A12059" t="str">
        <f>IFERROR(__xludf.DUMMYFUNCTION("""COMPUTED_VALUE"""),"AU061HX")</f>
        <v>AU061HX</v>
      </c>
      <c r="B12059" s="226" t="str">
        <f>IFERROR(__xludf.DUMMYFUNCTION("""COMPUTED_VALUE"""),"8717323055670")</f>
        <v>8717323055670</v>
      </c>
      <c r="C12059" t="str">
        <f>IFERROR(__xludf.DUMMYFUNCTION("""COMPUTED_VALUE"""),"ECS")</f>
        <v>ECS</v>
      </c>
    </row>
    <row r="12060">
      <c r="A12060" t="str">
        <f>IFERROR(__xludf.DUMMYFUNCTION("""COMPUTED_VALUE"""),"AU068B1")</f>
        <v>AU068B1</v>
      </c>
      <c r="B12060" s="226" t="str">
        <f>IFERROR(__xludf.DUMMYFUNCTION("""COMPUTED_VALUE"""),"8717323061756")</f>
        <v>8717323061756</v>
      </c>
      <c r="C12060" t="str">
        <f>IFERROR(__xludf.DUMMYFUNCTION("""COMPUTED_VALUE"""),"ECS")</f>
        <v>ECS</v>
      </c>
    </row>
    <row r="12061">
      <c r="A12061" t="str">
        <f>IFERROR(__xludf.DUMMYFUNCTION("""COMPUTED_VALUE"""),"AU068H1")</f>
        <v>AU068H1</v>
      </c>
      <c r="B12061" s="226" t="str">
        <f>IFERROR(__xludf.DUMMYFUNCTION("""COMPUTED_VALUE"""),"8717323061763")</f>
        <v>8717323061763</v>
      </c>
      <c r="C12061" t="str">
        <f>IFERROR(__xludf.DUMMYFUNCTION("""COMPUTED_VALUE"""),"ECS")</f>
        <v>ECS</v>
      </c>
    </row>
    <row r="12062">
      <c r="A12062" t="str">
        <f>IFERROR(__xludf.DUMMYFUNCTION("""COMPUTED_VALUE"""),"AU042B1")</f>
        <v>AU042B1</v>
      </c>
      <c r="B12062" s="226" t="str">
        <f>IFERROR(__xludf.DUMMYFUNCTION("""COMPUTED_VALUE"""),"8717323027967")</f>
        <v>8717323027967</v>
      </c>
      <c r="C12062" t="str">
        <f>IFERROR(__xludf.DUMMYFUNCTION("""COMPUTED_VALUE"""),"ECS")</f>
        <v>ECS</v>
      </c>
    </row>
    <row r="12063">
      <c r="A12063" t="str">
        <f>IFERROR(__xludf.DUMMYFUNCTION("""COMPUTED_VALUE"""),"AU042D1")</f>
        <v>AU042D1</v>
      </c>
      <c r="B12063" s="226" t="str">
        <f>IFERROR(__xludf.DUMMYFUNCTION("""COMPUTED_VALUE"""),"8717323028100")</f>
        <v>8717323028100</v>
      </c>
      <c r="C12063" t="str">
        <f>IFERROR(__xludf.DUMMYFUNCTION("""COMPUTED_VALUE"""),"ECS")</f>
        <v>ECS</v>
      </c>
    </row>
    <row r="12064">
      <c r="A12064" t="str">
        <f>IFERROR(__xludf.DUMMYFUNCTION("""COMPUTED_VALUE"""),"AU054B1")</f>
        <v>AU054B1</v>
      </c>
      <c r="B12064" s="226" t="str">
        <f>IFERROR(__xludf.DUMMYFUNCTION("""COMPUTED_VALUE"""),"8717323047606")</f>
        <v>8717323047606</v>
      </c>
      <c r="C12064" t="str">
        <f>IFERROR(__xludf.DUMMYFUNCTION("""COMPUTED_VALUE"""),"ECS")</f>
        <v>ECS</v>
      </c>
    </row>
    <row r="12065">
      <c r="A12065" t="str">
        <f>IFERROR(__xludf.DUMMYFUNCTION("""COMPUTED_VALUE"""),"AU054D1")</f>
        <v>AU054D1</v>
      </c>
      <c r="B12065" s="226" t="str">
        <f>IFERROR(__xludf.DUMMYFUNCTION("""COMPUTED_VALUE"""),"8717323047613")</f>
        <v>8717323047613</v>
      </c>
      <c r="C12065" t="str">
        <f>IFERROR(__xludf.DUMMYFUNCTION("""COMPUTED_VALUE"""),"ECS")</f>
        <v>ECS</v>
      </c>
    </row>
    <row r="12066">
      <c r="A12066" t="str">
        <f>IFERROR(__xludf.DUMMYFUNCTION("""COMPUTED_VALUE"""),"AU068B1")</f>
        <v>AU068B1</v>
      </c>
      <c r="B12066" s="226" t="str">
        <f>IFERROR(__xludf.DUMMYFUNCTION("""COMPUTED_VALUE"""),"8717323061756")</f>
        <v>8717323061756</v>
      </c>
      <c r="C12066" t="str">
        <f>IFERROR(__xludf.DUMMYFUNCTION("""COMPUTED_VALUE"""),"ECS")</f>
        <v>ECS</v>
      </c>
    </row>
    <row r="12067">
      <c r="A12067" t="str">
        <f>IFERROR(__xludf.DUMMYFUNCTION("""COMPUTED_VALUE"""),"AU068H1")</f>
        <v>AU068H1</v>
      </c>
      <c r="B12067" s="226" t="str">
        <f>IFERROR(__xludf.DUMMYFUNCTION("""COMPUTED_VALUE"""),"8717323061763")</f>
        <v>8717323061763</v>
      </c>
      <c r="C12067" t="str">
        <f>IFERROR(__xludf.DUMMYFUNCTION("""COMPUTED_VALUE"""),"ECS")</f>
        <v>ECS</v>
      </c>
    </row>
    <row r="12068">
      <c r="A12068" t="str">
        <f>IFERROR(__xludf.DUMMYFUNCTION("""COMPUTED_VALUE"""),"AU042B1")</f>
        <v>AU042B1</v>
      </c>
      <c r="B12068" s="226" t="str">
        <f>IFERROR(__xludf.DUMMYFUNCTION("""COMPUTED_VALUE"""),"8717323027967")</f>
        <v>8717323027967</v>
      </c>
      <c r="C12068" t="str">
        <f>IFERROR(__xludf.DUMMYFUNCTION("""COMPUTED_VALUE"""),"ECS")</f>
        <v>ECS</v>
      </c>
    </row>
    <row r="12069">
      <c r="A12069" t="str">
        <f>IFERROR(__xludf.DUMMYFUNCTION("""COMPUTED_VALUE"""),"AU042D1")</f>
        <v>AU042D1</v>
      </c>
      <c r="B12069" s="226" t="str">
        <f>IFERROR(__xludf.DUMMYFUNCTION("""COMPUTED_VALUE"""),"8717323028100")</f>
        <v>8717323028100</v>
      </c>
      <c r="C12069" t="str">
        <f>IFERROR(__xludf.DUMMYFUNCTION("""COMPUTED_VALUE"""),"ECS")</f>
        <v>ECS</v>
      </c>
    </row>
    <row r="12070">
      <c r="A12070" t="str">
        <f>IFERROR(__xludf.DUMMYFUNCTION("""COMPUTED_VALUE"""),"AU054B1")</f>
        <v>AU054B1</v>
      </c>
      <c r="B12070" s="226" t="str">
        <f>IFERROR(__xludf.DUMMYFUNCTION("""COMPUTED_VALUE"""),"8717323047606")</f>
        <v>8717323047606</v>
      </c>
      <c r="C12070" t="str">
        <f>IFERROR(__xludf.DUMMYFUNCTION("""COMPUTED_VALUE"""),"ECS")</f>
        <v>ECS</v>
      </c>
    </row>
    <row r="12071">
      <c r="A12071" t="str">
        <f>IFERROR(__xludf.DUMMYFUNCTION("""COMPUTED_VALUE"""),"AU054D1")</f>
        <v>AU054D1</v>
      </c>
      <c r="B12071" s="226" t="str">
        <f>IFERROR(__xludf.DUMMYFUNCTION("""COMPUTED_VALUE"""),"8717323047613")</f>
        <v>8717323047613</v>
      </c>
      <c r="C12071" t="str">
        <f>IFERROR(__xludf.DUMMYFUNCTION("""COMPUTED_VALUE"""),"ECS")</f>
        <v>ECS</v>
      </c>
    </row>
    <row r="12072">
      <c r="A12072" t="str">
        <f>IFERROR(__xludf.DUMMYFUNCTION("""COMPUTED_VALUE"""),"AU068B1")</f>
        <v>AU068B1</v>
      </c>
      <c r="B12072" s="226" t="str">
        <f>IFERROR(__xludf.DUMMYFUNCTION("""COMPUTED_VALUE"""),"8717323061756")</f>
        <v>8717323061756</v>
      </c>
      <c r="C12072" t="str">
        <f>IFERROR(__xludf.DUMMYFUNCTION("""COMPUTED_VALUE"""),"ECS")</f>
        <v>ECS</v>
      </c>
    </row>
    <row r="12073">
      <c r="A12073" t="str">
        <f>IFERROR(__xludf.DUMMYFUNCTION("""COMPUTED_VALUE"""),"AU068H1")</f>
        <v>AU068H1</v>
      </c>
      <c r="B12073" s="226" t="str">
        <f>IFERROR(__xludf.DUMMYFUNCTION("""COMPUTED_VALUE"""),"8717323061763")</f>
        <v>8717323061763</v>
      </c>
      <c r="C12073" t="str">
        <f>IFERROR(__xludf.DUMMYFUNCTION("""COMPUTED_VALUE"""),"ECS")</f>
        <v>ECS</v>
      </c>
    </row>
    <row r="12074">
      <c r="A12074" t="str">
        <f>IFERROR(__xludf.DUMMYFUNCTION("""COMPUTED_VALUE"""),"AU042B1")</f>
        <v>AU042B1</v>
      </c>
      <c r="B12074" s="226" t="str">
        <f>IFERROR(__xludf.DUMMYFUNCTION("""COMPUTED_VALUE"""),"8717323027967")</f>
        <v>8717323027967</v>
      </c>
      <c r="C12074" t="str">
        <f>IFERROR(__xludf.DUMMYFUNCTION("""COMPUTED_VALUE"""),"ECS")</f>
        <v>ECS</v>
      </c>
    </row>
    <row r="12075">
      <c r="A12075" t="str">
        <f>IFERROR(__xludf.DUMMYFUNCTION("""COMPUTED_VALUE"""),"AU042D1")</f>
        <v>AU042D1</v>
      </c>
      <c r="B12075" s="226" t="str">
        <f>IFERROR(__xludf.DUMMYFUNCTION("""COMPUTED_VALUE"""),"8717323028100")</f>
        <v>8717323028100</v>
      </c>
      <c r="C12075" t="str">
        <f>IFERROR(__xludf.DUMMYFUNCTION("""COMPUTED_VALUE"""),"ECS")</f>
        <v>ECS</v>
      </c>
    </row>
    <row r="12076">
      <c r="A12076" t="str">
        <f>IFERROR(__xludf.DUMMYFUNCTION("""COMPUTED_VALUE"""),"AU054B1")</f>
        <v>AU054B1</v>
      </c>
      <c r="B12076" s="226" t="str">
        <f>IFERROR(__xludf.DUMMYFUNCTION("""COMPUTED_VALUE"""),"8717323047606")</f>
        <v>8717323047606</v>
      </c>
      <c r="C12076" t="str">
        <f>IFERROR(__xludf.DUMMYFUNCTION("""COMPUTED_VALUE"""),"ECS")</f>
        <v>ECS</v>
      </c>
    </row>
    <row r="12077">
      <c r="A12077" t="str">
        <f>IFERROR(__xludf.DUMMYFUNCTION("""COMPUTED_VALUE"""),"AU054D1")</f>
        <v>AU054D1</v>
      </c>
      <c r="B12077" s="226" t="str">
        <f>IFERROR(__xludf.DUMMYFUNCTION("""COMPUTED_VALUE"""),"8717323047613")</f>
        <v>8717323047613</v>
      </c>
      <c r="C12077" t="str">
        <f>IFERROR(__xludf.DUMMYFUNCTION("""COMPUTED_VALUE"""),"ECS")</f>
        <v>ECS</v>
      </c>
    </row>
    <row r="12078">
      <c r="A12078" t="str">
        <f>IFERROR(__xludf.DUMMYFUNCTION("""COMPUTED_VALUE"""),"AU068B1")</f>
        <v>AU068B1</v>
      </c>
      <c r="B12078" s="226" t="str">
        <f>IFERROR(__xludf.DUMMYFUNCTION("""COMPUTED_VALUE"""),"8717323061756")</f>
        <v>8717323061756</v>
      </c>
      <c r="C12078" t="str">
        <f>IFERROR(__xludf.DUMMYFUNCTION("""COMPUTED_VALUE"""),"ECS")</f>
        <v>ECS</v>
      </c>
    </row>
    <row r="12079">
      <c r="A12079" t="str">
        <f>IFERROR(__xludf.DUMMYFUNCTION("""COMPUTED_VALUE"""),"AU068H1")</f>
        <v>AU068H1</v>
      </c>
      <c r="B12079" s="226" t="str">
        <f>IFERROR(__xludf.DUMMYFUNCTION("""COMPUTED_VALUE"""),"8717323061763")</f>
        <v>8717323061763</v>
      </c>
      <c r="C12079" t="str">
        <f>IFERROR(__xludf.DUMMYFUNCTION("""COMPUTED_VALUE"""),"ECS")</f>
        <v>ECS</v>
      </c>
    </row>
    <row r="12080">
      <c r="A12080" t="str">
        <f>IFERROR(__xludf.DUMMYFUNCTION("""COMPUTED_VALUE"""),"AU008BB")</f>
        <v>AU008BB</v>
      </c>
      <c r="B12080" s="226" t="str">
        <f>IFERROR(__xludf.DUMMYFUNCTION("""COMPUTED_VALUE"""),"8717323000205")</f>
        <v>8717323000205</v>
      </c>
      <c r="C12080" t="str">
        <f>IFERROR(__xludf.DUMMYFUNCTION("""COMPUTED_VALUE"""),"ECS")</f>
        <v>ECS</v>
      </c>
    </row>
    <row r="12081">
      <c r="A12081" t="str">
        <f>IFERROR(__xludf.DUMMYFUNCTION("""COMPUTED_VALUE"""),"AU030B1")</f>
        <v>AU030B1</v>
      </c>
      <c r="B12081" s="226" t="str">
        <f>IFERROR(__xludf.DUMMYFUNCTION("""COMPUTED_VALUE"""),"8717323025857")</f>
        <v>8717323025857</v>
      </c>
      <c r="C12081" t="str">
        <f>IFERROR(__xludf.DUMMYFUNCTION("""COMPUTED_VALUE"""),"ECS")</f>
        <v>ECS</v>
      </c>
    </row>
    <row r="12082">
      <c r="A12082" t="str">
        <f>IFERROR(__xludf.DUMMYFUNCTION("""COMPUTED_VALUE"""),"AU030D1")</f>
        <v>AU030D1</v>
      </c>
      <c r="B12082" s="226" t="str">
        <f>IFERROR(__xludf.DUMMYFUNCTION("""COMPUTED_VALUE"""),"8717323025482")</f>
        <v>8717323025482</v>
      </c>
      <c r="C12082" t="str">
        <f>IFERROR(__xludf.DUMMYFUNCTION("""COMPUTED_VALUE"""),"ECS")</f>
        <v>ECS</v>
      </c>
    </row>
    <row r="12083">
      <c r="A12083" t="str">
        <f>IFERROR(__xludf.DUMMYFUNCTION("""COMPUTED_VALUE"""),"AU036B1")</f>
        <v>AU036B1</v>
      </c>
      <c r="B12083" s="226" t="str">
        <f>IFERROR(__xludf.DUMMYFUNCTION("""COMPUTED_VALUE"""),"8717323034620")</f>
        <v>8717323034620</v>
      </c>
      <c r="C12083" t="str">
        <f>IFERROR(__xludf.DUMMYFUNCTION("""COMPUTED_VALUE"""),"ECS")</f>
        <v>ECS</v>
      </c>
    </row>
    <row r="12084">
      <c r="A12084" t="str">
        <f>IFERROR(__xludf.DUMMYFUNCTION("""COMPUTED_VALUE"""),"AU036D1")</f>
        <v>AU036D1</v>
      </c>
      <c r="B12084" s="226" t="str">
        <f>IFERROR(__xludf.DUMMYFUNCTION("""COMPUTED_VALUE"""),"8717323035573")</f>
        <v>8717323035573</v>
      </c>
      <c r="C12084" t="str">
        <f>IFERROR(__xludf.DUMMYFUNCTION("""COMPUTED_VALUE"""),"ECS")</f>
        <v>ECS</v>
      </c>
    </row>
    <row r="12085">
      <c r="A12085" t="str">
        <f>IFERROR(__xludf.DUMMYFUNCTION("""COMPUTED_VALUE"""),"AU039B1")</f>
        <v>AU039B1</v>
      </c>
      <c r="B12085" s="226" t="str">
        <f>IFERROR(__xludf.DUMMYFUNCTION("""COMPUTED_VALUE"""),"8717323024799")</f>
        <v>8717323024799</v>
      </c>
      <c r="C12085" t="str">
        <f>IFERROR(__xludf.DUMMYFUNCTION("""COMPUTED_VALUE"""),"ECS")</f>
        <v>ECS</v>
      </c>
    </row>
    <row r="12086">
      <c r="A12086" t="str">
        <f>IFERROR(__xludf.DUMMYFUNCTION("""COMPUTED_VALUE"""),"AU039D1")</f>
        <v>AU039D1</v>
      </c>
      <c r="B12086" s="226" t="str">
        <f>IFERROR(__xludf.DUMMYFUNCTION("""COMPUTED_VALUE"""),"8717323024805")</f>
        <v>8717323024805</v>
      </c>
      <c r="C12086" t="str">
        <f>IFERROR(__xludf.DUMMYFUNCTION("""COMPUTED_VALUE"""),"ECS")</f>
        <v>ECS</v>
      </c>
    </row>
    <row r="12087">
      <c r="A12087" t="str">
        <f>IFERROR(__xludf.DUMMYFUNCTION("""COMPUTED_VALUE"""),"AU056B1")</f>
        <v>AU056B1</v>
      </c>
      <c r="B12087" s="226" t="str">
        <f>IFERROR(__xludf.DUMMYFUNCTION("""COMPUTED_VALUE"""),"8717323047644")</f>
        <v>8717323047644</v>
      </c>
      <c r="C12087" t="str">
        <f>IFERROR(__xludf.DUMMYFUNCTION("""COMPUTED_VALUE"""),"ECS")</f>
        <v>ECS</v>
      </c>
    </row>
    <row r="12088">
      <c r="A12088" t="str">
        <f>IFERROR(__xludf.DUMMYFUNCTION("""COMPUTED_VALUE"""),"AU056D1")</f>
        <v>AU056D1</v>
      </c>
      <c r="B12088" s="226" t="str">
        <f>IFERROR(__xludf.DUMMYFUNCTION("""COMPUTED_VALUE"""),"8717323047705")</f>
        <v>8717323047705</v>
      </c>
      <c r="C12088" t="str">
        <f>IFERROR(__xludf.DUMMYFUNCTION("""COMPUTED_VALUE"""),"ECS")</f>
        <v>ECS</v>
      </c>
    </row>
    <row r="12089">
      <c r="A12089" t="str">
        <f>IFERROR(__xludf.DUMMYFUNCTION("""COMPUTED_VALUE"""),"AU060B1")</f>
        <v>AU060B1</v>
      </c>
      <c r="B12089" s="226" t="str">
        <f>IFERROR(__xludf.DUMMYFUNCTION("""COMPUTED_VALUE"""),"8717323052150")</f>
        <v>8717323052150</v>
      </c>
      <c r="C12089" t="str">
        <f>IFERROR(__xludf.DUMMYFUNCTION("""COMPUTED_VALUE"""),"ECS")</f>
        <v>ECS</v>
      </c>
    </row>
    <row r="12090">
      <c r="A12090" t="str">
        <f>IFERROR(__xludf.DUMMYFUNCTION("""COMPUTED_VALUE"""),"AU060D1")</f>
        <v>AU060D1</v>
      </c>
      <c r="B12090" s="226" t="str">
        <f>IFERROR(__xludf.DUMMYFUNCTION("""COMPUTED_VALUE"""),"8717323052167")</f>
        <v>8717323052167</v>
      </c>
      <c r="C12090" t="str">
        <f>IFERROR(__xludf.DUMMYFUNCTION("""COMPUTED_VALUE"""),"ECS")</f>
        <v>ECS</v>
      </c>
    </row>
    <row r="12091">
      <c r="A12091" t="str">
        <f>IFERROR(__xludf.DUMMYFUNCTION("""COMPUTED_VALUE"""),"AU077B1")</f>
        <v>AU077B1</v>
      </c>
      <c r="B12091" s="226" t="str">
        <f>IFERROR(__xludf.DUMMYFUNCTION("""COMPUTED_VALUE"""),"8717323068106")</f>
        <v>8717323068106</v>
      </c>
      <c r="C12091" t="str">
        <f>IFERROR(__xludf.DUMMYFUNCTION("""COMPUTED_VALUE"""),"ECS")</f>
        <v>ECS</v>
      </c>
    </row>
    <row r="12092">
      <c r="A12092" t="str">
        <f>IFERROR(__xludf.DUMMYFUNCTION("""COMPUTED_VALUE"""),"AU077H1")</f>
        <v>AU077H1</v>
      </c>
      <c r="B12092" s="226" t="str">
        <f>IFERROR(__xludf.DUMMYFUNCTION("""COMPUTED_VALUE"""),"8717323068113")</f>
        <v>8717323068113</v>
      </c>
      <c r="C12092" t="str">
        <f>IFERROR(__xludf.DUMMYFUNCTION("""COMPUTED_VALUE"""),"ECS")</f>
        <v>ECS</v>
      </c>
    </row>
    <row r="12093">
      <c r="A12093" t="str">
        <f>IFERROR(__xludf.DUMMYFUNCTION("""COMPUTED_VALUE"""),"AU003BB")</f>
        <v>AU003BB</v>
      </c>
      <c r="B12093" s="226" t="str">
        <f>IFERROR(__xludf.DUMMYFUNCTION("""COMPUTED_VALUE"""),"8717323000144")</f>
        <v>8717323000144</v>
      </c>
      <c r="C12093" t="str">
        <f>IFERROR(__xludf.DUMMYFUNCTION("""COMPUTED_VALUE"""),"ECS")</f>
        <v>ECS</v>
      </c>
    </row>
    <row r="12094">
      <c r="A12094" t="str">
        <f>IFERROR(__xludf.DUMMYFUNCTION("""COMPUTED_VALUE"""),"AU030B1")</f>
        <v>AU030B1</v>
      </c>
      <c r="B12094" s="226" t="str">
        <f>IFERROR(__xludf.DUMMYFUNCTION("""COMPUTED_VALUE"""),"8717323025857")</f>
        <v>8717323025857</v>
      </c>
      <c r="C12094" t="str">
        <f>IFERROR(__xludf.DUMMYFUNCTION("""COMPUTED_VALUE"""),"ECS")</f>
        <v>ECS</v>
      </c>
    </row>
    <row r="12095">
      <c r="A12095" t="str">
        <f>IFERROR(__xludf.DUMMYFUNCTION("""COMPUTED_VALUE"""),"AU030D1")</f>
        <v>AU030D1</v>
      </c>
      <c r="B12095" s="226" t="str">
        <f>IFERROR(__xludf.DUMMYFUNCTION("""COMPUTED_VALUE"""),"8717323025482")</f>
        <v>8717323025482</v>
      </c>
      <c r="C12095" t="str">
        <f>IFERROR(__xludf.DUMMYFUNCTION("""COMPUTED_VALUE"""),"ECS")</f>
        <v>ECS</v>
      </c>
    </row>
    <row r="12096">
      <c r="A12096" t="str">
        <f>IFERROR(__xludf.DUMMYFUNCTION("""COMPUTED_VALUE"""),"AU036B1")</f>
        <v>AU036B1</v>
      </c>
      <c r="B12096" s="226" t="str">
        <f>IFERROR(__xludf.DUMMYFUNCTION("""COMPUTED_VALUE"""),"8717323034620")</f>
        <v>8717323034620</v>
      </c>
      <c r="C12096" t="str">
        <f>IFERROR(__xludf.DUMMYFUNCTION("""COMPUTED_VALUE"""),"ECS")</f>
        <v>ECS</v>
      </c>
    </row>
    <row r="12097">
      <c r="A12097" t="str">
        <f>IFERROR(__xludf.DUMMYFUNCTION("""COMPUTED_VALUE"""),"AU036D1")</f>
        <v>AU036D1</v>
      </c>
      <c r="B12097" s="226" t="str">
        <f>IFERROR(__xludf.DUMMYFUNCTION("""COMPUTED_VALUE"""),"8717323035573")</f>
        <v>8717323035573</v>
      </c>
      <c r="C12097" t="str">
        <f>IFERROR(__xludf.DUMMYFUNCTION("""COMPUTED_VALUE"""),"ECS")</f>
        <v>ECS</v>
      </c>
    </row>
    <row r="12098">
      <c r="A12098" t="str">
        <f>IFERROR(__xludf.DUMMYFUNCTION("""COMPUTED_VALUE"""),"AU039B1")</f>
        <v>AU039B1</v>
      </c>
      <c r="B12098" s="226" t="str">
        <f>IFERROR(__xludf.DUMMYFUNCTION("""COMPUTED_VALUE"""),"8717323024799")</f>
        <v>8717323024799</v>
      </c>
      <c r="C12098" t="str">
        <f>IFERROR(__xludf.DUMMYFUNCTION("""COMPUTED_VALUE"""),"ECS")</f>
        <v>ECS</v>
      </c>
    </row>
    <row r="12099">
      <c r="A12099" t="str">
        <f>IFERROR(__xludf.DUMMYFUNCTION("""COMPUTED_VALUE"""),"AU039D1")</f>
        <v>AU039D1</v>
      </c>
      <c r="B12099" s="226" t="str">
        <f>IFERROR(__xludf.DUMMYFUNCTION("""COMPUTED_VALUE"""),"8717323024805")</f>
        <v>8717323024805</v>
      </c>
      <c r="C12099" t="str">
        <f>IFERROR(__xludf.DUMMYFUNCTION("""COMPUTED_VALUE"""),"ECS")</f>
        <v>ECS</v>
      </c>
    </row>
    <row r="12100">
      <c r="A12100" t="str">
        <f>IFERROR(__xludf.DUMMYFUNCTION("""COMPUTED_VALUE"""),"AU056B1")</f>
        <v>AU056B1</v>
      </c>
      <c r="B12100" s="226" t="str">
        <f>IFERROR(__xludf.DUMMYFUNCTION("""COMPUTED_VALUE"""),"8717323047644")</f>
        <v>8717323047644</v>
      </c>
      <c r="C12100" t="str">
        <f>IFERROR(__xludf.DUMMYFUNCTION("""COMPUTED_VALUE"""),"ECS")</f>
        <v>ECS</v>
      </c>
    </row>
    <row r="12101">
      <c r="A12101" t="str">
        <f>IFERROR(__xludf.DUMMYFUNCTION("""COMPUTED_VALUE"""),"AU056D1")</f>
        <v>AU056D1</v>
      </c>
      <c r="B12101" s="226" t="str">
        <f>IFERROR(__xludf.DUMMYFUNCTION("""COMPUTED_VALUE"""),"8717323047705")</f>
        <v>8717323047705</v>
      </c>
      <c r="C12101" t="str">
        <f>IFERROR(__xludf.DUMMYFUNCTION("""COMPUTED_VALUE"""),"ECS")</f>
        <v>ECS</v>
      </c>
    </row>
    <row r="12102">
      <c r="A12102" t="str">
        <f>IFERROR(__xludf.DUMMYFUNCTION("""COMPUTED_VALUE"""),"AU060B1")</f>
        <v>AU060B1</v>
      </c>
      <c r="B12102" s="226" t="str">
        <f>IFERROR(__xludf.DUMMYFUNCTION("""COMPUTED_VALUE"""),"8717323052150")</f>
        <v>8717323052150</v>
      </c>
      <c r="C12102" t="str">
        <f>IFERROR(__xludf.DUMMYFUNCTION("""COMPUTED_VALUE"""),"ECS")</f>
        <v>ECS</v>
      </c>
    </row>
    <row r="12103">
      <c r="A12103" t="str">
        <f>IFERROR(__xludf.DUMMYFUNCTION("""COMPUTED_VALUE"""),"AU060D1")</f>
        <v>AU060D1</v>
      </c>
      <c r="B12103" s="226" t="str">
        <f>IFERROR(__xludf.DUMMYFUNCTION("""COMPUTED_VALUE"""),"8717323052167")</f>
        <v>8717323052167</v>
      </c>
      <c r="C12103" t="str">
        <f>IFERROR(__xludf.DUMMYFUNCTION("""COMPUTED_VALUE"""),"ECS")</f>
        <v>ECS</v>
      </c>
    </row>
    <row r="12104">
      <c r="A12104" t="str">
        <f>IFERROR(__xludf.DUMMYFUNCTION("""COMPUTED_VALUE"""),"AU077B1")</f>
        <v>AU077B1</v>
      </c>
      <c r="B12104" s="226" t="str">
        <f>IFERROR(__xludf.DUMMYFUNCTION("""COMPUTED_VALUE"""),"8717323068106")</f>
        <v>8717323068106</v>
      </c>
      <c r="C12104" t="str">
        <f>IFERROR(__xludf.DUMMYFUNCTION("""COMPUTED_VALUE"""),"ECS")</f>
        <v>ECS</v>
      </c>
    </row>
    <row r="12105">
      <c r="A12105" t="str">
        <f>IFERROR(__xludf.DUMMYFUNCTION("""COMPUTED_VALUE"""),"AU077H1")</f>
        <v>AU077H1</v>
      </c>
      <c r="B12105" s="226" t="str">
        <f>IFERROR(__xludf.DUMMYFUNCTION("""COMPUTED_VALUE"""),"8717323068113")</f>
        <v>8717323068113</v>
      </c>
      <c r="C12105" t="str">
        <f>IFERROR(__xludf.DUMMYFUNCTION("""COMPUTED_VALUE"""),"ECS")</f>
        <v>ECS</v>
      </c>
    </row>
    <row r="12106">
      <c r="A12106" t="str">
        <f>IFERROR(__xludf.DUMMYFUNCTION("""COMPUTED_VALUE"""),"AU030B1")</f>
        <v>AU030B1</v>
      </c>
      <c r="B12106" s="226" t="str">
        <f>IFERROR(__xludf.DUMMYFUNCTION("""COMPUTED_VALUE"""),"8717323025857")</f>
        <v>8717323025857</v>
      </c>
      <c r="C12106" t="str">
        <f>IFERROR(__xludf.DUMMYFUNCTION("""COMPUTED_VALUE"""),"ECS")</f>
        <v>ECS</v>
      </c>
    </row>
    <row r="12107">
      <c r="A12107" t="str">
        <f>IFERROR(__xludf.DUMMYFUNCTION("""COMPUTED_VALUE"""),"AU030D1")</f>
        <v>AU030D1</v>
      </c>
      <c r="B12107" s="226" t="str">
        <f>IFERROR(__xludf.DUMMYFUNCTION("""COMPUTED_VALUE"""),"8717323025482")</f>
        <v>8717323025482</v>
      </c>
      <c r="C12107" t="str">
        <f>IFERROR(__xludf.DUMMYFUNCTION("""COMPUTED_VALUE"""),"ECS")</f>
        <v>ECS</v>
      </c>
    </row>
    <row r="12108">
      <c r="A12108" t="str">
        <f>IFERROR(__xludf.DUMMYFUNCTION("""COMPUTED_VALUE"""),"AU036B1")</f>
        <v>AU036B1</v>
      </c>
      <c r="B12108" s="226" t="str">
        <f>IFERROR(__xludf.DUMMYFUNCTION("""COMPUTED_VALUE"""),"8717323034620")</f>
        <v>8717323034620</v>
      </c>
      <c r="C12108" t="str">
        <f>IFERROR(__xludf.DUMMYFUNCTION("""COMPUTED_VALUE"""),"ECS")</f>
        <v>ECS</v>
      </c>
    </row>
    <row r="12109">
      <c r="A12109" t="str">
        <f>IFERROR(__xludf.DUMMYFUNCTION("""COMPUTED_VALUE"""),"AU036D1")</f>
        <v>AU036D1</v>
      </c>
      <c r="B12109" s="226" t="str">
        <f>IFERROR(__xludf.DUMMYFUNCTION("""COMPUTED_VALUE"""),"8717323035573")</f>
        <v>8717323035573</v>
      </c>
      <c r="C12109" t="str">
        <f>IFERROR(__xludf.DUMMYFUNCTION("""COMPUTED_VALUE"""),"ECS")</f>
        <v>ECS</v>
      </c>
    </row>
    <row r="12110">
      <c r="A12110" t="str">
        <f>IFERROR(__xludf.DUMMYFUNCTION("""COMPUTED_VALUE"""),"AU039B1")</f>
        <v>AU039B1</v>
      </c>
      <c r="B12110" s="226" t="str">
        <f>IFERROR(__xludf.DUMMYFUNCTION("""COMPUTED_VALUE"""),"8717323024799")</f>
        <v>8717323024799</v>
      </c>
      <c r="C12110" t="str">
        <f>IFERROR(__xludf.DUMMYFUNCTION("""COMPUTED_VALUE"""),"ECS")</f>
        <v>ECS</v>
      </c>
    </row>
    <row r="12111">
      <c r="A12111" t="str">
        <f>IFERROR(__xludf.DUMMYFUNCTION("""COMPUTED_VALUE"""),"AU039D1")</f>
        <v>AU039D1</v>
      </c>
      <c r="B12111" s="226" t="str">
        <f>IFERROR(__xludf.DUMMYFUNCTION("""COMPUTED_VALUE"""),"8717323024805")</f>
        <v>8717323024805</v>
      </c>
      <c r="C12111" t="str">
        <f>IFERROR(__xludf.DUMMYFUNCTION("""COMPUTED_VALUE"""),"ECS")</f>
        <v>ECS</v>
      </c>
    </row>
    <row r="12112">
      <c r="A12112" t="str">
        <f>IFERROR(__xludf.DUMMYFUNCTION("""COMPUTED_VALUE"""),"AU056B1")</f>
        <v>AU056B1</v>
      </c>
      <c r="B12112" s="226" t="str">
        <f>IFERROR(__xludf.DUMMYFUNCTION("""COMPUTED_VALUE"""),"8717323047644")</f>
        <v>8717323047644</v>
      </c>
      <c r="C12112" t="str">
        <f>IFERROR(__xludf.DUMMYFUNCTION("""COMPUTED_VALUE"""),"ECS")</f>
        <v>ECS</v>
      </c>
    </row>
    <row r="12113">
      <c r="A12113" t="str">
        <f>IFERROR(__xludf.DUMMYFUNCTION("""COMPUTED_VALUE"""),"AU056D1")</f>
        <v>AU056D1</v>
      </c>
      <c r="B12113" s="226" t="str">
        <f>IFERROR(__xludf.DUMMYFUNCTION("""COMPUTED_VALUE"""),"8717323047705")</f>
        <v>8717323047705</v>
      </c>
      <c r="C12113" t="str">
        <f>IFERROR(__xludf.DUMMYFUNCTION("""COMPUTED_VALUE"""),"ECS")</f>
        <v>ECS</v>
      </c>
    </row>
    <row r="12114">
      <c r="A12114" t="str">
        <f>IFERROR(__xludf.DUMMYFUNCTION("""COMPUTED_VALUE"""),"AU060B1")</f>
        <v>AU060B1</v>
      </c>
      <c r="B12114" s="226" t="str">
        <f>IFERROR(__xludf.DUMMYFUNCTION("""COMPUTED_VALUE"""),"8717323052150")</f>
        <v>8717323052150</v>
      </c>
      <c r="C12114" t="str">
        <f>IFERROR(__xludf.DUMMYFUNCTION("""COMPUTED_VALUE"""),"ECS")</f>
        <v>ECS</v>
      </c>
    </row>
    <row r="12115">
      <c r="A12115" t="str">
        <f>IFERROR(__xludf.DUMMYFUNCTION("""COMPUTED_VALUE"""),"AU060D1")</f>
        <v>AU060D1</v>
      </c>
      <c r="B12115" s="226" t="str">
        <f>IFERROR(__xludf.DUMMYFUNCTION("""COMPUTED_VALUE"""),"8717323052167")</f>
        <v>8717323052167</v>
      </c>
      <c r="C12115" t="str">
        <f>IFERROR(__xludf.DUMMYFUNCTION("""COMPUTED_VALUE"""),"ECS")</f>
        <v>ECS</v>
      </c>
    </row>
    <row r="12116">
      <c r="A12116" t="str">
        <f>IFERROR(__xludf.DUMMYFUNCTION("""COMPUTED_VALUE"""),"AU077B1")</f>
        <v>AU077B1</v>
      </c>
      <c r="B12116" s="226" t="str">
        <f>IFERROR(__xludf.DUMMYFUNCTION("""COMPUTED_VALUE"""),"8717323068106")</f>
        <v>8717323068106</v>
      </c>
      <c r="C12116" t="str">
        <f>IFERROR(__xludf.DUMMYFUNCTION("""COMPUTED_VALUE"""),"ECS")</f>
        <v>ECS</v>
      </c>
    </row>
    <row r="12117">
      <c r="A12117" t="str">
        <f>IFERROR(__xludf.DUMMYFUNCTION("""COMPUTED_VALUE"""),"AU077H1")</f>
        <v>AU077H1</v>
      </c>
      <c r="B12117" s="226" t="str">
        <f>IFERROR(__xludf.DUMMYFUNCTION("""COMPUTED_VALUE"""),"8717323068113")</f>
        <v>8717323068113</v>
      </c>
      <c r="C12117" t="str">
        <f>IFERROR(__xludf.DUMMYFUNCTION("""COMPUTED_VALUE"""),"ECS")</f>
        <v>ECS</v>
      </c>
    </row>
    <row r="12118">
      <c r="A12118" t="str">
        <f>IFERROR(__xludf.DUMMYFUNCTION("""COMPUTED_VALUE"""),"AU039B1")</f>
        <v>AU039B1</v>
      </c>
      <c r="B12118" s="226" t="str">
        <f>IFERROR(__xludf.DUMMYFUNCTION("""COMPUTED_VALUE"""),"8717323024799")</f>
        <v>8717323024799</v>
      </c>
      <c r="C12118" t="str">
        <f>IFERROR(__xludf.DUMMYFUNCTION("""COMPUTED_VALUE"""),"ECS")</f>
        <v>ECS</v>
      </c>
    </row>
    <row r="12119">
      <c r="A12119" t="str">
        <f>IFERROR(__xludf.DUMMYFUNCTION("""COMPUTED_VALUE"""),"AU039D1")</f>
        <v>AU039D1</v>
      </c>
      <c r="B12119" s="226" t="str">
        <f>IFERROR(__xludf.DUMMYFUNCTION("""COMPUTED_VALUE"""),"8717323024805")</f>
        <v>8717323024805</v>
      </c>
      <c r="C12119" t="str">
        <f>IFERROR(__xludf.DUMMYFUNCTION("""COMPUTED_VALUE"""),"ECS")</f>
        <v>ECS</v>
      </c>
    </row>
    <row r="12120">
      <c r="A12120" t="str">
        <f>IFERROR(__xludf.DUMMYFUNCTION("""COMPUTED_VALUE"""),"AU056B1")</f>
        <v>AU056B1</v>
      </c>
      <c r="B12120" s="226" t="str">
        <f>IFERROR(__xludf.DUMMYFUNCTION("""COMPUTED_VALUE"""),"8717323047644")</f>
        <v>8717323047644</v>
      </c>
      <c r="C12120" t="str">
        <f>IFERROR(__xludf.DUMMYFUNCTION("""COMPUTED_VALUE"""),"ECS")</f>
        <v>ECS</v>
      </c>
    </row>
    <row r="12121">
      <c r="A12121" t="str">
        <f>IFERROR(__xludf.DUMMYFUNCTION("""COMPUTED_VALUE"""),"AU056D1")</f>
        <v>AU056D1</v>
      </c>
      <c r="B12121" s="226" t="str">
        <f>IFERROR(__xludf.DUMMYFUNCTION("""COMPUTED_VALUE"""),"8717323047705")</f>
        <v>8717323047705</v>
      </c>
      <c r="C12121" t="str">
        <f>IFERROR(__xludf.DUMMYFUNCTION("""COMPUTED_VALUE"""),"ECS")</f>
        <v>ECS</v>
      </c>
    </row>
    <row r="12122">
      <c r="A12122" t="str">
        <f>IFERROR(__xludf.DUMMYFUNCTION("""COMPUTED_VALUE"""),"AU060B1")</f>
        <v>AU060B1</v>
      </c>
      <c r="B12122" s="226" t="str">
        <f>IFERROR(__xludf.DUMMYFUNCTION("""COMPUTED_VALUE"""),"8717323052150")</f>
        <v>8717323052150</v>
      </c>
      <c r="C12122" t="str">
        <f>IFERROR(__xludf.DUMMYFUNCTION("""COMPUTED_VALUE"""),"ECS")</f>
        <v>ECS</v>
      </c>
    </row>
    <row r="12123">
      <c r="A12123" t="str">
        <f>IFERROR(__xludf.DUMMYFUNCTION("""COMPUTED_VALUE"""),"AU060D1")</f>
        <v>AU060D1</v>
      </c>
      <c r="B12123" s="226" t="str">
        <f>IFERROR(__xludf.DUMMYFUNCTION("""COMPUTED_VALUE"""),"8717323052167")</f>
        <v>8717323052167</v>
      </c>
      <c r="C12123" t="str">
        <f>IFERROR(__xludf.DUMMYFUNCTION("""COMPUTED_VALUE"""),"ECS")</f>
        <v>ECS</v>
      </c>
    </row>
    <row r="12124">
      <c r="A12124" t="str">
        <f>IFERROR(__xludf.DUMMYFUNCTION("""COMPUTED_VALUE"""),"AU039B1")</f>
        <v>AU039B1</v>
      </c>
      <c r="B12124" s="226" t="str">
        <f>IFERROR(__xludf.DUMMYFUNCTION("""COMPUTED_VALUE"""),"8717323024799")</f>
        <v>8717323024799</v>
      </c>
      <c r="C12124" t="str">
        <f>IFERROR(__xludf.DUMMYFUNCTION("""COMPUTED_VALUE"""),"ECS")</f>
        <v>ECS</v>
      </c>
    </row>
    <row r="12125">
      <c r="A12125" t="str">
        <f>IFERROR(__xludf.DUMMYFUNCTION("""COMPUTED_VALUE"""),"AU039D1")</f>
        <v>AU039D1</v>
      </c>
      <c r="B12125" s="226" t="str">
        <f>IFERROR(__xludf.DUMMYFUNCTION("""COMPUTED_VALUE"""),"8717323024805")</f>
        <v>8717323024805</v>
      </c>
      <c r="C12125" t="str">
        <f>IFERROR(__xludf.DUMMYFUNCTION("""COMPUTED_VALUE"""),"ECS")</f>
        <v>ECS</v>
      </c>
    </row>
    <row r="12126">
      <c r="A12126" t="str">
        <f>IFERROR(__xludf.DUMMYFUNCTION("""COMPUTED_VALUE"""),"AU056B1")</f>
        <v>AU056B1</v>
      </c>
      <c r="B12126" s="226" t="str">
        <f>IFERROR(__xludf.DUMMYFUNCTION("""COMPUTED_VALUE"""),"8717323047644")</f>
        <v>8717323047644</v>
      </c>
      <c r="C12126" t="str">
        <f>IFERROR(__xludf.DUMMYFUNCTION("""COMPUTED_VALUE"""),"ECS")</f>
        <v>ECS</v>
      </c>
    </row>
    <row r="12127">
      <c r="A12127" t="str">
        <f>IFERROR(__xludf.DUMMYFUNCTION("""COMPUTED_VALUE"""),"AU056D1")</f>
        <v>AU056D1</v>
      </c>
      <c r="B12127" s="226" t="str">
        <f>IFERROR(__xludf.DUMMYFUNCTION("""COMPUTED_VALUE"""),"8717323047705")</f>
        <v>8717323047705</v>
      </c>
      <c r="C12127" t="str">
        <f>IFERROR(__xludf.DUMMYFUNCTION("""COMPUTED_VALUE"""),"ECS")</f>
        <v>ECS</v>
      </c>
    </row>
    <row r="12128">
      <c r="A12128" t="str">
        <f>IFERROR(__xludf.DUMMYFUNCTION("""COMPUTED_VALUE"""),"AU060B1")</f>
        <v>AU060B1</v>
      </c>
      <c r="B12128" s="226" t="str">
        <f>IFERROR(__xludf.DUMMYFUNCTION("""COMPUTED_VALUE"""),"8717323052150")</f>
        <v>8717323052150</v>
      </c>
      <c r="C12128" t="str">
        <f>IFERROR(__xludf.DUMMYFUNCTION("""COMPUTED_VALUE"""),"ECS")</f>
        <v>ECS</v>
      </c>
    </row>
    <row r="12129">
      <c r="A12129" t="str">
        <f>IFERROR(__xludf.DUMMYFUNCTION("""COMPUTED_VALUE"""),"AU060D1")</f>
        <v>AU060D1</v>
      </c>
      <c r="B12129" s="226" t="str">
        <f>IFERROR(__xludf.DUMMYFUNCTION("""COMPUTED_VALUE"""),"8717323052167")</f>
        <v>8717323052167</v>
      </c>
      <c r="C12129" t="str">
        <f>IFERROR(__xludf.DUMMYFUNCTION("""COMPUTED_VALUE"""),"ECS")</f>
        <v>ECS</v>
      </c>
    </row>
    <row r="12130">
      <c r="A12130" t="str">
        <f>IFERROR(__xludf.DUMMYFUNCTION("""COMPUTED_VALUE"""),"AU077B1")</f>
        <v>AU077B1</v>
      </c>
      <c r="B12130" s="226" t="str">
        <f>IFERROR(__xludf.DUMMYFUNCTION("""COMPUTED_VALUE"""),"8717323068106")</f>
        <v>8717323068106</v>
      </c>
      <c r="C12130" t="str">
        <f>IFERROR(__xludf.DUMMYFUNCTION("""COMPUTED_VALUE"""),"ECS")</f>
        <v>ECS</v>
      </c>
    </row>
    <row r="12131">
      <c r="A12131" t="str">
        <f>IFERROR(__xludf.DUMMYFUNCTION("""COMPUTED_VALUE"""),"AU077H1")</f>
        <v>AU077H1</v>
      </c>
      <c r="B12131" s="226" t="str">
        <f>IFERROR(__xludf.DUMMYFUNCTION("""COMPUTED_VALUE"""),"8717323068113")</f>
        <v>8717323068113</v>
      </c>
      <c r="C12131" t="str">
        <f>IFERROR(__xludf.DUMMYFUNCTION("""COMPUTED_VALUE"""),"ECS")</f>
        <v>ECS</v>
      </c>
    </row>
    <row r="12132">
      <c r="A12132" t="str">
        <f>IFERROR(__xludf.DUMMYFUNCTION("""COMPUTED_VALUE"""),"AU068B1")</f>
        <v>AU068B1</v>
      </c>
      <c r="B12132" s="226" t="str">
        <f>IFERROR(__xludf.DUMMYFUNCTION("""COMPUTED_VALUE"""),"8717323061756")</f>
        <v>8717323061756</v>
      </c>
      <c r="C12132" t="str">
        <f>IFERROR(__xludf.DUMMYFUNCTION("""COMPUTED_VALUE"""),"ECS")</f>
        <v>ECS</v>
      </c>
    </row>
    <row r="12133">
      <c r="A12133" t="str">
        <f>IFERROR(__xludf.DUMMYFUNCTION("""COMPUTED_VALUE"""),"AU068H1")</f>
        <v>AU068H1</v>
      </c>
      <c r="B12133" s="226" t="str">
        <f>IFERROR(__xludf.DUMMYFUNCTION("""COMPUTED_VALUE"""),"8717323061763")</f>
        <v>8717323061763</v>
      </c>
      <c r="C12133" t="str">
        <f>IFERROR(__xludf.DUMMYFUNCTION("""COMPUTED_VALUE"""),"ECS")</f>
        <v>ECS</v>
      </c>
    </row>
    <row r="12134">
      <c r="A12134" t="str">
        <f>IFERROR(__xludf.DUMMYFUNCTION("""COMPUTED_VALUE"""),"VW146B1")</f>
        <v>VW146B1</v>
      </c>
      <c r="B12134" s="226" t="str">
        <f>IFERROR(__xludf.DUMMYFUNCTION("""COMPUTED_VALUE"""),"8717323050644")</f>
        <v>8717323050644</v>
      </c>
      <c r="C12134" t="str">
        <f>IFERROR(__xludf.DUMMYFUNCTION("""COMPUTED_VALUE"""),"ECS")</f>
        <v>ECS</v>
      </c>
    </row>
    <row r="12135">
      <c r="A12135" t="str">
        <f>IFERROR(__xludf.DUMMYFUNCTION("""COMPUTED_VALUE"""),"VW146D1")</f>
        <v>VW146D1</v>
      </c>
      <c r="B12135" s="226" t="str">
        <f>IFERROR(__xludf.DUMMYFUNCTION("""COMPUTED_VALUE"""),"8717323050651")</f>
        <v>8717323050651</v>
      </c>
      <c r="C12135" t="str">
        <f>IFERROR(__xludf.DUMMYFUNCTION("""COMPUTED_VALUE"""),"ECS")</f>
        <v>ECS</v>
      </c>
    </row>
    <row r="12136">
      <c r="A12136" t="str">
        <f>IFERROR(__xludf.DUMMYFUNCTION("""COMPUTED_VALUE"""),"VW190B1")</f>
        <v>VW190B1</v>
      </c>
      <c r="B12136" s="226" t="str">
        <f>IFERROR(__xludf.DUMMYFUNCTION("""COMPUTED_VALUE"""),"8717323061039")</f>
        <v>8717323061039</v>
      </c>
      <c r="C12136" t="str">
        <f>IFERROR(__xludf.DUMMYFUNCTION("""COMPUTED_VALUE"""),"ECS")</f>
        <v>ECS</v>
      </c>
    </row>
    <row r="12137">
      <c r="A12137" t="str">
        <f>IFERROR(__xludf.DUMMYFUNCTION("""COMPUTED_VALUE"""),"VW190H1")</f>
        <v>VW190H1</v>
      </c>
      <c r="B12137" s="226" t="str">
        <f>IFERROR(__xludf.DUMMYFUNCTION("""COMPUTED_VALUE"""),"8717323060957")</f>
        <v>8717323060957</v>
      </c>
      <c r="C12137" t="str">
        <f>IFERROR(__xludf.DUMMYFUNCTION("""COMPUTED_VALUE"""),"ECS")</f>
        <v>ECS</v>
      </c>
    </row>
    <row r="12138">
      <c r="A12138" t="str">
        <f>IFERROR(__xludf.DUMMYFUNCTION("""COMPUTED_VALUE"""),"AU040B1")</f>
        <v>AU040B1</v>
      </c>
      <c r="B12138" s="226" t="str">
        <f>IFERROR(__xludf.DUMMYFUNCTION("""COMPUTED_VALUE"""),"8717323028346")</f>
        <v>8717323028346</v>
      </c>
      <c r="C12138" t="str">
        <f>IFERROR(__xludf.DUMMYFUNCTION("""COMPUTED_VALUE"""),"ECS")</f>
        <v>ECS</v>
      </c>
    </row>
    <row r="12139">
      <c r="A12139" t="str">
        <f>IFERROR(__xludf.DUMMYFUNCTION("""COMPUTED_VALUE"""),"AU040D1")</f>
        <v>AU040D1</v>
      </c>
      <c r="B12139" s="226" t="str">
        <f>IFERROR(__xludf.DUMMYFUNCTION("""COMPUTED_VALUE"""),"8717323028353")</f>
        <v>8717323028353</v>
      </c>
      <c r="C12139" t="str">
        <f>IFERROR(__xludf.DUMMYFUNCTION("""COMPUTED_VALUE"""),"ECS")</f>
        <v>ECS</v>
      </c>
    </row>
    <row r="12140">
      <c r="A12140" t="str">
        <f>IFERROR(__xludf.DUMMYFUNCTION("""COMPUTED_VALUE"""),"AU063B1")</f>
        <v>AU063B1</v>
      </c>
      <c r="B12140" s="226" t="str">
        <f>IFERROR(__xludf.DUMMYFUNCTION("""COMPUTED_VALUE"""),"8717323055038")</f>
        <v>8717323055038</v>
      </c>
      <c r="C12140" t="str">
        <f>IFERROR(__xludf.DUMMYFUNCTION("""COMPUTED_VALUE"""),"ECS")</f>
        <v>ECS</v>
      </c>
    </row>
    <row r="12141">
      <c r="A12141" t="str">
        <f>IFERROR(__xludf.DUMMYFUNCTION("""COMPUTED_VALUE"""),"AU063D1")</f>
        <v>AU063D1</v>
      </c>
      <c r="B12141" s="226" t="str">
        <f>IFERROR(__xludf.DUMMYFUNCTION("""COMPUTED_VALUE"""),"8717323055045")</f>
        <v>8717323055045</v>
      </c>
      <c r="C12141" t="str">
        <f>IFERROR(__xludf.DUMMYFUNCTION("""COMPUTED_VALUE"""),"ECS")</f>
        <v>ECS</v>
      </c>
    </row>
    <row r="12142">
      <c r="A12142" t="str">
        <f>IFERROR(__xludf.DUMMYFUNCTION("""COMPUTED_VALUE"""),"VW146B1")</f>
        <v>VW146B1</v>
      </c>
      <c r="B12142" s="226" t="str">
        <f>IFERROR(__xludf.DUMMYFUNCTION("""COMPUTED_VALUE"""),"8717323050644")</f>
        <v>8717323050644</v>
      </c>
      <c r="C12142" t="str">
        <f>IFERROR(__xludf.DUMMYFUNCTION("""COMPUTED_VALUE"""),"ECS")</f>
        <v>ECS</v>
      </c>
    </row>
    <row r="12143">
      <c r="A12143" t="str">
        <f>IFERROR(__xludf.DUMMYFUNCTION("""COMPUTED_VALUE"""),"VW146D1")</f>
        <v>VW146D1</v>
      </c>
      <c r="B12143" s="226" t="str">
        <f>IFERROR(__xludf.DUMMYFUNCTION("""COMPUTED_VALUE"""),"8717323050651")</f>
        <v>8717323050651</v>
      </c>
      <c r="C12143" t="str">
        <f>IFERROR(__xludf.DUMMYFUNCTION("""COMPUTED_VALUE"""),"ECS")</f>
        <v>ECS</v>
      </c>
    </row>
    <row r="12144">
      <c r="A12144" t="str">
        <f>IFERROR(__xludf.DUMMYFUNCTION("""COMPUTED_VALUE"""),"VW190B1")</f>
        <v>VW190B1</v>
      </c>
      <c r="B12144" s="226" t="str">
        <f>IFERROR(__xludf.DUMMYFUNCTION("""COMPUTED_VALUE"""),"8717323061039")</f>
        <v>8717323061039</v>
      </c>
      <c r="C12144" t="str">
        <f>IFERROR(__xludf.DUMMYFUNCTION("""COMPUTED_VALUE"""),"ECS")</f>
        <v>ECS</v>
      </c>
    </row>
    <row r="12145">
      <c r="A12145" t="str">
        <f>IFERROR(__xludf.DUMMYFUNCTION("""COMPUTED_VALUE"""),"VW190H1")</f>
        <v>VW190H1</v>
      </c>
      <c r="B12145" s="226" t="str">
        <f>IFERROR(__xludf.DUMMYFUNCTION("""COMPUTED_VALUE"""),"8717323060957")</f>
        <v>8717323060957</v>
      </c>
      <c r="C12145" t="str">
        <f>IFERROR(__xludf.DUMMYFUNCTION("""COMPUTED_VALUE"""),"ECS")</f>
        <v>ECS</v>
      </c>
    </row>
    <row r="12146">
      <c r="A12146" t="str">
        <f>IFERROR(__xludf.DUMMYFUNCTION("""COMPUTED_VALUE"""),"VW146B1")</f>
        <v>VW146B1</v>
      </c>
      <c r="B12146" s="226" t="str">
        <f>IFERROR(__xludf.DUMMYFUNCTION("""COMPUTED_VALUE"""),"8717323050644")</f>
        <v>8717323050644</v>
      </c>
      <c r="C12146" t="str">
        <f>IFERROR(__xludf.DUMMYFUNCTION("""COMPUTED_VALUE"""),"ECS")</f>
        <v>ECS</v>
      </c>
    </row>
    <row r="12147">
      <c r="A12147" t="str">
        <f>IFERROR(__xludf.DUMMYFUNCTION("""COMPUTED_VALUE"""),"VW146D1")</f>
        <v>VW146D1</v>
      </c>
      <c r="B12147" s="226" t="str">
        <f>IFERROR(__xludf.DUMMYFUNCTION("""COMPUTED_VALUE"""),"8717323050651")</f>
        <v>8717323050651</v>
      </c>
      <c r="C12147" t="str">
        <f>IFERROR(__xludf.DUMMYFUNCTION("""COMPUTED_VALUE"""),"ECS")</f>
        <v>ECS</v>
      </c>
    </row>
    <row r="12148">
      <c r="A12148" t="str">
        <f>IFERROR(__xludf.DUMMYFUNCTION("""COMPUTED_VALUE"""),"VW190B1")</f>
        <v>VW190B1</v>
      </c>
      <c r="B12148" s="226" t="str">
        <f>IFERROR(__xludf.DUMMYFUNCTION("""COMPUTED_VALUE"""),"8717323061039")</f>
        <v>8717323061039</v>
      </c>
      <c r="C12148" t="str">
        <f>IFERROR(__xludf.DUMMYFUNCTION("""COMPUTED_VALUE"""),"ECS")</f>
        <v>ECS</v>
      </c>
    </row>
    <row r="12149">
      <c r="A12149" t="str">
        <f>IFERROR(__xludf.DUMMYFUNCTION("""COMPUTED_VALUE"""),"VW190H1")</f>
        <v>VW190H1</v>
      </c>
      <c r="B12149" s="226" t="str">
        <f>IFERROR(__xludf.DUMMYFUNCTION("""COMPUTED_VALUE"""),"8717323060957")</f>
        <v>8717323060957</v>
      </c>
      <c r="C12149" t="str">
        <f>IFERROR(__xludf.DUMMYFUNCTION("""COMPUTED_VALUE"""),"ECS")</f>
        <v>ECS</v>
      </c>
    </row>
    <row r="12150">
      <c r="A12150" t="str">
        <f>IFERROR(__xludf.DUMMYFUNCTION("""COMPUTED_VALUE"""),"AU035B1")</f>
        <v>AU035B1</v>
      </c>
      <c r="B12150" s="226" t="str">
        <f>IFERROR(__xludf.DUMMYFUNCTION("""COMPUTED_VALUE"""),"8717323025864")</f>
        <v>8717323025864</v>
      </c>
      <c r="C12150" t="str">
        <f>IFERROR(__xludf.DUMMYFUNCTION("""COMPUTED_VALUE"""),"ECS")</f>
        <v>ECS</v>
      </c>
    </row>
    <row r="12151">
      <c r="A12151" t="str">
        <f>IFERROR(__xludf.DUMMYFUNCTION("""COMPUTED_VALUE"""),"AU035D1")</f>
        <v>AU035D1</v>
      </c>
      <c r="B12151" s="226" t="str">
        <f>IFERROR(__xludf.DUMMYFUNCTION("""COMPUTED_VALUE"""),"8717323025871")</f>
        <v>8717323025871</v>
      </c>
      <c r="C12151" t="str">
        <f>IFERROR(__xludf.DUMMYFUNCTION("""COMPUTED_VALUE"""),"ECS")</f>
        <v>ECS</v>
      </c>
    </row>
    <row r="12152">
      <c r="A12152" t="str">
        <f>IFERROR(__xludf.DUMMYFUNCTION("""COMPUTED_VALUE"""),"AU054B1")</f>
        <v>AU054B1</v>
      </c>
      <c r="B12152" s="226" t="str">
        <f>IFERROR(__xludf.DUMMYFUNCTION("""COMPUTED_VALUE"""),"8717323047606")</f>
        <v>8717323047606</v>
      </c>
      <c r="C12152" t="str">
        <f>IFERROR(__xludf.DUMMYFUNCTION("""COMPUTED_VALUE"""),"ECS")</f>
        <v>ECS</v>
      </c>
    </row>
    <row r="12153">
      <c r="A12153" t="str">
        <f>IFERROR(__xludf.DUMMYFUNCTION("""COMPUTED_VALUE"""),"AU054D1")</f>
        <v>AU054D1</v>
      </c>
      <c r="B12153" s="226" t="str">
        <f>IFERROR(__xludf.DUMMYFUNCTION("""COMPUTED_VALUE"""),"8717323047613")</f>
        <v>8717323047613</v>
      </c>
      <c r="C12153" t="str">
        <f>IFERROR(__xludf.DUMMYFUNCTION("""COMPUTED_VALUE"""),"ECS")</f>
        <v>ECS</v>
      </c>
    </row>
    <row r="12154">
      <c r="A12154" t="str">
        <f>IFERROR(__xludf.DUMMYFUNCTION("""COMPUTED_VALUE"""),"AU068B1")</f>
        <v>AU068B1</v>
      </c>
      <c r="B12154" s="226" t="str">
        <f>IFERROR(__xludf.DUMMYFUNCTION("""COMPUTED_VALUE"""),"8717323061756")</f>
        <v>8717323061756</v>
      </c>
      <c r="C12154" t="str">
        <f>IFERROR(__xludf.DUMMYFUNCTION("""COMPUTED_VALUE"""),"ECS")</f>
        <v>ECS</v>
      </c>
    </row>
    <row r="12155">
      <c r="A12155" t="str">
        <f>IFERROR(__xludf.DUMMYFUNCTION("""COMPUTED_VALUE"""),"AU068H1")</f>
        <v>AU068H1</v>
      </c>
      <c r="B12155" s="226" t="str">
        <f>IFERROR(__xludf.DUMMYFUNCTION("""COMPUTED_VALUE"""),"8717323061763")</f>
        <v>8717323061763</v>
      </c>
      <c r="C12155" t="str">
        <f>IFERROR(__xludf.DUMMYFUNCTION("""COMPUTED_VALUE"""),"ECS")</f>
        <v>ECS</v>
      </c>
    </row>
    <row r="12156">
      <c r="A12156" t="str">
        <f>IFERROR(__xludf.DUMMYFUNCTION("""COMPUTED_VALUE"""),"AU062BX")</f>
        <v>AU062BX</v>
      </c>
      <c r="B12156" s="226" t="str">
        <f>IFERROR(__xludf.DUMMYFUNCTION("""COMPUTED_VALUE"""),"8717323055052")</f>
        <v>8717323055052</v>
      </c>
      <c r="C12156" t="str">
        <f>IFERROR(__xludf.DUMMYFUNCTION("""COMPUTED_VALUE"""),"ECS")</f>
        <v>ECS</v>
      </c>
    </row>
    <row r="12157">
      <c r="A12157" t="str">
        <f>IFERROR(__xludf.DUMMYFUNCTION("""COMPUTED_VALUE"""),"AU062HX")</f>
        <v>AU062HX</v>
      </c>
      <c r="B12157" s="226" t="str">
        <f>IFERROR(__xludf.DUMMYFUNCTION("""COMPUTED_VALUE"""),"8717323055069")</f>
        <v>8717323055069</v>
      </c>
      <c r="C12157" t="str">
        <f>IFERROR(__xludf.DUMMYFUNCTION("""COMPUTED_VALUE"""),"ECS")</f>
        <v>ECS</v>
      </c>
    </row>
    <row r="12158">
      <c r="A12158" t="str">
        <f>IFERROR(__xludf.DUMMYFUNCTION("""COMPUTED_VALUE"""),"AU068B1")</f>
        <v>AU068B1</v>
      </c>
      <c r="B12158" s="226" t="str">
        <f>IFERROR(__xludf.DUMMYFUNCTION("""COMPUTED_VALUE"""),"8717323061756")</f>
        <v>8717323061756</v>
      </c>
      <c r="C12158" t="str">
        <f>IFERROR(__xludf.DUMMYFUNCTION("""COMPUTED_VALUE"""),"ECS")</f>
        <v>ECS</v>
      </c>
    </row>
    <row r="12159">
      <c r="A12159" t="str">
        <f>IFERROR(__xludf.DUMMYFUNCTION("""COMPUTED_VALUE"""),"AU068H1")</f>
        <v>AU068H1</v>
      </c>
      <c r="B12159" s="226" t="str">
        <f>IFERROR(__xludf.DUMMYFUNCTION("""COMPUTED_VALUE"""),"8717323061763")</f>
        <v>8717323061763</v>
      </c>
      <c r="C12159" t="str">
        <f>IFERROR(__xludf.DUMMYFUNCTION("""COMPUTED_VALUE"""),"ECS")</f>
        <v>ECS</v>
      </c>
    </row>
    <row r="12160">
      <c r="A12160" t="str">
        <f>IFERROR(__xludf.DUMMYFUNCTION("""COMPUTED_VALUE"""),"AU062BX")</f>
        <v>AU062BX</v>
      </c>
      <c r="B12160" s="226" t="str">
        <f>IFERROR(__xludf.DUMMYFUNCTION("""COMPUTED_VALUE"""),"8717323055052")</f>
        <v>8717323055052</v>
      </c>
      <c r="C12160" t="str">
        <f>IFERROR(__xludf.DUMMYFUNCTION("""COMPUTED_VALUE"""),"ECS")</f>
        <v>ECS</v>
      </c>
    </row>
    <row r="12161">
      <c r="A12161" t="str">
        <f>IFERROR(__xludf.DUMMYFUNCTION("""COMPUTED_VALUE"""),"AU062HX")</f>
        <v>AU062HX</v>
      </c>
      <c r="B12161" s="226" t="str">
        <f>IFERROR(__xludf.DUMMYFUNCTION("""COMPUTED_VALUE"""),"8717323055069")</f>
        <v>8717323055069</v>
      </c>
      <c r="C12161" t="str">
        <f>IFERROR(__xludf.DUMMYFUNCTION("""COMPUTED_VALUE"""),"ECS")</f>
        <v>ECS</v>
      </c>
    </row>
    <row r="12162">
      <c r="A12162" t="str">
        <f>IFERROR(__xludf.DUMMYFUNCTION("""COMPUTED_VALUE"""),"AU068B1")</f>
        <v>AU068B1</v>
      </c>
      <c r="B12162" s="226" t="str">
        <f>IFERROR(__xludf.DUMMYFUNCTION("""COMPUTED_VALUE"""),"8717323061756")</f>
        <v>8717323061756</v>
      </c>
      <c r="C12162" t="str">
        <f>IFERROR(__xludf.DUMMYFUNCTION("""COMPUTED_VALUE"""),"ECS")</f>
        <v>ECS</v>
      </c>
    </row>
    <row r="12163">
      <c r="A12163" t="str">
        <f>IFERROR(__xludf.DUMMYFUNCTION("""COMPUTED_VALUE"""),"AU068H1")</f>
        <v>AU068H1</v>
      </c>
      <c r="B12163" s="226" t="str">
        <f>IFERROR(__xludf.DUMMYFUNCTION("""COMPUTED_VALUE"""),"8717323061763")</f>
        <v>8717323061763</v>
      </c>
      <c r="C12163" t="str">
        <f>IFERROR(__xludf.DUMMYFUNCTION("""COMPUTED_VALUE"""),"ECS")</f>
        <v>ECS</v>
      </c>
    </row>
    <row r="12164">
      <c r="A12164" t="str">
        <f>IFERROR(__xludf.DUMMYFUNCTION("""COMPUTED_VALUE"""),"AU068B1")</f>
        <v>AU068B1</v>
      </c>
      <c r="B12164" s="226" t="str">
        <f>IFERROR(__xludf.DUMMYFUNCTION("""COMPUTED_VALUE"""),"8717323061756")</f>
        <v>8717323061756</v>
      </c>
      <c r="C12164" t="str">
        <f>IFERROR(__xludf.DUMMYFUNCTION("""COMPUTED_VALUE"""),"ECS")</f>
        <v>ECS</v>
      </c>
    </row>
    <row r="12165">
      <c r="A12165" t="str">
        <f>IFERROR(__xludf.DUMMYFUNCTION("""COMPUTED_VALUE"""),"AU068H1")</f>
        <v>AU068H1</v>
      </c>
      <c r="B12165" s="226" t="str">
        <f>IFERROR(__xludf.DUMMYFUNCTION("""COMPUTED_VALUE"""),"8717323061763")</f>
        <v>8717323061763</v>
      </c>
      <c r="C12165" t="str">
        <f>IFERROR(__xludf.DUMMYFUNCTION("""COMPUTED_VALUE"""),"ECS")</f>
        <v>ECS</v>
      </c>
    </row>
    <row r="12166">
      <c r="A12166" t="str">
        <f>IFERROR(__xludf.DUMMYFUNCTION("""COMPUTED_VALUE"""),"AU035B1")</f>
        <v>AU035B1</v>
      </c>
      <c r="B12166" s="226" t="str">
        <f>IFERROR(__xludf.DUMMYFUNCTION("""COMPUTED_VALUE"""),"8717323025864")</f>
        <v>8717323025864</v>
      </c>
      <c r="C12166" t="str">
        <f>IFERROR(__xludf.DUMMYFUNCTION("""COMPUTED_VALUE"""),"ECS")</f>
        <v>ECS</v>
      </c>
    </row>
    <row r="12167">
      <c r="A12167" t="str">
        <f>IFERROR(__xludf.DUMMYFUNCTION("""COMPUTED_VALUE"""),"AU035D1")</f>
        <v>AU035D1</v>
      </c>
      <c r="B12167" s="226" t="str">
        <f>IFERROR(__xludf.DUMMYFUNCTION("""COMPUTED_VALUE"""),"8717323025871")</f>
        <v>8717323025871</v>
      </c>
      <c r="C12167" t="str">
        <f>IFERROR(__xludf.DUMMYFUNCTION("""COMPUTED_VALUE"""),"ECS")</f>
        <v>ECS</v>
      </c>
    </row>
    <row r="12168">
      <c r="A12168" t="str">
        <f>IFERROR(__xludf.DUMMYFUNCTION("""COMPUTED_VALUE"""),"AU054B1")</f>
        <v>AU054B1</v>
      </c>
      <c r="B12168" s="226" t="str">
        <f>IFERROR(__xludf.DUMMYFUNCTION("""COMPUTED_VALUE"""),"8717323047606")</f>
        <v>8717323047606</v>
      </c>
      <c r="C12168" t="str">
        <f>IFERROR(__xludf.DUMMYFUNCTION("""COMPUTED_VALUE"""),"ECS")</f>
        <v>ECS</v>
      </c>
    </row>
    <row r="12169">
      <c r="A12169" t="str">
        <f>IFERROR(__xludf.DUMMYFUNCTION("""COMPUTED_VALUE"""),"AU054D1")</f>
        <v>AU054D1</v>
      </c>
      <c r="B12169" s="226" t="str">
        <f>IFERROR(__xludf.DUMMYFUNCTION("""COMPUTED_VALUE"""),"8717323047613")</f>
        <v>8717323047613</v>
      </c>
      <c r="C12169" t="str">
        <f>IFERROR(__xludf.DUMMYFUNCTION("""COMPUTED_VALUE"""),"ECS")</f>
        <v>ECS</v>
      </c>
    </row>
    <row r="12170">
      <c r="A12170" t="str">
        <f>IFERROR(__xludf.DUMMYFUNCTION("""COMPUTED_VALUE"""),"AU068B1")</f>
        <v>AU068B1</v>
      </c>
      <c r="B12170" s="226" t="str">
        <f>IFERROR(__xludf.DUMMYFUNCTION("""COMPUTED_VALUE"""),"8717323061756")</f>
        <v>8717323061756</v>
      </c>
      <c r="C12170" t="str">
        <f>IFERROR(__xludf.DUMMYFUNCTION("""COMPUTED_VALUE"""),"ECS")</f>
        <v>ECS</v>
      </c>
    </row>
    <row r="12171">
      <c r="A12171" t="str">
        <f>IFERROR(__xludf.DUMMYFUNCTION("""COMPUTED_VALUE"""),"AU068H1")</f>
        <v>AU068H1</v>
      </c>
      <c r="B12171" s="226" t="str">
        <f>IFERROR(__xludf.DUMMYFUNCTION("""COMPUTED_VALUE"""),"8717323061763")</f>
        <v>8717323061763</v>
      </c>
      <c r="C12171" t="str">
        <f>IFERROR(__xludf.DUMMYFUNCTION("""COMPUTED_VALUE"""),"ECS")</f>
        <v>ECS</v>
      </c>
    </row>
    <row r="12172">
      <c r="A12172" t="str">
        <f>IFERROR(__xludf.DUMMYFUNCTION("""COMPUTED_VALUE"""),"BW008B1")</f>
        <v>BW008B1</v>
      </c>
      <c r="B12172" s="226" t="str">
        <f>IFERROR(__xludf.DUMMYFUNCTION("""COMPUTED_VALUE"""),"8717323024546")</f>
        <v>8717323024546</v>
      </c>
      <c r="C12172" t="str">
        <f>IFERROR(__xludf.DUMMYFUNCTION("""COMPUTED_VALUE"""),"ECS")</f>
        <v>ECS</v>
      </c>
    </row>
    <row r="12173">
      <c r="A12173" t="str">
        <f>IFERROR(__xludf.DUMMYFUNCTION("""COMPUTED_VALUE"""),"BW008D1")</f>
        <v>BW008D1</v>
      </c>
      <c r="B12173" s="226" t="str">
        <f>IFERROR(__xludf.DUMMYFUNCTION("""COMPUTED_VALUE"""),"8717323024553")</f>
        <v>8717323024553</v>
      </c>
      <c r="C12173" t="str">
        <f>IFERROR(__xludf.DUMMYFUNCTION("""COMPUTED_VALUE"""),"ECS")</f>
        <v>ECS</v>
      </c>
    </row>
    <row r="12174">
      <c r="A12174" t="str">
        <f>IFERROR(__xludf.DUMMYFUNCTION("""COMPUTED_VALUE"""),"BW008H1")</f>
        <v>BW008H1</v>
      </c>
      <c r="B12174" s="226" t="str">
        <f>IFERROR(__xludf.DUMMYFUNCTION("""COMPUTED_VALUE"""),"8717323049327")</f>
        <v>8717323049327</v>
      </c>
      <c r="C12174" t="str">
        <f>IFERROR(__xludf.DUMMYFUNCTION("""COMPUTED_VALUE"""),"ECS")</f>
        <v>ECS</v>
      </c>
    </row>
    <row r="12175">
      <c r="A12175" t="str">
        <f>IFERROR(__xludf.DUMMYFUNCTION("""COMPUTED_VALUE"""),"BW008B1")</f>
        <v>BW008B1</v>
      </c>
      <c r="B12175" s="226" t="str">
        <f>IFERROR(__xludf.DUMMYFUNCTION("""COMPUTED_VALUE"""),"8717323024546")</f>
        <v>8717323024546</v>
      </c>
      <c r="C12175" t="str">
        <f>IFERROR(__xludf.DUMMYFUNCTION("""COMPUTED_VALUE"""),"ECS")</f>
        <v>ECS</v>
      </c>
    </row>
    <row r="12176">
      <c r="A12176" t="str">
        <f>IFERROR(__xludf.DUMMYFUNCTION("""COMPUTED_VALUE"""),"BW008D1")</f>
        <v>BW008D1</v>
      </c>
      <c r="B12176" s="226" t="str">
        <f>IFERROR(__xludf.DUMMYFUNCTION("""COMPUTED_VALUE"""),"8717323024553")</f>
        <v>8717323024553</v>
      </c>
      <c r="C12176" t="str">
        <f>IFERROR(__xludf.DUMMYFUNCTION("""COMPUTED_VALUE"""),"ECS")</f>
        <v>ECS</v>
      </c>
    </row>
    <row r="12177">
      <c r="A12177" t="str">
        <f>IFERROR(__xludf.DUMMYFUNCTION("""COMPUTED_VALUE"""),"BW008H1")</f>
        <v>BW008H1</v>
      </c>
      <c r="B12177" s="226" t="str">
        <f>IFERROR(__xludf.DUMMYFUNCTION("""COMPUTED_VALUE"""),"8717323049327")</f>
        <v>8717323049327</v>
      </c>
      <c r="C12177" t="str">
        <f>IFERROR(__xludf.DUMMYFUNCTION("""COMPUTED_VALUE"""),"ECS")</f>
        <v>ECS</v>
      </c>
    </row>
    <row r="12178">
      <c r="A12178" t="str">
        <f>IFERROR(__xludf.DUMMYFUNCTION("""COMPUTED_VALUE"""),"BW008B1")</f>
        <v>BW008B1</v>
      </c>
      <c r="B12178" s="226" t="str">
        <f>IFERROR(__xludf.DUMMYFUNCTION("""COMPUTED_VALUE"""),"8717323024546")</f>
        <v>8717323024546</v>
      </c>
      <c r="C12178" t="str">
        <f>IFERROR(__xludf.DUMMYFUNCTION("""COMPUTED_VALUE"""),"ECS")</f>
        <v>ECS</v>
      </c>
    </row>
    <row r="12179">
      <c r="A12179" t="str">
        <f>IFERROR(__xludf.DUMMYFUNCTION("""COMPUTED_VALUE"""),"BW008D1")</f>
        <v>BW008D1</v>
      </c>
      <c r="B12179" s="226" t="str">
        <f>IFERROR(__xludf.DUMMYFUNCTION("""COMPUTED_VALUE"""),"8717323024553")</f>
        <v>8717323024553</v>
      </c>
      <c r="C12179" t="str">
        <f>IFERROR(__xludf.DUMMYFUNCTION("""COMPUTED_VALUE"""),"ECS")</f>
        <v>ECS</v>
      </c>
    </row>
    <row r="12180">
      <c r="A12180" t="str">
        <f>IFERROR(__xludf.DUMMYFUNCTION("""COMPUTED_VALUE"""),"BW008H1")</f>
        <v>BW008H1</v>
      </c>
      <c r="B12180" s="226" t="str">
        <f>IFERROR(__xludf.DUMMYFUNCTION("""COMPUTED_VALUE"""),"8717323049327")</f>
        <v>8717323049327</v>
      </c>
      <c r="C12180" t="str">
        <f>IFERROR(__xludf.DUMMYFUNCTION("""COMPUTED_VALUE"""),"ECS")</f>
        <v>ECS</v>
      </c>
    </row>
    <row r="12181">
      <c r="A12181" t="str">
        <f>IFERROR(__xludf.DUMMYFUNCTION("""COMPUTED_VALUE"""),"BW008B1")</f>
        <v>BW008B1</v>
      </c>
      <c r="B12181" s="226" t="str">
        <f>IFERROR(__xludf.DUMMYFUNCTION("""COMPUTED_VALUE"""),"8717323024546")</f>
        <v>8717323024546</v>
      </c>
      <c r="C12181" t="str">
        <f>IFERROR(__xludf.DUMMYFUNCTION("""COMPUTED_VALUE"""),"ECS")</f>
        <v>ECS</v>
      </c>
    </row>
    <row r="12182">
      <c r="A12182" t="str">
        <f>IFERROR(__xludf.DUMMYFUNCTION("""COMPUTED_VALUE"""),"BW008D1")</f>
        <v>BW008D1</v>
      </c>
      <c r="B12182" s="226" t="str">
        <f>IFERROR(__xludf.DUMMYFUNCTION("""COMPUTED_VALUE"""),"8717323024553")</f>
        <v>8717323024553</v>
      </c>
      <c r="C12182" t="str">
        <f>IFERROR(__xludf.DUMMYFUNCTION("""COMPUTED_VALUE"""),"ECS")</f>
        <v>ECS</v>
      </c>
    </row>
    <row r="12183">
      <c r="A12183" t="str">
        <f>IFERROR(__xludf.DUMMYFUNCTION("""COMPUTED_VALUE"""),"BW008H1")</f>
        <v>BW008H1</v>
      </c>
      <c r="B12183" s="226" t="str">
        <f>IFERROR(__xludf.DUMMYFUNCTION("""COMPUTED_VALUE"""),"8717323049327")</f>
        <v>8717323049327</v>
      </c>
      <c r="C12183" t="str">
        <f>IFERROR(__xludf.DUMMYFUNCTION("""COMPUTED_VALUE"""),"ECS")</f>
        <v>ECS</v>
      </c>
    </row>
    <row r="12184">
      <c r="A12184" t="str">
        <f>IFERROR(__xludf.DUMMYFUNCTION("""COMPUTED_VALUE"""),"BW008B1")</f>
        <v>BW008B1</v>
      </c>
      <c r="B12184" s="226" t="str">
        <f>IFERROR(__xludf.DUMMYFUNCTION("""COMPUTED_VALUE"""),"8717323024546")</f>
        <v>8717323024546</v>
      </c>
      <c r="C12184" t="str">
        <f>IFERROR(__xludf.DUMMYFUNCTION("""COMPUTED_VALUE"""),"ECS")</f>
        <v>ECS</v>
      </c>
    </row>
    <row r="12185">
      <c r="A12185" t="str">
        <f>IFERROR(__xludf.DUMMYFUNCTION("""COMPUTED_VALUE"""),"BW008D1")</f>
        <v>BW008D1</v>
      </c>
      <c r="B12185" s="226" t="str">
        <f>IFERROR(__xludf.DUMMYFUNCTION("""COMPUTED_VALUE"""),"8717323024553")</f>
        <v>8717323024553</v>
      </c>
      <c r="C12185" t="str">
        <f>IFERROR(__xludf.DUMMYFUNCTION("""COMPUTED_VALUE"""),"ECS")</f>
        <v>ECS</v>
      </c>
    </row>
    <row r="12186">
      <c r="A12186" t="str">
        <f>IFERROR(__xludf.DUMMYFUNCTION("""COMPUTED_VALUE"""),"BW008H1")</f>
        <v>BW008H1</v>
      </c>
      <c r="B12186" s="226" t="str">
        <f>IFERROR(__xludf.DUMMYFUNCTION("""COMPUTED_VALUE"""),"8717323049327")</f>
        <v>8717323049327</v>
      </c>
      <c r="C12186" t="str">
        <f>IFERROR(__xludf.DUMMYFUNCTION("""COMPUTED_VALUE"""),"ECS")</f>
        <v>ECS</v>
      </c>
    </row>
    <row r="12187">
      <c r="A12187" t="str">
        <f>IFERROR(__xludf.DUMMYFUNCTION("""COMPUTED_VALUE"""),"BW028B1")</f>
        <v>BW028B1</v>
      </c>
      <c r="B12187" s="226" t="str">
        <f>IFERROR(__xludf.DUMMYFUNCTION("""COMPUTED_VALUE"""),"8717323062739")</f>
        <v>8717323062739</v>
      </c>
      <c r="C12187" t="str">
        <f>IFERROR(__xludf.DUMMYFUNCTION("""COMPUTED_VALUE"""),"ECS")</f>
        <v>ECS</v>
      </c>
    </row>
    <row r="12188">
      <c r="A12188" t="str">
        <f>IFERROR(__xludf.DUMMYFUNCTION("""COMPUTED_VALUE"""),"BW028D1")</f>
        <v>BW028D1</v>
      </c>
      <c r="B12188" s="226" t="str">
        <f>IFERROR(__xludf.DUMMYFUNCTION("""COMPUTED_VALUE"""),"8717323062746")</f>
        <v>8717323062746</v>
      </c>
      <c r="C12188" t="str">
        <f>IFERROR(__xludf.DUMMYFUNCTION("""COMPUTED_VALUE"""),"ECS")</f>
        <v>ECS</v>
      </c>
    </row>
    <row r="12189">
      <c r="A12189" t="str">
        <f>IFERROR(__xludf.DUMMYFUNCTION("""COMPUTED_VALUE"""),"BW027B1")</f>
        <v>BW027B1</v>
      </c>
      <c r="B12189" s="226" t="str">
        <f>IFERROR(__xludf.DUMMYFUNCTION("""COMPUTED_VALUE"""),"8717323063828")</f>
        <v>8717323063828</v>
      </c>
      <c r="C12189" t="str">
        <f>IFERROR(__xludf.DUMMYFUNCTION("""COMPUTED_VALUE"""),"ECS")</f>
        <v>ECS</v>
      </c>
    </row>
    <row r="12190">
      <c r="A12190" t="str">
        <f>IFERROR(__xludf.DUMMYFUNCTION("""COMPUTED_VALUE"""),"BW027D1")</f>
        <v>BW027D1</v>
      </c>
      <c r="B12190" s="226" t="str">
        <f>IFERROR(__xludf.DUMMYFUNCTION("""COMPUTED_VALUE"""),"8717323063835")</f>
        <v>8717323063835</v>
      </c>
      <c r="C12190" t="str">
        <f>IFERROR(__xludf.DUMMYFUNCTION("""COMPUTED_VALUE"""),"ECS")</f>
        <v>ECS</v>
      </c>
    </row>
    <row r="12191">
      <c r="A12191" t="str">
        <f>IFERROR(__xludf.DUMMYFUNCTION("""COMPUTED_VALUE"""),"BW008B1")</f>
        <v>BW008B1</v>
      </c>
      <c r="B12191" s="226" t="str">
        <f>IFERROR(__xludf.DUMMYFUNCTION("""COMPUTED_VALUE"""),"8717323024546")</f>
        <v>8717323024546</v>
      </c>
      <c r="C12191" t="str">
        <f>IFERROR(__xludf.DUMMYFUNCTION("""COMPUTED_VALUE"""),"ECS")</f>
        <v>ECS</v>
      </c>
    </row>
    <row r="12192">
      <c r="A12192" t="str">
        <f>IFERROR(__xludf.DUMMYFUNCTION("""COMPUTED_VALUE"""),"BW008D1")</f>
        <v>BW008D1</v>
      </c>
      <c r="B12192" s="226" t="str">
        <f>IFERROR(__xludf.DUMMYFUNCTION("""COMPUTED_VALUE"""),"8717323024553")</f>
        <v>8717323024553</v>
      </c>
      <c r="C12192" t="str">
        <f>IFERROR(__xludf.DUMMYFUNCTION("""COMPUTED_VALUE"""),"ECS")</f>
        <v>ECS</v>
      </c>
    </row>
    <row r="12193">
      <c r="A12193" t="str">
        <f>IFERROR(__xludf.DUMMYFUNCTION("""COMPUTED_VALUE"""),"BW008H1")</f>
        <v>BW008H1</v>
      </c>
      <c r="B12193" s="226" t="str">
        <f>IFERROR(__xludf.DUMMYFUNCTION("""COMPUTED_VALUE"""),"8717323049327")</f>
        <v>8717323049327</v>
      </c>
      <c r="C12193" t="str">
        <f>IFERROR(__xludf.DUMMYFUNCTION("""COMPUTED_VALUE"""),"ECS")</f>
        <v>ECS</v>
      </c>
    </row>
    <row r="12194">
      <c r="A12194" t="str">
        <f>IFERROR(__xludf.DUMMYFUNCTION("""COMPUTED_VALUE"""),"BW028B1")</f>
        <v>BW028B1</v>
      </c>
      <c r="B12194" s="226" t="str">
        <f>IFERROR(__xludf.DUMMYFUNCTION("""COMPUTED_VALUE"""),"8717323062739")</f>
        <v>8717323062739</v>
      </c>
      <c r="C12194" t="str">
        <f>IFERROR(__xludf.DUMMYFUNCTION("""COMPUTED_VALUE"""),"ECS")</f>
        <v>ECS</v>
      </c>
    </row>
    <row r="12195">
      <c r="A12195" t="str">
        <f>IFERROR(__xludf.DUMMYFUNCTION("""COMPUTED_VALUE"""),"BW028D1")</f>
        <v>BW028D1</v>
      </c>
      <c r="B12195" s="226" t="str">
        <f>IFERROR(__xludf.DUMMYFUNCTION("""COMPUTED_VALUE"""),"8717323062746")</f>
        <v>8717323062746</v>
      </c>
      <c r="C12195" t="str">
        <f>IFERROR(__xludf.DUMMYFUNCTION("""COMPUTED_VALUE"""),"ECS")</f>
        <v>ECS</v>
      </c>
    </row>
    <row r="12196">
      <c r="A12196" t="str">
        <f>IFERROR(__xludf.DUMMYFUNCTION("""COMPUTED_VALUE"""),"BW028B1")</f>
        <v>BW028B1</v>
      </c>
      <c r="B12196" s="226" t="str">
        <f>IFERROR(__xludf.DUMMYFUNCTION("""COMPUTED_VALUE"""),"8717323062739")</f>
        <v>8717323062739</v>
      </c>
      <c r="C12196" t="str">
        <f>IFERROR(__xludf.DUMMYFUNCTION("""COMPUTED_VALUE"""),"ECS")</f>
        <v>ECS</v>
      </c>
    </row>
    <row r="12197">
      <c r="A12197" t="str">
        <f>IFERROR(__xludf.DUMMYFUNCTION("""COMPUTED_VALUE"""),"BW028D1")</f>
        <v>BW028D1</v>
      </c>
      <c r="B12197" s="226" t="str">
        <f>IFERROR(__xludf.DUMMYFUNCTION("""COMPUTED_VALUE"""),"8717323062746")</f>
        <v>8717323062746</v>
      </c>
      <c r="C12197" t="str">
        <f>IFERROR(__xludf.DUMMYFUNCTION("""COMPUTED_VALUE"""),"ECS")</f>
        <v>ECS</v>
      </c>
    </row>
    <row r="12198">
      <c r="A12198" t="str">
        <f>IFERROR(__xludf.DUMMYFUNCTION("""COMPUTED_VALUE"""),"BW028B1")</f>
        <v>BW028B1</v>
      </c>
      <c r="B12198" s="226" t="str">
        <f>IFERROR(__xludf.DUMMYFUNCTION("""COMPUTED_VALUE"""),"8717323062739")</f>
        <v>8717323062739</v>
      </c>
      <c r="C12198" t="str">
        <f>IFERROR(__xludf.DUMMYFUNCTION("""COMPUTED_VALUE"""),"ECS")</f>
        <v>ECS</v>
      </c>
    </row>
    <row r="12199">
      <c r="A12199" t="str">
        <f>IFERROR(__xludf.DUMMYFUNCTION("""COMPUTED_VALUE"""),"BW028D1")</f>
        <v>BW028D1</v>
      </c>
      <c r="B12199" s="226" t="str">
        <f>IFERROR(__xludf.DUMMYFUNCTION("""COMPUTED_VALUE"""),"8717323062746")</f>
        <v>8717323062746</v>
      </c>
      <c r="C12199" t="str">
        <f>IFERROR(__xludf.DUMMYFUNCTION("""COMPUTED_VALUE"""),"ECS")</f>
        <v>ECS</v>
      </c>
    </row>
    <row r="12200">
      <c r="A12200" t="str">
        <f>IFERROR(__xludf.DUMMYFUNCTION("""COMPUTED_VALUE"""),"BW027B1")</f>
        <v>BW027B1</v>
      </c>
      <c r="B12200" s="226" t="str">
        <f>IFERROR(__xludf.DUMMYFUNCTION("""COMPUTED_VALUE"""),"8717323063828")</f>
        <v>8717323063828</v>
      </c>
      <c r="C12200" t="str">
        <f>IFERROR(__xludf.DUMMYFUNCTION("""COMPUTED_VALUE"""),"ECS")</f>
        <v>ECS</v>
      </c>
    </row>
    <row r="12201">
      <c r="A12201" t="str">
        <f>IFERROR(__xludf.DUMMYFUNCTION("""COMPUTED_VALUE"""),"BW027D1")</f>
        <v>BW027D1</v>
      </c>
      <c r="B12201" s="226" t="str">
        <f>IFERROR(__xludf.DUMMYFUNCTION("""COMPUTED_VALUE"""),"8717323063835")</f>
        <v>8717323063835</v>
      </c>
      <c r="C12201" t="str">
        <f>IFERROR(__xludf.DUMMYFUNCTION("""COMPUTED_VALUE"""),"ECS")</f>
        <v>ECS</v>
      </c>
    </row>
    <row r="12202">
      <c r="A12202" t="str">
        <f>IFERROR(__xludf.DUMMYFUNCTION("""COMPUTED_VALUE"""),"BW027B1")</f>
        <v>BW027B1</v>
      </c>
      <c r="B12202" s="226" t="str">
        <f>IFERROR(__xludf.DUMMYFUNCTION("""COMPUTED_VALUE"""),"8717323063828")</f>
        <v>8717323063828</v>
      </c>
      <c r="C12202" t="str">
        <f>IFERROR(__xludf.DUMMYFUNCTION("""COMPUTED_VALUE"""),"ECS")</f>
        <v>ECS</v>
      </c>
    </row>
    <row r="12203">
      <c r="A12203" t="str">
        <f>IFERROR(__xludf.DUMMYFUNCTION("""COMPUTED_VALUE"""),"BW027D1")</f>
        <v>BW027D1</v>
      </c>
      <c r="B12203" s="226" t="str">
        <f>IFERROR(__xludf.DUMMYFUNCTION("""COMPUTED_VALUE"""),"8717323063835")</f>
        <v>8717323063835</v>
      </c>
      <c r="C12203" t="str">
        <f>IFERROR(__xludf.DUMMYFUNCTION("""COMPUTED_VALUE"""),"ECS")</f>
        <v>ECS</v>
      </c>
    </row>
    <row r="12204">
      <c r="A12204" t="str">
        <f>IFERROR(__xludf.DUMMYFUNCTION("""COMPUTED_VALUE"""),"BMW005B")</f>
        <v>BMW005B</v>
      </c>
      <c r="B12204" s="226" t="str">
        <f>IFERROR(__xludf.DUMMYFUNCTION("""COMPUTED_VALUE"""),"8717323000281")</f>
        <v>8717323000281</v>
      </c>
      <c r="C12204" t="str">
        <f>IFERROR(__xludf.DUMMYFUNCTION("""COMPUTED_VALUE"""),"ECS")</f>
        <v>ECS</v>
      </c>
    </row>
    <row r="12205">
      <c r="A12205" t="str">
        <f>IFERROR(__xludf.DUMMYFUNCTION("""COMPUTED_VALUE"""),"BMW005B")</f>
        <v>BMW005B</v>
      </c>
      <c r="B12205" s="226" t="str">
        <f>IFERROR(__xludf.DUMMYFUNCTION("""COMPUTED_VALUE"""),"8717323000281")</f>
        <v>8717323000281</v>
      </c>
      <c r="C12205" t="str">
        <f>IFERROR(__xludf.DUMMYFUNCTION("""COMPUTED_VALUE"""),"ECS")</f>
        <v>ECS</v>
      </c>
    </row>
    <row r="12206">
      <c r="A12206" t="str">
        <f>IFERROR(__xludf.DUMMYFUNCTION("""COMPUTED_VALUE"""),"BW019B1")</f>
        <v>BW019B1</v>
      </c>
      <c r="B12206" s="226" t="str">
        <f>IFERROR(__xludf.DUMMYFUNCTION("""COMPUTED_VALUE"""),"8717323048672")</f>
        <v>8717323048672</v>
      </c>
      <c r="C12206" t="str">
        <f>IFERROR(__xludf.DUMMYFUNCTION("""COMPUTED_VALUE"""),"ECS")</f>
        <v>ECS</v>
      </c>
    </row>
    <row r="12207">
      <c r="A12207" t="str">
        <f>IFERROR(__xludf.DUMMYFUNCTION("""COMPUTED_VALUE"""),"BW019D1")</f>
        <v>BW019D1</v>
      </c>
      <c r="B12207" s="226" t="str">
        <f>IFERROR(__xludf.DUMMYFUNCTION("""COMPUTED_VALUE"""),"8717323048689")</f>
        <v>8717323048689</v>
      </c>
      <c r="C12207" t="str">
        <f>IFERROR(__xludf.DUMMYFUNCTION("""COMPUTED_VALUE"""),"ECS")</f>
        <v>ECS</v>
      </c>
    </row>
    <row r="12208">
      <c r="A12208" t="str">
        <f>IFERROR(__xludf.DUMMYFUNCTION("""COMPUTED_VALUE"""),"BW019B1")</f>
        <v>BW019B1</v>
      </c>
      <c r="B12208" s="226" t="str">
        <f>IFERROR(__xludf.DUMMYFUNCTION("""COMPUTED_VALUE"""),"8717323048672")</f>
        <v>8717323048672</v>
      </c>
      <c r="C12208" t="str">
        <f>IFERROR(__xludf.DUMMYFUNCTION("""COMPUTED_VALUE"""),"ECS")</f>
        <v>ECS</v>
      </c>
    </row>
    <row r="12209">
      <c r="A12209" t="str">
        <f>IFERROR(__xludf.DUMMYFUNCTION("""COMPUTED_VALUE"""),"BW019D1")</f>
        <v>BW019D1</v>
      </c>
      <c r="B12209" s="226" t="str">
        <f>IFERROR(__xludf.DUMMYFUNCTION("""COMPUTED_VALUE"""),"8717323048689")</f>
        <v>8717323048689</v>
      </c>
      <c r="C12209" t="str">
        <f>IFERROR(__xludf.DUMMYFUNCTION("""COMPUTED_VALUE"""),"ECS")</f>
        <v>ECS</v>
      </c>
    </row>
    <row r="12210">
      <c r="A12210" t="str">
        <f>IFERROR(__xludf.DUMMYFUNCTION("""COMPUTED_VALUE"""),"BW019B1")</f>
        <v>BW019B1</v>
      </c>
      <c r="B12210" s="226" t="str">
        <f>IFERROR(__xludf.DUMMYFUNCTION("""COMPUTED_VALUE"""),"8717323048672")</f>
        <v>8717323048672</v>
      </c>
      <c r="C12210" t="str">
        <f>IFERROR(__xludf.DUMMYFUNCTION("""COMPUTED_VALUE"""),"ECS")</f>
        <v>ECS</v>
      </c>
    </row>
    <row r="12211">
      <c r="A12211" t="str">
        <f>IFERROR(__xludf.DUMMYFUNCTION("""COMPUTED_VALUE"""),"BW019D1")</f>
        <v>BW019D1</v>
      </c>
      <c r="B12211" s="226" t="str">
        <f>IFERROR(__xludf.DUMMYFUNCTION("""COMPUTED_VALUE"""),"8717323048689")</f>
        <v>8717323048689</v>
      </c>
      <c r="C12211" t="str">
        <f>IFERROR(__xludf.DUMMYFUNCTION("""COMPUTED_VALUE"""),"ECS")</f>
        <v>ECS</v>
      </c>
    </row>
    <row r="12212">
      <c r="A12212" t="str">
        <f>IFERROR(__xludf.DUMMYFUNCTION("""COMPUTED_VALUE"""),"BW019B1")</f>
        <v>BW019B1</v>
      </c>
      <c r="B12212" s="226" t="str">
        <f>IFERROR(__xludf.DUMMYFUNCTION("""COMPUTED_VALUE"""),"8717323048672")</f>
        <v>8717323048672</v>
      </c>
      <c r="C12212" t="str">
        <f>IFERROR(__xludf.DUMMYFUNCTION("""COMPUTED_VALUE"""),"ECS")</f>
        <v>ECS</v>
      </c>
    </row>
    <row r="12213">
      <c r="A12213" t="str">
        <f>IFERROR(__xludf.DUMMYFUNCTION("""COMPUTED_VALUE"""),"BW019D1")</f>
        <v>BW019D1</v>
      </c>
      <c r="B12213" s="226" t="str">
        <f>IFERROR(__xludf.DUMMYFUNCTION("""COMPUTED_VALUE"""),"8717323048689")</f>
        <v>8717323048689</v>
      </c>
      <c r="C12213" t="str">
        <f>IFERROR(__xludf.DUMMYFUNCTION("""COMPUTED_VALUE"""),"ECS")</f>
        <v>ECS</v>
      </c>
    </row>
    <row r="12214">
      <c r="A12214" t="str">
        <f>IFERROR(__xludf.DUMMYFUNCTION("""COMPUTED_VALUE"""),"BW019B1")</f>
        <v>BW019B1</v>
      </c>
      <c r="B12214" s="226" t="str">
        <f>IFERROR(__xludf.DUMMYFUNCTION("""COMPUTED_VALUE"""),"8717323048672")</f>
        <v>8717323048672</v>
      </c>
      <c r="C12214" t="str">
        <f>IFERROR(__xludf.DUMMYFUNCTION("""COMPUTED_VALUE"""),"ECS")</f>
        <v>ECS</v>
      </c>
    </row>
    <row r="12215">
      <c r="A12215" t="str">
        <f>IFERROR(__xludf.DUMMYFUNCTION("""COMPUTED_VALUE"""),"BW019D1")</f>
        <v>BW019D1</v>
      </c>
      <c r="B12215" s="226" t="str">
        <f>IFERROR(__xludf.DUMMYFUNCTION("""COMPUTED_VALUE"""),"8717323048689")</f>
        <v>8717323048689</v>
      </c>
      <c r="C12215" t="str">
        <f>IFERROR(__xludf.DUMMYFUNCTION("""COMPUTED_VALUE"""),"ECS")</f>
        <v>ECS</v>
      </c>
    </row>
    <row r="12216">
      <c r="A12216" t="str">
        <f>IFERROR(__xludf.DUMMYFUNCTION("""COMPUTED_VALUE"""),"BW008B1")</f>
        <v>BW008B1</v>
      </c>
      <c r="B12216" s="226" t="str">
        <f>IFERROR(__xludf.DUMMYFUNCTION("""COMPUTED_VALUE"""),"8717323024546")</f>
        <v>8717323024546</v>
      </c>
      <c r="C12216" t="str">
        <f>IFERROR(__xludf.DUMMYFUNCTION("""COMPUTED_VALUE"""),"ECS")</f>
        <v>ECS</v>
      </c>
    </row>
    <row r="12217">
      <c r="A12217" t="str">
        <f>IFERROR(__xludf.DUMMYFUNCTION("""COMPUTED_VALUE"""),"BW008D1")</f>
        <v>BW008D1</v>
      </c>
      <c r="B12217" s="226" t="str">
        <f>IFERROR(__xludf.DUMMYFUNCTION("""COMPUTED_VALUE"""),"8717323024553")</f>
        <v>8717323024553</v>
      </c>
      <c r="C12217" t="str">
        <f>IFERROR(__xludf.DUMMYFUNCTION("""COMPUTED_VALUE"""),"ECS")</f>
        <v>ECS</v>
      </c>
    </row>
    <row r="12218">
      <c r="A12218" t="str">
        <f>IFERROR(__xludf.DUMMYFUNCTION("""COMPUTED_VALUE"""),"BW008H1")</f>
        <v>BW008H1</v>
      </c>
      <c r="B12218" s="226" t="str">
        <f>IFERROR(__xludf.DUMMYFUNCTION("""COMPUTED_VALUE"""),"8717323049327")</f>
        <v>8717323049327</v>
      </c>
      <c r="C12218" t="str">
        <f>IFERROR(__xludf.DUMMYFUNCTION("""COMPUTED_VALUE"""),"ECS")</f>
        <v>ECS</v>
      </c>
    </row>
    <row r="12219">
      <c r="A12219" t="str">
        <f>IFERROR(__xludf.DUMMYFUNCTION("""COMPUTED_VALUE"""),"BW008B1")</f>
        <v>BW008B1</v>
      </c>
      <c r="B12219" s="226" t="str">
        <f>IFERROR(__xludf.DUMMYFUNCTION("""COMPUTED_VALUE"""),"8717323024546")</f>
        <v>8717323024546</v>
      </c>
      <c r="C12219" t="str">
        <f>IFERROR(__xludf.DUMMYFUNCTION("""COMPUTED_VALUE"""),"ECS")</f>
        <v>ECS</v>
      </c>
    </row>
    <row r="12220">
      <c r="A12220" t="str">
        <f>IFERROR(__xludf.DUMMYFUNCTION("""COMPUTED_VALUE"""),"BW008D1")</f>
        <v>BW008D1</v>
      </c>
      <c r="B12220" s="226" t="str">
        <f>IFERROR(__xludf.DUMMYFUNCTION("""COMPUTED_VALUE"""),"8717323024553")</f>
        <v>8717323024553</v>
      </c>
      <c r="C12220" t="str">
        <f>IFERROR(__xludf.DUMMYFUNCTION("""COMPUTED_VALUE"""),"ECS")</f>
        <v>ECS</v>
      </c>
    </row>
    <row r="12221">
      <c r="A12221" t="str">
        <f>IFERROR(__xludf.DUMMYFUNCTION("""COMPUTED_VALUE"""),"BW008H1")</f>
        <v>BW008H1</v>
      </c>
      <c r="B12221" s="226" t="str">
        <f>IFERROR(__xludf.DUMMYFUNCTION("""COMPUTED_VALUE"""),"8717323049327")</f>
        <v>8717323049327</v>
      </c>
      <c r="C12221" t="str">
        <f>IFERROR(__xludf.DUMMYFUNCTION("""COMPUTED_VALUE"""),"ECS")</f>
        <v>ECS</v>
      </c>
    </row>
    <row r="12222">
      <c r="A12222" t="str">
        <f>IFERROR(__xludf.DUMMYFUNCTION("""COMPUTED_VALUE"""),"BW008B1")</f>
        <v>BW008B1</v>
      </c>
      <c r="B12222" s="226" t="str">
        <f>IFERROR(__xludf.DUMMYFUNCTION("""COMPUTED_VALUE"""),"8717323024546")</f>
        <v>8717323024546</v>
      </c>
      <c r="C12222" t="str">
        <f>IFERROR(__xludf.DUMMYFUNCTION("""COMPUTED_VALUE"""),"ECS")</f>
        <v>ECS</v>
      </c>
    </row>
    <row r="12223">
      <c r="A12223" t="str">
        <f>IFERROR(__xludf.DUMMYFUNCTION("""COMPUTED_VALUE"""),"BW008D1")</f>
        <v>BW008D1</v>
      </c>
      <c r="B12223" s="226" t="str">
        <f>IFERROR(__xludf.DUMMYFUNCTION("""COMPUTED_VALUE"""),"8717323024553")</f>
        <v>8717323024553</v>
      </c>
      <c r="C12223" t="str">
        <f>IFERROR(__xludf.DUMMYFUNCTION("""COMPUTED_VALUE"""),"ECS")</f>
        <v>ECS</v>
      </c>
    </row>
    <row r="12224">
      <c r="A12224" t="str">
        <f>IFERROR(__xludf.DUMMYFUNCTION("""COMPUTED_VALUE"""),"BW008H1")</f>
        <v>BW008H1</v>
      </c>
      <c r="B12224" s="226" t="str">
        <f>IFERROR(__xludf.DUMMYFUNCTION("""COMPUTED_VALUE"""),"8717323049327")</f>
        <v>8717323049327</v>
      </c>
      <c r="C12224" t="str">
        <f>IFERROR(__xludf.DUMMYFUNCTION("""COMPUTED_VALUE"""),"ECS")</f>
        <v>ECS</v>
      </c>
    </row>
    <row r="12225">
      <c r="A12225" t="str">
        <f>IFERROR(__xludf.DUMMYFUNCTION("""COMPUTED_VALUE"""),"BW008B1")</f>
        <v>BW008B1</v>
      </c>
      <c r="B12225" s="226" t="str">
        <f>IFERROR(__xludf.DUMMYFUNCTION("""COMPUTED_VALUE"""),"8717323024546")</f>
        <v>8717323024546</v>
      </c>
      <c r="C12225" t="str">
        <f>IFERROR(__xludf.DUMMYFUNCTION("""COMPUTED_VALUE"""),"ECS")</f>
        <v>ECS</v>
      </c>
    </row>
    <row r="12226">
      <c r="A12226" t="str">
        <f>IFERROR(__xludf.DUMMYFUNCTION("""COMPUTED_VALUE"""),"BW008D1")</f>
        <v>BW008D1</v>
      </c>
      <c r="B12226" s="226" t="str">
        <f>IFERROR(__xludf.DUMMYFUNCTION("""COMPUTED_VALUE"""),"8717323024553")</f>
        <v>8717323024553</v>
      </c>
      <c r="C12226" t="str">
        <f>IFERROR(__xludf.DUMMYFUNCTION("""COMPUTED_VALUE"""),"ECS")</f>
        <v>ECS</v>
      </c>
    </row>
    <row r="12227">
      <c r="A12227" t="str">
        <f>IFERROR(__xludf.DUMMYFUNCTION("""COMPUTED_VALUE"""),"BW008H1")</f>
        <v>BW008H1</v>
      </c>
      <c r="B12227" s="226" t="str">
        <f>IFERROR(__xludf.DUMMYFUNCTION("""COMPUTED_VALUE"""),"8717323049327")</f>
        <v>8717323049327</v>
      </c>
      <c r="C12227" t="str">
        <f>IFERROR(__xludf.DUMMYFUNCTION("""COMPUTED_VALUE"""),"ECS")</f>
        <v>ECS</v>
      </c>
    </row>
    <row r="12228">
      <c r="A12228" t="str">
        <f>IFERROR(__xludf.DUMMYFUNCTION("""COMPUTED_VALUE"""),"BW008B1")</f>
        <v>BW008B1</v>
      </c>
      <c r="B12228" s="226" t="str">
        <f>IFERROR(__xludf.DUMMYFUNCTION("""COMPUTED_VALUE"""),"8717323024546")</f>
        <v>8717323024546</v>
      </c>
      <c r="C12228" t="str">
        <f>IFERROR(__xludf.DUMMYFUNCTION("""COMPUTED_VALUE"""),"ECS")</f>
        <v>ECS</v>
      </c>
    </row>
    <row r="12229">
      <c r="A12229" t="str">
        <f>IFERROR(__xludf.DUMMYFUNCTION("""COMPUTED_VALUE"""),"BW008D1")</f>
        <v>BW008D1</v>
      </c>
      <c r="B12229" s="226" t="str">
        <f>IFERROR(__xludf.DUMMYFUNCTION("""COMPUTED_VALUE"""),"8717323024553")</f>
        <v>8717323024553</v>
      </c>
      <c r="C12229" t="str">
        <f>IFERROR(__xludf.DUMMYFUNCTION("""COMPUTED_VALUE"""),"ECS")</f>
        <v>ECS</v>
      </c>
    </row>
    <row r="12230">
      <c r="A12230" t="str">
        <f>IFERROR(__xludf.DUMMYFUNCTION("""COMPUTED_VALUE"""),"BW008H1")</f>
        <v>BW008H1</v>
      </c>
      <c r="B12230" s="226" t="str">
        <f>IFERROR(__xludf.DUMMYFUNCTION("""COMPUTED_VALUE"""),"8717323049327")</f>
        <v>8717323049327</v>
      </c>
      <c r="C12230" t="str">
        <f>IFERROR(__xludf.DUMMYFUNCTION("""COMPUTED_VALUE"""),"ECS")</f>
        <v>ECS</v>
      </c>
    </row>
    <row r="12231">
      <c r="A12231" t="str">
        <f>IFERROR(__xludf.DUMMYFUNCTION("""COMPUTED_VALUE"""),"BW028B1")</f>
        <v>BW028B1</v>
      </c>
      <c r="B12231" s="226" t="str">
        <f>IFERROR(__xludf.DUMMYFUNCTION("""COMPUTED_VALUE"""),"8717323062739")</f>
        <v>8717323062739</v>
      </c>
      <c r="C12231" t="str">
        <f>IFERROR(__xludf.DUMMYFUNCTION("""COMPUTED_VALUE"""),"ECS")</f>
        <v>ECS</v>
      </c>
    </row>
    <row r="12232">
      <c r="A12232" t="str">
        <f>IFERROR(__xludf.DUMMYFUNCTION("""COMPUTED_VALUE"""),"BW028D1")</f>
        <v>BW028D1</v>
      </c>
      <c r="B12232" s="226" t="str">
        <f>IFERROR(__xludf.DUMMYFUNCTION("""COMPUTED_VALUE"""),"8717323062746")</f>
        <v>8717323062746</v>
      </c>
      <c r="C12232" t="str">
        <f>IFERROR(__xludf.DUMMYFUNCTION("""COMPUTED_VALUE"""),"ECS")</f>
        <v>ECS</v>
      </c>
    </row>
    <row r="12233">
      <c r="A12233" t="str">
        <f>IFERROR(__xludf.DUMMYFUNCTION("""COMPUTED_VALUE"""),"BW008B1")</f>
        <v>BW008B1</v>
      </c>
      <c r="B12233" s="226" t="str">
        <f>IFERROR(__xludf.DUMMYFUNCTION("""COMPUTED_VALUE"""),"8717323024546")</f>
        <v>8717323024546</v>
      </c>
      <c r="C12233" t="str">
        <f>IFERROR(__xludf.DUMMYFUNCTION("""COMPUTED_VALUE"""),"ECS")</f>
        <v>ECS</v>
      </c>
    </row>
    <row r="12234">
      <c r="A12234" t="str">
        <f>IFERROR(__xludf.DUMMYFUNCTION("""COMPUTED_VALUE"""),"BW008D1")</f>
        <v>BW008D1</v>
      </c>
      <c r="B12234" s="226" t="str">
        <f>IFERROR(__xludf.DUMMYFUNCTION("""COMPUTED_VALUE"""),"8717323024553")</f>
        <v>8717323024553</v>
      </c>
      <c r="C12234" t="str">
        <f>IFERROR(__xludf.DUMMYFUNCTION("""COMPUTED_VALUE"""),"ECS")</f>
        <v>ECS</v>
      </c>
    </row>
    <row r="12235">
      <c r="A12235" t="str">
        <f>IFERROR(__xludf.DUMMYFUNCTION("""COMPUTED_VALUE"""),"BW008H1")</f>
        <v>BW008H1</v>
      </c>
      <c r="B12235" s="226" t="str">
        <f>IFERROR(__xludf.DUMMYFUNCTION("""COMPUTED_VALUE"""),"8717323049327")</f>
        <v>8717323049327</v>
      </c>
      <c r="C12235" t="str">
        <f>IFERROR(__xludf.DUMMYFUNCTION("""COMPUTED_VALUE"""),"ECS")</f>
        <v>ECS</v>
      </c>
    </row>
    <row r="12236">
      <c r="A12236" t="str">
        <f>IFERROR(__xludf.DUMMYFUNCTION("""COMPUTED_VALUE"""),"BW028B1")</f>
        <v>BW028B1</v>
      </c>
      <c r="B12236" s="226" t="str">
        <f>IFERROR(__xludf.DUMMYFUNCTION("""COMPUTED_VALUE"""),"8717323062739")</f>
        <v>8717323062739</v>
      </c>
      <c r="C12236" t="str">
        <f>IFERROR(__xludf.DUMMYFUNCTION("""COMPUTED_VALUE"""),"ECS")</f>
        <v>ECS</v>
      </c>
    </row>
    <row r="12237">
      <c r="A12237" t="str">
        <f>IFERROR(__xludf.DUMMYFUNCTION("""COMPUTED_VALUE"""),"BW028D1")</f>
        <v>BW028D1</v>
      </c>
      <c r="B12237" s="226" t="str">
        <f>IFERROR(__xludf.DUMMYFUNCTION("""COMPUTED_VALUE"""),"8717323062746")</f>
        <v>8717323062746</v>
      </c>
      <c r="C12237" t="str">
        <f>IFERROR(__xludf.DUMMYFUNCTION("""COMPUTED_VALUE"""),"ECS")</f>
        <v>ECS</v>
      </c>
    </row>
    <row r="12238">
      <c r="A12238" t="str">
        <f>IFERROR(__xludf.DUMMYFUNCTION("""COMPUTED_VALUE"""),"BW031B1")</f>
        <v>BW031B1</v>
      </c>
      <c r="B12238" s="226" t="str">
        <f>IFERROR(__xludf.DUMMYFUNCTION("""COMPUTED_VALUE"""),"8717323069813")</f>
        <v>8717323069813</v>
      </c>
      <c r="C12238" t="str">
        <f>IFERROR(__xludf.DUMMYFUNCTION("""COMPUTED_VALUE"""),"ECS")</f>
        <v>ECS</v>
      </c>
    </row>
    <row r="12239">
      <c r="A12239" t="str">
        <f>IFERROR(__xludf.DUMMYFUNCTION("""COMPUTED_VALUE"""),"BW031D1")</f>
        <v>BW031D1</v>
      </c>
      <c r="B12239" s="226" t="str">
        <f>IFERROR(__xludf.DUMMYFUNCTION("""COMPUTED_VALUE"""),"8717323069820")</f>
        <v>8717323069820</v>
      </c>
      <c r="C12239" t="str">
        <f>IFERROR(__xludf.DUMMYFUNCTION("""COMPUTED_VALUE"""),"ECS")</f>
        <v>ECS</v>
      </c>
    </row>
    <row r="12240">
      <c r="A12240" t="str">
        <f>IFERROR(__xludf.DUMMYFUNCTION("""COMPUTED_VALUE"""),"BW031B1")</f>
        <v>BW031B1</v>
      </c>
      <c r="B12240" s="226" t="str">
        <f>IFERROR(__xludf.DUMMYFUNCTION("""COMPUTED_VALUE"""),"8717323069813")</f>
        <v>8717323069813</v>
      </c>
      <c r="C12240" t="str">
        <f>IFERROR(__xludf.DUMMYFUNCTION("""COMPUTED_VALUE"""),"ECS")</f>
        <v>ECS</v>
      </c>
    </row>
    <row r="12241">
      <c r="A12241" t="str">
        <f>IFERROR(__xludf.DUMMYFUNCTION("""COMPUTED_VALUE"""),"BW031D1")</f>
        <v>BW031D1</v>
      </c>
      <c r="B12241" s="226" t="str">
        <f>IFERROR(__xludf.DUMMYFUNCTION("""COMPUTED_VALUE"""),"8717323069820")</f>
        <v>8717323069820</v>
      </c>
      <c r="C12241" t="str">
        <f>IFERROR(__xludf.DUMMYFUNCTION("""COMPUTED_VALUE"""),"ECS")</f>
        <v>ECS</v>
      </c>
    </row>
    <row r="12242">
      <c r="A12242" t="str">
        <f>IFERROR(__xludf.DUMMYFUNCTION("""COMPUTED_VALUE"""),"BW008B1")</f>
        <v>BW008B1</v>
      </c>
      <c r="B12242" s="226" t="str">
        <f>IFERROR(__xludf.DUMMYFUNCTION("""COMPUTED_VALUE"""),"8717323024546")</f>
        <v>8717323024546</v>
      </c>
      <c r="C12242" t="str">
        <f>IFERROR(__xludf.DUMMYFUNCTION("""COMPUTED_VALUE"""),"ECS")</f>
        <v>ECS</v>
      </c>
    </row>
    <row r="12243">
      <c r="A12243" t="str">
        <f>IFERROR(__xludf.DUMMYFUNCTION("""COMPUTED_VALUE"""),"BW008D1")</f>
        <v>BW008D1</v>
      </c>
      <c r="B12243" s="226" t="str">
        <f>IFERROR(__xludf.DUMMYFUNCTION("""COMPUTED_VALUE"""),"8717323024553")</f>
        <v>8717323024553</v>
      </c>
      <c r="C12243" t="str">
        <f>IFERROR(__xludf.DUMMYFUNCTION("""COMPUTED_VALUE"""),"ECS")</f>
        <v>ECS</v>
      </c>
    </row>
    <row r="12244">
      <c r="A12244" t="str">
        <f>IFERROR(__xludf.DUMMYFUNCTION("""COMPUTED_VALUE"""),"BW008H1")</f>
        <v>BW008H1</v>
      </c>
      <c r="B12244" s="226" t="str">
        <f>IFERROR(__xludf.DUMMYFUNCTION("""COMPUTED_VALUE"""),"8717323049327")</f>
        <v>8717323049327</v>
      </c>
      <c r="C12244" t="str">
        <f>IFERROR(__xludf.DUMMYFUNCTION("""COMPUTED_VALUE"""),"ECS")</f>
        <v>ECS</v>
      </c>
    </row>
    <row r="12245">
      <c r="A12245" t="str">
        <f>IFERROR(__xludf.DUMMYFUNCTION("""COMPUTED_VALUE"""),"BW028B1")</f>
        <v>BW028B1</v>
      </c>
      <c r="B12245" s="226" t="str">
        <f>IFERROR(__xludf.DUMMYFUNCTION("""COMPUTED_VALUE"""),"8717323062739")</f>
        <v>8717323062739</v>
      </c>
      <c r="C12245" t="str">
        <f>IFERROR(__xludf.DUMMYFUNCTION("""COMPUTED_VALUE"""),"ECS")</f>
        <v>ECS</v>
      </c>
    </row>
    <row r="12246">
      <c r="A12246" t="str">
        <f>IFERROR(__xludf.DUMMYFUNCTION("""COMPUTED_VALUE"""),"BW028D1")</f>
        <v>BW028D1</v>
      </c>
      <c r="B12246" s="226" t="str">
        <f>IFERROR(__xludf.DUMMYFUNCTION("""COMPUTED_VALUE"""),"8717323062746")</f>
        <v>8717323062746</v>
      </c>
      <c r="C12246" t="str">
        <f>IFERROR(__xludf.DUMMYFUNCTION("""COMPUTED_VALUE"""),"ECS")</f>
        <v>ECS</v>
      </c>
    </row>
    <row r="12247">
      <c r="A12247" t="str">
        <f>IFERROR(__xludf.DUMMYFUNCTION("""COMPUTED_VALUE"""),"BW028B1")</f>
        <v>BW028B1</v>
      </c>
      <c r="B12247" s="226" t="str">
        <f>IFERROR(__xludf.DUMMYFUNCTION("""COMPUTED_VALUE"""),"8717323062739")</f>
        <v>8717323062739</v>
      </c>
      <c r="C12247" t="str">
        <f>IFERROR(__xludf.DUMMYFUNCTION("""COMPUTED_VALUE"""),"ECS")</f>
        <v>ECS</v>
      </c>
    </row>
    <row r="12248">
      <c r="A12248" t="str">
        <f>IFERROR(__xludf.DUMMYFUNCTION("""COMPUTED_VALUE"""),"BW028D1")</f>
        <v>BW028D1</v>
      </c>
      <c r="B12248" s="226" t="str">
        <f>IFERROR(__xludf.DUMMYFUNCTION("""COMPUTED_VALUE"""),"8717323062746")</f>
        <v>8717323062746</v>
      </c>
      <c r="C12248" t="str">
        <f>IFERROR(__xludf.DUMMYFUNCTION("""COMPUTED_VALUE"""),"ECS")</f>
        <v>ECS</v>
      </c>
    </row>
    <row r="12249">
      <c r="A12249" t="str">
        <f>IFERROR(__xludf.DUMMYFUNCTION("""COMPUTED_VALUE"""),"BW028B1")</f>
        <v>BW028B1</v>
      </c>
      <c r="B12249" s="226" t="str">
        <f>IFERROR(__xludf.DUMMYFUNCTION("""COMPUTED_VALUE"""),"8717323062739")</f>
        <v>8717323062739</v>
      </c>
      <c r="C12249" t="str">
        <f>IFERROR(__xludf.DUMMYFUNCTION("""COMPUTED_VALUE"""),"ECS")</f>
        <v>ECS</v>
      </c>
    </row>
    <row r="12250">
      <c r="A12250" t="str">
        <f>IFERROR(__xludf.DUMMYFUNCTION("""COMPUTED_VALUE"""),"BW028D1")</f>
        <v>BW028D1</v>
      </c>
      <c r="B12250" s="226" t="str">
        <f>IFERROR(__xludf.DUMMYFUNCTION("""COMPUTED_VALUE"""),"8717323062746")</f>
        <v>8717323062746</v>
      </c>
      <c r="C12250" t="str">
        <f>IFERROR(__xludf.DUMMYFUNCTION("""COMPUTED_VALUE"""),"ECS")</f>
        <v>ECS</v>
      </c>
    </row>
    <row r="12251">
      <c r="A12251" t="str">
        <f>IFERROR(__xludf.DUMMYFUNCTION("""COMPUTED_VALUE"""),"BW028B1")</f>
        <v>BW028B1</v>
      </c>
      <c r="B12251" s="226" t="str">
        <f>IFERROR(__xludf.DUMMYFUNCTION("""COMPUTED_VALUE"""),"8717323062739")</f>
        <v>8717323062739</v>
      </c>
      <c r="C12251" t="str">
        <f>IFERROR(__xludf.DUMMYFUNCTION("""COMPUTED_VALUE"""),"ECS")</f>
        <v>ECS</v>
      </c>
    </row>
    <row r="12252">
      <c r="A12252" t="str">
        <f>IFERROR(__xludf.DUMMYFUNCTION("""COMPUTED_VALUE"""),"BW028D1")</f>
        <v>BW028D1</v>
      </c>
      <c r="B12252" s="226" t="str">
        <f>IFERROR(__xludf.DUMMYFUNCTION("""COMPUTED_VALUE"""),"8717323062746")</f>
        <v>8717323062746</v>
      </c>
      <c r="C12252" t="str">
        <f>IFERROR(__xludf.DUMMYFUNCTION("""COMPUTED_VALUE"""),"ECS")</f>
        <v>ECS</v>
      </c>
    </row>
    <row r="12253">
      <c r="A12253" t="str">
        <f>IFERROR(__xludf.DUMMYFUNCTION("""COMPUTED_VALUE"""),"BW008B1")</f>
        <v>BW008B1</v>
      </c>
      <c r="B12253" s="226" t="str">
        <f>IFERROR(__xludf.DUMMYFUNCTION("""COMPUTED_VALUE"""),"8717323024546")</f>
        <v>8717323024546</v>
      </c>
      <c r="C12253" t="str">
        <f>IFERROR(__xludf.DUMMYFUNCTION("""COMPUTED_VALUE"""),"ECS")</f>
        <v>ECS</v>
      </c>
    </row>
    <row r="12254">
      <c r="A12254" t="str">
        <f>IFERROR(__xludf.DUMMYFUNCTION("""COMPUTED_VALUE"""),"BW008D1")</f>
        <v>BW008D1</v>
      </c>
      <c r="B12254" s="226" t="str">
        <f>IFERROR(__xludf.DUMMYFUNCTION("""COMPUTED_VALUE"""),"8717323024553")</f>
        <v>8717323024553</v>
      </c>
      <c r="C12254" t="str">
        <f>IFERROR(__xludf.DUMMYFUNCTION("""COMPUTED_VALUE"""),"ECS")</f>
        <v>ECS</v>
      </c>
    </row>
    <row r="12255">
      <c r="A12255" t="str">
        <f>IFERROR(__xludf.DUMMYFUNCTION("""COMPUTED_VALUE"""),"BW008H1")</f>
        <v>BW008H1</v>
      </c>
      <c r="B12255" s="226" t="str">
        <f>IFERROR(__xludf.DUMMYFUNCTION("""COMPUTED_VALUE"""),"8717323049327")</f>
        <v>8717323049327</v>
      </c>
      <c r="C12255" t="str">
        <f>IFERROR(__xludf.DUMMYFUNCTION("""COMPUTED_VALUE"""),"ECS")</f>
        <v>ECS</v>
      </c>
    </row>
    <row r="12256">
      <c r="A12256" t="str">
        <f>IFERROR(__xludf.DUMMYFUNCTION("""COMPUTED_VALUE"""),"BW008B1")</f>
        <v>BW008B1</v>
      </c>
      <c r="B12256" s="226" t="str">
        <f>IFERROR(__xludf.DUMMYFUNCTION("""COMPUTED_VALUE"""),"8717323024546")</f>
        <v>8717323024546</v>
      </c>
      <c r="C12256" t="str">
        <f>IFERROR(__xludf.DUMMYFUNCTION("""COMPUTED_VALUE"""),"ECS")</f>
        <v>ECS</v>
      </c>
    </row>
    <row r="12257">
      <c r="A12257" t="str">
        <f>IFERROR(__xludf.DUMMYFUNCTION("""COMPUTED_VALUE"""),"BW008D1")</f>
        <v>BW008D1</v>
      </c>
      <c r="B12257" s="226" t="str">
        <f>IFERROR(__xludf.DUMMYFUNCTION("""COMPUTED_VALUE"""),"8717323024553")</f>
        <v>8717323024553</v>
      </c>
      <c r="C12257" t="str">
        <f>IFERROR(__xludf.DUMMYFUNCTION("""COMPUTED_VALUE"""),"ECS")</f>
        <v>ECS</v>
      </c>
    </row>
    <row r="12258">
      <c r="A12258" t="str">
        <f>IFERROR(__xludf.DUMMYFUNCTION("""COMPUTED_VALUE"""),"BW008H1")</f>
        <v>BW008H1</v>
      </c>
      <c r="B12258" s="226" t="str">
        <f>IFERROR(__xludf.DUMMYFUNCTION("""COMPUTED_VALUE"""),"8717323049327")</f>
        <v>8717323049327</v>
      </c>
      <c r="C12258" t="str">
        <f>IFERROR(__xludf.DUMMYFUNCTION("""COMPUTED_VALUE"""),"ECS")</f>
        <v>ECS</v>
      </c>
    </row>
    <row r="12259">
      <c r="A12259" t="str">
        <f>IFERROR(__xludf.DUMMYFUNCTION("""COMPUTED_VALUE"""),"BW008B1")</f>
        <v>BW008B1</v>
      </c>
      <c r="B12259" s="226" t="str">
        <f>IFERROR(__xludf.DUMMYFUNCTION("""COMPUTED_VALUE"""),"8717323024546")</f>
        <v>8717323024546</v>
      </c>
      <c r="C12259" t="str">
        <f>IFERROR(__xludf.DUMMYFUNCTION("""COMPUTED_VALUE"""),"ECS")</f>
        <v>ECS</v>
      </c>
    </row>
    <row r="12260">
      <c r="A12260" t="str">
        <f>IFERROR(__xludf.DUMMYFUNCTION("""COMPUTED_VALUE"""),"BW008D1")</f>
        <v>BW008D1</v>
      </c>
      <c r="B12260" s="226" t="str">
        <f>IFERROR(__xludf.DUMMYFUNCTION("""COMPUTED_VALUE"""),"8717323024553")</f>
        <v>8717323024553</v>
      </c>
      <c r="C12260" t="str">
        <f>IFERROR(__xludf.DUMMYFUNCTION("""COMPUTED_VALUE"""),"ECS")</f>
        <v>ECS</v>
      </c>
    </row>
    <row r="12261">
      <c r="A12261" t="str">
        <f>IFERROR(__xludf.DUMMYFUNCTION("""COMPUTED_VALUE"""),"BW008H1")</f>
        <v>BW008H1</v>
      </c>
      <c r="B12261" s="226" t="str">
        <f>IFERROR(__xludf.DUMMYFUNCTION("""COMPUTED_VALUE"""),"8717323049327")</f>
        <v>8717323049327</v>
      </c>
      <c r="C12261" t="str">
        <f>IFERROR(__xludf.DUMMYFUNCTION("""COMPUTED_VALUE"""),"ECS")</f>
        <v>ECS</v>
      </c>
    </row>
    <row r="12262">
      <c r="A12262" t="str">
        <f>IFERROR(__xludf.DUMMYFUNCTION("""COMPUTED_VALUE"""),"BW028B1")</f>
        <v>BW028B1</v>
      </c>
      <c r="B12262" s="226" t="str">
        <f>IFERROR(__xludf.DUMMYFUNCTION("""COMPUTED_VALUE"""),"8717323062739")</f>
        <v>8717323062739</v>
      </c>
      <c r="C12262" t="str">
        <f>IFERROR(__xludf.DUMMYFUNCTION("""COMPUTED_VALUE"""),"ECS")</f>
        <v>ECS</v>
      </c>
    </row>
    <row r="12263">
      <c r="A12263" t="str">
        <f>IFERROR(__xludf.DUMMYFUNCTION("""COMPUTED_VALUE"""),"BW028D1")</f>
        <v>BW028D1</v>
      </c>
      <c r="B12263" s="226" t="str">
        <f>IFERROR(__xludf.DUMMYFUNCTION("""COMPUTED_VALUE"""),"8717323062746")</f>
        <v>8717323062746</v>
      </c>
      <c r="C12263" t="str">
        <f>IFERROR(__xludf.DUMMYFUNCTION("""COMPUTED_VALUE"""),"ECS")</f>
        <v>ECS</v>
      </c>
    </row>
    <row r="12264">
      <c r="A12264" t="str">
        <f>IFERROR(__xludf.DUMMYFUNCTION("""COMPUTED_VALUE"""),"BW008B1")</f>
        <v>BW008B1</v>
      </c>
      <c r="B12264" s="226" t="str">
        <f>IFERROR(__xludf.DUMMYFUNCTION("""COMPUTED_VALUE"""),"8717323024546")</f>
        <v>8717323024546</v>
      </c>
      <c r="C12264" t="str">
        <f>IFERROR(__xludf.DUMMYFUNCTION("""COMPUTED_VALUE"""),"ECS")</f>
        <v>ECS</v>
      </c>
    </row>
    <row r="12265">
      <c r="A12265" t="str">
        <f>IFERROR(__xludf.DUMMYFUNCTION("""COMPUTED_VALUE"""),"BW008D1")</f>
        <v>BW008D1</v>
      </c>
      <c r="B12265" s="226" t="str">
        <f>IFERROR(__xludf.DUMMYFUNCTION("""COMPUTED_VALUE"""),"8717323024553")</f>
        <v>8717323024553</v>
      </c>
      <c r="C12265" t="str">
        <f>IFERROR(__xludf.DUMMYFUNCTION("""COMPUTED_VALUE"""),"ECS")</f>
        <v>ECS</v>
      </c>
    </row>
    <row r="12266">
      <c r="A12266" t="str">
        <f>IFERROR(__xludf.DUMMYFUNCTION("""COMPUTED_VALUE"""),"BW008H1")</f>
        <v>BW008H1</v>
      </c>
      <c r="B12266" s="226" t="str">
        <f>IFERROR(__xludf.DUMMYFUNCTION("""COMPUTED_VALUE"""),"8717323049327")</f>
        <v>8717323049327</v>
      </c>
      <c r="C12266" t="str">
        <f>IFERROR(__xludf.DUMMYFUNCTION("""COMPUTED_VALUE"""),"ECS")</f>
        <v>ECS</v>
      </c>
    </row>
    <row r="12267">
      <c r="A12267" t="str">
        <f>IFERROR(__xludf.DUMMYFUNCTION("""COMPUTED_VALUE"""),"BW028B1")</f>
        <v>BW028B1</v>
      </c>
      <c r="B12267" s="226" t="str">
        <f>IFERROR(__xludf.DUMMYFUNCTION("""COMPUTED_VALUE"""),"8717323062739")</f>
        <v>8717323062739</v>
      </c>
      <c r="C12267" t="str">
        <f>IFERROR(__xludf.DUMMYFUNCTION("""COMPUTED_VALUE"""),"ECS")</f>
        <v>ECS</v>
      </c>
    </row>
    <row r="12268">
      <c r="A12268" t="str">
        <f>IFERROR(__xludf.DUMMYFUNCTION("""COMPUTED_VALUE"""),"BW028D1")</f>
        <v>BW028D1</v>
      </c>
      <c r="B12268" s="226" t="str">
        <f>IFERROR(__xludf.DUMMYFUNCTION("""COMPUTED_VALUE"""),"8717323062746")</f>
        <v>8717323062746</v>
      </c>
      <c r="C12268" t="str">
        <f>IFERROR(__xludf.DUMMYFUNCTION("""COMPUTED_VALUE"""),"ECS")</f>
        <v>ECS</v>
      </c>
    </row>
    <row r="12269">
      <c r="A12269" t="str">
        <f>IFERROR(__xludf.DUMMYFUNCTION("""COMPUTED_VALUE"""),"BW028B1")</f>
        <v>BW028B1</v>
      </c>
      <c r="B12269" s="226" t="str">
        <f>IFERROR(__xludf.DUMMYFUNCTION("""COMPUTED_VALUE"""),"8717323062739")</f>
        <v>8717323062739</v>
      </c>
      <c r="C12269" t="str">
        <f>IFERROR(__xludf.DUMMYFUNCTION("""COMPUTED_VALUE"""),"ECS")</f>
        <v>ECS</v>
      </c>
    </row>
    <row r="12270">
      <c r="A12270" t="str">
        <f>IFERROR(__xludf.DUMMYFUNCTION("""COMPUTED_VALUE"""),"BW028D1")</f>
        <v>BW028D1</v>
      </c>
      <c r="B12270" s="226" t="str">
        <f>IFERROR(__xludf.DUMMYFUNCTION("""COMPUTED_VALUE"""),"8717323062746")</f>
        <v>8717323062746</v>
      </c>
      <c r="C12270" t="str">
        <f>IFERROR(__xludf.DUMMYFUNCTION("""COMPUTED_VALUE"""),"ECS")</f>
        <v>ECS</v>
      </c>
    </row>
    <row r="12271">
      <c r="A12271" t="str">
        <f>IFERROR(__xludf.DUMMYFUNCTION("""COMPUTED_VALUE"""),"BW028B1")</f>
        <v>BW028B1</v>
      </c>
      <c r="B12271" s="226" t="str">
        <f>IFERROR(__xludf.DUMMYFUNCTION("""COMPUTED_VALUE"""),"8717323062739")</f>
        <v>8717323062739</v>
      </c>
      <c r="C12271" t="str">
        <f>IFERROR(__xludf.DUMMYFUNCTION("""COMPUTED_VALUE"""),"ECS")</f>
        <v>ECS</v>
      </c>
    </row>
    <row r="12272">
      <c r="A12272" t="str">
        <f>IFERROR(__xludf.DUMMYFUNCTION("""COMPUTED_VALUE"""),"BW028D1")</f>
        <v>BW028D1</v>
      </c>
      <c r="B12272" s="226" t="str">
        <f>IFERROR(__xludf.DUMMYFUNCTION("""COMPUTED_VALUE"""),"8717323062746")</f>
        <v>8717323062746</v>
      </c>
      <c r="C12272" t="str">
        <f>IFERROR(__xludf.DUMMYFUNCTION("""COMPUTED_VALUE"""),"ECS")</f>
        <v>ECS</v>
      </c>
    </row>
    <row r="12273">
      <c r="A12273" t="str">
        <f>IFERROR(__xludf.DUMMYFUNCTION("""COMPUTED_VALUE"""),"BW008B1")</f>
        <v>BW008B1</v>
      </c>
      <c r="B12273" s="226" t="str">
        <f>IFERROR(__xludf.DUMMYFUNCTION("""COMPUTED_VALUE"""),"8717323024546")</f>
        <v>8717323024546</v>
      </c>
      <c r="C12273" t="str">
        <f>IFERROR(__xludf.DUMMYFUNCTION("""COMPUTED_VALUE"""),"ECS")</f>
        <v>ECS</v>
      </c>
    </row>
    <row r="12274">
      <c r="A12274" t="str">
        <f>IFERROR(__xludf.DUMMYFUNCTION("""COMPUTED_VALUE"""),"BW008D1")</f>
        <v>BW008D1</v>
      </c>
      <c r="B12274" s="226" t="str">
        <f>IFERROR(__xludf.DUMMYFUNCTION("""COMPUTED_VALUE"""),"8717323024553")</f>
        <v>8717323024553</v>
      </c>
      <c r="C12274" t="str">
        <f>IFERROR(__xludf.DUMMYFUNCTION("""COMPUTED_VALUE"""),"ECS")</f>
        <v>ECS</v>
      </c>
    </row>
    <row r="12275">
      <c r="A12275" t="str">
        <f>IFERROR(__xludf.DUMMYFUNCTION("""COMPUTED_VALUE"""),"BW008H1")</f>
        <v>BW008H1</v>
      </c>
      <c r="B12275" s="226" t="str">
        <f>IFERROR(__xludf.DUMMYFUNCTION("""COMPUTED_VALUE"""),"8717323049327")</f>
        <v>8717323049327</v>
      </c>
      <c r="C12275" t="str">
        <f>IFERROR(__xludf.DUMMYFUNCTION("""COMPUTED_VALUE"""),"ECS")</f>
        <v>ECS</v>
      </c>
    </row>
    <row r="12276">
      <c r="A12276" t="str">
        <f>IFERROR(__xludf.DUMMYFUNCTION("""COMPUTED_VALUE"""),"BW028B1")</f>
        <v>BW028B1</v>
      </c>
      <c r="B12276" s="226" t="str">
        <f>IFERROR(__xludf.DUMMYFUNCTION("""COMPUTED_VALUE"""),"8717323062739")</f>
        <v>8717323062739</v>
      </c>
      <c r="C12276" t="str">
        <f>IFERROR(__xludf.DUMMYFUNCTION("""COMPUTED_VALUE"""),"ECS")</f>
        <v>ECS</v>
      </c>
    </row>
    <row r="12277">
      <c r="A12277" t="str">
        <f>IFERROR(__xludf.DUMMYFUNCTION("""COMPUTED_VALUE"""),"BW028D1")</f>
        <v>BW028D1</v>
      </c>
      <c r="B12277" s="226" t="str">
        <f>IFERROR(__xludf.DUMMYFUNCTION("""COMPUTED_VALUE"""),"8717323062746")</f>
        <v>8717323062746</v>
      </c>
      <c r="C12277" t="str">
        <f>IFERROR(__xludf.DUMMYFUNCTION("""COMPUTED_VALUE"""),"ECS")</f>
        <v>ECS</v>
      </c>
    </row>
    <row r="12278">
      <c r="A12278" t="str">
        <f>IFERROR(__xludf.DUMMYFUNCTION("""COMPUTED_VALUE"""),"BW028B1")</f>
        <v>BW028B1</v>
      </c>
      <c r="B12278" s="226" t="str">
        <f>IFERROR(__xludf.DUMMYFUNCTION("""COMPUTED_VALUE"""),"8717323062739")</f>
        <v>8717323062739</v>
      </c>
      <c r="C12278" t="str">
        <f>IFERROR(__xludf.DUMMYFUNCTION("""COMPUTED_VALUE"""),"ECS")</f>
        <v>ECS</v>
      </c>
    </row>
    <row r="12279">
      <c r="A12279" t="str">
        <f>IFERROR(__xludf.DUMMYFUNCTION("""COMPUTED_VALUE"""),"BW028D1")</f>
        <v>BW028D1</v>
      </c>
      <c r="B12279" s="226" t="str">
        <f>IFERROR(__xludf.DUMMYFUNCTION("""COMPUTED_VALUE"""),"8717323062746")</f>
        <v>8717323062746</v>
      </c>
      <c r="C12279" t="str">
        <f>IFERROR(__xludf.DUMMYFUNCTION("""COMPUTED_VALUE"""),"ECS")</f>
        <v>ECS</v>
      </c>
    </row>
    <row r="12280">
      <c r="A12280" t="str">
        <f>IFERROR(__xludf.DUMMYFUNCTION("""COMPUTED_VALUE"""),"BW028B1")</f>
        <v>BW028B1</v>
      </c>
      <c r="B12280" s="226" t="str">
        <f>IFERROR(__xludf.DUMMYFUNCTION("""COMPUTED_VALUE"""),"8717323062739")</f>
        <v>8717323062739</v>
      </c>
      <c r="C12280" t="str">
        <f>IFERROR(__xludf.DUMMYFUNCTION("""COMPUTED_VALUE"""),"ECS")</f>
        <v>ECS</v>
      </c>
    </row>
    <row r="12281">
      <c r="A12281" t="str">
        <f>IFERROR(__xludf.DUMMYFUNCTION("""COMPUTED_VALUE"""),"BW028D1")</f>
        <v>BW028D1</v>
      </c>
      <c r="B12281" s="226" t="str">
        <f>IFERROR(__xludf.DUMMYFUNCTION("""COMPUTED_VALUE"""),"8717323062746")</f>
        <v>8717323062746</v>
      </c>
      <c r="C12281" t="str">
        <f>IFERROR(__xludf.DUMMYFUNCTION("""COMPUTED_VALUE"""),"ECS")</f>
        <v>ECS</v>
      </c>
    </row>
    <row r="12282">
      <c r="A12282" t="str">
        <f>IFERROR(__xludf.DUMMYFUNCTION("""COMPUTED_VALUE"""),"BW028B1")</f>
        <v>BW028B1</v>
      </c>
      <c r="B12282" s="226" t="str">
        <f>IFERROR(__xludf.DUMMYFUNCTION("""COMPUTED_VALUE"""),"8717323062739")</f>
        <v>8717323062739</v>
      </c>
      <c r="C12282" t="str">
        <f>IFERROR(__xludf.DUMMYFUNCTION("""COMPUTED_VALUE"""),"ECS")</f>
        <v>ECS</v>
      </c>
    </row>
    <row r="12283">
      <c r="A12283" t="str">
        <f>IFERROR(__xludf.DUMMYFUNCTION("""COMPUTED_VALUE"""),"BW028D1")</f>
        <v>BW028D1</v>
      </c>
      <c r="B12283" s="226" t="str">
        <f>IFERROR(__xludf.DUMMYFUNCTION("""COMPUTED_VALUE"""),"8717323062746")</f>
        <v>8717323062746</v>
      </c>
      <c r="C12283" t="str">
        <f>IFERROR(__xludf.DUMMYFUNCTION("""COMPUTED_VALUE"""),"ECS")</f>
        <v>ECS</v>
      </c>
    </row>
    <row r="12284">
      <c r="A12284" t="str">
        <f>IFERROR(__xludf.DUMMYFUNCTION("""COMPUTED_VALUE"""),"BW028B1")</f>
        <v>BW028B1</v>
      </c>
      <c r="B12284" s="226" t="str">
        <f>IFERROR(__xludf.DUMMYFUNCTION("""COMPUTED_VALUE"""),"8717323062739")</f>
        <v>8717323062739</v>
      </c>
      <c r="C12284" t="str">
        <f>IFERROR(__xludf.DUMMYFUNCTION("""COMPUTED_VALUE"""),"ECS")</f>
        <v>ECS</v>
      </c>
    </row>
    <row r="12285">
      <c r="A12285" t="str">
        <f>IFERROR(__xludf.DUMMYFUNCTION("""COMPUTED_VALUE"""),"BW028D1")</f>
        <v>BW028D1</v>
      </c>
      <c r="B12285" s="226" t="str">
        <f>IFERROR(__xludf.DUMMYFUNCTION("""COMPUTED_VALUE"""),"8717323062746")</f>
        <v>8717323062746</v>
      </c>
      <c r="C12285" t="str">
        <f>IFERROR(__xludf.DUMMYFUNCTION("""COMPUTED_VALUE"""),"ECS")</f>
        <v>ECS</v>
      </c>
    </row>
    <row r="12286">
      <c r="A12286" t="str">
        <f>IFERROR(__xludf.DUMMYFUNCTION("""COMPUTED_VALUE"""),"BW008B1")</f>
        <v>BW008B1</v>
      </c>
      <c r="B12286" s="226" t="str">
        <f>IFERROR(__xludf.DUMMYFUNCTION("""COMPUTED_VALUE"""),"8717323024546")</f>
        <v>8717323024546</v>
      </c>
      <c r="C12286" t="str">
        <f>IFERROR(__xludf.DUMMYFUNCTION("""COMPUTED_VALUE"""),"ECS")</f>
        <v>ECS</v>
      </c>
    </row>
    <row r="12287">
      <c r="A12287" t="str">
        <f>IFERROR(__xludf.DUMMYFUNCTION("""COMPUTED_VALUE"""),"BW008D1")</f>
        <v>BW008D1</v>
      </c>
      <c r="B12287" s="226" t="str">
        <f>IFERROR(__xludf.DUMMYFUNCTION("""COMPUTED_VALUE"""),"8717323024553")</f>
        <v>8717323024553</v>
      </c>
      <c r="C12287" t="str">
        <f>IFERROR(__xludf.DUMMYFUNCTION("""COMPUTED_VALUE"""),"ECS")</f>
        <v>ECS</v>
      </c>
    </row>
    <row r="12288">
      <c r="A12288" t="str">
        <f>IFERROR(__xludf.DUMMYFUNCTION("""COMPUTED_VALUE"""),"BW008H1")</f>
        <v>BW008H1</v>
      </c>
      <c r="B12288" s="226" t="str">
        <f>IFERROR(__xludf.DUMMYFUNCTION("""COMPUTED_VALUE"""),"8717323049327")</f>
        <v>8717323049327</v>
      </c>
      <c r="C12288" t="str">
        <f>IFERROR(__xludf.DUMMYFUNCTION("""COMPUTED_VALUE"""),"ECS")</f>
        <v>ECS</v>
      </c>
    </row>
    <row r="12289">
      <c r="A12289" t="str">
        <f>IFERROR(__xludf.DUMMYFUNCTION("""COMPUTED_VALUE"""),"BW028B1")</f>
        <v>BW028B1</v>
      </c>
      <c r="B12289" s="226" t="str">
        <f>IFERROR(__xludf.DUMMYFUNCTION("""COMPUTED_VALUE"""),"8717323062739")</f>
        <v>8717323062739</v>
      </c>
      <c r="C12289" t="str">
        <f>IFERROR(__xludf.DUMMYFUNCTION("""COMPUTED_VALUE"""),"ECS")</f>
        <v>ECS</v>
      </c>
    </row>
    <row r="12290">
      <c r="A12290" t="str">
        <f>IFERROR(__xludf.DUMMYFUNCTION("""COMPUTED_VALUE"""),"BW028D1")</f>
        <v>BW028D1</v>
      </c>
      <c r="B12290" s="226" t="str">
        <f>IFERROR(__xludf.DUMMYFUNCTION("""COMPUTED_VALUE"""),"8717323062746")</f>
        <v>8717323062746</v>
      </c>
      <c r="C12290" t="str">
        <f>IFERROR(__xludf.DUMMYFUNCTION("""COMPUTED_VALUE"""),"ECS")</f>
        <v>ECS</v>
      </c>
    </row>
    <row r="12291">
      <c r="A12291" t="str">
        <f>IFERROR(__xludf.DUMMYFUNCTION("""COMPUTED_VALUE"""),"BW028B1")</f>
        <v>BW028B1</v>
      </c>
      <c r="B12291" s="226" t="str">
        <f>IFERROR(__xludf.DUMMYFUNCTION("""COMPUTED_VALUE"""),"8717323062739")</f>
        <v>8717323062739</v>
      </c>
      <c r="C12291" t="str">
        <f>IFERROR(__xludf.DUMMYFUNCTION("""COMPUTED_VALUE"""),"ECS")</f>
        <v>ECS</v>
      </c>
    </row>
    <row r="12292">
      <c r="A12292" t="str">
        <f>IFERROR(__xludf.DUMMYFUNCTION("""COMPUTED_VALUE"""),"BW028D1")</f>
        <v>BW028D1</v>
      </c>
      <c r="B12292" s="226" t="str">
        <f>IFERROR(__xludf.DUMMYFUNCTION("""COMPUTED_VALUE"""),"8717323062746")</f>
        <v>8717323062746</v>
      </c>
      <c r="C12292" t="str">
        <f>IFERROR(__xludf.DUMMYFUNCTION("""COMPUTED_VALUE"""),"ECS")</f>
        <v>ECS</v>
      </c>
    </row>
    <row r="12293">
      <c r="A12293" t="str">
        <f>IFERROR(__xludf.DUMMYFUNCTION("""COMPUTED_VALUE"""),"BW008B1")</f>
        <v>BW008B1</v>
      </c>
      <c r="B12293" s="226" t="str">
        <f>IFERROR(__xludf.DUMMYFUNCTION("""COMPUTED_VALUE"""),"8717323024546")</f>
        <v>8717323024546</v>
      </c>
      <c r="C12293" t="str">
        <f>IFERROR(__xludf.DUMMYFUNCTION("""COMPUTED_VALUE"""),"ECS")</f>
        <v>ECS</v>
      </c>
    </row>
    <row r="12294">
      <c r="A12294" t="str">
        <f>IFERROR(__xludf.DUMMYFUNCTION("""COMPUTED_VALUE"""),"BW008D1")</f>
        <v>BW008D1</v>
      </c>
      <c r="B12294" s="226" t="str">
        <f>IFERROR(__xludf.DUMMYFUNCTION("""COMPUTED_VALUE"""),"8717323024553")</f>
        <v>8717323024553</v>
      </c>
      <c r="C12294" t="str">
        <f>IFERROR(__xludf.DUMMYFUNCTION("""COMPUTED_VALUE"""),"ECS")</f>
        <v>ECS</v>
      </c>
    </row>
    <row r="12295">
      <c r="A12295" t="str">
        <f>IFERROR(__xludf.DUMMYFUNCTION("""COMPUTED_VALUE"""),"BW008H1")</f>
        <v>BW008H1</v>
      </c>
      <c r="B12295" s="226" t="str">
        <f>IFERROR(__xludf.DUMMYFUNCTION("""COMPUTED_VALUE"""),"8717323049327")</f>
        <v>8717323049327</v>
      </c>
      <c r="C12295" t="str">
        <f>IFERROR(__xludf.DUMMYFUNCTION("""COMPUTED_VALUE"""),"ECS")</f>
        <v>ECS</v>
      </c>
    </row>
    <row r="12296">
      <c r="A12296" t="str">
        <f>IFERROR(__xludf.DUMMYFUNCTION("""COMPUTED_VALUE"""),"BW027B1")</f>
        <v>BW027B1</v>
      </c>
      <c r="B12296" s="226" t="str">
        <f>IFERROR(__xludf.DUMMYFUNCTION("""COMPUTED_VALUE"""),"8717323063828")</f>
        <v>8717323063828</v>
      </c>
      <c r="C12296" t="str">
        <f>IFERROR(__xludf.DUMMYFUNCTION("""COMPUTED_VALUE"""),"ECS")</f>
        <v>ECS</v>
      </c>
    </row>
    <row r="12297">
      <c r="A12297" t="str">
        <f>IFERROR(__xludf.DUMMYFUNCTION("""COMPUTED_VALUE"""),"BW027D1")</f>
        <v>BW027D1</v>
      </c>
      <c r="B12297" s="226" t="str">
        <f>IFERROR(__xludf.DUMMYFUNCTION("""COMPUTED_VALUE"""),"8717323063835")</f>
        <v>8717323063835</v>
      </c>
      <c r="C12297" t="str">
        <f>IFERROR(__xludf.DUMMYFUNCTION("""COMPUTED_VALUE"""),"ECS")</f>
        <v>ECS</v>
      </c>
    </row>
    <row r="12298">
      <c r="A12298" t="str">
        <f>IFERROR(__xludf.DUMMYFUNCTION("""COMPUTED_VALUE"""),"BW027B1")</f>
        <v>BW027B1</v>
      </c>
      <c r="B12298" s="226" t="str">
        <f>IFERROR(__xludf.DUMMYFUNCTION("""COMPUTED_VALUE"""),"8717323063828")</f>
        <v>8717323063828</v>
      </c>
      <c r="C12298" t="str">
        <f>IFERROR(__xludf.DUMMYFUNCTION("""COMPUTED_VALUE"""),"ECS")</f>
        <v>ECS</v>
      </c>
    </row>
    <row r="12299">
      <c r="A12299" t="str">
        <f>IFERROR(__xludf.DUMMYFUNCTION("""COMPUTED_VALUE"""),"BW027D1")</f>
        <v>BW027D1</v>
      </c>
      <c r="B12299" s="226" t="str">
        <f>IFERROR(__xludf.DUMMYFUNCTION("""COMPUTED_VALUE"""),"8717323063835")</f>
        <v>8717323063835</v>
      </c>
      <c r="C12299" t="str">
        <f>IFERROR(__xludf.DUMMYFUNCTION("""COMPUTED_VALUE"""),"ECS")</f>
        <v>ECS</v>
      </c>
    </row>
    <row r="12300">
      <c r="A12300" t="str">
        <f>IFERROR(__xludf.DUMMYFUNCTION("""COMPUTED_VALUE"""),"BW015B1")</f>
        <v>BW015B1</v>
      </c>
      <c r="B12300" s="226" t="str">
        <f>IFERROR(__xludf.DUMMYFUNCTION("""COMPUTED_VALUE"""),"8717323048627")</f>
        <v>8717323048627</v>
      </c>
      <c r="C12300" t="str">
        <f>IFERROR(__xludf.DUMMYFUNCTION("""COMPUTED_VALUE"""),"ECS")</f>
        <v>ECS</v>
      </c>
    </row>
    <row r="12301">
      <c r="A12301" t="str">
        <f>IFERROR(__xludf.DUMMYFUNCTION("""COMPUTED_VALUE"""),"BW015D1")</f>
        <v>BW015D1</v>
      </c>
      <c r="B12301" s="226" t="str">
        <f>IFERROR(__xludf.DUMMYFUNCTION("""COMPUTED_VALUE"""),"8717323048085")</f>
        <v>8717323048085</v>
      </c>
      <c r="C12301" t="str">
        <f>IFERROR(__xludf.DUMMYFUNCTION("""COMPUTED_VALUE"""),"ECS")</f>
        <v>ECS</v>
      </c>
    </row>
    <row r="12302">
      <c r="A12302" t="str">
        <f>IFERROR(__xludf.DUMMYFUNCTION("""COMPUTED_VALUE"""),"BW008B1")</f>
        <v>BW008B1</v>
      </c>
      <c r="B12302" s="226" t="str">
        <f>IFERROR(__xludf.DUMMYFUNCTION("""COMPUTED_VALUE"""),"8717323024546")</f>
        <v>8717323024546</v>
      </c>
      <c r="C12302" t="str">
        <f>IFERROR(__xludf.DUMMYFUNCTION("""COMPUTED_VALUE"""),"ECS")</f>
        <v>ECS</v>
      </c>
    </row>
    <row r="12303">
      <c r="A12303" t="str">
        <f>IFERROR(__xludf.DUMMYFUNCTION("""COMPUTED_VALUE"""),"BW008D1")</f>
        <v>BW008D1</v>
      </c>
      <c r="B12303" s="226" t="str">
        <f>IFERROR(__xludf.DUMMYFUNCTION("""COMPUTED_VALUE"""),"8717323024553")</f>
        <v>8717323024553</v>
      </c>
      <c r="C12303" t="str">
        <f>IFERROR(__xludf.DUMMYFUNCTION("""COMPUTED_VALUE"""),"ECS")</f>
        <v>ECS</v>
      </c>
    </row>
    <row r="12304">
      <c r="A12304" t="str">
        <f>IFERROR(__xludf.DUMMYFUNCTION("""COMPUTED_VALUE"""),"BW008H1")</f>
        <v>BW008H1</v>
      </c>
      <c r="B12304" s="226" t="str">
        <f>IFERROR(__xludf.DUMMYFUNCTION("""COMPUTED_VALUE"""),"8717323049327")</f>
        <v>8717323049327</v>
      </c>
      <c r="C12304" t="str">
        <f>IFERROR(__xludf.DUMMYFUNCTION("""COMPUTED_VALUE"""),"ECS")</f>
        <v>ECS</v>
      </c>
    </row>
    <row r="12305">
      <c r="A12305" t="str">
        <f>IFERROR(__xludf.DUMMYFUNCTION("""COMPUTED_VALUE"""),"BW028B1")</f>
        <v>BW028B1</v>
      </c>
      <c r="B12305" s="226" t="str">
        <f>IFERROR(__xludf.DUMMYFUNCTION("""COMPUTED_VALUE"""),"8717323062739")</f>
        <v>8717323062739</v>
      </c>
      <c r="C12305" t="str">
        <f>IFERROR(__xludf.DUMMYFUNCTION("""COMPUTED_VALUE"""),"ECS")</f>
        <v>ECS</v>
      </c>
    </row>
    <row r="12306">
      <c r="A12306" t="str">
        <f>IFERROR(__xludf.DUMMYFUNCTION("""COMPUTED_VALUE"""),"BW028D1")</f>
        <v>BW028D1</v>
      </c>
      <c r="B12306" s="226" t="str">
        <f>IFERROR(__xludf.DUMMYFUNCTION("""COMPUTED_VALUE"""),"8717323062746")</f>
        <v>8717323062746</v>
      </c>
      <c r="C12306" t="str">
        <f>IFERROR(__xludf.DUMMYFUNCTION("""COMPUTED_VALUE"""),"ECS")</f>
        <v>ECS</v>
      </c>
    </row>
    <row r="12307">
      <c r="A12307" t="str">
        <f>IFERROR(__xludf.DUMMYFUNCTION("""COMPUTED_VALUE"""),"BW028B1")</f>
        <v>BW028B1</v>
      </c>
      <c r="B12307" s="226" t="str">
        <f>IFERROR(__xludf.DUMMYFUNCTION("""COMPUTED_VALUE"""),"8717323062739")</f>
        <v>8717323062739</v>
      </c>
      <c r="C12307" t="str">
        <f>IFERROR(__xludf.DUMMYFUNCTION("""COMPUTED_VALUE"""),"ECS")</f>
        <v>ECS</v>
      </c>
    </row>
    <row r="12308">
      <c r="A12308" t="str">
        <f>IFERROR(__xludf.DUMMYFUNCTION("""COMPUTED_VALUE"""),"BW028D1")</f>
        <v>BW028D1</v>
      </c>
      <c r="B12308" s="226" t="str">
        <f>IFERROR(__xludf.DUMMYFUNCTION("""COMPUTED_VALUE"""),"8717323062746")</f>
        <v>8717323062746</v>
      </c>
      <c r="C12308" t="str">
        <f>IFERROR(__xludf.DUMMYFUNCTION("""COMPUTED_VALUE"""),"ECS")</f>
        <v>ECS</v>
      </c>
    </row>
    <row r="12309">
      <c r="A12309" t="str">
        <f>IFERROR(__xludf.DUMMYFUNCTION("""COMPUTED_VALUE"""),"BW028B1")</f>
        <v>BW028B1</v>
      </c>
      <c r="B12309" s="226" t="str">
        <f>IFERROR(__xludf.DUMMYFUNCTION("""COMPUTED_VALUE"""),"8717323062739")</f>
        <v>8717323062739</v>
      </c>
      <c r="C12309" t="str">
        <f>IFERROR(__xludf.DUMMYFUNCTION("""COMPUTED_VALUE"""),"ECS")</f>
        <v>ECS</v>
      </c>
    </row>
    <row r="12310">
      <c r="A12310" t="str">
        <f>IFERROR(__xludf.DUMMYFUNCTION("""COMPUTED_VALUE"""),"BW028D1")</f>
        <v>BW028D1</v>
      </c>
      <c r="B12310" s="226" t="str">
        <f>IFERROR(__xludf.DUMMYFUNCTION("""COMPUTED_VALUE"""),"8717323062746")</f>
        <v>8717323062746</v>
      </c>
      <c r="C12310" t="str">
        <f>IFERROR(__xludf.DUMMYFUNCTION("""COMPUTED_VALUE"""),"ECS")</f>
        <v>ECS</v>
      </c>
    </row>
    <row r="12311">
      <c r="A12311" t="str">
        <f>IFERROR(__xludf.DUMMYFUNCTION("""COMPUTED_VALUE"""),"BW028B1")</f>
        <v>BW028B1</v>
      </c>
      <c r="B12311" s="226" t="str">
        <f>IFERROR(__xludf.DUMMYFUNCTION("""COMPUTED_VALUE"""),"8717323062739")</f>
        <v>8717323062739</v>
      </c>
      <c r="C12311" t="str">
        <f>IFERROR(__xludf.DUMMYFUNCTION("""COMPUTED_VALUE"""),"ECS")</f>
        <v>ECS</v>
      </c>
    </row>
    <row r="12312">
      <c r="A12312" t="str">
        <f>IFERROR(__xludf.DUMMYFUNCTION("""COMPUTED_VALUE"""),"BW028D1")</f>
        <v>BW028D1</v>
      </c>
      <c r="B12312" s="226" t="str">
        <f>IFERROR(__xludf.DUMMYFUNCTION("""COMPUTED_VALUE"""),"8717323062746")</f>
        <v>8717323062746</v>
      </c>
      <c r="C12312" t="str">
        <f>IFERROR(__xludf.DUMMYFUNCTION("""COMPUTED_VALUE"""),"ECS")</f>
        <v>ECS</v>
      </c>
    </row>
    <row r="12313">
      <c r="A12313" t="str">
        <f>IFERROR(__xludf.DUMMYFUNCTION("""COMPUTED_VALUE"""),"BW008B1")</f>
        <v>BW008B1</v>
      </c>
      <c r="B12313" s="226" t="str">
        <f>IFERROR(__xludf.DUMMYFUNCTION("""COMPUTED_VALUE"""),"8717323024546")</f>
        <v>8717323024546</v>
      </c>
      <c r="C12313" t="str">
        <f>IFERROR(__xludf.DUMMYFUNCTION("""COMPUTED_VALUE"""),"ECS")</f>
        <v>ECS</v>
      </c>
    </row>
    <row r="12314">
      <c r="A12314" t="str">
        <f>IFERROR(__xludf.DUMMYFUNCTION("""COMPUTED_VALUE"""),"BW008D1")</f>
        <v>BW008D1</v>
      </c>
      <c r="B12314" s="226" t="str">
        <f>IFERROR(__xludf.DUMMYFUNCTION("""COMPUTED_VALUE"""),"8717323024553")</f>
        <v>8717323024553</v>
      </c>
      <c r="C12314" t="str">
        <f>IFERROR(__xludf.DUMMYFUNCTION("""COMPUTED_VALUE"""),"ECS")</f>
        <v>ECS</v>
      </c>
    </row>
    <row r="12315">
      <c r="A12315" t="str">
        <f>IFERROR(__xludf.DUMMYFUNCTION("""COMPUTED_VALUE"""),"BW008H1")</f>
        <v>BW008H1</v>
      </c>
      <c r="B12315" s="226" t="str">
        <f>IFERROR(__xludf.DUMMYFUNCTION("""COMPUTED_VALUE"""),"8717323049327")</f>
        <v>8717323049327</v>
      </c>
      <c r="C12315" t="str">
        <f>IFERROR(__xludf.DUMMYFUNCTION("""COMPUTED_VALUE"""),"ECS")</f>
        <v>ECS</v>
      </c>
    </row>
    <row r="12316">
      <c r="A12316" t="str">
        <f>IFERROR(__xludf.DUMMYFUNCTION("""COMPUTED_VALUE"""),"BW028B1")</f>
        <v>BW028B1</v>
      </c>
      <c r="B12316" s="226" t="str">
        <f>IFERROR(__xludf.DUMMYFUNCTION("""COMPUTED_VALUE"""),"8717323062739")</f>
        <v>8717323062739</v>
      </c>
      <c r="C12316" t="str">
        <f>IFERROR(__xludf.DUMMYFUNCTION("""COMPUTED_VALUE"""),"ECS")</f>
        <v>ECS</v>
      </c>
    </row>
    <row r="12317">
      <c r="A12317" t="str">
        <f>IFERROR(__xludf.DUMMYFUNCTION("""COMPUTED_VALUE"""),"BW028D1")</f>
        <v>BW028D1</v>
      </c>
      <c r="B12317" s="226" t="str">
        <f>IFERROR(__xludf.DUMMYFUNCTION("""COMPUTED_VALUE"""),"8717323062746")</f>
        <v>8717323062746</v>
      </c>
      <c r="C12317" t="str">
        <f>IFERROR(__xludf.DUMMYFUNCTION("""COMPUTED_VALUE"""),"ECS")</f>
        <v>ECS</v>
      </c>
    </row>
    <row r="12318">
      <c r="A12318" t="str">
        <f>IFERROR(__xludf.DUMMYFUNCTION("""COMPUTED_VALUE"""),"BW031B1")</f>
        <v>BW031B1</v>
      </c>
      <c r="B12318" s="226" t="str">
        <f>IFERROR(__xludf.DUMMYFUNCTION("""COMPUTED_VALUE"""),"8717323069813")</f>
        <v>8717323069813</v>
      </c>
      <c r="C12318" t="str">
        <f>IFERROR(__xludf.DUMMYFUNCTION("""COMPUTED_VALUE"""),"ECS")</f>
        <v>ECS</v>
      </c>
    </row>
    <row r="12319">
      <c r="A12319" t="str">
        <f>IFERROR(__xludf.DUMMYFUNCTION("""COMPUTED_VALUE"""),"BW031D1")</f>
        <v>BW031D1</v>
      </c>
      <c r="B12319" s="226" t="str">
        <f>IFERROR(__xludf.DUMMYFUNCTION("""COMPUTED_VALUE"""),"8717323069820")</f>
        <v>8717323069820</v>
      </c>
      <c r="C12319" t="str">
        <f>IFERROR(__xludf.DUMMYFUNCTION("""COMPUTED_VALUE"""),"ECS")</f>
        <v>ECS</v>
      </c>
    </row>
    <row r="12320">
      <c r="A12320" t="str">
        <f>IFERROR(__xludf.DUMMYFUNCTION("""COMPUTED_VALUE"""),"BW008B1")</f>
        <v>BW008B1</v>
      </c>
      <c r="B12320" s="226" t="str">
        <f>IFERROR(__xludf.DUMMYFUNCTION("""COMPUTED_VALUE"""),"8717323024546")</f>
        <v>8717323024546</v>
      </c>
      <c r="C12320" t="str">
        <f>IFERROR(__xludf.DUMMYFUNCTION("""COMPUTED_VALUE"""),"ECS")</f>
        <v>ECS</v>
      </c>
    </row>
    <row r="12321">
      <c r="A12321" t="str">
        <f>IFERROR(__xludf.DUMMYFUNCTION("""COMPUTED_VALUE"""),"BW008D1")</f>
        <v>BW008D1</v>
      </c>
      <c r="B12321" s="226" t="str">
        <f>IFERROR(__xludf.DUMMYFUNCTION("""COMPUTED_VALUE"""),"8717323024553")</f>
        <v>8717323024553</v>
      </c>
      <c r="C12321" t="str">
        <f>IFERROR(__xludf.DUMMYFUNCTION("""COMPUTED_VALUE"""),"ECS")</f>
        <v>ECS</v>
      </c>
    </row>
    <row r="12322">
      <c r="A12322" t="str">
        <f>IFERROR(__xludf.DUMMYFUNCTION("""COMPUTED_VALUE"""),"BW008H1")</f>
        <v>BW008H1</v>
      </c>
      <c r="B12322" s="226" t="str">
        <f>IFERROR(__xludf.DUMMYFUNCTION("""COMPUTED_VALUE"""),"8717323049327")</f>
        <v>8717323049327</v>
      </c>
      <c r="C12322" t="str">
        <f>IFERROR(__xludf.DUMMYFUNCTION("""COMPUTED_VALUE"""),"ECS")</f>
        <v>ECS</v>
      </c>
    </row>
    <row r="12323">
      <c r="A12323" t="str">
        <f>IFERROR(__xludf.DUMMYFUNCTION("""COMPUTED_VALUE"""),"BW013B1")</f>
        <v>BW013B1</v>
      </c>
      <c r="B12323" s="226" t="str">
        <f>IFERROR(__xludf.DUMMYFUNCTION("""COMPUTED_VALUE"""),"8717323015292")</f>
        <v>8717323015292</v>
      </c>
      <c r="C12323" t="str">
        <f>IFERROR(__xludf.DUMMYFUNCTION("""COMPUTED_VALUE"""),"ECS")</f>
        <v>ECS</v>
      </c>
    </row>
    <row r="12324">
      <c r="A12324" t="str">
        <f>IFERROR(__xludf.DUMMYFUNCTION("""COMPUTED_VALUE"""),"BW028B1")</f>
        <v>BW028B1</v>
      </c>
      <c r="B12324" s="226" t="str">
        <f>IFERROR(__xludf.DUMMYFUNCTION("""COMPUTED_VALUE"""),"8717323062739")</f>
        <v>8717323062739</v>
      </c>
      <c r="C12324" t="str">
        <f>IFERROR(__xludf.DUMMYFUNCTION("""COMPUTED_VALUE"""),"ECS")</f>
        <v>ECS</v>
      </c>
    </row>
    <row r="12325">
      <c r="A12325" t="str">
        <f>IFERROR(__xludf.DUMMYFUNCTION("""COMPUTED_VALUE"""),"BW028D1")</f>
        <v>BW028D1</v>
      </c>
      <c r="B12325" s="226" t="str">
        <f>IFERROR(__xludf.DUMMYFUNCTION("""COMPUTED_VALUE"""),"8717323062746")</f>
        <v>8717323062746</v>
      </c>
      <c r="C12325" t="str">
        <f>IFERROR(__xludf.DUMMYFUNCTION("""COMPUTED_VALUE"""),"ECS")</f>
        <v>ECS</v>
      </c>
    </row>
    <row r="12326">
      <c r="A12326" t="str">
        <f>IFERROR(__xludf.DUMMYFUNCTION("""COMPUTED_VALUE"""),"CD007DH")</f>
        <v>CD007DH</v>
      </c>
      <c r="B12326" s="226" t="str">
        <f>IFERROR(__xludf.DUMMYFUNCTION("""COMPUTED_VALUE"""),"8717323015810")</f>
        <v>8717323015810</v>
      </c>
      <c r="C12326" t="str">
        <f>IFERROR(__xludf.DUMMYFUNCTION("""COMPUTED_VALUE"""),"ECS")</f>
        <v>ECS</v>
      </c>
    </row>
    <row r="12327">
      <c r="A12327" t="str">
        <f>IFERROR(__xludf.DUMMYFUNCTION("""COMPUTED_VALUE"""),"CD004HH")</f>
        <v>CD004HH</v>
      </c>
      <c r="B12327" s="226" t="str">
        <f>IFERROR(__xludf.DUMMYFUNCTION("""COMPUTED_VALUE"""),"8717323011591")</f>
        <v>8717323011591</v>
      </c>
      <c r="C12327" t="str">
        <f>IFERROR(__xludf.DUMMYFUNCTION("""COMPUTED_VALUE"""),"ECS")</f>
        <v>ECS</v>
      </c>
    </row>
    <row r="12328">
      <c r="A12328" t="str">
        <f>IFERROR(__xludf.DUMMYFUNCTION("""COMPUTED_VALUE"""),"CH007BB")</f>
        <v>CH007BB</v>
      </c>
      <c r="B12328" s="226" t="str">
        <f>IFERROR(__xludf.DUMMYFUNCTION("""COMPUTED_VALUE"""),"8717323016596")</f>
        <v>8717323016596</v>
      </c>
      <c r="C12328" t="str">
        <f>IFERROR(__xludf.DUMMYFUNCTION("""COMPUTED_VALUE"""),"ECS")</f>
        <v>ECS</v>
      </c>
    </row>
    <row r="12329">
      <c r="A12329" t="str">
        <f>IFERROR(__xludf.DUMMYFUNCTION("""COMPUTED_VALUE"""),"CH007DH")</f>
        <v>CH007DH</v>
      </c>
      <c r="B12329" s="226" t="str">
        <f>IFERROR(__xludf.DUMMYFUNCTION("""COMPUTED_VALUE"""),"8717323016602")</f>
        <v>8717323016602</v>
      </c>
      <c r="C12329" t="str">
        <f>IFERROR(__xludf.DUMMYFUNCTION("""COMPUTED_VALUE"""),"ECS")</f>
        <v>ECS</v>
      </c>
    </row>
    <row r="12330">
      <c r="A12330" t="str">
        <f>IFERROR(__xludf.DUMMYFUNCTION("""COMPUTED_VALUE"""),"CH007BB")</f>
        <v>CH007BB</v>
      </c>
      <c r="B12330" s="226" t="str">
        <f>IFERROR(__xludf.DUMMYFUNCTION("""COMPUTED_VALUE"""),"8717323016596")</f>
        <v>8717323016596</v>
      </c>
      <c r="C12330" t="str">
        <f>IFERROR(__xludf.DUMMYFUNCTION("""COMPUTED_VALUE"""),"ECS")</f>
        <v>ECS</v>
      </c>
    </row>
    <row r="12331">
      <c r="A12331" t="str">
        <f>IFERROR(__xludf.DUMMYFUNCTION("""COMPUTED_VALUE"""),"CH007DH")</f>
        <v>CH007DH</v>
      </c>
      <c r="B12331" s="226" t="str">
        <f>IFERROR(__xludf.DUMMYFUNCTION("""COMPUTED_VALUE"""),"8717323016602")</f>
        <v>8717323016602</v>
      </c>
      <c r="C12331" t="str">
        <f>IFERROR(__xludf.DUMMYFUNCTION("""COMPUTED_VALUE"""),"ECS")</f>
        <v>ECS</v>
      </c>
    </row>
    <row r="12332">
      <c r="A12332" t="str">
        <f>IFERROR(__xludf.DUMMYFUNCTION("""COMPUTED_VALUE"""),"OP052B1")</f>
        <v>OP052B1</v>
      </c>
      <c r="B12332" s="226" t="str">
        <f>IFERROR(__xludf.DUMMYFUNCTION("""COMPUTED_VALUE"""),"8717323024652")</f>
        <v>8717323024652</v>
      </c>
      <c r="C12332" t="str">
        <f>IFERROR(__xludf.DUMMYFUNCTION("""COMPUTED_VALUE"""),"ECS")</f>
        <v>ECS</v>
      </c>
    </row>
    <row r="12333">
      <c r="A12333" t="str">
        <f>IFERROR(__xludf.DUMMYFUNCTION("""COMPUTED_VALUE"""),"OP052D1")</f>
        <v>OP052D1</v>
      </c>
      <c r="B12333" s="226" t="str">
        <f>IFERROR(__xludf.DUMMYFUNCTION("""COMPUTED_VALUE"""),"8717323024492")</f>
        <v>8717323024492</v>
      </c>
      <c r="C12333" t="str">
        <f>IFERROR(__xludf.DUMMYFUNCTION("""COMPUTED_VALUE"""),"ECS")</f>
        <v>ECS</v>
      </c>
    </row>
    <row r="12334">
      <c r="A12334" t="str">
        <f>IFERROR(__xludf.DUMMYFUNCTION("""COMPUTED_VALUE"""),"CH004BB")</f>
        <v>CH004BB</v>
      </c>
      <c r="B12334" s="226" t="str">
        <f>IFERROR(__xludf.DUMMYFUNCTION("""COMPUTED_VALUE"""),"8717323013632")</f>
        <v>8717323013632</v>
      </c>
      <c r="C12334" t="str">
        <f>IFERROR(__xludf.DUMMYFUNCTION("""COMPUTED_VALUE"""),"ECS")</f>
        <v>ECS</v>
      </c>
    </row>
    <row r="12335">
      <c r="A12335" t="str">
        <f>IFERROR(__xludf.DUMMYFUNCTION("""COMPUTED_VALUE"""),"OP052B1")</f>
        <v>OP052B1</v>
      </c>
      <c r="B12335" s="226" t="str">
        <f>IFERROR(__xludf.DUMMYFUNCTION("""COMPUTED_VALUE"""),"8717323024652")</f>
        <v>8717323024652</v>
      </c>
      <c r="C12335" t="str">
        <f>IFERROR(__xludf.DUMMYFUNCTION("""COMPUTED_VALUE"""),"ECS")</f>
        <v>ECS</v>
      </c>
    </row>
    <row r="12336">
      <c r="A12336" t="str">
        <f>IFERROR(__xludf.DUMMYFUNCTION("""COMPUTED_VALUE"""),"OP052D1")</f>
        <v>OP052D1</v>
      </c>
      <c r="B12336" s="226" t="str">
        <f>IFERROR(__xludf.DUMMYFUNCTION("""COMPUTED_VALUE"""),"8717323024492")</f>
        <v>8717323024492</v>
      </c>
      <c r="C12336" t="str">
        <f>IFERROR(__xludf.DUMMYFUNCTION("""COMPUTED_VALUE"""),"ECS")</f>
        <v>ECS</v>
      </c>
    </row>
    <row r="12337">
      <c r="A12337" t="str">
        <f>IFERROR(__xludf.DUMMYFUNCTION("""COMPUTED_VALUE"""),"CH003BL")</f>
        <v>CH003BL</v>
      </c>
      <c r="B12337" s="226" t="str">
        <f>IFERROR(__xludf.DUMMYFUNCTION("""COMPUTED_VALUE"""),"8717323014417")</f>
        <v>8717323014417</v>
      </c>
      <c r="C12337" t="str">
        <f>IFERROR(__xludf.DUMMYFUNCTION("""COMPUTED_VALUE"""),"ECS")</f>
        <v>ECS</v>
      </c>
    </row>
    <row r="12338">
      <c r="A12338" t="str">
        <f>IFERROR(__xludf.DUMMYFUNCTION("""COMPUTED_VALUE"""),"CH003DH")</f>
        <v>CH003DH</v>
      </c>
      <c r="B12338" s="226" t="str">
        <f>IFERROR(__xludf.DUMMYFUNCTION("""COMPUTED_VALUE"""),"8717323014424")</f>
        <v>8717323014424</v>
      </c>
      <c r="C12338" t="str">
        <f>IFERROR(__xludf.DUMMYFUNCTION("""COMPUTED_VALUE"""),"ECS")</f>
        <v>ECS</v>
      </c>
    </row>
    <row r="12339">
      <c r="A12339" t="str">
        <f>IFERROR(__xludf.DUMMYFUNCTION("""COMPUTED_VALUE"""),"CH006BL")</f>
        <v>CH006BL</v>
      </c>
      <c r="B12339" s="226" t="str">
        <f>IFERROR(__xludf.DUMMYFUNCTION("""COMPUTED_VALUE"""),"8717323015438")</f>
        <v>8717323015438</v>
      </c>
      <c r="C12339" t="str">
        <f>IFERROR(__xludf.DUMMYFUNCTION("""COMPUTED_VALUE"""),"ECS")</f>
        <v>ECS</v>
      </c>
    </row>
    <row r="12340">
      <c r="A12340" t="str">
        <f>IFERROR(__xludf.DUMMYFUNCTION("""COMPUTED_VALUE"""),"CH006DL")</f>
        <v>CH006DL</v>
      </c>
      <c r="B12340" s="226" t="str">
        <f>IFERROR(__xludf.DUMMYFUNCTION("""COMPUTED_VALUE"""),"8717323015445")</f>
        <v>8717323015445</v>
      </c>
      <c r="C12340" t="str">
        <f>IFERROR(__xludf.DUMMYFUNCTION("""COMPUTED_VALUE"""),"ECS")</f>
        <v>ECS</v>
      </c>
    </row>
    <row r="12341">
      <c r="A12341" t="str">
        <f>IFERROR(__xludf.DUMMYFUNCTION("""COMPUTED_VALUE"""),"OP052B1")</f>
        <v>OP052B1</v>
      </c>
      <c r="B12341" s="226" t="str">
        <f>IFERROR(__xludf.DUMMYFUNCTION("""COMPUTED_VALUE"""),"8717323024652")</f>
        <v>8717323024652</v>
      </c>
      <c r="C12341" t="str">
        <f>IFERROR(__xludf.DUMMYFUNCTION("""COMPUTED_VALUE"""),"ECS")</f>
        <v>ECS</v>
      </c>
    </row>
    <row r="12342">
      <c r="A12342" t="str">
        <f>IFERROR(__xludf.DUMMYFUNCTION("""COMPUTED_VALUE"""),"OP052D1")</f>
        <v>OP052D1</v>
      </c>
      <c r="B12342" s="226" t="str">
        <f>IFERROR(__xludf.DUMMYFUNCTION("""COMPUTED_VALUE"""),"8717323024492")</f>
        <v>8717323024492</v>
      </c>
      <c r="C12342" t="str">
        <f>IFERROR(__xludf.DUMMYFUNCTION("""COMPUTED_VALUE"""),"ECS")</f>
        <v>ECS</v>
      </c>
    </row>
    <row r="12343">
      <c r="A12343" t="str">
        <f>IFERROR(__xludf.DUMMYFUNCTION("""COMPUTED_VALUE"""),"OP052B1")</f>
        <v>OP052B1</v>
      </c>
      <c r="B12343" s="226" t="str">
        <f>IFERROR(__xludf.DUMMYFUNCTION("""COMPUTED_VALUE"""),"8717323024652")</f>
        <v>8717323024652</v>
      </c>
      <c r="C12343" t="str">
        <f>IFERROR(__xludf.DUMMYFUNCTION("""COMPUTED_VALUE"""),"ECS")</f>
        <v>ECS</v>
      </c>
    </row>
    <row r="12344">
      <c r="A12344" t="str">
        <f>IFERROR(__xludf.DUMMYFUNCTION("""COMPUTED_VALUE"""),"OP052D1")</f>
        <v>OP052D1</v>
      </c>
      <c r="B12344" s="226" t="str">
        <f>IFERROR(__xludf.DUMMYFUNCTION("""COMPUTED_VALUE"""),"8717323024492")</f>
        <v>8717323024492</v>
      </c>
      <c r="C12344" t="str">
        <f>IFERROR(__xludf.DUMMYFUNCTION("""COMPUTED_VALUE"""),"ECS")</f>
        <v>ECS</v>
      </c>
    </row>
    <row r="12345">
      <c r="A12345" t="str">
        <f>IFERROR(__xludf.DUMMYFUNCTION("""COMPUTED_VALUE"""),"CH011BB")</f>
        <v>CH011BB</v>
      </c>
      <c r="B12345" s="226" t="str">
        <f>IFERROR(__xludf.DUMMYFUNCTION("""COMPUTED_VALUE"""),"8717323017746")</f>
        <v>8717323017746</v>
      </c>
      <c r="C12345" t="str">
        <f>IFERROR(__xludf.DUMMYFUNCTION("""COMPUTED_VALUE"""),"ECS")</f>
        <v>ECS</v>
      </c>
    </row>
    <row r="12346">
      <c r="A12346" t="str">
        <f>IFERROR(__xludf.DUMMYFUNCTION("""COMPUTED_VALUE"""),"OP052B1")</f>
        <v>OP052B1</v>
      </c>
      <c r="B12346" s="226" t="str">
        <f>IFERROR(__xludf.DUMMYFUNCTION("""COMPUTED_VALUE"""),"8717323024652")</f>
        <v>8717323024652</v>
      </c>
      <c r="C12346" t="str">
        <f>IFERROR(__xludf.DUMMYFUNCTION("""COMPUTED_VALUE"""),"ECS")</f>
        <v>ECS</v>
      </c>
    </row>
    <row r="12347">
      <c r="A12347" t="str">
        <f>IFERROR(__xludf.DUMMYFUNCTION("""COMPUTED_VALUE"""),"OP052D1")</f>
        <v>OP052D1</v>
      </c>
      <c r="B12347" s="226" t="str">
        <f>IFERROR(__xludf.DUMMYFUNCTION("""COMPUTED_VALUE"""),"8717323024492")</f>
        <v>8717323024492</v>
      </c>
      <c r="C12347" t="str">
        <f>IFERROR(__xludf.DUMMYFUNCTION("""COMPUTED_VALUE"""),"ECS")</f>
        <v>ECS</v>
      </c>
    </row>
    <row r="12348">
      <c r="A12348" t="str">
        <f>IFERROR(__xludf.DUMMYFUNCTION("""COMPUTED_VALUE"""),"CH005BB")</f>
        <v>CH005BB</v>
      </c>
      <c r="B12348" s="226" t="str">
        <f>IFERROR(__xludf.DUMMYFUNCTION("""COMPUTED_VALUE"""),"8717323014936")</f>
        <v>8717323014936</v>
      </c>
      <c r="C12348" t="str">
        <f>IFERROR(__xludf.DUMMYFUNCTION("""COMPUTED_VALUE"""),"ECS")</f>
        <v>ECS</v>
      </c>
    </row>
    <row r="12349">
      <c r="A12349" t="str">
        <f>IFERROR(__xludf.DUMMYFUNCTION("""COMPUTED_VALUE"""),"CH005DL")</f>
        <v>CH005DL</v>
      </c>
      <c r="B12349" s="226" t="str">
        <f>IFERROR(__xludf.DUMMYFUNCTION("""COMPUTED_VALUE"""),"8717323014943")</f>
        <v>8717323014943</v>
      </c>
      <c r="C12349" t="str">
        <f>IFERROR(__xludf.DUMMYFUNCTION("""COMPUTED_VALUE"""),"ECS")</f>
        <v>ECS</v>
      </c>
    </row>
    <row r="12350">
      <c r="A12350" t="str">
        <f>IFERROR(__xludf.DUMMYFUNCTION("""COMPUTED_VALUE"""),"DE015BB")</f>
        <v>DE015BB</v>
      </c>
      <c r="B12350" s="226" t="str">
        <f>IFERROR(__xludf.DUMMYFUNCTION("""COMPUTED_VALUE"""),"8717323010907")</f>
        <v>8717323010907</v>
      </c>
      <c r="C12350" t="str">
        <f>IFERROR(__xludf.DUMMYFUNCTION("""COMPUTED_VALUE"""),"ECS")</f>
        <v>ECS</v>
      </c>
    </row>
    <row r="12351">
      <c r="A12351" t="str">
        <f>IFERROR(__xludf.DUMMYFUNCTION("""COMPUTED_VALUE"""),"DE015DL")</f>
        <v>DE015DL</v>
      </c>
      <c r="B12351" s="226" t="str">
        <f>IFERROR(__xludf.DUMMYFUNCTION("""COMPUTED_VALUE"""),"8717323010914")</f>
        <v>8717323010914</v>
      </c>
      <c r="C12351" t="str">
        <f>IFERROR(__xludf.DUMMYFUNCTION("""COMPUTED_VALUE"""),"ECS")</f>
        <v>ECS</v>
      </c>
    </row>
    <row r="12352">
      <c r="A12352" t="str">
        <f>IFERROR(__xludf.DUMMYFUNCTION("""COMPUTED_VALUE"""),"DE014BB")</f>
        <v>DE014BB</v>
      </c>
      <c r="B12352" s="226" t="str">
        <f>IFERROR(__xludf.DUMMYFUNCTION("""COMPUTED_VALUE"""),"8717323001219")</f>
        <v>8717323001219</v>
      </c>
      <c r="C12352" t="str">
        <f>IFERROR(__xludf.DUMMYFUNCTION("""COMPUTED_VALUE"""),"ECS")</f>
        <v>ECS</v>
      </c>
    </row>
    <row r="12353">
      <c r="A12353" t="str">
        <f>IFERROR(__xludf.DUMMYFUNCTION("""COMPUTED_VALUE"""),"DE016BB")</f>
        <v>DE016BB</v>
      </c>
      <c r="B12353" s="226" t="str">
        <f>IFERROR(__xludf.DUMMYFUNCTION("""COMPUTED_VALUE"""),"8717323010921")</f>
        <v>8717323010921</v>
      </c>
      <c r="C12353" t="str">
        <f>IFERROR(__xludf.DUMMYFUNCTION("""COMPUTED_VALUE"""),"ECS")</f>
        <v>ECS</v>
      </c>
    </row>
    <row r="12354">
      <c r="A12354" t="str">
        <f>IFERROR(__xludf.DUMMYFUNCTION("""COMPUTED_VALUE"""),"CH008DL")</f>
        <v>CH008DL</v>
      </c>
      <c r="B12354" s="226" t="str">
        <f>IFERROR(__xludf.DUMMYFUNCTION("""COMPUTED_VALUE"""),"8717323026502")</f>
        <v>8717323026502</v>
      </c>
      <c r="C12354" t="str">
        <f>IFERROR(__xludf.DUMMYFUNCTION("""COMPUTED_VALUE"""),"ECS")</f>
        <v>ECS</v>
      </c>
    </row>
    <row r="12355">
      <c r="A12355" t="str">
        <f>IFERROR(__xludf.DUMMYFUNCTION("""COMPUTED_VALUE"""),"DE021BB")</f>
        <v>DE021BB</v>
      </c>
      <c r="B12355" s="226" t="str">
        <f>IFERROR(__xludf.DUMMYFUNCTION("""COMPUTED_VALUE"""),"8717323010433")</f>
        <v>8717323010433</v>
      </c>
      <c r="C12355" t="str">
        <f>IFERROR(__xludf.DUMMYFUNCTION("""COMPUTED_VALUE"""),"ECS")</f>
        <v>ECS</v>
      </c>
    </row>
    <row r="12356">
      <c r="A12356" t="str">
        <f>IFERROR(__xludf.DUMMYFUNCTION("""COMPUTED_VALUE"""),"DE021BL")</f>
        <v>DE021BL</v>
      </c>
      <c r="B12356" s="226" t="str">
        <f>IFERROR(__xludf.DUMMYFUNCTION("""COMPUTED_VALUE"""),"8717323034736")</f>
        <v>8717323034736</v>
      </c>
      <c r="C12356" t="str">
        <f>IFERROR(__xludf.DUMMYFUNCTION("""COMPUTED_VALUE"""),"ECS")</f>
        <v>ECS</v>
      </c>
    </row>
    <row r="12357">
      <c r="A12357" t="str">
        <f>IFERROR(__xludf.DUMMYFUNCTION("""COMPUTED_VALUE"""),"DE021DL")</f>
        <v>DE021DL</v>
      </c>
      <c r="B12357" s="226" t="str">
        <f>IFERROR(__xludf.DUMMYFUNCTION("""COMPUTED_VALUE"""),"8717323010440")</f>
        <v>8717323010440</v>
      </c>
      <c r="C12357" t="str">
        <f>IFERROR(__xludf.DUMMYFUNCTION("""COMPUTED_VALUE"""),"ECS")</f>
        <v>ECS</v>
      </c>
    </row>
    <row r="12358">
      <c r="A12358" t="str">
        <f>IFERROR(__xludf.DUMMYFUNCTION("""COMPUTED_VALUE"""),"DE019BB")</f>
        <v>DE019BB</v>
      </c>
      <c r="B12358" s="226" t="str">
        <f>IFERROR(__xludf.DUMMYFUNCTION("""COMPUTED_VALUE"""),"8717323010945")</f>
        <v>8717323010945</v>
      </c>
      <c r="C12358" t="str">
        <f>IFERROR(__xludf.DUMMYFUNCTION("""COMPUTED_VALUE"""),"ECS")</f>
        <v>ECS</v>
      </c>
    </row>
    <row r="12359">
      <c r="A12359" t="str">
        <f>IFERROR(__xludf.DUMMYFUNCTION("""COMPUTED_VALUE"""),"DE019DL")</f>
        <v>DE019DL</v>
      </c>
      <c r="B12359" s="226" t="str">
        <f>IFERROR(__xludf.DUMMYFUNCTION("""COMPUTED_VALUE"""),"8717323010952")</f>
        <v>8717323010952</v>
      </c>
      <c r="C12359" t="str">
        <f>IFERROR(__xludf.DUMMYFUNCTION("""COMPUTED_VALUE"""),"ECS")</f>
        <v>ECS</v>
      </c>
    </row>
    <row r="12360">
      <c r="A12360" t="str">
        <f>IFERROR(__xludf.DUMMYFUNCTION("""COMPUTED_VALUE"""),"OP052B1")</f>
        <v>OP052B1</v>
      </c>
      <c r="B12360" s="226" t="str">
        <f>IFERROR(__xludf.DUMMYFUNCTION("""COMPUTED_VALUE"""),"8717323024652")</f>
        <v>8717323024652</v>
      </c>
      <c r="C12360" t="str">
        <f>IFERROR(__xludf.DUMMYFUNCTION("""COMPUTED_VALUE"""),"ECS")</f>
        <v>ECS</v>
      </c>
    </row>
    <row r="12361">
      <c r="A12361" t="str">
        <f>IFERROR(__xludf.DUMMYFUNCTION("""COMPUTED_VALUE"""),"OP052D1")</f>
        <v>OP052D1</v>
      </c>
      <c r="B12361" s="226" t="str">
        <f>IFERROR(__xludf.DUMMYFUNCTION("""COMPUTED_VALUE"""),"8717323024492")</f>
        <v>8717323024492</v>
      </c>
      <c r="C12361" t="str">
        <f>IFERROR(__xludf.DUMMYFUNCTION("""COMPUTED_VALUE"""),"ECS")</f>
        <v>ECS</v>
      </c>
    </row>
    <row r="12362">
      <c r="A12362" t="str">
        <f>IFERROR(__xludf.DUMMYFUNCTION("""COMPUTED_VALUE"""),"CH012BB")</f>
        <v>CH012BB</v>
      </c>
      <c r="B12362" s="226" t="str">
        <f>IFERROR(__xludf.DUMMYFUNCTION("""COMPUTED_VALUE"""),"8717323025413")</f>
        <v>8717323025413</v>
      </c>
      <c r="C12362" t="str">
        <f>IFERROR(__xludf.DUMMYFUNCTION("""COMPUTED_VALUE"""),"ECS")</f>
        <v>ECS</v>
      </c>
    </row>
    <row r="12363">
      <c r="A12363" t="str">
        <f>IFERROR(__xludf.DUMMYFUNCTION("""COMPUTED_VALUE"""),"CH012DH")</f>
        <v>CH012DH</v>
      </c>
      <c r="B12363" s="226" t="str">
        <f>IFERROR(__xludf.DUMMYFUNCTION("""COMPUTED_VALUE"""),"8717323024300")</f>
        <v>8717323024300</v>
      </c>
      <c r="C12363" t="str">
        <f>IFERROR(__xludf.DUMMYFUNCTION("""COMPUTED_VALUE"""),"ECS")</f>
        <v>ECS</v>
      </c>
    </row>
    <row r="12364">
      <c r="A12364" t="str">
        <f>IFERROR(__xludf.DUMMYFUNCTION("""COMPUTED_VALUE"""),"OP052B1")</f>
        <v>OP052B1</v>
      </c>
      <c r="B12364" s="226" t="str">
        <f>IFERROR(__xludf.DUMMYFUNCTION("""COMPUTED_VALUE"""),"8717323024652")</f>
        <v>8717323024652</v>
      </c>
      <c r="C12364" t="str">
        <f>IFERROR(__xludf.DUMMYFUNCTION("""COMPUTED_VALUE"""),"ECS")</f>
        <v>ECS</v>
      </c>
    </row>
    <row r="12365">
      <c r="A12365" t="str">
        <f>IFERROR(__xludf.DUMMYFUNCTION("""COMPUTED_VALUE"""),"OP052D1")</f>
        <v>OP052D1</v>
      </c>
      <c r="B12365" s="226" t="str">
        <f>IFERROR(__xludf.DUMMYFUNCTION("""COMPUTED_VALUE"""),"8717323024492")</f>
        <v>8717323024492</v>
      </c>
      <c r="C12365" t="str">
        <f>IFERROR(__xludf.DUMMYFUNCTION("""COMPUTED_VALUE"""),"ECS")</f>
        <v>ECS</v>
      </c>
    </row>
    <row r="12366">
      <c r="A12366" t="str">
        <f>IFERROR(__xludf.DUMMYFUNCTION("""COMPUTED_VALUE"""),"CR025DL")</f>
        <v>CR025DL</v>
      </c>
      <c r="B12366" s="226" t="str">
        <f>IFERROR(__xludf.DUMMYFUNCTION("""COMPUTED_VALUE"""),"8717323015568")</f>
        <v>8717323015568</v>
      </c>
      <c r="C12366" t="str">
        <f>IFERROR(__xludf.DUMMYFUNCTION("""COMPUTED_VALUE"""),"ECS")</f>
        <v>ECS</v>
      </c>
    </row>
    <row r="12367">
      <c r="A12367" t="str">
        <f>IFERROR(__xludf.DUMMYFUNCTION("""COMPUTED_VALUE"""),"CR030DL")</f>
        <v>CR030DL</v>
      </c>
      <c r="B12367" s="226" t="str">
        <f>IFERROR(__xludf.DUMMYFUNCTION("""COMPUTED_VALUE"""),"8717323015575")</f>
        <v>8717323015575</v>
      </c>
      <c r="C12367" t="str">
        <f>IFERROR(__xludf.DUMMYFUNCTION("""COMPUTED_VALUE"""),"ECS")</f>
        <v>ECS</v>
      </c>
    </row>
    <row r="12368">
      <c r="A12368" t="str">
        <f>IFERROR(__xludf.DUMMYFUNCTION("""COMPUTED_VALUE"""),"CR050BH")</f>
        <v>CR050BH</v>
      </c>
      <c r="B12368" s="226" t="str">
        <f>IFERROR(__xludf.DUMMYFUNCTION("""COMPUTED_VALUE"""),"8717323033432")</f>
        <v>8717323033432</v>
      </c>
      <c r="C12368" t="str">
        <f>IFERROR(__xludf.DUMMYFUNCTION("""COMPUTED_VALUE"""),"ECS")</f>
        <v>ECS</v>
      </c>
    </row>
    <row r="12369">
      <c r="A12369" t="str">
        <f>IFERROR(__xludf.DUMMYFUNCTION("""COMPUTED_VALUE"""),"CR050DH")</f>
        <v>CR050DH</v>
      </c>
      <c r="B12369" s="226" t="str">
        <f>IFERROR(__xludf.DUMMYFUNCTION("""COMPUTED_VALUE"""),"8717323016732")</f>
        <v>8717323016732</v>
      </c>
      <c r="C12369" t="str">
        <f>IFERROR(__xludf.DUMMYFUNCTION("""COMPUTED_VALUE"""),"ECS")</f>
        <v>ECS</v>
      </c>
    </row>
    <row r="12370">
      <c r="A12370" t="str">
        <f>IFERROR(__xludf.DUMMYFUNCTION("""COMPUTED_VALUE"""),"CR036DH")</f>
        <v>CR036DH</v>
      </c>
      <c r="B12370" s="226" t="str">
        <f>IFERROR(__xludf.DUMMYFUNCTION("""COMPUTED_VALUE"""),"8717323018149")</f>
        <v>8717323018149</v>
      </c>
      <c r="C12370" t="str">
        <f>IFERROR(__xludf.DUMMYFUNCTION("""COMPUTED_VALUE"""),"ECS")</f>
        <v>ECS</v>
      </c>
    </row>
    <row r="12371">
      <c r="A12371" t="str">
        <f>IFERROR(__xludf.DUMMYFUNCTION("""COMPUTED_VALUE"""),"CR036DH")</f>
        <v>CR036DH</v>
      </c>
      <c r="B12371" s="226" t="str">
        <f>IFERROR(__xludf.DUMMYFUNCTION("""COMPUTED_VALUE"""),"8717323018149")</f>
        <v>8717323018149</v>
      </c>
      <c r="C12371" t="str">
        <f>IFERROR(__xludf.DUMMYFUNCTION("""COMPUTED_VALUE"""),"ECS")</f>
        <v>ECS</v>
      </c>
    </row>
    <row r="12372">
      <c r="A12372" t="str">
        <f>IFERROR(__xludf.DUMMYFUNCTION("""COMPUTED_VALUE"""),"CR028HB")</f>
        <v>CR028HB</v>
      </c>
      <c r="B12372" s="226" t="str">
        <f>IFERROR(__xludf.DUMMYFUNCTION("""COMPUTED_VALUE"""),"8717323011119")</f>
        <v>8717323011119</v>
      </c>
      <c r="C12372" t="str">
        <f>IFERROR(__xludf.DUMMYFUNCTION("""COMPUTED_VALUE"""),"ECS")</f>
        <v>ECS</v>
      </c>
    </row>
    <row r="12373">
      <c r="A12373" t="str">
        <f>IFERROR(__xludf.DUMMYFUNCTION("""COMPUTED_VALUE"""),"CR028HL")</f>
        <v>CR028HL</v>
      </c>
      <c r="B12373" s="226" t="str">
        <f>IFERROR(__xludf.DUMMYFUNCTION("""COMPUTED_VALUE"""),"8717323011126")</f>
        <v>8717323011126</v>
      </c>
      <c r="C12373" t="str">
        <f>IFERROR(__xludf.DUMMYFUNCTION("""COMPUTED_VALUE"""),"ECS")</f>
        <v>ECS</v>
      </c>
    </row>
    <row r="12374">
      <c r="A12374" t="str">
        <f>IFERROR(__xludf.DUMMYFUNCTION("""COMPUTED_VALUE"""),"CR028HB")</f>
        <v>CR028HB</v>
      </c>
      <c r="B12374" s="226" t="str">
        <f>IFERROR(__xludf.DUMMYFUNCTION("""COMPUTED_VALUE"""),"8717323011119")</f>
        <v>8717323011119</v>
      </c>
      <c r="C12374" t="str">
        <f>IFERROR(__xludf.DUMMYFUNCTION("""COMPUTED_VALUE"""),"ECS")</f>
        <v>ECS</v>
      </c>
    </row>
    <row r="12375">
      <c r="A12375" t="str">
        <f>IFERROR(__xludf.DUMMYFUNCTION("""COMPUTED_VALUE"""),"CR028HL")</f>
        <v>CR028HL</v>
      </c>
      <c r="B12375" s="226" t="str">
        <f>IFERROR(__xludf.DUMMYFUNCTION("""COMPUTED_VALUE"""),"8717323011126")</f>
        <v>8717323011126</v>
      </c>
      <c r="C12375" t="str">
        <f>IFERROR(__xludf.DUMMYFUNCTION("""COMPUTED_VALUE"""),"ECS")</f>
        <v>ECS</v>
      </c>
    </row>
    <row r="12376">
      <c r="A12376" t="str">
        <f>IFERROR(__xludf.DUMMYFUNCTION("""COMPUTED_VALUE"""),"CR050BH")</f>
        <v>CR050BH</v>
      </c>
      <c r="B12376" s="226" t="str">
        <f>IFERROR(__xludf.DUMMYFUNCTION("""COMPUTED_VALUE"""),"8717323033432")</f>
        <v>8717323033432</v>
      </c>
      <c r="C12376" t="str">
        <f>IFERROR(__xludf.DUMMYFUNCTION("""COMPUTED_VALUE"""),"ECS")</f>
        <v>ECS</v>
      </c>
    </row>
    <row r="12377">
      <c r="A12377" t="str">
        <f>IFERROR(__xludf.DUMMYFUNCTION("""COMPUTED_VALUE"""),"CR050DH")</f>
        <v>CR050DH</v>
      </c>
      <c r="B12377" s="226" t="str">
        <f>IFERROR(__xludf.DUMMYFUNCTION("""COMPUTED_VALUE"""),"8717323016732")</f>
        <v>8717323016732</v>
      </c>
      <c r="C12377" t="str">
        <f>IFERROR(__xludf.DUMMYFUNCTION("""COMPUTED_VALUE"""),"ECS")</f>
        <v>ECS</v>
      </c>
    </row>
    <row r="12378">
      <c r="A12378" t="str">
        <f>IFERROR(__xludf.DUMMYFUNCTION("""COMPUTED_VALUE"""),"CT012BB")</f>
        <v>CT012BB</v>
      </c>
      <c r="B12378" s="226" t="str">
        <f>IFERROR(__xludf.DUMMYFUNCTION("""COMPUTED_VALUE"""),"8717323010037")</f>
        <v>8717323010037</v>
      </c>
      <c r="C12378" t="str">
        <f>IFERROR(__xludf.DUMMYFUNCTION("""COMPUTED_VALUE"""),"ECS")</f>
        <v>ECS</v>
      </c>
    </row>
    <row r="12379">
      <c r="A12379" t="str">
        <f>IFERROR(__xludf.DUMMYFUNCTION("""COMPUTED_VALUE"""),"CT012DL")</f>
        <v>CT012DL</v>
      </c>
      <c r="B12379" s="226" t="str">
        <f>IFERROR(__xludf.DUMMYFUNCTION("""COMPUTED_VALUE"""),"8717323018286")</f>
        <v>8717323018286</v>
      </c>
      <c r="C12379" t="str">
        <f>IFERROR(__xludf.DUMMYFUNCTION("""COMPUTED_VALUE"""),"ECS")</f>
        <v>ECS</v>
      </c>
    </row>
    <row r="12380">
      <c r="A12380" t="str">
        <f>IFERROR(__xludf.DUMMYFUNCTION("""COMPUTED_VALUE"""),"CIT026B")</f>
        <v>CIT026B</v>
      </c>
      <c r="B12380" s="226" t="str">
        <f>IFERROR(__xludf.DUMMYFUNCTION("""COMPUTED_VALUE"""),"8717323000663")</f>
        <v>8717323000663</v>
      </c>
      <c r="C12380" t="str">
        <f>IFERROR(__xludf.DUMMYFUNCTION("""COMPUTED_VALUE"""),"ECS")</f>
        <v>ECS</v>
      </c>
    </row>
    <row r="12381">
      <c r="A12381" t="str">
        <f>IFERROR(__xludf.DUMMYFUNCTION("""COMPUTED_VALUE"""),"PE059B1")</f>
        <v>PE059B1</v>
      </c>
      <c r="B12381" s="226" t="str">
        <f>IFERROR(__xludf.DUMMYFUNCTION("""COMPUTED_VALUE"""),"8717323024102")</f>
        <v>8717323024102</v>
      </c>
      <c r="C12381" t="str">
        <f>IFERROR(__xludf.DUMMYFUNCTION("""COMPUTED_VALUE"""),"ECS")</f>
        <v>ECS</v>
      </c>
    </row>
    <row r="12382">
      <c r="A12382" t="str">
        <f>IFERROR(__xludf.DUMMYFUNCTION("""COMPUTED_VALUE"""),"PE059D1")</f>
        <v>PE059D1</v>
      </c>
      <c r="B12382" s="226" t="str">
        <f>IFERROR(__xludf.DUMMYFUNCTION("""COMPUTED_VALUE"""),"8717323024119")</f>
        <v>8717323024119</v>
      </c>
      <c r="C12382" t="str">
        <f>IFERROR(__xludf.DUMMYFUNCTION("""COMPUTED_VALUE"""),"ECS")</f>
        <v>ECS</v>
      </c>
    </row>
    <row r="12383">
      <c r="A12383" t="str">
        <f>IFERROR(__xludf.DUMMYFUNCTION("""COMPUTED_VALUE"""),"CT050B1")</f>
        <v>CT050B1</v>
      </c>
      <c r="B12383" s="226" t="str">
        <f>IFERROR(__xludf.DUMMYFUNCTION("""COMPUTED_VALUE"""),"8717323024065")</f>
        <v>8717323024065</v>
      </c>
      <c r="C12383" t="str">
        <f>IFERROR(__xludf.DUMMYFUNCTION("""COMPUTED_VALUE"""),"ECS")</f>
        <v>ECS</v>
      </c>
    </row>
    <row r="12384">
      <c r="A12384" t="str">
        <f>IFERROR(__xludf.DUMMYFUNCTION("""COMPUTED_VALUE"""),"CT050D1")</f>
        <v>CT050D1</v>
      </c>
      <c r="B12384" s="226" t="str">
        <f>IFERROR(__xludf.DUMMYFUNCTION("""COMPUTED_VALUE"""),"8717323024133")</f>
        <v>8717323024133</v>
      </c>
      <c r="C12384" t="str">
        <f>IFERROR(__xludf.DUMMYFUNCTION("""COMPUTED_VALUE"""),"ECS")</f>
        <v>ECS</v>
      </c>
    </row>
    <row r="12385">
      <c r="A12385" t="str">
        <f>IFERROR(__xludf.DUMMYFUNCTION("""COMPUTED_VALUE"""),"CT056B1")</f>
        <v>CT056B1</v>
      </c>
      <c r="B12385" s="226" t="str">
        <f>IFERROR(__xludf.DUMMYFUNCTION("""COMPUTED_VALUE"""),"8717323053041")</f>
        <v>8717323053041</v>
      </c>
      <c r="C12385" t="str">
        <f>IFERROR(__xludf.DUMMYFUNCTION("""COMPUTED_VALUE"""),"ECS")</f>
        <v>ECS</v>
      </c>
    </row>
    <row r="12386">
      <c r="A12386" t="str">
        <f>IFERROR(__xludf.DUMMYFUNCTION("""COMPUTED_VALUE"""),"CT056D1")</f>
        <v>CT056D1</v>
      </c>
      <c r="B12386" s="226" t="str">
        <f>IFERROR(__xludf.DUMMYFUNCTION("""COMPUTED_VALUE"""),"8717323053058")</f>
        <v>8717323053058</v>
      </c>
      <c r="C12386" t="str">
        <f>IFERROR(__xludf.DUMMYFUNCTION("""COMPUTED_VALUE"""),"ECS")</f>
        <v>ECS</v>
      </c>
    </row>
    <row r="12387">
      <c r="A12387" t="str">
        <f>IFERROR(__xludf.DUMMYFUNCTION("""COMPUTED_VALUE"""),"CT049D1")</f>
        <v>CT049D1</v>
      </c>
      <c r="B12387" s="226" t="str">
        <f>IFERROR(__xludf.DUMMYFUNCTION("""COMPUTED_VALUE"""),"8717323038703")</f>
        <v>8717323038703</v>
      </c>
      <c r="C12387" t="str">
        <f>IFERROR(__xludf.DUMMYFUNCTION("""COMPUTED_VALUE"""),"ECS")</f>
        <v>ECS</v>
      </c>
    </row>
    <row r="12388">
      <c r="A12388" t="str">
        <f>IFERROR(__xludf.DUMMYFUNCTION("""COMPUTED_VALUE"""),"CT012BB")</f>
        <v>CT012BB</v>
      </c>
      <c r="B12388" s="226" t="str">
        <f>IFERROR(__xludf.DUMMYFUNCTION("""COMPUTED_VALUE"""),"8717323010037")</f>
        <v>8717323010037</v>
      </c>
      <c r="C12388" t="str">
        <f>IFERROR(__xludf.DUMMYFUNCTION("""COMPUTED_VALUE"""),"ECS")</f>
        <v>ECS</v>
      </c>
    </row>
    <row r="12389">
      <c r="A12389" t="str">
        <f>IFERROR(__xludf.DUMMYFUNCTION("""COMPUTED_VALUE"""),"CT012DL")</f>
        <v>CT012DL</v>
      </c>
      <c r="B12389" s="226" t="str">
        <f>IFERROR(__xludf.DUMMYFUNCTION("""COMPUTED_VALUE"""),"8717323018286")</f>
        <v>8717323018286</v>
      </c>
      <c r="C12389" t="str">
        <f>IFERROR(__xludf.DUMMYFUNCTION("""COMPUTED_VALUE"""),"ECS")</f>
        <v>ECS</v>
      </c>
    </row>
    <row r="12390">
      <c r="A12390" t="str">
        <f>IFERROR(__xludf.DUMMYFUNCTION("""COMPUTED_VALUE"""),"CIT026B")</f>
        <v>CIT026B</v>
      </c>
      <c r="B12390" s="226" t="str">
        <f>IFERROR(__xludf.DUMMYFUNCTION("""COMPUTED_VALUE"""),"8717323000663")</f>
        <v>8717323000663</v>
      </c>
      <c r="C12390" t="str">
        <f>IFERROR(__xludf.DUMMYFUNCTION("""COMPUTED_VALUE"""),"ECS")</f>
        <v>ECS</v>
      </c>
    </row>
    <row r="12391">
      <c r="A12391" t="str">
        <f>IFERROR(__xludf.DUMMYFUNCTION("""COMPUTED_VALUE"""),"PE059B1")</f>
        <v>PE059B1</v>
      </c>
      <c r="B12391" s="226" t="str">
        <f>IFERROR(__xludf.DUMMYFUNCTION("""COMPUTED_VALUE"""),"8717323024102")</f>
        <v>8717323024102</v>
      </c>
      <c r="C12391" t="str">
        <f>IFERROR(__xludf.DUMMYFUNCTION("""COMPUTED_VALUE"""),"ECS")</f>
        <v>ECS</v>
      </c>
    </row>
    <row r="12392">
      <c r="A12392" t="str">
        <f>IFERROR(__xludf.DUMMYFUNCTION("""COMPUTED_VALUE"""),"PE059D1")</f>
        <v>PE059D1</v>
      </c>
      <c r="B12392" s="226" t="str">
        <f>IFERROR(__xludf.DUMMYFUNCTION("""COMPUTED_VALUE"""),"8717323024119")</f>
        <v>8717323024119</v>
      </c>
      <c r="C12392" t="str">
        <f>IFERROR(__xludf.DUMMYFUNCTION("""COMPUTED_VALUE"""),"ECS")</f>
        <v>ECS</v>
      </c>
    </row>
    <row r="12393">
      <c r="A12393" t="str">
        <f>IFERROR(__xludf.DUMMYFUNCTION("""COMPUTED_VALUE"""),"CT050B1")</f>
        <v>CT050B1</v>
      </c>
      <c r="B12393" s="226" t="str">
        <f>IFERROR(__xludf.DUMMYFUNCTION("""COMPUTED_VALUE"""),"8717323024065")</f>
        <v>8717323024065</v>
      </c>
      <c r="C12393" t="str">
        <f>IFERROR(__xludf.DUMMYFUNCTION("""COMPUTED_VALUE"""),"ECS")</f>
        <v>ECS</v>
      </c>
    </row>
    <row r="12394">
      <c r="A12394" t="str">
        <f>IFERROR(__xludf.DUMMYFUNCTION("""COMPUTED_VALUE"""),"CT050D1")</f>
        <v>CT050D1</v>
      </c>
      <c r="B12394" s="226" t="str">
        <f>IFERROR(__xludf.DUMMYFUNCTION("""COMPUTED_VALUE"""),"8717323024133")</f>
        <v>8717323024133</v>
      </c>
      <c r="C12394" t="str">
        <f>IFERROR(__xludf.DUMMYFUNCTION("""COMPUTED_VALUE"""),"ECS")</f>
        <v>ECS</v>
      </c>
    </row>
    <row r="12395">
      <c r="A12395" t="str">
        <f>IFERROR(__xludf.DUMMYFUNCTION("""COMPUTED_VALUE"""),"CT056B1")</f>
        <v>CT056B1</v>
      </c>
      <c r="B12395" s="226" t="str">
        <f>IFERROR(__xludf.DUMMYFUNCTION("""COMPUTED_VALUE"""),"8717323053041")</f>
        <v>8717323053041</v>
      </c>
      <c r="C12395" t="str">
        <f>IFERROR(__xludf.DUMMYFUNCTION("""COMPUTED_VALUE"""),"ECS")</f>
        <v>ECS</v>
      </c>
    </row>
    <row r="12396">
      <c r="A12396" t="str">
        <f>IFERROR(__xludf.DUMMYFUNCTION("""COMPUTED_VALUE"""),"CT056D1")</f>
        <v>CT056D1</v>
      </c>
      <c r="B12396" s="226" t="str">
        <f>IFERROR(__xludf.DUMMYFUNCTION("""COMPUTED_VALUE"""),"8717323053058")</f>
        <v>8717323053058</v>
      </c>
      <c r="C12396" t="str">
        <f>IFERROR(__xludf.DUMMYFUNCTION("""COMPUTED_VALUE"""),"ECS")</f>
        <v>ECS</v>
      </c>
    </row>
    <row r="12397">
      <c r="A12397" t="str">
        <f>IFERROR(__xludf.DUMMYFUNCTION("""COMPUTED_VALUE"""),"OP077B1")</f>
        <v>OP077B1</v>
      </c>
      <c r="C12397" t="str">
        <f>IFERROR(__xludf.DUMMYFUNCTION("""COMPUTED_VALUE"""),"ECS")</f>
        <v>ECS</v>
      </c>
    </row>
    <row r="12398">
      <c r="A12398" t="str">
        <f>IFERROR(__xludf.DUMMYFUNCTION("""COMPUTED_VALUE"""),"OP077D1")</f>
        <v>OP077D1</v>
      </c>
      <c r="B12398" s="226" t="str">
        <f>IFERROR(__xludf.DUMMYFUNCTION("""COMPUTED_VALUE"""),"8717323068182")</f>
        <v>8717323068182</v>
      </c>
      <c r="C12398" t="str">
        <f>IFERROR(__xludf.DUMMYFUNCTION("""COMPUTED_VALUE"""),"ECS")</f>
        <v>ECS</v>
      </c>
    </row>
    <row r="12399">
      <c r="A12399" t="str">
        <f>IFERROR(__xludf.DUMMYFUNCTION("""COMPUTED_VALUE"""),"OP077B1")</f>
        <v>OP077B1</v>
      </c>
      <c r="C12399" t="str">
        <f>IFERROR(__xludf.DUMMYFUNCTION("""COMPUTED_VALUE"""),"ECS")</f>
        <v>ECS</v>
      </c>
    </row>
    <row r="12400">
      <c r="A12400" t="str">
        <f>IFERROR(__xludf.DUMMYFUNCTION("""COMPUTED_VALUE"""),"OP077D1")</f>
        <v>OP077D1</v>
      </c>
      <c r="B12400" s="226" t="str">
        <f>IFERROR(__xludf.DUMMYFUNCTION("""COMPUTED_VALUE"""),"8717323068182")</f>
        <v>8717323068182</v>
      </c>
      <c r="C12400" t="str">
        <f>IFERROR(__xludf.DUMMYFUNCTION("""COMPUTED_VALUE"""),"ECS")</f>
        <v>ECS</v>
      </c>
    </row>
    <row r="12401">
      <c r="A12401" t="str">
        <f>IFERROR(__xludf.DUMMYFUNCTION("""COMPUTED_VALUE"""),"PE045DL")</f>
        <v>PE045DL</v>
      </c>
      <c r="B12401" s="226" t="str">
        <f>IFERROR(__xludf.DUMMYFUNCTION("""COMPUTED_VALUE"""),"8717323020593")</f>
        <v>8717323020593</v>
      </c>
      <c r="C12401" t="str">
        <f>IFERROR(__xludf.DUMMYFUNCTION("""COMPUTED_VALUE"""),"ECS")</f>
        <v>ECS</v>
      </c>
    </row>
    <row r="12402">
      <c r="A12402" t="str">
        <f>IFERROR(__xludf.DUMMYFUNCTION("""COMPUTED_VALUE"""),"PE045DL")</f>
        <v>PE045DL</v>
      </c>
      <c r="B12402" s="226" t="str">
        <f>IFERROR(__xludf.DUMMYFUNCTION("""COMPUTED_VALUE"""),"8717323020593")</f>
        <v>8717323020593</v>
      </c>
      <c r="C12402" t="str">
        <f>IFERROR(__xludf.DUMMYFUNCTION("""COMPUTED_VALUE"""),"ECS")</f>
        <v>ECS</v>
      </c>
    </row>
    <row r="12403">
      <c r="A12403" t="str">
        <f>IFERROR(__xludf.DUMMYFUNCTION("""COMPUTED_VALUE"""),"TO241BB")</f>
        <v>TO241BB</v>
      </c>
      <c r="B12403" s="226" t="str">
        <f>IFERROR(__xludf.DUMMYFUNCTION("""COMPUTED_VALUE"""),"8717323050903")</f>
        <v>8717323050903</v>
      </c>
      <c r="C12403" t="str">
        <f>IFERROR(__xludf.DUMMYFUNCTION("""COMPUTED_VALUE"""),"ECS")</f>
        <v>ECS</v>
      </c>
    </row>
    <row r="12404">
      <c r="A12404" t="str">
        <f>IFERROR(__xludf.DUMMYFUNCTION("""COMPUTED_VALUE"""),"TO241DL")</f>
        <v>TO241DL</v>
      </c>
      <c r="B12404" s="226" t="str">
        <f>IFERROR(__xludf.DUMMYFUNCTION("""COMPUTED_VALUE"""),"8717323050118")</f>
        <v>8717323050118</v>
      </c>
      <c r="C12404" t="str">
        <f>IFERROR(__xludf.DUMMYFUNCTION("""COMPUTED_VALUE"""),"ECS")</f>
        <v>ECS</v>
      </c>
    </row>
    <row r="12405">
      <c r="A12405" t="str">
        <f>IFERROR(__xludf.DUMMYFUNCTION("""COMPUTED_VALUE"""),"TO241BB")</f>
        <v>TO241BB</v>
      </c>
      <c r="B12405" s="226" t="str">
        <f>IFERROR(__xludf.DUMMYFUNCTION("""COMPUTED_VALUE"""),"8717323050903")</f>
        <v>8717323050903</v>
      </c>
      <c r="C12405" t="str">
        <f>IFERROR(__xludf.DUMMYFUNCTION("""COMPUTED_VALUE"""),"ECS")</f>
        <v>ECS</v>
      </c>
    </row>
    <row r="12406">
      <c r="A12406" t="str">
        <f>IFERROR(__xludf.DUMMYFUNCTION("""COMPUTED_VALUE"""),"TO241DL")</f>
        <v>TO241DL</v>
      </c>
      <c r="B12406" s="226" t="str">
        <f>IFERROR(__xludf.DUMMYFUNCTION("""COMPUTED_VALUE"""),"8717323050118")</f>
        <v>8717323050118</v>
      </c>
      <c r="C12406" t="str">
        <f>IFERROR(__xludf.DUMMYFUNCTION("""COMPUTED_VALUE"""),"ECS")</f>
        <v>ECS</v>
      </c>
    </row>
    <row r="12407">
      <c r="A12407" t="str">
        <f>IFERROR(__xludf.DUMMYFUNCTION("""COMPUTED_VALUE"""),"CT006BB")</f>
        <v>CT006BB</v>
      </c>
      <c r="B12407" s="226" t="str">
        <f>IFERROR(__xludf.DUMMYFUNCTION("""COMPUTED_VALUE"""),"8717323023501")</f>
        <v>8717323023501</v>
      </c>
      <c r="C12407" t="str">
        <f>IFERROR(__xludf.DUMMYFUNCTION("""COMPUTED_VALUE"""),"ECS")</f>
        <v>ECS</v>
      </c>
    </row>
    <row r="12408">
      <c r="A12408" t="str">
        <f>IFERROR(__xludf.DUMMYFUNCTION("""COMPUTED_VALUE"""),"CT006BL")</f>
        <v>CT006BL</v>
      </c>
      <c r="B12408" s="226" t="str">
        <f>IFERROR(__xludf.DUMMYFUNCTION("""COMPUTED_VALUE"""),"8717323018194")</f>
        <v>8717323018194</v>
      </c>
      <c r="C12408" t="str">
        <f>IFERROR(__xludf.DUMMYFUNCTION("""COMPUTED_VALUE"""),"ECS")</f>
        <v>ECS</v>
      </c>
    </row>
    <row r="12409">
      <c r="A12409" t="str">
        <f>IFERROR(__xludf.DUMMYFUNCTION("""COMPUTED_VALUE"""),"CT006DL")</f>
        <v>CT006DL</v>
      </c>
      <c r="B12409" s="226" t="str">
        <f>IFERROR(__xludf.DUMMYFUNCTION("""COMPUTED_VALUE"""),"8717323018200")</f>
        <v>8717323018200</v>
      </c>
      <c r="C12409" t="str">
        <f>IFERROR(__xludf.DUMMYFUNCTION("""COMPUTED_VALUE"""),"ECS")</f>
        <v>ECS</v>
      </c>
    </row>
    <row r="12410">
      <c r="A12410" t="str">
        <f>IFERROR(__xludf.DUMMYFUNCTION("""COMPUTED_VALUE"""),"CT050B1")</f>
        <v>CT050B1</v>
      </c>
      <c r="B12410" s="226" t="str">
        <f>IFERROR(__xludf.DUMMYFUNCTION("""COMPUTED_VALUE"""),"8717323024065")</f>
        <v>8717323024065</v>
      </c>
      <c r="C12410" t="str">
        <f>IFERROR(__xludf.DUMMYFUNCTION("""COMPUTED_VALUE"""),"ECS")</f>
        <v>ECS</v>
      </c>
    </row>
    <row r="12411">
      <c r="A12411" t="str">
        <f>IFERROR(__xludf.DUMMYFUNCTION("""COMPUTED_VALUE"""),"CT050D1")</f>
        <v>CT050D1</v>
      </c>
      <c r="B12411" s="226" t="str">
        <f>IFERROR(__xludf.DUMMYFUNCTION("""COMPUTED_VALUE"""),"8717323024133")</f>
        <v>8717323024133</v>
      </c>
      <c r="C12411" t="str">
        <f>IFERROR(__xludf.DUMMYFUNCTION("""COMPUTED_VALUE"""),"ECS")</f>
        <v>ECS</v>
      </c>
    </row>
    <row r="12412">
      <c r="A12412" t="str">
        <f>IFERROR(__xludf.DUMMYFUNCTION("""COMPUTED_VALUE"""),"CT006BB")</f>
        <v>CT006BB</v>
      </c>
      <c r="B12412" s="226" t="str">
        <f>IFERROR(__xludf.DUMMYFUNCTION("""COMPUTED_VALUE"""),"8717323023501")</f>
        <v>8717323023501</v>
      </c>
      <c r="C12412" t="str">
        <f>IFERROR(__xludf.DUMMYFUNCTION("""COMPUTED_VALUE"""),"ECS")</f>
        <v>ECS</v>
      </c>
    </row>
    <row r="12413">
      <c r="A12413" t="str">
        <f>IFERROR(__xludf.DUMMYFUNCTION("""COMPUTED_VALUE"""),"CT006BL")</f>
        <v>CT006BL</v>
      </c>
      <c r="B12413" s="226" t="str">
        <f>IFERROR(__xludf.DUMMYFUNCTION("""COMPUTED_VALUE"""),"8717323018194")</f>
        <v>8717323018194</v>
      </c>
      <c r="C12413" t="str">
        <f>IFERROR(__xludf.DUMMYFUNCTION("""COMPUTED_VALUE"""),"ECS")</f>
        <v>ECS</v>
      </c>
    </row>
    <row r="12414">
      <c r="A12414" t="str">
        <f>IFERROR(__xludf.DUMMYFUNCTION("""COMPUTED_VALUE"""),"CT006DL")</f>
        <v>CT006DL</v>
      </c>
      <c r="B12414" s="226" t="str">
        <f>IFERROR(__xludf.DUMMYFUNCTION("""COMPUTED_VALUE"""),"8717323018200")</f>
        <v>8717323018200</v>
      </c>
      <c r="C12414" t="str">
        <f>IFERROR(__xludf.DUMMYFUNCTION("""COMPUTED_VALUE"""),"ECS")</f>
        <v>ECS</v>
      </c>
    </row>
    <row r="12415">
      <c r="A12415" t="str">
        <f>IFERROR(__xludf.DUMMYFUNCTION("""COMPUTED_VALUE"""),"CT050B1")</f>
        <v>CT050B1</v>
      </c>
      <c r="B12415" s="226" t="str">
        <f>IFERROR(__xludf.DUMMYFUNCTION("""COMPUTED_VALUE"""),"8717323024065")</f>
        <v>8717323024065</v>
      </c>
      <c r="C12415" t="str">
        <f>IFERROR(__xludf.DUMMYFUNCTION("""COMPUTED_VALUE"""),"ECS")</f>
        <v>ECS</v>
      </c>
    </row>
    <row r="12416">
      <c r="A12416" t="str">
        <f>IFERROR(__xludf.DUMMYFUNCTION("""COMPUTED_VALUE"""),"CT050D1")</f>
        <v>CT050D1</v>
      </c>
      <c r="B12416" s="226" t="str">
        <f>IFERROR(__xludf.DUMMYFUNCTION("""COMPUTED_VALUE"""),"8717323024133")</f>
        <v>8717323024133</v>
      </c>
      <c r="C12416" t="str">
        <f>IFERROR(__xludf.DUMMYFUNCTION("""COMPUTED_VALUE"""),"ECS")</f>
        <v>ECS</v>
      </c>
    </row>
    <row r="12417">
      <c r="A12417" t="str">
        <f>IFERROR(__xludf.DUMMYFUNCTION("""COMPUTED_VALUE"""),"OP076D1")</f>
        <v>OP076D1</v>
      </c>
      <c r="B12417" s="226" t="str">
        <f>IFERROR(__xludf.DUMMYFUNCTION("""COMPUTED_VALUE"""),"8717323062760")</f>
        <v>8717323062760</v>
      </c>
      <c r="C12417" t="str">
        <f>IFERROR(__xludf.DUMMYFUNCTION("""COMPUTED_VALUE"""),"ECS")</f>
        <v>ECS</v>
      </c>
    </row>
    <row r="12418">
      <c r="A12418" t="str">
        <f>IFERROR(__xludf.DUMMYFUNCTION("""COMPUTED_VALUE"""),"OP077B1")</f>
        <v>OP077B1</v>
      </c>
      <c r="C12418" t="str">
        <f>IFERROR(__xludf.DUMMYFUNCTION("""COMPUTED_VALUE"""),"ECS")</f>
        <v>ECS</v>
      </c>
    </row>
    <row r="12419">
      <c r="A12419" t="str">
        <f>IFERROR(__xludf.DUMMYFUNCTION("""COMPUTED_VALUE"""),"OP077D1")</f>
        <v>OP077D1</v>
      </c>
      <c r="B12419" s="226" t="str">
        <f>IFERROR(__xludf.DUMMYFUNCTION("""COMPUTED_VALUE"""),"8717323068182")</f>
        <v>8717323068182</v>
      </c>
      <c r="C12419" t="str">
        <f>IFERROR(__xludf.DUMMYFUNCTION("""COMPUTED_VALUE"""),"ECS")</f>
        <v>ECS</v>
      </c>
    </row>
    <row r="12420">
      <c r="A12420" t="str">
        <f>IFERROR(__xludf.DUMMYFUNCTION("""COMPUTED_VALUE"""),"CT050B1")</f>
        <v>CT050B1</v>
      </c>
      <c r="B12420" s="226" t="str">
        <f>IFERROR(__xludf.DUMMYFUNCTION("""COMPUTED_VALUE"""),"8717323024065")</f>
        <v>8717323024065</v>
      </c>
      <c r="C12420" t="str">
        <f>IFERROR(__xludf.DUMMYFUNCTION("""COMPUTED_VALUE"""),"ECS")</f>
        <v>ECS</v>
      </c>
    </row>
    <row r="12421">
      <c r="A12421" t="str">
        <f>IFERROR(__xludf.DUMMYFUNCTION("""COMPUTED_VALUE"""),"CT050D1")</f>
        <v>CT050D1</v>
      </c>
      <c r="B12421" s="226" t="str">
        <f>IFERROR(__xludf.DUMMYFUNCTION("""COMPUTED_VALUE"""),"8717323024133")</f>
        <v>8717323024133</v>
      </c>
      <c r="C12421" t="str">
        <f>IFERROR(__xludf.DUMMYFUNCTION("""COMPUTED_VALUE"""),"ECS")</f>
        <v>ECS</v>
      </c>
    </row>
    <row r="12422">
      <c r="A12422" t="str">
        <f>IFERROR(__xludf.DUMMYFUNCTION("""COMPUTED_VALUE"""),"PE065B1")</f>
        <v>PE065B1</v>
      </c>
      <c r="B12422" s="226" t="str">
        <f>IFERROR(__xludf.DUMMYFUNCTION("""COMPUTED_VALUE"""),"8717323047286")</f>
        <v>8717323047286</v>
      </c>
      <c r="C12422" t="str">
        <f>IFERROR(__xludf.DUMMYFUNCTION("""COMPUTED_VALUE"""),"ECS")</f>
        <v>ECS</v>
      </c>
    </row>
    <row r="12423">
      <c r="A12423" t="str">
        <f>IFERROR(__xludf.DUMMYFUNCTION("""COMPUTED_VALUE"""),"PE065D1")</f>
        <v>PE065D1</v>
      </c>
      <c r="B12423" s="226" t="str">
        <f>IFERROR(__xludf.DUMMYFUNCTION("""COMPUTED_VALUE"""),"8717323047293")</f>
        <v>8717323047293</v>
      </c>
      <c r="C12423" t="str">
        <f>IFERROR(__xludf.DUMMYFUNCTION("""COMPUTED_VALUE"""),"ECS")</f>
        <v>ECS</v>
      </c>
    </row>
    <row r="12424">
      <c r="A12424" t="str">
        <f>IFERROR(__xludf.DUMMYFUNCTION("""COMPUTED_VALUE"""),"CT050B1")</f>
        <v>CT050B1</v>
      </c>
      <c r="B12424" s="226" t="str">
        <f>IFERROR(__xludf.DUMMYFUNCTION("""COMPUTED_VALUE"""),"8717323024065")</f>
        <v>8717323024065</v>
      </c>
      <c r="C12424" t="str">
        <f>IFERROR(__xludf.DUMMYFUNCTION("""COMPUTED_VALUE"""),"ECS")</f>
        <v>ECS</v>
      </c>
    </row>
    <row r="12425">
      <c r="A12425" t="str">
        <f>IFERROR(__xludf.DUMMYFUNCTION("""COMPUTED_VALUE"""),"CT050D1")</f>
        <v>CT050D1</v>
      </c>
      <c r="B12425" s="226" t="str">
        <f>IFERROR(__xludf.DUMMYFUNCTION("""COMPUTED_VALUE"""),"8717323024133")</f>
        <v>8717323024133</v>
      </c>
      <c r="C12425" t="str">
        <f>IFERROR(__xludf.DUMMYFUNCTION("""COMPUTED_VALUE"""),"ECS")</f>
        <v>ECS</v>
      </c>
    </row>
    <row r="12426">
      <c r="A12426" t="str">
        <f>IFERROR(__xludf.DUMMYFUNCTION("""COMPUTED_VALUE"""),"CT020BB")</f>
        <v>CT020BB</v>
      </c>
      <c r="B12426" s="226" t="str">
        <f>IFERROR(__xludf.DUMMYFUNCTION("""COMPUTED_VALUE"""),"8717323010631")</f>
        <v>8717323010631</v>
      </c>
      <c r="C12426" t="str">
        <f>IFERROR(__xludf.DUMMYFUNCTION("""COMPUTED_VALUE"""),"ECS")</f>
        <v>ECS</v>
      </c>
    </row>
    <row r="12427">
      <c r="A12427" t="str">
        <f>IFERROR(__xludf.DUMMYFUNCTION("""COMPUTED_VALUE"""),"CT020DB")</f>
        <v>CT020DB</v>
      </c>
      <c r="B12427" s="226" t="str">
        <f>IFERROR(__xludf.DUMMYFUNCTION("""COMPUTED_VALUE"""),"8717323010648")</f>
        <v>8717323010648</v>
      </c>
      <c r="C12427" t="str">
        <f>IFERROR(__xludf.DUMMYFUNCTION("""COMPUTED_VALUE"""),"ECS")</f>
        <v>ECS</v>
      </c>
    </row>
    <row r="12428">
      <c r="A12428" t="str">
        <f>IFERROR(__xludf.DUMMYFUNCTION("""COMPUTED_VALUE"""),"CT050B1")</f>
        <v>CT050B1</v>
      </c>
      <c r="B12428" s="226" t="str">
        <f>IFERROR(__xludf.DUMMYFUNCTION("""COMPUTED_VALUE"""),"8717323024065")</f>
        <v>8717323024065</v>
      </c>
      <c r="C12428" t="str">
        <f>IFERROR(__xludf.DUMMYFUNCTION("""COMPUTED_VALUE"""),"ECS")</f>
        <v>ECS</v>
      </c>
    </row>
    <row r="12429">
      <c r="A12429" t="str">
        <f>IFERROR(__xludf.DUMMYFUNCTION("""COMPUTED_VALUE"""),"CT050D1")</f>
        <v>CT050D1</v>
      </c>
      <c r="B12429" s="226" t="str">
        <f>IFERROR(__xludf.DUMMYFUNCTION("""COMPUTED_VALUE"""),"8717323024133")</f>
        <v>8717323024133</v>
      </c>
      <c r="C12429" t="str">
        <f>IFERROR(__xludf.DUMMYFUNCTION("""COMPUTED_VALUE"""),"ECS")</f>
        <v>ECS</v>
      </c>
    </row>
    <row r="12430">
      <c r="A12430" t="str">
        <f>IFERROR(__xludf.DUMMYFUNCTION("""COMPUTED_VALUE"""),"CT006BB")</f>
        <v>CT006BB</v>
      </c>
      <c r="B12430" s="226" t="str">
        <f>IFERROR(__xludf.DUMMYFUNCTION("""COMPUTED_VALUE"""),"8717323023501")</f>
        <v>8717323023501</v>
      </c>
      <c r="C12430" t="str">
        <f>IFERROR(__xludf.DUMMYFUNCTION("""COMPUTED_VALUE"""),"ECS")</f>
        <v>ECS</v>
      </c>
    </row>
    <row r="12431">
      <c r="A12431" t="str">
        <f>IFERROR(__xludf.DUMMYFUNCTION("""COMPUTED_VALUE"""),"CT006BL")</f>
        <v>CT006BL</v>
      </c>
      <c r="B12431" s="226" t="str">
        <f>IFERROR(__xludf.DUMMYFUNCTION("""COMPUTED_VALUE"""),"8717323018194")</f>
        <v>8717323018194</v>
      </c>
      <c r="C12431" t="str">
        <f>IFERROR(__xludf.DUMMYFUNCTION("""COMPUTED_VALUE"""),"ECS")</f>
        <v>ECS</v>
      </c>
    </row>
    <row r="12432">
      <c r="A12432" t="str">
        <f>IFERROR(__xludf.DUMMYFUNCTION("""COMPUTED_VALUE"""),"CT006DL")</f>
        <v>CT006DL</v>
      </c>
      <c r="B12432" s="226" t="str">
        <f>IFERROR(__xludf.DUMMYFUNCTION("""COMPUTED_VALUE"""),"8717323018200")</f>
        <v>8717323018200</v>
      </c>
      <c r="C12432" t="str">
        <f>IFERROR(__xludf.DUMMYFUNCTION("""COMPUTED_VALUE"""),"ECS")</f>
        <v>ECS</v>
      </c>
    </row>
    <row r="12433">
      <c r="A12433" t="str">
        <f>IFERROR(__xludf.DUMMYFUNCTION("""COMPUTED_VALUE"""),"PE059B1")</f>
        <v>PE059B1</v>
      </c>
      <c r="B12433" s="226" t="str">
        <f>IFERROR(__xludf.DUMMYFUNCTION("""COMPUTED_VALUE"""),"8717323024102")</f>
        <v>8717323024102</v>
      </c>
      <c r="C12433" t="str">
        <f>IFERROR(__xludf.DUMMYFUNCTION("""COMPUTED_VALUE"""),"ECS")</f>
        <v>ECS</v>
      </c>
    </row>
    <row r="12434">
      <c r="A12434" t="str">
        <f>IFERROR(__xludf.DUMMYFUNCTION("""COMPUTED_VALUE"""),"PE059D1")</f>
        <v>PE059D1</v>
      </c>
      <c r="B12434" s="226" t="str">
        <f>IFERROR(__xludf.DUMMYFUNCTION("""COMPUTED_VALUE"""),"8717323024119")</f>
        <v>8717323024119</v>
      </c>
      <c r="C12434" t="str">
        <f>IFERROR(__xludf.DUMMYFUNCTION("""COMPUTED_VALUE"""),"ECS")</f>
        <v>ECS</v>
      </c>
    </row>
    <row r="12435">
      <c r="A12435" t="str">
        <f>IFERROR(__xludf.DUMMYFUNCTION("""COMPUTED_VALUE"""),"PE059B1")</f>
        <v>PE059B1</v>
      </c>
      <c r="B12435" s="226" t="str">
        <f>IFERROR(__xludf.DUMMYFUNCTION("""COMPUTED_VALUE"""),"8717323024102")</f>
        <v>8717323024102</v>
      </c>
      <c r="C12435" t="str">
        <f>IFERROR(__xludf.DUMMYFUNCTION("""COMPUTED_VALUE"""),"ECS")</f>
        <v>ECS</v>
      </c>
    </row>
    <row r="12436">
      <c r="A12436" t="str">
        <f>IFERROR(__xludf.DUMMYFUNCTION("""COMPUTED_VALUE"""),"PE059D1")</f>
        <v>PE059D1</v>
      </c>
      <c r="B12436" s="226" t="str">
        <f>IFERROR(__xludf.DUMMYFUNCTION("""COMPUTED_VALUE"""),"8717323024119")</f>
        <v>8717323024119</v>
      </c>
      <c r="C12436" t="str">
        <f>IFERROR(__xludf.DUMMYFUNCTION("""COMPUTED_VALUE"""),"ECS")</f>
        <v>ECS</v>
      </c>
    </row>
    <row r="12437">
      <c r="A12437" t="str">
        <f>IFERROR(__xludf.DUMMYFUNCTION("""COMPUTED_VALUE"""),"PE059B1")</f>
        <v>PE059B1</v>
      </c>
      <c r="B12437" s="226" t="str">
        <f>IFERROR(__xludf.DUMMYFUNCTION("""COMPUTED_VALUE"""),"8717323024102")</f>
        <v>8717323024102</v>
      </c>
      <c r="C12437" t="str">
        <f>IFERROR(__xludf.DUMMYFUNCTION("""COMPUTED_VALUE"""),"ECS")</f>
        <v>ECS</v>
      </c>
    </row>
    <row r="12438">
      <c r="A12438" t="str">
        <f>IFERROR(__xludf.DUMMYFUNCTION("""COMPUTED_VALUE"""),"PE059D1")</f>
        <v>PE059D1</v>
      </c>
      <c r="B12438" s="226" t="str">
        <f>IFERROR(__xludf.DUMMYFUNCTION("""COMPUTED_VALUE"""),"8717323024119")</f>
        <v>8717323024119</v>
      </c>
      <c r="C12438" t="str">
        <f>IFERROR(__xludf.DUMMYFUNCTION("""COMPUTED_VALUE"""),"ECS")</f>
        <v>ECS</v>
      </c>
    </row>
    <row r="12439">
      <c r="A12439" t="str">
        <f>IFERROR(__xludf.DUMMYFUNCTION("""COMPUTED_VALUE"""),"CT050B1")</f>
        <v>CT050B1</v>
      </c>
      <c r="B12439" s="226" t="str">
        <f>IFERROR(__xludf.DUMMYFUNCTION("""COMPUTED_VALUE"""),"8717323024065")</f>
        <v>8717323024065</v>
      </c>
      <c r="C12439" t="str">
        <f>IFERROR(__xludf.DUMMYFUNCTION("""COMPUTED_VALUE"""),"ECS")</f>
        <v>ECS</v>
      </c>
    </row>
    <row r="12440">
      <c r="A12440" t="str">
        <f>IFERROR(__xludf.DUMMYFUNCTION("""COMPUTED_VALUE"""),"CT050D1")</f>
        <v>CT050D1</v>
      </c>
      <c r="B12440" s="226" t="str">
        <f>IFERROR(__xludf.DUMMYFUNCTION("""COMPUTED_VALUE"""),"8717323024133")</f>
        <v>8717323024133</v>
      </c>
      <c r="C12440" t="str">
        <f>IFERROR(__xludf.DUMMYFUNCTION("""COMPUTED_VALUE"""),"ECS")</f>
        <v>ECS</v>
      </c>
    </row>
    <row r="12441">
      <c r="A12441" t="str">
        <f>IFERROR(__xludf.DUMMYFUNCTION("""COMPUTED_VALUE"""),"MT114BH")</f>
        <v>MT114BH</v>
      </c>
      <c r="B12441" s="226" t="str">
        <f>IFERROR(__xludf.DUMMYFUNCTION("""COMPUTED_VALUE"""),"8717323026540")</f>
        <v>8717323026540</v>
      </c>
      <c r="C12441" t="str">
        <f>IFERROR(__xludf.DUMMYFUNCTION("""COMPUTED_VALUE"""),"ECS")</f>
        <v>ECS</v>
      </c>
    </row>
    <row r="12442">
      <c r="A12442" t="str">
        <f>IFERROR(__xludf.DUMMYFUNCTION("""COMPUTED_VALUE"""),"MT114DH")</f>
        <v>MT114DH</v>
      </c>
      <c r="B12442" s="226" t="str">
        <f>IFERROR(__xludf.DUMMYFUNCTION("""COMPUTED_VALUE"""),"8717323029305")</f>
        <v>8717323029305</v>
      </c>
      <c r="C12442" t="str">
        <f>IFERROR(__xludf.DUMMYFUNCTION("""COMPUTED_VALUE"""),"ECS")</f>
        <v>ECS</v>
      </c>
    </row>
    <row r="12443">
      <c r="A12443" t="str">
        <f>IFERROR(__xludf.DUMMYFUNCTION("""COMPUTED_VALUE"""),"PE065B1")</f>
        <v>PE065B1</v>
      </c>
      <c r="B12443" s="226" t="str">
        <f>IFERROR(__xludf.DUMMYFUNCTION("""COMPUTED_VALUE"""),"8717323047286")</f>
        <v>8717323047286</v>
      </c>
      <c r="C12443" t="str">
        <f>IFERROR(__xludf.DUMMYFUNCTION("""COMPUTED_VALUE"""),"ECS")</f>
        <v>ECS</v>
      </c>
    </row>
    <row r="12444">
      <c r="A12444" t="str">
        <f>IFERROR(__xludf.DUMMYFUNCTION("""COMPUTED_VALUE"""),"PE065D1")</f>
        <v>PE065D1</v>
      </c>
      <c r="B12444" s="226" t="str">
        <f>IFERROR(__xludf.DUMMYFUNCTION("""COMPUTED_VALUE"""),"8717323047293")</f>
        <v>8717323047293</v>
      </c>
      <c r="C12444" t="str">
        <f>IFERROR(__xludf.DUMMYFUNCTION("""COMPUTED_VALUE"""),"ECS")</f>
        <v>ECS</v>
      </c>
    </row>
    <row r="12445">
      <c r="A12445" t="str">
        <f>IFERROR(__xludf.DUMMYFUNCTION("""COMPUTED_VALUE"""),"PE059B1")</f>
        <v>PE059B1</v>
      </c>
      <c r="B12445" s="226" t="str">
        <f>IFERROR(__xludf.DUMMYFUNCTION("""COMPUTED_VALUE"""),"8717323024102")</f>
        <v>8717323024102</v>
      </c>
      <c r="C12445" t="str">
        <f>IFERROR(__xludf.DUMMYFUNCTION("""COMPUTED_VALUE"""),"ECS")</f>
        <v>ECS</v>
      </c>
    </row>
    <row r="12446">
      <c r="A12446" t="str">
        <f>IFERROR(__xludf.DUMMYFUNCTION("""COMPUTED_VALUE"""),"PE059D1")</f>
        <v>PE059D1</v>
      </c>
      <c r="B12446" s="226" t="str">
        <f>IFERROR(__xludf.DUMMYFUNCTION("""COMPUTED_VALUE"""),"8717323024119")</f>
        <v>8717323024119</v>
      </c>
      <c r="C12446" t="str">
        <f>IFERROR(__xludf.DUMMYFUNCTION("""COMPUTED_VALUE"""),"ECS")</f>
        <v>ECS</v>
      </c>
    </row>
    <row r="12447">
      <c r="A12447" t="str">
        <f>IFERROR(__xludf.DUMMYFUNCTION("""COMPUTED_VALUE"""),"CT050B1")</f>
        <v>CT050B1</v>
      </c>
      <c r="B12447" s="226" t="str">
        <f>IFERROR(__xludf.DUMMYFUNCTION("""COMPUTED_VALUE"""),"8717323024065")</f>
        <v>8717323024065</v>
      </c>
      <c r="C12447" t="str">
        <f>IFERROR(__xludf.DUMMYFUNCTION("""COMPUTED_VALUE"""),"ECS")</f>
        <v>ECS</v>
      </c>
    </row>
    <row r="12448">
      <c r="A12448" t="str">
        <f>IFERROR(__xludf.DUMMYFUNCTION("""COMPUTED_VALUE"""),"CT050D1")</f>
        <v>CT050D1</v>
      </c>
      <c r="B12448" s="226" t="str">
        <f>IFERROR(__xludf.DUMMYFUNCTION("""COMPUTED_VALUE"""),"8717323024133")</f>
        <v>8717323024133</v>
      </c>
      <c r="C12448" t="str">
        <f>IFERROR(__xludf.DUMMYFUNCTION("""COMPUTED_VALUE"""),"ECS")</f>
        <v>ECS</v>
      </c>
    </row>
    <row r="12449">
      <c r="A12449" t="str">
        <f>IFERROR(__xludf.DUMMYFUNCTION("""COMPUTED_VALUE"""),"CT052B1")</f>
        <v>CT052B1</v>
      </c>
      <c r="B12449" s="226" t="str">
        <f>IFERROR(__xludf.DUMMYFUNCTION("""COMPUTED_VALUE"""),"8717323047903")</f>
        <v>8717323047903</v>
      </c>
      <c r="C12449" t="str">
        <f>IFERROR(__xludf.DUMMYFUNCTION("""COMPUTED_VALUE"""),"ECS")</f>
        <v>ECS</v>
      </c>
    </row>
    <row r="12450">
      <c r="A12450" t="str">
        <f>IFERROR(__xludf.DUMMYFUNCTION("""COMPUTED_VALUE"""),"CT052D1")</f>
        <v>CT052D1</v>
      </c>
      <c r="B12450" s="226" t="str">
        <f>IFERROR(__xludf.DUMMYFUNCTION("""COMPUTED_VALUE"""),"8717323047910")</f>
        <v>8717323047910</v>
      </c>
      <c r="C12450" t="str">
        <f>IFERROR(__xludf.DUMMYFUNCTION("""COMPUTED_VALUE"""),"ECS")</f>
        <v>ECS</v>
      </c>
    </row>
    <row r="12451">
      <c r="A12451" t="str">
        <f>IFERROR(__xludf.DUMMYFUNCTION("""COMPUTED_VALUE"""),"CT051B1")</f>
        <v>CT051B1</v>
      </c>
      <c r="B12451" s="226" t="str">
        <f>IFERROR(__xludf.DUMMYFUNCTION("""COMPUTED_VALUE"""),"8717323024560")</f>
        <v>8717323024560</v>
      </c>
      <c r="C12451" t="str">
        <f>IFERROR(__xludf.DUMMYFUNCTION("""COMPUTED_VALUE"""),"ECS")</f>
        <v>ECS</v>
      </c>
    </row>
    <row r="12452">
      <c r="A12452" t="str">
        <f>IFERROR(__xludf.DUMMYFUNCTION("""COMPUTED_VALUE"""),"CT051D1")</f>
        <v>CT051D1</v>
      </c>
      <c r="B12452" s="226" t="str">
        <f>IFERROR(__xludf.DUMMYFUNCTION("""COMPUTED_VALUE"""),"8717323024577")</f>
        <v>8717323024577</v>
      </c>
      <c r="C12452" t="str">
        <f>IFERROR(__xludf.DUMMYFUNCTION("""COMPUTED_VALUE"""),"ECS")</f>
        <v>ECS</v>
      </c>
    </row>
    <row r="12453">
      <c r="A12453" t="str">
        <f>IFERROR(__xludf.DUMMYFUNCTION("""COMPUTED_VALUE"""),"CT051B1")</f>
        <v>CT051B1</v>
      </c>
      <c r="B12453" s="226" t="str">
        <f>IFERROR(__xludf.DUMMYFUNCTION("""COMPUTED_VALUE"""),"8717323024560")</f>
        <v>8717323024560</v>
      </c>
      <c r="C12453" t="str">
        <f>IFERROR(__xludf.DUMMYFUNCTION("""COMPUTED_VALUE"""),"ECS")</f>
        <v>ECS</v>
      </c>
    </row>
    <row r="12454">
      <c r="A12454" t="str">
        <f>IFERROR(__xludf.DUMMYFUNCTION("""COMPUTED_VALUE"""),"CT051D1")</f>
        <v>CT051D1</v>
      </c>
      <c r="B12454" s="226" t="str">
        <f>IFERROR(__xludf.DUMMYFUNCTION("""COMPUTED_VALUE"""),"8717323024577")</f>
        <v>8717323024577</v>
      </c>
      <c r="C12454" t="str">
        <f>IFERROR(__xludf.DUMMYFUNCTION("""COMPUTED_VALUE"""),"ECS")</f>
        <v>ECS</v>
      </c>
    </row>
    <row r="12455">
      <c r="A12455" t="str">
        <f>IFERROR(__xludf.DUMMYFUNCTION("""COMPUTED_VALUE"""),"PE059B1")</f>
        <v>PE059B1</v>
      </c>
      <c r="B12455" s="226" t="str">
        <f>IFERROR(__xludf.DUMMYFUNCTION("""COMPUTED_VALUE"""),"8717323024102")</f>
        <v>8717323024102</v>
      </c>
      <c r="C12455" t="str">
        <f>IFERROR(__xludf.DUMMYFUNCTION("""COMPUTED_VALUE"""),"ECS")</f>
        <v>ECS</v>
      </c>
    </row>
    <row r="12456">
      <c r="A12456" t="str">
        <f>IFERROR(__xludf.DUMMYFUNCTION("""COMPUTED_VALUE"""),"PE059D1")</f>
        <v>PE059D1</v>
      </c>
      <c r="B12456" s="226" t="str">
        <f>IFERROR(__xludf.DUMMYFUNCTION("""COMPUTED_VALUE"""),"8717323024119")</f>
        <v>8717323024119</v>
      </c>
      <c r="C12456" t="str">
        <f>IFERROR(__xludf.DUMMYFUNCTION("""COMPUTED_VALUE"""),"ECS")</f>
        <v>ECS</v>
      </c>
    </row>
    <row r="12457">
      <c r="A12457" t="str">
        <f>IFERROR(__xludf.DUMMYFUNCTION("""COMPUTED_VALUE"""),"CT050B1")</f>
        <v>CT050B1</v>
      </c>
      <c r="B12457" s="226" t="str">
        <f>IFERROR(__xludf.DUMMYFUNCTION("""COMPUTED_VALUE"""),"8717323024065")</f>
        <v>8717323024065</v>
      </c>
      <c r="C12457" t="str">
        <f>IFERROR(__xludf.DUMMYFUNCTION("""COMPUTED_VALUE"""),"ECS")</f>
        <v>ECS</v>
      </c>
    </row>
    <row r="12458">
      <c r="A12458" t="str">
        <f>IFERROR(__xludf.DUMMYFUNCTION("""COMPUTED_VALUE"""),"CT050D1")</f>
        <v>CT050D1</v>
      </c>
      <c r="B12458" s="226" t="str">
        <f>IFERROR(__xludf.DUMMYFUNCTION("""COMPUTED_VALUE"""),"8717323024133")</f>
        <v>8717323024133</v>
      </c>
      <c r="C12458" t="str">
        <f>IFERROR(__xludf.DUMMYFUNCTION("""COMPUTED_VALUE"""),"ECS")</f>
        <v>ECS</v>
      </c>
    </row>
    <row r="12459">
      <c r="A12459" t="str">
        <f>IFERROR(__xludf.DUMMYFUNCTION("""COMPUTED_VALUE"""),"CT052B1")</f>
        <v>CT052B1</v>
      </c>
      <c r="B12459" s="226" t="str">
        <f>IFERROR(__xludf.DUMMYFUNCTION("""COMPUTED_VALUE"""),"8717323047903")</f>
        <v>8717323047903</v>
      </c>
      <c r="C12459" t="str">
        <f>IFERROR(__xludf.DUMMYFUNCTION("""COMPUTED_VALUE"""),"ECS")</f>
        <v>ECS</v>
      </c>
    </row>
    <row r="12460">
      <c r="A12460" t="str">
        <f>IFERROR(__xludf.DUMMYFUNCTION("""COMPUTED_VALUE"""),"CT052D1")</f>
        <v>CT052D1</v>
      </c>
      <c r="B12460" s="226" t="str">
        <f>IFERROR(__xludf.DUMMYFUNCTION("""COMPUTED_VALUE"""),"8717323047910")</f>
        <v>8717323047910</v>
      </c>
      <c r="C12460" t="str">
        <f>IFERROR(__xludf.DUMMYFUNCTION("""COMPUTED_VALUE"""),"ECS")</f>
        <v>ECS</v>
      </c>
    </row>
    <row r="12461">
      <c r="A12461" t="str">
        <f>IFERROR(__xludf.DUMMYFUNCTION("""COMPUTED_VALUE"""),"CT052B1")</f>
        <v>CT052B1</v>
      </c>
      <c r="B12461" s="226" t="str">
        <f>IFERROR(__xludf.DUMMYFUNCTION("""COMPUTED_VALUE"""),"8717323047903")</f>
        <v>8717323047903</v>
      </c>
      <c r="C12461" t="str">
        <f>IFERROR(__xludf.DUMMYFUNCTION("""COMPUTED_VALUE"""),"ECS")</f>
        <v>ECS</v>
      </c>
    </row>
    <row r="12462">
      <c r="A12462" t="str">
        <f>IFERROR(__xludf.DUMMYFUNCTION("""COMPUTED_VALUE"""),"CT052D1")</f>
        <v>CT052D1</v>
      </c>
      <c r="B12462" s="226" t="str">
        <f>IFERROR(__xludf.DUMMYFUNCTION("""COMPUTED_VALUE"""),"8717323047910")</f>
        <v>8717323047910</v>
      </c>
      <c r="C12462" t="str">
        <f>IFERROR(__xludf.DUMMYFUNCTION("""COMPUTED_VALUE"""),"ECS")</f>
        <v>ECS</v>
      </c>
    </row>
    <row r="12463">
      <c r="A12463" t="str">
        <f>IFERROR(__xludf.DUMMYFUNCTION("""COMPUTED_VALUE"""),"CT009BB")</f>
        <v>CT009BB</v>
      </c>
      <c r="B12463" s="226" t="str">
        <f>IFERROR(__xludf.DUMMYFUNCTION("""COMPUTED_VALUE"""),"8717323000922")</f>
        <v>8717323000922</v>
      </c>
      <c r="C12463" t="str">
        <f>IFERROR(__xludf.DUMMYFUNCTION("""COMPUTED_VALUE"""),"ECS")</f>
        <v>ECS</v>
      </c>
    </row>
    <row r="12464">
      <c r="A12464" t="str">
        <f>IFERROR(__xludf.DUMMYFUNCTION("""COMPUTED_VALUE"""),"CT009DB")</f>
        <v>CT009DB</v>
      </c>
      <c r="B12464" s="226" t="str">
        <f>IFERROR(__xludf.DUMMYFUNCTION("""COMPUTED_VALUE"""),"8717323000939")</f>
        <v>8717323000939</v>
      </c>
      <c r="C12464" t="str">
        <f>IFERROR(__xludf.DUMMYFUNCTION("""COMPUTED_VALUE"""),"ECS")</f>
        <v>ECS</v>
      </c>
    </row>
    <row r="12465">
      <c r="A12465" t="str">
        <f>IFERROR(__xludf.DUMMYFUNCTION("""COMPUTED_VALUE"""),"CT010BB")</f>
        <v>CT010BB</v>
      </c>
      <c r="B12465" s="226" t="str">
        <f>IFERROR(__xludf.DUMMYFUNCTION("""COMPUTED_VALUE"""),"8717323000946")</f>
        <v>8717323000946</v>
      </c>
      <c r="C12465" t="str">
        <f>IFERROR(__xludf.DUMMYFUNCTION("""COMPUTED_VALUE"""),"ECS")</f>
        <v>ECS</v>
      </c>
    </row>
    <row r="12466">
      <c r="A12466" t="str">
        <f>IFERROR(__xludf.DUMMYFUNCTION("""COMPUTED_VALUE"""),"PE084B1")</f>
        <v>PE084B1</v>
      </c>
      <c r="B12466" s="226" t="str">
        <f>IFERROR(__xludf.DUMMYFUNCTION("""COMPUTED_VALUE"""),"8717323066409")</f>
        <v>8717323066409</v>
      </c>
      <c r="C12466" t="str">
        <f>IFERROR(__xludf.DUMMYFUNCTION("""COMPUTED_VALUE"""),"ECS")</f>
        <v>ECS</v>
      </c>
    </row>
    <row r="12467">
      <c r="A12467" t="str">
        <f>IFERROR(__xludf.DUMMYFUNCTION("""COMPUTED_VALUE"""),"PE084D1")</f>
        <v>PE084D1</v>
      </c>
      <c r="B12467" s="226" t="str">
        <f>IFERROR(__xludf.DUMMYFUNCTION("""COMPUTED_VALUE"""),"8717323066416")</f>
        <v>8717323066416</v>
      </c>
      <c r="C12467" t="str">
        <f>IFERROR(__xludf.DUMMYFUNCTION("""COMPUTED_VALUE"""),"ECS")</f>
        <v>ECS</v>
      </c>
    </row>
    <row r="12468">
      <c r="A12468" t="str">
        <f>IFERROR(__xludf.DUMMYFUNCTION("""COMPUTED_VALUE"""),"CT047B1")</f>
        <v>CT047B1</v>
      </c>
      <c r="B12468" s="226" t="str">
        <f>IFERROR(__xludf.DUMMYFUNCTION("""COMPUTED_VALUE"""),"8717323026038")</f>
        <v>8717323026038</v>
      </c>
      <c r="C12468" t="str">
        <f>IFERROR(__xludf.DUMMYFUNCTION("""COMPUTED_VALUE"""),"ECS")</f>
        <v>ECS</v>
      </c>
    </row>
    <row r="12469">
      <c r="A12469" t="str">
        <f>IFERROR(__xludf.DUMMYFUNCTION("""COMPUTED_VALUE"""),"CT047D1")</f>
        <v>CT047D1</v>
      </c>
      <c r="B12469" s="226" t="str">
        <f>IFERROR(__xludf.DUMMYFUNCTION("""COMPUTED_VALUE"""),"8717323023525")</f>
        <v>8717323023525</v>
      </c>
      <c r="C12469" t="str">
        <f>IFERROR(__xludf.DUMMYFUNCTION("""COMPUTED_VALUE"""),"ECS")</f>
        <v>ECS</v>
      </c>
    </row>
    <row r="12470">
      <c r="A12470" t="str">
        <f>IFERROR(__xludf.DUMMYFUNCTION("""COMPUTED_VALUE"""),"PE059B1")</f>
        <v>PE059B1</v>
      </c>
      <c r="B12470" s="226" t="str">
        <f>IFERROR(__xludf.DUMMYFUNCTION("""COMPUTED_VALUE"""),"8717323024102")</f>
        <v>8717323024102</v>
      </c>
      <c r="C12470" t="str">
        <f>IFERROR(__xludf.DUMMYFUNCTION("""COMPUTED_VALUE"""),"ECS")</f>
        <v>ECS</v>
      </c>
    </row>
    <row r="12471">
      <c r="A12471" t="str">
        <f>IFERROR(__xludf.DUMMYFUNCTION("""COMPUTED_VALUE"""),"PE059D1")</f>
        <v>PE059D1</v>
      </c>
      <c r="B12471" s="226" t="str">
        <f>IFERROR(__xludf.DUMMYFUNCTION("""COMPUTED_VALUE"""),"8717323024119")</f>
        <v>8717323024119</v>
      </c>
      <c r="C12471" t="str">
        <f>IFERROR(__xludf.DUMMYFUNCTION("""COMPUTED_VALUE"""),"ECS")</f>
        <v>ECS</v>
      </c>
    </row>
    <row r="12472">
      <c r="A12472" t="str">
        <f>IFERROR(__xludf.DUMMYFUNCTION("""COMPUTED_VALUE"""),"PE059B1")</f>
        <v>PE059B1</v>
      </c>
      <c r="B12472" s="226" t="str">
        <f>IFERROR(__xludf.DUMMYFUNCTION("""COMPUTED_VALUE"""),"8717323024102")</f>
        <v>8717323024102</v>
      </c>
      <c r="C12472" t="str">
        <f>IFERROR(__xludf.DUMMYFUNCTION("""COMPUTED_VALUE"""),"ECS")</f>
        <v>ECS</v>
      </c>
    </row>
    <row r="12473">
      <c r="A12473" t="str">
        <f>IFERROR(__xludf.DUMMYFUNCTION("""COMPUTED_VALUE"""),"PE059D1")</f>
        <v>PE059D1</v>
      </c>
      <c r="B12473" s="226" t="str">
        <f>IFERROR(__xludf.DUMMYFUNCTION("""COMPUTED_VALUE"""),"8717323024119")</f>
        <v>8717323024119</v>
      </c>
      <c r="C12473" t="str">
        <f>IFERROR(__xludf.DUMMYFUNCTION("""COMPUTED_VALUE"""),"ECS")</f>
        <v>ECS</v>
      </c>
    </row>
    <row r="12474">
      <c r="A12474" t="str">
        <f>IFERROR(__xludf.DUMMYFUNCTION("""COMPUTED_VALUE"""),"CT047B1")</f>
        <v>CT047B1</v>
      </c>
      <c r="B12474" s="226" t="str">
        <f>IFERROR(__xludf.DUMMYFUNCTION("""COMPUTED_VALUE"""),"8717323026038")</f>
        <v>8717323026038</v>
      </c>
      <c r="C12474" t="str">
        <f>IFERROR(__xludf.DUMMYFUNCTION("""COMPUTED_VALUE"""),"ECS")</f>
        <v>ECS</v>
      </c>
    </row>
    <row r="12475">
      <c r="A12475" t="str">
        <f>IFERROR(__xludf.DUMMYFUNCTION("""COMPUTED_VALUE"""),"CT047D1")</f>
        <v>CT047D1</v>
      </c>
      <c r="B12475" s="226" t="str">
        <f>IFERROR(__xludf.DUMMYFUNCTION("""COMPUTED_VALUE"""),"8717323023525")</f>
        <v>8717323023525</v>
      </c>
      <c r="C12475" t="str">
        <f>IFERROR(__xludf.DUMMYFUNCTION("""COMPUTED_VALUE"""),"ECS")</f>
        <v>ECS</v>
      </c>
    </row>
    <row r="12476">
      <c r="A12476" t="str">
        <f>IFERROR(__xludf.DUMMYFUNCTION("""COMPUTED_VALUE"""),"CT046B1")</f>
        <v>CT046B1</v>
      </c>
      <c r="B12476" s="226" t="str">
        <f>IFERROR(__xludf.DUMMYFUNCTION("""COMPUTED_VALUE"""),"8717323023815")</f>
        <v>8717323023815</v>
      </c>
      <c r="C12476" t="str">
        <f>IFERROR(__xludf.DUMMYFUNCTION("""COMPUTED_VALUE"""),"ECS")</f>
        <v>ECS</v>
      </c>
    </row>
    <row r="12477">
      <c r="A12477" t="str">
        <f>IFERROR(__xludf.DUMMYFUNCTION("""COMPUTED_VALUE"""),"CT046D1")</f>
        <v>CT046D1</v>
      </c>
      <c r="B12477" s="226" t="str">
        <f>IFERROR(__xludf.DUMMYFUNCTION("""COMPUTED_VALUE"""),"8717323017340")</f>
        <v>8717323017340</v>
      </c>
      <c r="C12477" t="str">
        <f>IFERROR(__xludf.DUMMYFUNCTION("""COMPUTED_VALUE"""),"ECS")</f>
        <v>ECS</v>
      </c>
    </row>
    <row r="12478">
      <c r="A12478" t="str">
        <f>IFERROR(__xludf.DUMMYFUNCTION("""COMPUTED_VALUE"""),"PE059B1")</f>
        <v>PE059B1</v>
      </c>
      <c r="B12478" s="226" t="str">
        <f>IFERROR(__xludf.DUMMYFUNCTION("""COMPUTED_VALUE"""),"8717323024102")</f>
        <v>8717323024102</v>
      </c>
      <c r="C12478" t="str">
        <f>IFERROR(__xludf.DUMMYFUNCTION("""COMPUTED_VALUE"""),"ECS")</f>
        <v>ECS</v>
      </c>
    </row>
    <row r="12479">
      <c r="A12479" t="str">
        <f>IFERROR(__xludf.DUMMYFUNCTION("""COMPUTED_VALUE"""),"PE059D1")</f>
        <v>PE059D1</v>
      </c>
      <c r="B12479" s="226" t="str">
        <f>IFERROR(__xludf.DUMMYFUNCTION("""COMPUTED_VALUE"""),"8717323024119")</f>
        <v>8717323024119</v>
      </c>
      <c r="C12479" t="str">
        <f>IFERROR(__xludf.DUMMYFUNCTION("""COMPUTED_VALUE"""),"ECS")</f>
        <v>ECS</v>
      </c>
    </row>
    <row r="12480">
      <c r="A12480" t="str">
        <f>IFERROR(__xludf.DUMMYFUNCTION("""COMPUTED_VALUE"""),"CT015BB")</f>
        <v>CT015BB</v>
      </c>
      <c r="B12480" s="226" t="str">
        <f>IFERROR(__xludf.DUMMYFUNCTION("""COMPUTED_VALUE"""),"8717323000960")</f>
        <v>8717323000960</v>
      </c>
      <c r="C12480" t="str">
        <f>IFERROR(__xludf.DUMMYFUNCTION("""COMPUTED_VALUE"""),"ECS")</f>
        <v>ECS</v>
      </c>
    </row>
    <row r="12481">
      <c r="A12481" t="str">
        <f>IFERROR(__xludf.DUMMYFUNCTION("""COMPUTED_VALUE"""),"PE059B1")</f>
        <v>PE059B1</v>
      </c>
      <c r="B12481" s="226" t="str">
        <f>IFERROR(__xludf.DUMMYFUNCTION("""COMPUTED_VALUE"""),"8717323024102")</f>
        <v>8717323024102</v>
      </c>
      <c r="C12481" t="str">
        <f>IFERROR(__xludf.DUMMYFUNCTION("""COMPUTED_VALUE"""),"ECS")</f>
        <v>ECS</v>
      </c>
    </row>
    <row r="12482">
      <c r="A12482" t="str">
        <f>IFERROR(__xludf.DUMMYFUNCTION("""COMPUTED_VALUE"""),"PE059D1")</f>
        <v>PE059D1</v>
      </c>
      <c r="B12482" s="226" t="str">
        <f>IFERROR(__xludf.DUMMYFUNCTION("""COMPUTED_VALUE"""),"8717323024119")</f>
        <v>8717323024119</v>
      </c>
      <c r="C12482" t="str">
        <f>IFERROR(__xludf.DUMMYFUNCTION("""COMPUTED_VALUE"""),"ECS")</f>
        <v>ECS</v>
      </c>
    </row>
    <row r="12483">
      <c r="A12483" t="str">
        <f>IFERROR(__xludf.DUMMYFUNCTION("""COMPUTED_VALUE"""),"MT088DH")</f>
        <v>MT088DH</v>
      </c>
      <c r="B12483" s="226" t="str">
        <f>IFERROR(__xludf.DUMMYFUNCTION("""COMPUTED_VALUE"""),"8717323026113")</f>
        <v>8717323026113</v>
      </c>
      <c r="C12483" t="str">
        <f>IFERROR(__xludf.DUMMYFUNCTION("""COMPUTED_VALUE"""),"ECS")</f>
        <v>ECS</v>
      </c>
    </row>
    <row r="12484">
      <c r="A12484" t="str">
        <f>IFERROR(__xludf.DUMMYFUNCTION("""COMPUTED_VALUE"""),"MT088FH")</f>
        <v>MT088FH</v>
      </c>
      <c r="B12484" s="226" t="str">
        <f>IFERROR(__xludf.DUMMYFUNCTION("""COMPUTED_VALUE"""),"8717323016619")</f>
        <v>8717323016619</v>
      </c>
      <c r="C12484" t="str">
        <f>IFERROR(__xludf.DUMMYFUNCTION("""COMPUTED_VALUE"""),"ECS")</f>
        <v>ECS</v>
      </c>
    </row>
    <row r="12485">
      <c r="A12485" t="str">
        <f>IFERROR(__xludf.DUMMYFUNCTION("""COMPUTED_VALUE"""),"CT052B1")</f>
        <v>CT052B1</v>
      </c>
      <c r="B12485" s="226" t="str">
        <f>IFERROR(__xludf.DUMMYFUNCTION("""COMPUTED_VALUE"""),"8717323047903")</f>
        <v>8717323047903</v>
      </c>
      <c r="C12485" t="str">
        <f>IFERROR(__xludf.DUMMYFUNCTION("""COMPUTED_VALUE"""),"ECS")</f>
        <v>ECS</v>
      </c>
    </row>
    <row r="12486">
      <c r="A12486" t="str">
        <f>IFERROR(__xludf.DUMMYFUNCTION("""COMPUTED_VALUE"""),"CT052D1")</f>
        <v>CT052D1</v>
      </c>
      <c r="B12486" s="226" t="str">
        <f>IFERROR(__xludf.DUMMYFUNCTION("""COMPUTED_VALUE"""),"8717323047910")</f>
        <v>8717323047910</v>
      </c>
      <c r="C12486" t="str">
        <f>IFERROR(__xludf.DUMMYFUNCTION("""COMPUTED_VALUE"""),"ECS")</f>
        <v>ECS</v>
      </c>
    </row>
    <row r="12487">
      <c r="A12487" t="str">
        <f>IFERROR(__xludf.DUMMYFUNCTION("""COMPUTED_VALUE"""),"FI023DL")</f>
        <v>FI023DL</v>
      </c>
      <c r="B12487" s="226" t="str">
        <f>IFERROR(__xludf.DUMMYFUNCTION("""COMPUTED_VALUE"""),"8717323015360")</f>
        <v>8717323015360</v>
      </c>
      <c r="C12487" t="str">
        <f>IFERROR(__xludf.DUMMYFUNCTION("""COMPUTED_VALUE"""),"ECS")</f>
        <v>ECS</v>
      </c>
    </row>
    <row r="12488">
      <c r="A12488" t="str">
        <f>IFERROR(__xludf.DUMMYFUNCTION("""COMPUTED_VALUE"""),"FI023BB")</f>
        <v>FI023BB</v>
      </c>
      <c r="B12488" s="226" t="str">
        <f>IFERROR(__xludf.DUMMYFUNCTION("""COMPUTED_VALUE"""),"8717323014516")</f>
        <v>8717323014516</v>
      </c>
      <c r="C12488" t="str">
        <f>IFERROR(__xludf.DUMMYFUNCTION("""COMPUTED_VALUE"""),"ECS")</f>
        <v>ECS</v>
      </c>
    </row>
    <row r="12489">
      <c r="A12489" t="str">
        <f>IFERROR(__xludf.DUMMYFUNCTION("""COMPUTED_VALUE"""),"FI023BL")</f>
        <v>FI023BL</v>
      </c>
      <c r="B12489" s="226" t="str">
        <f>IFERROR(__xludf.DUMMYFUNCTION("""COMPUTED_VALUE"""),"8717323014523")</f>
        <v>8717323014523</v>
      </c>
      <c r="C12489" t="str">
        <f>IFERROR(__xludf.DUMMYFUNCTION("""COMPUTED_VALUE"""),"ECS")</f>
        <v>ECS</v>
      </c>
    </row>
    <row r="12490">
      <c r="A12490" t="str">
        <f>IFERROR(__xludf.DUMMYFUNCTION("""COMPUTED_VALUE"""),"CIT010B")</f>
        <v>CIT010B</v>
      </c>
      <c r="B12490" s="226" t="str">
        <f>IFERROR(__xludf.DUMMYFUNCTION("""COMPUTED_VALUE"""),"8717323000595")</f>
        <v>8717323000595</v>
      </c>
      <c r="C12490" t="str">
        <f>IFERROR(__xludf.DUMMYFUNCTION("""COMPUTED_VALUE"""),"ECS")</f>
        <v>ECS</v>
      </c>
    </row>
    <row r="12491">
      <c r="A12491" t="str">
        <f>IFERROR(__xludf.DUMMYFUNCTION("""COMPUTED_VALUE"""),"FI027BB")</f>
        <v>FI027BB</v>
      </c>
      <c r="B12491" s="226" t="str">
        <f>IFERROR(__xludf.DUMMYFUNCTION("""COMPUTED_VALUE"""),"8717323017029")</f>
        <v>8717323017029</v>
      </c>
      <c r="C12491" t="str">
        <f>IFERROR(__xludf.DUMMYFUNCTION("""COMPUTED_VALUE"""),"ECS")</f>
        <v>ECS</v>
      </c>
    </row>
    <row r="12492">
      <c r="A12492" t="str">
        <f>IFERROR(__xludf.DUMMYFUNCTION("""COMPUTED_VALUE"""),"FI027BL")</f>
        <v>FI027BL</v>
      </c>
      <c r="B12492" s="226" t="str">
        <f>IFERROR(__xludf.DUMMYFUNCTION("""COMPUTED_VALUE"""),"8717323016855")</f>
        <v>8717323016855</v>
      </c>
      <c r="C12492" t="str">
        <f>IFERROR(__xludf.DUMMYFUNCTION("""COMPUTED_VALUE"""),"ECS")</f>
        <v>ECS</v>
      </c>
    </row>
    <row r="12493">
      <c r="A12493" t="str">
        <f>IFERROR(__xludf.DUMMYFUNCTION("""COMPUTED_VALUE"""),"FI027DL")</f>
        <v>FI027DL</v>
      </c>
      <c r="B12493" s="226" t="str">
        <f>IFERROR(__xludf.DUMMYFUNCTION("""COMPUTED_VALUE"""),"8717323016862")</f>
        <v>8717323016862</v>
      </c>
      <c r="C12493" t="str">
        <f>IFERROR(__xludf.DUMMYFUNCTION("""COMPUTED_VALUE"""),"ECS")</f>
        <v>ECS</v>
      </c>
    </row>
    <row r="12494">
      <c r="A12494" t="str">
        <f>IFERROR(__xludf.DUMMYFUNCTION("""COMPUTED_VALUE"""),"FI034BB")</f>
        <v>FI034BB</v>
      </c>
      <c r="B12494" s="226" t="str">
        <f>IFERROR(__xludf.DUMMYFUNCTION("""COMPUTED_VALUE"""),"8717323025550")</f>
        <v>8717323025550</v>
      </c>
      <c r="C12494" t="str">
        <f>IFERROR(__xludf.DUMMYFUNCTION("""COMPUTED_VALUE"""),"ECS")</f>
        <v>ECS</v>
      </c>
    </row>
    <row r="12495">
      <c r="A12495" t="str">
        <f>IFERROR(__xludf.DUMMYFUNCTION("""COMPUTED_VALUE"""),"FI034BL")</f>
        <v>FI034BL</v>
      </c>
      <c r="B12495" s="226" t="str">
        <f>IFERROR(__xludf.DUMMYFUNCTION("""COMPUTED_VALUE"""),"8717323025567")</f>
        <v>8717323025567</v>
      </c>
      <c r="C12495" t="str">
        <f>IFERROR(__xludf.DUMMYFUNCTION("""COMPUTED_VALUE"""),"ECS")</f>
        <v>ECS</v>
      </c>
    </row>
    <row r="12496">
      <c r="A12496" t="str">
        <f>IFERROR(__xludf.DUMMYFUNCTION("""COMPUTED_VALUE"""),"FI034DL")</f>
        <v>FI034DL</v>
      </c>
      <c r="B12496" s="226" t="str">
        <f>IFERROR(__xludf.DUMMYFUNCTION("""COMPUTED_VALUE"""),"8717323025574")</f>
        <v>8717323025574</v>
      </c>
      <c r="C12496" t="str">
        <f>IFERROR(__xludf.DUMMYFUNCTION("""COMPUTED_VALUE"""),"ECS")</f>
        <v>ECS</v>
      </c>
    </row>
    <row r="12497">
      <c r="A12497" t="str">
        <f>IFERROR(__xludf.DUMMYFUNCTION("""COMPUTED_VALUE"""),"CIT016B")</f>
        <v>CIT016B</v>
      </c>
      <c r="B12497" s="226" t="str">
        <f>IFERROR(__xludf.DUMMYFUNCTION("""COMPUTED_VALUE"""),"8717323000601")</f>
        <v>8717323000601</v>
      </c>
      <c r="C12497" t="str">
        <f>IFERROR(__xludf.DUMMYFUNCTION("""COMPUTED_VALUE"""),"ECS")</f>
        <v>ECS</v>
      </c>
    </row>
    <row r="12498">
      <c r="A12498" t="str">
        <f>IFERROR(__xludf.DUMMYFUNCTION("""COMPUTED_VALUE"""),"PE059B1")</f>
        <v>PE059B1</v>
      </c>
      <c r="B12498" s="226" t="str">
        <f>IFERROR(__xludf.DUMMYFUNCTION("""COMPUTED_VALUE"""),"8717323024102")</f>
        <v>8717323024102</v>
      </c>
      <c r="C12498" t="str">
        <f>IFERROR(__xludf.DUMMYFUNCTION("""COMPUTED_VALUE"""),"ECS")</f>
        <v>ECS</v>
      </c>
    </row>
    <row r="12499">
      <c r="A12499" t="str">
        <f>IFERROR(__xludf.DUMMYFUNCTION("""COMPUTED_VALUE"""),"PE059D1")</f>
        <v>PE059D1</v>
      </c>
      <c r="B12499" s="226" t="str">
        <f>IFERROR(__xludf.DUMMYFUNCTION("""COMPUTED_VALUE"""),"8717323024119")</f>
        <v>8717323024119</v>
      </c>
      <c r="C12499" t="str">
        <f>IFERROR(__xludf.DUMMYFUNCTION("""COMPUTED_VALUE"""),"ECS")</f>
        <v>ECS</v>
      </c>
    </row>
    <row r="12500">
      <c r="A12500" t="str">
        <f>IFERROR(__xludf.DUMMYFUNCTION("""COMPUTED_VALUE"""),"PE059B1")</f>
        <v>PE059B1</v>
      </c>
      <c r="B12500" s="226" t="str">
        <f>IFERROR(__xludf.DUMMYFUNCTION("""COMPUTED_VALUE"""),"8717323024102")</f>
        <v>8717323024102</v>
      </c>
      <c r="C12500" t="str">
        <f>IFERROR(__xludf.DUMMYFUNCTION("""COMPUTED_VALUE"""),"ECS")</f>
        <v>ECS</v>
      </c>
    </row>
    <row r="12501">
      <c r="A12501" t="str">
        <f>IFERROR(__xludf.DUMMYFUNCTION("""COMPUTED_VALUE"""),"PE059D1")</f>
        <v>PE059D1</v>
      </c>
      <c r="B12501" s="226" t="str">
        <f>IFERROR(__xludf.DUMMYFUNCTION("""COMPUTED_VALUE"""),"8717323024119")</f>
        <v>8717323024119</v>
      </c>
      <c r="C12501" t="str">
        <f>IFERROR(__xludf.DUMMYFUNCTION("""COMPUTED_VALUE"""),"ECS")</f>
        <v>ECS</v>
      </c>
    </row>
    <row r="12502">
      <c r="A12502" t="str">
        <f>IFERROR(__xludf.DUMMYFUNCTION("""COMPUTED_VALUE"""),"PE067B1")</f>
        <v>PE067B1</v>
      </c>
      <c r="B12502" s="226" t="str">
        <f>IFERROR(__xludf.DUMMYFUNCTION("""COMPUTED_VALUE"""),"8717323057629")</f>
        <v>8717323057629</v>
      </c>
      <c r="C12502" t="str">
        <f>IFERROR(__xludf.DUMMYFUNCTION("""COMPUTED_VALUE"""),"ECS")</f>
        <v>ECS</v>
      </c>
    </row>
    <row r="12503">
      <c r="A12503" t="str">
        <f>IFERROR(__xludf.DUMMYFUNCTION("""COMPUTED_VALUE"""),"PE067D1")</f>
        <v>PE067D1</v>
      </c>
      <c r="B12503" s="226" t="str">
        <f>IFERROR(__xludf.DUMMYFUNCTION("""COMPUTED_VALUE"""),"8717323057636")</f>
        <v>8717323057636</v>
      </c>
      <c r="C12503" t="str">
        <f>IFERROR(__xludf.DUMMYFUNCTION("""COMPUTED_VALUE"""),"ECS")</f>
        <v>ECS</v>
      </c>
    </row>
    <row r="12504">
      <c r="A12504" t="str">
        <f>IFERROR(__xludf.DUMMYFUNCTION("""COMPUTED_VALUE"""),"FI024BH")</f>
        <v>FI024BH</v>
      </c>
      <c r="B12504" s="226" t="str">
        <f>IFERROR(__xludf.DUMMYFUNCTION("""COMPUTED_VALUE"""),"8717323015971")</f>
        <v>8717323015971</v>
      </c>
      <c r="C12504" t="str">
        <f>IFERROR(__xludf.DUMMYFUNCTION("""COMPUTED_VALUE"""),"ECS")</f>
        <v>ECS</v>
      </c>
    </row>
    <row r="12505">
      <c r="A12505" t="str">
        <f>IFERROR(__xludf.DUMMYFUNCTION("""COMPUTED_VALUE"""),"FI024BQ")</f>
        <v>FI024BQ</v>
      </c>
      <c r="B12505" s="226" t="str">
        <f>IFERROR(__xludf.DUMMYFUNCTION("""COMPUTED_VALUE"""),"8717323015964")</f>
        <v>8717323015964</v>
      </c>
      <c r="C12505" t="str">
        <f>IFERROR(__xludf.DUMMYFUNCTION("""COMPUTED_VALUE"""),"ECS")</f>
        <v>ECS</v>
      </c>
    </row>
    <row r="12506">
      <c r="A12506" t="str">
        <f>IFERROR(__xludf.DUMMYFUNCTION("""COMPUTED_VALUE"""),"FI024DH")</f>
        <v>FI024DH</v>
      </c>
      <c r="B12506" s="226" t="str">
        <f>IFERROR(__xludf.DUMMYFUNCTION("""COMPUTED_VALUE"""),"8717323015988")</f>
        <v>8717323015988</v>
      </c>
      <c r="C12506" t="str">
        <f>IFERROR(__xludf.DUMMYFUNCTION("""COMPUTED_VALUE"""),"ECS")</f>
        <v>ECS</v>
      </c>
    </row>
    <row r="12507">
      <c r="A12507" t="str">
        <f>IFERROR(__xludf.DUMMYFUNCTION("""COMPUTED_VALUE"""),"FI024BH")</f>
        <v>FI024BH</v>
      </c>
      <c r="B12507" s="226" t="str">
        <f>IFERROR(__xludf.DUMMYFUNCTION("""COMPUTED_VALUE"""),"8717323015971")</f>
        <v>8717323015971</v>
      </c>
      <c r="C12507" t="str">
        <f>IFERROR(__xludf.DUMMYFUNCTION("""COMPUTED_VALUE"""),"ECS")</f>
        <v>ECS</v>
      </c>
    </row>
    <row r="12508">
      <c r="A12508" t="str">
        <f>IFERROR(__xludf.DUMMYFUNCTION("""COMPUTED_VALUE"""),"FI024BQ")</f>
        <v>FI024BQ</v>
      </c>
      <c r="B12508" s="226" t="str">
        <f>IFERROR(__xludf.DUMMYFUNCTION("""COMPUTED_VALUE"""),"8717323015964")</f>
        <v>8717323015964</v>
      </c>
      <c r="C12508" t="str">
        <f>IFERROR(__xludf.DUMMYFUNCTION("""COMPUTED_VALUE"""),"ECS")</f>
        <v>ECS</v>
      </c>
    </row>
    <row r="12509">
      <c r="A12509" t="str">
        <f>IFERROR(__xludf.DUMMYFUNCTION("""COMPUTED_VALUE"""),"FI024DH")</f>
        <v>FI024DH</v>
      </c>
      <c r="B12509" s="226" t="str">
        <f>IFERROR(__xludf.DUMMYFUNCTION("""COMPUTED_VALUE"""),"8717323015988")</f>
        <v>8717323015988</v>
      </c>
      <c r="C12509" t="str">
        <f>IFERROR(__xludf.DUMMYFUNCTION("""COMPUTED_VALUE"""),"ECS")</f>
        <v>ECS</v>
      </c>
    </row>
    <row r="12510">
      <c r="A12510" t="str">
        <f>IFERROR(__xludf.DUMMYFUNCTION("""COMPUTED_VALUE"""),"CIT023B")</f>
        <v>CIT023B</v>
      </c>
      <c r="B12510" s="226" t="str">
        <f>IFERROR(__xludf.DUMMYFUNCTION("""COMPUTED_VALUE"""),"8717323000656")</f>
        <v>8717323000656</v>
      </c>
      <c r="C12510" t="str">
        <f>IFERROR(__xludf.DUMMYFUNCTION("""COMPUTED_VALUE"""),"ECS")</f>
        <v>ECS</v>
      </c>
    </row>
    <row r="12511">
      <c r="A12511" t="str">
        <f>IFERROR(__xludf.DUMMYFUNCTION("""COMPUTED_VALUE"""),"CIT023B")</f>
        <v>CIT023B</v>
      </c>
      <c r="B12511" s="226" t="str">
        <f>IFERROR(__xludf.DUMMYFUNCTION("""COMPUTED_VALUE"""),"8717323000656")</f>
        <v>8717323000656</v>
      </c>
      <c r="C12511" t="str">
        <f>IFERROR(__xludf.DUMMYFUNCTION("""COMPUTED_VALUE"""),"ECS")</f>
        <v>ECS</v>
      </c>
    </row>
    <row r="12512">
      <c r="A12512" t="str">
        <f>IFERROR(__xludf.DUMMYFUNCTION("""COMPUTED_VALUE"""),"PE067B1")</f>
        <v>PE067B1</v>
      </c>
      <c r="B12512" s="226" t="str">
        <f>IFERROR(__xludf.DUMMYFUNCTION("""COMPUTED_VALUE"""),"8717323057629")</f>
        <v>8717323057629</v>
      </c>
      <c r="C12512" t="str">
        <f>IFERROR(__xludf.DUMMYFUNCTION("""COMPUTED_VALUE"""),"ECS")</f>
        <v>ECS</v>
      </c>
    </row>
    <row r="12513">
      <c r="A12513" t="str">
        <f>IFERROR(__xludf.DUMMYFUNCTION("""COMPUTED_VALUE"""),"PE067D1")</f>
        <v>PE067D1</v>
      </c>
      <c r="B12513" s="226" t="str">
        <f>IFERROR(__xludf.DUMMYFUNCTION("""COMPUTED_VALUE"""),"8717323057636")</f>
        <v>8717323057636</v>
      </c>
      <c r="C12513" t="str">
        <f>IFERROR(__xludf.DUMMYFUNCTION("""COMPUTED_VALUE"""),"ECS")</f>
        <v>ECS</v>
      </c>
    </row>
    <row r="12514">
      <c r="A12514" t="str">
        <f>IFERROR(__xludf.DUMMYFUNCTION("""COMPUTED_VALUE"""),"CIT005B")</f>
        <v>CIT005B</v>
      </c>
      <c r="B12514" s="226" t="str">
        <f>IFERROR(__xludf.DUMMYFUNCTION("""COMPUTED_VALUE"""),"8717323000557")</f>
        <v>8717323000557</v>
      </c>
      <c r="C12514" t="str">
        <f>IFERROR(__xludf.DUMMYFUNCTION("""COMPUTED_VALUE"""),"ECS")</f>
        <v>ECS</v>
      </c>
    </row>
    <row r="12515">
      <c r="A12515" t="str">
        <f>IFERROR(__xludf.DUMMYFUNCTION("""COMPUTED_VALUE"""),"CIT005B")</f>
        <v>CIT005B</v>
      </c>
      <c r="B12515" s="226" t="str">
        <f>IFERROR(__xludf.DUMMYFUNCTION("""COMPUTED_VALUE"""),"8717323000557")</f>
        <v>8717323000557</v>
      </c>
      <c r="C12515" t="str">
        <f>IFERROR(__xludf.DUMMYFUNCTION("""COMPUTED_VALUE"""),"ECS")</f>
        <v>ECS</v>
      </c>
    </row>
    <row r="12516">
      <c r="A12516" t="str">
        <f>IFERROR(__xludf.DUMMYFUNCTION("""COMPUTED_VALUE"""),"CT003BB")</f>
        <v>CT003BB</v>
      </c>
      <c r="B12516" s="226" t="str">
        <f>IFERROR(__xludf.DUMMYFUNCTION("""COMPUTED_VALUE"""),"8717323000885")</f>
        <v>8717323000885</v>
      </c>
      <c r="C12516" t="str">
        <f>IFERROR(__xludf.DUMMYFUNCTION("""COMPUTED_VALUE"""),"ECS")</f>
        <v>ECS</v>
      </c>
    </row>
    <row r="12517">
      <c r="A12517" t="str">
        <f>IFERROR(__xludf.DUMMYFUNCTION("""COMPUTED_VALUE"""),"CT003DB")</f>
        <v>CT003DB</v>
      </c>
      <c r="B12517" s="226" t="str">
        <f>IFERROR(__xludf.DUMMYFUNCTION("""COMPUTED_VALUE"""),"8717323000892")</f>
        <v>8717323000892</v>
      </c>
      <c r="C12517" t="str">
        <f>IFERROR(__xludf.DUMMYFUNCTION("""COMPUTED_VALUE"""),"ECS")</f>
        <v>ECS</v>
      </c>
    </row>
    <row r="12518">
      <c r="A12518" t="str">
        <f>IFERROR(__xludf.DUMMYFUNCTION("""COMPUTED_VALUE"""),"SE045B1")</f>
        <v>SE045B1</v>
      </c>
      <c r="B12518" s="226" t="str">
        <f>IFERROR(__xludf.DUMMYFUNCTION("""COMPUTED_VALUE"""),"8717323050187")</f>
        <v>8717323050187</v>
      </c>
      <c r="C12518" t="str">
        <f>IFERROR(__xludf.DUMMYFUNCTION("""COMPUTED_VALUE"""),"ECS")</f>
        <v>ECS</v>
      </c>
    </row>
    <row r="12519">
      <c r="A12519" t="str">
        <f>IFERROR(__xludf.DUMMYFUNCTION("""COMPUTED_VALUE"""),"SE045D1")</f>
        <v>SE045D1</v>
      </c>
      <c r="B12519" s="226" t="str">
        <f>IFERROR(__xludf.DUMMYFUNCTION("""COMPUTED_VALUE"""),"8717323050194")</f>
        <v>8717323050194</v>
      </c>
      <c r="C12519" t="str">
        <f>IFERROR(__xludf.DUMMYFUNCTION("""COMPUTED_VALUE"""),"ECS")</f>
        <v>ECS</v>
      </c>
    </row>
    <row r="12520">
      <c r="A12520" t="str">
        <f>IFERROR(__xludf.DUMMYFUNCTION("""COMPUTED_VALUE"""),"VW146B1")</f>
        <v>VW146B1</v>
      </c>
      <c r="B12520" s="226" t="str">
        <f>IFERROR(__xludf.DUMMYFUNCTION("""COMPUTED_VALUE"""),"8717323050644")</f>
        <v>8717323050644</v>
      </c>
      <c r="C12520" t="str">
        <f>IFERROR(__xludf.DUMMYFUNCTION("""COMPUTED_VALUE"""),"ECS")</f>
        <v>ECS</v>
      </c>
    </row>
    <row r="12521">
      <c r="A12521" t="str">
        <f>IFERROR(__xludf.DUMMYFUNCTION("""COMPUTED_VALUE"""),"VW146D1")</f>
        <v>VW146D1</v>
      </c>
      <c r="B12521" s="226" t="str">
        <f>IFERROR(__xludf.DUMMYFUNCTION("""COMPUTED_VALUE"""),"8717323050651")</f>
        <v>8717323050651</v>
      </c>
      <c r="C12521" t="str">
        <f>IFERROR(__xludf.DUMMYFUNCTION("""COMPUTED_VALUE"""),"ECS")</f>
        <v>ECS</v>
      </c>
    </row>
    <row r="12522">
      <c r="A12522" t="str">
        <f>IFERROR(__xludf.DUMMYFUNCTION("""COMPUTED_VALUE"""),"VW190B1")</f>
        <v>VW190B1</v>
      </c>
      <c r="B12522" s="226" t="str">
        <f>IFERROR(__xludf.DUMMYFUNCTION("""COMPUTED_VALUE"""),"8717323061039")</f>
        <v>8717323061039</v>
      </c>
      <c r="C12522" t="str">
        <f>IFERROR(__xludf.DUMMYFUNCTION("""COMPUTED_VALUE"""),"ECS")</f>
        <v>ECS</v>
      </c>
    </row>
    <row r="12523">
      <c r="A12523" t="str">
        <f>IFERROR(__xludf.DUMMYFUNCTION("""COMPUTED_VALUE"""),"VW190H1")</f>
        <v>VW190H1</v>
      </c>
      <c r="B12523" s="226" t="str">
        <f>IFERROR(__xludf.DUMMYFUNCTION("""COMPUTED_VALUE"""),"8717323060957")</f>
        <v>8717323060957</v>
      </c>
      <c r="C12523" t="str">
        <f>IFERROR(__xludf.DUMMYFUNCTION("""COMPUTED_VALUE"""),"ECS")</f>
        <v>ECS</v>
      </c>
    </row>
    <row r="12524">
      <c r="A12524" t="str">
        <f>IFERROR(__xludf.DUMMYFUNCTION("""COMPUTED_VALUE"""),"DA010BL")</f>
        <v>DA010BL</v>
      </c>
      <c r="B12524" s="226" t="str">
        <f>IFERROR(__xludf.DUMMYFUNCTION("""COMPUTED_VALUE"""),"8717323048351")</f>
        <v>8717323048351</v>
      </c>
      <c r="C12524" t="str">
        <f>IFERROR(__xludf.DUMMYFUNCTION("""COMPUTED_VALUE"""),"ECS")</f>
        <v>ECS</v>
      </c>
    </row>
    <row r="12525">
      <c r="A12525" t="str">
        <f>IFERROR(__xludf.DUMMYFUNCTION("""COMPUTED_VALUE"""),"DA010DH")</f>
        <v>DA010DH</v>
      </c>
      <c r="B12525" s="226" t="str">
        <f>IFERROR(__xludf.DUMMYFUNCTION("""COMPUTED_VALUE"""),"8717323046562")</f>
        <v>8717323046562</v>
      </c>
      <c r="C12525" t="str">
        <f>IFERROR(__xludf.DUMMYFUNCTION("""COMPUTED_VALUE"""),"ECS")</f>
        <v>ECS</v>
      </c>
    </row>
    <row r="12526">
      <c r="A12526" t="str">
        <f>IFERROR(__xludf.DUMMYFUNCTION("""COMPUTED_VALUE"""),"DA016BB")</f>
        <v>DA016BB</v>
      </c>
      <c r="B12526" s="226" t="str">
        <f>IFERROR(__xludf.DUMMYFUNCTION("""COMPUTED_VALUE"""),"8717323057162")</f>
        <v>8717323057162</v>
      </c>
      <c r="C12526" t="str">
        <f>IFERROR(__xludf.DUMMYFUNCTION("""COMPUTED_VALUE"""),"ECS")</f>
        <v>ECS</v>
      </c>
    </row>
    <row r="12527">
      <c r="A12527" t="str">
        <f>IFERROR(__xludf.DUMMYFUNCTION("""COMPUTED_VALUE"""),"DA016DH")</f>
        <v>DA016DH</v>
      </c>
      <c r="B12527" s="226" t="str">
        <f>IFERROR(__xludf.DUMMYFUNCTION("""COMPUTED_VALUE"""),"8717323057179")</f>
        <v>8717323057179</v>
      </c>
      <c r="C12527" t="str">
        <f>IFERROR(__xludf.DUMMYFUNCTION("""COMPUTED_VALUE"""),"ECS")</f>
        <v>ECS</v>
      </c>
    </row>
    <row r="12528">
      <c r="A12528" t="str">
        <f>IFERROR(__xludf.DUMMYFUNCTION("""COMPUTED_VALUE"""),"DA007BB")</f>
        <v>DA007BB</v>
      </c>
      <c r="B12528" s="226" t="str">
        <f>IFERROR(__xludf.DUMMYFUNCTION("""COMPUTED_VALUE"""),"8717323024072")</f>
        <v>8717323024072</v>
      </c>
      <c r="C12528" t="str">
        <f>IFERROR(__xludf.DUMMYFUNCTION("""COMPUTED_VALUE"""),"ECS")</f>
        <v>ECS</v>
      </c>
    </row>
    <row r="12529">
      <c r="A12529" t="str">
        <f>IFERROR(__xludf.DUMMYFUNCTION("""COMPUTED_VALUE"""),"DA007DH")</f>
        <v>DA007DH</v>
      </c>
      <c r="B12529" s="226" t="str">
        <f>IFERROR(__xludf.DUMMYFUNCTION("""COMPUTED_VALUE"""),"8717323024089")</f>
        <v>8717323024089</v>
      </c>
      <c r="C12529" t="str">
        <f>IFERROR(__xludf.DUMMYFUNCTION("""COMPUTED_VALUE"""),"ECS")</f>
        <v>ECS</v>
      </c>
    </row>
    <row r="12530">
      <c r="A12530" t="str">
        <f>IFERROR(__xludf.DUMMYFUNCTION("""COMPUTED_VALUE"""),"DA014BB")</f>
        <v>DA014BB</v>
      </c>
      <c r="B12530" s="226" t="str">
        <f>IFERROR(__xludf.DUMMYFUNCTION("""COMPUTED_VALUE"""),"8717323055076")</f>
        <v>8717323055076</v>
      </c>
      <c r="C12530" t="str">
        <f>IFERROR(__xludf.DUMMYFUNCTION("""COMPUTED_VALUE"""),"ECS")</f>
        <v>ECS</v>
      </c>
    </row>
    <row r="12531">
      <c r="A12531" t="str">
        <f>IFERROR(__xludf.DUMMYFUNCTION("""COMPUTED_VALUE"""),"DA014DL")</f>
        <v>DA014DL</v>
      </c>
      <c r="B12531" s="226" t="str">
        <f>IFERROR(__xludf.DUMMYFUNCTION("""COMPUTED_VALUE"""),"8717323055083")</f>
        <v>8717323055083</v>
      </c>
      <c r="C12531" t="str">
        <f>IFERROR(__xludf.DUMMYFUNCTION("""COMPUTED_VALUE"""),"ECS")</f>
        <v>ECS</v>
      </c>
    </row>
    <row r="12532">
      <c r="A12532" t="str">
        <f>IFERROR(__xludf.DUMMYFUNCTION("""COMPUTED_VALUE"""),"RN122BX")</f>
        <v>RN122BX</v>
      </c>
      <c r="B12532" s="226" t="str">
        <f>IFERROR(__xludf.DUMMYFUNCTION("""COMPUTED_VALUE"""),"8717323047309")</f>
        <v>8717323047309</v>
      </c>
      <c r="C12532" t="str">
        <f>IFERROR(__xludf.DUMMYFUNCTION("""COMPUTED_VALUE"""),"ECS")</f>
        <v>ECS</v>
      </c>
    </row>
    <row r="12533">
      <c r="A12533" t="str">
        <f>IFERROR(__xludf.DUMMYFUNCTION("""COMPUTED_VALUE"""),"RN122DX")</f>
        <v>RN122DX</v>
      </c>
      <c r="B12533" s="226" t="str">
        <f>IFERROR(__xludf.DUMMYFUNCTION("""COMPUTED_VALUE"""),"8717323047316")</f>
        <v>8717323047316</v>
      </c>
      <c r="C12533" t="str">
        <f>IFERROR(__xludf.DUMMYFUNCTION("""COMPUTED_VALUE"""),"ECS")</f>
        <v>ECS</v>
      </c>
    </row>
    <row r="12534">
      <c r="A12534" t="str">
        <f>IFERROR(__xludf.DUMMYFUNCTION("""COMPUTED_VALUE"""),"DA010BL")</f>
        <v>DA010BL</v>
      </c>
      <c r="B12534" s="226" t="str">
        <f>IFERROR(__xludf.DUMMYFUNCTION("""COMPUTED_VALUE"""),"8717323048351")</f>
        <v>8717323048351</v>
      </c>
      <c r="C12534" t="str">
        <f>IFERROR(__xludf.DUMMYFUNCTION("""COMPUTED_VALUE"""),"ECS")</f>
        <v>ECS</v>
      </c>
    </row>
    <row r="12535">
      <c r="A12535" t="str">
        <f>IFERROR(__xludf.DUMMYFUNCTION("""COMPUTED_VALUE"""),"DA010DH")</f>
        <v>DA010DH</v>
      </c>
      <c r="B12535" s="226" t="str">
        <f>IFERROR(__xludf.DUMMYFUNCTION("""COMPUTED_VALUE"""),"8717323046562")</f>
        <v>8717323046562</v>
      </c>
      <c r="C12535" t="str">
        <f>IFERROR(__xludf.DUMMYFUNCTION("""COMPUTED_VALUE"""),"ECS")</f>
        <v>ECS</v>
      </c>
    </row>
    <row r="12536">
      <c r="A12536" t="str">
        <f>IFERROR(__xludf.DUMMYFUNCTION("""COMPUTED_VALUE"""),"DA021BH")</f>
        <v>DA021BH</v>
      </c>
      <c r="B12536" s="226" t="str">
        <f>IFERROR(__xludf.DUMMYFUNCTION("""COMPUTED_VALUE"""),"8717323067765")</f>
        <v>8717323067765</v>
      </c>
      <c r="C12536" t="str">
        <f>IFERROR(__xludf.DUMMYFUNCTION("""COMPUTED_VALUE"""),"ECS")</f>
        <v>ECS</v>
      </c>
    </row>
    <row r="12537">
      <c r="A12537" t="str">
        <f>IFERROR(__xludf.DUMMYFUNCTION("""COMPUTED_VALUE"""),"DA021DH")</f>
        <v>DA021DH</v>
      </c>
      <c r="B12537" s="226" t="str">
        <f>IFERROR(__xludf.DUMMYFUNCTION("""COMPUTED_VALUE"""),"8717323067772")</f>
        <v>8717323067772</v>
      </c>
      <c r="C12537" t="str">
        <f>IFERROR(__xludf.DUMMYFUNCTION("""COMPUTED_VALUE"""),"ECS")</f>
        <v>ECS</v>
      </c>
    </row>
    <row r="12538">
      <c r="A12538" t="str">
        <f>IFERROR(__xludf.DUMMYFUNCTION("""COMPUTED_VALUE"""),"DA021BH")</f>
        <v>DA021BH</v>
      </c>
      <c r="B12538" s="226" t="str">
        <f>IFERROR(__xludf.DUMMYFUNCTION("""COMPUTED_VALUE"""),"8717323067765")</f>
        <v>8717323067765</v>
      </c>
      <c r="C12538" t="str">
        <f>IFERROR(__xludf.DUMMYFUNCTION("""COMPUTED_VALUE"""),"ECS")</f>
        <v>ECS</v>
      </c>
    </row>
    <row r="12539">
      <c r="A12539" t="str">
        <f>IFERROR(__xludf.DUMMYFUNCTION("""COMPUTED_VALUE"""),"DA021DH")</f>
        <v>DA021DH</v>
      </c>
      <c r="B12539" s="226" t="str">
        <f>IFERROR(__xludf.DUMMYFUNCTION("""COMPUTED_VALUE"""),"8717323067772")</f>
        <v>8717323067772</v>
      </c>
      <c r="C12539" t="str">
        <f>IFERROR(__xludf.DUMMYFUNCTION("""COMPUTED_VALUE"""),"ECS")</f>
        <v>ECS</v>
      </c>
    </row>
    <row r="12540">
      <c r="A12540" t="str">
        <f>IFERROR(__xludf.DUMMYFUNCTION("""COMPUTED_VALUE"""),"DA005BB")</f>
        <v>DA005BB</v>
      </c>
      <c r="B12540" s="226" t="str">
        <f>IFERROR(__xludf.DUMMYFUNCTION("""COMPUTED_VALUE"""),"8717323017203")</f>
        <v>8717323017203</v>
      </c>
      <c r="C12540" t="str">
        <f>IFERROR(__xludf.DUMMYFUNCTION("""COMPUTED_VALUE"""),"ECS")</f>
        <v>ECS</v>
      </c>
    </row>
    <row r="12541">
      <c r="A12541" t="str">
        <f>IFERROR(__xludf.DUMMYFUNCTION("""COMPUTED_VALUE"""),"DA005DL")</f>
        <v>DA005DL</v>
      </c>
      <c r="B12541" s="226" t="str">
        <f>IFERROR(__xludf.DUMMYFUNCTION("""COMPUTED_VALUE"""),"8717323016480")</f>
        <v>8717323016480</v>
      </c>
      <c r="C12541" t="str">
        <f>IFERROR(__xludf.DUMMYFUNCTION("""COMPUTED_VALUE"""),"ECS")</f>
        <v>ECS</v>
      </c>
    </row>
    <row r="12542">
      <c r="A12542" t="str">
        <f>IFERROR(__xludf.DUMMYFUNCTION("""COMPUTED_VALUE"""),"DA005BB")</f>
        <v>DA005BB</v>
      </c>
      <c r="B12542" s="226" t="str">
        <f>IFERROR(__xludf.DUMMYFUNCTION("""COMPUTED_VALUE"""),"8717323017203")</f>
        <v>8717323017203</v>
      </c>
      <c r="C12542" t="str">
        <f>IFERROR(__xludf.DUMMYFUNCTION("""COMPUTED_VALUE"""),"ECS")</f>
        <v>ECS</v>
      </c>
    </row>
    <row r="12543">
      <c r="A12543" t="str">
        <f>IFERROR(__xludf.DUMMYFUNCTION("""COMPUTED_VALUE"""),"DA005DL")</f>
        <v>DA005DL</v>
      </c>
      <c r="B12543" s="226" t="str">
        <f>IFERROR(__xludf.DUMMYFUNCTION("""COMPUTED_VALUE"""),"8717323016480")</f>
        <v>8717323016480</v>
      </c>
      <c r="C12543" t="str">
        <f>IFERROR(__xludf.DUMMYFUNCTION("""COMPUTED_VALUE"""),"ECS")</f>
        <v>ECS</v>
      </c>
    </row>
    <row r="12544">
      <c r="A12544" t="str">
        <f>IFERROR(__xludf.DUMMYFUNCTION("""COMPUTED_VALUE"""),"DA015BB")</f>
        <v>DA015BB</v>
      </c>
      <c r="B12544" s="226" t="str">
        <f>IFERROR(__xludf.DUMMYFUNCTION("""COMPUTED_VALUE"""),"8717323056745")</f>
        <v>8717323056745</v>
      </c>
      <c r="C12544" t="str">
        <f>IFERROR(__xludf.DUMMYFUNCTION("""COMPUTED_VALUE"""),"ECS")</f>
        <v>ECS</v>
      </c>
    </row>
    <row r="12545">
      <c r="A12545" t="str">
        <f>IFERROR(__xludf.DUMMYFUNCTION("""COMPUTED_VALUE"""),"DA015DL")</f>
        <v>DA015DL</v>
      </c>
      <c r="B12545" s="226" t="str">
        <f>IFERROR(__xludf.DUMMYFUNCTION("""COMPUTED_VALUE"""),"8717323056752")</f>
        <v>8717323056752</v>
      </c>
      <c r="C12545" t="str">
        <f>IFERROR(__xludf.DUMMYFUNCTION("""COMPUTED_VALUE"""),"ECS")</f>
        <v>ECS</v>
      </c>
    </row>
    <row r="12546">
      <c r="A12546" t="str">
        <f>IFERROR(__xludf.DUMMYFUNCTION("""COMPUTED_VALUE"""),"DA001BB")</f>
        <v>DA001BB</v>
      </c>
      <c r="B12546" s="226" t="str">
        <f>IFERROR(__xludf.DUMMYFUNCTION("""COMPUTED_VALUE"""),"8717323015001")</f>
        <v>8717323015001</v>
      </c>
      <c r="C12546" t="str">
        <f>IFERROR(__xludf.DUMMYFUNCTION("""COMPUTED_VALUE"""),"ECS")</f>
        <v>ECS</v>
      </c>
    </row>
    <row r="12547">
      <c r="A12547" t="str">
        <f>IFERROR(__xludf.DUMMYFUNCTION("""COMPUTED_VALUE"""),"DA001DL")</f>
        <v>DA001DL</v>
      </c>
      <c r="B12547" s="226" t="str">
        <f>IFERROR(__xludf.DUMMYFUNCTION("""COMPUTED_VALUE"""),"8717323015018")</f>
        <v>8717323015018</v>
      </c>
      <c r="C12547" t="str">
        <f>IFERROR(__xludf.DUMMYFUNCTION("""COMPUTED_VALUE"""),"ECS")</f>
        <v>ECS</v>
      </c>
    </row>
    <row r="12548">
      <c r="A12548" t="str">
        <f>IFERROR(__xludf.DUMMYFUNCTION("""COMPUTED_VALUE"""),"DA005BB")</f>
        <v>DA005BB</v>
      </c>
      <c r="B12548" s="226" t="str">
        <f>IFERROR(__xludf.DUMMYFUNCTION("""COMPUTED_VALUE"""),"8717323017203")</f>
        <v>8717323017203</v>
      </c>
      <c r="C12548" t="str">
        <f>IFERROR(__xludf.DUMMYFUNCTION("""COMPUTED_VALUE"""),"ECS")</f>
        <v>ECS</v>
      </c>
    </row>
    <row r="12549">
      <c r="A12549" t="str">
        <f>IFERROR(__xludf.DUMMYFUNCTION("""COMPUTED_VALUE"""),"DA005DL")</f>
        <v>DA005DL</v>
      </c>
      <c r="B12549" s="226" t="str">
        <f>IFERROR(__xludf.DUMMYFUNCTION("""COMPUTED_VALUE"""),"8717323016480")</f>
        <v>8717323016480</v>
      </c>
      <c r="C12549" t="str">
        <f>IFERROR(__xludf.DUMMYFUNCTION("""COMPUTED_VALUE"""),"ECS")</f>
        <v>ECS</v>
      </c>
    </row>
    <row r="12550">
      <c r="A12550" t="str">
        <f>IFERROR(__xludf.DUMMYFUNCTION("""COMPUTED_VALUE"""),"DA012BB")</f>
        <v>DA012BB</v>
      </c>
      <c r="B12550" s="226" t="str">
        <f>IFERROR(__xludf.DUMMYFUNCTION("""COMPUTED_VALUE"""),"8717323049129")</f>
        <v>8717323049129</v>
      </c>
      <c r="C12550" t="str">
        <f>IFERROR(__xludf.DUMMYFUNCTION("""COMPUTED_VALUE"""),"ECS")</f>
        <v>ECS</v>
      </c>
    </row>
    <row r="12551">
      <c r="A12551" t="str">
        <f>IFERROR(__xludf.DUMMYFUNCTION("""COMPUTED_VALUE"""),"DA012DH")</f>
        <v>DA012DH</v>
      </c>
      <c r="B12551" s="226" t="str">
        <f>IFERROR(__xludf.DUMMYFUNCTION("""COMPUTED_VALUE"""),"8717323049136")</f>
        <v>8717323049136</v>
      </c>
      <c r="C12551" t="str">
        <f>IFERROR(__xludf.DUMMYFUNCTION("""COMPUTED_VALUE"""),"ECS")</f>
        <v>ECS</v>
      </c>
    </row>
    <row r="12552">
      <c r="A12552" t="str">
        <f>IFERROR(__xludf.DUMMYFUNCTION("""COMPUTED_VALUE"""),"DA005BB")</f>
        <v>DA005BB</v>
      </c>
      <c r="B12552" s="226" t="str">
        <f>IFERROR(__xludf.DUMMYFUNCTION("""COMPUTED_VALUE"""),"8717323017203")</f>
        <v>8717323017203</v>
      </c>
      <c r="C12552" t="str">
        <f>IFERROR(__xludf.DUMMYFUNCTION("""COMPUTED_VALUE"""),"ECS")</f>
        <v>ECS</v>
      </c>
    </row>
    <row r="12553">
      <c r="A12553" t="str">
        <f>IFERROR(__xludf.DUMMYFUNCTION("""COMPUTED_VALUE"""),"DA005DL")</f>
        <v>DA005DL</v>
      </c>
      <c r="B12553" s="226" t="str">
        <f>IFERROR(__xludf.DUMMYFUNCTION("""COMPUTED_VALUE"""),"8717323016480")</f>
        <v>8717323016480</v>
      </c>
      <c r="C12553" t="str">
        <f>IFERROR(__xludf.DUMMYFUNCTION("""COMPUTED_VALUE"""),"ECS")</f>
        <v>ECS</v>
      </c>
    </row>
    <row r="12554">
      <c r="A12554" t="str">
        <f>IFERROR(__xludf.DUMMYFUNCTION("""COMPUTED_VALUE"""),"DA002BB")</f>
        <v>DA002BB</v>
      </c>
      <c r="B12554" s="226" t="str">
        <f>IFERROR(__xludf.DUMMYFUNCTION("""COMPUTED_VALUE"""),"8717323016671")</f>
        <v>8717323016671</v>
      </c>
      <c r="C12554" t="str">
        <f>IFERROR(__xludf.DUMMYFUNCTION("""COMPUTED_VALUE"""),"ECS")</f>
        <v>ECS</v>
      </c>
    </row>
    <row r="12555">
      <c r="A12555" t="str">
        <f>IFERROR(__xludf.DUMMYFUNCTION("""COMPUTED_VALUE"""),"DA002DL")</f>
        <v>DA002DL</v>
      </c>
      <c r="B12555" s="226" t="str">
        <f>IFERROR(__xludf.DUMMYFUNCTION("""COMPUTED_VALUE"""),"8717323016688")</f>
        <v>8717323016688</v>
      </c>
      <c r="C12555" t="str">
        <f>IFERROR(__xludf.DUMMYFUNCTION("""COMPUTED_VALUE"""),"ECS")</f>
        <v>ECS</v>
      </c>
    </row>
    <row r="12556">
      <c r="A12556" t="str">
        <f>IFERROR(__xludf.DUMMYFUNCTION("""COMPUTED_VALUE"""),"DA009BB")</f>
        <v>DA009BB</v>
      </c>
      <c r="B12556" s="226" t="str">
        <f>IFERROR(__xludf.DUMMYFUNCTION("""COMPUTED_VALUE"""),"8717323045459")</f>
        <v>8717323045459</v>
      </c>
      <c r="C12556" t="str">
        <f>IFERROR(__xludf.DUMMYFUNCTION("""COMPUTED_VALUE"""),"ECS")</f>
        <v>ECS</v>
      </c>
    </row>
    <row r="12557">
      <c r="A12557" t="str">
        <f>IFERROR(__xludf.DUMMYFUNCTION("""COMPUTED_VALUE"""),"DA009DL")</f>
        <v>DA009DL</v>
      </c>
      <c r="B12557" s="226" t="str">
        <f>IFERROR(__xludf.DUMMYFUNCTION("""COMPUTED_VALUE"""),"8717323045466")</f>
        <v>8717323045466</v>
      </c>
      <c r="C12557" t="str">
        <f>IFERROR(__xludf.DUMMYFUNCTION("""COMPUTED_VALUE"""),"ECS")</f>
        <v>ECS</v>
      </c>
    </row>
    <row r="12558">
      <c r="A12558" t="str">
        <f>IFERROR(__xludf.DUMMYFUNCTION("""COMPUTED_VALUE"""),"DA019BL")</f>
        <v>DA019BL</v>
      </c>
      <c r="B12558" s="226" t="str">
        <f>IFERROR(__xludf.DUMMYFUNCTION("""COMPUTED_VALUE"""),"8717323061169")</f>
        <v>8717323061169</v>
      </c>
      <c r="C12558" t="str">
        <f>IFERROR(__xludf.DUMMYFUNCTION("""COMPUTED_VALUE"""),"ECS")</f>
        <v>ECS</v>
      </c>
    </row>
    <row r="12559">
      <c r="A12559" t="str">
        <f>IFERROR(__xludf.DUMMYFUNCTION("""COMPUTED_VALUE"""),"DA019DL")</f>
        <v>DA019DL</v>
      </c>
      <c r="B12559" s="226" t="str">
        <f>IFERROR(__xludf.DUMMYFUNCTION("""COMPUTED_VALUE"""),"8717323061176")</f>
        <v>8717323061176</v>
      </c>
      <c r="C12559" t="str">
        <f>IFERROR(__xludf.DUMMYFUNCTION("""COMPUTED_VALUE"""),"ECS")</f>
        <v>ECS</v>
      </c>
    </row>
    <row r="12560">
      <c r="A12560" t="str">
        <f>IFERROR(__xludf.DUMMYFUNCTION("""COMPUTED_VALUE"""),"DA009BB")</f>
        <v>DA009BB</v>
      </c>
      <c r="B12560" s="226" t="str">
        <f>IFERROR(__xludf.DUMMYFUNCTION("""COMPUTED_VALUE"""),"8717323045459")</f>
        <v>8717323045459</v>
      </c>
      <c r="C12560" t="str">
        <f>IFERROR(__xludf.DUMMYFUNCTION("""COMPUTED_VALUE"""),"ECS")</f>
        <v>ECS</v>
      </c>
    </row>
    <row r="12561">
      <c r="A12561" t="str">
        <f>IFERROR(__xludf.DUMMYFUNCTION("""COMPUTED_VALUE"""),"DA009DL")</f>
        <v>DA009DL</v>
      </c>
      <c r="B12561" s="226" t="str">
        <f>IFERROR(__xludf.DUMMYFUNCTION("""COMPUTED_VALUE"""),"8717323045466")</f>
        <v>8717323045466</v>
      </c>
      <c r="C12561" t="str">
        <f>IFERROR(__xludf.DUMMYFUNCTION("""COMPUTED_VALUE"""),"ECS")</f>
        <v>ECS</v>
      </c>
    </row>
    <row r="12562">
      <c r="A12562" t="str">
        <f>IFERROR(__xludf.DUMMYFUNCTION("""COMPUTED_VALUE"""),"DA019BL")</f>
        <v>DA019BL</v>
      </c>
      <c r="B12562" s="226" t="str">
        <f>IFERROR(__xludf.DUMMYFUNCTION("""COMPUTED_VALUE"""),"8717323061169")</f>
        <v>8717323061169</v>
      </c>
      <c r="C12562" t="str">
        <f>IFERROR(__xludf.DUMMYFUNCTION("""COMPUTED_VALUE"""),"ECS")</f>
        <v>ECS</v>
      </c>
    </row>
    <row r="12563">
      <c r="A12563" t="str">
        <f>IFERROR(__xludf.DUMMYFUNCTION("""COMPUTED_VALUE"""),"DA019DL")</f>
        <v>DA019DL</v>
      </c>
      <c r="B12563" s="226" t="str">
        <f>IFERROR(__xludf.DUMMYFUNCTION("""COMPUTED_VALUE"""),"8717323061176")</f>
        <v>8717323061176</v>
      </c>
      <c r="C12563" t="str">
        <f>IFERROR(__xludf.DUMMYFUNCTION("""COMPUTED_VALUE"""),"ECS")</f>
        <v>ECS</v>
      </c>
    </row>
    <row r="12564">
      <c r="A12564" t="str">
        <f>IFERROR(__xludf.DUMMYFUNCTION("""COMPUTED_VALUE"""),"DA016BB")</f>
        <v>DA016BB</v>
      </c>
      <c r="B12564" s="226" t="str">
        <f>IFERROR(__xludf.DUMMYFUNCTION("""COMPUTED_VALUE"""),"8717323057162")</f>
        <v>8717323057162</v>
      </c>
      <c r="C12564" t="str">
        <f>IFERROR(__xludf.DUMMYFUNCTION("""COMPUTED_VALUE"""),"ECS")</f>
        <v>ECS</v>
      </c>
    </row>
    <row r="12565">
      <c r="A12565" t="str">
        <f>IFERROR(__xludf.DUMMYFUNCTION("""COMPUTED_VALUE"""),"DA016DH")</f>
        <v>DA016DH</v>
      </c>
      <c r="B12565" s="226" t="str">
        <f>IFERROR(__xludf.DUMMYFUNCTION("""COMPUTED_VALUE"""),"8717323057179")</f>
        <v>8717323057179</v>
      </c>
      <c r="C12565" t="str">
        <f>IFERROR(__xludf.DUMMYFUNCTION("""COMPUTED_VALUE"""),"ECS")</f>
        <v>ECS</v>
      </c>
    </row>
    <row r="12566">
      <c r="A12566" t="str">
        <f>IFERROR(__xludf.DUMMYFUNCTION("""COMPUTED_VALUE"""),"DU009BB")</f>
        <v>DU009BB</v>
      </c>
      <c r="B12566" s="226" t="str">
        <f>IFERROR(__xludf.DUMMYFUNCTION("""COMPUTED_VALUE"""),"8717323011898")</f>
        <v>8717323011898</v>
      </c>
      <c r="C12566" t="str">
        <f>IFERROR(__xludf.DUMMYFUNCTION("""COMPUTED_VALUE"""),"ECS")</f>
        <v>ECS</v>
      </c>
    </row>
    <row r="12567">
      <c r="A12567" t="str">
        <f>IFERROR(__xludf.DUMMYFUNCTION("""COMPUTED_VALUE"""),"DU009BL")</f>
        <v>DU009BL</v>
      </c>
      <c r="B12567" s="226" t="str">
        <f>IFERROR(__xludf.DUMMYFUNCTION("""COMPUTED_VALUE"""),"8717323018583")</f>
        <v>8717323018583</v>
      </c>
      <c r="C12567" t="str">
        <f>IFERROR(__xludf.DUMMYFUNCTION("""COMPUTED_VALUE"""),"ECS")</f>
        <v>ECS</v>
      </c>
    </row>
    <row r="12568">
      <c r="A12568" t="str">
        <f>IFERROR(__xludf.DUMMYFUNCTION("""COMPUTED_VALUE"""),"DU014BB")</f>
        <v>DU014BB</v>
      </c>
      <c r="B12568" s="226" t="str">
        <f>IFERROR(__xludf.DUMMYFUNCTION("""COMPUTED_VALUE"""),"8717323015131")</f>
        <v>8717323015131</v>
      </c>
      <c r="C12568" t="str">
        <f>IFERROR(__xludf.DUMMYFUNCTION("""COMPUTED_VALUE"""),"ECS")</f>
        <v>ECS</v>
      </c>
    </row>
    <row r="12569">
      <c r="A12569" t="str">
        <f>IFERROR(__xludf.DUMMYFUNCTION("""COMPUTED_VALUE"""),"DU014DL")</f>
        <v>DU014DL</v>
      </c>
      <c r="B12569" s="226" t="str">
        <f>IFERROR(__xludf.DUMMYFUNCTION("""COMPUTED_VALUE"""),"8717323015148")</f>
        <v>8717323015148</v>
      </c>
      <c r="C12569" t="str">
        <f>IFERROR(__xludf.DUMMYFUNCTION("""COMPUTED_VALUE"""),"ECS")</f>
        <v>ECS</v>
      </c>
    </row>
    <row r="12570">
      <c r="A12570" t="str">
        <f>IFERROR(__xludf.DUMMYFUNCTION("""COMPUTED_VALUE"""),"DU013BB")</f>
        <v>DU013BB</v>
      </c>
      <c r="B12570" s="226" t="str">
        <f>IFERROR(__xludf.DUMMYFUNCTION("""COMPUTED_VALUE"""),"8717323014271")</f>
        <v>8717323014271</v>
      </c>
      <c r="C12570" t="str">
        <f>IFERROR(__xludf.DUMMYFUNCTION("""COMPUTED_VALUE"""),"ECS")</f>
        <v>ECS</v>
      </c>
    </row>
    <row r="12571">
      <c r="A12571" t="str">
        <f>IFERROR(__xludf.DUMMYFUNCTION("""COMPUTED_VALUE"""),"DU013BL")</f>
        <v>DU013BL</v>
      </c>
      <c r="B12571" s="226" t="str">
        <f>IFERROR(__xludf.DUMMYFUNCTION("""COMPUTED_VALUE"""),"8717323014288")</f>
        <v>8717323014288</v>
      </c>
      <c r="C12571" t="str">
        <f>IFERROR(__xludf.DUMMYFUNCTION("""COMPUTED_VALUE"""),"ECS")</f>
        <v>ECS</v>
      </c>
    </row>
    <row r="12572">
      <c r="A12572" t="str">
        <f>IFERROR(__xludf.DUMMYFUNCTION("""COMPUTED_VALUE"""),"DU013DL")</f>
        <v>DU013DL</v>
      </c>
      <c r="B12572" s="226" t="str">
        <f>IFERROR(__xludf.DUMMYFUNCTION("""COMPUTED_VALUE"""),"8717323014301")</f>
        <v>8717323014301</v>
      </c>
      <c r="C12572" t="str">
        <f>IFERROR(__xludf.DUMMYFUNCTION("""COMPUTED_VALUE"""),"ECS")</f>
        <v>ECS</v>
      </c>
    </row>
    <row r="12573">
      <c r="A12573" t="str">
        <f>IFERROR(__xludf.DUMMYFUNCTION("""COMPUTED_VALUE"""),"DU010BB")</f>
        <v>DU010BB</v>
      </c>
      <c r="B12573" s="226" t="str">
        <f>IFERROR(__xludf.DUMMYFUNCTION("""COMPUTED_VALUE"""),"8717323010785")</f>
        <v>8717323010785</v>
      </c>
      <c r="C12573" t="str">
        <f>IFERROR(__xludf.DUMMYFUNCTION("""COMPUTED_VALUE"""),"ECS")</f>
        <v>ECS</v>
      </c>
    </row>
    <row r="12574">
      <c r="A12574" t="str">
        <f>IFERROR(__xludf.DUMMYFUNCTION("""COMPUTED_VALUE"""),"DU010DL")</f>
        <v>DU010DL</v>
      </c>
      <c r="B12574" s="226" t="str">
        <f>IFERROR(__xludf.DUMMYFUNCTION("""COMPUTED_VALUE"""),"8717323010792")</f>
        <v>8717323010792</v>
      </c>
      <c r="C12574" t="str">
        <f>IFERROR(__xludf.DUMMYFUNCTION("""COMPUTED_VALUE"""),"ECS")</f>
        <v>ECS</v>
      </c>
    </row>
    <row r="12575">
      <c r="A12575" t="str">
        <f>IFERROR(__xludf.DUMMYFUNCTION("""COMPUTED_VALUE"""),"DU012BB")</f>
        <v>DU012BB</v>
      </c>
      <c r="B12575" s="226" t="str">
        <f>IFERROR(__xludf.DUMMYFUNCTION("""COMPUTED_VALUE"""),"8717323014059")</f>
        <v>8717323014059</v>
      </c>
      <c r="C12575" t="str">
        <f>IFERROR(__xludf.DUMMYFUNCTION("""COMPUTED_VALUE"""),"ECS")</f>
        <v>ECS</v>
      </c>
    </row>
    <row r="12576">
      <c r="A12576" t="str">
        <f>IFERROR(__xludf.DUMMYFUNCTION("""COMPUTED_VALUE"""),"DAI932L")</f>
        <v>DAI932L</v>
      </c>
      <c r="B12576" s="226" t="str">
        <f>IFERROR(__xludf.DUMMYFUNCTION("""COMPUTED_VALUE"""),"8717323018484")</f>
        <v>8717323018484</v>
      </c>
      <c r="C12576" t="str">
        <f>IFERROR(__xludf.DUMMYFUNCTION("""COMPUTED_VALUE"""),"ECS")</f>
        <v>ECS</v>
      </c>
    </row>
    <row r="12577">
      <c r="A12577" t="str">
        <f>IFERROR(__xludf.DUMMYFUNCTION("""COMPUTED_VALUE"""),"DU011BB")</f>
        <v>DU011BB</v>
      </c>
      <c r="B12577" s="226" t="str">
        <f>IFERROR(__xludf.DUMMYFUNCTION("""COMPUTED_VALUE"""),"8717323013472")</f>
        <v>8717323013472</v>
      </c>
      <c r="C12577" t="str">
        <f>IFERROR(__xludf.DUMMYFUNCTION("""COMPUTED_VALUE"""),"ECS")</f>
        <v>ECS</v>
      </c>
    </row>
    <row r="12578">
      <c r="A12578" t="str">
        <f>IFERROR(__xludf.DUMMYFUNCTION("""COMPUTED_VALUE"""),"DU011BL")</f>
        <v>DU011BL</v>
      </c>
      <c r="B12578" s="226" t="str">
        <f>IFERROR(__xludf.DUMMYFUNCTION("""COMPUTED_VALUE"""),"8717323013489")</f>
        <v>8717323013489</v>
      </c>
      <c r="C12578" t="str">
        <f>IFERROR(__xludf.DUMMYFUNCTION("""COMPUTED_VALUE"""),"ECS")</f>
        <v>ECS</v>
      </c>
    </row>
    <row r="12579">
      <c r="A12579" t="str">
        <f>IFERROR(__xludf.DUMMYFUNCTION("""COMPUTED_VALUE"""),"DU011DB")</f>
        <v>DU011DB</v>
      </c>
      <c r="B12579" s="226" t="str">
        <f>IFERROR(__xludf.DUMMYFUNCTION("""COMPUTED_VALUE"""),"8717323013496")</f>
        <v>8717323013496</v>
      </c>
      <c r="C12579" t="str">
        <f>IFERROR(__xludf.DUMMYFUNCTION("""COMPUTED_VALUE"""),"ECS")</f>
        <v>ECS</v>
      </c>
    </row>
    <row r="12580">
      <c r="A12580" t="str">
        <f>IFERROR(__xludf.DUMMYFUNCTION("""COMPUTED_VALUE"""),"DU011DL")</f>
        <v>DU011DL</v>
      </c>
      <c r="B12580" s="226" t="str">
        <f>IFERROR(__xludf.DUMMYFUNCTION("""COMPUTED_VALUE"""),"8717323013502")</f>
        <v>8717323013502</v>
      </c>
      <c r="C12580" t="str">
        <f>IFERROR(__xludf.DUMMYFUNCTION("""COMPUTED_VALUE"""),"ECS")</f>
        <v>ECS</v>
      </c>
    </row>
    <row r="12581">
      <c r="A12581" t="str">
        <f>IFERROR(__xludf.DUMMYFUNCTION("""COMPUTED_VALUE"""),"CR034BH")</f>
        <v>CR034BH</v>
      </c>
      <c r="B12581" s="226" t="str">
        <f>IFERROR(__xludf.DUMMYFUNCTION("""COMPUTED_VALUE"""),"8717323049488")</f>
        <v>8717323049488</v>
      </c>
      <c r="C12581" t="str">
        <f>IFERROR(__xludf.DUMMYFUNCTION("""COMPUTED_VALUE"""),"ECS")</f>
        <v>ECS</v>
      </c>
    </row>
    <row r="12582">
      <c r="A12582" t="str">
        <f>IFERROR(__xludf.DUMMYFUNCTION("""COMPUTED_VALUE"""),"CR034HH")</f>
        <v>CR034HH</v>
      </c>
      <c r="B12582" s="226" t="str">
        <f>IFERROR(__xludf.DUMMYFUNCTION("""COMPUTED_VALUE"""),"8717323014011")</f>
        <v>8717323014011</v>
      </c>
      <c r="C12582" t="str">
        <f>IFERROR(__xludf.DUMMYFUNCTION("""COMPUTED_VALUE"""),"ECS")</f>
        <v>ECS</v>
      </c>
    </row>
    <row r="12583">
      <c r="A12583" t="str">
        <f>IFERROR(__xludf.DUMMYFUNCTION("""COMPUTED_VALUE"""),"CR060BB")</f>
        <v>CR060BB</v>
      </c>
      <c r="B12583" s="226" t="str">
        <f>IFERROR(__xludf.DUMMYFUNCTION("""COMPUTED_VALUE"""),"8717323025581")</f>
        <v>8717323025581</v>
      </c>
      <c r="C12583" t="str">
        <f>IFERROR(__xludf.DUMMYFUNCTION("""COMPUTED_VALUE"""),"ECS")</f>
        <v>ECS</v>
      </c>
    </row>
    <row r="12584">
      <c r="A12584" t="str">
        <f>IFERROR(__xludf.DUMMYFUNCTION("""COMPUTED_VALUE"""),"CR060DH")</f>
        <v>CR060DH</v>
      </c>
      <c r="B12584" s="226" t="str">
        <f>IFERROR(__xludf.DUMMYFUNCTION("""COMPUTED_VALUE"""),"8717323025598")</f>
        <v>8717323025598</v>
      </c>
      <c r="C12584" t="str">
        <f>IFERROR(__xludf.DUMMYFUNCTION("""COMPUTED_VALUE"""),"ECS")</f>
        <v>ECS</v>
      </c>
    </row>
    <row r="12585">
      <c r="A12585" t="str">
        <f>IFERROR(__xludf.DUMMYFUNCTION("""COMPUTED_VALUE"""),"CR049DH")</f>
        <v>CR049DH</v>
      </c>
      <c r="B12585" s="226" t="str">
        <f>IFERROR(__xludf.DUMMYFUNCTION("""COMPUTED_VALUE"""),"8717323015759")</f>
        <v>8717323015759</v>
      </c>
      <c r="C12585" t="str">
        <f>IFERROR(__xludf.DUMMYFUNCTION("""COMPUTED_VALUE"""),"ECS")</f>
        <v>ECS</v>
      </c>
    </row>
    <row r="12586">
      <c r="A12586" t="str">
        <f>IFERROR(__xludf.DUMMYFUNCTION("""COMPUTED_VALUE"""),"CT050B1")</f>
        <v>CT050B1</v>
      </c>
      <c r="B12586" s="226" t="str">
        <f>IFERROR(__xludf.DUMMYFUNCTION("""COMPUTED_VALUE"""),"8717323024065")</f>
        <v>8717323024065</v>
      </c>
      <c r="C12586" t="str">
        <f>IFERROR(__xludf.DUMMYFUNCTION("""COMPUTED_VALUE"""),"ECS")</f>
        <v>ECS</v>
      </c>
    </row>
    <row r="12587">
      <c r="A12587" t="str">
        <f>IFERROR(__xludf.DUMMYFUNCTION("""COMPUTED_VALUE"""),"CT050D1")</f>
        <v>CT050D1</v>
      </c>
      <c r="B12587" s="226" t="str">
        <f>IFERROR(__xludf.DUMMYFUNCTION("""COMPUTED_VALUE"""),"8717323024133")</f>
        <v>8717323024133</v>
      </c>
      <c r="C12587" t="str">
        <f>IFERROR(__xludf.DUMMYFUNCTION("""COMPUTED_VALUE"""),"ECS")</f>
        <v>ECS</v>
      </c>
    </row>
    <row r="12588">
      <c r="A12588" t="str">
        <f>IFERROR(__xludf.DUMMYFUNCTION("""COMPUTED_VALUE"""),"OP077B1")</f>
        <v>OP077B1</v>
      </c>
      <c r="B12588" s="226" t="str">
        <f>IFERROR(__xludf.DUMMYFUNCTION("""COMPUTED_VALUE"""),"8717323068175")</f>
        <v>8717323068175</v>
      </c>
      <c r="C12588" t="str">
        <f>IFERROR(__xludf.DUMMYFUNCTION("""COMPUTED_VALUE"""),"ECS")</f>
        <v>ECS</v>
      </c>
    </row>
    <row r="12589">
      <c r="A12589" t="str">
        <f>IFERROR(__xludf.DUMMYFUNCTION("""COMPUTED_VALUE"""),"OP077D1")</f>
        <v>OP077D1</v>
      </c>
      <c r="B12589" s="226" t="str">
        <f>IFERROR(__xludf.DUMMYFUNCTION("""COMPUTED_VALUE"""),"8717323068182")</f>
        <v>8717323068182</v>
      </c>
      <c r="C12589" t="str">
        <f>IFERROR(__xludf.DUMMYFUNCTION("""COMPUTED_VALUE"""),"ECS")</f>
        <v>ECS</v>
      </c>
    </row>
    <row r="12590">
      <c r="A12590" t="str">
        <f>IFERROR(__xludf.DUMMYFUNCTION("""COMPUTED_VALUE"""),"CT050B1")</f>
        <v>CT050B1</v>
      </c>
      <c r="B12590" s="226" t="str">
        <f>IFERROR(__xludf.DUMMYFUNCTION("""COMPUTED_VALUE"""),"8717323024065")</f>
        <v>8717323024065</v>
      </c>
      <c r="C12590" t="str">
        <f>IFERROR(__xludf.DUMMYFUNCTION("""COMPUTED_VALUE"""),"ECS")</f>
        <v>ECS</v>
      </c>
    </row>
    <row r="12591">
      <c r="A12591" t="str">
        <f>IFERROR(__xludf.DUMMYFUNCTION("""COMPUTED_VALUE"""),"CT050D1")</f>
        <v>CT050D1</v>
      </c>
      <c r="B12591" s="226" t="str">
        <f>IFERROR(__xludf.DUMMYFUNCTION("""COMPUTED_VALUE"""),"8717323024133")</f>
        <v>8717323024133</v>
      </c>
      <c r="C12591" t="str">
        <f>IFERROR(__xludf.DUMMYFUNCTION("""COMPUTED_VALUE"""),"ECS")</f>
        <v>ECS</v>
      </c>
    </row>
    <row r="12592">
      <c r="A12592" t="str">
        <f>IFERROR(__xludf.DUMMYFUNCTION("""COMPUTED_VALUE"""),"OP077B1")</f>
        <v>OP077B1</v>
      </c>
      <c r="B12592" s="226" t="str">
        <f>IFERROR(__xludf.DUMMYFUNCTION("""COMPUTED_VALUE"""),"8717323068175")</f>
        <v>8717323068175</v>
      </c>
      <c r="C12592" t="str">
        <f>IFERROR(__xludf.DUMMYFUNCTION("""COMPUTED_VALUE"""),"ECS")</f>
        <v>ECS</v>
      </c>
    </row>
    <row r="12593">
      <c r="A12593" t="str">
        <f>IFERROR(__xludf.DUMMYFUNCTION("""COMPUTED_VALUE"""),"OP077D1")</f>
        <v>OP077D1</v>
      </c>
      <c r="B12593" s="226" t="str">
        <f>IFERROR(__xludf.DUMMYFUNCTION("""COMPUTED_VALUE"""),"8717323068182")</f>
        <v>8717323068182</v>
      </c>
      <c r="C12593" t="str">
        <f>IFERROR(__xludf.DUMMYFUNCTION("""COMPUTED_VALUE"""),"ECS")</f>
        <v>ECS</v>
      </c>
    </row>
    <row r="12594">
      <c r="A12594" t="str">
        <f>IFERROR(__xludf.DUMMYFUNCTION("""COMPUTED_VALUE"""),"OP077B1")</f>
        <v>OP077B1</v>
      </c>
      <c r="C12594" t="str">
        <f>IFERROR(__xludf.DUMMYFUNCTION("""COMPUTED_VALUE"""),"ECS")</f>
        <v>ECS</v>
      </c>
    </row>
    <row r="12595">
      <c r="A12595" t="str">
        <f>IFERROR(__xludf.DUMMYFUNCTION("""COMPUTED_VALUE"""),"OP077D1")</f>
        <v>OP077D1</v>
      </c>
      <c r="B12595" s="226" t="str">
        <f>IFERROR(__xludf.DUMMYFUNCTION("""COMPUTED_VALUE"""),"8717323068182")</f>
        <v>8717323068182</v>
      </c>
      <c r="C12595" t="str">
        <f>IFERROR(__xludf.DUMMYFUNCTION("""COMPUTED_VALUE"""),"ECS")</f>
        <v>ECS</v>
      </c>
    </row>
    <row r="12596">
      <c r="A12596" t="str">
        <f>IFERROR(__xludf.DUMMYFUNCTION("""COMPUTED_VALUE"""),"CT051B1")</f>
        <v>CT051B1</v>
      </c>
      <c r="B12596" s="226" t="str">
        <f>IFERROR(__xludf.DUMMYFUNCTION("""COMPUTED_VALUE"""),"8717323024560")</f>
        <v>8717323024560</v>
      </c>
      <c r="C12596" t="str">
        <f>IFERROR(__xludf.DUMMYFUNCTION("""COMPUTED_VALUE"""),"ECS")</f>
        <v>ECS</v>
      </c>
    </row>
    <row r="12597">
      <c r="A12597" t="str">
        <f>IFERROR(__xludf.DUMMYFUNCTION("""COMPUTED_VALUE"""),"CT051D1")</f>
        <v>CT051D1</v>
      </c>
      <c r="B12597" s="226" t="str">
        <f>IFERROR(__xludf.DUMMYFUNCTION("""COMPUTED_VALUE"""),"8717323024577")</f>
        <v>8717323024577</v>
      </c>
      <c r="C12597" t="str">
        <f>IFERROR(__xludf.DUMMYFUNCTION("""COMPUTED_VALUE"""),"ECS")</f>
        <v>ECS</v>
      </c>
    </row>
    <row r="12598">
      <c r="A12598" t="str">
        <f>IFERROR(__xludf.DUMMYFUNCTION("""COMPUTED_VALUE"""),"CT051B1")</f>
        <v>CT051B1</v>
      </c>
      <c r="B12598" s="226" t="str">
        <f>IFERROR(__xludf.DUMMYFUNCTION("""COMPUTED_VALUE"""),"8717323024560")</f>
        <v>8717323024560</v>
      </c>
      <c r="C12598" t="str">
        <f>IFERROR(__xludf.DUMMYFUNCTION("""COMPUTED_VALUE"""),"ECS")</f>
        <v>ECS</v>
      </c>
    </row>
    <row r="12599">
      <c r="A12599" t="str">
        <f>IFERROR(__xludf.DUMMYFUNCTION("""COMPUTED_VALUE"""),"CT051D1")</f>
        <v>CT051D1</v>
      </c>
      <c r="B12599" s="226" t="str">
        <f>IFERROR(__xludf.DUMMYFUNCTION("""COMPUTED_VALUE"""),"8717323024577")</f>
        <v>8717323024577</v>
      </c>
      <c r="C12599" t="str">
        <f>IFERROR(__xludf.DUMMYFUNCTION("""COMPUTED_VALUE"""),"ECS")</f>
        <v>ECS</v>
      </c>
    </row>
    <row r="12600">
      <c r="A12600" t="str">
        <f>IFERROR(__xludf.DUMMYFUNCTION("""COMPUTED_VALUE"""),"CT051B1")</f>
        <v>CT051B1</v>
      </c>
      <c r="B12600" s="226" t="str">
        <f>IFERROR(__xludf.DUMMYFUNCTION("""COMPUTED_VALUE"""),"8717323024560")</f>
        <v>8717323024560</v>
      </c>
      <c r="C12600" t="str">
        <f>IFERROR(__xludf.DUMMYFUNCTION("""COMPUTED_VALUE"""),"ECS")</f>
        <v>ECS</v>
      </c>
    </row>
    <row r="12601">
      <c r="A12601" t="str">
        <f>IFERROR(__xludf.DUMMYFUNCTION("""COMPUTED_VALUE"""),"CT051D1")</f>
        <v>CT051D1</v>
      </c>
      <c r="B12601" s="226" t="str">
        <f>IFERROR(__xludf.DUMMYFUNCTION("""COMPUTED_VALUE"""),"8717323024577")</f>
        <v>8717323024577</v>
      </c>
      <c r="C12601" t="str">
        <f>IFERROR(__xludf.DUMMYFUNCTION("""COMPUTED_VALUE"""),"ECS")</f>
        <v>ECS</v>
      </c>
    </row>
    <row r="12602">
      <c r="A12602" t="str">
        <f>IFERROR(__xludf.DUMMYFUNCTION("""COMPUTED_VALUE"""),"CT051B1")</f>
        <v>CT051B1</v>
      </c>
      <c r="B12602" s="226" t="str">
        <f>IFERROR(__xludf.DUMMYFUNCTION("""COMPUTED_VALUE"""),"8717323024560")</f>
        <v>8717323024560</v>
      </c>
      <c r="C12602" t="str">
        <f>IFERROR(__xludf.DUMMYFUNCTION("""COMPUTED_VALUE"""),"ECS")</f>
        <v>ECS</v>
      </c>
    </row>
    <row r="12603">
      <c r="A12603" t="str">
        <f>IFERROR(__xludf.DUMMYFUNCTION("""COMPUTED_VALUE"""),"CT051D1")</f>
        <v>CT051D1</v>
      </c>
      <c r="B12603" s="226" t="str">
        <f>IFERROR(__xludf.DUMMYFUNCTION("""COMPUTED_VALUE"""),"8717323024577")</f>
        <v>8717323024577</v>
      </c>
      <c r="C12603" t="str">
        <f>IFERROR(__xludf.DUMMYFUNCTION("""COMPUTED_VALUE"""),"ECS")</f>
        <v>ECS</v>
      </c>
    </row>
    <row r="12604">
      <c r="A12604" t="str">
        <f>IFERROR(__xludf.DUMMYFUNCTION("""COMPUTED_VALUE"""),"CT051B1")</f>
        <v>CT051B1</v>
      </c>
      <c r="B12604" s="226" t="str">
        <f>IFERROR(__xludf.DUMMYFUNCTION("""COMPUTED_VALUE"""),"8717323024560")</f>
        <v>8717323024560</v>
      </c>
      <c r="C12604" t="str">
        <f>IFERROR(__xludf.DUMMYFUNCTION("""COMPUTED_VALUE"""),"ECS")</f>
        <v>ECS</v>
      </c>
    </row>
    <row r="12605">
      <c r="A12605" t="str">
        <f>IFERROR(__xludf.DUMMYFUNCTION("""COMPUTED_VALUE"""),"CT051D1")</f>
        <v>CT051D1</v>
      </c>
      <c r="B12605" s="226" t="str">
        <f>IFERROR(__xludf.DUMMYFUNCTION("""COMPUTED_VALUE"""),"8717323024577")</f>
        <v>8717323024577</v>
      </c>
      <c r="C12605" t="str">
        <f>IFERROR(__xludf.DUMMYFUNCTION("""COMPUTED_VALUE"""),"ECS")</f>
        <v>ECS</v>
      </c>
    </row>
    <row r="12606">
      <c r="A12606" t="str">
        <f>IFERROR(__xludf.DUMMYFUNCTION("""COMPUTED_VALUE"""),"PE084B1")</f>
        <v>PE084B1</v>
      </c>
      <c r="B12606" s="226" t="str">
        <f>IFERROR(__xludf.DUMMYFUNCTION("""COMPUTED_VALUE"""),"8717323066409")</f>
        <v>8717323066409</v>
      </c>
      <c r="C12606" t="str">
        <f>IFERROR(__xludf.DUMMYFUNCTION("""COMPUTED_VALUE"""),"ECS")</f>
        <v>ECS</v>
      </c>
    </row>
    <row r="12607">
      <c r="A12607" t="str">
        <f>IFERROR(__xludf.DUMMYFUNCTION("""COMPUTED_VALUE"""),"PE084D1")</f>
        <v>PE084D1</v>
      </c>
      <c r="B12607" s="226" t="str">
        <f>IFERROR(__xludf.DUMMYFUNCTION("""COMPUTED_VALUE"""),"8717323066416")</f>
        <v>8717323066416</v>
      </c>
      <c r="C12607" t="str">
        <f>IFERROR(__xludf.DUMMYFUNCTION("""COMPUTED_VALUE"""),"ECS")</f>
        <v>ECS</v>
      </c>
    </row>
    <row r="12608">
      <c r="A12608" t="str">
        <f>IFERROR(__xludf.DUMMYFUNCTION("""COMPUTED_VALUE"""),"FI025BB")</f>
        <v>FI025BB</v>
      </c>
      <c r="B12608" s="226" t="str">
        <f>IFERROR(__xludf.DUMMYFUNCTION("""COMPUTED_VALUE"""),"8717323015827")</f>
        <v>8717323015827</v>
      </c>
      <c r="C12608" t="str">
        <f>IFERROR(__xludf.DUMMYFUNCTION("""COMPUTED_VALUE"""),"ECS")</f>
        <v>ECS</v>
      </c>
    </row>
    <row r="12609">
      <c r="A12609" t="str">
        <f>IFERROR(__xludf.DUMMYFUNCTION("""COMPUTED_VALUE"""),"FI025BL")</f>
        <v>FI025BL</v>
      </c>
      <c r="B12609" s="226" t="str">
        <f>IFERROR(__xludf.DUMMYFUNCTION("""COMPUTED_VALUE"""),"8717323027516")</f>
        <v>8717323027516</v>
      </c>
      <c r="C12609" t="str">
        <f>IFERROR(__xludf.DUMMYFUNCTION("""COMPUTED_VALUE"""),"ECS")</f>
        <v>ECS</v>
      </c>
    </row>
    <row r="12610">
      <c r="A12610" t="str">
        <f>IFERROR(__xludf.DUMMYFUNCTION("""COMPUTED_VALUE"""),"FI025DL")</f>
        <v>FI025DL</v>
      </c>
      <c r="B12610" s="226" t="str">
        <f>IFERROR(__xludf.DUMMYFUNCTION("""COMPUTED_VALUE"""),"8717323015834")</f>
        <v>8717323015834</v>
      </c>
      <c r="C12610" t="str">
        <f>IFERROR(__xludf.DUMMYFUNCTION("""COMPUTED_VALUE"""),"ECS")</f>
        <v>ECS</v>
      </c>
    </row>
    <row r="12611">
      <c r="A12611" t="str">
        <f>IFERROR(__xludf.DUMMYFUNCTION("""COMPUTED_VALUE"""),"FI045DH")</f>
        <v>FI045DH</v>
      </c>
      <c r="B12611" s="226" t="str">
        <f>IFERROR(__xludf.DUMMYFUNCTION("""COMPUTED_VALUE"""),"8717323054802")</f>
        <v>8717323054802</v>
      </c>
      <c r="C12611" t="str">
        <f>IFERROR(__xludf.DUMMYFUNCTION("""COMPUTED_VALUE"""),"ECS")</f>
        <v>ECS</v>
      </c>
    </row>
    <row r="12612">
      <c r="A12612" t="str">
        <f>IFERROR(__xludf.DUMMYFUNCTION("""COMPUTED_VALUE"""),"FI045DH")</f>
        <v>FI045DH</v>
      </c>
      <c r="B12612" s="226" t="str">
        <f>IFERROR(__xludf.DUMMYFUNCTION("""COMPUTED_VALUE"""),"8717323054802")</f>
        <v>8717323054802</v>
      </c>
      <c r="C12612" t="str">
        <f>IFERROR(__xludf.DUMMYFUNCTION("""COMPUTED_VALUE"""),"ECS")</f>
        <v>ECS</v>
      </c>
    </row>
    <row r="12613">
      <c r="A12613" t="str">
        <f>IFERROR(__xludf.DUMMYFUNCTION("""COMPUTED_VALUE"""),"FI040BB")</f>
        <v>FI040BB</v>
      </c>
      <c r="B12613" s="226" t="str">
        <f>IFERROR(__xludf.DUMMYFUNCTION("""COMPUTED_VALUE"""),"8717323029855")</f>
        <v>8717323029855</v>
      </c>
      <c r="C12613" t="str">
        <f>IFERROR(__xludf.DUMMYFUNCTION("""COMPUTED_VALUE"""),"ECS")</f>
        <v>ECS</v>
      </c>
    </row>
    <row r="12614">
      <c r="A12614" t="str">
        <f>IFERROR(__xludf.DUMMYFUNCTION("""COMPUTED_VALUE"""),"FI040DH")</f>
        <v>FI040DH</v>
      </c>
      <c r="B12614" s="226" t="str">
        <f>IFERROR(__xludf.DUMMYFUNCTION("""COMPUTED_VALUE"""),"8717323033647")</f>
        <v>8717323033647</v>
      </c>
      <c r="C12614" t="str">
        <f>IFERROR(__xludf.DUMMYFUNCTION("""COMPUTED_VALUE"""),"ECS")</f>
        <v>ECS</v>
      </c>
    </row>
    <row r="12615">
      <c r="A12615" t="str">
        <f>IFERROR(__xludf.DUMMYFUNCTION("""COMPUTED_VALUE"""),"FI040BB")</f>
        <v>FI040BB</v>
      </c>
      <c r="B12615" s="226" t="str">
        <f>IFERROR(__xludf.DUMMYFUNCTION("""COMPUTED_VALUE"""),"8717323029855")</f>
        <v>8717323029855</v>
      </c>
      <c r="C12615" t="str">
        <f>IFERROR(__xludf.DUMMYFUNCTION("""COMPUTED_VALUE"""),"ECS")</f>
        <v>ECS</v>
      </c>
    </row>
    <row r="12616">
      <c r="A12616" t="str">
        <f>IFERROR(__xludf.DUMMYFUNCTION("""COMPUTED_VALUE"""),"FI040DH")</f>
        <v>FI040DH</v>
      </c>
      <c r="B12616" s="226" t="str">
        <f>IFERROR(__xludf.DUMMYFUNCTION("""COMPUTED_VALUE"""),"8717323033647")</f>
        <v>8717323033647</v>
      </c>
      <c r="C12616" t="str">
        <f>IFERROR(__xludf.DUMMYFUNCTION("""COMPUTED_VALUE"""),"ECS")</f>
        <v>ECS</v>
      </c>
    </row>
    <row r="12617">
      <c r="A12617" t="str">
        <f>IFERROR(__xludf.DUMMYFUNCTION("""COMPUTED_VALUE"""),"FI040BB")</f>
        <v>FI040BB</v>
      </c>
      <c r="B12617" s="226" t="str">
        <f>IFERROR(__xludf.DUMMYFUNCTION("""COMPUTED_VALUE"""),"8717323029855")</f>
        <v>8717323029855</v>
      </c>
      <c r="C12617" t="str">
        <f>IFERROR(__xludf.DUMMYFUNCTION("""COMPUTED_VALUE"""),"ECS")</f>
        <v>ECS</v>
      </c>
    </row>
    <row r="12618">
      <c r="A12618" t="str">
        <f>IFERROR(__xludf.DUMMYFUNCTION("""COMPUTED_VALUE"""),"FI040DH")</f>
        <v>FI040DH</v>
      </c>
      <c r="B12618" s="226" t="str">
        <f>IFERROR(__xludf.DUMMYFUNCTION("""COMPUTED_VALUE"""),"8717323033647")</f>
        <v>8717323033647</v>
      </c>
      <c r="C12618" t="str">
        <f>IFERROR(__xludf.DUMMYFUNCTION("""COMPUTED_VALUE"""),"ECS")</f>
        <v>ECS</v>
      </c>
    </row>
    <row r="12619">
      <c r="A12619" t="str">
        <f>IFERROR(__xludf.DUMMYFUNCTION("""COMPUTED_VALUE"""),"FI044BX")</f>
        <v>FI044BX</v>
      </c>
      <c r="B12619" s="226" t="str">
        <f>IFERROR(__xludf.DUMMYFUNCTION("""COMPUTED_VALUE"""),"8717323052297")</f>
        <v>8717323052297</v>
      </c>
      <c r="C12619" t="str">
        <f>IFERROR(__xludf.DUMMYFUNCTION("""COMPUTED_VALUE"""),"ECS")</f>
        <v>ECS</v>
      </c>
    </row>
    <row r="12620">
      <c r="A12620" t="str">
        <f>IFERROR(__xludf.DUMMYFUNCTION("""COMPUTED_VALUE"""),"FI044DX")</f>
        <v>FI044DX</v>
      </c>
      <c r="B12620" s="226" t="str">
        <f>IFERROR(__xludf.DUMMYFUNCTION("""COMPUTED_VALUE"""),"8717323052303")</f>
        <v>8717323052303</v>
      </c>
      <c r="C12620" t="str">
        <f>IFERROR(__xludf.DUMMYFUNCTION("""COMPUTED_VALUE"""),"ECS")</f>
        <v>ECS</v>
      </c>
    </row>
    <row r="12621">
      <c r="A12621" t="str">
        <f>IFERROR(__xludf.DUMMYFUNCTION("""COMPUTED_VALUE"""),"FI019BB")</f>
        <v>FI019BB</v>
      </c>
      <c r="B12621" s="226" t="str">
        <f>IFERROR(__xludf.DUMMYFUNCTION("""COMPUTED_VALUE"""),"8717323014912")</f>
        <v>8717323014912</v>
      </c>
      <c r="C12621" t="str">
        <f>IFERROR(__xludf.DUMMYFUNCTION("""COMPUTED_VALUE"""),"ECS")</f>
        <v>ECS</v>
      </c>
    </row>
    <row r="12622">
      <c r="A12622" t="str">
        <f>IFERROR(__xludf.DUMMYFUNCTION("""COMPUTED_VALUE"""),"FI019DH")</f>
        <v>FI019DH</v>
      </c>
      <c r="B12622" s="226" t="str">
        <f>IFERROR(__xludf.DUMMYFUNCTION("""COMPUTED_VALUE"""),"8717323014929")</f>
        <v>8717323014929</v>
      </c>
      <c r="C12622" t="str">
        <f>IFERROR(__xludf.DUMMYFUNCTION("""COMPUTED_VALUE"""),"ECS")</f>
        <v>ECS</v>
      </c>
    </row>
    <row r="12623">
      <c r="A12623" t="str">
        <f>IFERROR(__xludf.DUMMYFUNCTION("""COMPUTED_VALUE"""),"FI019BB")</f>
        <v>FI019BB</v>
      </c>
      <c r="B12623" s="226" t="str">
        <f>IFERROR(__xludf.DUMMYFUNCTION("""COMPUTED_VALUE"""),"8717323014912")</f>
        <v>8717323014912</v>
      </c>
      <c r="C12623" t="str">
        <f>IFERROR(__xludf.DUMMYFUNCTION("""COMPUTED_VALUE"""),"ECS")</f>
        <v>ECS</v>
      </c>
    </row>
    <row r="12624">
      <c r="A12624" t="str">
        <f>IFERROR(__xludf.DUMMYFUNCTION("""COMPUTED_VALUE"""),"FI019DH")</f>
        <v>FI019DH</v>
      </c>
      <c r="B12624" s="226" t="str">
        <f>IFERROR(__xludf.DUMMYFUNCTION("""COMPUTED_VALUE"""),"8717323014929")</f>
        <v>8717323014929</v>
      </c>
      <c r="C12624" t="str">
        <f>IFERROR(__xludf.DUMMYFUNCTION("""COMPUTED_VALUE"""),"ECS")</f>
        <v>ECS</v>
      </c>
    </row>
    <row r="12625">
      <c r="A12625" t="str">
        <f>IFERROR(__xludf.DUMMYFUNCTION("""COMPUTED_VALUE"""),"FI017BB")</f>
        <v>FI017BB</v>
      </c>
      <c r="B12625" s="226" t="str">
        <f>IFERROR(__xludf.DUMMYFUNCTION("""COMPUTED_VALUE"""),"8717323012185")</f>
        <v>8717323012185</v>
      </c>
      <c r="C12625" t="str">
        <f>IFERROR(__xludf.DUMMYFUNCTION("""COMPUTED_VALUE"""),"ECS")</f>
        <v>ECS</v>
      </c>
    </row>
    <row r="12626">
      <c r="A12626" t="str">
        <f>IFERROR(__xludf.DUMMYFUNCTION("""COMPUTED_VALUE"""),"FI017BL")</f>
        <v>FI017BL</v>
      </c>
      <c r="B12626" s="226" t="str">
        <f>IFERROR(__xludf.DUMMYFUNCTION("""COMPUTED_VALUE"""),"8717323012192")</f>
        <v>8717323012192</v>
      </c>
      <c r="C12626" t="str">
        <f>IFERROR(__xludf.DUMMYFUNCTION("""COMPUTED_VALUE"""),"ECS")</f>
        <v>ECS</v>
      </c>
    </row>
    <row r="12627">
      <c r="A12627" t="str">
        <f>IFERROR(__xludf.DUMMYFUNCTION("""COMPUTED_VALUE"""),"FI017DB")</f>
        <v>FI017DB</v>
      </c>
      <c r="B12627" s="226" t="str">
        <f>IFERROR(__xludf.DUMMYFUNCTION("""COMPUTED_VALUE"""),"8717323012208")</f>
        <v>8717323012208</v>
      </c>
      <c r="C12627" t="str">
        <f>IFERROR(__xludf.DUMMYFUNCTION("""COMPUTED_VALUE"""),"ECS")</f>
        <v>ECS</v>
      </c>
    </row>
    <row r="12628">
      <c r="A12628" t="str">
        <f>IFERROR(__xludf.DUMMYFUNCTION("""COMPUTED_VALUE"""),"FI017DL")</f>
        <v>FI017DL</v>
      </c>
      <c r="B12628" s="226" t="str">
        <f>IFERROR(__xludf.DUMMYFUNCTION("""COMPUTED_VALUE"""),"8717323012215")</f>
        <v>8717323012215</v>
      </c>
      <c r="C12628" t="str">
        <f>IFERROR(__xludf.DUMMYFUNCTION("""COMPUTED_VALUE"""),"ECS")</f>
        <v>ECS</v>
      </c>
    </row>
    <row r="12629">
      <c r="A12629" t="str">
        <f>IFERROR(__xludf.DUMMYFUNCTION("""COMPUTED_VALUE"""),"FI006BB")</f>
        <v>FI006BB</v>
      </c>
      <c r="B12629" s="226" t="str">
        <f>IFERROR(__xludf.DUMMYFUNCTION("""COMPUTED_VALUE"""),"8717323001400")</f>
        <v>8717323001400</v>
      </c>
      <c r="C12629" t="str">
        <f>IFERROR(__xludf.DUMMYFUNCTION("""COMPUTED_VALUE"""),"ECS")</f>
        <v>ECS</v>
      </c>
    </row>
    <row r="12630">
      <c r="A12630" t="str">
        <f>IFERROR(__xludf.DUMMYFUNCTION("""COMPUTED_VALUE"""),"FI006DH")</f>
        <v>FI006DH</v>
      </c>
      <c r="B12630" s="226" t="str">
        <f>IFERROR(__xludf.DUMMYFUNCTION("""COMPUTED_VALUE"""),"8717323013328")</f>
        <v>8717323013328</v>
      </c>
      <c r="C12630" t="str">
        <f>IFERROR(__xludf.DUMMYFUNCTION("""COMPUTED_VALUE"""),"ECS")</f>
        <v>ECS</v>
      </c>
    </row>
    <row r="12631">
      <c r="A12631" t="str">
        <f>IFERROR(__xludf.DUMMYFUNCTION("""COMPUTED_VALUE"""),"OP061BH")</f>
        <v>OP061BH</v>
      </c>
      <c r="B12631" s="226" t="str">
        <f>IFERROR(__xludf.DUMMYFUNCTION("""COMPUTED_VALUE"""),"8717323026601")</f>
        <v>8717323026601</v>
      </c>
      <c r="C12631" t="str">
        <f>IFERROR(__xludf.DUMMYFUNCTION("""COMPUTED_VALUE"""),"ECS")</f>
        <v>ECS</v>
      </c>
    </row>
    <row r="12632">
      <c r="A12632" t="str">
        <f>IFERROR(__xludf.DUMMYFUNCTION("""COMPUTED_VALUE"""),"OP061DH")</f>
        <v>OP061DH</v>
      </c>
      <c r="B12632" s="226" t="str">
        <f>IFERROR(__xludf.DUMMYFUNCTION("""COMPUTED_VALUE"""),"8717323029817")</f>
        <v>8717323029817</v>
      </c>
      <c r="C12632" t="str">
        <f>IFERROR(__xludf.DUMMYFUNCTION("""COMPUTED_VALUE"""),"ECS")</f>
        <v>ECS</v>
      </c>
    </row>
    <row r="12633">
      <c r="A12633" t="str">
        <f>IFERROR(__xludf.DUMMYFUNCTION("""COMPUTED_VALUE"""),"OP072BH")</f>
        <v>OP072BH</v>
      </c>
      <c r="B12633" s="226" t="str">
        <f>IFERROR(__xludf.DUMMYFUNCTION("""COMPUTED_VALUE"""),"8717323056998")</f>
        <v>8717323056998</v>
      </c>
      <c r="C12633" t="str">
        <f>IFERROR(__xludf.DUMMYFUNCTION("""COMPUTED_VALUE"""),"ECS")</f>
        <v>ECS</v>
      </c>
    </row>
    <row r="12634">
      <c r="A12634" t="str">
        <f>IFERROR(__xludf.DUMMYFUNCTION("""COMPUTED_VALUE"""),"OP072DH")</f>
        <v>OP072DH</v>
      </c>
      <c r="B12634" s="226" t="str">
        <f>IFERROR(__xludf.DUMMYFUNCTION("""COMPUTED_VALUE"""),"8717323057001")</f>
        <v>8717323057001</v>
      </c>
      <c r="C12634" t="str">
        <f>IFERROR(__xludf.DUMMYFUNCTION("""COMPUTED_VALUE"""),"ECS")</f>
        <v>ECS</v>
      </c>
    </row>
    <row r="12635">
      <c r="A12635" t="str">
        <f>IFERROR(__xludf.DUMMYFUNCTION("""COMPUTED_VALUE"""),"FI006BB")</f>
        <v>FI006BB</v>
      </c>
      <c r="B12635" s="226" t="str">
        <f>IFERROR(__xludf.DUMMYFUNCTION("""COMPUTED_VALUE"""),"8717323001400")</f>
        <v>8717323001400</v>
      </c>
      <c r="C12635" t="str">
        <f>IFERROR(__xludf.DUMMYFUNCTION("""COMPUTED_VALUE"""),"ECS")</f>
        <v>ECS</v>
      </c>
    </row>
    <row r="12636">
      <c r="A12636" t="str">
        <f>IFERROR(__xludf.DUMMYFUNCTION("""COMPUTED_VALUE"""),"FI006DH")</f>
        <v>FI006DH</v>
      </c>
      <c r="B12636" s="226" t="str">
        <f>IFERROR(__xludf.DUMMYFUNCTION("""COMPUTED_VALUE"""),"8717323013328")</f>
        <v>8717323013328</v>
      </c>
      <c r="C12636" t="str">
        <f>IFERROR(__xludf.DUMMYFUNCTION("""COMPUTED_VALUE"""),"ECS")</f>
        <v>ECS</v>
      </c>
    </row>
    <row r="12637">
      <c r="A12637" t="str">
        <f>IFERROR(__xludf.DUMMYFUNCTION("""COMPUTED_VALUE"""),"OP061BH")</f>
        <v>OP061BH</v>
      </c>
      <c r="B12637" s="226" t="str">
        <f>IFERROR(__xludf.DUMMYFUNCTION("""COMPUTED_VALUE"""),"8717323026601")</f>
        <v>8717323026601</v>
      </c>
      <c r="C12637" t="str">
        <f>IFERROR(__xludf.DUMMYFUNCTION("""COMPUTED_VALUE"""),"ECS")</f>
        <v>ECS</v>
      </c>
    </row>
    <row r="12638">
      <c r="A12638" t="str">
        <f>IFERROR(__xludf.DUMMYFUNCTION("""COMPUTED_VALUE"""),"OP061DH")</f>
        <v>OP061DH</v>
      </c>
      <c r="B12638" s="226" t="str">
        <f>IFERROR(__xludf.DUMMYFUNCTION("""COMPUTED_VALUE"""),"8717323029817")</f>
        <v>8717323029817</v>
      </c>
      <c r="C12638" t="str">
        <f>IFERROR(__xludf.DUMMYFUNCTION("""COMPUTED_VALUE"""),"ECS")</f>
        <v>ECS</v>
      </c>
    </row>
    <row r="12639">
      <c r="A12639" t="str">
        <f>IFERROR(__xludf.DUMMYFUNCTION("""COMPUTED_VALUE"""),"OP072BH")</f>
        <v>OP072BH</v>
      </c>
      <c r="B12639" s="226" t="str">
        <f>IFERROR(__xludf.DUMMYFUNCTION("""COMPUTED_VALUE"""),"8717323056998")</f>
        <v>8717323056998</v>
      </c>
      <c r="C12639" t="str">
        <f>IFERROR(__xludf.DUMMYFUNCTION("""COMPUTED_VALUE"""),"ECS")</f>
        <v>ECS</v>
      </c>
    </row>
    <row r="12640">
      <c r="A12640" t="str">
        <f>IFERROR(__xludf.DUMMYFUNCTION("""COMPUTED_VALUE"""),"OP072DH")</f>
        <v>OP072DH</v>
      </c>
      <c r="B12640" s="226" t="str">
        <f>IFERROR(__xludf.DUMMYFUNCTION("""COMPUTED_VALUE"""),"8717323057001")</f>
        <v>8717323057001</v>
      </c>
      <c r="C12640" t="str">
        <f>IFERROR(__xludf.DUMMYFUNCTION("""COMPUTED_VALUE"""),"ECS")</f>
        <v>ECS</v>
      </c>
    </row>
    <row r="12641">
      <c r="A12641" t="str">
        <f>IFERROR(__xludf.DUMMYFUNCTION("""COMPUTED_VALUE"""),"FI037BB")</f>
        <v>FI037BB</v>
      </c>
      <c r="B12641" s="226" t="str">
        <f>IFERROR(__xludf.DUMMYFUNCTION("""COMPUTED_VALUE"""),"8717323033616")</f>
        <v>8717323033616</v>
      </c>
      <c r="C12641" t="str">
        <f>IFERROR(__xludf.DUMMYFUNCTION("""COMPUTED_VALUE"""),"ECS")</f>
        <v>ECS</v>
      </c>
    </row>
    <row r="12642">
      <c r="A12642" t="str">
        <f>IFERROR(__xludf.DUMMYFUNCTION("""COMPUTED_VALUE"""),"FI037DL")</f>
        <v>FI037DL</v>
      </c>
      <c r="B12642" s="226" t="str">
        <f>IFERROR(__xludf.DUMMYFUNCTION("""COMPUTED_VALUE"""),"8717323033623")</f>
        <v>8717323033623</v>
      </c>
      <c r="C12642" t="str">
        <f>IFERROR(__xludf.DUMMYFUNCTION("""COMPUTED_VALUE"""),"ECS")</f>
        <v>ECS</v>
      </c>
    </row>
    <row r="12643">
      <c r="A12643" t="str">
        <f>IFERROR(__xludf.DUMMYFUNCTION("""COMPUTED_VALUE"""),"FI023BB")</f>
        <v>FI023BB</v>
      </c>
      <c r="B12643" s="226" t="str">
        <f>IFERROR(__xludf.DUMMYFUNCTION("""COMPUTED_VALUE"""),"8717323014516")</f>
        <v>8717323014516</v>
      </c>
      <c r="C12643" t="str">
        <f>IFERROR(__xludf.DUMMYFUNCTION("""COMPUTED_VALUE"""),"ECS")</f>
        <v>ECS</v>
      </c>
    </row>
    <row r="12644">
      <c r="A12644" t="str">
        <f>IFERROR(__xludf.DUMMYFUNCTION("""COMPUTED_VALUE"""),"FI023BL")</f>
        <v>FI023BL</v>
      </c>
      <c r="B12644" s="226" t="str">
        <f>IFERROR(__xludf.DUMMYFUNCTION("""COMPUTED_VALUE"""),"8717323014523")</f>
        <v>8717323014523</v>
      </c>
      <c r="C12644" t="str">
        <f>IFERROR(__xludf.DUMMYFUNCTION("""COMPUTED_VALUE"""),"ECS")</f>
        <v>ECS</v>
      </c>
    </row>
    <row r="12645">
      <c r="A12645" t="str">
        <f>IFERROR(__xludf.DUMMYFUNCTION("""COMPUTED_VALUE"""),"FI023DL")</f>
        <v>FI023DL</v>
      </c>
      <c r="B12645" s="226" t="str">
        <f>IFERROR(__xludf.DUMMYFUNCTION("""COMPUTED_VALUE"""),"8717323015360")</f>
        <v>8717323015360</v>
      </c>
      <c r="C12645" t="str">
        <f>IFERROR(__xludf.DUMMYFUNCTION("""COMPUTED_VALUE"""),"ECS")</f>
        <v>ECS</v>
      </c>
    </row>
    <row r="12646">
      <c r="A12646" s="685" t="str">
        <f>IFERROR(__xludf.DUMMYFUNCTION("""COMPUTED_VALUE"""),"CIT010B")</f>
        <v>CIT010B</v>
      </c>
      <c r="B12646" s="226" t="str">
        <f>IFERROR(__xludf.DUMMYFUNCTION("""COMPUTED_VALUE"""),"8717323000595")</f>
        <v>8717323000595</v>
      </c>
      <c r="C12646" t="str">
        <f>IFERROR(__xludf.DUMMYFUNCTION("""COMPUTED_VALUE"""),"ECS")</f>
        <v>ECS</v>
      </c>
    </row>
    <row r="12647">
      <c r="A12647" s="685" t="str">
        <f>IFERROR(__xludf.DUMMYFUNCTION("""COMPUTED_VALUE"""),"CT016BB")</f>
        <v>CT016BB</v>
      </c>
      <c r="B12647" s="226" t="str">
        <f>IFERROR(__xludf.DUMMYFUNCTION("""COMPUTED_VALUE"""),"8717323000984")</f>
        <v>8717323000984</v>
      </c>
      <c r="C12647" t="str">
        <f>IFERROR(__xludf.DUMMYFUNCTION("""COMPUTED_VALUE"""),"ECS")</f>
        <v>ECS</v>
      </c>
    </row>
    <row r="12648">
      <c r="A12648" s="685" t="str">
        <f>IFERROR(__xludf.DUMMYFUNCTION("""COMPUTED_VALUE"""),"FI027BB")</f>
        <v>FI027BB</v>
      </c>
      <c r="B12648" s="226" t="str">
        <f>IFERROR(__xludf.DUMMYFUNCTION("""COMPUTED_VALUE"""),"8717323017029")</f>
        <v>8717323017029</v>
      </c>
      <c r="C12648" t="str">
        <f>IFERROR(__xludf.DUMMYFUNCTION("""COMPUTED_VALUE"""),"ECS")</f>
        <v>ECS</v>
      </c>
    </row>
    <row r="12649">
      <c r="A12649" s="685" t="str">
        <f>IFERROR(__xludf.DUMMYFUNCTION("""COMPUTED_VALUE"""),"FI027BL")</f>
        <v>FI027BL</v>
      </c>
      <c r="B12649" s="226" t="str">
        <f>IFERROR(__xludf.DUMMYFUNCTION("""COMPUTED_VALUE"""),"8717323016855")</f>
        <v>8717323016855</v>
      </c>
      <c r="C12649" t="str">
        <f>IFERROR(__xludf.DUMMYFUNCTION("""COMPUTED_VALUE"""),"ECS")</f>
        <v>ECS</v>
      </c>
    </row>
    <row r="12650">
      <c r="A12650" s="685" t="str">
        <f>IFERROR(__xludf.DUMMYFUNCTION("""COMPUTED_VALUE"""),"FI027DL")</f>
        <v>FI027DL</v>
      </c>
      <c r="B12650" s="226" t="str">
        <f>IFERROR(__xludf.DUMMYFUNCTION("""COMPUTED_VALUE"""),"8717323016862")</f>
        <v>8717323016862</v>
      </c>
      <c r="C12650" t="str">
        <f>IFERROR(__xludf.DUMMYFUNCTION("""COMPUTED_VALUE"""),"ECS")</f>
        <v>ECS</v>
      </c>
    </row>
    <row r="12651">
      <c r="A12651" s="685" t="str">
        <f>IFERROR(__xludf.DUMMYFUNCTION("""COMPUTED_VALUE"""),"FI034BB")</f>
        <v>FI034BB</v>
      </c>
      <c r="B12651" s="226" t="str">
        <f>IFERROR(__xludf.DUMMYFUNCTION("""COMPUTED_VALUE"""),"8717323025550")</f>
        <v>8717323025550</v>
      </c>
      <c r="C12651" t="str">
        <f>IFERROR(__xludf.DUMMYFUNCTION("""COMPUTED_VALUE"""),"ECS")</f>
        <v>ECS</v>
      </c>
    </row>
    <row r="12652">
      <c r="A12652" s="685" t="str">
        <f>IFERROR(__xludf.DUMMYFUNCTION("""COMPUTED_VALUE"""),"FI034BL")</f>
        <v>FI034BL</v>
      </c>
      <c r="B12652" s="226" t="str">
        <f>IFERROR(__xludf.DUMMYFUNCTION("""COMPUTED_VALUE"""),"8717323025567")</f>
        <v>8717323025567</v>
      </c>
      <c r="C12652" t="str">
        <f>IFERROR(__xludf.DUMMYFUNCTION("""COMPUTED_VALUE"""),"ECS")</f>
        <v>ECS</v>
      </c>
    </row>
    <row r="12653">
      <c r="A12653" s="685" t="str">
        <f>IFERROR(__xludf.DUMMYFUNCTION("""COMPUTED_VALUE"""),"FI034DL")</f>
        <v>FI034DL</v>
      </c>
      <c r="B12653" s="226" t="str">
        <f>IFERROR(__xludf.DUMMYFUNCTION("""COMPUTED_VALUE"""),"8717323025574")</f>
        <v>8717323025574</v>
      </c>
      <c r="C12653" t="str">
        <f>IFERROR(__xludf.DUMMYFUNCTION("""COMPUTED_VALUE"""),"ECS")</f>
        <v>ECS</v>
      </c>
    </row>
    <row r="12654">
      <c r="A12654" t="str">
        <f>IFERROR(__xludf.DUMMYFUNCTION("""COMPUTED_VALUE"""),"CIT016B")</f>
        <v>CIT016B</v>
      </c>
      <c r="B12654" s="226" t="str">
        <f>IFERROR(__xludf.DUMMYFUNCTION("""COMPUTED_VALUE"""),"8717323000601")</f>
        <v>8717323000601</v>
      </c>
      <c r="C12654" t="str">
        <f>IFERROR(__xludf.DUMMYFUNCTION("""COMPUTED_VALUE"""),"ECS")</f>
        <v>ECS</v>
      </c>
    </row>
    <row r="12655">
      <c r="A12655" t="str">
        <f>IFERROR(__xludf.DUMMYFUNCTION("""COMPUTED_VALUE"""),"FI024BH")</f>
        <v>FI024BH</v>
      </c>
      <c r="B12655" s="226" t="str">
        <f>IFERROR(__xludf.DUMMYFUNCTION("""COMPUTED_VALUE"""),"8717323015971")</f>
        <v>8717323015971</v>
      </c>
      <c r="C12655" t="str">
        <f>IFERROR(__xludf.DUMMYFUNCTION("""COMPUTED_VALUE"""),"ECS")</f>
        <v>ECS</v>
      </c>
    </row>
    <row r="12656">
      <c r="A12656" t="str">
        <f>IFERROR(__xludf.DUMMYFUNCTION("""COMPUTED_VALUE"""),"FI024BQ")</f>
        <v>FI024BQ</v>
      </c>
      <c r="B12656" s="226" t="str">
        <f>IFERROR(__xludf.DUMMYFUNCTION("""COMPUTED_VALUE"""),"8717323015964")</f>
        <v>8717323015964</v>
      </c>
      <c r="C12656" t="str">
        <f>IFERROR(__xludf.DUMMYFUNCTION("""COMPUTED_VALUE"""),"ECS")</f>
        <v>ECS</v>
      </c>
    </row>
    <row r="12657">
      <c r="A12657" t="str">
        <f>IFERROR(__xludf.DUMMYFUNCTION("""COMPUTED_VALUE"""),"FI024DH")</f>
        <v>FI024DH</v>
      </c>
      <c r="B12657" s="226" t="str">
        <f>IFERROR(__xludf.DUMMYFUNCTION("""COMPUTED_VALUE"""),"8717323015988")</f>
        <v>8717323015988</v>
      </c>
      <c r="C12657" t="str">
        <f>IFERROR(__xludf.DUMMYFUNCTION("""COMPUTED_VALUE"""),"ECS")</f>
        <v>ECS</v>
      </c>
    </row>
    <row r="12658">
      <c r="A12658" t="str">
        <f>IFERROR(__xludf.DUMMYFUNCTION("""COMPUTED_VALUE"""),"CR060BB")</f>
        <v>CR060BB</v>
      </c>
      <c r="B12658" s="226" t="str">
        <f>IFERROR(__xludf.DUMMYFUNCTION("""COMPUTED_VALUE"""),"8717323025581")</f>
        <v>8717323025581</v>
      </c>
      <c r="C12658" t="str">
        <f>IFERROR(__xludf.DUMMYFUNCTION("""COMPUTED_VALUE"""),"ECS")</f>
        <v>ECS</v>
      </c>
    </row>
    <row r="12659">
      <c r="A12659" t="str">
        <f>IFERROR(__xludf.DUMMYFUNCTION("""COMPUTED_VALUE"""),"CR060DH")</f>
        <v>CR060DH</v>
      </c>
      <c r="B12659" s="226" t="str">
        <f>IFERROR(__xludf.DUMMYFUNCTION("""COMPUTED_VALUE"""),"8717323025598")</f>
        <v>8717323025598</v>
      </c>
      <c r="C12659" t="str">
        <f>IFERROR(__xludf.DUMMYFUNCTION("""COMPUTED_VALUE"""),"ECS")</f>
        <v>ECS</v>
      </c>
    </row>
    <row r="12660">
      <c r="A12660" t="str">
        <f>IFERROR(__xludf.DUMMYFUNCTION("""COMPUTED_VALUE"""),"MT131BH")</f>
        <v>MT131BH</v>
      </c>
      <c r="B12660" s="226" t="str">
        <f>IFERROR(__xludf.DUMMYFUNCTION("""COMPUTED_VALUE"""),"8717323054413")</f>
        <v>8717323054413</v>
      </c>
      <c r="C12660" t="str">
        <f>IFERROR(__xludf.DUMMYFUNCTION("""COMPUTED_VALUE"""),"ECS")</f>
        <v>ECS</v>
      </c>
    </row>
    <row r="12661">
      <c r="A12661" t="str">
        <f>IFERROR(__xludf.DUMMYFUNCTION("""COMPUTED_VALUE"""),"MT131DH")</f>
        <v>MT131DH</v>
      </c>
      <c r="B12661" s="226" t="str">
        <f>IFERROR(__xludf.DUMMYFUNCTION("""COMPUTED_VALUE"""),"8717323054420")</f>
        <v>8717323054420</v>
      </c>
      <c r="C12661" t="str">
        <f>IFERROR(__xludf.DUMMYFUNCTION("""COMPUTED_VALUE"""),"ECS")</f>
        <v>ECS</v>
      </c>
    </row>
    <row r="12662">
      <c r="A12662" t="str">
        <f>IFERROR(__xludf.DUMMYFUNCTION("""COMPUTED_VALUE"""),"FI015BB")</f>
        <v>FI015BB</v>
      </c>
      <c r="B12662" s="226" t="str">
        <f>IFERROR(__xludf.DUMMYFUNCTION("""COMPUTED_VALUE"""),"8717323013069")</f>
        <v>8717323013069</v>
      </c>
      <c r="C12662" t="str">
        <f>IFERROR(__xludf.DUMMYFUNCTION("""COMPUTED_VALUE"""),"ECS")</f>
        <v>ECS</v>
      </c>
    </row>
    <row r="12663">
      <c r="A12663" t="str">
        <f>IFERROR(__xludf.DUMMYFUNCTION("""COMPUTED_VALUE"""),"FI015DB")</f>
        <v>FI015DB</v>
      </c>
      <c r="B12663" s="226" t="str">
        <f>IFERROR(__xludf.DUMMYFUNCTION("""COMPUTED_VALUE"""),"8717323013182")</f>
        <v>8717323013182</v>
      </c>
      <c r="C12663" t="str">
        <f>IFERROR(__xludf.DUMMYFUNCTION("""COMPUTED_VALUE"""),"ECS")</f>
        <v>ECS</v>
      </c>
    </row>
    <row r="12664">
      <c r="A12664" t="str">
        <f>IFERROR(__xludf.DUMMYFUNCTION("""COMPUTED_VALUE"""),"FI015DL")</f>
        <v>FI015DL</v>
      </c>
      <c r="B12664" s="226" t="str">
        <f>IFERROR(__xludf.DUMMYFUNCTION("""COMPUTED_VALUE"""),"8717323013199")</f>
        <v>8717323013199</v>
      </c>
      <c r="C12664" t="str">
        <f>IFERROR(__xludf.DUMMYFUNCTION("""COMPUTED_VALUE"""),"ECS")</f>
        <v>ECS</v>
      </c>
    </row>
    <row r="12665">
      <c r="A12665" t="str">
        <f>IFERROR(__xludf.DUMMYFUNCTION("""COMPUTED_VALUE"""),"FI015BB")</f>
        <v>FI015BB</v>
      </c>
      <c r="B12665" s="226" t="str">
        <f>IFERROR(__xludf.DUMMYFUNCTION("""COMPUTED_VALUE"""),"8717323013069")</f>
        <v>8717323013069</v>
      </c>
      <c r="C12665" t="str">
        <f>IFERROR(__xludf.DUMMYFUNCTION("""COMPUTED_VALUE"""),"ECS")</f>
        <v>ECS</v>
      </c>
    </row>
    <row r="12666">
      <c r="A12666" t="str">
        <f>IFERROR(__xludf.DUMMYFUNCTION("""COMPUTED_VALUE"""),"FI015DB")</f>
        <v>FI015DB</v>
      </c>
      <c r="B12666" s="226" t="str">
        <f>IFERROR(__xludf.DUMMYFUNCTION("""COMPUTED_VALUE"""),"8717323013182")</f>
        <v>8717323013182</v>
      </c>
      <c r="C12666" t="str">
        <f>IFERROR(__xludf.DUMMYFUNCTION("""COMPUTED_VALUE"""),"ECS")</f>
        <v>ECS</v>
      </c>
    </row>
    <row r="12667">
      <c r="A12667" t="str">
        <f>IFERROR(__xludf.DUMMYFUNCTION("""COMPUTED_VALUE"""),"FI015DL")</f>
        <v>FI015DL</v>
      </c>
      <c r="B12667" s="226" t="str">
        <f>IFERROR(__xludf.DUMMYFUNCTION("""COMPUTED_VALUE"""),"8717323013199")</f>
        <v>8717323013199</v>
      </c>
      <c r="C12667" t="str">
        <f>IFERROR(__xludf.DUMMYFUNCTION("""COMPUTED_VALUE"""),"ECS")</f>
        <v>ECS</v>
      </c>
    </row>
    <row r="12668">
      <c r="A12668" t="str">
        <f>IFERROR(__xludf.DUMMYFUNCTION("""COMPUTED_VALUE"""),"LN005DL")</f>
        <v>LN005DL</v>
      </c>
      <c r="B12668" s="226" t="str">
        <f>IFERROR(__xludf.DUMMYFUNCTION("""COMPUTED_VALUE"""),"8717323010549")</f>
        <v>8717323010549</v>
      </c>
      <c r="C12668" t="str">
        <f>IFERROR(__xludf.DUMMYFUNCTION("""COMPUTED_VALUE"""),"ECS")</f>
        <v>ECS</v>
      </c>
    </row>
    <row r="12669">
      <c r="A12669" t="str">
        <f>IFERROR(__xludf.DUMMYFUNCTION("""COMPUTED_VALUE"""),"FI010BB")</f>
        <v>FI010BB</v>
      </c>
      <c r="B12669" s="226" t="str">
        <f>IFERROR(__xludf.DUMMYFUNCTION("""COMPUTED_VALUE"""),"8717323009970")</f>
        <v>8717323009970</v>
      </c>
      <c r="C12669" t="str">
        <f>IFERROR(__xludf.DUMMYFUNCTION("""COMPUTED_VALUE"""),"ECS")</f>
        <v>ECS</v>
      </c>
    </row>
    <row r="12670">
      <c r="A12670" t="str">
        <f>IFERROR(__xludf.DUMMYFUNCTION("""COMPUTED_VALUE"""),"FI030BB")</f>
        <v>FI030BB</v>
      </c>
      <c r="B12670" s="226" t="str">
        <f>IFERROR(__xludf.DUMMYFUNCTION("""COMPUTED_VALUE"""),"8717323016527")</f>
        <v>8717323016527</v>
      </c>
      <c r="C12670" t="str">
        <f>IFERROR(__xludf.DUMMYFUNCTION("""COMPUTED_VALUE"""),"ECS")</f>
        <v>ECS</v>
      </c>
    </row>
    <row r="12671">
      <c r="A12671" t="str">
        <f>IFERROR(__xludf.DUMMYFUNCTION("""COMPUTED_VALUE"""),"FI030DH")</f>
        <v>FI030DH</v>
      </c>
      <c r="B12671" s="226" t="str">
        <f>IFERROR(__xludf.DUMMYFUNCTION("""COMPUTED_VALUE"""),"8717323016534")</f>
        <v>8717323016534</v>
      </c>
      <c r="C12671" t="str">
        <f>IFERROR(__xludf.DUMMYFUNCTION("""COMPUTED_VALUE"""),"ECS")</f>
        <v>ECS</v>
      </c>
    </row>
    <row r="12672">
      <c r="A12672" t="str">
        <f>IFERROR(__xludf.DUMMYFUNCTION("""COMPUTED_VALUE"""),"FI009BB")</f>
        <v>FI009BB</v>
      </c>
      <c r="B12672" s="226" t="str">
        <f>IFERROR(__xludf.DUMMYFUNCTION("""COMPUTED_VALUE"""),"8717323009482")</f>
        <v>8717323009482</v>
      </c>
      <c r="C12672" t="str">
        <f>IFERROR(__xludf.DUMMYFUNCTION("""COMPUTED_VALUE"""),"ECS")</f>
        <v>ECS</v>
      </c>
    </row>
    <row r="12673">
      <c r="A12673" t="str">
        <f>IFERROR(__xludf.DUMMYFUNCTION("""COMPUTED_VALUE"""),"FI009BL")</f>
        <v>FI009BL</v>
      </c>
      <c r="B12673" s="226" t="str">
        <f>IFERROR(__xludf.DUMMYFUNCTION("""COMPUTED_VALUE"""),"8717323018668")</f>
        <v>8717323018668</v>
      </c>
      <c r="C12673" t="str">
        <f>IFERROR(__xludf.DUMMYFUNCTION("""COMPUTED_VALUE"""),"ECS")</f>
        <v>ECS</v>
      </c>
    </row>
    <row r="12674">
      <c r="A12674" t="str">
        <f>IFERROR(__xludf.DUMMYFUNCTION("""COMPUTED_VALUE"""),"FI009DL")</f>
        <v>FI009DL</v>
      </c>
      <c r="B12674" s="226" t="str">
        <f>IFERROR(__xludf.DUMMYFUNCTION("""COMPUTED_VALUE"""),"8717323018675")</f>
        <v>8717323018675</v>
      </c>
      <c r="C12674" t="str">
        <f>IFERROR(__xludf.DUMMYFUNCTION("""COMPUTED_VALUE"""),"ECS")</f>
        <v>ECS</v>
      </c>
    </row>
    <row r="12675">
      <c r="A12675" t="str">
        <f>IFERROR(__xludf.DUMMYFUNCTION("""COMPUTED_VALUE"""),"FI011BB")</f>
        <v>FI011BB</v>
      </c>
      <c r="B12675" s="226" t="str">
        <f>IFERROR(__xludf.DUMMYFUNCTION("""COMPUTED_VALUE"""),"8717323010082")</f>
        <v>8717323010082</v>
      </c>
      <c r="C12675" t="str">
        <f>IFERROR(__xludf.DUMMYFUNCTION("""COMPUTED_VALUE"""),"ECS")</f>
        <v>ECS</v>
      </c>
    </row>
    <row r="12676">
      <c r="A12676" t="str">
        <f>IFERROR(__xludf.DUMMYFUNCTION("""COMPUTED_VALUE"""),"FI011DL")</f>
        <v>FI011DL</v>
      </c>
      <c r="B12676" s="226" t="str">
        <f>IFERROR(__xludf.DUMMYFUNCTION("""COMPUTED_VALUE"""),"8717323018682")</f>
        <v>8717323018682</v>
      </c>
      <c r="C12676" t="str">
        <f>IFERROR(__xludf.DUMMYFUNCTION("""COMPUTED_VALUE"""),"ECS")</f>
        <v>ECS</v>
      </c>
    </row>
    <row r="12677">
      <c r="A12677" t="str">
        <f>IFERROR(__xludf.DUMMYFUNCTION("""COMPUTED_VALUE"""),"FI036BB")</f>
        <v>FI036BB</v>
      </c>
      <c r="B12677" s="226" t="str">
        <f>IFERROR(__xludf.DUMMYFUNCTION("""COMPUTED_VALUE"""),"8717323029008")</f>
        <v>8717323029008</v>
      </c>
      <c r="C12677" t="str">
        <f>IFERROR(__xludf.DUMMYFUNCTION("""COMPUTED_VALUE"""),"ECS")</f>
        <v>ECS</v>
      </c>
    </row>
    <row r="12678">
      <c r="A12678" t="str">
        <f>IFERROR(__xludf.DUMMYFUNCTION("""COMPUTED_VALUE"""),"FI036DH")</f>
        <v>FI036DH</v>
      </c>
      <c r="B12678" s="226" t="str">
        <f>IFERROR(__xludf.DUMMYFUNCTION("""COMPUTED_VALUE"""),"8717323033555")</f>
        <v>8717323033555</v>
      </c>
      <c r="C12678" t="str">
        <f>IFERROR(__xludf.DUMMYFUNCTION("""COMPUTED_VALUE"""),"ECS")</f>
        <v>ECS</v>
      </c>
    </row>
    <row r="12679">
      <c r="A12679" t="str">
        <f>IFERROR(__xludf.DUMMYFUNCTION("""COMPUTED_VALUE"""),"FI009BB")</f>
        <v>FI009BB</v>
      </c>
      <c r="B12679" s="226" t="str">
        <f>IFERROR(__xludf.DUMMYFUNCTION("""COMPUTED_VALUE"""),"8717323009482")</f>
        <v>8717323009482</v>
      </c>
      <c r="C12679" t="str">
        <f>IFERROR(__xludf.DUMMYFUNCTION("""COMPUTED_VALUE"""),"ECS")</f>
        <v>ECS</v>
      </c>
    </row>
    <row r="12680">
      <c r="A12680" t="str">
        <f>IFERROR(__xludf.DUMMYFUNCTION("""COMPUTED_VALUE"""),"FI009BL")</f>
        <v>FI009BL</v>
      </c>
      <c r="B12680" s="226" t="str">
        <f>IFERROR(__xludf.DUMMYFUNCTION("""COMPUTED_VALUE"""),"8717323018668")</f>
        <v>8717323018668</v>
      </c>
      <c r="C12680" t="str">
        <f>IFERROR(__xludf.DUMMYFUNCTION("""COMPUTED_VALUE"""),"ECS")</f>
        <v>ECS</v>
      </c>
    </row>
    <row r="12681">
      <c r="A12681" t="str">
        <f>IFERROR(__xludf.DUMMYFUNCTION("""COMPUTED_VALUE"""),"FI009DL")</f>
        <v>FI009DL</v>
      </c>
      <c r="B12681" s="226" t="str">
        <f>IFERROR(__xludf.DUMMYFUNCTION("""COMPUTED_VALUE"""),"8717323018675")</f>
        <v>8717323018675</v>
      </c>
      <c r="C12681" t="str">
        <f>IFERROR(__xludf.DUMMYFUNCTION("""COMPUTED_VALUE"""),"ECS")</f>
        <v>ECS</v>
      </c>
    </row>
    <row r="12682">
      <c r="A12682" t="str">
        <f>IFERROR(__xludf.DUMMYFUNCTION("""COMPUTED_VALUE"""),"FI011BB")</f>
        <v>FI011BB</v>
      </c>
      <c r="B12682" s="226" t="str">
        <f>IFERROR(__xludf.DUMMYFUNCTION("""COMPUTED_VALUE"""),"8717323010082")</f>
        <v>8717323010082</v>
      </c>
      <c r="C12682" t="str">
        <f>IFERROR(__xludf.DUMMYFUNCTION("""COMPUTED_VALUE"""),"ECS")</f>
        <v>ECS</v>
      </c>
    </row>
    <row r="12683">
      <c r="A12683" t="str">
        <f>IFERROR(__xludf.DUMMYFUNCTION("""COMPUTED_VALUE"""),"FI011DL")</f>
        <v>FI011DL</v>
      </c>
      <c r="B12683" s="226" t="str">
        <f>IFERROR(__xludf.DUMMYFUNCTION("""COMPUTED_VALUE"""),"8717323018682")</f>
        <v>8717323018682</v>
      </c>
      <c r="C12683" t="str">
        <f>IFERROR(__xludf.DUMMYFUNCTION("""COMPUTED_VALUE"""),"ECS")</f>
        <v>ECS</v>
      </c>
    </row>
    <row r="12684">
      <c r="A12684" t="str">
        <f>IFERROR(__xludf.DUMMYFUNCTION("""COMPUTED_VALUE"""),"FI036BB")</f>
        <v>FI036BB</v>
      </c>
      <c r="B12684" s="226" t="str">
        <f>IFERROR(__xludf.DUMMYFUNCTION("""COMPUTED_VALUE"""),"8717323029008")</f>
        <v>8717323029008</v>
      </c>
      <c r="C12684" t="str">
        <f>IFERROR(__xludf.DUMMYFUNCTION("""COMPUTED_VALUE"""),"ECS")</f>
        <v>ECS</v>
      </c>
    </row>
    <row r="12685">
      <c r="A12685" t="str">
        <f>IFERROR(__xludf.DUMMYFUNCTION("""COMPUTED_VALUE"""),"FI036DH")</f>
        <v>FI036DH</v>
      </c>
      <c r="B12685" s="226" t="str">
        <f>IFERROR(__xludf.DUMMYFUNCTION("""COMPUTED_VALUE"""),"8717323033555")</f>
        <v>8717323033555</v>
      </c>
      <c r="C12685" t="str">
        <f>IFERROR(__xludf.DUMMYFUNCTION("""COMPUTED_VALUE"""),"ECS")</f>
        <v>ECS</v>
      </c>
    </row>
    <row r="12686">
      <c r="A12686" t="str">
        <f>IFERROR(__xludf.DUMMYFUNCTION("""COMPUTED_VALUE"""),"FI004BB")</f>
        <v>FI004BB</v>
      </c>
      <c r="B12686" s="226" t="str">
        <f>IFERROR(__xludf.DUMMYFUNCTION("""COMPUTED_VALUE"""),"8717323001370")</f>
        <v>8717323001370</v>
      </c>
      <c r="C12686" t="str">
        <f>IFERROR(__xludf.DUMMYFUNCTION("""COMPUTED_VALUE"""),"ECS")</f>
        <v>ECS</v>
      </c>
    </row>
    <row r="12687">
      <c r="A12687" t="str">
        <f>IFERROR(__xludf.DUMMYFUNCTION("""COMPUTED_VALUE"""),"FI004BB")</f>
        <v>FI004BB</v>
      </c>
      <c r="B12687" s="226" t="str">
        <f>IFERROR(__xludf.DUMMYFUNCTION("""COMPUTED_VALUE"""),"8717323001370")</f>
        <v>8717323001370</v>
      </c>
      <c r="C12687" t="str">
        <f>IFERROR(__xludf.DUMMYFUNCTION("""COMPUTED_VALUE"""),"ECS")</f>
        <v>ECS</v>
      </c>
    </row>
    <row r="12688">
      <c r="A12688" t="str">
        <f>IFERROR(__xludf.DUMMYFUNCTION("""COMPUTED_VALUE"""),"FI032BB")</f>
        <v>FI032BB</v>
      </c>
      <c r="B12688" s="226" t="str">
        <f>IFERROR(__xludf.DUMMYFUNCTION("""COMPUTED_VALUE"""),"8717323022986")</f>
        <v>8717323022986</v>
      </c>
      <c r="C12688" t="str">
        <f>IFERROR(__xludf.DUMMYFUNCTION("""COMPUTED_VALUE"""),"ECS")</f>
        <v>ECS</v>
      </c>
    </row>
    <row r="12689">
      <c r="A12689" t="str">
        <f>IFERROR(__xludf.DUMMYFUNCTION("""COMPUTED_VALUE"""),"FI032DH")</f>
        <v>FI032DH</v>
      </c>
      <c r="B12689" s="226" t="str">
        <f>IFERROR(__xludf.DUMMYFUNCTION("""COMPUTED_VALUE"""),"8717323023006")</f>
        <v>8717323023006</v>
      </c>
      <c r="C12689" t="str">
        <f>IFERROR(__xludf.DUMMYFUNCTION("""COMPUTED_VALUE"""),"ECS")</f>
        <v>ECS</v>
      </c>
    </row>
    <row r="12690">
      <c r="A12690" t="str">
        <f>IFERROR(__xludf.DUMMYFUNCTION("""COMPUTED_VALUE"""),"FI015BB")</f>
        <v>FI015BB</v>
      </c>
      <c r="B12690" s="226" t="str">
        <f>IFERROR(__xludf.DUMMYFUNCTION("""COMPUTED_VALUE"""),"8717323013069")</f>
        <v>8717323013069</v>
      </c>
      <c r="C12690" t="str">
        <f>IFERROR(__xludf.DUMMYFUNCTION("""COMPUTED_VALUE"""),"ECS")</f>
        <v>ECS</v>
      </c>
    </row>
    <row r="12691">
      <c r="A12691" t="str">
        <f>IFERROR(__xludf.DUMMYFUNCTION("""COMPUTED_VALUE"""),"FI015DB")</f>
        <v>FI015DB</v>
      </c>
      <c r="B12691" s="226" t="str">
        <f>IFERROR(__xludf.DUMMYFUNCTION("""COMPUTED_VALUE"""),"8717323013182")</f>
        <v>8717323013182</v>
      </c>
      <c r="C12691" t="str">
        <f>IFERROR(__xludf.DUMMYFUNCTION("""COMPUTED_VALUE"""),"ECS")</f>
        <v>ECS</v>
      </c>
    </row>
    <row r="12692">
      <c r="A12692" t="str">
        <f>IFERROR(__xludf.DUMMYFUNCTION("""COMPUTED_VALUE"""),"FI015DL")</f>
        <v>FI015DL</v>
      </c>
      <c r="B12692" s="226" t="str">
        <f>IFERROR(__xludf.DUMMYFUNCTION("""COMPUTED_VALUE"""),"8717323013199")</f>
        <v>8717323013199</v>
      </c>
      <c r="C12692" t="str">
        <f>IFERROR(__xludf.DUMMYFUNCTION("""COMPUTED_VALUE"""),"ECS")</f>
        <v>ECS</v>
      </c>
    </row>
    <row r="12693">
      <c r="A12693" t="str">
        <f>IFERROR(__xludf.DUMMYFUNCTION("""COMPUTED_VALUE"""),"FI024BH")</f>
        <v>FI024BH</v>
      </c>
      <c r="B12693" s="226" t="str">
        <f>IFERROR(__xludf.DUMMYFUNCTION("""COMPUTED_VALUE"""),"8717323015971")</f>
        <v>8717323015971</v>
      </c>
      <c r="C12693" t="str">
        <f>IFERROR(__xludf.DUMMYFUNCTION("""COMPUTED_VALUE"""),"ECS")</f>
        <v>ECS</v>
      </c>
    </row>
    <row r="12694">
      <c r="A12694" t="str">
        <f>IFERROR(__xludf.DUMMYFUNCTION("""COMPUTED_VALUE"""),"FI024BQ")</f>
        <v>FI024BQ</v>
      </c>
      <c r="B12694" s="226" t="str">
        <f>IFERROR(__xludf.DUMMYFUNCTION("""COMPUTED_VALUE"""),"8717323015964")</f>
        <v>8717323015964</v>
      </c>
      <c r="C12694" t="str">
        <f>IFERROR(__xludf.DUMMYFUNCTION("""COMPUTED_VALUE"""),"ECS")</f>
        <v>ECS</v>
      </c>
    </row>
    <row r="12695">
      <c r="A12695" t="str">
        <f>IFERROR(__xludf.DUMMYFUNCTION("""COMPUTED_VALUE"""),"FI024DH")</f>
        <v>FI024DH</v>
      </c>
      <c r="B12695" s="226" t="str">
        <f>IFERROR(__xludf.DUMMYFUNCTION("""COMPUTED_VALUE"""),"8717323015988")</f>
        <v>8717323015988</v>
      </c>
      <c r="C12695" t="str">
        <f>IFERROR(__xludf.DUMMYFUNCTION("""COMPUTED_VALUE"""),"ECS")</f>
        <v>ECS</v>
      </c>
    </row>
    <row r="12696">
      <c r="A12696" t="str">
        <f>IFERROR(__xludf.DUMMYFUNCTION("""COMPUTED_VALUE"""),"PE059B1")</f>
        <v>PE059B1</v>
      </c>
      <c r="B12696" s="226" t="str">
        <f>IFERROR(__xludf.DUMMYFUNCTION("""COMPUTED_VALUE"""),"8717323024102")</f>
        <v>8717323024102</v>
      </c>
      <c r="C12696" t="str">
        <f>IFERROR(__xludf.DUMMYFUNCTION("""COMPUTED_VALUE"""),"ECS")</f>
        <v>ECS</v>
      </c>
    </row>
    <row r="12697">
      <c r="A12697" t="str">
        <f>IFERROR(__xludf.DUMMYFUNCTION("""COMPUTED_VALUE"""),"PE059D1")</f>
        <v>PE059D1</v>
      </c>
      <c r="B12697" s="226" t="str">
        <f>IFERROR(__xludf.DUMMYFUNCTION("""COMPUTED_VALUE"""),"8717323024119")</f>
        <v>8717323024119</v>
      </c>
      <c r="C12697" t="str">
        <f>IFERROR(__xludf.DUMMYFUNCTION("""COMPUTED_VALUE"""),"ECS")</f>
        <v>ECS</v>
      </c>
    </row>
    <row r="12698">
      <c r="A12698" t="str">
        <f>IFERROR(__xludf.DUMMYFUNCTION("""COMPUTED_VALUE"""),"PE059B1")</f>
        <v>PE059B1</v>
      </c>
      <c r="B12698" s="226" t="str">
        <f>IFERROR(__xludf.DUMMYFUNCTION("""COMPUTED_VALUE"""),"8717323024102")</f>
        <v>8717323024102</v>
      </c>
      <c r="C12698" t="str">
        <f>IFERROR(__xludf.DUMMYFUNCTION("""COMPUTED_VALUE"""),"ECS")</f>
        <v>ECS</v>
      </c>
    </row>
    <row r="12699">
      <c r="A12699" t="str">
        <f>IFERROR(__xludf.DUMMYFUNCTION("""COMPUTED_VALUE"""),"PE059D1")</f>
        <v>PE059D1</v>
      </c>
      <c r="B12699" s="226" t="str">
        <f>IFERROR(__xludf.DUMMYFUNCTION("""COMPUTED_VALUE"""),"8717323024119")</f>
        <v>8717323024119</v>
      </c>
      <c r="C12699" t="str">
        <f>IFERROR(__xludf.DUMMYFUNCTION("""COMPUTED_VALUE"""),"ECS")</f>
        <v>ECS</v>
      </c>
    </row>
    <row r="12700">
      <c r="A12700" t="str">
        <f>IFERROR(__xludf.DUMMYFUNCTION("""COMPUTED_VALUE"""),"SZ019BB")</f>
        <v>SZ019BB</v>
      </c>
      <c r="B12700" s="226" t="str">
        <f>IFERROR(__xludf.DUMMYFUNCTION("""COMPUTED_VALUE"""),"8717323013229")</f>
        <v>8717323013229</v>
      </c>
      <c r="C12700" t="str">
        <f>IFERROR(__xludf.DUMMYFUNCTION("""COMPUTED_VALUE"""),"ECS")</f>
        <v>ECS</v>
      </c>
    </row>
    <row r="12701">
      <c r="A12701" t="str">
        <f>IFERROR(__xludf.DUMMYFUNCTION("""COMPUTED_VALUE"""),"SZ019BL")</f>
        <v>SZ019BL</v>
      </c>
      <c r="B12701" s="226" t="str">
        <f>IFERROR(__xludf.DUMMYFUNCTION("""COMPUTED_VALUE"""),"8717323034569")</f>
        <v>8717323034569</v>
      </c>
      <c r="C12701" t="str">
        <f>IFERROR(__xludf.DUMMYFUNCTION("""COMPUTED_VALUE"""),"ECS")</f>
        <v>ECS</v>
      </c>
    </row>
    <row r="12702">
      <c r="A12702" t="str">
        <f>IFERROR(__xludf.DUMMYFUNCTION("""COMPUTED_VALUE"""),"SZ019DB")</f>
        <v>SZ019DB</v>
      </c>
      <c r="B12702" s="226" t="str">
        <f>IFERROR(__xludf.DUMMYFUNCTION("""COMPUTED_VALUE"""),"8717323023204")</f>
        <v>8717323023204</v>
      </c>
      <c r="C12702" t="str">
        <f>IFERROR(__xludf.DUMMYFUNCTION("""COMPUTED_VALUE"""),"ECS")</f>
        <v>ECS</v>
      </c>
    </row>
    <row r="12703">
      <c r="A12703" t="str">
        <f>IFERROR(__xludf.DUMMYFUNCTION("""COMPUTED_VALUE"""),"SZ019DL")</f>
        <v>SZ019DL</v>
      </c>
      <c r="B12703" s="226" t="str">
        <f>IFERROR(__xludf.DUMMYFUNCTION("""COMPUTED_VALUE"""),"8717323013236")</f>
        <v>8717323013236</v>
      </c>
      <c r="C12703" t="str">
        <f>IFERROR(__xludf.DUMMYFUNCTION("""COMPUTED_VALUE"""),"ECS")</f>
        <v>ECS</v>
      </c>
    </row>
    <row r="12704">
      <c r="A12704" t="str">
        <f>IFERROR(__xludf.DUMMYFUNCTION("""COMPUTED_VALUE"""),"OP069BH")</f>
        <v>OP069BH</v>
      </c>
      <c r="B12704" s="226" t="str">
        <f>IFERROR(__xludf.DUMMYFUNCTION("""COMPUTED_VALUE"""),"8717323050446")</f>
        <v>8717323050446</v>
      </c>
      <c r="C12704" t="str">
        <f>IFERROR(__xludf.DUMMYFUNCTION("""COMPUTED_VALUE"""),"ECS")</f>
        <v>ECS</v>
      </c>
    </row>
    <row r="12705">
      <c r="A12705" t="str">
        <f>IFERROR(__xludf.DUMMYFUNCTION("""COMPUTED_VALUE"""),"OP069DH")</f>
        <v>OP069DH</v>
      </c>
      <c r="B12705" s="226" t="str">
        <f>IFERROR(__xludf.DUMMYFUNCTION("""COMPUTED_VALUE"""),"8717323050583")</f>
        <v>8717323050583</v>
      </c>
      <c r="C12705" t="str">
        <f>IFERROR(__xludf.DUMMYFUNCTION("""COMPUTED_VALUE"""),"ECS")</f>
        <v>ECS</v>
      </c>
    </row>
    <row r="12706">
      <c r="A12706" t="str">
        <f>IFERROR(__xludf.DUMMYFUNCTION("""COMPUTED_VALUE"""),"CT015BB")</f>
        <v>CT015BB</v>
      </c>
      <c r="B12706" s="226" t="str">
        <f>IFERROR(__xludf.DUMMYFUNCTION("""COMPUTED_VALUE"""),"8717323000960")</f>
        <v>8717323000960</v>
      </c>
      <c r="C12706" t="str">
        <f>IFERROR(__xludf.DUMMYFUNCTION("""COMPUTED_VALUE"""),"ECS")</f>
        <v>ECS</v>
      </c>
    </row>
    <row r="12707">
      <c r="A12707" t="str">
        <f>IFERROR(__xludf.DUMMYFUNCTION("""COMPUTED_VALUE"""),"PE059B1")</f>
        <v>PE059B1</v>
      </c>
      <c r="B12707" s="226" t="str">
        <f>IFERROR(__xludf.DUMMYFUNCTION("""COMPUTED_VALUE"""),"8717323024102")</f>
        <v>8717323024102</v>
      </c>
      <c r="C12707" t="str">
        <f>IFERROR(__xludf.DUMMYFUNCTION("""COMPUTED_VALUE"""),"ECS")</f>
        <v>ECS</v>
      </c>
    </row>
    <row r="12708">
      <c r="A12708" t="str">
        <f>IFERROR(__xludf.DUMMYFUNCTION("""COMPUTED_VALUE"""),"PE059D1")</f>
        <v>PE059D1</v>
      </c>
      <c r="B12708" s="226" t="str">
        <f>IFERROR(__xludf.DUMMYFUNCTION("""COMPUTED_VALUE"""),"8717323024119")</f>
        <v>8717323024119</v>
      </c>
      <c r="C12708" t="str">
        <f>IFERROR(__xludf.DUMMYFUNCTION("""COMPUTED_VALUE"""),"ECS")</f>
        <v>ECS</v>
      </c>
    </row>
    <row r="12709">
      <c r="A12709" t="str">
        <f>IFERROR(__xludf.DUMMYFUNCTION("""COMPUTED_VALUE"""),"FI003BB")</f>
        <v>FI003BB</v>
      </c>
      <c r="B12709" s="226" t="str">
        <f>IFERROR(__xludf.DUMMYFUNCTION("""COMPUTED_VALUE"""),"8717323001356")</f>
        <v>8717323001356</v>
      </c>
      <c r="C12709" t="str">
        <f>IFERROR(__xludf.DUMMYFUNCTION("""COMPUTED_VALUE"""),"ECS")</f>
        <v>ECS</v>
      </c>
    </row>
    <row r="12710">
      <c r="A12710" t="str">
        <f>IFERROR(__xludf.DUMMYFUNCTION("""COMPUTED_VALUE"""),"FI013BB")</f>
        <v>FI013BB</v>
      </c>
      <c r="B12710" s="226" t="str">
        <f>IFERROR(__xludf.DUMMYFUNCTION("""COMPUTED_VALUE"""),"8717323010495")</f>
        <v>8717323010495</v>
      </c>
      <c r="C12710" t="str">
        <f>IFERROR(__xludf.DUMMYFUNCTION("""COMPUTED_VALUE"""),"ECS")</f>
        <v>ECS</v>
      </c>
    </row>
    <row r="12711">
      <c r="A12711" t="str">
        <f>IFERROR(__xludf.DUMMYFUNCTION("""COMPUTED_VALUE"""),"FI013BL")</f>
        <v>FI013BL</v>
      </c>
      <c r="B12711" s="226" t="str">
        <f>IFERROR(__xludf.DUMMYFUNCTION("""COMPUTED_VALUE"""),"8717323010501")</f>
        <v>8717323010501</v>
      </c>
      <c r="C12711" t="str">
        <f>IFERROR(__xludf.DUMMYFUNCTION("""COMPUTED_VALUE"""),"ECS")</f>
        <v>ECS</v>
      </c>
    </row>
    <row r="12712">
      <c r="A12712" t="str">
        <f>IFERROR(__xludf.DUMMYFUNCTION("""COMPUTED_VALUE"""),"FI008BB")</f>
        <v>FI008BB</v>
      </c>
      <c r="B12712" s="226" t="str">
        <f>IFERROR(__xludf.DUMMYFUNCTION("""COMPUTED_VALUE"""),"8717323001417")</f>
        <v>8717323001417</v>
      </c>
      <c r="C12712" t="str">
        <f>IFERROR(__xludf.DUMMYFUNCTION("""COMPUTED_VALUE"""),"ECS")</f>
        <v>ECS</v>
      </c>
    </row>
    <row r="12713">
      <c r="A12713" t="str">
        <f>IFERROR(__xludf.DUMMYFUNCTION("""COMPUTED_VALUE"""),"FI012BB")</f>
        <v>FI012BB</v>
      </c>
      <c r="B12713" s="226" t="str">
        <f>IFERROR(__xludf.DUMMYFUNCTION("""COMPUTED_VALUE"""),"8717323009277")</f>
        <v>8717323009277</v>
      </c>
      <c r="C12713" t="str">
        <f>IFERROR(__xludf.DUMMYFUNCTION("""COMPUTED_VALUE"""),"ECS")</f>
        <v>ECS</v>
      </c>
    </row>
    <row r="12714">
      <c r="A12714" t="str">
        <f>IFERROR(__xludf.DUMMYFUNCTION("""COMPUTED_VALUE"""),"FR054BB")</f>
        <v>FR054BB</v>
      </c>
      <c r="B12714" s="226" t="str">
        <f>IFERROR(__xludf.DUMMYFUNCTION("""COMPUTED_VALUE"""),"8717323046241")</f>
        <v>8717323046241</v>
      </c>
      <c r="C12714" t="str">
        <f>IFERROR(__xludf.DUMMYFUNCTION("""COMPUTED_VALUE"""),"ECS")</f>
        <v>ECS</v>
      </c>
    </row>
    <row r="12715">
      <c r="A12715" t="str">
        <f>IFERROR(__xludf.DUMMYFUNCTION("""COMPUTED_VALUE"""),"FR054BL")</f>
        <v>FR054BL</v>
      </c>
      <c r="B12715" s="226" t="str">
        <f>IFERROR(__xludf.DUMMYFUNCTION("""COMPUTED_VALUE"""),"8717323046258")</f>
        <v>8717323046258</v>
      </c>
      <c r="C12715" t="str">
        <f>IFERROR(__xludf.DUMMYFUNCTION("""COMPUTED_VALUE"""),"ECS")</f>
        <v>ECS</v>
      </c>
    </row>
    <row r="12716">
      <c r="A12716" t="str">
        <f>IFERROR(__xludf.DUMMYFUNCTION("""COMPUTED_VALUE"""),"FR054DL")</f>
        <v>FR054DL</v>
      </c>
      <c r="B12716" s="226" t="str">
        <f>IFERROR(__xludf.DUMMYFUNCTION("""COMPUTED_VALUE"""),"8717323046265")</f>
        <v>8717323046265</v>
      </c>
      <c r="C12716" t="str">
        <f>IFERROR(__xludf.DUMMYFUNCTION("""COMPUTED_VALUE"""),"ECS")</f>
        <v>ECS</v>
      </c>
    </row>
    <row r="12717">
      <c r="A12717" t="str">
        <f>IFERROR(__xludf.DUMMYFUNCTION("""COMPUTED_VALUE"""),"FR032BB")</f>
        <v>FR032BB</v>
      </c>
      <c r="B12717" s="226" t="str">
        <f>IFERROR(__xludf.DUMMYFUNCTION("""COMPUTED_VALUE"""),"8717323012888")</f>
        <v>8717323012888</v>
      </c>
      <c r="C12717" t="str">
        <f>IFERROR(__xludf.DUMMYFUNCTION("""COMPUTED_VALUE"""),"ECS")</f>
        <v>ECS</v>
      </c>
    </row>
    <row r="12718">
      <c r="A12718" t="str">
        <f>IFERROR(__xludf.DUMMYFUNCTION("""COMPUTED_VALUE"""),"FR032BL")</f>
        <v>FR032BL</v>
      </c>
      <c r="B12718" s="226" t="str">
        <f>IFERROR(__xludf.DUMMYFUNCTION("""COMPUTED_VALUE"""),"8717323023853")</f>
        <v>8717323023853</v>
      </c>
      <c r="C12718" t="str">
        <f>IFERROR(__xludf.DUMMYFUNCTION("""COMPUTED_VALUE"""),"ECS")</f>
        <v>ECS</v>
      </c>
    </row>
    <row r="12719">
      <c r="A12719" t="str">
        <f>IFERROR(__xludf.DUMMYFUNCTION("""COMPUTED_VALUE"""),"FR032DG")</f>
        <v>FR032DG</v>
      </c>
      <c r="B12719" s="226" t="str">
        <f>IFERROR(__xludf.DUMMYFUNCTION("""COMPUTED_VALUE"""),"8717323013007")</f>
        <v>8717323013007</v>
      </c>
      <c r="C12719" t="str">
        <f>IFERROR(__xludf.DUMMYFUNCTION("""COMPUTED_VALUE"""),"ECS")</f>
        <v>ECS</v>
      </c>
    </row>
    <row r="12720">
      <c r="A12720" t="str">
        <f>IFERROR(__xludf.DUMMYFUNCTION("""COMPUTED_VALUE"""),"FR032DH")</f>
        <v>FR032DH</v>
      </c>
      <c r="B12720" s="226" t="str">
        <f>IFERROR(__xludf.DUMMYFUNCTION("""COMPUTED_VALUE"""),"8717323013014")</f>
        <v>8717323013014</v>
      </c>
      <c r="C12720" t="str">
        <f>IFERROR(__xludf.DUMMYFUNCTION("""COMPUTED_VALUE"""),"ECS")</f>
        <v>ECS</v>
      </c>
    </row>
    <row r="12721">
      <c r="A12721" t="str">
        <f>IFERROR(__xludf.DUMMYFUNCTION("""COMPUTED_VALUE"""),"FR052B1")</f>
        <v>FR052B1</v>
      </c>
      <c r="B12721" s="226" t="str">
        <f>IFERROR(__xludf.DUMMYFUNCTION("""COMPUTED_VALUE"""),"8717323025604")</f>
        <v>8717323025604</v>
      </c>
      <c r="C12721" t="str">
        <f>IFERROR(__xludf.DUMMYFUNCTION("""COMPUTED_VALUE"""),"ECS")</f>
        <v>ECS</v>
      </c>
    </row>
    <row r="12722">
      <c r="A12722" t="str">
        <f>IFERROR(__xludf.DUMMYFUNCTION("""COMPUTED_VALUE"""),"FR052D1")</f>
        <v>FR052D1</v>
      </c>
      <c r="B12722" s="226" t="str">
        <f>IFERROR(__xludf.DUMMYFUNCTION("""COMPUTED_VALUE"""),"8717323025611")</f>
        <v>8717323025611</v>
      </c>
      <c r="C12722" t="str">
        <f>IFERROR(__xludf.DUMMYFUNCTION("""COMPUTED_VALUE"""),"ECS")</f>
        <v>ECS</v>
      </c>
    </row>
    <row r="12723">
      <c r="A12723" t="str">
        <f>IFERROR(__xludf.DUMMYFUNCTION("""COMPUTED_VALUE"""),"FR071BB")</f>
        <v>FR071BB</v>
      </c>
      <c r="B12723" s="226" t="str">
        <f>IFERROR(__xludf.DUMMYFUNCTION("""COMPUTED_VALUE"""),"8717323050613")</f>
        <v>8717323050613</v>
      </c>
      <c r="C12723" t="str">
        <f>IFERROR(__xludf.DUMMYFUNCTION("""COMPUTED_VALUE"""),"ECS")</f>
        <v>ECS</v>
      </c>
    </row>
    <row r="12724">
      <c r="A12724" t="str">
        <f>IFERROR(__xludf.DUMMYFUNCTION("""COMPUTED_VALUE"""),"FR071DL")</f>
        <v>FR071DL</v>
      </c>
      <c r="B12724" s="226" t="str">
        <f>IFERROR(__xludf.DUMMYFUNCTION("""COMPUTED_VALUE"""),"8717323050620")</f>
        <v>8717323050620</v>
      </c>
      <c r="C12724" t="str">
        <f>IFERROR(__xludf.DUMMYFUNCTION("""COMPUTED_VALUE"""),"ECS")</f>
        <v>ECS</v>
      </c>
    </row>
    <row r="12725">
      <c r="A12725" t="str">
        <f>IFERROR(__xludf.DUMMYFUNCTION("""COMPUTED_VALUE"""),"FR104B1")</f>
        <v>FR104B1</v>
      </c>
      <c r="B12725" s="226" t="str">
        <f>IFERROR(__xludf.DUMMYFUNCTION("""COMPUTED_VALUE"""),"8717323063729")</f>
        <v>8717323063729</v>
      </c>
      <c r="C12725" t="str">
        <f>IFERROR(__xludf.DUMMYFUNCTION("""COMPUTED_VALUE"""),"ECS")</f>
        <v>ECS</v>
      </c>
    </row>
    <row r="12726">
      <c r="A12726" t="str">
        <f>IFERROR(__xludf.DUMMYFUNCTION("""COMPUTED_VALUE"""),"FR104D1")</f>
        <v>FR104D1</v>
      </c>
      <c r="B12726" s="226" t="str">
        <f>IFERROR(__xludf.DUMMYFUNCTION("""COMPUTED_VALUE"""),"8717323063736")</f>
        <v>8717323063736</v>
      </c>
      <c r="C12726" t="str">
        <f>IFERROR(__xludf.DUMMYFUNCTION("""COMPUTED_VALUE"""),"ECS")</f>
        <v>ECS</v>
      </c>
    </row>
    <row r="12727">
      <c r="A12727" t="str">
        <f>IFERROR(__xludf.DUMMYFUNCTION("""COMPUTED_VALUE"""),"FR107B1")</f>
        <v>FR107B1</v>
      </c>
      <c r="B12727" s="226" t="str">
        <f>IFERROR(__xludf.DUMMYFUNCTION("""COMPUTED_VALUE"""),"8717323066584")</f>
        <v>8717323066584</v>
      </c>
      <c r="C12727" t="str">
        <f>IFERROR(__xludf.DUMMYFUNCTION("""COMPUTED_VALUE"""),"ECS")</f>
        <v>ECS</v>
      </c>
    </row>
    <row r="12728">
      <c r="A12728" t="str">
        <f>IFERROR(__xludf.DUMMYFUNCTION("""COMPUTED_VALUE"""),"FR107D1")</f>
        <v>FR107D1</v>
      </c>
      <c r="B12728" s="226" t="str">
        <f>IFERROR(__xludf.DUMMYFUNCTION("""COMPUTED_VALUE"""),"8717323066591")</f>
        <v>8717323066591</v>
      </c>
      <c r="C12728" t="str">
        <f>IFERROR(__xludf.DUMMYFUNCTION("""COMPUTED_VALUE"""),"ECS")</f>
        <v>ECS</v>
      </c>
    </row>
    <row r="12729">
      <c r="A12729" t="str">
        <f>IFERROR(__xludf.DUMMYFUNCTION("""COMPUTED_VALUE"""),"FR084B1")</f>
        <v>FR084B1</v>
      </c>
      <c r="B12729" s="226" t="str">
        <f>IFERROR(__xludf.DUMMYFUNCTION("""COMPUTED_VALUE"""),"8717323059661")</f>
        <v>8717323059661</v>
      </c>
      <c r="C12729" t="str">
        <f>IFERROR(__xludf.DUMMYFUNCTION("""COMPUTED_VALUE"""),"ECS")</f>
        <v>ECS</v>
      </c>
    </row>
    <row r="12730">
      <c r="A12730" t="str">
        <f>IFERROR(__xludf.DUMMYFUNCTION("""COMPUTED_VALUE"""),"FR084H1")</f>
        <v>FR084H1</v>
      </c>
      <c r="B12730" s="226" t="str">
        <f>IFERROR(__xludf.DUMMYFUNCTION("""COMPUTED_VALUE"""),"8717323059685")</f>
        <v>8717323059685</v>
      </c>
      <c r="C12730" t="str">
        <f>IFERROR(__xludf.DUMMYFUNCTION("""COMPUTED_VALUE"""),"ECS")</f>
        <v>ECS</v>
      </c>
    </row>
    <row r="12731">
      <c r="A12731" t="str">
        <f>IFERROR(__xludf.DUMMYFUNCTION("""COMPUTED_VALUE"""),"FR110B1")</f>
        <v>FR110B1</v>
      </c>
      <c r="B12731" s="226" t="str">
        <f>IFERROR(__xludf.DUMMYFUNCTION("""COMPUTED_VALUE"""),"8717323069660")</f>
        <v>8717323069660</v>
      </c>
      <c r="C12731" t="str">
        <f>IFERROR(__xludf.DUMMYFUNCTION("""COMPUTED_VALUE"""),"ECS")</f>
        <v>ECS</v>
      </c>
    </row>
    <row r="12732">
      <c r="A12732" t="str">
        <f>IFERROR(__xludf.DUMMYFUNCTION("""COMPUTED_VALUE"""),"FR110H1")</f>
        <v>FR110H1</v>
      </c>
      <c r="B12732" s="226" t="str">
        <f>IFERROR(__xludf.DUMMYFUNCTION("""COMPUTED_VALUE"""),"8717323069677")</f>
        <v>8717323069677</v>
      </c>
      <c r="C12732" t="str">
        <f>IFERROR(__xludf.DUMMYFUNCTION("""COMPUTED_VALUE"""),"ECS")</f>
        <v>ECS</v>
      </c>
    </row>
    <row r="12733">
      <c r="A12733" t="str">
        <f>IFERROR(__xludf.DUMMYFUNCTION("""COMPUTED_VALUE"""),"FOR023B")</f>
        <v>FOR023B</v>
      </c>
      <c r="B12733" s="226" t="str">
        <f>IFERROR(__xludf.DUMMYFUNCTION("""COMPUTED_VALUE"""),"8717323001646")</f>
        <v>8717323001646</v>
      </c>
      <c r="C12733" t="str">
        <f>IFERROR(__xludf.DUMMYFUNCTION("""COMPUTED_VALUE"""),"ECS")</f>
        <v>ECS</v>
      </c>
    </row>
    <row r="12734">
      <c r="A12734" t="str">
        <f>IFERROR(__xludf.DUMMYFUNCTION("""COMPUTED_VALUE"""),"FR104B1")</f>
        <v>FR104B1</v>
      </c>
      <c r="B12734" s="226" t="str">
        <f>IFERROR(__xludf.DUMMYFUNCTION("""COMPUTED_VALUE"""),"8717323063729")</f>
        <v>8717323063729</v>
      </c>
      <c r="C12734" t="str">
        <f>IFERROR(__xludf.DUMMYFUNCTION("""COMPUTED_VALUE"""),"ECS")</f>
        <v>ECS</v>
      </c>
    </row>
    <row r="12735">
      <c r="A12735" t="str">
        <f>IFERROR(__xludf.DUMMYFUNCTION("""COMPUTED_VALUE"""),"FR104D1")</f>
        <v>FR104D1</v>
      </c>
      <c r="B12735" s="226" t="str">
        <f>IFERROR(__xludf.DUMMYFUNCTION("""COMPUTED_VALUE"""),"8717323063736")</f>
        <v>8717323063736</v>
      </c>
      <c r="C12735" t="str">
        <f>IFERROR(__xludf.DUMMYFUNCTION("""COMPUTED_VALUE"""),"ECS")</f>
        <v>ECS</v>
      </c>
    </row>
    <row r="12736">
      <c r="A12736" t="str">
        <f>IFERROR(__xludf.DUMMYFUNCTION("""COMPUTED_VALUE"""),"FR107B1")</f>
        <v>FR107B1</v>
      </c>
      <c r="B12736" s="226" t="str">
        <f>IFERROR(__xludf.DUMMYFUNCTION("""COMPUTED_VALUE"""),"8717323066584")</f>
        <v>8717323066584</v>
      </c>
      <c r="C12736" t="str">
        <f>IFERROR(__xludf.DUMMYFUNCTION("""COMPUTED_VALUE"""),"ECS")</f>
        <v>ECS</v>
      </c>
    </row>
    <row r="12737">
      <c r="A12737" t="str">
        <f>IFERROR(__xludf.DUMMYFUNCTION("""COMPUTED_VALUE"""),"FR107D1")</f>
        <v>FR107D1</v>
      </c>
      <c r="B12737" s="226" t="str">
        <f>IFERROR(__xludf.DUMMYFUNCTION("""COMPUTED_VALUE"""),"8717323066591")</f>
        <v>8717323066591</v>
      </c>
      <c r="C12737" t="str">
        <f>IFERROR(__xludf.DUMMYFUNCTION("""COMPUTED_VALUE"""),"ECS")</f>
        <v>ECS</v>
      </c>
    </row>
    <row r="12738">
      <c r="A12738" t="str">
        <f>IFERROR(__xludf.DUMMYFUNCTION("""COMPUTED_VALUE"""),"FR021BB")</f>
        <v>FR021BB</v>
      </c>
      <c r="B12738" s="226" t="str">
        <f>IFERROR(__xludf.DUMMYFUNCTION("""COMPUTED_VALUE"""),"8717323001899")</f>
        <v>8717323001899</v>
      </c>
      <c r="C12738" t="str">
        <f>IFERROR(__xludf.DUMMYFUNCTION("""COMPUTED_VALUE"""),"ECS")</f>
        <v>ECS</v>
      </c>
    </row>
    <row r="12739">
      <c r="A12739" t="str">
        <f>IFERROR(__xludf.DUMMYFUNCTION("""COMPUTED_VALUE"""),"FR030BB")</f>
        <v>FR030BB</v>
      </c>
      <c r="B12739" s="226" t="str">
        <f>IFERROR(__xludf.DUMMYFUNCTION("""COMPUTED_VALUE"""),"8717323012963")</f>
        <v>8717323012963</v>
      </c>
      <c r="C12739" t="str">
        <f>IFERROR(__xludf.DUMMYFUNCTION("""COMPUTED_VALUE"""),"ECS")</f>
        <v>ECS</v>
      </c>
    </row>
    <row r="12740">
      <c r="A12740" t="str">
        <f>IFERROR(__xludf.DUMMYFUNCTION("""COMPUTED_VALUE"""),"FR030BL")</f>
        <v>FR030BL</v>
      </c>
      <c r="B12740" s="226" t="str">
        <f>IFERROR(__xludf.DUMMYFUNCTION("""COMPUTED_VALUE"""),"8717323012970")</f>
        <v>8717323012970</v>
      </c>
      <c r="C12740" t="str">
        <f>IFERROR(__xludf.DUMMYFUNCTION("""COMPUTED_VALUE"""),"ECS")</f>
        <v>ECS</v>
      </c>
    </row>
    <row r="12741">
      <c r="A12741" t="str">
        <f>IFERROR(__xludf.DUMMYFUNCTION("""COMPUTED_VALUE"""),"FR030DB")</f>
        <v>FR030DB</v>
      </c>
      <c r="B12741" s="226" t="str">
        <f>IFERROR(__xludf.DUMMYFUNCTION("""COMPUTED_VALUE"""),"8717323012987")</f>
        <v>8717323012987</v>
      </c>
      <c r="C12741" t="str">
        <f>IFERROR(__xludf.DUMMYFUNCTION("""COMPUTED_VALUE"""),"ECS")</f>
        <v>ECS</v>
      </c>
    </row>
    <row r="12742">
      <c r="A12742" t="str">
        <f>IFERROR(__xludf.DUMMYFUNCTION("""COMPUTED_VALUE"""),"FR030DH")</f>
        <v>FR030DH</v>
      </c>
      <c r="B12742" s="226" t="str">
        <f>IFERROR(__xludf.DUMMYFUNCTION("""COMPUTED_VALUE"""),"8717323012994")</f>
        <v>8717323012994</v>
      </c>
      <c r="C12742" t="str">
        <f>IFERROR(__xludf.DUMMYFUNCTION("""COMPUTED_VALUE"""),"ECS")</f>
        <v>ECS</v>
      </c>
    </row>
    <row r="12743">
      <c r="A12743" t="str">
        <f>IFERROR(__xludf.DUMMYFUNCTION("""COMPUTED_VALUE"""),"FR042BB")</f>
        <v>FR042BB</v>
      </c>
      <c r="B12743" s="226" t="str">
        <f>IFERROR(__xludf.DUMMYFUNCTION("""COMPUTED_VALUE"""),"8717323016794")</f>
        <v>8717323016794</v>
      </c>
      <c r="C12743" t="str">
        <f>IFERROR(__xludf.DUMMYFUNCTION("""COMPUTED_VALUE"""),"ECS")</f>
        <v>ECS</v>
      </c>
    </row>
    <row r="12744">
      <c r="A12744" t="str">
        <f>IFERROR(__xludf.DUMMYFUNCTION("""COMPUTED_VALUE"""),"FR042BH")</f>
        <v>FR042BH</v>
      </c>
      <c r="B12744" s="226" t="str">
        <f>IFERROR(__xludf.DUMMYFUNCTION("""COMPUTED_VALUE"""),"8717323016800")</f>
        <v>8717323016800</v>
      </c>
      <c r="C12744" t="str">
        <f>IFERROR(__xludf.DUMMYFUNCTION("""COMPUTED_VALUE"""),"ECS")</f>
        <v>ECS</v>
      </c>
    </row>
    <row r="12745">
      <c r="A12745" t="str">
        <f>IFERROR(__xludf.DUMMYFUNCTION("""COMPUTED_VALUE"""),"FR042DH")</f>
        <v>FR042DH</v>
      </c>
      <c r="B12745" s="226" t="str">
        <f>IFERROR(__xludf.DUMMYFUNCTION("""COMPUTED_VALUE"""),"8717323016817")</f>
        <v>8717323016817</v>
      </c>
      <c r="C12745" t="str">
        <f>IFERROR(__xludf.DUMMYFUNCTION("""COMPUTED_VALUE"""),"ECS")</f>
        <v>ECS</v>
      </c>
    </row>
    <row r="12746">
      <c r="A12746" t="str">
        <f>IFERROR(__xludf.DUMMYFUNCTION("""COMPUTED_VALUE"""),"FR030BB")</f>
        <v>FR030BB</v>
      </c>
      <c r="B12746" s="226" t="str">
        <f>IFERROR(__xludf.DUMMYFUNCTION("""COMPUTED_VALUE"""),"8717323012963")</f>
        <v>8717323012963</v>
      </c>
      <c r="C12746" t="str">
        <f>IFERROR(__xludf.DUMMYFUNCTION("""COMPUTED_VALUE"""),"ECS")</f>
        <v>ECS</v>
      </c>
    </row>
    <row r="12747">
      <c r="A12747" t="str">
        <f>IFERROR(__xludf.DUMMYFUNCTION("""COMPUTED_VALUE"""),"FR030BL")</f>
        <v>FR030BL</v>
      </c>
      <c r="B12747" s="226" t="str">
        <f>IFERROR(__xludf.DUMMYFUNCTION("""COMPUTED_VALUE"""),"8717323012970")</f>
        <v>8717323012970</v>
      </c>
      <c r="C12747" t="str">
        <f>IFERROR(__xludf.DUMMYFUNCTION("""COMPUTED_VALUE"""),"ECS")</f>
        <v>ECS</v>
      </c>
    </row>
    <row r="12748">
      <c r="A12748" t="str">
        <f>IFERROR(__xludf.DUMMYFUNCTION("""COMPUTED_VALUE"""),"FR030DB")</f>
        <v>FR030DB</v>
      </c>
      <c r="B12748" s="226" t="str">
        <f>IFERROR(__xludf.DUMMYFUNCTION("""COMPUTED_VALUE"""),"8717323012987")</f>
        <v>8717323012987</v>
      </c>
      <c r="C12748" t="str">
        <f>IFERROR(__xludf.DUMMYFUNCTION("""COMPUTED_VALUE"""),"ECS")</f>
        <v>ECS</v>
      </c>
    </row>
    <row r="12749">
      <c r="A12749" t="str">
        <f>IFERROR(__xludf.DUMMYFUNCTION("""COMPUTED_VALUE"""),"FR030DH")</f>
        <v>FR030DH</v>
      </c>
      <c r="B12749" s="226" t="str">
        <f>IFERROR(__xludf.DUMMYFUNCTION("""COMPUTED_VALUE"""),"8717323012994")</f>
        <v>8717323012994</v>
      </c>
      <c r="C12749" t="str">
        <f>IFERROR(__xludf.DUMMYFUNCTION("""COMPUTED_VALUE"""),"ECS")</f>
        <v>ECS</v>
      </c>
    </row>
    <row r="12750">
      <c r="A12750" t="str">
        <f>IFERROR(__xludf.DUMMYFUNCTION("""COMPUTED_VALUE"""),"FR042BB")</f>
        <v>FR042BB</v>
      </c>
      <c r="B12750" s="226" t="str">
        <f>IFERROR(__xludf.DUMMYFUNCTION("""COMPUTED_VALUE"""),"8717323016794")</f>
        <v>8717323016794</v>
      </c>
      <c r="C12750" t="str">
        <f>IFERROR(__xludf.DUMMYFUNCTION("""COMPUTED_VALUE"""),"ECS")</f>
        <v>ECS</v>
      </c>
    </row>
    <row r="12751">
      <c r="A12751" t="str">
        <f>IFERROR(__xludf.DUMMYFUNCTION("""COMPUTED_VALUE"""),"FR042BH")</f>
        <v>FR042BH</v>
      </c>
      <c r="B12751" s="226" t="str">
        <f>IFERROR(__xludf.DUMMYFUNCTION("""COMPUTED_VALUE"""),"8717323016800")</f>
        <v>8717323016800</v>
      </c>
      <c r="C12751" t="str">
        <f>IFERROR(__xludf.DUMMYFUNCTION("""COMPUTED_VALUE"""),"ECS")</f>
        <v>ECS</v>
      </c>
    </row>
    <row r="12752">
      <c r="A12752" t="str">
        <f>IFERROR(__xludf.DUMMYFUNCTION("""COMPUTED_VALUE"""),"FR042DH")</f>
        <v>FR042DH</v>
      </c>
      <c r="B12752" s="226" t="str">
        <f>IFERROR(__xludf.DUMMYFUNCTION("""COMPUTED_VALUE"""),"8717323016817")</f>
        <v>8717323016817</v>
      </c>
      <c r="C12752" t="str">
        <f>IFERROR(__xludf.DUMMYFUNCTION("""COMPUTED_VALUE"""),"ECS")</f>
        <v>ECS</v>
      </c>
    </row>
    <row r="12753">
      <c r="A12753" t="str">
        <f>IFERROR(__xludf.DUMMYFUNCTION("""COMPUTED_VALUE"""),"FR059BB")</f>
        <v>FR059BB</v>
      </c>
      <c r="B12753" s="226" t="str">
        <f>IFERROR(__xludf.DUMMYFUNCTION("""COMPUTED_VALUE"""),"8717323045374")</f>
        <v>8717323045374</v>
      </c>
      <c r="C12753" t="str">
        <f>IFERROR(__xludf.DUMMYFUNCTION("""COMPUTED_VALUE"""),"ECS")</f>
        <v>ECS</v>
      </c>
    </row>
    <row r="12754">
      <c r="A12754" t="str">
        <f>IFERROR(__xludf.DUMMYFUNCTION("""COMPUTED_VALUE"""),"FR059BH")</f>
        <v>FR059BH</v>
      </c>
      <c r="B12754" s="226" t="str">
        <f>IFERROR(__xludf.DUMMYFUNCTION("""COMPUTED_VALUE"""),"8717323045381")</f>
        <v>8717323045381</v>
      </c>
      <c r="C12754" t="str">
        <f>IFERROR(__xludf.DUMMYFUNCTION("""COMPUTED_VALUE"""),"ECS")</f>
        <v>ECS</v>
      </c>
    </row>
    <row r="12755">
      <c r="A12755" t="str">
        <f>IFERROR(__xludf.DUMMYFUNCTION("""COMPUTED_VALUE"""),"FR059DH")</f>
        <v>FR059DH</v>
      </c>
      <c r="B12755" s="226" t="str">
        <f>IFERROR(__xludf.DUMMYFUNCTION("""COMPUTED_VALUE"""),"8717323045398")</f>
        <v>8717323045398</v>
      </c>
      <c r="C12755" t="str">
        <f>IFERROR(__xludf.DUMMYFUNCTION("""COMPUTED_VALUE"""),"ECS")</f>
        <v>ECS</v>
      </c>
    </row>
    <row r="12756">
      <c r="A12756" t="str">
        <f>IFERROR(__xludf.DUMMYFUNCTION("""COMPUTED_VALUE"""),"FR059BB")</f>
        <v>FR059BB</v>
      </c>
      <c r="B12756" s="226" t="str">
        <f>IFERROR(__xludf.DUMMYFUNCTION("""COMPUTED_VALUE"""),"8717323045374")</f>
        <v>8717323045374</v>
      </c>
      <c r="C12756" t="str">
        <f>IFERROR(__xludf.DUMMYFUNCTION("""COMPUTED_VALUE"""),"ECS")</f>
        <v>ECS</v>
      </c>
    </row>
    <row r="12757">
      <c r="A12757" t="str">
        <f>IFERROR(__xludf.DUMMYFUNCTION("""COMPUTED_VALUE"""),"FR059BH")</f>
        <v>FR059BH</v>
      </c>
      <c r="B12757" s="226" t="str">
        <f>IFERROR(__xludf.DUMMYFUNCTION("""COMPUTED_VALUE"""),"8717323045381")</f>
        <v>8717323045381</v>
      </c>
      <c r="C12757" t="str">
        <f>IFERROR(__xludf.DUMMYFUNCTION("""COMPUTED_VALUE"""),"ECS")</f>
        <v>ECS</v>
      </c>
    </row>
    <row r="12758">
      <c r="A12758" t="str">
        <f>IFERROR(__xludf.DUMMYFUNCTION("""COMPUTED_VALUE"""),"FR059DH")</f>
        <v>FR059DH</v>
      </c>
      <c r="B12758" s="226" t="str">
        <f>IFERROR(__xludf.DUMMYFUNCTION("""COMPUTED_VALUE"""),"8717323045398")</f>
        <v>8717323045398</v>
      </c>
      <c r="C12758" t="str">
        <f>IFERROR(__xludf.DUMMYFUNCTION("""COMPUTED_VALUE"""),"ECS")</f>
        <v>ECS</v>
      </c>
    </row>
    <row r="12759">
      <c r="A12759" t="str">
        <f>IFERROR(__xludf.DUMMYFUNCTION("""COMPUTED_VALUE"""),"FR104B1")</f>
        <v>FR104B1</v>
      </c>
      <c r="B12759" s="226" t="str">
        <f>IFERROR(__xludf.DUMMYFUNCTION("""COMPUTED_VALUE"""),"8717323063729")</f>
        <v>8717323063729</v>
      </c>
      <c r="C12759" t="str">
        <f>IFERROR(__xludf.DUMMYFUNCTION("""COMPUTED_VALUE"""),"ECS")</f>
        <v>ECS</v>
      </c>
    </row>
    <row r="12760">
      <c r="A12760" t="str">
        <f>IFERROR(__xludf.DUMMYFUNCTION("""COMPUTED_VALUE"""),"FR104D1")</f>
        <v>FR104D1</v>
      </c>
      <c r="B12760" s="226" t="str">
        <f>IFERROR(__xludf.DUMMYFUNCTION("""COMPUTED_VALUE"""),"8717323063736")</f>
        <v>8717323063736</v>
      </c>
      <c r="C12760" t="str">
        <f>IFERROR(__xludf.DUMMYFUNCTION("""COMPUTED_VALUE"""),"ECS")</f>
        <v>ECS</v>
      </c>
    </row>
    <row r="12761">
      <c r="A12761" t="str">
        <f>IFERROR(__xludf.DUMMYFUNCTION("""COMPUTED_VALUE"""),"FR107B1")</f>
        <v>FR107B1</v>
      </c>
      <c r="B12761" s="226" t="str">
        <f>IFERROR(__xludf.DUMMYFUNCTION("""COMPUTED_VALUE"""),"8717323066584")</f>
        <v>8717323066584</v>
      </c>
      <c r="C12761" t="str">
        <f>IFERROR(__xludf.DUMMYFUNCTION("""COMPUTED_VALUE"""),"ECS")</f>
        <v>ECS</v>
      </c>
    </row>
    <row r="12762">
      <c r="A12762" t="str">
        <f>IFERROR(__xludf.DUMMYFUNCTION("""COMPUTED_VALUE"""),"FR107D1")</f>
        <v>FR107D1</v>
      </c>
      <c r="B12762" s="226" t="str">
        <f>IFERROR(__xludf.DUMMYFUNCTION("""COMPUTED_VALUE"""),"8717323066591")</f>
        <v>8717323066591</v>
      </c>
      <c r="C12762" t="str">
        <f>IFERROR(__xludf.DUMMYFUNCTION("""COMPUTED_VALUE"""),"ECS")</f>
        <v>ECS</v>
      </c>
    </row>
    <row r="12763">
      <c r="A12763" t="str">
        <f>IFERROR(__xludf.DUMMYFUNCTION("""COMPUTED_VALUE"""),"FR002BB")</f>
        <v>FR002BB</v>
      </c>
      <c r="B12763" s="226" t="str">
        <f>IFERROR(__xludf.DUMMYFUNCTION("""COMPUTED_VALUE"""),"8717323001776")</f>
        <v>8717323001776</v>
      </c>
      <c r="C12763" t="str">
        <f>IFERROR(__xludf.DUMMYFUNCTION("""COMPUTED_VALUE"""),"ECS")</f>
        <v>ECS</v>
      </c>
    </row>
    <row r="12764">
      <c r="A12764" t="str">
        <f>IFERROR(__xludf.DUMMYFUNCTION("""COMPUTED_VALUE"""),"FR002BB")</f>
        <v>FR002BB</v>
      </c>
      <c r="B12764" s="226" t="str">
        <f>IFERROR(__xludf.DUMMYFUNCTION("""COMPUTED_VALUE"""),"8717323001776")</f>
        <v>8717323001776</v>
      </c>
      <c r="C12764" t="str">
        <f>IFERROR(__xludf.DUMMYFUNCTION("""COMPUTED_VALUE"""),"ECS")</f>
        <v>ECS</v>
      </c>
    </row>
    <row r="12765">
      <c r="A12765" t="str">
        <f>IFERROR(__xludf.DUMMYFUNCTION("""COMPUTED_VALUE"""),"FR032BB")</f>
        <v>FR032BB</v>
      </c>
      <c r="B12765" s="226" t="str">
        <f>IFERROR(__xludf.DUMMYFUNCTION("""COMPUTED_VALUE"""),"8717323012888")</f>
        <v>8717323012888</v>
      </c>
      <c r="C12765" t="str">
        <f>IFERROR(__xludf.DUMMYFUNCTION("""COMPUTED_VALUE"""),"ECS")</f>
        <v>ECS</v>
      </c>
    </row>
    <row r="12766">
      <c r="A12766" t="str">
        <f>IFERROR(__xludf.DUMMYFUNCTION("""COMPUTED_VALUE"""),"FR032DG")</f>
        <v>FR032DG</v>
      </c>
      <c r="B12766" s="226" t="str">
        <f>IFERROR(__xludf.DUMMYFUNCTION("""COMPUTED_VALUE"""),"8717323013007")</f>
        <v>8717323013007</v>
      </c>
      <c r="C12766" t="str">
        <f>IFERROR(__xludf.DUMMYFUNCTION("""COMPUTED_VALUE"""),"ECS")</f>
        <v>ECS</v>
      </c>
    </row>
    <row r="12767">
      <c r="A12767" t="str">
        <f>IFERROR(__xludf.DUMMYFUNCTION("""COMPUTED_VALUE"""),"FR033BH")</f>
        <v>FR033BH</v>
      </c>
      <c r="B12767" s="226" t="str">
        <f>IFERROR(__xludf.DUMMYFUNCTION("""COMPUTED_VALUE"""),"8717323012901")</f>
        <v>8717323012901</v>
      </c>
      <c r="C12767" t="str">
        <f>IFERROR(__xludf.DUMMYFUNCTION("""COMPUTED_VALUE"""),"ECS")</f>
        <v>ECS</v>
      </c>
    </row>
    <row r="12768">
      <c r="A12768" t="str">
        <f>IFERROR(__xludf.DUMMYFUNCTION("""COMPUTED_VALUE"""),"FR033DH")</f>
        <v>FR033DH</v>
      </c>
      <c r="B12768" s="226" t="str">
        <f>IFERROR(__xludf.DUMMYFUNCTION("""COMPUTED_VALUE"""),"8717323012918")</f>
        <v>8717323012918</v>
      </c>
      <c r="C12768" t="str">
        <f>IFERROR(__xludf.DUMMYFUNCTION("""COMPUTED_VALUE"""),"ECS")</f>
        <v>ECS</v>
      </c>
    </row>
    <row r="12769">
      <c r="A12769" t="str">
        <f>IFERROR(__xludf.DUMMYFUNCTION("""COMPUTED_VALUE"""),"FR052B1")</f>
        <v>FR052B1</v>
      </c>
      <c r="B12769" s="226" t="str">
        <f>IFERROR(__xludf.DUMMYFUNCTION("""COMPUTED_VALUE"""),"8717323025604")</f>
        <v>8717323025604</v>
      </c>
      <c r="C12769" t="str">
        <f>IFERROR(__xludf.DUMMYFUNCTION("""COMPUTED_VALUE"""),"ECS")</f>
        <v>ECS</v>
      </c>
    </row>
    <row r="12770">
      <c r="A12770" t="str">
        <f>IFERROR(__xludf.DUMMYFUNCTION("""COMPUTED_VALUE"""),"FR052D1")</f>
        <v>FR052D1</v>
      </c>
      <c r="B12770" s="226" t="str">
        <f>IFERROR(__xludf.DUMMYFUNCTION("""COMPUTED_VALUE"""),"8717323025611")</f>
        <v>8717323025611</v>
      </c>
      <c r="C12770" t="str">
        <f>IFERROR(__xludf.DUMMYFUNCTION("""COMPUTED_VALUE"""),"ECS")</f>
        <v>ECS</v>
      </c>
    </row>
    <row r="12771">
      <c r="A12771" t="str">
        <f>IFERROR(__xludf.DUMMYFUNCTION("""COMPUTED_VALUE"""),"FR052B1")</f>
        <v>FR052B1</v>
      </c>
      <c r="B12771" s="226" t="str">
        <f>IFERROR(__xludf.DUMMYFUNCTION("""COMPUTED_VALUE"""),"8717323025604")</f>
        <v>8717323025604</v>
      </c>
      <c r="C12771" t="str">
        <f>IFERROR(__xludf.DUMMYFUNCTION("""COMPUTED_VALUE"""),"ECS")</f>
        <v>ECS</v>
      </c>
    </row>
    <row r="12772">
      <c r="A12772" t="str">
        <f>IFERROR(__xludf.DUMMYFUNCTION("""COMPUTED_VALUE"""),"FR052D1")</f>
        <v>FR052D1</v>
      </c>
      <c r="B12772" s="226" t="str">
        <f>IFERROR(__xludf.DUMMYFUNCTION("""COMPUTED_VALUE"""),"8717323025611")</f>
        <v>8717323025611</v>
      </c>
      <c r="C12772" t="str">
        <f>IFERROR(__xludf.DUMMYFUNCTION("""COMPUTED_VALUE"""),"ECS")</f>
        <v>ECS</v>
      </c>
    </row>
    <row r="12773">
      <c r="A12773" t="str">
        <f>IFERROR(__xludf.DUMMYFUNCTION("""COMPUTED_VALUE"""),"FR052B1")</f>
        <v>FR052B1</v>
      </c>
      <c r="B12773" s="226" t="str">
        <f>IFERROR(__xludf.DUMMYFUNCTION("""COMPUTED_VALUE"""),"8717323025604")</f>
        <v>8717323025604</v>
      </c>
      <c r="C12773" t="str">
        <f>IFERROR(__xludf.DUMMYFUNCTION("""COMPUTED_VALUE"""),"ECS")</f>
        <v>ECS</v>
      </c>
    </row>
    <row r="12774">
      <c r="A12774" t="str">
        <f>IFERROR(__xludf.DUMMYFUNCTION("""COMPUTED_VALUE"""),"FR052D1")</f>
        <v>FR052D1</v>
      </c>
      <c r="B12774" s="226" t="str">
        <f>IFERROR(__xludf.DUMMYFUNCTION("""COMPUTED_VALUE"""),"8717323025611")</f>
        <v>8717323025611</v>
      </c>
      <c r="C12774" t="str">
        <f>IFERROR(__xludf.DUMMYFUNCTION("""COMPUTED_VALUE"""),"ECS")</f>
        <v>ECS</v>
      </c>
    </row>
    <row r="12775">
      <c r="A12775" t="str">
        <f>IFERROR(__xludf.DUMMYFUNCTION("""COMPUTED_VALUE"""),"FR108B1")</f>
        <v>FR108B1</v>
      </c>
      <c r="B12775" s="226" t="str">
        <f>IFERROR(__xludf.DUMMYFUNCTION("""COMPUTED_VALUE"""),"8717323068519")</f>
        <v>8717323068519</v>
      </c>
      <c r="C12775" t="str">
        <f>IFERROR(__xludf.DUMMYFUNCTION("""COMPUTED_VALUE"""),"ECS")</f>
        <v>ECS</v>
      </c>
    </row>
    <row r="12776">
      <c r="A12776" t="str">
        <f>IFERROR(__xludf.DUMMYFUNCTION("""COMPUTED_VALUE"""),"FR108D1")</f>
        <v>FR108D1</v>
      </c>
      <c r="B12776" s="226" t="str">
        <f>IFERROR(__xludf.DUMMYFUNCTION("""COMPUTED_VALUE"""),"8717323068526")</f>
        <v>8717323068526</v>
      </c>
      <c r="C12776" t="str">
        <f>IFERROR(__xludf.DUMMYFUNCTION("""COMPUTED_VALUE"""),"ECS")</f>
        <v>ECS</v>
      </c>
    </row>
    <row r="12777">
      <c r="A12777" t="str">
        <f>IFERROR(__xludf.DUMMYFUNCTION("""COMPUTED_VALUE"""),"FR108B1")</f>
        <v>FR108B1</v>
      </c>
      <c r="B12777" s="226" t="str">
        <f>IFERROR(__xludf.DUMMYFUNCTION("""COMPUTED_VALUE"""),"8717323068519")</f>
        <v>8717323068519</v>
      </c>
      <c r="C12777" t="str">
        <f>IFERROR(__xludf.DUMMYFUNCTION("""COMPUTED_VALUE"""),"ECS")</f>
        <v>ECS</v>
      </c>
    </row>
    <row r="12778">
      <c r="A12778" t="str">
        <f>IFERROR(__xludf.DUMMYFUNCTION("""COMPUTED_VALUE"""),"FR108D1")</f>
        <v>FR108D1</v>
      </c>
      <c r="B12778" s="226" t="str">
        <f>IFERROR(__xludf.DUMMYFUNCTION("""COMPUTED_VALUE"""),"8717323068526")</f>
        <v>8717323068526</v>
      </c>
      <c r="C12778" t="str">
        <f>IFERROR(__xludf.DUMMYFUNCTION("""COMPUTED_VALUE"""),"ECS")</f>
        <v>ECS</v>
      </c>
    </row>
    <row r="12779">
      <c r="A12779" t="str">
        <f>IFERROR(__xludf.DUMMYFUNCTION("""COMPUTED_VALUE"""),"FR108B1")</f>
        <v>FR108B1</v>
      </c>
      <c r="B12779" s="226" t="str">
        <f>IFERROR(__xludf.DUMMYFUNCTION("""COMPUTED_VALUE"""),"8717323068519")</f>
        <v>8717323068519</v>
      </c>
      <c r="C12779" t="str">
        <f>IFERROR(__xludf.DUMMYFUNCTION("""COMPUTED_VALUE"""),"ECS")</f>
        <v>ECS</v>
      </c>
    </row>
    <row r="12780">
      <c r="A12780" t="str">
        <f>IFERROR(__xludf.DUMMYFUNCTION("""COMPUTED_VALUE"""),"FR108D1")</f>
        <v>FR108D1</v>
      </c>
      <c r="B12780" s="226" t="str">
        <f>IFERROR(__xludf.DUMMYFUNCTION("""COMPUTED_VALUE"""),"8717323068526")</f>
        <v>8717323068526</v>
      </c>
      <c r="C12780" t="str">
        <f>IFERROR(__xludf.DUMMYFUNCTION("""COMPUTED_VALUE"""),"ECS")</f>
        <v>ECS</v>
      </c>
    </row>
    <row r="12781">
      <c r="A12781" t="str">
        <f>IFERROR(__xludf.DUMMYFUNCTION("""COMPUTED_VALUE"""),"FR108B1")</f>
        <v>FR108B1</v>
      </c>
      <c r="B12781" s="226" t="str">
        <f>IFERROR(__xludf.DUMMYFUNCTION("""COMPUTED_VALUE"""),"8717323068519")</f>
        <v>8717323068519</v>
      </c>
      <c r="C12781" t="str">
        <f>IFERROR(__xludf.DUMMYFUNCTION("""COMPUTED_VALUE"""),"ECS")</f>
        <v>ECS</v>
      </c>
    </row>
    <row r="12782">
      <c r="A12782" t="str">
        <f>IFERROR(__xludf.DUMMYFUNCTION("""COMPUTED_VALUE"""),"FR108D1")</f>
        <v>FR108D1</v>
      </c>
      <c r="B12782" s="226" t="str">
        <f>IFERROR(__xludf.DUMMYFUNCTION("""COMPUTED_VALUE"""),"8717323068526")</f>
        <v>8717323068526</v>
      </c>
      <c r="C12782" t="str">
        <f>IFERROR(__xludf.DUMMYFUNCTION("""COMPUTED_VALUE"""),"ECS")</f>
        <v>ECS</v>
      </c>
    </row>
    <row r="12783">
      <c r="A12783" t="str">
        <f>IFERROR(__xludf.DUMMYFUNCTION("""COMPUTED_VALUE"""),"FR021BB")</f>
        <v>FR021BB</v>
      </c>
      <c r="B12783" s="226" t="str">
        <f>IFERROR(__xludf.DUMMYFUNCTION("""COMPUTED_VALUE"""),"8717323001899")</f>
        <v>8717323001899</v>
      </c>
      <c r="C12783" t="str">
        <f>IFERROR(__xludf.DUMMYFUNCTION("""COMPUTED_VALUE"""),"ECS")</f>
        <v>ECS</v>
      </c>
    </row>
    <row r="12784">
      <c r="A12784" t="str">
        <f>IFERROR(__xludf.DUMMYFUNCTION("""COMPUTED_VALUE"""),"FR030BB")</f>
        <v>FR030BB</v>
      </c>
      <c r="B12784" s="226" t="str">
        <f>IFERROR(__xludf.DUMMYFUNCTION("""COMPUTED_VALUE"""),"8717323012963")</f>
        <v>8717323012963</v>
      </c>
      <c r="C12784" t="str">
        <f>IFERROR(__xludf.DUMMYFUNCTION("""COMPUTED_VALUE"""),"ECS")</f>
        <v>ECS</v>
      </c>
    </row>
    <row r="12785">
      <c r="A12785" t="str">
        <f>IFERROR(__xludf.DUMMYFUNCTION("""COMPUTED_VALUE"""),"FR030BL")</f>
        <v>FR030BL</v>
      </c>
      <c r="B12785" s="226" t="str">
        <f>IFERROR(__xludf.DUMMYFUNCTION("""COMPUTED_VALUE"""),"8717323012970")</f>
        <v>8717323012970</v>
      </c>
      <c r="C12785" t="str">
        <f>IFERROR(__xludf.DUMMYFUNCTION("""COMPUTED_VALUE"""),"ECS")</f>
        <v>ECS</v>
      </c>
    </row>
    <row r="12786">
      <c r="A12786" t="str">
        <f>IFERROR(__xludf.DUMMYFUNCTION("""COMPUTED_VALUE"""),"FR030DB")</f>
        <v>FR030DB</v>
      </c>
      <c r="B12786" s="226" t="str">
        <f>IFERROR(__xludf.DUMMYFUNCTION("""COMPUTED_VALUE"""),"8717323012987")</f>
        <v>8717323012987</v>
      </c>
      <c r="C12786" t="str">
        <f>IFERROR(__xludf.DUMMYFUNCTION("""COMPUTED_VALUE"""),"ECS")</f>
        <v>ECS</v>
      </c>
    </row>
    <row r="12787">
      <c r="A12787" t="str">
        <f>IFERROR(__xludf.DUMMYFUNCTION("""COMPUTED_VALUE"""),"FR030DH")</f>
        <v>FR030DH</v>
      </c>
      <c r="B12787" s="226" t="str">
        <f>IFERROR(__xludf.DUMMYFUNCTION("""COMPUTED_VALUE"""),"8717323012994")</f>
        <v>8717323012994</v>
      </c>
      <c r="C12787" t="str">
        <f>IFERROR(__xludf.DUMMYFUNCTION("""COMPUTED_VALUE"""),"ECS")</f>
        <v>ECS</v>
      </c>
    </row>
    <row r="12788">
      <c r="A12788" t="str">
        <f>IFERROR(__xludf.DUMMYFUNCTION("""COMPUTED_VALUE"""),"VW011BB")</f>
        <v>VW011BB</v>
      </c>
      <c r="B12788" s="226" t="str">
        <f>IFERROR(__xludf.DUMMYFUNCTION("""COMPUTED_VALUE"""),"8717323009093")</f>
        <v>8717323009093</v>
      </c>
      <c r="C12788" t="str">
        <f>IFERROR(__xludf.DUMMYFUNCTION("""COMPUTED_VALUE"""),"ECS")</f>
        <v>ECS</v>
      </c>
    </row>
    <row r="12789">
      <c r="A12789" t="str">
        <f>IFERROR(__xludf.DUMMYFUNCTION("""COMPUTED_VALUE"""),"VW011BL")</f>
        <v>VW011BL</v>
      </c>
      <c r="B12789" s="226" t="str">
        <f>IFERROR(__xludf.DUMMYFUNCTION("""COMPUTED_VALUE"""),"8717323022443")</f>
        <v>8717323022443</v>
      </c>
      <c r="C12789" t="str">
        <f>IFERROR(__xludf.DUMMYFUNCTION("""COMPUTED_VALUE"""),"ECS")</f>
        <v>ECS</v>
      </c>
    </row>
    <row r="12790">
      <c r="A12790" t="str">
        <f>IFERROR(__xludf.DUMMYFUNCTION("""COMPUTED_VALUE"""),"VW011HB")</f>
        <v>VW011HB</v>
      </c>
      <c r="B12790" s="226" t="str">
        <f>IFERROR(__xludf.DUMMYFUNCTION("""COMPUTED_VALUE"""),"8717323009109")</f>
        <v>8717323009109</v>
      </c>
      <c r="C12790" t="str">
        <f>IFERROR(__xludf.DUMMYFUNCTION("""COMPUTED_VALUE"""),"ECS")</f>
        <v>ECS</v>
      </c>
    </row>
    <row r="12791">
      <c r="A12791" t="str">
        <f>IFERROR(__xludf.DUMMYFUNCTION("""COMPUTED_VALUE"""),"FR051B1")</f>
        <v>FR051B1</v>
      </c>
      <c r="B12791" s="226" t="str">
        <f>IFERROR(__xludf.DUMMYFUNCTION("""COMPUTED_VALUE"""),"8717323024430")</f>
        <v>8717323024430</v>
      </c>
      <c r="C12791" t="str">
        <f>IFERROR(__xludf.DUMMYFUNCTION("""COMPUTED_VALUE"""),"ECS")</f>
        <v>ECS</v>
      </c>
    </row>
    <row r="12792">
      <c r="A12792" t="str">
        <f>IFERROR(__xludf.DUMMYFUNCTION("""COMPUTED_VALUE"""),"FR051D1")</f>
        <v>FR051D1</v>
      </c>
      <c r="B12792" s="226" t="str">
        <f>IFERROR(__xludf.DUMMYFUNCTION("""COMPUTED_VALUE"""),"8717323025444")</f>
        <v>8717323025444</v>
      </c>
      <c r="C12792" t="str">
        <f>IFERROR(__xludf.DUMMYFUNCTION("""COMPUTED_VALUE"""),"ECS")</f>
        <v>ECS</v>
      </c>
    </row>
    <row r="12793">
      <c r="A12793" t="str">
        <f>IFERROR(__xludf.DUMMYFUNCTION("""COMPUTED_VALUE"""),"FR074B1")</f>
        <v>FR074B1</v>
      </c>
      <c r="B12793" s="226" t="str">
        <f>IFERROR(__xludf.DUMMYFUNCTION("""COMPUTED_VALUE"""),"8717323051306")</f>
        <v>8717323051306</v>
      </c>
      <c r="C12793" t="str">
        <f>IFERROR(__xludf.DUMMYFUNCTION("""COMPUTED_VALUE"""),"ECS")</f>
        <v>ECS</v>
      </c>
    </row>
    <row r="12794">
      <c r="A12794" t="str">
        <f>IFERROR(__xludf.DUMMYFUNCTION("""COMPUTED_VALUE"""),"FR074H1")</f>
        <v>FR074H1</v>
      </c>
      <c r="B12794" s="226" t="str">
        <f>IFERROR(__xludf.DUMMYFUNCTION("""COMPUTED_VALUE"""),"8717323051313")</f>
        <v>8717323051313</v>
      </c>
      <c r="C12794" t="str">
        <f>IFERROR(__xludf.DUMMYFUNCTION("""COMPUTED_VALUE"""),"ECS")</f>
        <v>ECS</v>
      </c>
    </row>
    <row r="12795">
      <c r="A12795" t="str">
        <f>IFERROR(__xludf.DUMMYFUNCTION("""COMPUTED_VALUE"""),"FR106F1")</f>
        <v>FR106F1</v>
      </c>
      <c r="B12795" s="226" t="str">
        <f>IFERROR(__xludf.DUMMYFUNCTION("""COMPUTED_VALUE"""),"8717323065341")</f>
        <v>8717323065341</v>
      </c>
      <c r="C12795" t="str">
        <f>IFERROR(__xludf.DUMMYFUNCTION("""COMPUTED_VALUE"""),"ECS")</f>
        <v>ECS</v>
      </c>
    </row>
    <row r="12796">
      <c r="A12796" t="str">
        <f>IFERROR(__xludf.DUMMYFUNCTION("""COMPUTED_VALUE"""),"FR106H1")</f>
        <v>FR106H1</v>
      </c>
      <c r="B12796" s="226" t="str">
        <f>IFERROR(__xludf.DUMMYFUNCTION("""COMPUTED_VALUE"""),"8717323065358")</f>
        <v>8717323065358</v>
      </c>
      <c r="C12796" t="str">
        <f>IFERROR(__xludf.DUMMYFUNCTION("""COMPUTED_VALUE"""),"ECS")</f>
        <v>ECS</v>
      </c>
    </row>
    <row r="12797">
      <c r="A12797" t="str">
        <f>IFERROR(__xludf.DUMMYFUNCTION("""COMPUTED_VALUE"""),"FR052B1")</f>
        <v>FR052B1</v>
      </c>
      <c r="B12797" s="226" t="str">
        <f>IFERROR(__xludf.DUMMYFUNCTION("""COMPUTED_VALUE"""),"8717323025604")</f>
        <v>8717323025604</v>
      </c>
      <c r="C12797" t="str">
        <f>IFERROR(__xludf.DUMMYFUNCTION("""COMPUTED_VALUE"""),"ECS")</f>
        <v>ECS</v>
      </c>
    </row>
    <row r="12798">
      <c r="A12798" t="str">
        <f>IFERROR(__xludf.DUMMYFUNCTION("""COMPUTED_VALUE"""),"FR052D1")</f>
        <v>FR052D1</v>
      </c>
      <c r="B12798" s="226" t="str">
        <f>IFERROR(__xludf.DUMMYFUNCTION("""COMPUTED_VALUE"""),"8717323025611")</f>
        <v>8717323025611</v>
      </c>
      <c r="C12798" t="str">
        <f>IFERROR(__xludf.DUMMYFUNCTION("""COMPUTED_VALUE"""),"ECS")</f>
        <v>ECS</v>
      </c>
    </row>
    <row r="12799">
      <c r="A12799" t="str">
        <f>IFERROR(__xludf.DUMMYFUNCTION("""COMPUTED_VALUE"""),"FR045BB")</f>
        <v>FR045BB</v>
      </c>
      <c r="B12799" s="226" t="str">
        <f>IFERROR(__xludf.DUMMYFUNCTION("""COMPUTED_VALUE"""),"8717323023037")</f>
        <v>8717323023037</v>
      </c>
      <c r="C12799" t="str">
        <f>IFERROR(__xludf.DUMMYFUNCTION("""COMPUTED_VALUE"""),"ECS")</f>
        <v>ECS</v>
      </c>
    </row>
    <row r="12800">
      <c r="A12800" t="str">
        <f>IFERROR(__xludf.DUMMYFUNCTION("""COMPUTED_VALUE"""),"FR045DL")</f>
        <v>FR045DL</v>
      </c>
      <c r="B12800" s="226" t="str">
        <f>IFERROR(__xludf.DUMMYFUNCTION("""COMPUTED_VALUE"""),"8717323029787")</f>
        <v>8717323029787</v>
      </c>
      <c r="C12800" t="str">
        <f>IFERROR(__xludf.DUMMYFUNCTION("""COMPUTED_VALUE"""),"ECS")</f>
        <v>ECS</v>
      </c>
    </row>
    <row r="12801">
      <c r="A12801" t="str">
        <f>IFERROR(__xludf.DUMMYFUNCTION("""COMPUTED_VALUE"""),"FR107B1")</f>
        <v>FR107B1</v>
      </c>
      <c r="B12801" s="226" t="str">
        <f>IFERROR(__xludf.DUMMYFUNCTION("""COMPUTED_VALUE"""),"8717323066584")</f>
        <v>8717323066584</v>
      </c>
      <c r="C12801" t="str">
        <f>IFERROR(__xludf.DUMMYFUNCTION("""COMPUTED_VALUE"""),"ECS")</f>
        <v>ECS</v>
      </c>
    </row>
    <row r="12802">
      <c r="A12802" t="str">
        <f>IFERROR(__xludf.DUMMYFUNCTION("""COMPUTED_VALUE"""),"FR107D1")</f>
        <v>FR107D1</v>
      </c>
      <c r="B12802" s="226" t="str">
        <f>IFERROR(__xludf.DUMMYFUNCTION("""COMPUTED_VALUE"""),"8717323066591")</f>
        <v>8717323066591</v>
      </c>
      <c r="C12802" t="str">
        <f>IFERROR(__xludf.DUMMYFUNCTION("""COMPUTED_VALUE"""),"ECS")</f>
        <v>ECS</v>
      </c>
    </row>
    <row r="12803">
      <c r="A12803" t="str">
        <f>IFERROR(__xludf.DUMMYFUNCTION("""COMPUTED_VALUE"""),"FR107B1")</f>
        <v>FR107B1</v>
      </c>
      <c r="B12803" s="226" t="str">
        <f>IFERROR(__xludf.DUMMYFUNCTION("""COMPUTED_VALUE"""),"8717323066584")</f>
        <v>8717323066584</v>
      </c>
      <c r="C12803" t="str">
        <f>IFERROR(__xludf.DUMMYFUNCTION("""COMPUTED_VALUE"""),"ECS")</f>
        <v>ECS</v>
      </c>
    </row>
    <row r="12804">
      <c r="A12804" t="str">
        <f>IFERROR(__xludf.DUMMYFUNCTION("""COMPUTED_VALUE"""),"FR107D1")</f>
        <v>FR107D1</v>
      </c>
      <c r="B12804" s="226" t="str">
        <f>IFERROR(__xludf.DUMMYFUNCTION("""COMPUTED_VALUE"""),"8717323066591")</f>
        <v>8717323066591</v>
      </c>
      <c r="C12804" t="str">
        <f>IFERROR(__xludf.DUMMYFUNCTION("""COMPUTED_VALUE"""),"ECS")</f>
        <v>ECS</v>
      </c>
    </row>
    <row r="12805">
      <c r="A12805" t="str">
        <f>IFERROR(__xludf.DUMMYFUNCTION("""COMPUTED_VALUE"""),"FR040BH")</f>
        <v>FR040BH</v>
      </c>
      <c r="B12805" s="226" t="str">
        <f>IFERROR(__xludf.DUMMYFUNCTION("""COMPUTED_VALUE"""),"8717323016756")</f>
        <v>8717323016756</v>
      </c>
      <c r="C12805" t="str">
        <f>IFERROR(__xludf.DUMMYFUNCTION("""COMPUTED_VALUE"""),"ECS")</f>
        <v>ECS</v>
      </c>
    </row>
    <row r="12806">
      <c r="A12806" t="str">
        <f>IFERROR(__xludf.DUMMYFUNCTION("""COMPUTED_VALUE"""),"FR040BQ")</f>
        <v>FR040BQ</v>
      </c>
      <c r="B12806" s="226" t="str">
        <f>IFERROR(__xludf.DUMMYFUNCTION("""COMPUTED_VALUE"""),"8717323016749")</f>
        <v>8717323016749</v>
      </c>
      <c r="C12806" t="str">
        <f>IFERROR(__xludf.DUMMYFUNCTION("""COMPUTED_VALUE"""),"ECS")</f>
        <v>ECS</v>
      </c>
    </row>
    <row r="12807">
      <c r="A12807" t="str">
        <f>IFERROR(__xludf.DUMMYFUNCTION("""COMPUTED_VALUE"""),"FR040DH")</f>
        <v>FR040DH</v>
      </c>
      <c r="B12807" s="226" t="str">
        <f>IFERROR(__xludf.DUMMYFUNCTION("""COMPUTED_VALUE"""),"8717323016763")</f>
        <v>8717323016763</v>
      </c>
      <c r="C12807" t="str">
        <f>IFERROR(__xludf.DUMMYFUNCTION("""COMPUTED_VALUE"""),"ECS")</f>
        <v>ECS</v>
      </c>
    </row>
    <row r="12808">
      <c r="A12808" t="str">
        <f>IFERROR(__xludf.DUMMYFUNCTION("""COMPUTED_VALUE"""),"FR060B1")</f>
        <v>FR060B1</v>
      </c>
      <c r="B12808" s="226" t="str">
        <f>IFERROR(__xludf.DUMMYFUNCTION("""COMPUTED_VALUE"""),"8717323046494")</f>
        <v>8717323046494</v>
      </c>
      <c r="C12808" t="str">
        <f>IFERROR(__xludf.DUMMYFUNCTION("""COMPUTED_VALUE"""),"ECS")</f>
        <v>ECS</v>
      </c>
    </row>
    <row r="12809">
      <c r="A12809" t="str">
        <f>IFERROR(__xludf.DUMMYFUNCTION("""COMPUTED_VALUE"""),"FR060D1")</f>
        <v>FR060D1</v>
      </c>
      <c r="B12809" s="226" t="str">
        <f>IFERROR(__xludf.DUMMYFUNCTION("""COMPUTED_VALUE"""),"8717323046500")</f>
        <v>8717323046500</v>
      </c>
      <c r="C12809" t="str">
        <f>IFERROR(__xludf.DUMMYFUNCTION("""COMPUTED_VALUE"""),"ECS")</f>
        <v>ECS</v>
      </c>
    </row>
    <row r="12810">
      <c r="A12810" t="str">
        <f>IFERROR(__xludf.DUMMYFUNCTION("""COMPUTED_VALUE"""),"FR066B1")</f>
        <v>FR066B1</v>
      </c>
      <c r="B12810" s="226" t="str">
        <f>IFERROR(__xludf.DUMMYFUNCTION("""COMPUTED_VALUE"""),"8717323048702")</f>
        <v>8717323048702</v>
      </c>
      <c r="C12810" t="str">
        <f>IFERROR(__xludf.DUMMYFUNCTION("""COMPUTED_VALUE"""),"ECS")</f>
        <v>ECS</v>
      </c>
    </row>
    <row r="12811">
      <c r="A12811" t="str">
        <f>IFERROR(__xludf.DUMMYFUNCTION("""COMPUTED_VALUE"""),"FR066D1")</f>
        <v>FR066D1</v>
      </c>
      <c r="B12811" s="226" t="str">
        <f>IFERROR(__xludf.DUMMYFUNCTION("""COMPUTED_VALUE"""),"8717323048719")</f>
        <v>8717323048719</v>
      </c>
      <c r="C12811" t="str">
        <f>IFERROR(__xludf.DUMMYFUNCTION("""COMPUTED_VALUE"""),"ECS")</f>
        <v>ECS</v>
      </c>
    </row>
    <row r="12812">
      <c r="A12812" t="str">
        <f>IFERROR(__xludf.DUMMYFUNCTION("""COMPUTED_VALUE"""),"NIS018B")</f>
        <v>NIS018B</v>
      </c>
      <c r="B12812" s="226" t="str">
        <f>IFERROR(__xludf.DUMMYFUNCTION("""COMPUTED_VALUE"""),"8717323004760")</f>
        <v>8717323004760</v>
      </c>
      <c r="C12812" t="str">
        <f>IFERROR(__xludf.DUMMYFUNCTION("""COMPUTED_VALUE"""),"ECS")</f>
        <v>ECS</v>
      </c>
    </row>
    <row r="12813">
      <c r="A12813" t="str">
        <f>IFERROR(__xludf.DUMMYFUNCTION("""COMPUTED_VALUE"""),"FR011BB")</f>
        <v>FR011BB</v>
      </c>
      <c r="B12813" s="226" t="str">
        <f>IFERROR(__xludf.DUMMYFUNCTION("""COMPUTED_VALUE"""),"8717323001837")</f>
        <v>8717323001837</v>
      </c>
      <c r="C12813" t="str">
        <f>IFERROR(__xludf.DUMMYFUNCTION("""COMPUTED_VALUE"""),"ECS")</f>
        <v>ECS</v>
      </c>
    </row>
    <row r="12814">
      <c r="A12814" t="str">
        <f>IFERROR(__xludf.DUMMYFUNCTION("""COMPUTED_VALUE"""),"FR011DB")</f>
        <v>FR011DB</v>
      </c>
      <c r="B12814" s="226" t="str">
        <f>IFERROR(__xludf.DUMMYFUNCTION("""COMPUTED_VALUE"""),"8717323001844")</f>
        <v>8717323001844</v>
      </c>
      <c r="C12814" t="str">
        <f>IFERROR(__xludf.DUMMYFUNCTION("""COMPUTED_VALUE"""),"ECS")</f>
        <v>ECS</v>
      </c>
    </row>
    <row r="12815">
      <c r="A12815" t="str">
        <f>IFERROR(__xludf.DUMMYFUNCTION("""COMPUTED_VALUE"""),"FR010BB")</f>
        <v>FR010BB</v>
      </c>
      <c r="B12815" s="226" t="str">
        <f>IFERROR(__xludf.DUMMYFUNCTION("""COMPUTED_VALUE"""),"8717323001813")</f>
        <v>8717323001813</v>
      </c>
      <c r="C12815" t="str">
        <f>IFERROR(__xludf.DUMMYFUNCTION("""COMPUTED_VALUE"""),"ECS")</f>
        <v>ECS</v>
      </c>
    </row>
    <row r="12816">
      <c r="A12816" t="str">
        <f>IFERROR(__xludf.DUMMYFUNCTION("""COMPUTED_VALUE"""),"FR010BB")</f>
        <v>FR010BB</v>
      </c>
      <c r="B12816" s="226" t="str">
        <f>IFERROR(__xludf.DUMMYFUNCTION("""COMPUTED_VALUE"""),"8717323001813")</f>
        <v>8717323001813</v>
      </c>
      <c r="C12816" t="str">
        <f>IFERROR(__xludf.DUMMYFUNCTION("""COMPUTED_VALUE"""),"ECS")</f>
        <v>ECS</v>
      </c>
    </row>
    <row r="12817">
      <c r="A12817" t="str">
        <f>IFERROR(__xludf.DUMMYFUNCTION("""COMPUTED_VALUE"""),"FR051B1")</f>
        <v>FR051B1</v>
      </c>
      <c r="B12817" s="226" t="str">
        <f>IFERROR(__xludf.DUMMYFUNCTION("""COMPUTED_VALUE"""),"8717323024430")</f>
        <v>8717323024430</v>
      </c>
      <c r="C12817" t="str">
        <f>IFERROR(__xludf.DUMMYFUNCTION("""COMPUTED_VALUE"""),"ECS")</f>
        <v>ECS</v>
      </c>
    </row>
    <row r="12818">
      <c r="A12818" t="str">
        <f>IFERROR(__xludf.DUMMYFUNCTION("""COMPUTED_VALUE"""),"FR051D1")</f>
        <v>FR051D1</v>
      </c>
      <c r="B12818" s="226" t="str">
        <f>IFERROR(__xludf.DUMMYFUNCTION("""COMPUTED_VALUE"""),"8717323025444")</f>
        <v>8717323025444</v>
      </c>
      <c r="C12818" t="str">
        <f>IFERROR(__xludf.DUMMYFUNCTION("""COMPUTED_VALUE"""),"ECS")</f>
        <v>ECS</v>
      </c>
    </row>
    <row r="12819">
      <c r="A12819" t="str">
        <f>IFERROR(__xludf.DUMMYFUNCTION("""COMPUTED_VALUE"""),"FR051B1")</f>
        <v>FR051B1</v>
      </c>
      <c r="B12819" s="226" t="str">
        <f>IFERROR(__xludf.DUMMYFUNCTION("""COMPUTED_VALUE"""),"8717323024430")</f>
        <v>8717323024430</v>
      </c>
      <c r="C12819" t="str">
        <f>IFERROR(__xludf.DUMMYFUNCTION("""COMPUTED_VALUE"""),"ECS")</f>
        <v>ECS</v>
      </c>
    </row>
    <row r="12820">
      <c r="A12820" t="str">
        <f>IFERROR(__xludf.DUMMYFUNCTION("""COMPUTED_VALUE"""),"FR051B1")</f>
        <v>FR051B1</v>
      </c>
      <c r="B12820" s="226" t="str">
        <f>IFERROR(__xludf.DUMMYFUNCTION("""COMPUTED_VALUE"""),"8717323024430")</f>
        <v>8717323024430</v>
      </c>
      <c r="C12820" t="str">
        <f>IFERROR(__xludf.DUMMYFUNCTION("""COMPUTED_VALUE"""),"ECS")</f>
        <v>ECS</v>
      </c>
    </row>
    <row r="12821">
      <c r="A12821" t="str">
        <f>IFERROR(__xludf.DUMMYFUNCTION("""COMPUTED_VALUE"""),"FR051D1")</f>
        <v>FR051D1</v>
      </c>
      <c r="B12821" s="226" t="str">
        <f>IFERROR(__xludf.DUMMYFUNCTION("""COMPUTED_VALUE"""),"8717323025444")</f>
        <v>8717323025444</v>
      </c>
      <c r="C12821" t="str">
        <f>IFERROR(__xludf.DUMMYFUNCTION("""COMPUTED_VALUE"""),"ECS")</f>
        <v>ECS</v>
      </c>
    </row>
    <row r="12822">
      <c r="A12822" t="str">
        <f>IFERROR(__xludf.DUMMYFUNCTION("""COMPUTED_VALUE"""),"FR051D1")</f>
        <v>FR051D1</v>
      </c>
      <c r="B12822" s="226" t="str">
        <f>IFERROR(__xludf.DUMMYFUNCTION("""COMPUTED_VALUE"""),"8717323025444")</f>
        <v>8717323025444</v>
      </c>
      <c r="C12822" t="str">
        <f>IFERROR(__xludf.DUMMYFUNCTION("""COMPUTED_VALUE"""),"ECS")</f>
        <v>ECS</v>
      </c>
    </row>
    <row r="12823">
      <c r="A12823" t="str">
        <f>IFERROR(__xludf.DUMMYFUNCTION("""COMPUTED_VALUE"""),"FR106F1")</f>
        <v>FR106F1</v>
      </c>
      <c r="B12823" s="226" t="str">
        <f>IFERROR(__xludf.DUMMYFUNCTION("""COMPUTED_VALUE"""),"8717323065341")</f>
        <v>8717323065341</v>
      </c>
      <c r="C12823" t="str">
        <f>IFERROR(__xludf.DUMMYFUNCTION("""COMPUTED_VALUE"""),"ECS")</f>
        <v>ECS</v>
      </c>
    </row>
    <row r="12824">
      <c r="A12824" t="str">
        <f>IFERROR(__xludf.DUMMYFUNCTION("""COMPUTED_VALUE"""),"FR106H1")</f>
        <v>FR106H1</v>
      </c>
      <c r="B12824" s="226" t="str">
        <f>IFERROR(__xludf.DUMMYFUNCTION("""COMPUTED_VALUE"""),"8717323065358")</f>
        <v>8717323065358</v>
      </c>
      <c r="C12824" t="str">
        <f>IFERROR(__xludf.DUMMYFUNCTION("""COMPUTED_VALUE"""),"ECS")</f>
        <v>ECS</v>
      </c>
    </row>
    <row r="12825">
      <c r="A12825" t="str">
        <f>IFERROR(__xludf.DUMMYFUNCTION("""COMPUTED_VALUE"""),"FR074B1")</f>
        <v>FR074B1</v>
      </c>
      <c r="B12825" s="226" t="str">
        <f>IFERROR(__xludf.DUMMYFUNCTION("""COMPUTED_VALUE"""),"8717323051306")</f>
        <v>8717323051306</v>
      </c>
      <c r="C12825" t="str">
        <f>IFERROR(__xludf.DUMMYFUNCTION("""COMPUTED_VALUE"""),"ECS")</f>
        <v>ECS</v>
      </c>
    </row>
    <row r="12826">
      <c r="A12826" t="str">
        <f>IFERROR(__xludf.DUMMYFUNCTION("""COMPUTED_VALUE"""),"FR074H1")</f>
        <v>FR074H1</v>
      </c>
      <c r="B12826" s="226" t="str">
        <f>IFERROR(__xludf.DUMMYFUNCTION("""COMPUTED_VALUE"""),"8717323051313")</f>
        <v>8717323051313</v>
      </c>
      <c r="C12826" t="str">
        <f>IFERROR(__xludf.DUMMYFUNCTION("""COMPUTED_VALUE"""),"ECS")</f>
        <v>ECS</v>
      </c>
    </row>
    <row r="12827">
      <c r="A12827" t="str">
        <f>IFERROR(__xludf.DUMMYFUNCTION("""COMPUTED_VALUE"""),"FR106F1")</f>
        <v>FR106F1</v>
      </c>
      <c r="B12827" s="226" t="str">
        <f>IFERROR(__xludf.DUMMYFUNCTION("""COMPUTED_VALUE"""),"8717323065341")</f>
        <v>8717323065341</v>
      </c>
      <c r="C12827" t="str">
        <f>IFERROR(__xludf.DUMMYFUNCTION("""COMPUTED_VALUE"""),"ECS")</f>
        <v>ECS</v>
      </c>
    </row>
    <row r="12828">
      <c r="A12828" t="str">
        <f>IFERROR(__xludf.DUMMYFUNCTION("""COMPUTED_VALUE"""),"FR106H1")</f>
        <v>FR106H1</v>
      </c>
      <c r="B12828" s="226" t="str">
        <f>IFERROR(__xludf.DUMMYFUNCTION("""COMPUTED_VALUE"""),"8717323065358")</f>
        <v>8717323065358</v>
      </c>
      <c r="C12828" t="str">
        <f>IFERROR(__xludf.DUMMYFUNCTION("""COMPUTED_VALUE"""),"ECS")</f>
        <v>ECS</v>
      </c>
    </row>
    <row r="12829">
      <c r="A12829" t="str">
        <f>IFERROR(__xludf.DUMMYFUNCTION("""COMPUTED_VALUE"""),"FR074B1")</f>
        <v>FR074B1</v>
      </c>
      <c r="B12829" s="226" t="str">
        <f>IFERROR(__xludf.DUMMYFUNCTION("""COMPUTED_VALUE"""),"8717323051306")</f>
        <v>8717323051306</v>
      </c>
      <c r="C12829" t="str">
        <f>IFERROR(__xludf.DUMMYFUNCTION("""COMPUTED_VALUE"""),"ECS")</f>
        <v>ECS</v>
      </c>
    </row>
    <row r="12830">
      <c r="A12830" t="str">
        <f>IFERROR(__xludf.DUMMYFUNCTION("""COMPUTED_VALUE"""),"FR074H1")</f>
        <v>FR074H1</v>
      </c>
      <c r="B12830" s="226" t="str">
        <f>IFERROR(__xludf.DUMMYFUNCTION("""COMPUTED_VALUE"""),"8717323051313")</f>
        <v>8717323051313</v>
      </c>
      <c r="C12830" t="str">
        <f>IFERROR(__xludf.DUMMYFUNCTION("""COMPUTED_VALUE"""),"ECS")</f>
        <v>ECS</v>
      </c>
    </row>
    <row r="12831">
      <c r="A12831" t="str">
        <f>IFERROR(__xludf.DUMMYFUNCTION("""COMPUTED_VALUE"""),"FR106F1")</f>
        <v>FR106F1</v>
      </c>
      <c r="B12831" s="226" t="str">
        <f>IFERROR(__xludf.DUMMYFUNCTION("""COMPUTED_VALUE"""),"8717323065341")</f>
        <v>8717323065341</v>
      </c>
      <c r="C12831" t="str">
        <f>IFERROR(__xludf.DUMMYFUNCTION("""COMPUTED_VALUE"""),"ECS")</f>
        <v>ECS</v>
      </c>
    </row>
    <row r="12832">
      <c r="A12832" t="str">
        <f>IFERROR(__xludf.DUMMYFUNCTION("""COMPUTED_VALUE"""),"FR106H1")</f>
        <v>FR106H1</v>
      </c>
      <c r="B12832" s="226" t="str">
        <f>IFERROR(__xludf.DUMMYFUNCTION("""COMPUTED_VALUE"""),"8717323065358")</f>
        <v>8717323065358</v>
      </c>
      <c r="C12832" t="str">
        <f>IFERROR(__xludf.DUMMYFUNCTION("""COMPUTED_VALUE"""),"ECS")</f>
        <v>ECS</v>
      </c>
    </row>
    <row r="12833">
      <c r="A12833" t="str">
        <f>IFERROR(__xludf.DUMMYFUNCTION("""COMPUTED_VALUE"""),"FR106F1")</f>
        <v>FR106F1</v>
      </c>
      <c r="B12833" s="226" t="str">
        <f>IFERROR(__xludf.DUMMYFUNCTION("""COMPUTED_VALUE"""),"8717323065341")</f>
        <v>8717323065341</v>
      </c>
      <c r="C12833" t="str">
        <f>IFERROR(__xludf.DUMMYFUNCTION("""COMPUTED_VALUE"""),"ECS")</f>
        <v>ECS</v>
      </c>
    </row>
    <row r="12834">
      <c r="A12834" t="str">
        <f>IFERROR(__xludf.DUMMYFUNCTION("""COMPUTED_VALUE"""),"FR106H1")</f>
        <v>FR106H1</v>
      </c>
      <c r="B12834" s="226" t="str">
        <f>IFERROR(__xludf.DUMMYFUNCTION("""COMPUTED_VALUE"""),"8717323065358")</f>
        <v>8717323065358</v>
      </c>
      <c r="C12834" t="str">
        <f>IFERROR(__xludf.DUMMYFUNCTION("""COMPUTED_VALUE"""),"ECS")</f>
        <v>ECS</v>
      </c>
    </row>
    <row r="12835">
      <c r="A12835" t="str">
        <f>IFERROR(__xludf.DUMMYFUNCTION("""COMPUTED_VALUE"""),"FR074B1")</f>
        <v>FR074B1</v>
      </c>
      <c r="B12835" s="226" t="str">
        <f>IFERROR(__xludf.DUMMYFUNCTION("""COMPUTED_VALUE"""),"8717323051306")</f>
        <v>8717323051306</v>
      </c>
      <c r="C12835" t="str">
        <f>IFERROR(__xludf.DUMMYFUNCTION("""COMPUTED_VALUE"""),"ECS")</f>
        <v>ECS</v>
      </c>
    </row>
    <row r="12836">
      <c r="A12836" t="str">
        <f>IFERROR(__xludf.DUMMYFUNCTION("""COMPUTED_VALUE"""),"FR074H1")</f>
        <v>FR074H1</v>
      </c>
      <c r="B12836" s="226" t="str">
        <f>IFERROR(__xludf.DUMMYFUNCTION("""COMPUTED_VALUE"""),"8717323051313")</f>
        <v>8717323051313</v>
      </c>
      <c r="C12836" t="str">
        <f>IFERROR(__xludf.DUMMYFUNCTION("""COMPUTED_VALUE"""),"ECS")</f>
        <v>ECS</v>
      </c>
    </row>
    <row r="12837">
      <c r="A12837" t="str">
        <f>IFERROR(__xludf.DUMMYFUNCTION("""COMPUTED_VALUE"""),"FR106F1")</f>
        <v>FR106F1</v>
      </c>
      <c r="B12837" s="226" t="str">
        <f>IFERROR(__xludf.DUMMYFUNCTION("""COMPUTED_VALUE"""),"8717323065341")</f>
        <v>8717323065341</v>
      </c>
      <c r="C12837" t="str">
        <f>IFERROR(__xludf.DUMMYFUNCTION("""COMPUTED_VALUE"""),"ECS")</f>
        <v>ECS</v>
      </c>
    </row>
    <row r="12838">
      <c r="A12838" t="str">
        <f>IFERROR(__xludf.DUMMYFUNCTION("""COMPUTED_VALUE"""),"FR106H1")</f>
        <v>FR106H1</v>
      </c>
      <c r="B12838" s="226" t="str">
        <f>IFERROR(__xludf.DUMMYFUNCTION("""COMPUTED_VALUE"""),"8717323065358")</f>
        <v>8717323065358</v>
      </c>
      <c r="C12838" t="str">
        <f>IFERROR(__xludf.DUMMYFUNCTION("""COMPUTED_VALUE"""),"ECS")</f>
        <v>ECS</v>
      </c>
    </row>
    <row r="12839">
      <c r="A12839" t="str">
        <f>IFERROR(__xludf.DUMMYFUNCTION("""COMPUTED_VALUE"""),"FR074B1")</f>
        <v>FR074B1</v>
      </c>
      <c r="B12839" s="226" t="str">
        <f>IFERROR(__xludf.DUMMYFUNCTION("""COMPUTED_VALUE"""),"8717323051306")</f>
        <v>8717323051306</v>
      </c>
      <c r="C12839" t="str">
        <f>IFERROR(__xludf.DUMMYFUNCTION("""COMPUTED_VALUE"""),"ECS")</f>
        <v>ECS</v>
      </c>
    </row>
    <row r="12840">
      <c r="A12840" t="str">
        <f>IFERROR(__xludf.DUMMYFUNCTION("""COMPUTED_VALUE"""),"FR074H1")</f>
        <v>FR074H1</v>
      </c>
      <c r="B12840" s="226" t="str">
        <f>IFERROR(__xludf.DUMMYFUNCTION("""COMPUTED_VALUE"""),"8717323051313")</f>
        <v>8717323051313</v>
      </c>
      <c r="C12840" t="str">
        <f>IFERROR(__xludf.DUMMYFUNCTION("""COMPUTED_VALUE"""),"ECS")</f>
        <v>ECS</v>
      </c>
    </row>
    <row r="12841">
      <c r="A12841" t="str">
        <f>IFERROR(__xludf.DUMMYFUNCTION("""COMPUTED_VALUE"""),"FR106F1")</f>
        <v>FR106F1</v>
      </c>
      <c r="B12841" s="226" t="str">
        <f>IFERROR(__xludf.DUMMYFUNCTION("""COMPUTED_VALUE"""),"8717323065341")</f>
        <v>8717323065341</v>
      </c>
      <c r="C12841" t="str">
        <f>IFERROR(__xludf.DUMMYFUNCTION("""COMPUTED_VALUE"""),"ECS")</f>
        <v>ECS</v>
      </c>
    </row>
    <row r="12842">
      <c r="A12842" t="str">
        <f>IFERROR(__xludf.DUMMYFUNCTION("""COMPUTED_VALUE"""),"FR106H1")</f>
        <v>FR106H1</v>
      </c>
      <c r="B12842" s="226" t="str">
        <f>IFERROR(__xludf.DUMMYFUNCTION("""COMPUTED_VALUE"""),"8717323065358")</f>
        <v>8717323065358</v>
      </c>
      <c r="C12842" t="str">
        <f>IFERROR(__xludf.DUMMYFUNCTION("""COMPUTED_VALUE"""),"ECS")</f>
        <v>ECS</v>
      </c>
    </row>
    <row r="12843">
      <c r="A12843" t="str">
        <f>IFERROR(__xludf.DUMMYFUNCTION("""COMPUTED_VALUE"""),"FR038BB")</f>
        <v>FR038BB</v>
      </c>
      <c r="B12843" s="226" t="str">
        <f>IFERROR(__xludf.DUMMYFUNCTION("""COMPUTED_VALUE"""),"8717323015209")</f>
        <v>8717323015209</v>
      </c>
      <c r="C12843" t="str">
        <f>IFERROR(__xludf.DUMMYFUNCTION("""COMPUTED_VALUE"""),"ECS")</f>
        <v>ECS</v>
      </c>
    </row>
    <row r="12844">
      <c r="A12844" t="str">
        <f>IFERROR(__xludf.DUMMYFUNCTION("""COMPUTED_VALUE"""),"FR038BL")</f>
        <v>FR038BL</v>
      </c>
      <c r="B12844" s="226" t="str">
        <f>IFERROR(__xludf.DUMMYFUNCTION("""COMPUTED_VALUE"""),"8717323039182")</f>
        <v>8717323039182</v>
      </c>
      <c r="C12844" t="str">
        <f>IFERROR(__xludf.DUMMYFUNCTION("""COMPUTED_VALUE"""),"ECS")</f>
        <v>ECS</v>
      </c>
    </row>
    <row r="12845">
      <c r="A12845" t="str">
        <f>IFERROR(__xludf.DUMMYFUNCTION("""COMPUTED_VALUE"""),"FR038DL")</f>
        <v>FR038DL</v>
      </c>
      <c r="B12845" s="226" t="str">
        <f>IFERROR(__xludf.DUMMYFUNCTION("""COMPUTED_VALUE"""),"8717323015216")</f>
        <v>8717323015216</v>
      </c>
      <c r="C12845" t="str">
        <f>IFERROR(__xludf.DUMMYFUNCTION("""COMPUTED_VALUE"""),"ECS")</f>
        <v>ECS</v>
      </c>
    </row>
    <row r="12846">
      <c r="A12846" t="str">
        <f>IFERROR(__xludf.DUMMYFUNCTION("""COMPUTED_VALUE"""),"FR053B1")</f>
        <v>FR053B1</v>
      </c>
      <c r="B12846" s="226" t="str">
        <f>IFERROR(__xludf.DUMMYFUNCTION("""COMPUTED_VALUE"""),"8717323029244")</f>
        <v>8717323029244</v>
      </c>
      <c r="C12846" t="str">
        <f>IFERROR(__xludf.DUMMYFUNCTION("""COMPUTED_VALUE"""),"ECS")</f>
        <v>ECS</v>
      </c>
    </row>
    <row r="12847">
      <c r="A12847" t="str">
        <f>IFERROR(__xludf.DUMMYFUNCTION("""COMPUTED_VALUE"""),"FR053D1")</f>
        <v>FR053D1</v>
      </c>
      <c r="B12847" s="226" t="str">
        <f>IFERROR(__xludf.DUMMYFUNCTION("""COMPUTED_VALUE"""),"8717323029879")</f>
        <v>8717323029879</v>
      </c>
      <c r="C12847" t="str">
        <f>IFERROR(__xludf.DUMMYFUNCTION("""COMPUTED_VALUE"""),"ECS")</f>
        <v>ECS</v>
      </c>
    </row>
    <row r="12848">
      <c r="A12848" t="str">
        <f>IFERROR(__xludf.DUMMYFUNCTION("""COMPUTED_VALUE"""),"FR077B1")</f>
        <v>FR077B1</v>
      </c>
      <c r="B12848" s="226" t="str">
        <f>IFERROR(__xludf.DUMMYFUNCTION("""COMPUTED_VALUE"""),"8717323056875")</f>
        <v>8717323056875</v>
      </c>
      <c r="C12848" t="str">
        <f>IFERROR(__xludf.DUMMYFUNCTION("""COMPUTED_VALUE"""),"ECS")</f>
        <v>ECS</v>
      </c>
    </row>
    <row r="12849">
      <c r="A12849" t="str">
        <f>IFERROR(__xludf.DUMMYFUNCTION("""COMPUTED_VALUE"""),"FR077H1")</f>
        <v>FR077H1</v>
      </c>
      <c r="B12849" s="226" t="str">
        <f>IFERROR(__xludf.DUMMYFUNCTION("""COMPUTED_VALUE"""),"8717323056882")</f>
        <v>8717323056882</v>
      </c>
      <c r="C12849" t="str">
        <f>IFERROR(__xludf.DUMMYFUNCTION("""COMPUTED_VALUE"""),"ECS")</f>
        <v>ECS</v>
      </c>
    </row>
    <row r="12850">
      <c r="A12850" t="str">
        <f>IFERROR(__xludf.DUMMYFUNCTION("""COMPUTED_VALUE"""),"FR051B1")</f>
        <v>FR051B1</v>
      </c>
      <c r="B12850" s="226" t="str">
        <f>IFERROR(__xludf.DUMMYFUNCTION("""COMPUTED_VALUE"""),"8717323024430")</f>
        <v>8717323024430</v>
      </c>
      <c r="C12850" t="str">
        <f>IFERROR(__xludf.DUMMYFUNCTION("""COMPUTED_VALUE"""),"ECS")</f>
        <v>ECS</v>
      </c>
    </row>
    <row r="12851">
      <c r="A12851" t="str">
        <f>IFERROR(__xludf.DUMMYFUNCTION("""COMPUTED_VALUE"""),"FR051D1")</f>
        <v>FR051D1</v>
      </c>
      <c r="B12851" s="226" t="str">
        <f>IFERROR(__xludf.DUMMYFUNCTION("""COMPUTED_VALUE"""),"8717323025444")</f>
        <v>8717323025444</v>
      </c>
      <c r="C12851" t="str">
        <f>IFERROR(__xludf.DUMMYFUNCTION("""COMPUTED_VALUE"""),"ECS")</f>
        <v>ECS</v>
      </c>
    </row>
    <row r="12852">
      <c r="A12852" t="str">
        <f>IFERROR(__xludf.DUMMYFUNCTION("""COMPUTED_VALUE"""),"FR074B1")</f>
        <v>FR074B1</v>
      </c>
      <c r="B12852" s="226" t="str">
        <f>IFERROR(__xludf.DUMMYFUNCTION("""COMPUTED_VALUE"""),"8717323051306")</f>
        <v>8717323051306</v>
      </c>
      <c r="C12852" t="str">
        <f>IFERROR(__xludf.DUMMYFUNCTION("""COMPUTED_VALUE"""),"ECS")</f>
        <v>ECS</v>
      </c>
    </row>
    <row r="12853">
      <c r="A12853" t="str">
        <f>IFERROR(__xludf.DUMMYFUNCTION("""COMPUTED_VALUE"""),"FR074H1")</f>
        <v>FR074H1</v>
      </c>
      <c r="B12853" s="226" t="str">
        <f>IFERROR(__xludf.DUMMYFUNCTION("""COMPUTED_VALUE"""),"8717323051313")</f>
        <v>8717323051313</v>
      </c>
      <c r="C12853" t="str">
        <f>IFERROR(__xludf.DUMMYFUNCTION("""COMPUTED_VALUE"""),"ECS")</f>
        <v>ECS</v>
      </c>
    </row>
    <row r="12854">
      <c r="A12854" t="str">
        <f>IFERROR(__xludf.DUMMYFUNCTION("""COMPUTED_VALUE"""),"FR106F1")</f>
        <v>FR106F1</v>
      </c>
      <c r="B12854" s="226" t="str">
        <f>IFERROR(__xludf.DUMMYFUNCTION("""COMPUTED_VALUE"""),"8717323065341")</f>
        <v>8717323065341</v>
      </c>
      <c r="C12854" t="str">
        <f>IFERROR(__xludf.DUMMYFUNCTION("""COMPUTED_VALUE"""),"ECS")</f>
        <v>ECS</v>
      </c>
    </row>
    <row r="12855">
      <c r="A12855" t="str">
        <f>IFERROR(__xludf.DUMMYFUNCTION("""COMPUTED_VALUE"""),"FR106H1")</f>
        <v>FR106H1</v>
      </c>
      <c r="B12855" s="226" t="str">
        <f>IFERROR(__xludf.DUMMYFUNCTION("""COMPUTED_VALUE"""),"8717323065358")</f>
        <v>8717323065358</v>
      </c>
      <c r="C12855" t="str">
        <f>IFERROR(__xludf.DUMMYFUNCTION("""COMPUTED_VALUE"""),"ECS")</f>
        <v>ECS</v>
      </c>
    </row>
    <row r="12856">
      <c r="A12856" t="str">
        <f>IFERROR(__xludf.DUMMYFUNCTION("""COMPUTED_VALUE"""),"FR019BB")</f>
        <v>FR019BB</v>
      </c>
      <c r="B12856" s="226" t="str">
        <f>IFERROR(__xludf.DUMMYFUNCTION("""COMPUTED_VALUE"""),"8717323009475")</f>
        <v>8717323009475</v>
      </c>
      <c r="C12856" t="str">
        <f>IFERROR(__xludf.DUMMYFUNCTION("""COMPUTED_VALUE"""),"ECS")</f>
        <v>ECS</v>
      </c>
    </row>
    <row r="12857">
      <c r="A12857" t="str">
        <f>IFERROR(__xludf.DUMMYFUNCTION("""COMPUTED_VALUE"""),"FR019BL")</f>
        <v>FR019BL</v>
      </c>
      <c r="B12857" s="226" t="str">
        <f>IFERROR(__xludf.DUMMYFUNCTION("""COMPUTED_VALUE"""),"8717323018828")</f>
        <v>8717323018828</v>
      </c>
      <c r="C12857" t="str">
        <f>IFERROR(__xludf.DUMMYFUNCTION("""COMPUTED_VALUE"""),"ECS")</f>
        <v>ECS</v>
      </c>
    </row>
    <row r="12858">
      <c r="A12858" t="str">
        <f>IFERROR(__xludf.DUMMYFUNCTION("""COMPUTED_VALUE"""),"FR019DB")</f>
        <v>FR019DB</v>
      </c>
      <c r="B12858" s="226" t="str">
        <f>IFERROR(__xludf.DUMMYFUNCTION("""COMPUTED_VALUE"""),"8717323009802")</f>
        <v>8717323009802</v>
      </c>
      <c r="C12858" t="str">
        <f>IFERROR(__xludf.DUMMYFUNCTION("""COMPUTED_VALUE"""),"ECS")</f>
        <v>ECS</v>
      </c>
    </row>
    <row r="12859">
      <c r="A12859" t="str">
        <f>IFERROR(__xludf.DUMMYFUNCTION("""COMPUTED_VALUE"""),"FR019DL")</f>
        <v>FR019DL</v>
      </c>
      <c r="B12859" s="226" t="str">
        <f>IFERROR(__xludf.DUMMYFUNCTION("""COMPUTED_VALUE"""),"8717323018835")</f>
        <v>8717323018835</v>
      </c>
      <c r="C12859" t="str">
        <f>IFERROR(__xludf.DUMMYFUNCTION("""COMPUTED_VALUE"""),"ECS")</f>
        <v>ECS</v>
      </c>
    </row>
    <row r="12860">
      <c r="A12860" t="str">
        <f>IFERROR(__xludf.DUMMYFUNCTION("""COMPUTED_VALUE"""),"FR066B1")</f>
        <v>FR066B1</v>
      </c>
      <c r="B12860" s="226" t="str">
        <f>IFERROR(__xludf.DUMMYFUNCTION("""COMPUTED_VALUE"""),"8717323048702")</f>
        <v>8717323048702</v>
      </c>
      <c r="C12860" t="str">
        <f>IFERROR(__xludf.DUMMYFUNCTION("""COMPUTED_VALUE"""),"ECS")</f>
        <v>ECS</v>
      </c>
    </row>
    <row r="12861">
      <c r="A12861" t="str">
        <f>IFERROR(__xludf.DUMMYFUNCTION("""COMPUTED_VALUE"""),"FR066D1")</f>
        <v>FR066D1</v>
      </c>
      <c r="B12861" s="226" t="str">
        <f>IFERROR(__xludf.DUMMYFUNCTION("""COMPUTED_VALUE"""),"8717323048719")</f>
        <v>8717323048719</v>
      </c>
      <c r="C12861" t="str">
        <f>IFERROR(__xludf.DUMMYFUNCTION("""COMPUTED_VALUE"""),"ECS")</f>
        <v>ECS</v>
      </c>
    </row>
    <row r="12862">
      <c r="A12862" t="str">
        <f>IFERROR(__xludf.DUMMYFUNCTION("""COMPUTED_VALUE"""),"FR107B1")</f>
        <v>FR107B1</v>
      </c>
      <c r="B12862" s="226" t="str">
        <f>IFERROR(__xludf.DUMMYFUNCTION("""COMPUTED_VALUE"""),"8717323066584")</f>
        <v>8717323066584</v>
      </c>
      <c r="C12862" t="str">
        <f>IFERROR(__xludf.DUMMYFUNCTION("""COMPUTED_VALUE"""),"ECS")</f>
        <v>ECS</v>
      </c>
    </row>
    <row r="12863">
      <c r="A12863" t="str">
        <f>IFERROR(__xludf.DUMMYFUNCTION("""COMPUTED_VALUE"""),"FR107D1")</f>
        <v>FR107D1</v>
      </c>
      <c r="B12863" s="226" t="str">
        <f>IFERROR(__xludf.DUMMYFUNCTION("""COMPUTED_VALUE"""),"8717323066591")</f>
        <v>8717323066591</v>
      </c>
      <c r="C12863" t="str">
        <f>IFERROR(__xludf.DUMMYFUNCTION("""COMPUTED_VALUE"""),"ECS")</f>
        <v>ECS</v>
      </c>
    </row>
    <row r="12864">
      <c r="A12864" t="str">
        <f>IFERROR(__xludf.DUMMYFUNCTION("""COMPUTED_VALUE"""),"FR108B1")</f>
        <v>FR108B1</v>
      </c>
      <c r="B12864" s="226" t="str">
        <f>IFERROR(__xludf.DUMMYFUNCTION("""COMPUTED_VALUE"""),"8717323068519")</f>
        <v>8717323068519</v>
      </c>
      <c r="C12864" t="str">
        <f>IFERROR(__xludf.DUMMYFUNCTION("""COMPUTED_VALUE"""),"ECS")</f>
        <v>ECS</v>
      </c>
    </row>
    <row r="12865">
      <c r="A12865" t="str">
        <f>IFERROR(__xludf.DUMMYFUNCTION("""COMPUTED_VALUE"""),"FR108D1")</f>
        <v>FR108D1</v>
      </c>
      <c r="B12865" s="226" t="str">
        <f>IFERROR(__xludf.DUMMYFUNCTION("""COMPUTED_VALUE"""),"8717323068526")</f>
        <v>8717323068526</v>
      </c>
      <c r="C12865" t="str">
        <f>IFERROR(__xludf.DUMMYFUNCTION("""COMPUTED_VALUE"""),"ECS")</f>
        <v>ECS</v>
      </c>
    </row>
    <row r="12866">
      <c r="A12866" t="str">
        <f>IFERROR(__xludf.DUMMYFUNCTION("""COMPUTED_VALUE"""),"FR072BH")</f>
        <v>FR072BH</v>
      </c>
      <c r="B12866" s="226" t="str">
        <f>IFERROR(__xludf.DUMMYFUNCTION("""COMPUTED_VALUE"""),"8717323050521")</f>
        <v>8717323050521</v>
      </c>
      <c r="C12866" t="str">
        <f>IFERROR(__xludf.DUMMYFUNCTION("""COMPUTED_VALUE"""),"ECS")</f>
        <v>ECS</v>
      </c>
    </row>
    <row r="12867">
      <c r="A12867" t="str">
        <f>IFERROR(__xludf.DUMMYFUNCTION("""COMPUTED_VALUE"""),"FR072DH")</f>
        <v>FR072DH</v>
      </c>
      <c r="B12867" s="226" t="str">
        <f>IFERROR(__xludf.DUMMYFUNCTION("""COMPUTED_VALUE"""),"8717323050538")</f>
        <v>8717323050538</v>
      </c>
      <c r="C12867" t="str">
        <f>IFERROR(__xludf.DUMMYFUNCTION("""COMPUTED_VALUE"""),"ECS")</f>
        <v>ECS</v>
      </c>
    </row>
    <row r="12868">
      <c r="A12868" t="str">
        <f>IFERROR(__xludf.DUMMYFUNCTION("""COMPUTED_VALUE"""),"FR055B1")</f>
        <v>FR055B1</v>
      </c>
      <c r="B12868" s="226" t="str">
        <f>IFERROR(__xludf.DUMMYFUNCTION("""COMPUTED_VALUE"""),"8717323045183")</f>
        <v>8717323045183</v>
      </c>
      <c r="C12868" t="str">
        <f>IFERROR(__xludf.DUMMYFUNCTION("""COMPUTED_VALUE"""),"ECS")</f>
        <v>ECS</v>
      </c>
    </row>
    <row r="12869">
      <c r="A12869" t="str">
        <f>IFERROR(__xludf.DUMMYFUNCTION("""COMPUTED_VALUE"""),"FR055D1")</f>
        <v>FR055D1</v>
      </c>
      <c r="B12869" s="226" t="str">
        <f>IFERROR(__xludf.DUMMYFUNCTION("""COMPUTED_VALUE"""),"8717323045190")</f>
        <v>8717323045190</v>
      </c>
      <c r="C12869" t="str">
        <f>IFERROR(__xludf.DUMMYFUNCTION("""COMPUTED_VALUE"""),"ECS")</f>
        <v>ECS</v>
      </c>
    </row>
    <row r="12870">
      <c r="A12870" t="str">
        <f>IFERROR(__xludf.DUMMYFUNCTION("""COMPUTED_VALUE"""),"FR083B1")</f>
        <v>FR083B1</v>
      </c>
      <c r="B12870" s="226" t="str">
        <f>IFERROR(__xludf.DUMMYFUNCTION("""COMPUTED_VALUE"""),"8717323057452")</f>
        <v>8717323057452</v>
      </c>
      <c r="C12870" t="str">
        <f>IFERROR(__xludf.DUMMYFUNCTION("""COMPUTED_VALUE"""),"ECS")</f>
        <v>ECS</v>
      </c>
    </row>
    <row r="12871">
      <c r="A12871" t="str">
        <f>IFERROR(__xludf.DUMMYFUNCTION("""COMPUTED_VALUE"""),"FR083H1")</f>
        <v>FR083H1</v>
      </c>
      <c r="B12871" s="226" t="str">
        <f>IFERROR(__xludf.DUMMYFUNCTION("""COMPUTED_VALUE"""),"8717323057469")</f>
        <v>8717323057469</v>
      </c>
      <c r="C12871" t="str">
        <f>IFERROR(__xludf.DUMMYFUNCTION("""COMPUTED_VALUE"""),"ECS")</f>
        <v>ECS</v>
      </c>
    </row>
    <row r="12872">
      <c r="A12872" t="str">
        <f>IFERROR(__xludf.DUMMYFUNCTION("""COMPUTED_VALUE"""),"FR039BL")</f>
        <v>FR039BL</v>
      </c>
      <c r="B12872" s="226" t="str">
        <f>IFERROR(__xludf.DUMMYFUNCTION("""COMPUTED_VALUE"""),"8717323015872")</f>
        <v>8717323015872</v>
      </c>
      <c r="C12872" t="str">
        <f>IFERROR(__xludf.DUMMYFUNCTION("""COMPUTED_VALUE"""),"ECS")</f>
        <v>ECS</v>
      </c>
    </row>
    <row r="12873">
      <c r="A12873" t="str">
        <f>IFERROR(__xludf.DUMMYFUNCTION("""COMPUTED_VALUE"""),"FR039DL")</f>
        <v>FR039DL</v>
      </c>
      <c r="B12873" s="226" t="str">
        <f>IFERROR(__xludf.DUMMYFUNCTION("""COMPUTED_VALUE"""),"8717323015865")</f>
        <v>8717323015865</v>
      </c>
      <c r="C12873" t="str">
        <f>IFERROR(__xludf.DUMMYFUNCTION("""COMPUTED_VALUE"""),"ECS")</f>
        <v>ECS</v>
      </c>
    </row>
    <row r="12874">
      <c r="A12874" t="str">
        <f>IFERROR(__xludf.DUMMYFUNCTION("""COMPUTED_VALUE"""),"FR070B1")</f>
        <v>FR070B1</v>
      </c>
      <c r="B12874" s="226" t="str">
        <f>IFERROR(__xludf.DUMMYFUNCTION("""COMPUTED_VALUE"""),"8717323049884")</f>
        <v>8717323049884</v>
      </c>
      <c r="C12874" t="str">
        <f>IFERROR(__xludf.DUMMYFUNCTION("""COMPUTED_VALUE"""),"ECS")</f>
        <v>ECS</v>
      </c>
    </row>
    <row r="12875">
      <c r="A12875" t="str">
        <f>IFERROR(__xludf.DUMMYFUNCTION("""COMPUTED_VALUE"""),"FR070H1")</f>
        <v>FR070H1</v>
      </c>
      <c r="B12875" s="226" t="str">
        <f>IFERROR(__xludf.DUMMYFUNCTION("""COMPUTED_VALUE"""),"8717323049891")</f>
        <v>8717323049891</v>
      </c>
      <c r="C12875" t="str">
        <f>IFERROR(__xludf.DUMMYFUNCTION("""COMPUTED_VALUE"""),"ECS")</f>
        <v>ECS</v>
      </c>
    </row>
    <row r="12876">
      <c r="A12876" t="str">
        <f>IFERROR(__xludf.DUMMYFUNCTION("""COMPUTED_VALUE"""),"FR083B1")</f>
        <v>FR083B1</v>
      </c>
      <c r="B12876" s="226" t="str">
        <f>IFERROR(__xludf.DUMMYFUNCTION("""COMPUTED_VALUE"""),"8717323057452")</f>
        <v>8717323057452</v>
      </c>
      <c r="C12876" t="str">
        <f>IFERROR(__xludf.DUMMYFUNCTION("""COMPUTED_VALUE"""),"ECS")</f>
        <v>ECS</v>
      </c>
    </row>
    <row r="12877">
      <c r="A12877" t="str">
        <f>IFERROR(__xludf.DUMMYFUNCTION("""COMPUTED_VALUE"""),"FR083H1")</f>
        <v>FR083H1</v>
      </c>
      <c r="B12877" s="226" t="str">
        <f>IFERROR(__xludf.DUMMYFUNCTION("""COMPUTED_VALUE"""),"8717323057469")</f>
        <v>8717323057469</v>
      </c>
      <c r="C12877" t="str">
        <f>IFERROR(__xludf.DUMMYFUNCTION("""COMPUTED_VALUE"""),"ECS")</f>
        <v>ECS</v>
      </c>
    </row>
    <row r="12878">
      <c r="A12878" t="str">
        <f>IFERROR(__xludf.DUMMYFUNCTION("""COMPUTED_VALUE"""),"FOR023B")</f>
        <v>FOR023B</v>
      </c>
      <c r="B12878" s="226" t="str">
        <f>IFERROR(__xludf.DUMMYFUNCTION("""COMPUTED_VALUE"""),"8717323001646")</f>
        <v>8717323001646</v>
      </c>
      <c r="C12878" t="str">
        <f>IFERROR(__xludf.DUMMYFUNCTION("""COMPUTED_VALUE"""),"ECS")</f>
        <v>ECS</v>
      </c>
    </row>
    <row r="12879">
      <c r="A12879" t="str">
        <f>IFERROR(__xludf.DUMMYFUNCTION("""COMPUTED_VALUE"""),"FR007BB")</f>
        <v>FR007BB</v>
      </c>
      <c r="B12879" s="226" t="str">
        <f>IFERROR(__xludf.DUMMYFUNCTION("""COMPUTED_VALUE"""),"8717323001790")</f>
        <v>8717323001790</v>
      </c>
      <c r="C12879" t="str">
        <f>IFERROR(__xludf.DUMMYFUNCTION("""COMPUTED_VALUE"""),"ECS")</f>
        <v>ECS</v>
      </c>
    </row>
    <row r="12880">
      <c r="A12880" t="str">
        <f>IFERROR(__xludf.DUMMYFUNCTION("""COMPUTED_VALUE"""),"FR028BL")</f>
        <v>FR028BL</v>
      </c>
      <c r="B12880" s="226" t="str">
        <f>IFERROR(__xludf.DUMMYFUNCTION("""COMPUTED_VALUE"""),"8717323013809")</f>
        <v>8717323013809</v>
      </c>
      <c r="C12880" t="str">
        <f>IFERROR(__xludf.DUMMYFUNCTION("""COMPUTED_VALUE"""),"ECS")</f>
        <v>ECS</v>
      </c>
    </row>
    <row r="12881">
      <c r="A12881" t="str">
        <f>IFERROR(__xludf.DUMMYFUNCTION("""COMPUTED_VALUE"""),"FR028DL")</f>
        <v>FR028DL</v>
      </c>
      <c r="B12881" s="226" t="str">
        <f>IFERROR(__xludf.DUMMYFUNCTION("""COMPUTED_VALUE"""),"8717323013816")</f>
        <v>8717323013816</v>
      </c>
      <c r="C12881" t="str">
        <f>IFERROR(__xludf.DUMMYFUNCTION("""COMPUTED_VALUE"""),"ECS")</f>
        <v>ECS</v>
      </c>
    </row>
    <row r="12882">
      <c r="A12882" t="str">
        <f>IFERROR(__xludf.DUMMYFUNCTION("""COMPUTED_VALUE"""),"FR070B1")</f>
        <v>FR070B1</v>
      </c>
      <c r="B12882" s="226" t="str">
        <f>IFERROR(__xludf.DUMMYFUNCTION("""COMPUTED_VALUE"""),"8717323049884")</f>
        <v>8717323049884</v>
      </c>
      <c r="C12882" t="str">
        <f>IFERROR(__xludf.DUMMYFUNCTION("""COMPUTED_VALUE"""),"ECS")</f>
        <v>ECS</v>
      </c>
    </row>
    <row r="12883">
      <c r="A12883" t="str">
        <f>IFERROR(__xludf.DUMMYFUNCTION("""COMPUTED_VALUE"""),"FR070H1")</f>
        <v>FR070H1</v>
      </c>
      <c r="B12883" s="226" t="str">
        <f>IFERROR(__xludf.DUMMYFUNCTION("""COMPUTED_VALUE"""),"8717323049891")</f>
        <v>8717323049891</v>
      </c>
      <c r="C12883" t="str">
        <f>IFERROR(__xludf.DUMMYFUNCTION("""COMPUTED_VALUE"""),"ECS")</f>
        <v>ECS</v>
      </c>
    </row>
    <row r="12884">
      <c r="A12884" t="str">
        <f>IFERROR(__xludf.DUMMYFUNCTION("""COMPUTED_VALUE"""),"FR083B1")</f>
        <v>FR083B1</v>
      </c>
      <c r="B12884" s="226" t="str">
        <f>IFERROR(__xludf.DUMMYFUNCTION("""COMPUTED_VALUE"""),"8717323057452")</f>
        <v>8717323057452</v>
      </c>
      <c r="C12884" t="str">
        <f>IFERROR(__xludf.DUMMYFUNCTION("""COMPUTED_VALUE"""),"ECS")</f>
        <v>ECS</v>
      </c>
    </row>
    <row r="12885">
      <c r="A12885" t="str">
        <f>IFERROR(__xludf.DUMMYFUNCTION("""COMPUTED_VALUE"""),"FR083H1")</f>
        <v>FR083H1</v>
      </c>
      <c r="B12885" s="226" t="str">
        <f>IFERROR(__xludf.DUMMYFUNCTION("""COMPUTED_VALUE"""),"8717323057469")</f>
        <v>8717323057469</v>
      </c>
      <c r="C12885" t="str">
        <f>IFERROR(__xludf.DUMMYFUNCTION("""COMPUTED_VALUE"""),"ECS")</f>
        <v>ECS</v>
      </c>
    </row>
    <row r="12886">
      <c r="A12886" t="str">
        <f>IFERROR(__xludf.DUMMYFUNCTION("""COMPUTED_VALUE"""),"FR019BB")</f>
        <v>FR019BB</v>
      </c>
      <c r="B12886" s="226" t="str">
        <f>IFERROR(__xludf.DUMMYFUNCTION("""COMPUTED_VALUE"""),"8717323009475")</f>
        <v>8717323009475</v>
      </c>
      <c r="C12886" t="str">
        <f>IFERROR(__xludf.DUMMYFUNCTION("""COMPUTED_VALUE"""),"ECS")</f>
        <v>ECS</v>
      </c>
    </row>
    <row r="12887">
      <c r="A12887" t="str">
        <f>IFERROR(__xludf.DUMMYFUNCTION("""COMPUTED_VALUE"""),"FR019BL")</f>
        <v>FR019BL</v>
      </c>
      <c r="B12887" s="226" t="str">
        <f>IFERROR(__xludf.DUMMYFUNCTION("""COMPUTED_VALUE"""),"8717323018828")</f>
        <v>8717323018828</v>
      </c>
      <c r="C12887" t="str">
        <f>IFERROR(__xludf.DUMMYFUNCTION("""COMPUTED_VALUE"""),"ECS")</f>
        <v>ECS</v>
      </c>
    </row>
    <row r="12888">
      <c r="A12888" t="str">
        <f>IFERROR(__xludf.DUMMYFUNCTION("""COMPUTED_VALUE"""),"FR019DB")</f>
        <v>FR019DB</v>
      </c>
      <c r="B12888" s="226" t="str">
        <f>IFERROR(__xludf.DUMMYFUNCTION("""COMPUTED_VALUE"""),"8717323009802")</f>
        <v>8717323009802</v>
      </c>
      <c r="C12888" t="str">
        <f>IFERROR(__xludf.DUMMYFUNCTION("""COMPUTED_VALUE"""),"ECS")</f>
        <v>ECS</v>
      </c>
    </row>
    <row r="12889">
      <c r="A12889" t="str">
        <f>IFERROR(__xludf.DUMMYFUNCTION("""COMPUTED_VALUE"""),"FR019DL")</f>
        <v>FR019DL</v>
      </c>
      <c r="B12889" s="226" t="str">
        <f>IFERROR(__xludf.DUMMYFUNCTION("""COMPUTED_VALUE"""),"8717323018835")</f>
        <v>8717323018835</v>
      </c>
      <c r="C12889" t="str">
        <f>IFERROR(__xludf.DUMMYFUNCTION("""COMPUTED_VALUE"""),"ECS")</f>
        <v>ECS</v>
      </c>
    </row>
    <row r="12890">
      <c r="A12890" t="str">
        <f>IFERROR(__xludf.DUMMYFUNCTION("""COMPUTED_VALUE"""),"FR065B1")</f>
        <v>FR065B1</v>
      </c>
      <c r="B12890" s="226" t="str">
        <f>IFERROR(__xludf.DUMMYFUNCTION("""COMPUTED_VALUE"""),"8717323048818")</f>
        <v>8717323048818</v>
      </c>
      <c r="C12890" t="str">
        <f>IFERROR(__xludf.DUMMYFUNCTION("""COMPUTED_VALUE"""),"ECS")</f>
        <v>ECS</v>
      </c>
    </row>
    <row r="12891">
      <c r="A12891" t="str">
        <f>IFERROR(__xludf.DUMMYFUNCTION("""COMPUTED_VALUE"""),"FR065D1")</f>
        <v>FR065D1</v>
      </c>
      <c r="B12891" s="226" t="str">
        <f>IFERROR(__xludf.DUMMYFUNCTION("""COMPUTED_VALUE"""),"8717323048825")</f>
        <v>8717323048825</v>
      </c>
      <c r="C12891" t="str">
        <f>IFERROR(__xludf.DUMMYFUNCTION("""COMPUTED_VALUE"""),"ECS")</f>
        <v>ECS</v>
      </c>
    </row>
    <row r="12892">
      <c r="A12892" t="str">
        <f>IFERROR(__xludf.DUMMYFUNCTION("""COMPUTED_VALUE"""),"FR066B1")</f>
        <v>FR066B1</v>
      </c>
      <c r="B12892" s="226" t="str">
        <f>IFERROR(__xludf.DUMMYFUNCTION("""COMPUTED_VALUE"""),"8717323048702")</f>
        <v>8717323048702</v>
      </c>
      <c r="C12892" t="str">
        <f>IFERROR(__xludf.DUMMYFUNCTION("""COMPUTED_VALUE"""),"ECS")</f>
        <v>ECS</v>
      </c>
    </row>
    <row r="12893">
      <c r="A12893" t="str">
        <f>IFERROR(__xludf.DUMMYFUNCTION("""COMPUTED_VALUE"""),"FR066D1")</f>
        <v>FR066D1</v>
      </c>
      <c r="B12893" s="226" t="str">
        <f>IFERROR(__xludf.DUMMYFUNCTION("""COMPUTED_VALUE"""),"8717323048719")</f>
        <v>8717323048719</v>
      </c>
      <c r="C12893" t="str">
        <f>IFERROR(__xludf.DUMMYFUNCTION("""COMPUTED_VALUE"""),"ECS")</f>
        <v>ECS</v>
      </c>
    </row>
    <row r="12894">
      <c r="A12894" t="str">
        <f>IFERROR(__xludf.DUMMYFUNCTION("""COMPUTED_VALUE"""),"FR107B1")</f>
        <v>FR107B1</v>
      </c>
      <c r="B12894" s="226" t="str">
        <f>IFERROR(__xludf.DUMMYFUNCTION("""COMPUTED_VALUE"""),"8717323066584")</f>
        <v>8717323066584</v>
      </c>
      <c r="C12894" t="str">
        <f>IFERROR(__xludf.DUMMYFUNCTION("""COMPUTED_VALUE"""),"ECS")</f>
        <v>ECS</v>
      </c>
    </row>
    <row r="12895">
      <c r="A12895" t="str">
        <f>IFERROR(__xludf.DUMMYFUNCTION("""COMPUTED_VALUE"""),"FR107D1")</f>
        <v>FR107D1</v>
      </c>
      <c r="B12895" s="226" t="str">
        <f>IFERROR(__xludf.DUMMYFUNCTION("""COMPUTED_VALUE"""),"8717323066591")</f>
        <v>8717323066591</v>
      </c>
      <c r="C12895" t="str">
        <f>IFERROR(__xludf.DUMMYFUNCTION("""COMPUTED_VALUE"""),"ECS")</f>
        <v>ECS</v>
      </c>
    </row>
    <row r="12896">
      <c r="A12896" t="str">
        <f>IFERROR(__xludf.DUMMYFUNCTION("""COMPUTED_VALUE"""),"FR108B1")</f>
        <v>FR108B1</v>
      </c>
      <c r="B12896" s="226" t="str">
        <f>IFERROR(__xludf.DUMMYFUNCTION("""COMPUTED_VALUE"""),"8717323068519")</f>
        <v>8717323068519</v>
      </c>
      <c r="C12896" t="str">
        <f>IFERROR(__xludf.DUMMYFUNCTION("""COMPUTED_VALUE"""),"ECS")</f>
        <v>ECS</v>
      </c>
    </row>
    <row r="12897">
      <c r="A12897" t="str">
        <f>IFERROR(__xludf.DUMMYFUNCTION("""COMPUTED_VALUE"""),"FR108D1")</f>
        <v>FR108D1</v>
      </c>
      <c r="B12897" s="226" t="str">
        <f>IFERROR(__xludf.DUMMYFUNCTION("""COMPUTED_VALUE"""),"8717323068526")</f>
        <v>8717323068526</v>
      </c>
      <c r="C12897" t="str">
        <f>IFERROR(__xludf.DUMMYFUNCTION("""COMPUTED_VALUE"""),"ECS")</f>
        <v>ECS</v>
      </c>
    </row>
    <row r="12898">
      <c r="A12898" t="str">
        <f>IFERROR(__xludf.DUMMYFUNCTION("""COMPUTED_VALUE"""),"FR072BH")</f>
        <v>FR072BH</v>
      </c>
      <c r="B12898" s="226" t="str">
        <f>IFERROR(__xludf.DUMMYFUNCTION("""COMPUTED_VALUE"""),"8717323050521")</f>
        <v>8717323050521</v>
      </c>
      <c r="C12898" t="str">
        <f>IFERROR(__xludf.DUMMYFUNCTION("""COMPUTED_VALUE"""),"ECS")</f>
        <v>ECS</v>
      </c>
    </row>
    <row r="12899">
      <c r="A12899" t="str">
        <f>IFERROR(__xludf.DUMMYFUNCTION("""COMPUTED_VALUE"""),"FR072DH")</f>
        <v>FR072DH</v>
      </c>
      <c r="B12899" s="226" t="str">
        <f>IFERROR(__xludf.DUMMYFUNCTION("""COMPUTED_VALUE"""),"8717323050538")</f>
        <v>8717323050538</v>
      </c>
      <c r="C12899" t="str">
        <f>IFERROR(__xludf.DUMMYFUNCTION("""COMPUTED_VALUE"""),"ECS")</f>
        <v>ECS</v>
      </c>
    </row>
    <row r="12900">
      <c r="A12900" t="str">
        <f>IFERROR(__xludf.DUMMYFUNCTION("""COMPUTED_VALUE"""),"FR055B1")</f>
        <v>FR055B1</v>
      </c>
      <c r="B12900" s="226" t="str">
        <f>IFERROR(__xludf.DUMMYFUNCTION("""COMPUTED_VALUE"""),"8717323045183")</f>
        <v>8717323045183</v>
      </c>
      <c r="C12900" t="str">
        <f>IFERROR(__xludf.DUMMYFUNCTION("""COMPUTED_VALUE"""),"ECS")</f>
        <v>ECS</v>
      </c>
    </row>
    <row r="12901">
      <c r="A12901" t="str">
        <f>IFERROR(__xludf.DUMMYFUNCTION("""COMPUTED_VALUE"""),"FR055D1")</f>
        <v>FR055D1</v>
      </c>
      <c r="B12901" s="226" t="str">
        <f>IFERROR(__xludf.DUMMYFUNCTION("""COMPUTED_VALUE"""),"8717323045190")</f>
        <v>8717323045190</v>
      </c>
      <c r="C12901" t="str">
        <f>IFERROR(__xludf.DUMMYFUNCTION("""COMPUTED_VALUE"""),"ECS")</f>
        <v>ECS</v>
      </c>
    </row>
    <row r="12902">
      <c r="A12902" t="str">
        <f>IFERROR(__xludf.DUMMYFUNCTION("""COMPUTED_VALUE"""),"FR083B1")</f>
        <v>FR083B1</v>
      </c>
      <c r="B12902" s="226" t="str">
        <f>IFERROR(__xludf.DUMMYFUNCTION("""COMPUTED_VALUE"""),"8717323057452")</f>
        <v>8717323057452</v>
      </c>
      <c r="C12902" t="str">
        <f>IFERROR(__xludf.DUMMYFUNCTION("""COMPUTED_VALUE"""),"ECS")</f>
        <v>ECS</v>
      </c>
    </row>
    <row r="12903">
      <c r="A12903" t="str">
        <f>IFERROR(__xludf.DUMMYFUNCTION("""COMPUTED_VALUE"""),"FR083H1")</f>
        <v>FR083H1</v>
      </c>
      <c r="B12903" s="226" t="str">
        <f>IFERROR(__xludf.DUMMYFUNCTION("""COMPUTED_VALUE"""),"8717323057469")</f>
        <v>8717323057469</v>
      </c>
      <c r="C12903" t="str">
        <f>IFERROR(__xludf.DUMMYFUNCTION("""COMPUTED_VALUE"""),"ECS")</f>
        <v>ECS</v>
      </c>
    </row>
    <row r="12904">
      <c r="A12904" t="str">
        <f>IFERROR(__xludf.DUMMYFUNCTION("""COMPUTED_VALUE"""),"FR002BB")</f>
        <v>FR002BB</v>
      </c>
      <c r="B12904" s="226" t="str">
        <f>IFERROR(__xludf.DUMMYFUNCTION("""COMPUTED_VALUE"""),"8717323001776")</f>
        <v>8717323001776</v>
      </c>
      <c r="C12904" t="str">
        <f>IFERROR(__xludf.DUMMYFUNCTION("""COMPUTED_VALUE"""),"ECS")</f>
        <v>ECS</v>
      </c>
    </row>
    <row r="12905">
      <c r="A12905" t="str">
        <f>IFERROR(__xludf.DUMMYFUNCTION("""COMPUTED_VALUE"""),"FR014BB")</f>
        <v>FR014BB</v>
      </c>
      <c r="B12905" s="226" t="str">
        <f>IFERROR(__xludf.DUMMYFUNCTION("""COMPUTED_VALUE"""),"8717323001851")</f>
        <v>8717323001851</v>
      </c>
      <c r="C12905" t="str">
        <f>IFERROR(__xludf.DUMMYFUNCTION("""COMPUTED_VALUE"""),"ECS")</f>
        <v>ECS</v>
      </c>
    </row>
    <row r="12906">
      <c r="A12906" t="str">
        <f>IFERROR(__xludf.DUMMYFUNCTION("""COMPUTED_VALUE"""),"FR002BB")</f>
        <v>FR002BB</v>
      </c>
      <c r="B12906" s="226" t="str">
        <f>IFERROR(__xludf.DUMMYFUNCTION("""COMPUTED_VALUE"""),"8717323001776")</f>
        <v>8717323001776</v>
      </c>
      <c r="C12906" t="str">
        <f>IFERROR(__xludf.DUMMYFUNCTION("""COMPUTED_VALUE"""),"ECS")</f>
        <v>ECS</v>
      </c>
    </row>
    <row r="12907">
      <c r="A12907" t="str">
        <f>IFERROR(__xludf.DUMMYFUNCTION("""COMPUTED_VALUE"""),"FR031BB")</f>
        <v>FR031BB</v>
      </c>
      <c r="B12907" s="226" t="str">
        <f>IFERROR(__xludf.DUMMYFUNCTION("""COMPUTED_VALUE"""),"8717323018873")</f>
        <v>8717323018873</v>
      </c>
      <c r="C12907" t="str">
        <f>IFERROR(__xludf.DUMMYFUNCTION("""COMPUTED_VALUE"""),"ECS")</f>
        <v>ECS</v>
      </c>
    </row>
    <row r="12908">
      <c r="A12908" t="str">
        <f>IFERROR(__xludf.DUMMYFUNCTION("""COMPUTED_VALUE"""),"FR031BH")</f>
        <v>FR031BH</v>
      </c>
      <c r="B12908" s="226" t="str">
        <f>IFERROR(__xludf.DUMMYFUNCTION("""COMPUTED_VALUE"""),"8717323013021")</f>
        <v>8717323013021</v>
      </c>
      <c r="C12908" t="str">
        <f>IFERROR(__xludf.DUMMYFUNCTION("""COMPUTED_VALUE"""),"ECS")</f>
        <v>ECS</v>
      </c>
    </row>
    <row r="12909">
      <c r="A12909" t="str">
        <f>IFERROR(__xludf.DUMMYFUNCTION("""COMPUTED_VALUE"""),"FR031DH")</f>
        <v>FR031DH</v>
      </c>
      <c r="B12909" s="226" t="str">
        <f>IFERROR(__xludf.DUMMYFUNCTION("""COMPUTED_VALUE"""),"8717323013038")</f>
        <v>8717323013038</v>
      </c>
      <c r="C12909" t="str">
        <f>IFERROR(__xludf.DUMMYFUNCTION("""COMPUTED_VALUE"""),"ECS")</f>
        <v>ECS</v>
      </c>
    </row>
    <row r="12910">
      <c r="A12910" t="str">
        <f>IFERROR(__xludf.DUMMYFUNCTION("""COMPUTED_VALUE"""),"FR031DH")</f>
        <v>FR031DH</v>
      </c>
      <c r="B12910" s="226" t="str">
        <f>IFERROR(__xludf.DUMMYFUNCTION("""COMPUTED_VALUE"""),"8717323013038")</f>
        <v>8717323013038</v>
      </c>
      <c r="C12910" t="str">
        <f>IFERROR(__xludf.DUMMYFUNCTION("""COMPUTED_VALUE"""),"ECS")</f>
        <v>ECS</v>
      </c>
    </row>
    <row r="12911">
      <c r="A12911" t="str">
        <f>IFERROR(__xludf.DUMMYFUNCTION("""COMPUTED_VALUE"""),"FR041BB")</f>
        <v>FR041BB</v>
      </c>
      <c r="B12911" s="226" t="str">
        <f>IFERROR(__xludf.DUMMYFUNCTION("""COMPUTED_VALUE"""),"8717323016251")</f>
        <v>8717323016251</v>
      </c>
      <c r="C12911" t="str">
        <f>IFERROR(__xludf.DUMMYFUNCTION("""COMPUTED_VALUE"""),"ECS")</f>
        <v>ECS</v>
      </c>
    </row>
    <row r="12912">
      <c r="A12912" t="str">
        <f>IFERROR(__xludf.DUMMYFUNCTION("""COMPUTED_VALUE"""),"FR041BH")</f>
        <v>FR041BH</v>
      </c>
      <c r="B12912" s="226" t="str">
        <f>IFERROR(__xludf.DUMMYFUNCTION("""COMPUTED_VALUE"""),"8717323016268")</f>
        <v>8717323016268</v>
      </c>
      <c r="C12912" t="str">
        <f>IFERROR(__xludf.DUMMYFUNCTION("""COMPUTED_VALUE"""),"ECS")</f>
        <v>ECS</v>
      </c>
    </row>
    <row r="12913">
      <c r="A12913" t="str">
        <f>IFERROR(__xludf.DUMMYFUNCTION("""COMPUTED_VALUE"""),"FR041DH")</f>
        <v>FR041DH</v>
      </c>
      <c r="B12913" s="226" t="str">
        <f>IFERROR(__xludf.DUMMYFUNCTION("""COMPUTED_VALUE"""),"8717323016275")</f>
        <v>8717323016275</v>
      </c>
      <c r="C12913" t="str">
        <f>IFERROR(__xludf.DUMMYFUNCTION("""COMPUTED_VALUE"""),"ECS")</f>
        <v>ECS</v>
      </c>
    </row>
    <row r="12914">
      <c r="A12914" t="str">
        <f>IFERROR(__xludf.DUMMYFUNCTION("""COMPUTED_VALUE"""),"FR031BB")</f>
        <v>FR031BB</v>
      </c>
      <c r="B12914" s="226" t="str">
        <f>IFERROR(__xludf.DUMMYFUNCTION("""COMPUTED_VALUE"""),"8717323018873")</f>
        <v>8717323018873</v>
      </c>
      <c r="C12914" t="str">
        <f>IFERROR(__xludf.DUMMYFUNCTION("""COMPUTED_VALUE"""),"ECS")</f>
        <v>ECS</v>
      </c>
    </row>
    <row r="12915">
      <c r="A12915" t="str">
        <f>IFERROR(__xludf.DUMMYFUNCTION("""COMPUTED_VALUE"""),"FR031BH")</f>
        <v>FR031BH</v>
      </c>
      <c r="B12915" s="226" t="str">
        <f>IFERROR(__xludf.DUMMYFUNCTION("""COMPUTED_VALUE"""),"8717323013021")</f>
        <v>8717323013021</v>
      </c>
      <c r="C12915" t="str">
        <f>IFERROR(__xludf.DUMMYFUNCTION("""COMPUTED_VALUE"""),"ECS")</f>
        <v>ECS</v>
      </c>
    </row>
    <row r="12916">
      <c r="A12916" t="str">
        <f>IFERROR(__xludf.DUMMYFUNCTION("""COMPUTED_VALUE"""),"FR041BB")</f>
        <v>FR041BB</v>
      </c>
      <c r="B12916" s="226" t="str">
        <f>IFERROR(__xludf.DUMMYFUNCTION("""COMPUTED_VALUE"""),"8717323016251")</f>
        <v>8717323016251</v>
      </c>
      <c r="C12916" t="str">
        <f>IFERROR(__xludf.DUMMYFUNCTION("""COMPUTED_VALUE"""),"ECS")</f>
        <v>ECS</v>
      </c>
    </row>
    <row r="12917">
      <c r="A12917" t="str">
        <f>IFERROR(__xludf.DUMMYFUNCTION("""COMPUTED_VALUE"""),"FR041BH")</f>
        <v>FR041BH</v>
      </c>
      <c r="B12917" s="226" t="str">
        <f>IFERROR(__xludf.DUMMYFUNCTION("""COMPUTED_VALUE"""),"8717323016268")</f>
        <v>8717323016268</v>
      </c>
      <c r="C12917" t="str">
        <f>IFERROR(__xludf.DUMMYFUNCTION("""COMPUTED_VALUE"""),"ECS")</f>
        <v>ECS</v>
      </c>
    </row>
    <row r="12918">
      <c r="A12918" t="str">
        <f>IFERROR(__xludf.DUMMYFUNCTION("""COMPUTED_VALUE"""),"FR041DH")</f>
        <v>FR041DH</v>
      </c>
      <c r="B12918" s="226" t="str">
        <f>IFERROR(__xludf.DUMMYFUNCTION("""COMPUTED_VALUE"""),"8717323016275")</f>
        <v>8717323016275</v>
      </c>
      <c r="C12918" t="str">
        <f>IFERROR(__xludf.DUMMYFUNCTION("""COMPUTED_VALUE"""),"ECS")</f>
        <v>ECS</v>
      </c>
    </row>
    <row r="12919">
      <c r="A12919" t="str">
        <f>IFERROR(__xludf.DUMMYFUNCTION("""COMPUTED_VALUE"""),"HN151DL")</f>
        <v>HN151DL</v>
      </c>
      <c r="B12919" s="226" t="str">
        <f>IFERROR(__xludf.DUMMYFUNCTION("""COMPUTED_VALUE"""),"8717323019054")</f>
        <v>8717323019054</v>
      </c>
      <c r="C12919" t="str">
        <f>IFERROR(__xludf.DUMMYFUNCTION("""COMPUTED_VALUE"""),"ECS")</f>
        <v>ECS</v>
      </c>
    </row>
    <row r="12920">
      <c r="A12920" t="str">
        <f>IFERROR(__xludf.DUMMYFUNCTION("""COMPUTED_VALUE"""),"HN116BB")</f>
        <v>HN116BB</v>
      </c>
      <c r="B12920" s="226" t="str">
        <f>IFERROR(__xludf.DUMMYFUNCTION("""COMPUTED_VALUE"""),"8717323009819")</f>
        <v>8717323009819</v>
      </c>
      <c r="C12920" t="str">
        <f>IFERROR(__xludf.DUMMYFUNCTION("""COMPUTED_VALUE"""),"ECS")</f>
        <v>ECS</v>
      </c>
    </row>
    <row r="12921">
      <c r="A12921" t="str">
        <f>IFERROR(__xludf.DUMMYFUNCTION("""COMPUTED_VALUE"""),"HN116DL")</f>
        <v>HN116DL</v>
      </c>
      <c r="B12921" s="226" t="str">
        <f>IFERROR(__xludf.DUMMYFUNCTION("""COMPUTED_VALUE"""),"8717323015773")</f>
        <v>8717323015773</v>
      </c>
      <c r="C12921" t="str">
        <f>IFERROR(__xludf.DUMMYFUNCTION("""COMPUTED_VALUE"""),"ECS")</f>
        <v>ECS</v>
      </c>
    </row>
    <row r="12922">
      <c r="A12922" t="str">
        <f>IFERROR(__xludf.DUMMYFUNCTION("""COMPUTED_VALUE"""),"HN344BB")</f>
        <v>HN344BB</v>
      </c>
      <c r="B12922" s="226" t="str">
        <f>IFERROR(__xludf.DUMMYFUNCTION("""COMPUTED_VALUE"""),"8717323017418")</f>
        <v>8717323017418</v>
      </c>
      <c r="C12922" t="str">
        <f>IFERROR(__xludf.DUMMYFUNCTION("""COMPUTED_VALUE"""),"ECS")</f>
        <v>ECS</v>
      </c>
    </row>
    <row r="12923">
      <c r="A12923" t="str">
        <f>IFERROR(__xludf.DUMMYFUNCTION("""COMPUTED_VALUE"""),"HN344DH")</f>
        <v>HN344DH</v>
      </c>
      <c r="B12923" s="226" t="str">
        <f>IFERROR(__xludf.DUMMYFUNCTION("""COMPUTED_VALUE"""),"8717323017425")</f>
        <v>8717323017425</v>
      </c>
      <c r="C12923" t="str">
        <f>IFERROR(__xludf.DUMMYFUNCTION("""COMPUTED_VALUE"""),"ECS")</f>
        <v>ECS</v>
      </c>
    </row>
    <row r="12924">
      <c r="A12924" t="str">
        <f>IFERROR(__xludf.DUMMYFUNCTION("""COMPUTED_VALUE"""),"HN306BB")</f>
        <v>HN306BB</v>
      </c>
      <c r="B12924" s="226" t="str">
        <f>IFERROR(__xludf.DUMMYFUNCTION("""COMPUTED_VALUE"""),"8717323023259")</f>
        <v>8717323023259</v>
      </c>
      <c r="C12924" t="str">
        <f>IFERROR(__xludf.DUMMYFUNCTION("""COMPUTED_VALUE"""),"ECS")</f>
        <v>ECS</v>
      </c>
    </row>
    <row r="12925">
      <c r="A12925" t="str">
        <f>IFERROR(__xludf.DUMMYFUNCTION("""COMPUTED_VALUE"""),"HN306DH")</f>
        <v>HN306DH</v>
      </c>
      <c r="B12925" s="226" t="str">
        <f>IFERROR(__xludf.DUMMYFUNCTION("""COMPUTED_VALUE"""),"8717323023266")</f>
        <v>8717323023266</v>
      </c>
      <c r="C12925" t="str">
        <f>IFERROR(__xludf.DUMMYFUNCTION("""COMPUTED_VALUE"""),"ECS")</f>
        <v>ECS</v>
      </c>
    </row>
    <row r="12926">
      <c r="A12926" t="str">
        <f>IFERROR(__xludf.DUMMYFUNCTION("""COMPUTED_VALUE"""),"HN514BB")</f>
        <v>HN514BB</v>
      </c>
      <c r="B12926" s="226" t="str">
        <f>IFERROR(__xludf.DUMMYFUNCTION("""COMPUTED_VALUE"""),"8717323027455")</f>
        <v>8717323027455</v>
      </c>
      <c r="C12926" t="str">
        <f>IFERROR(__xludf.DUMMYFUNCTION("""COMPUTED_VALUE"""),"ECS")</f>
        <v>ECS</v>
      </c>
    </row>
    <row r="12927">
      <c r="A12927" t="str">
        <f>IFERROR(__xludf.DUMMYFUNCTION("""COMPUTED_VALUE"""),"HN514DH")</f>
        <v>HN514DH</v>
      </c>
      <c r="B12927" s="226" t="str">
        <f>IFERROR(__xludf.DUMMYFUNCTION("""COMPUTED_VALUE"""),"8717323034866")</f>
        <v>8717323034866</v>
      </c>
      <c r="C12927" t="str">
        <f>IFERROR(__xludf.DUMMYFUNCTION("""COMPUTED_VALUE"""),"ECS")</f>
        <v>ECS</v>
      </c>
    </row>
    <row r="12928">
      <c r="A12928" t="str">
        <f>IFERROR(__xludf.DUMMYFUNCTION("""COMPUTED_VALUE"""),"HN514BB")</f>
        <v>HN514BB</v>
      </c>
      <c r="B12928" s="226" t="str">
        <f>IFERROR(__xludf.DUMMYFUNCTION("""COMPUTED_VALUE"""),"8717323027455")</f>
        <v>8717323027455</v>
      </c>
      <c r="C12928" t="str">
        <f>IFERROR(__xludf.DUMMYFUNCTION("""COMPUTED_VALUE"""),"ECS")</f>
        <v>ECS</v>
      </c>
    </row>
    <row r="12929">
      <c r="A12929" t="str">
        <f>IFERROR(__xludf.DUMMYFUNCTION("""COMPUTED_VALUE"""),"HN514DH")</f>
        <v>HN514DH</v>
      </c>
      <c r="B12929" s="226" t="str">
        <f>IFERROR(__xludf.DUMMYFUNCTION("""COMPUTED_VALUE"""),"8717323034866")</f>
        <v>8717323034866</v>
      </c>
      <c r="C12929" t="str">
        <f>IFERROR(__xludf.DUMMYFUNCTION("""COMPUTED_VALUE"""),"ECS")</f>
        <v>ECS</v>
      </c>
    </row>
    <row r="12930">
      <c r="A12930" t="str">
        <f>IFERROR(__xludf.DUMMYFUNCTION("""COMPUTED_VALUE"""),"HN180BL")</f>
        <v>HN180BL</v>
      </c>
      <c r="B12930" s="226" t="str">
        <f>IFERROR(__xludf.DUMMYFUNCTION("""COMPUTED_VALUE"""),"8717323019092")</f>
        <v>8717323019092</v>
      </c>
      <c r="C12930" t="str">
        <f>IFERROR(__xludf.DUMMYFUNCTION("""COMPUTED_VALUE"""),"ECS")</f>
        <v>ECS</v>
      </c>
    </row>
    <row r="12931">
      <c r="A12931" t="str">
        <f>IFERROR(__xludf.DUMMYFUNCTION("""COMPUTED_VALUE"""),"HN180DL")</f>
        <v>HN180DL</v>
      </c>
      <c r="B12931" s="226" t="str">
        <f>IFERROR(__xludf.DUMMYFUNCTION("""COMPUTED_VALUE"""),"8717323019108")</f>
        <v>8717323019108</v>
      </c>
      <c r="C12931" t="str">
        <f>IFERROR(__xludf.DUMMYFUNCTION("""COMPUTED_VALUE"""),"ECS")</f>
        <v>ECS</v>
      </c>
    </row>
    <row r="12932">
      <c r="A12932" t="str">
        <f>IFERROR(__xludf.DUMMYFUNCTION("""COMPUTED_VALUE"""),"HN181BB")</f>
        <v>HN181BB</v>
      </c>
      <c r="B12932" s="226" t="str">
        <f>IFERROR(__xludf.DUMMYFUNCTION("""COMPUTED_VALUE"""),"8717323019115")</f>
        <v>8717323019115</v>
      </c>
      <c r="C12932" t="str">
        <f>IFERROR(__xludf.DUMMYFUNCTION("""COMPUTED_VALUE"""),"ECS")</f>
        <v>ECS</v>
      </c>
    </row>
    <row r="12933">
      <c r="A12933" t="str">
        <f>IFERROR(__xludf.DUMMYFUNCTION("""COMPUTED_VALUE"""),"HN341BH")</f>
        <v>HN341BH</v>
      </c>
      <c r="B12933" s="226" t="str">
        <f>IFERROR(__xludf.DUMMYFUNCTION("""COMPUTED_VALUE"""),"8717323014899")</f>
        <v>8717323014899</v>
      </c>
      <c r="C12933" t="str">
        <f>IFERROR(__xludf.DUMMYFUNCTION("""COMPUTED_VALUE"""),"ECS")</f>
        <v>ECS</v>
      </c>
    </row>
    <row r="12934">
      <c r="A12934" t="str">
        <f>IFERROR(__xludf.DUMMYFUNCTION("""COMPUTED_VALUE"""),"HN341DL")</f>
        <v>HN341DL</v>
      </c>
      <c r="B12934" s="226" t="str">
        <f>IFERROR(__xludf.DUMMYFUNCTION("""COMPUTED_VALUE"""),"8717323026663")</f>
        <v>8717323026663</v>
      </c>
      <c r="C12934" t="str">
        <f>IFERROR(__xludf.DUMMYFUNCTION("""COMPUTED_VALUE"""),"ECS")</f>
        <v>ECS</v>
      </c>
    </row>
    <row r="12935">
      <c r="A12935" t="str">
        <f>IFERROR(__xludf.DUMMYFUNCTION("""COMPUTED_VALUE"""),"HN341BH")</f>
        <v>HN341BH</v>
      </c>
      <c r="B12935" s="226" t="str">
        <f>IFERROR(__xludf.DUMMYFUNCTION("""COMPUTED_VALUE"""),"8717323014899")</f>
        <v>8717323014899</v>
      </c>
      <c r="C12935" t="str">
        <f>IFERROR(__xludf.DUMMYFUNCTION("""COMPUTED_VALUE"""),"ECS")</f>
        <v>ECS</v>
      </c>
    </row>
    <row r="12936">
      <c r="A12936" t="str">
        <f>IFERROR(__xludf.DUMMYFUNCTION("""COMPUTED_VALUE"""),"HN341DL")</f>
        <v>HN341DL</v>
      </c>
      <c r="B12936" s="226" t="str">
        <f>IFERROR(__xludf.DUMMYFUNCTION("""COMPUTED_VALUE"""),"8717323026663")</f>
        <v>8717323026663</v>
      </c>
      <c r="C12936" t="str">
        <f>IFERROR(__xludf.DUMMYFUNCTION("""COMPUTED_VALUE"""),"ECS")</f>
        <v>ECS</v>
      </c>
    </row>
    <row r="12937">
      <c r="A12937" t="str">
        <f>IFERROR(__xludf.DUMMYFUNCTION("""COMPUTED_VALUE"""),"HN279BB")</f>
        <v>HN279BB</v>
      </c>
      <c r="B12937" s="226" t="str">
        <f>IFERROR(__xludf.DUMMYFUNCTION("""COMPUTED_VALUE"""),"8717323017159")</f>
        <v>8717323017159</v>
      </c>
      <c r="C12937" t="str">
        <f>IFERROR(__xludf.DUMMYFUNCTION("""COMPUTED_VALUE"""),"ECS")</f>
        <v>ECS</v>
      </c>
    </row>
    <row r="12938">
      <c r="A12938" t="str">
        <f>IFERROR(__xludf.DUMMYFUNCTION("""COMPUTED_VALUE"""),"HN279DH")</f>
        <v>HN279DH</v>
      </c>
      <c r="B12938" s="226" t="str">
        <f>IFERROR(__xludf.DUMMYFUNCTION("""COMPUTED_VALUE"""),"8717323023334")</f>
        <v>8717323023334</v>
      </c>
      <c r="C12938" t="str">
        <f>IFERROR(__xludf.DUMMYFUNCTION("""COMPUTED_VALUE"""),"ECS")</f>
        <v>ECS</v>
      </c>
    </row>
    <row r="12939">
      <c r="A12939" t="str">
        <f>IFERROR(__xludf.DUMMYFUNCTION("""COMPUTED_VALUE"""),"HN445BG")</f>
        <v>HN445BG</v>
      </c>
      <c r="B12939" s="226" t="str">
        <f>IFERROR(__xludf.DUMMYFUNCTION("""COMPUTED_VALUE"""),"8717323023051")</f>
        <v>8717323023051</v>
      </c>
      <c r="C12939" t="str">
        <f>IFERROR(__xludf.DUMMYFUNCTION("""COMPUTED_VALUE"""),"ECS")</f>
        <v>ECS</v>
      </c>
    </row>
    <row r="12940">
      <c r="A12940" t="str">
        <f>IFERROR(__xludf.DUMMYFUNCTION("""COMPUTED_VALUE"""),"HN445DH")</f>
        <v>HN445DH</v>
      </c>
      <c r="B12940" s="226" t="str">
        <f>IFERROR(__xludf.DUMMYFUNCTION("""COMPUTED_VALUE"""),"8717323026670")</f>
        <v>8717323026670</v>
      </c>
      <c r="C12940" t="str">
        <f>IFERROR(__xludf.DUMMYFUNCTION("""COMPUTED_VALUE"""),"ECS")</f>
        <v>ECS</v>
      </c>
    </row>
    <row r="12941">
      <c r="A12941" t="str">
        <f>IFERROR(__xludf.DUMMYFUNCTION("""COMPUTED_VALUE"""),"HN862BX")</f>
        <v>HN862BX</v>
      </c>
      <c r="B12941" s="226" t="str">
        <f>IFERROR(__xludf.DUMMYFUNCTION("""COMPUTED_VALUE"""),"8717323066010")</f>
        <v>8717323066010</v>
      </c>
      <c r="C12941" t="str">
        <f>IFERROR(__xludf.DUMMYFUNCTION("""COMPUTED_VALUE"""),"ECS")</f>
        <v>ECS</v>
      </c>
    </row>
    <row r="12942">
      <c r="A12942" t="str">
        <f>IFERROR(__xludf.DUMMYFUNCTION("""COMPUTED_VALUE"""),"HN867B1")</f>
        <v>HN867B1</v>
      </c>
      <c r="C12942" t="str">
        <f>IFERROR(__xludf.DUMMYFUNCTION("""COMPUTED_VALUE"""),"ECS")</f>
        <v>ECS</v>
      </c>
    </row>
    <row r="12943">
      <c r="A12943" t="str">
        <f>IFERROR(__xludf.DUMMYFUNCTION("""COMPUTED_VALUE"""),"HN867D1")</f>
        <v>HN867D1</v>
      </c>
      <c r="C12943" t="str">
        <f>IFERROR(__xludf.DUMMYFUNCTION("""COMPUTED_VALUE"""),"ECS")</f>
        <v>ECS</v>
      </c>
    </row>
    <row r="12944">
      <c r="A12944" t="str">
        <f>IFERROR(__xludf.DUMMYFUNCTION("""COMPUTED_VALUE"""),"HN862BX")</f>
        <v>HN862BX</v>
      </c>
      <c r="B12944" s="226" t="str">
        <f>IFERROR(__xludf.DUMMYFUNCTION("""COMPUTED_VALUE"""),"8717323066010")</f>
        <v>8717323066010</v>
      </c>
      <c r="C12944" t="str">
        <f>IFERROR(__xludf.DUMMYFUNCTION("""COMPUTED_VALUE"""),"ECS")</f>
        <v>ECS</v>
      </c>
    </row>
    <row r="12945">
      <c r="A12945" t="str">
        <f>IFERROR(__xludf.DUMMYFUNCTION("""COMPUTED_VALUE"""),"HN867B1")</f>
        <v>HN867B1</v>
      </c>
      <c r="C12945" t="str">
        <f>IFERROR(__xludf.DUMMYFUNCTION("""COMPUTED_VALUE"""),"ECS")</f>
        <v>ECS</v>
      </c>
    </row>
    <row r="12946">
      <c r="A12946" t="str">
        <f>IFERROR(__xludf.DUMMYFUNCTION("""COMPUTED_VALUE"""),"HN867D1")</f>
        <v>HN867D1</v>
      </c>
      <c r="C12946" t="str">
        <f>IFERROR(__xludf.DUMMYFUNCTION("""COMPUTED_VALUE"""),"ECS")</f>
        <v>ECS</v>
      </c>
    </row>
    <row r="12947">
      <c r="A12947" t="str">
        <f>IFERROR(__xludf.DUMMYFUNCTION("""COMPUTED_VALUE"""),"HN867B1")</f>
        <v>HN867B1</v>
      </c>
      <c r="C12947" t="str">
        <f>IFERROR(__xludf.DUMMYFUNCTION("""COMPUTED_VALUE"""),"ECS")</f>
        <v>ECS</v>
      </c>
    </row>
    <row r="12948">
      <c r="A12948" t="str">
        <f>IFERROR(__xludf.DUMMYFUNCTION("""COMPUTED_VALUE"""),"HN867D1")</f>
        <v>HN867D1</v>
      </c>
      <c r="C12948" t="str">
        <f>IFERROR(__xludf.DUMMYFUNCTION("""COMPUTED_VALUE"""),"ECS")</f>
        <v>ECS</v>
      </c>
    </row>
    <row r="12949">
      <c r="A12949" t="str">
        <f>IFERROR(__xludf.DUMMYFUNCTION("""COMPUTED_VALUE"""),"HN085BB")</f>
        <v>HN085BB</v>
      </c>
      <c r="B12949" s="226" t="str">
        <f>IFERROR(__xludf.DUMMYFUNCTION("""COMPUTED_VALUE"""),"8717323002094")</f>
        <v>8717323002094</v>
      </c>
      <c r="C12949" t="str">
        <f>IFERROR(__xludf.DUMMYFUNCTION("""COMPUTED_VALUE"""),"ECS")</f>
        <v>ECS</v>
      </c>
    </row>
    <row r="12950">
      <c r="A12950" t="str">
        <f>IFERROR(__xludf.DUMMYFUNCTION("""COMPUTED_VALUE"""),"HN292BB")</f>
        <v>HN292BB</v>
      </c>
      <c r="B12950" s="226" t="str">
        <f>IFERROR(__xludf.DUMMYFUNCTION("""COMPUTED_VALUE"""),"8717323049495")</f>
        <v>8717323049495</v>
      </c>
      <c r="C12950" t="str">
        <f>IFERROR(__xludf.DUMMYFUNCTION("""COMPUTED_VALUE"""),"ECS")</f>
        <v>ECS</v>
      </c>
    </row>
    <row r="12951">
      <c r="A12951" t="str">
        <f>IFERROR(__xludf.DUMMYFUNCTION("""COMPUTED_VALUE"""),"HN292BH")</f>
        <v>HN292BH</v>
      </c>
      <c r="B12951" s="226" t="str">
        <f>IFERROR(__xludf.DUMMYFUNCTION("""COMPUTED_VALUE"""),"8717323023396")</f>
        <v>8717323023396</v>
      </c>
      <c r="C12951" t="str">
        <f>IFERROR(__xludf.DUMMYFUNCTION("""COMPUTED_VALUE"""),"ECS")</f>
        <v>ECS</v>
      </c>
    </row>
    <row r="12952">
      <c r="A12952" t="str">
        <f>IFERROR(__xludf.DUMMYFUNCTION("""COMPUTED_VALUE"""),"HN292DH")</f>
        <v>HN292DH</v>
      </c>
      <c r="B12952" s="226" t="str">
        <f>IFERROR(__xludf.DUMMYFUNCTION("""COMPUTED_VALUE"""),"8717323023402")</f>
        <v>8717323023402</v>
      </c>
      <c r="C12952" t="str">
        <f>IFERROR(__xludf.DUMMYFUNCTION("""COMPUTED_VALUE"""),"ECS")</f>
        <v>ECS</v>
      </c>
    </row>
    <row r="12953">
      <c r="A12953" t="str">
        <f>IFERROR(__xludf.DUMMYFUNCTION("""COMPUTED_VALUE"""),"HN292DL")</f>
        <v>HN292DL</v>
      </c>
      <c r="B12953" s="226" t="str">
        <f>IFERROR(__xludf.DUMMYFUNCTION("""COMPUTED_VALUE"""),"8717323049501")</f>
        <v>8717323049501</v>
      </c>
      <c r="C12953" t="str">
        <f>IFERROR(__xludf.DUMMYFUNCTION("""COMPUTED_VALUE"""),"ECS")</f>
        <v>ECS</v>
      </c>
    </row>
    <row r="12954">
      <c r="A12954" t="str">
        <f>IFERROR(__xludf.DUMMYFUNCTION("""COMPUTED_VALUE"""),"HN555BB")</f>
        <v>HN555BB</v>
      </c>
      <c r="B12954" s="226" t="str">
        <f>IFERROR(__xludf.DUMMYFUNCTION("""COMPUTED_VALUE"""),"8717323045138")</f>
        <v>8717323045138</v>
      </c>
      <c r="C12954" t="str">
        <f>IFERROR(__xludf.DUMMYFUNCTION("""COMPUTED_VALUE"""),"ECS")</f>
        <v>ECS</v>
      </c>
    </row>
    <row r="12955">
      <c r="A12955" t="str">
        <f>IFERROR(__xludf.DUMMYFUNCTION("""COMPUTED_VALUE"""),"HN555DH")</f>
        <v>HN555DH</v>
      </c>
      <c r="B12955" s="226" t="str">
        <f>IFERROR(__xludf.DUMMYFUNCTION("""COMPUTED_VALUE"""),"8717323045145")</f>
        <v>8717323045145</v>
      </c>
      <c r="C12955" t="str">
        <f>IFERROR(__xludf.DUMMYFUNCTION("""COMPUTED_VALUE"""),"ECS")</f>
        <v>ECS</v>
      </c>
    </row>
    <row r="12956">
      <c r="A12956" t="str">
        <f>IFERROR(__xludf.DUMMYFUNCTION("""COMPUTED_VALUE"""),"HN867B1")</f>
        <v>HN867B1</v>
      </c>
      <c r="C12956" t="str">
        <f>IFERROR(__xludf.DUMMYFUNCTION("""COMPUTED_VALUE"""),"ECS")</f>
        <v>ECS</v>
      </c>
    </row>
    <row r="12957">
      <c r="A12957" t="str">
        <f>IFERROR(__xludf.DUMMYFUNCTION("""COMPUTED_VALUE"""),"HN867D1")</f>
        <v>HN867D1</v>
      </c>
      <c r="C12957" t="str">
        <f>IFERROR(__xludf.DUMMYFUNCTION("""COMPUTED_VALUE"""),"ECS")</f>
        <v>ECS</v>
      </c>
    </row>
    <row r="12958">
      <c r="A12958" t="str">
        <f>IFERROR(__xludf.DUMMYFUNCTION("""COMPUTED_VALUE"""),"HN217BB")</f>
        <v>HN217BB</v>
      </c>
      <c r="B12958" s="226" t="str">
        <f>IFERROR(__xludf.DUMMYFUNCTION("""COMPUTED_VALUE"""),"8717323010693")</f>
        <v>8717323010693</v>
      </c>
      <c r="C12958" t="str">
        <f>IFERROR(__xludf.DUMMYFUNCTION("""COMPUTED_VALUE"""),"ECS")</f>
        <v>ECS</v>
      </c>
    </row>
    <row r="12959">
      <c r="A12959" t="str">
        <f>IFERROR(__xludf.DUMMYFUNCTION("""COMPUTED_VALUE"""),"HN293DL")</f>
        <v>HN293DL</v>
      </c>
      <c r="B12959" s="226" t="str">
        <f>IFERROR(__xludf.DUMMYFUNCTION("""COMPUTED_VALUE"""),"8717323023044")</f>
        <v>8717323023044</v>
      </c>
      <c r="C12959" t="str">
        <f>IFERROR(__xludf.DUMMYFUNCTION("""COMPUTED_VALUE"""),"ECS")</f>
        <v>ECS</v>
      </c>
    </row>
    <row r="12960">
      <c r="A12960" t="str">
        <f>IFERROR(__xludf.DUMMYFUNCTION("""COMPUTED_VALUE"""),"HN622BH")</f>
        <v>HN622BH</v>
      </c>
      <c r="B12960" s="226" t="str">
        <f>IFERROR(__xludf.DUMMYFUNCTION("""COMPUTED_VALUE"""),"8717323053157")</f>
        <v>8717323053157</v>
      </c>
      <c r="C12960" t="str">
        <f>IFERROR(__xludf.DUMMYFUNCTION("""COMPUTED_VALUE"""),"ECS")</f>
        <v>ECS</v>
      </c>
    </row>
    <row r="12961">
      <c r="A12961" t="str">
        <f>IFERROR(__xludf.DUMMYFUNCTION("""COMPUTED_VALUE"""),"HN622DH")</f>
        <v>HN622DH</v>
      </c>
      <c r="B12961" s="226" t="str">
        <f>IFERROR(__xludf.DUMMYFUNCTION("""COMPUTED_VALUE"""),"8717323053164")</f>
        <v>8717323053164</v>
      </c>
      <c r="C12961" t="str">
        <f>IFERROR(__xludf.DUMMYFUNCTION("""COMPUTED_VALUE"""),"ECS")</f>
        <v>ECS</v>
      </c>
    </row>
    <row r="12962">
      <c r="A12962" t="str">
        <f>IFERROR(__xludf.DUMMYFUNCTION("""COMPUTED_VALUE"""),"HN867B1")</f>
        <v>HN867B1</v>
      </c>
      <c r="C12962" t="str">
        <f>IFERROR(__xludf.DUMMYFUNCTION("""COMPUTED_VALUE"""),"ECS")</f>
        <v>ECS</v>
      </c>
    </row>
    <row r="12963">
      <c r="A12963" t="str">
        <f>IFERROR(__xludf.DUMMYFUNCTION("""COMPUTED_VALUE"""),"HN867D1")</f>
        <v>HN867D1</v>
      </c>
      <c r="C12963" t="str">
        <f>IFERROR(__xludf.DUMMYFUNCTION("""COMPUTED_VALUE"""),"ECS")</f>
        <v>ECS</v>
      </c>
    </row>
    <row r="12964">
      <c r="A12964" t="str">
        <f>IFERROR(__xludf.DUMMYFUNCTION("""COMPUTED_VALUE"""),"HN401BG")</f>
        <v>HN401BG</v>
      </c>
      <c r="B12964" s="226" t="str">
        <f>IFERROR(__xludf.DUMMYFUNCTION("""COMPUTED_VALUE"""),"8717323017234")</f>
        <v>8717323017234</v>
      </c>
      <c r="C12964" t="str">
        <f>IFERROR(__xludf.DUMMYFUNCTION("""COMPUTED_VALUE"""),"ECS")</f>
        <v>ECS</v>
      </c>
    </row>
    <row r="12965">
      <c r="A12965" t="str">
        <f>IFERROR(__xludf.DUMMYFUNCTION("""COMPUTED_VALUE"""),"HN079BB")</f>
        <v>HN079BB</v>
      </c>
      <c r="B12965" s="226" t="str">
        <f>IFERROR(__xludf.DUMMYFUNCTION("""COMPUTED_VALUE"""),"8717323002070")</f>
        <v>8717323002070</v>
      </c>
      <c r="C12965" t="str">
        <f>IFERROR(__xludf.DUMMYFUNCTION("""COMPUTED_VALUE"""),"ECS")</f>
        <v>ECS</v>
      </c>
    </row>
    <row r="12966">
      <c r="A12966" t="str">
        <f>IFERROR(__xludf.DUMMYFUNCTION("""COMPUTED_VALUE"""),"HN079BL")</f>
        <v>HN079BL</v>
      </c>
      <c r="B12966" s="226" t="str">
        <f>IFERROR(__xludf.DUMMYFUNCTION("""COMPUTED_VALUE"""),"8717323019016")</f>
        <v>8717323019016</v>
      </c>
      <c r="C12966" t="str">
        <f>IFERROR(__xludf.DUMMYFUNCTION("""COMPUTED_VALUE"""),"ECS")</f>
        <v>ECS</v>
      </c>
    </row>
    <row r="12967">
      <c r="A12967" t="str">
        <f>IFERROR(__xludf.DUMMYFUNCTION("""COMPUTED_VALUE"""),"HN079BB")</f>
        <v>HN079BB</v>
      </c>
      <c r="B12967" s="226" t="str">
        <f>IFERROR(__xludf.DUMMYFUNCTION("""COMPUTED_VALUE"""),"8717323002070")</f>
        <v>8717323002070</v>
      </c>
      <c r="C12967" t="str">
        <f>IFERROR(__xludf.DUMMYFUNCTION("""COMPUTED_VALUE"""),"ECS")</f>
        <v>ECS</v>
      </c>
    </row>
    <row r="12968">
      <c r="A12968" t="str">
        <f>IFERROR(__xludf.DUMMYFUNCTION("""COMPUTED_VALUE"""),"HN079BL")</f>
        <v>HN079BL</v>
      </c>
      <c r="B12968" s="226" t="str">
        <f>IFERROR(__xludf.DUMMYFUNCTION("""COMPUTED_VALUE"""),"8717323019016")</f>
        <v>8717323019016</v>
      </c>
      <c r="C12968" t="str">
        <f>IFERROR(__xludf.DUMMYFUNCTION("""COMPUTED_VALUE"""),"ECS")</f>
        <v>ECS</v>
      </c>
    </row>
    <row r="12969">
      <c r="A12969" t="str">
        <f>IFERROR(__xludf.DUMMYFUNCTION("""COMPUTED_VALUE"""),"HN737BX")</f>
        <v>HN737BX</v>
      </c>
      <c r="B12969" s="226" t="str">
        <f>IFERROR(__xludf.DUMMYFUNCTION("""COMPUTED_VALUE"""),"8717323053133")</f>
        <v>8717323053133</v>
      </c>
      <c r="C12969" t="str">
        <f>IFERROR(__xludf.DUMMYFUNCTION("""COMPUTED_VALUE"""),"ECS")</f>
        <v>ECS</v>
      </c>
    </row>
    <row r="12970">
      <c r="A12970" t="str">
        <f>IFERROR(__xludf.DUMMYFUNCTION("""COMPUTED_VALUE"""),"HN737DX")</f>
        <v>HN737DX</v>
      </c>
      <c r="B12970" s="226" t="str">
        <f>IFERROR(__xludf.DUMMYFUNCTION("""COMPUTED_VALUE"""),"8717323053140")</f>
        <v>8717323053140</v>
      </c>
      <c r="C12970" t="str">
        <f>IFERROR(__xludf.DUMMYFUNCTION("""COMPUTED_VALUE"""),"ECS")</f>
        <v>ECS</v>
      </c>
    </row>
    <row r="12971">
      <c r="A12971" t="str">
        <f>IFERROR(__xludf.DUMMYFUNCTION("""COMPUTED_VALUE"""),"HN867B1")</f>
        <v>HN867B1</v>
      </c>
      <c r="C12971" t="str">
        <f>IFERROR(__xludf.DUMMYFUNCTION("""COMPUTED_VALUE"""),"ECS")</f>
        <v>ECS</v>
      </c>
    </row>
    <row r="12972">
      <c r="A12972" t="str">
        <f>IFERROR(__xludf.DUMMYFUNCTION("""COMPUTED_VALUE"""),"HN867D1")</f>
        <v>HN867D1</v>
      </c>
      <c r="C12972" t="str">
        <f>IFERROR(__xludf.DUMMYFUNCTION("""COMPUTED_VALUE"""),"ECS")</f>
        <v>ECS</v>
      </c>
    </row>
    <row r="12973">
      <c r="A12973" t="str">
        <f>IFERROR(__xludf.DUMMYFUNCTION("""COMPUTED_VALUE"""),"HN737BX")</f>
        <v>HN737BX</v>
      </c>
      <c r="B12973" s="226" t="str">
        <f>IFERROR(__xludf.DUMMYFUNCTION("""COMPUTED_VALUE"""),"8717323053133")</f>
        <v>8717323053133</v>
      </c>
      <c r="C12973" t="str">
        <f>IFERROR(__xludf.DUMMYFUNCTION("""COMPUTED_VALUE"""),"ECS")</f>
        <v>ECS</v>
      </c>
    </row>
    <row r="12974">
      <c r="A12974" t="str">
        <f>IFERROR(__xludf.DUMMYFUNCTION("""COMPUTED_VALUE"""),"HN737DX")</f>
        <v>HN737DX</v>
      </c>
      <c r="B12974" s="226" t="str">
        <f>IFERROR(__xludf.DUMMYFUNCTION("""COMPUTED_VALUE"""),"8717323053140")</f>
        <v>8717323053140</v>
      </c>
      <c r="C12974" t="str">
        <f>IFERROR(__xludf.DUMMYFUNCTION("""COMPUTED_VALUE"""),"ECS")</f>
        <v>ECS</v>
      </c>
    </row>
    <row r="12975">
      <c r="A12975" t="str">
        <f>IFERROR(__xludf.DUMMYFUNCTION("""COMPUTED_VALUE"""),"HN867B1")</f>
        <v>HN867B1</v>
      </c>
      <c r="C12975" t="str">
        <f>IFERROR(__xludf.DUMMYFUNCTION("""COMPUTED_VALUE"""),"ECS")</f>
        <v>ECS</v>
      </c>
    </row>
    <row r="12976">
      <c r="A12976" t="str">
        <f>IFERROR(__xludf.DUMMYFUNCTION("""COMPUTED_VALUE"""),"HN867D1")</f>
        <v>HN867D1</v>
      </c>
      <c r="C12976" t="str">
        <f>IFERROR(__xludf.DUMMYFUNCTION("""COMPUTED_VALUE"""),"ECS")</f>
        <v>ECS</v>
      </c>
    </row>
    <row r="12977">
      <c r="A12977" t="str">
        <f>IFERROR(__xludf.DUMMYFUNCTION("""COMPUTED_VALUE"""),"HY041DL")</f>
        <v>HY041DL</v>
      </c>
      <c r="B12977" s="226" t="str">
        <f>IFERROR(__xludf.DUMMYFUNCTION("""COMPUTED_VALUE"""),"8717323013625")</f>
        <v>8717323013625</v>
      </c>
      <c r="C12977" t="str">
        <f>IFERROR(__xludf.DUMMYFUNCTION("""COMPUTED_VALUE"""),"ECS")</f>
        <v>ECS</v>
      </c>
    </row>
    <row r="12978">
      <c r="A12978" t="str">
        <f>IFERROR(__xludf.DUMMYFUNCTION("""COMPUTED_VALUE"""),"HY041DL")</f>
        <v>HY041DL</v>
      </c>
      <c r="B12978" s="226" t="str">
        <f>IFERROR(__xludf.DUMMYFUNCTION("""COMPUTED_VALUE"""),"8717323013625")</f>
        <v>8717323013625</v>
      </c>
      <c r="C12978" t="str">
        <f>IFERROR(__xludf.DUMMYFUNCTION("""COMPUTED_VALUE"""),"ECS")</f>
        <v>ECS</v>
      </c>
    </row>
    <row r="12979">
      <c r="A12979" t="str">
        <f>IFERROR(__xludf.DUMMYFUNCTION("""COMPUTED_VALUE"""),"HY034BB")</f>
        <v>HY034BB</v>
      </c>
      <c r="B12979" s="226" t="str">
        <f>IFERROR(__xludf.DUMMYFUNCTION("""COMPUTED_VALUE"""),"8717323009451")</f>
        <v>8717323009451</v>
      </c>
      <c r="C12979" t="str">
        <f>IFERROR(__xludf.DUMMYFUNCTION("""COMPUTED_VALUE"""),"ECS")</f>
        <v>ECS</v>
      </c>
    </row>
    <row r="12980">
      <c r="A12980" t="str">
        <f>IFERROR(__xludf.DUMMYFUNCTION("""COMPUTED_VALUE"""),"HY034BB")</f>
        <v>HY034BB</v>
      </c>
      <c r="B12980" s="226" t="str">
        <f>IFERROR(__xludf.DUMMYFUNCTION("""COMPUTED_VALUE"""),"8717323009451")</f>
        <v>8717323009451</v>
      </c>
      <c r="C12980" t="str">
        <f>IFERROR(__xludf.DUMMYFUNCTION("""COMPUTED_VALUE"""),"ECS")</f>
        <v>ECS</v>
      </c>
    </row>
    <row r="12981">
      <c r="A12981" t="str">
        <f>IFERROR(__xludf.DUMMYFUNCTION("""COMPUTED_VALUE"""),"HY032BB")</f>
        <v>HY032BB</v>
      </c>
      <c r="B12981" s="226" t="str">
        <f>IFERROR(__xludf.DUMMYFUNCTION("""COMPUTED_VALUE"""),"8717323002636")</f>
        <v>8717323002636</v>
      </c>
      <c r="C12981" t="str">
        <f>IFERROR(__xludf.DUMMYFUNCTION("""COMPUTED_VALUE"""),"ECS")</f>
        <v>ECS</v>
      </c>
    </row>
    <row r="12982">
      <c r="A12982" t="str">
        <f>IFERROR(__xludf.DUMMYFUNCTION("""COMPUTED_VALUE"""),"HY095BH")</f>
        <v>HY095BH</v>
      </c>
      <c r="B12982" s="226" t="str">
        <f>IFERROR(__xludf.DUMMYFUNCTION("""COMPUTED_VALUE"""),"8717323055700")</f>
        <v>8717323055700</v>
      </c>
      <c r="C12982" t="str">
        <f>IFERROR(__xludf.DUMMYFUNCTION("""COMPUTED_VALUE"""),"ECS")</f>
        <v>ECS</v>
      </c>
    </row>
    <row r="12983">
      <c r="A12983" t="str">
        <f>IFERROR(__xludf.DUMMYFUNCTION("""COMPUTED_VALUE"""),"HY095DH")</f>
        <v>HY095DH</v>
      </c>
      <c r="B12983" s="226" t="str">
        <f>IFERROR(__xludf.DUMMYFUNCTION("""COMPUTED_VALUE"""),"8717323055717")</f>
        <v>8717323055717</v>
      </c>
      <c r="C12983" t="str">
        <f>IFERROR(__xludf.DUMMYFUNCTION("""COMPUTED_VALUE"""),"ECS")</f>
        <v>ECS</v>
      </c>
    </row>
    <row r="12984">
      <c r="A12984" t="str">
        <f>IFERROR(__xludf.DUMMYFUNCTION("""COMPUTED_VALUE"""),"HY038DH")</f>
        <v>HY038DH</v>
      </c>
      <c r="B12984" s="226" t="str">
        <f>IFERROR(__xludf.DUMMYFUNCTION("""COMPUTED_VALUE"""),"8717323012376")</f>
        <v>8717323012376</v>
      </c>
      <c r="C12984" t="str">
        <f>IFERROR(__xludf.DUMMYFUNCTION("""COMPUTED_VALUE"""),"ECS")</f>
        <v>ECS</v>
      </c>
    </row>
    <row r="12985">
      <c r="A12985" t="str">
        <f>IFERROR(__xludf.DUMMYFUNCTION("""COMPUTED_VALUE"""),"HY024BB")</f>
        <v>HY024BB</v>
      </c>
      <c r="B12985" s="226" t="str">
        <f>IFERROR(__xludf.DUMMYFUNCTION("""COMPUTED_VALUE"""),"8717323002551")</f>
        <v>8717323002551</v>
      </c>
      <c r="C12985" t="str">
        <f>IFERROR(__xludf.DUMMYFUNCTION("""COMPUTED_VALUE"""),"ECS")</f>
        <v>ECS</v>
      </c>
    </row>
    <row r="12986">
      <c r="A12986" t="str">
        <f>IFERROR(__xludf.DUMMYFUNCTION("""COMPUTED_VALUE"""),"HY036BB")</f>
        <v>HY036BB</v>
      </c>
      <c r="B12986" s="226" t="str">
        <f>IFERROR(__xludf.DUMMYFUNCTION("""COMPUTED_VALUE"""),"8717323012826")</f>
        <v>8717323012826</v>
      </c>
      <c r="C12986" t="str">
        <f>IFERROR(__xludf.DUMMYFUNCTION("""COMPUTED_VALUE"""),"ECS")</f>
        <v>ECS</v>
      </c>
    </row>
    <row r="12987">
      <c r="A12987" t="str">
        <f>IFERROR(__xludf.DUMMYFUNCTION("""COMPUTED_VALUE"""),"HY036BL")</f>
        <v>HY036BL</v>
      </c>
      <c r="B12987" s="226" t="str">
        <f>IFERROR(__xludf.DUMMYFUNCTION("""COMPUTED_VALUE"""),"8717323012833")</f>
        <v>8717323012833</v>
      </c>
      <c r="C12987" t="str">
        <f>IFERROR(__xludf.DUMMYFUNCTION("""COMPUTED_VALUE"""),"ECS")</f>
        <v>ECS</v>
      </c>
    </row>
    <row r="12988">
      <c r="A12988" t="str">
        <f>IFERROR(__xludf.DUMMYFUNCTION("""COMPUTED_VALUE"""),"HY036DB")</f>
        <v>HY036DB</v>
      </c>
      <c r="B12988" s="226" t="str">
        <f>IFERROR(__xludf.DUMMYFUNCTION("""COMPUTED_VALUE"""),"8717323012840")</f>
        <v>8717323012840</v>
      </c>
      <c r="C12988" t="str">
        <f>IFERROR(__xludf.DUMMYFUNCTION("""COMPUTED_VALUE"""),"ECS")</f>
        <v>ECS</v>
      </c>
    </row>
    <row r="12989">
      <c r="A12989" t="str">
        <f>IFERROR(__xludf.DUMMYFUNCTION("""COMPUTED_VALUE"""),"HY036DL")</f>
        <v>HY036DL</v>
      </c>
      <c r="B12989" s="226" t="str">
        <f>IFERROR(__xludf.DUMMYFUNCTION("""COMPUTED_VALUE"""),"8717323012857")</f>
        <v>8717323012857</v>
      </c>
      <c r="C12989" t="str">
        <f>IFERROR(__xludf.DUMMYFUNCTION("""COMPUTED_VALUE"""),"ECS")</f>
        <v>ECS</v>
      </c>
    </row>
    <row r="12990">
      <c r="A12990" t="str">
        <f>IFERROR(__xludf.DUMMYFUNCTION("""COMPUTED_VALUE"""),"HY051BB")</f>
        <v>HY051BB</v>
      </c>
      <c r="B12990" s="226" t="str">
        <f>IFERROR(__xludf.DUMMYFUNCTION("""COMPUTED_VALUE"""),"8717323016220")</f>
        <v>8717323016220</v>
      </c>
      <c r="C12990" t="str">
        <f>IFERROR(__xludf.DUMMYFUNCTION("""COMPUTED_VALUE"""),"ECS")</f>
        <v>ECS</v>
      </c>
    </row>
    <row r="12991">
      <c r="A12991" t="str">
        <f>IFERROR(__xludf.DUMMYFUNCTION("""COMPUTED_VALUE"""),"HY051BH")</f>
        <v>HY051BH</v>
      </c>
      <c r="B12991" s="226" t="str">
        <f>IFERROR(__xludf.DUMMYFUNCTION("""COMPUTED_VALUE"""),"8717323016237")</f>
        <v>8717323016237</v>
      </c>
      <c r="C12991" t="str">
        <f>IFERROR(__xludf.DUMMYFUNCTION("""COMPUTED_VALUE"""),"ECS")</f>
        <v>ECS</v>
      </c>
    </row>
    <row r="12992">
      <c r="A12992" t="str">
        <f>IFERROR(__xludf.DUMMYFUNCTION("""COMPUTED_VALUE"""),"HY051DH")</f>
        <v>HY051DH</v>
      </c>
      <c r="B12992" s="226" t="str">
        <f>IFERROR(__xludf.DUMMYFUNCTION("""COMPUTED_VALUE"""),"8717323016244")</f>
        <v>8717323016244</v>
      </c>
      <c r="C12992" t="str">
        <f>IFERROR(__xludf.DUMMYFUNCTION("""COMPUTED_VALUE"""),"ECS")</f>
        <v>ECS</v>
      </c>
    </row>
    <row r="12993">
      <c r="A12993" t="str">
        <f>IFERROR(__xludf.DUMMYFUNCTION("""COMPUTED_VALUE"""),"HY024BB")</f>
        <v>HY024BB</v>
      </c>
      <c r="B12993" s="226" t="str">
        <f>IFERROR(__xludf.DUMMYFUNCTION("""COMPUTED_VALUE"""),"8717323002551")</f>
        <v>8717323002551</v>
      </c>
      <c r="C12993" t="str">
        <f>IFERROR(__xludf.DUMMYFUNCTION("""COMPUTED_VALUE"""),"ECS")</f>
        <v>ECS</v>
      </c>
    </row>
    <row r="12994">
      <c r="A12994" t="str">
        <f>IFERROR(__xludf.DUMMYFUNCTION("""COMPUTED_VALUE"""),"HY036BB")</f>
        <v>HY036BB</v>
      </c>
      <c r="B12994" s="226" t="str">
        <f>IFERROR(__xludf.DUMMYFUNCTION("""COMPUTED_VALUE"""),"8717323012826")</f>
        <v>8717323012826</v>
      </c>
      <c r="C12994" t="str">
        <f>IFERROR(__xludf.DUMMYFUNCTION("""COMPUTED_VALUE"""),"ECS")</f>
        <v>ECS</v>
      </c>
    </row>
    <row r="12995">
      <c r="A12995" t="str">
        <f>IFERROR(__xludf.DUMMYFUNCTION("""COMPUTED_VALUE"""),"HY036BL")</f>
        <v>HY036BL</v>
      </c>
      <c r="B12995" s="226" t="str">
        <f>IFERROR(__xludf.DUMMYFUNCTION("""COMPUTED_VALUE"""),"8717323012833")</f>
        <v>8717323012833</v>
      </c>
      <c r="C12995" t="str">
        <f>IFERROR(__xludf.DUMMYFUNCTION("""COMPUTED_VALUE"""),"ECS")</f>
        <v>ECS</v>
      </c>
    </row>
    <row r="12996">
      <c r="A12996" t="str">
        <f>IFERROR(__xludf.DUMMYFUNCTION("""COMPUTED_VALUE"""),"HY036DL")</f>
        <v>HY036DL</v>
      </c>
      <c r="B12996" s="226" t="str">
        <f>IFERROR(__xludf.DUMMYFUNCTION("""COMPUTED_VALUE"""),"8717323012857")</f>
        <v>8717323012857</v>
      </c>
      <c r="C12996" t="str">
        <f>IFERROR(__xludf.DUMMYFUNCTION("""COMPUTED_VALUE"""),"ECS")</f>
        <v>ECS</v>
      </c>
    </row>
    <row r="12997">
      <c r="A12997" t="str">
        <f>IFERROR(__xludf.DUMMYFUNCTION("""COMPUTED_VALUE"""),"HY036DB")</f>
        <v>HY036DB</v>
      </c>
      <c r="B12997" s="226" t="str">
        <f>IFERROR(__xludf.DUMMYFUNCTION("""COMPUTED_VALUE"""),"8717323012840")</f>
        <v>8717323012840</v>
      </c>
      <c r="C12997" t="str">
        <f>IFERROR(__xludf.DUMMYFUNCTION("""COMPUTED_VALUE"""),"ECS")</f>
        <v>ECS</v>
      </c>
    </row>
    <row r="12998">
      <c r="A12998" t="str">
        <f>IFERROR(__xludf.DUMMYFUNCTION("""COMPUTED_VALUE"""),"HY051BB")</f>
        <v>HY051BB</v>
      </c>
      <c r="B12998" s="226" t="str">
        <f>IFERROR(__xludf.DUMMYFUNCTION("""COMPUTED_VALUE"""),"8717323016220")</f>
        <v>8717323016220</v>
      </c>
      <c r="C12998" t="str">
        <f>IFERROR(__xludf.DUMMYFUNCTION("""COMPUTED_VALUE"""),"ECS")</f>
        <v>ECS</v>
      </c>
    </row>
    <row r="12999">
      <c r="A12999" t="str">
        <f>IFERROR(__xludf.DUMMYFUNCTION("""COMPUTED_VALUE"""),"HY051BH")</f>
        <v>HY051BH</v>
      </c>
      <c r="B12999" s="226" t="str">
        <f>IFERROR(__xludf.DUMMYFUNCTION("""COMPUTED_VALUE"""),"8717323016237")</f>
        <v>8717323016237</v>
      </c>
      <c r="C12999" t="str">
        <f>IFERROR(__xludf.DUMMYFUNCTION("""COMPUTED_VALUE"""),"ECS")</f>
        <v>ECS</v>
      </c>
    </row>
    <row r="13000">
      <c r="A13000" t="str">
        <f>IFERROR(__xludf.DUMMYFUNCTION("""COMPUTED_VALUE"""),"HY051DH")</f>
        <v>HY051DH</v>
      </c>
      <c r="B13000" s="226" t="str">
        <f>IFERROR(__xludf.DUMMYFUNCTION("""COMPUTED_VALUE"""),"8717323016244")</f>
        <v>8717323016244</v>
      </c>
      <c r="C13000" t="str">
        <f>IFERROR(__xludf.DUMMYFUNCTION("""COMPUTED_VALUE"""),"ECS")</f>
        <v>ECS</v>
      </c>
    </row>
    <row r="13001">
      <c r="A13001" t="str">
        <f>IFERROR(__xludf.DUMMYFUNCTION("""COMPUTED_VALUE"""),"HY051BB")</f>
        <v>HY051BB</v>
      </c>
      <c r="B13001" s="226" t="str">
        <f>IFERROR(__xludf.DUMMYFUNCTION("""COMPUTED_VALUE"""),"8717323016220")</f>
        <v>8717323016220</v>
      </c>
      <c r="C13001" t="str">
        <f>IFERROR(__xludf.DUMMYFUNCTION("""COMPUTED_VALUE"""),"ECS")</f>
        <v>ECS</v>
      </c>
    </row>
    <row r="13002">
      <c r="A13002" t="str">
        <f>IFERROR(__xludf.DUMMYFUNCTION("""COMPUTED_VALUE"""),"HY051BH")</f>
        <v>HY051BH</v>
      </c>
      <c r="B13002" s="226" t="str">
        <f>IFERROR(__xludf.DUMMYFUNCTION("""COMPUTED_VALUE"""),"8717323016237")</f>
        <v>8717323016237</v>
      </c>
      <c r="C13002" t="str">
        <f>IFERROR(__xludf.DUMMYFUNCTION("""COMPUTED_VALUE"""),"ECS")</f>
        <v>ECS</v>
      </c>
    </row>
    <row r="13003">
      <c r="A13003" t="str">
        <f>IFERROR(__xludf.DUMMYFUNCTION("""COMPUTED_VALUE"""),"HY051DH")</f>
        <v>HY051DH</v>
      </c>
      <c r="B13003" s="226" t="str">
        <f>IFERROR(__xludf.DUMMYFUNCTION("""COMPUTED_VALUE"""),"8717323016244")</f>
        <v>8717323016244</v>
      </c>
      <c r="C13003" t="str">
        <f>IFERROR(__xludf.DUMMYFUNCTION("""COMPUTED_VALUE"""),"ECS")</f>
        <v>ECS</v>
      </c>
    </row>
    <row r="13004">
      <c r="A13004" t="str">
        <f>IFERROR(__xludf.DUMMYFUNCTION("""COMPUTED_VALUE"""),"HY051BB")</f>
        <v>HY051BB</v>
      </c>
      <c r="B13004" s="226" t="str">
        <f>IFERROR(__xludf.DUMMYFUNCTION("""COMPUTED_VALUE"""),"8717323016220")</f>
        <v>8717323016220</v>
      </c>
      <c r="C13004" t="str">
        <f>IFERROR(__xludf.DUMMYFUNCTION("""COMPUTED_VALUE"""),"ECS")</f>
        <v>ECS</v>
      </c>
    </row>
    <row r="13005">
      <c r="A13005" t="str">
        <f>IFERROR(__xludf.DUMMYFUNCTION("""COMPUTED_VALUE"""),"HY051BH")</f>
        <v>HY051BH</v>
      </c>
      <c r="B13005" s="226" t="str">
        <f>IFERROR(__xludf.DUMMYFUNCTION("""COMPUTED_VALUE"""),"8717323016237")</f>
        <v>8717323016237</v>
      </c>
      <c r="C13005" t="str">
        <f>IFERROR(__xludf.DUMMYFUNCTION("""COMPUTED_VALUE"""),"ECS")</f>
        <v>ECS</v>
      </c>
    </row>
    <row r="13006">
      <c r="A13006" t="str">
        <f>IFERROR(__xludf.DUMMYFUNCTION("""COMPUTED_VALUE"""),"HY051DH")</f>
        <v>HY051DH</v>
      </c>
      <c r="B13006" s="226" t="str">
        <f>IFERROR(__xludf.DUMMYFUNCTION("""COMPUTED_VALUE"""),"8717323016244")</f>
        <v>8717323016244</v>
      </c>
      <c r="C13006" t="str">
        <f>IFERROR(__xludf.DUMMYFUNCTION("""COMPUTED_VALUE"""),"ECS")</f>
        <v>ECS</v>
      </c>
    </row>
    <row r="13007">
      <c r="A13007" t="str">
        <f>IFERROR(__xludf.DUMMYFUNCTION("""COMPUTED_VALUE"""),"HY076BH")</f>
        <v>HY076BH</v>
      </c>
      <c r="B13007" s="226" t="str">
        <f>IFERROR(__xludf.DUMMYFUNCTION("""COMPUTED_VALUE"""),"8717323059630")</f>
        <v>8717323059630</v>
      </c>
      <c r="C13007" t="str">
        <f>IFERROR(__xludf.DUMMYFUNCTION("""COMPUTED_VALUE"""),"ECS")</f>
        <v>ECS</v>
      </c>
    </row>
    <row r="13008">
      <c r="A13008" t="str">
        <f>IFERROR(__xludf.DUMMYFUNCTION("""COMPUTED_VALUE"""),"HY076DH")</f>
        <v>HY076DH</v>
      </c>
      <c r="B13008" s="226" t="str">
        <f>IFERROR(__xludf.DUMMYFUNCTION("""COMPUTED_VALUE"""),"8717323059647")</f>
        <v>8717323059647</v>
      </c>
      <c r="C13008" t="str">
        <f>IFERROR(__xludf.DUMMYFUNCTION("""COMPUTED_VALUE"""),"ECS")</f>
        <v>ECS</v>
      </c>
    </row>
    <row r="13009">
      <c r="A13009" t="str">
        <f>IFERROR(__xludf.DUMMYFUNCTION("""COMPUTED_VALUE"""),"HY076BH")</f>
        <v>HY076BH</v>
      </c>
      <c r="B13009" s="226" t="str">
        <f>IFERROR(__xludf.DUMMYFUNCTION("""COMPUTED_VALUE"""),"8717323059630")</f>
        <v>8717323059630</v>
      </c>
      <c r="C13009" t="str">
        <f>IFERROR(__xludf.DUMMYFUNCTION("""COMPUTED_VALUE"""),"ECS")</f>
        <v>ECS</v>
      </c>
    </row>
    <row r="13010">
      <c r="A13010" t="str">
        <f>IFERROR(__xludf.DUMMYFUNCTION("""COMPUTED_VALUE"""),"HY076DH")</f>
        <v>HY076DH</v>
      </c>
      <c r="B13010" s="226" t="str">
        <f>IFERROR(__xludf.DUMMYFUNCTION("""COMPUTED_VALUE"""),"8717323059647")</f>
        <v>8717323059647</v>
      </c>
      <c r="C13010" t="str">
        <f>IFERROR(__xludf.DUMMYFUNCTION("""COMPUTED_VALUE"""),"ECS")</f>
        <v>ECS</v>
      </c>
    </row>
    <row r="13011">
      <c r="A13011" t="str">
        <f>IFERROR(__xludf.DUMMYFUNCTION("""COMPUTED_VALUE"""),"HY049BB")</f>
        <v>HY049BB</v>
      </c>
      <c r="B13011" s="226" t="str">
        <f>IFERROR(__xludf.DUMMYFUNCTION("""COMPUTED_VALUE"""),"8717323019467")</f>
        <v>8717323019467</v>
      </c>
      <c r="C13011" t="str">
        <f>IFERROR(__xludf.DUMMYFUNCTION("""COMPUTED_VALUE"""),"ECS")</f>
        <v>ECS</v>
      </c>
    </row>
    <row r="13012">
      <c r="A13012" t="str">
        <f>IFERROR(__xludf.DUMMYFUNCTION("""COMPUTED_VALUE"""),"HY049DH")</f>
        <v>HY049DH</v>
      </c>
      <c r="B13012" s="226" t="str">
        <f>IFERROR(__xludf.DUMMYFUNCTION("""COMPUTED_VALUE"""),"8717323019474")</f>
        <v>8717323019474</v>
      </c>
      <c r="C13012" t="str">
        <f>IFERROR(__xludf.DUMMYFUNCTION("""COMPUTED_VALUE"""),"ECS")</f>
        <v>ECS</v>
      </c>
    </row>
    <row r="13013">
      <c r="A13013" t="str">
        <f>IFERROR(__xludf.DUMMYFUNCTION("""COMPUTED_VALUE"""),"HY052BB")</f>
        <v>HY052BB</v>
      </c>
      <c r="B13013" s="226" t="str">
        <f>IFERROR(__xludf.DUMMYFUNCTION("""COMPUTED_VALUE"""),"8717323016916")</f>
        <v>8717323016916</v>
      </c>
      <c r="C13013" t="str">
        <f>IFERROR(__xludf.DUMMYFUNCTION("""COMPUTED_VALUE"""),"ECS")</f>
        <v>ECS</v>
      </c>
    </row>
    <row r="13014">
      <c r="A13014" t="str">
        <f>IFERROR(__xludf.DUMMYFUNCTION("""COMPUTED_VALUE"""),"HY073BL")</f>
        <v>HY073BL</v>
      </c>
      <c r="B13014" s="226" t="str">
        <f>IFERROR(__xludf.DUMMYFUNCTION("""COMPUTED_VALUE"""),"8717323028452")</f>
        <v>8717323028452</v>
      </c>
      <c r="C13014" t="str">
        <f>IFERROR(__xludf.DUMMYFUNCTION("""COMPUTED_VALUE"""),"ECS")</f>
        <v>ECS</v>
      </c>
    </row>
    <row r="13015">
      <c r="A13015" t="str">
        <f>IFERROR(__xludf.DUMMYFUNCTION("""COMPUTED_VALUE"""),"HY073DL")</f>
        <v>HY073DL</v>
      </c>
      <c r="B13015" s="226" t="str">
        <f>IFERROR(__xludf.DUMMYFUNCTION("""COMPUTED_VALUE"""),"8717323033890")</f>
        <v>8717323033890</v>
      </c>
      <c r="C13015" t="str">
        <f>IFERROR(__xludf.DUMMYFUNCTION("""COMPUTED_VALUE"""),"ECS")</f>
        <v>ECS</v>
      </c>
    </row>
    <row r="13016">
      <c r="A13016" t="str">
        <f>IFERROR(__xludf.DUMMYFUNCTION("""COMPUTED_VALUE"""),"HY084BH")</f>
        <v>HY084BH</v>
      </c>
      <c r="B13016" s="226" t="str">
        <f>IFERROR(__xludf.DUMMYFUNCTION("""COMPUTED_VALUE"""),"8717323051320")</f>
        <v>8717323051320</v>
      </c>
      <c r="C13016" t="str">
        <f>IFERROR(__xludf.DUMMYFUNCTION("""COMPUTED_VALUE"""),"ECS")</f>
        <v>ECS</v>
      </c>
    </row>
    <row r="13017">
      <c r="A13017" t="str">
        <f>IFERROR(__xludf.DUMMYFUNCTION("""COMPUTED_VALUE"""),"HY084DH")</f>
        <v>HY084DH</v>
      </c>
      <c r="B13017" s="226" t="str">
        <f>IFERROR(__xludf.DUMMYFUNCTION("""COMPUTED_VALUE"""),"8717323051337")</f>
        <v>8717323051337</v>
      </c>
      <c r="C13017" t="str">
        <f>IFERROR(__xludf.DUMMYFUNCTION("""COMPUTED_VALUE"""),"ECS")</f>
        <v>ECS</v>
      </c>
    </row>
    <row r="13018">
      <c r="A13018" t="str">
        <f>IFERROR(__xludf.DUMMYFUNCTION("""COMPUTED_VALUE"""),"HY052BB")</f>
        <v>HY052BB</v>
      </c>
      <c r="B13018" s="226" t="str">
        <f>IFERROR(__xludf.DUMMYFUNCTION("""COMPUTED_VALUE"""),"8717323016916")</f>
        <v>8717323016916</v>
      </c>
      <c r="C13018" t="str">
        <f>IFERROR(__xludf.DUMMYFUNCTION("""COMPUTED_VALUE"""),"ECS")</f>
        <v>ECS</v>
      </c>
    </row>
    <row r="13019">
      <c r="A13019" t="str">
        <f>IFERROR(__xludf.DUMMYFUNCTION("""COMPUTED_VALUE"""),"HY073BL")</f>
        <v>HY073BL</v>
      </c>
      <c r="B13019" s="226" t="str">
        <f>IFERROR(__xludf.DUMMYFUNCTION("""COMPUTED_VALUE"""),"8717323028452")</f>
        <v>8717323028452</v>
      </c>
      <c r="C13019" t="str">
        <f>IFERROR(__xludf.DUMMYFUNCTION("""COMPUTED_VALUE"""),"ECS")</f>
        <v>ECS</v>
      </c>
    </row>
    <row r="13020">
      <c r="A13020" t="str">
        <f>IFERROR(__xludf.DUMMYFUNCTION("""COMPUTED_VALUE"""),"HY073DL")</f>
        <v>HY073DL</v>
      </c>
      <c r="B13020" s="226" t="str">
        <f>IFERROR(__xludf.DUMMYFUNCTION("""COMPUTED_VALUE"""),"8717323033890")</f>
        <v>8717323033890</v>
      </c>
      <c r="C13020" t="str">
        <f>IFERROR(__xludf.DUMMYFUNCTION("""COMPUTED_VALUE"""),"ECS")</f>
        <v>ECS</v>
      </c>
    </row>
    <row r="13021">
      <c r="A13021" t="str">
        <f>IFERROR(__xludf.DUMMYFUNCTION("""COMPUTED_VALUE"""),"HY084BH")</f>
        <v>HY084BH</v>
      </c>
      <c r="B13021" s="226" t="str">
        <f>IFERROR(__xludf.DUMMYFUNCTION("""COMPUTED_VALUE"""),"8717323051320")</f>
        <v>8717323051320</v>
      </c>
      <c r="C13021" t="str">
        <f>IFERROR(__xludf.DUMMYFUNCTION("""COMPUTED_VALUE"""),"ECS")</f>
        <v>ECS</v>
      </c>
    </row>
    <row r="13022">
      <c r="A13022" t="str">
        <f>IFERROR(__xludf.DUMMYFUNCTION("""COMPUTED_VALUE"""),"HY084DH")</f>
        <v>HY084DH</v>
      </c>
      <c r="B13022" s="226" t="str">
        <f>IFERROR(__xludf.DUMMYFUNCTION("""COMPUTED_VALUE"""),"8717323051337")</f>
        <v>8717323051337</v>
      </c>
      <c r="C13022" t="str">
        <f>IFERROR(__xludf.DUMMYFUNCTION("""COMPUTED_VALUE"""),"ECS")</f>
        <v>ECS</v>
      </c>
    </row>
    <row r="13023">
      <c r="A13023" t="str">
        <f>IFERROR(__xludf.DUMMYFUNCTION("""COMPUTED_VALUE"""),"HY084BH")</f>
        <v>HY084BH</v>
      </c>
      <c r="B13023" s="226" t="str">
        <f>IFERROR(__xludf.DUMMYFUNCTION("""COMPUTED_VALUE"""),"8717323051320")</f>
        <v>8717323051320</v>
      </c>
      <c r="C13023" t="str">
        <f>IFERROR(__xludf.DUMMYFUNCTION("""COMPUTED_VALUE"""),"ECS")</f>
        <v>ECS</v>
      </c>
    </row>
    <row r="13024">
      <c r="A13024" t="str">
        <f>IFERROR(__xludf.DUMMYFUNCTION("""COMPUTED_VALUE"""),"HY084DH")</f>
        <v>HY084DH</v>
      </c>
      <c r="B13024" s="226" t="str">
        <f>IFERROR(__xludf.DUMMYFUNCTION("""COMPUTED_VALUE"""),"8717323051337")</f>
        <v>8717323051337</v>
      </c>
      <c r="C13024" t="str">
        <f>IFERROR(__xludf.DUMMYFUNCTION("""COMPUTED_VALUE"""),"ECS")</f>
        <v>ECS</v>
      </c>
    </row>
    <row r="13025">
      <c r="A13025" t="str">
        <f>IFERROR(__xludf.DUMMYFUNCTION("""COMPUTED_VALUE"""),"HY070BH")</f>
        <v>HY070BH</v>
      </c>
      <c r="B13025" s="226" t="str">
        <f>IFERROR(__xludf.DUMMYFUNCTION("""COMPUTED_VALUE"""),"8717323026700")</f>
        <v>8717323026700</v>
      </c>
      <c r="C13025" t="str">
        <f>IFERROR(__xludf.DUMMYFUNCTION("""COMPUTED_VALUE"""),"ECS")</f>
        <v>ECS</v>
      </c>
    </row>
    <row r="13026">
      <c r="A13026" t="str">
        <f>IFERROR(__xludf.DUMMYFUNCTION("""COMPUTED_VALUE"""),"HY070DH")</f>
        <v>HY070DH</v>
      </c>
      <c r="B13026" s="226" t="str">
        <f>IFERROR(__xludf.DUMMYFUNCTION("""COMPUTED_VALUE"""),"8717323026717")</f>
        <v>8717323026717</v>
      </c>
      <c r="C13026" t="str">
        <f>IFERROR(__xludf.DUMMYFUNCTION("""COMPUTED_VALUE"""),"ECS")</f>
        <v>ECS</v>
      </c>
    </row>
    <row r="13027">
      <c r="A13027" t="str">
        <f>IFERROR(__xludf.DUMMYFUNCTION("""COMPUTED_VALUE"""),"HY046BB")</f>
        <v>HY046BB</v>
      </c>
      <c r="B13027" s="226" t="str">
        <f>IFERROR(__xludf.DUMMYFUNCTION("""COMPUTED_VALUE"""),"8717323015223")</f>
        <v>8717323015223</v>
      </c>
      <c r="C13027" t="str">
        <f>IFERROR(__xludf.DUMMYFUNCTION("""COMPUTED_VALUE"""),"ECS")</f>
        <v>ECS</v>
      </c>
    </row>
    <row r="13028">
      <c r="A13028" t="str">
        <f>IFERROR(__xludf.DUMMYFUNCTION("""COMPUTED_VALUE"""),"HY046BL")</f>
        <v>HY046BL</v>
      </c>
      <c r="B13028" s="226" t="str">
        <f>IFERROR(__xludf.DUMMYFUNCTION("""COMPUTED_VALUE"""),"8717323015230")</f>
        <v>8717323015230</v>
      </c>
      <c r="C13028" t="str">
        <f>IFERROR(__xludf.DUMMYFUNCTION("""COMPUTED_VALUE"""),"ECS")</f>
        <v>ECS</v>
      </c>
    </row>
    <row r="13029">
      <c r="A13029" t="str">
        <f>IFERROR(__xludf.DUMMYFUNCTION("""COMPUTED_VALUE"""),"HY046DG")</f>
        <v>HY046DG</v>
      </c>
      <c r="B13029" s="226" t="str">
        <f>IFERROR(__xludf.DUMMYFUNCTION("""COMPUTED_VALUE"""),"8717323015247")</f>
        <v>8717323015247</v>
      </c>
      <c r="C13029" t="str">
        <f>IFERROR(__xludf.DUMMYFUNCTION("""COMPUTED_VALUE"""),"ECS")</f>
        <v>ECS</v>
      </c>
    </row>
    <row r="13030">
      <c r="A13030" t="str">
        <f>IFERROR(__xludf.DUMMYFUNCTION("""COMPUTED_VALUE"""),"HY046DH")</f>
        <v>HY046DH</v>
      </c>
      <c r="B13030" s="226" t="str">
        <f>IFERROR(__xludf.DUMMYFUNCTION("""COMPUTED_VALUE"""),"8717323015254")</f>
        <v>8717323015254</v>
      </c>
      <c r="C13030" t="str">
        <f>IFERROR(__xludf.DUMMYFUNCTION("""COMPUTED_VALUE"""),"ECS")</f>
        <v>ECS</v>
      </c>
    </row>
    <row r="13031">
      <c r="A13031" t="str">
        <f>IFERROR(__xludf.DUMMYFUNCTION("""COMPUTED_VALUE"""),"HY070BH")</f>
        <v>HY070BH</v>
      </c>
      <c r="B13031" s="226" t="str">
        <f>IFERROR(__xludf.DUMMYFUNCTION("""COMPUTED_VALUE"""),"8717323026700")</f>
        <v>8717323026700</v>
      </c>
      <c r="C13031" t="str">
        <f>IFERROR(__xludf.DUMMYFUNCTION("""COMPUTED_VALUE"""),"ECS")</f>
        <v>ECS</v>
      </c>
    </row>
    <row r="13032">
      <c r="A13032" t="str">
        <f>IFERROR(__xludf.DUMMYFUNCTION("""COMPUTED_VALUE"""),"HY070DH")</f>
        <v>HY070DH</v>
      </c>
      <c r="B13032" s="226" t="str">
        <f>IFERROR(__xludf.DUMMYFUNCTION("""COMPUTED_VALUE"""),"8717323026717")</f>
        <v>8717323026717</v>
      </c>
      <c r="C13032" t="str">
        <f>IFERROR(__xludf.DUMMYFUNCTION("""COMPUTED_VALUE"""),"ECS")</f>
        <v>ECS</v>
      </c>
    </row>
    <row r="13033">
      <c r="A13033" t="str">
        <f>IFERROR(__xludf.DUMMYFUNCTION("""COMPUTED_VALUE"""),"HY092BL")</f>
        <v>HY092BL</v>
      </c>
      <c r="B13033" s="226" t="str">
        <f>IFERROR(__xludf.DUMMYFUNCTION("""COMPUTED_VALUE"""),"8717323061213")</f>
        <v>8717323061213</v>
      </c>
      <c r="C13033" t="str">
        <f>IFERROR(__xludf.DUMMYFUNCTION("""COMPUTED_VALUE"""),"ECS")</f>
        <v>ECS</v>
      </c>
    </row>
    <row r="13034">
      <c r="A13034" t="str">
        <f>IFERROR(__xludf.DUMMYFUNCTION("""COMPUTED_VALUE"""),"HY092DL")</f>
        <v>HY092DL</v>
      </c>
      <c r="B13034" s="226" t="str">
        <f>IFERROR(__xludf.DUMMYFUNCTION("""COMPUTED_VALUE"""),"8717323061220")</f>
        <v>8717323061220</v>
      </c>
      <c r="C13034" t="str">
        <f>IFERROR(__xludf.DUMMYFUNCTION("""COMPUTED_VALUE"""),"ECS")</f>
        <v>ECS</v>
      </c>
    </row>
    <row r="13035">
      <c r="A13035" t="str">
        <f>IFERROR(__xludf.DUMMYFUNCTION("""COMPUTED_VALUE"""),"HY139B1")</f>
        <v>HY139B1</v>
      </c>
      <c r="B13035" s="226" t="str">
        <f>IFERROR(__xludf.DUMMYFUNCTION("""COMPUTED_VALUE"""),"8717323069851")</f>
        <v>8717323069851</v>
      </c>
      <c r="C13035" t="str">
        <f>IFERROR(__xludf.DUMMYFUNCTION("""COMPUTED_VALUE"""),"ECS")</f>
        <v>ECS</v>
      </c>
    </row>
    <row r="13036">
      <c r="A13036" t="str">
        <f>IFERROR(__xludf.DUMMYFUNCTION("""COMPUTED_VALUE"""),"HY139D1")</f>
        <v>HY139D1</v>
      </c>
      <c r="B13036" s="226" t="str">
        <f>IFERROR(__xludf.DUMMYFUNCTION("""COMPUTED_VALUE"""),"8717323069868")</f>
        <v>8717323069868</v>
      </c>
      <c r="C13036" t="str">
        <f>IFERROR(__xludf.DUMMYFUNCTION("""COMPUTED_VALUE"""),"ECS")</f>
        <v>ECS</v>
      </c>
    </row>
    <row r="13037">
      <c r="A13037" t="str">
        <f>IFERROR(__xludf.DUMMYFUNCTION("""COMPUTED_VALUE"""),"HY092BL")</f>
        <v>HY092BL</v>
      </c>
      <c r="B13037" s="226" t="str">
        <f>IFERROR(__xludf.DUMMYFUNCTION("""COMPUTED_VALUE"""),"8717323061213")</f>
        <v>8717323061213</v>
      </c>
      <c r="C13037" t="str">
        <f>IFERROR(__xludf.DUMMYFUNCTION("""COMPUTED_VALUE"""),"ECS")</f>
        <v>ECS</v>
      </c>
    </row>
    <row r="13038">
      <c r="A13038" t="str">
        <f>IFERROR(__xludf.DUMMYFUNCTION("""COMPUTED_VALUE"""),"HY092DL")</f>
        <v>HY092DL</v>
      </c>
      <c r="B13038" s="226" t="str">
        <f>IFERROR(__xludf.DUMMYFUNCTION("""COMPUTED_VALUE"""),"8717323061220")</f>
        <v>8717323061220</v>
      </c>
      <c r="C13038" t="str">
        <f>IFERROR(__xludf.DUMMYFUNCTION("""COMPUTED_VALUE"""),"ECS")</f>
        <v>ECS</v>
      </c>
    </row>
    <row r="13039">
      <c r="A13039" t="str">
        <f>IFERROR(__xludf.DUMMYFUNCTION("""COMPUTED_VALUE"""),"HY139B1")</f>
        <v>HY139B1</v>
      </c>
      <c r="B13039" s="226" t="str">
        <f>IFERROR(__xludf.DUMMYFUNCTION("""COMPUTED_VALUE"""),"8717323069851")</f>
        <v>8717323069851</v>
      </c>
      <c r="C13039" t="str">
        <f>IFERROR(__xludf.DUMMYFUNCTION("""COMPUTED_VALUE"""),"ECS")</f>
        <v>ECS</v>
      </c>
    </row>
    <row r="13040">
      <c r="A13040" t="str">
        <f>IFERROR(__xludf.DUMMYFUNCTION("""COMPUTED_VALUE"""),"HY139D1")</f>
        <v>HY139D1</v>
      </c>
      <c r="B13040" s="226" t="str">
        <f>IFERROR(__xludf.DUMMYFUNCTION("""COMPUTED_VALUE"""),"8717323069868")</f>
        <v>8717323069868</v>
      </c>
      <c r="C13040" t="str">
        <f>IFERROR(__xludf.DUMMYFUNCTION("""COMPUTED_VALUE"""),"ECS")</f>
        <v>ECS</v>
      </c>
    </row>
    <row r="13041">
      <c r="A13041" t="str">
        <f>IFERROR(__xludf.DUMMYFUNCTION("""COMPUTED_VALUE"""),"HY050BB")</f>
        <v>HY050BB</v>
      </c>
      <c r="B13041" s="226" t="str">
        <f>IFERROR(__xludf.DUMMYFUNCTION("""COMPUTED_VALUE"""),"8717323015780")</f>
        <v>8717323015780</v>
      </c>
      <c r="C13041" t="str">
        <f>IFERROR(__xludf.DUMMYFUNCTION("""COMPUTED_VALUE"""),"ECS")</f>
        <v>ECS</v>
      </c>
    </row>
    <row r="13042">
      <c r="A13042" t="str">
        <f>IFERROR(__xludf.DUMMYFUNCTION("""COMPUTED_VALUE"""),"HY050BG")</f>
        <v>HY050BG</v>
      </c>
      <c r="B13042" s="226" t="str">
        <f>IFERROR(__xludf.DUMMYFUNCTION("""COMPUTED_VALUE"""),"8717323015957")</f>
        <v>8717323015957</v>
      </c>
      <c r="C13042" t="str">
        <f>IFERROR(__xludf.DUMMYFUNCTION("""COMPUTED_VALUE"""),"ECS")</f>
        <v>ECS</v>
      </c>
    </row>
    <row r="13043">
      <c r="A13043" t="str">
        <f>IFERROR(__xludf.DUMMYFUNCTION("""COMPUTED_VALUE"""),"HY050BH")</f>
        <v>HY050BH</v>
      </c>
      <c r="B13043" s="226" t="str">
        <f>IFERROR(__xludf.DUMMYFUNCTION("""COMPUTED_VALUE"""),"8717323015797")</f>
        <v>8717323015797</v>
      </c>
      <c r="C13043" t="str">
        <f>IFERROR(__xludf.DUMMYFUNCTION("""COMPUTED_VALUE"""),"ECS")</f>
        <v>ECS</v>
      </c>
    </row>
    <row r="13044">
      <c r="A13044" t="str">
        <f>IFERROR(__xludf.DUMMYFUNCTION("""COMPUTED_VALUE"""),"HY050DH")</f>
        <v>HY050DH</v>
      </c>
      <c r="B13044" s="226" t="str">
        <f>IFERROR(__xludf.DUMMYFUNCTION("""COMPUTED_VALUE"""),"8717323015803")</f>
        <v>8717323015803</v>
      </c>
      <c r="C13044" t="str">
        <f>IFERROR(__xludf.DUMMYFUNCTION("""COMPUTED_VALUE"""),"ECS")</f>
        <v>ECS</v>
      </c>
    </row>
    <row r="13045">
      <c r="A13045" t="str">
        <f>IFERROR(__xludf.DUMMYFUNCTION("""COMPUTED_VALUE"""),"HY070BH")</f>
        <v>HY070BH</v>
      </c>
      <c r="B13045" s="226" t="str">
        <f>IFERROR(__xludf.DUMMYFUNCTION("""COMPUTED_VALUE"""),"8717323026700")</f>
        <v>8717323026700</v>
      </c>
      <c r="C13045" t="str">
        <f>IFERROR(__xludf.DUMMYFUNCTION("""COMPUTED_VALUE"""),"ECS")</f>
        <v>ECS</v>
      </c>
    </row>
    <row r="13046">
      <c r="A13046" t="str">
        <f>IFERROR(__xludf.DUMMYFUNCTION("""COMPUTED_VALUE"""),"HY070DH")</f>
        <v>HY070DH</v>
      </c>
      <c r="B13046" s="226" t="str">
        <f>IFERROR(__xludf.DUMMYFUNCTION("""COMPUTED_VALUE"""),"8717323026717")</f>
        <v>8717323026717</v>
      </c>
      <c r="C13046" t="str">
        <f>IFERROR(__xludf.DUMMYFUNCTION("""COMPUTED_VALUE"""),"ECS")</f>
        <v>ECS</v>
      </c>
    </row>
    <row r="13047">
      <c r="A13047" t="str">
        <f>IFERROR(__xludf.DUMMYFUNCTION("""COMPUTED_VALUE"""),"HY092BL")</f>
        <v>HY092BL</v>
      </c>
      <c r="B13047" s="226" t="str">
        <f>IFERROR(__xludf.DUMMYFUNCTION("""COMPUTED_VALUE"""),"8717323061213")</f>
        <v>8717323061213</v>
      </c>
      <c r="C13047" t="str">
        <f>IFERROR(__xludf.DUMMYFUNCTION("""COMPUTED_VALUE"""),"ECS")</f>
        <v>ECS</v>
      </c>
    </row>
    <row r="13048">
      <c r="A13048" t="str">
        <f>IFERROR(__xludf.DUMMYFUNCTION("""COMPUTED_VALUE"""),"HY092DL")</f>
        <v>HY092DL</v>
      </c>
      <c r="B13048" s="226" t="str">
        <f>IFERROR(__xludf.DUMMYFUNCTION("""COMPUTED_VALUE"""),"8717323061220")</f>
        <v>8717323061220</v>
      </c>
      <c r="C13048" t="str">
        <f>IFERROR(__xludf.DUMMYFUNCTION("""COMPUTED_VALUE"""),"ECS")</f>
        <v>ECS</v>
      </c>
    </row>
    <row r="13049">
      <c r="A13049" t="str">
        <f>IFERROR(__xludf.DUMMYFUNCTION("""COMPUTED_VALUE"""),"HY139B1")</f>
        <v>HY139B1</v>
      </c>
      <c r="B13049" s="226" t="str">
        <f>IFERROR(__xludf.DUMMYFUNCTION("""COMPUTED_VALUE"""),"8717323069851")</f>
        <v>8717323069851</v>
      </c>
      <c r="C13049" t="str">
        <f>IFERROR(__xludf.DUMMYFUNCTION("""COMPUTED_VALUE"""),"ECS")</f>
        <v>ECS</v>
      </c>
    </row>
    <row r="13050">
      <c r="A13050" t="str">
        <f>IFERROR(__xludf.DUMMYFUNCTION("""COMPUTED_VALUE"""),"HY139D1")</f>
        <v>HY139D1</v>
      </c>
      <c r="B13050" s="226" t="str">
        <f>IFERROR(__xludf.DUMMYFUNCTION("""COMPUTED_VALUE"""),"8717323069868")</f>
        <v>8717323069868</v>
      </c>
      <c r="C13050" t="str">
        <f>IFERROR(__xludf.DUMMYFUNCTION("""COMPUTED_VALUE"""),"ECS")</f>
        <v>ECS</v>
      </c>
    </row>
    <row r="13051">
      <c r="A13051" t="str">
        <f>IFERROR(__xludf.DUMMYFUNCTION("""COMPUTED_VALUE"""),"HY062BH")</f>
        <v>HY062BH</v>
      </c>
      <c r="B13051" s="226" t="str">
        <f>IFERROR(__xludf.DUMMYFUNCTION("""COMPUTED_VALUE"""),"8717323026212")</f>
        <v>8717323026212</v>
      </c>
      <c r="C13051" t="str">
        <f>IFERROR(__xludf.DUMMYFUNCTION("""COMPUTED_VALUE"""),"ECS")</f>
        <v>ECS</v>
      </c>
    </row>
    <row r="13052">
      <c r="A13052" t="str">
        <f>IFERROR(__xludf.DUMMYFUNCTION("""COMPUTED_VALUE"""),"HY062DH")</f>
        <v>HY062DH</v>
      </c>
      <c r="B13052" s="226" t="str">
        <f>IFERROR(__xludf.DUMMYFUNCTION("""COMPUTED_VALUE"""),"8717323033876")</f>
        <v>8717323033876</v>
      </c>
      <c r="C13052" t="str">
        <f>IFERROR(__xludf.DUMMYFUNCTION("""COMPUTED_VALUE"""),"ECS")</f>
        <v>ECS</v>
      </c>
    </row>
    <row r="13053">
      <c r="A13053" t="str">
        <f>IFERROR(__xludf.DUMMYFUNCTION("""COMPUTED_VALUE"""),"HY062BH")</f>
        <v>HY062BH</v>
      </c>
      <c r="B13053" s="226" t="str">
        <f>IFERROR(__xludf.DUMMYFUNCTION("""COMPUTED_VALUE"""),"8717323026212")</f>
        <v>8717323026212</v>
      </c>
      <c r="C13053" t="str">
        <f>IFERROR(__xludf.DUMMYFUNCTION("""COMPUTED_VALUE"""),"ECS")</f>
        <v>ECS</v>
      </c>
    </row>
    <row r="13054">
      <c r="A13054" t="str">
        <f>IFERROR(__xludf.DUMMYFUNCTION("""COMPUTED_VALUE"""),"HY062DH")</f>
        <v>HY062DH</v>
      </c>
      <c r="B13054" s="226" t="str">
        <f>IFERROR(__xludf.DUMMYFUNCTION("""COMPUTED_VALUE"""),"8717323033876")</f>
        <v>8717323033876</v>
      </c>
      <c r="C13054" t="str">
        <f>IFERROR(__xludf.DUMMYFUNCTION("""COMPUTED_VALUE"""),"ECS")</f>
        <v>ECS</v>
      </c>
    </row>
    <row r="13055">
      <c r="A13055" t="str">
        <f>IFERROR(__xludf.DUMMYFUNCTION("""COMPUTED_VALUE"""),"HY123BX")</f>
        <v>HY123BX</v>
      </c>
      <c r="B13055" s="226" t="str">
        <f>IFERROR(__xludf.DUMMYFUNCTION("""COMPUTED_VALUE"""),"8717323065204")</f>
        <v>8717323065204</v>
      </c>
      <c r="C13055" t="str">
        <f>IFERROR(__xludf.DUMMYFUNCTION("""COMPUTED_VALUE"""),"ECS")</f>
        <v>ECS</v>
      </c>
    </row>
    <row r="13056">
      <c r="A13056" t="str">
        <f>IFERROR(__xludf.DUMMYFUNCTION("""COMPUTED_VALUE"""),"KI132BX")</f>
        <v>KI132BX</v>
      </c>
      <c r="B13056" s="226" t="str">
        <f>IFERROR(__xludf.DUMMYFUNCTION("""COMPUTED_VALUE"""),"8717323068366")</f>
        <v>8717323068366</v>
      </c>
      <c r="C13056" t="str">
        <f>IFERROR(__xludf.DUMMYFUNCTION("""COMPUTED_VALUE"""),"ECS")</f>
        <v>ECS</v>
      </c>
    </row>
    <row r="13057">
      <c r="A13057" t="str">
        <f>IFERROR(__xludf.DUMMYFUNCTION("""COMPUTED_VALUE"""),"KI132DX")</f>
        <v>KI132DX</v>
      </c>
      <c r="B13057" s="226" t="str">
        <f>IFERROR(__xludf.DUMMYFUNCTION("""COMPUTED_VALUE"""),"8717323068373")</f>
        <v>8717323068373</v>
      </c>
      <c r="C13057" t="str">
        <f>IFERROR(__xludf.DUMMYFUNCTION("""COMPUTED_VALUE"""),"ECS")</f>
        <v>ECS</v>
      </c>
    </row>
    <row r="13058">
      <c r="A13058" t="str">
        <f>IFERROR(__xludf.DUMMYFUNCTION("""COMPUTED_VALUE"""),"KI132BX")</f>
        <v>KI132BX</v>
      </c>
      <c r="B13058" s="226" t="str">
        <f>IFERROR(__xludf.DUMMYFUNCTION("""COMPUTED_VALUE"""),"8717323068366")</f>
        <v>8717323068366</v>
      </c>
      <c r="C13058" t="str">
        <f>IFERROR(__xludf.DUMMYFUNCTION("""COMPUTED_VALUE"""),"ECS")</f>
        <v>ECS</v>
      </c>
    </row>
    <row r="13059">
      <c r="A13059" t="str">
        <f>IFERROR(__xludf.DUMMYFUNCTION("""COMPUTED_VALUE"""),"KI132DX")</f>
        <v>KI132DX</v>
      </c>
      <c r="B13059" s="226" t="str">
        <f>IFERROR(__xludf.DUMMYFUNCTION("""COMPUTED_VALUE"""),"8717323068373")</f>
        <v>8717323068373</v>
      </c>
      <c r="C13059" t="str">
        <f>IFERROR(__xludf.DUMMYFUNCTION("""COMPUTED_VALUE"""),"ECS")</f>
        <v>ECS</v>
      </c>
    </row>
    <row r="13060">
      <c r="A13060" t="str">
        <f>IFERROR(__xludf.DUMMYFUNCTION("""COMPUTED_VALUE"""),"HY123BX")</f>
        <v>HY123BX</v>
      </c>
      <c r="B13060" s="226" t="str">
        <f>IFERROR(__xludf.DUMMYFUNCTION("""COMPUTED_VALUE"""),"8717323065204")</f>
        <v>8717323065204</v>
      </c>
      <c r="C13060" t="str">
        <f>IFERROR(__xludf.DUMMYFUNCTION("""COMPUTED_VALUE"""),"ECS")</f>
        <v>ECS</v>
      </c>
    </row>
    <row r="13061">
      <c r="A13061" t="str">
        <f>IFERROR(__xludf.DUMMYFUNCTION("""COMPUTED_VALUE"""),"KI132BX")</f>
        <v>KI132BX</v>
      </c>
      <c r="B13061" s="226" t="str">
        <f>IFERROR(__xludf.DUMMYFUNCTION("""COMPUTED_VALUE"""),"8717323068366")</f>
        <v>8717323068366</v>
      </c>
      <c r="C13061" t="str">
        <f>IFERROR(__xludf.DUMMYFUNCTION("""COMPUTED_VALUE"""),"ECS")</f>
        <v>ECS</v>
      </c>
    </row>
    <row r="13062">
      <c r="A13062" t="str">
        <f>IFERROR(__xludf.DUMMYFUNCTION("""COMPUTED_VALUE"""),"KI132DX")</f>
        <v>KI132DX</v>
      </c>
      <c r="B13062" s="226" t="str">
        <f>IFERROR(__xludf.DUMMYFUNCTION("""COMPUTED_VALUE"""),"8717323068373")</f>
        <v>8717323068373</v>
      </c>
      <c r="C13062" t="str">
        <f>IFERROR(__xludf.DUMMYFUNCTION("""COMPUTED_VALUE"""),"ECS")</f>
        <v>ECS</v>
      </c>
    </row>
    <row r="13063">
      <c r="A13063" t="str">
        <f>IFERROR(__xludf.DUMMYFUNCTION("""COMPUTED_VALUE"""),"HY061BB")</f>
        <v>HY061BB</v>
      </c>
      <c r="B13063" s="226" t="str">
        <f>IFERROR(__xludf.DUMMYFUNCTION("""COMPUTED_VALUE"""),"8717323024584")</f>
        <v>8717323024584</v>
      </c>
      <c r="C13063" t="str">
        <f>IFERROR(__xludf.DUMMYFUNCTION("""COMPUTED_VALUE"""),"ECS")</f>
        <v>ECS</v>
      </c>
    </row>
    <row r="13064">
      <c r="A13064" t="str">
        <f>IFERROR(__xludf.DUMMYFUNCTION("""COMPUTED_VALUE"""),"HY061DL")</f>
        <v>HY061DL</v>
      </c>
      <c r="B13064" s="226" t="str">
        <f>IFERROR(__xludf.DUMMYFUNCTION("""COMPUTED_VALUE"""),"8717323024591")</f>
        <v>8717323024591</v>
      </c>
      <c r="C13064" t="str">
        <f>IFERROR(__xludf.DUMMYFUNCTION("""COMPUTED_VALUE"""),"ECS")</f>
        <v>ECS</v>
      </c>
    </row>
    <row r="13065">
      <c r="A13065" t="str">
        <f>IFERROR(__xludf.DUMMYFUNCTION("""COMPUTED_VALUE"""),"HY058BH")</f>
        <v>HY058BH</v>
      </c>
      <c r="B13065" s="226" t="str">
        <f>IFERROR(__xludf.DUMMYFUNCTION("""COMPUTED_VALUE"""),"8717323023587")</f>
        <v>8717323023587</v>
      </c>
      <c r="C13065" t="str">
        <f>IFERROR(__xludf.DUMMYFUNCTION("""COMPUTED_VALUE"""),"ECS")</f>
        <v>ECS</v>
      </c>
    </row>
    <row r="13066">
      <c r="A13066" t="str">
        <f>IFERROR(__xludf.DUMMYFUNCTION("""COMPUTED_VALUE"""),"HY058DH")</f>
        <v>HY058DH</v>
      </c>
      <c r="B13066" s="226" t="str">
        <f>IFERROR(__xludf.DUMMYFUNCTION("""COMPUTED_VALUE"""),"8717323023594")</f>
        <v>8717323023594</v>
      </c>
      <c r="C13066" t="str">
        <f>IFERROR(__xludf.DUMMYFUNCTION("""COMPUTED_VALUE"""),"ECS")</f>
        <v>ECS</v>
      </c>
    </row>
    <row r="13067">
      <c r="A13067" t="str">
        <f>IFERROR(__xludf.DUMMYFUNCTION("""COMPUTED_VALUE"""),"HY053DH")</f>
        <v>HY053DH</v>
      </c>
      <c r="B13067" s="226" t="str">
        <f>IFERROR(__xludf.DUMMYFUNCTION("""COMPUTED_VALUE"""),"8717323017265")</f>
        <v>8717323017265</v>
      </c>
      <c r="C13067" t="str">
        <f>IFERROR(__xludf.DUMMYFUNCTION("""COMPUTED_VALUE"""),"ECS")</f>
        <v>ECS</v>
      </c>
    </row>
    <row r="13068">
      <c r="A13068" t="str">
        <f>IFERROR(__xludf.DUMMYFUNCTION("""COMPUTED_VALUE"""),"HY123BG")</f>
        <v>HY123BG</v>
      </c>
      <c r="B13068" s="226" t="str">
        <f>IFERROR(__xludf.DUMMYFUNCTION("""COMPUTED_VALUE"""),"8717323065181")</f>
        <v>8717323065181</v>
      </c>
      <c r="C13068" t="str">
        <f>IFERROR(__xludf.DUMMYFUNCTION("""COMPUTED_VALUE"""),"ECS")</f>
        <v>ECS</v>
      </c>
    </row>
    <row r="13069">
      <c r="A13069" t="str">
        <f>IFERROR(__xludf.DUMMYFUNCTION("""COMPUTED_VALUE"""),"HY123BX")</f>
        <v>HY123BX</v>
      </c>
      <c r="B13069" s="226" t="str">
        <f>IFERROR(__xludf.DUMMYFUNCTION("""COMPUTED_VALUE"""),"8717323065204")</f>
        <v>8717323065204</v>
      </c>
      <c r="C13069" t="str">
        <f>IFERROR(__xludf.DUMMYFUNCTION("""COMPUTED_VALUE"""),"ECS")</f>
        <v>ECS</v>
      </c>
    </row>
    <row r="13070">
      <c r="A13070" t="str">
        <f>IFERROR(__xludf.DUMMYFUNCTION("""COMPUTED_VALUE"""),"HY123DG")</f>
        <v>HY123DG</v>
      </c>
      <c r="B13070" s="226" t="str">
        <f>IFERROR(__xludf.DUMMYFUNCTION("""COMPUTED_VALUE"""),"8717323065198")</f>
        <v>8717323065198</v>
      </c>
      <c r="C13070" t="str">
        <f>IFERROR(__xludf.DUMMYFUNCTION("""COMPUTED_VALUE"""),"ECS")</f>
        <v>ECS</v>
      </c>
    </row>
    <row r="13071">
      <c r="A13071" t="str">
        <f>IFERROR(__xludf.DUMMYFUNCTION("""COMPUTED_VALUE"""),"KI132BX")</f>
        <v>KI132BX</v>
      </c>
      <c r="B13071" s="226" t="str">
        <f>IFERROR(__xludf.DUMMYFUNCTION("""COMPUTED_VALUE"""),"8717323068366")</f>
        <v>8717323068366</v>
      </c>
      <c r="C13071" t="str">
        <f>IFERROR(__xludf.DUMMYFUNCTION("""COMPUTED_VALUE"""),"ECS")</f>
        <v>ECS</v>
      </c>
    </row>
    <row r="13072">
      <c r="A13072" t="str">
        <f>IFERROR(__xludf.DUMMYFUNCTION("""COMPUTED_VALUE"""),"KI132DX")</f>
        <v>KI132DX</v>
      </c>
      <c r="B13072" s="226" t="str">
        <f>IFERROR(__xludf.DUMMYFUNCTION("""COMPUTED_VALUE"""),"8717323068373")</f>
        <v>8717323068373</v>
      </c>
      <c r="C13072" t="str">
        <f>IFERROR(__xludf.DUMMYFUNCTION("""COMPUTED_VALUE"""),"ECS")</f>
        <v>ECS</v>
      </c>
    </row>
    <row r="13073">
      <c r="A13073" t="str">
        <f>IFERROR(__xludf.DUMMYFUNCTION("""COMPUTED_VALUE"""),"KI132BX")</f>
        <v>KI132BX</v>
      </c>
      <c r="B13073" s="226" t="str">
        <f>IFERROR(__xludf.DUMMYFUNCTION("""COMPUTED_VALUE"""),"8717323068366")</f>
        <v>8717323068366</v>
      </c>
      <c r="C13073" t="str">
        <f>IFERROR(__xludf.DUMMYFUNCTION("""COMPUTED_VALUE"""),"ECS")</f>
        <v>ECS</v>
      </c>
    </row>
    <row r="13074">
      <c r="A13074" t="str">
        <f>IFERROR(__xludf.DUMMYFUNCTION("""COMPUTED_VALUE"""),"KI132DX")</f>
        <v>KI132DX</v>
      </c>
      <c r="B13074" s="226" t="str">
        <f>IFERROR(__xludf.DUMMYFUNCTION("""COMPUTED_VALUE"""),"8717323068373")</f>
        <v>8717323068373</v>
      </c>
      <c r="C13074" t="str">
        <f>IFERROR(__xludf.DUMMYFUNCTION("""COMPUTED_VALUE"""),"ECS")</f>
        <v>ECS</v>
      </c>
    </row>
    <row r="13075">
      <c r="A13075" t="str">
        <f>IFERROR(__xludf.DUMMYFUNCTION("""COMPUTED_VALUE"""),"HY123BX")</f>
        <v>HY123BX</v>
      </c>
      <c r="B13075" s="226" t="str">
        <f>IFERROR(__xludf.DUMMYFUNCTION("""COMPUTED_VALUE"""),"8717323065204")</f>
        <v>8717323065204</v>
      </c>
      <c r="C13075" t="str">
        <f>IFERROR(__xludf.DUMMYFUNCTION("""COMPUTED_VALUE"""),"ECS")</f>
        <v>ECS</v>
      </c>
    </row>
    <row r="13076">
      <c r="A13076" t="str">
        <f>IFERROR(__xludf.DUMMYFUNCTION("""COMPUTED_VALUE"""),"HY139B1")</f>
        <v>HY139B1</v>
      </c>
      <c r="B13076" s="226" t="str">
        <f>IFERROR(__xludf.DUMMYFUNCTION("""COMPUTED_VALUE"""),"8717323069851")</f>
        <v>8717323069851</v>
      </c>
      <c r="C13076" t="str">
        <f>IFERROR(__xludf.DUMMYFUNCTION("""COMPUTED_VALUE"""),"ECS")</f>
        <v>ECS</v>
      </c>
    </row>
    <row r="13077">
      <c r="A13077" t="str">
        <f>IFERROR(__xludf.DUMMYFUNCTION("""COMPUTED_VALUE"""),"HY139D1")</f>
        <v>HY139D1</v>
      </c>
      <c r="B13077" s="226" t="str">
        <f>IFERROR(__xludf.DUMMYFUNCTION("""COMPUTED_VALUE"""),"8717323069868")</f>
        <v>8717323069868</v>
      </c>
      <c r="C13077" t="str">
        <f>IFERROR(__xludf.DUMMYFUNCTION("""COMPUTED_VALUE"""),"ECS")</f>
        <v>ECS</v>
      </c>
    </row>
    <row r="13078">
      <c r="A13078" t="str">
        <f>IFERROR(__xludf.DUMMYFUNCTION("""COMPUTED_VALUE"""),"KI132BX")</f>
        <v>KI132BX</v>
      </c>
      <c r="B13078" s="226" t="str">
        <f>IFERROR(__xludf.DUMMYFUNCTION("""COMPUTED_VALUE"""),"8717323068366")</f>
        <v>8717323068366</v>
      </c>
      <c r="C13078" t="str">
        <f>IFERROR(__xludf.DUMMYFUNCTION("""COMPUTED_VALUE"""),"ECS")</f>
        <v>ECS</v>
      </c>
    </row>
    <row r="13079">
      <c r="A13079" t="str">
        <f>IFERROR(__xludf.DUMMYFUNCTION("""COMPUTED_VALUE"""),"KI132DX")</f>
        <v>KI132DX</v>
      </c>
      <c r="B13079" s="226" t="str">
        <f>IFERROR(__xludf.DUMMYFUNCTION("""COMPUTED_VALUE"""),"8717323068373")</f>
        <v>8717323068373</v>
      </c>
      <c r="C13079" t="str">
        <f>IFERROR(__xludf.DUMMYFUNCTION("""COMPUTED_VALUE"""),"ECS")</f>
        <v>ECS</v>
      </c>
    </row>
    <row r="13080">
      <c r="A13080" t="str">
        <f>IFERROR(__xludf.DUMMYFUNCTION("""COMPUTED_VALUE"""),"HY027BB")</f>
        <v>HY027BB</v>
      </c>
      <c r="B13080" s="226" t="str">
        <f>IFERROR(__xludf.DUMMYFUNCTION("""COMPUTED_VALUE"""),"8717323002599")</f>
        <v>8717323002599</v>
      </c>
      <c r="C13080" t="str">
        <f>IFERROR(__xludf.DUMMYFUNCTION("""COMPUTED_VALUE"""),"ECS")</f>
        <v>ECS</v>
      </c>
    </row>
    <row r="13081">
      <c r="A13081" t="str">
        <f>IFERROR(__xludf.DUMMYFUNCTION("""COMPUTED_VALUE"""),"HY057BB")</f>
        <v>HY057BB</v>
      </c>
      <c r="B13081" s="226" t="str">
        <f>IFERROR(__xludf.DUMMYFUNCTION("""COMPUTED_VALUE"""),"8717323017463")</f>
        <v>8717323017463</v>
      </c>
      <c r="C13081" t="str">
        <f>IFERROR(__xludf.DUMMYFUNCTION("""COMPUTED_VALUE"""),"ECS")</f>
        <v>ECS</v>
      </c>
    </row>
    <row r="13082">
      <c r="A13082" t="str">
        <f>IFERROR(__xludf.DUMMYFUNCTION("""COMPUTED_VALUE"""),"HY057DL")</f>
        <v>HY057DL</v>
      </c>
      <c r="B13082" s="226" t="str">
        <f>IFERROR(__xludf.DUMMYFUNCTION("""COMPUTED_VALUE"""),"8717323017470")</f>
        <v>8717323017470</v>
      </c>
      <c r="C13082" t="str">
        <f>IFERROR(__xludf.DUMMYFUNCTION("""COMPUTED_VALUE"""),"ECS")</f>
        <v>ECS</v>
      </c>
    </row>
    <row r="13083">
      <c r="A13083" t="str">
        <f>IFERROR(__xludf.DUMMYFUNCTION("""COMPUTED_VALUE"""),"HY017BB")</f>
        <v>HY017BB</v>
      </c>
      <c r="B13083" s="226" t="str">
        <f>IFERROR(__xludf.DUMMYFUNCTION("""COMPUTED_VALUE"""),"8717323002483")</f>
        <v>8717323002483</v>
      </c>
      <c r="C13083" t="str">
        <f>IFERROR(__xludf.DUMMYFUNCTION("""COMPUTED_VALUE"""),"ECS")</f>
        <v>ECS</v>
      </c>
    </row>
    <row r="13084">
      <c r="A13084" t="str">
        <f>IFERROR(__xludf.DUMMYFUNCTION("""COMPUTED_VALUE"""),"HY017DL")</f>
        <v>HY017DL</v>
      </c>
      <c r="B13084" s="226" t="str">
        <f>IFERROR(__xludf.DUMMYFUNCTION("""COMPUTED_VALUE"""),"8717323019344")</f>
        <v>8717323019344</v>
      </c>
      <c r="C13084" t="str">
        <f>IFERROR(__xludf.DUMMYFUNCTION("""COMPUTED_VALUE"""),"ECS")</f>
        <v>ECS</v>
      </c>
    </row>
    <row r="13085">
      <c r="A13085" t="str">
        <f>IFERROR(__xludf.DUMMYFUNCTION("""COMPUTED_VALUE"""),"HY042BB")</f>
        <v>HY042BB</v>
      </c>
      <c r="B13085" s="226" t="str">
        <f>IFERROR(__xludf.DUMMYFUNCTION("""COMPUTED_VALUE"""),"8717323013267")</f>
        <v>8717323013267</v>
      </c>
      <c r="C13085" t="str">
        <f>IFERROR(__xludf.DUMMYFUNCTION("""COMPUTED_VALUE"""),"ECS")</f>
        <v>ECS</v>
      </c>
    </row>
    <row r="13086">
      <c r="A13086" t="str">
        <f>IFERROR(__xludf.DUMMYFUNCTION("""COMPUTED_VALUE"""),"HY042BG")</f>
        <v>HY042BG</v>
      </c>
      <c r="B13086" s="226" t="str">
        <f>IFERROR(__xludf.DUMMYFUNCTION("""COMPUTED_VALUE"""),"8717323028445")</f>
        <v>8717323028445</v>
      </c>
      <c r="C13086" t="str">
        <f>IFERROR(__xludf.DUMMYFUNCTION("""COMPUTED_VALUE"""),"ECS")</f>
        <v>ECS</v>
      </c>
    </row>
    <row r="13087">
      <c r="A13087" t="str">
        <f>IFERROR(__xludf.DUMMYFUNCTION("""COMPUTED_VALUE"""),"HY042BL")</f>
        <v>HY042BL</v>
      </c>
      <c r="B13087" s="226" t="str">
        <f>IFERROR(__xludf.DUMMYFUNCTION("""COMPUTED_VALUE"""),"8717323013274")</f>
        <v>8717323013274</v>
      </c>
      <c r="C13087" t="str">
        <f>IFERROR(__xludf.DUMMYFUNCTION("""COMPUTED_VALUE"""),"ECS")</f>
        <v>ECS</v>
      </c>
    </row>
    <row r="13088">
      <c r="A13088" t="str">
        <f>IFERROR(__xludf.DUMMYFUNCTION("""COMPUTED_VALUE"""),"HY042DH")</f>
        <v>HY042DH</v>
      </c>
      <c r="B13088" s="226" t="str">
        <f>IFERROR(__xludf.DUMMYFUNCTION("""COMPUTED_VALUE"""),"8717323013298")</f>
        <v>8717323013298</v>
      </c>
      <c r="C13088" t="str">
        <f>IFERROR(__xludf.DUMMYFUNCTION("""COMPUTED_VALUE"""),"ECS")</f>
        <v>ECS</v>
      </c>
    </row>
    <row r="13089">
      <c r="A13089" t="str">
        <f>IFERROR(__xludf.DUMMYFUNCTION("""COMPUTED_VALUE"""),"HY059BH")</f>
        <v>HY059BH</v>
      </c>
      <c r="B13089" s="226" t="str">
        <f>IFERROR(__xludf.DUMMYFUNCTION("""COMPUTED_VALUE"""),"8717323049952")</f>
        <v>8717323049952</v>
      </c>
      <c r="C13089" t="str">
        <f>IFERROR(__xludf.DUMMYFUNCTION("""COMPUTED_VALUE"""),"ECS")</f>
        <v>ECS</v>
      </c>
    </row>
    <row r="13090">
      <c r="A13090" t="str">
        <f>IFERROR(__xludf.DUMMYFUNCTION("""COMPUTED_VALUE"""),"HY059DH")</f>
        <v>HY059DH</v>
      </c>
      <c r="B13090" s="226" t="str">
        <f>IFERROR(__xludf.DUMMYFUNCTION("""COMPUTED_VALUE"""),"8717323022931")</f>
        <v>8717323022931</v>
      </c>
      <c r="C13090" t="str">
        <f>IFERROR(__xludf.DUMMYFUNCTION("""COMPUTED_VALUE"""),"ECS")</f>
        <v>ECS</v>
      </c>
    </row>
    <row r="13091">
      <c r="A13091" t="str">
        <f>IFERROR(__xludf.DUMMYFUNCTION("""COMPUTED_VALUE"""),"HY074DB")</f>
        <v>HY074DB</v>
      </c>
      <c r="B13091" s="226" t="str">
        <f>IFERROR(__xludf.DUMMYFUNCTION("""COMPUTED_VALUE"""),"8717323031018")</f>
        <v>8717323031018</v>
      </c>
      <c r="C13091" t="str">
        <f>IFERROR(__xludf.DUMMYFUNCTION("""COMPUTED_VALUE"""),"ECS")</f>
        <v>ECS</v>
      </c>
    </row>
    <row r="13092">
      <c r="A13092" t="str">
        <f>IFERROR(__xludf.DUMMYFUNCTION("""COMPUTED_VALUE"""),"HY068DH")</f>
        <v>HY068DH</v>
      </c>
      <c r="B13092" s="226" t="str">
        <f>IFERROR(__xludf.DUMMYFUNCTION("""COMPUTED_VALUE"""),"8717323029886")</f>
        <v>8717323029886</v>
      </c>
      <c r="C13092" t="str">
        <f>IFERROR(__xludf.DUMMYFUNCTION("""COMPUTED_VALUE"""),"ECS")</f>
        <v>ECS</v>
      </c>
    </row>
    <row r="13093">
      <c r="A13093" t="str">
        <f>IFERROR(__xludf.DUMMYFUNCTION("""COMPUTED_VALUE"""),"HY095BH")</f>
        <v>HY095BH</v>
      </c>
      <c r="B13093" s="226" t="str">
        <f>IFERROR(__xludf.DUMMYFUNCTION("""COMPUTED_VALUE"""),"8717323055700")</f>
        <v>8717323055700</v>
      </c>
      <c r="C13093" t="str">
        <f>IFERROR(__xludf.DUMMYFUNCTION("""COMPUTED_VALUE"""),"ECS")</f>
        <v>ECS</v>
      </c>
    </row>
    <row r="13094">
      <c r="A13094" t="str">
        <f>IFERROR(__xludf.DUMMYFUNCTION("""COMPUTED_VALUE"""),"HY095DH")</f>
        <v>HY095DH</v>
      </c>
      <c r="B13094" s="226" t="str">
        <f>IFERROR(__xludf.DUMMYFUNCTION("""COMPUTED_VALUE"""),"8717323055717")</f>
        <v>8717323055717</v>
      </c>
      <c r="C13094" t="str">
        <f>IFERROR(__xludf.DUMMYFUNCTION("""COMPUTED_VALUE"""),"ECS")</f>
        <v>ECS</v>
      </c>
    </row>
    <row r="13095">
      <c r="A13095" t="str">
        <f>IFERROR(__xludf.DUMMYFUNCTION("""COMPUTED_VALUE"""),"HY123BG")</f>
        <v>HY123BG</v>
      </c>
      <c r="B13095" s="226" t="str">
        <f>IFERROR(__xludf.DUMMYFUNCTION("""COMPUTED_VALUE"""),"8717323065181")</f>
        <v>8717323065181</v>
      </c>
      <c r="C13095" t="str">
        <f>IFERROR(__xludf.DUMMYFUNCTION("""COMPUTED_VALUE"""),"ECS")</f>
        <v>ECS</v>
      </c>
    </row>
    <row r="13096">
      <c r="A13096" t="str">
        <f>IFERROR(__xludf.DUMMYFUNCTION("""COMPUTED_VALUE"""),"HY123DG")</f>
        <v>HY123DG</v>
      </c>
      <c r="B13096" s="226" t="str">
        <f>IFERROR(__xludf.DUMMYFUNCTION("""COMPUTED_VALUE"""),"8717323065198")</f>
        <v>8717323065198</v>
      </c>
      <c r="C13096" t="str">
        <f>IFERROR(__xludf.DUMMYFUNCTION("""COMPUTED_VALUE"""),"ECS")</f>
        <v>ECS</v>
      </c>
    </row>
    <row r="13097">
      <c r="A13097" t="str">
        <f>IFERROR(__xludf.DUMMYFUNCTION("""COMPUTED_VALUE"""),"HY126BH")</f>
        <v>HY126BH</v>
      </c>
      <c r="B13097" s="226" t="str">
        <f>IFERROR(__xludf.DUMMYFUNCTION("""COMPUTED_VALUE"""),"8717323068274")</f>
        <v>8717323068274</v>
      </c>
      <c r="C13097" t="str">
        <f>IFERROR(__xludf.DUMMYFUNCTION("""COMPUTED_VALUE"""),"ECS")</f>
        <v>ECS</v>
      </c>
    </row>
    <row r="13098">
      <c r="A13098" t="str">
        <f>IFERROR(__xludf.DUMMYFUNCTION("""COMPUTED_VALUE"""),"HY126DH")</f>
        <v>HY126DH</v>
      </c>
      <c r="B13098" s="226" t="str">
        <f>IFERROR(__xludf.DUMMYFUNCTION("""COMPUTED_VALUE"""),"8717323068281")</f>
        <v>8717323068281</v>
      </c>
      <c r="C13098" t="str">
        <f>IFERROR(__xludf.DUMMYFUNCTION("""COMPUTED_VALUE"""),"ECS")</f>
        <v>ECS</v>
      </c>
    </row>
    <row r="13099">
      <c r="A13099" t="str">
        <f>IFERROR(__xludf.DUMMYFUNCTION("""COMPUTED_VALUE"""),"HY037BB")</f>
        <v>HY037BB</v>
      </c>
      <c r="B13099" s="226" t="str">
        <f>IFERROR(__xludf.DUMMYFUNCTION("""COMPUTED_VALUE"""),"8717323011379")</f>
        <v>8717323011379</v>
      </c>
      <c r="C13099" t="str">
        <f>IFERROR(__xludf.DUMMYFUNCTION("""COMPUTED_VALUE"""),"ECS")</f>
        <v>ECS</v>
      </c>
    </row>
    <row r="13100">
      <c r="A13100" t="str">
        <f>IFERROR(__xludf.DUMMYFUNCTION("""COMPUTED_VALUE"""),"HY037DH")</f>
        <v>HY037DH</v>
      </c>
      <c r="B13100" s="226" t="str">
        <f>IFERROR(__xludf.DUMMYFUNCTION("""COMPUTED_VALUE"""),"8717323011386")</f>
        <v>8717323011386</v>
      </c>
      <c r="C13100" t="str">
        <f>IFERROR(__xludf.DUMMYFUNCTION("""COMPUTED_VALUE"""),"ECS")</f>
        <v>ECS</v>
      </c>
    </row>
    <row r="13101">
      <c r="A13101" t="str">
        <f>IFERROR(__xludf.DUMMYFUNCTION("""COMPUTED_VALUE"""),"HY016BB")</f>
        <v>HY016BB</v>
      </c>
      <c r="B13101" s="226" t="str">
        <f>IFERROR(__xludf.DUMMYFUNCTION("""COMPUTED_VALUE"""),"8717323002469")</f>
        <v>8717323002469</v>
      </c>
      <c r="C13101" t="str">
        <f>IFERROR(__xludf.DUMMYFUNCTION("""COMPUTED_VALUE"""),"ECS")</f>
        <v>ECS</v>
      </c>
    </row>
    <row r="13102">
      <c r="A13102" t="str">
        <f>IFERROR(__xludf.DUMMYFUNCTION("""COMPUTED_VALUE"""),"HY016DL")</f>
        <v>HY016DL</v>
      </c>
      <c r="B13102" s="226" t="str">
        <f>IFERROR(__xludf.DUMMYFUNCTION("""COMPUTED_VALUE"""),"8717323019320")</f>
        <v>8717323019320</v>
      </c>
      <c r="C13102" t="str">
        <f>IFERROR(__xludf.DUMMYFUNCTION("""COMPUTED_VALUE"""),"ECS")</f>
        <v>ECS</v>
      </c>
    </row>
    <row r="13103">
      <c r="A13103" t="str">
        <f>IFERROR(__xludf.DUMMYFUNCTION("""COMPUTED_VALUE"""),"HY035BB")</f>
        <v>HY035BB</v>
      </c>
      <c r="B13103" s="226" t="str">
        <f>IFERROR(__xludf.DUMMYFUNCTION("""COMPUTED_VALUE"""),"8717323010358")</f>
        <v>8717323010358</v>
      </c>
      <c r="C13103" t="str">
        <f>IFERROR(__xludf.DUMMYFUNCTION("""COMPUTED_VALUE"""),"ECS")</f>
        <v>ECS</v>
      </c>
    </row>
    <row r="13104">
      <c r="A13104" t="str">
        <f>IFERROR(__xludf.DUMMYFUNCTION("""COMPUTED_VALUE"""),"HY035DG")</f>
        <v>HY035DG</v>
      </c>
      <c r="B13104" s="226" t="str">
        <f>IFERROR(__xludf.DUMMYFUNCTION("""COMPUTED_VALUE"""),"8717323029251")</f>
        <v>8717323029251</v>
      </c>
      <c r="C13104" t="str">
        <f>IFERROR(__xludf.DUMMYFUNCTION("""COMPUTED_VALUE"""),"ECS")</f>
        <v>ECS</v>
      </c>
    </row>
    <row r="13105">
      <c r="A13105" t="str">
        <f>IFERROR(__xludf.DUMMYFUNCTION("""COMPUTED_VALUE"""),"HY083BH")</f>
        <v>HY083BH</v>
      </c>
      <c r="B13105" s="226" t="str">
        <f>IFERROR(__xludf.DUMMYFUNCTION("""COMPUTED_VALUE"""),"8717323053119")</f>
        <v>8717323053119</v>
      </c>
      <c r="C13105" t="str">
        <f>IFERROR(__xludf.DUMMYFUNCTION("""COMPUTED_VALUE"""),"ECS")</f>
        <v>ECS</v>
      </c>
    </row>
    <row r="13106">
      <c r="A13106" t="str">
        <f>IFERROR(__xludf.DUMMYFUNCTION("""COMPUTED_VALUE"""),"HY083DH")</f>
        <v>HY083DH</v>
      </c>
      <c r="B13106" s="226" t="str">
        <f>IFERROR(__xludf.DUMMYFUNCTION("""COMPUTED_VALUE"""),"8717323053126")</f>
        <v>8717323053126</v>
      </c>
      <c r="C13106" t="str">
        <f>IFERROR(__xludf.DUMMYFUNCTION("""COMPUTED_VALUE"""),"ECS")</f>
        <v>ECS</v>
      </c>
    </row>
    <row r="13107">
      <c r="A13107" t="str">
        <f>IFERROR(__xludf.DUMMYFUNCTION("""COMPUTED_VALUE"""),"KI132BX")</f>
        <v>KI132BX</v>
      </c>
      <c r="B13107" s="226" t="str">
        <f>IFERROR(__xludf.DUMMYFUNCTION("""COMPUTED_VALUE"""),"8717323068366")</f>
        <v>8717323068366</v>
      </c>
      <c r="C13107" t="str">
        <f>IFERROR(__xludf.DUMMYFUNCTION("""COMPUTED_VALUE"""),"ECS")</f>
        <v>ECS</v>
      </c>
    </row>
    <row r="13108">
      <c r="A13108" t="str">
        <f>IFERROR(__xludf.DUMMYFUNCTION("""COMPUTED_VALUE"""),"KI132DX")</f>
        <v>KI132DX</v>
      </c>
      <c r="B13108" s="226" t="str">
        <f>IFERROR(__xludf.DUMMYFUNCTION("""COMPUTED_VALUE"""),"8717323068373")</f>
        <v>8717323068373</v>
      </c>
      <c r="C13108" t="str">
        <f>IFERROR(__xludf.DUMMYFUNCTION("""COMPUTED_VALUE"""),"ECS")</f>
        <v>ECS</v>
      </c>
    </row>
    <row r="13109">
      <c r="A13109" t="str">
        <f>IFERROR(__xludf.DUMMYFUNCTION("""COMPUTED_VALUE"""),"HY033BB")</f>
        <v>HY033BB</v>
      </c>
      <c r="B13109" s="226" t="str">
        <f>IFERROR(__xludf.DUMMYFUNCTION("""COMPUTED_VALUE"""),"8717323009406")</f>
        <v>8717323009406</v>
      </c>
      <c r="C13109" t="str">
        <f>IFERROR(__xludf.DUMMYFUNCTION("""COMPUTED_VALUE"""),"ECS")</f>
        <v>ECS</v>
      </c>
    </row>
    <row r="13110">
      <c r="A13110" t="str">
        <f>IFERROR(__xludf.DUMMYFUNCTION("""COMPUTED_VALUE"""),"HY033DL")</f>
        <v>HY033DL</v>
      </c>
      <c r="B13110" s="226" t="str">
        <f>IFERROR(__xludf.DUMMYFUNCTION("""COMPUTED_VALUE"""),"8717323009413")</f>
        <v>8717323009413</v>
      </c>
      <c r="C13110" t="str">
        <f>IFERROR(__xludf.DUMMYFUNCTION("""COMPUTED_VALUE"""),"ECS")</f>
        <v>ECS</v>
      </c>
    </row>
    <row r="13111">
      <c r="A13111" t="str">
        <f>IFERROR(__xludf.DUMMYFUNCTION("""COMPUTED_VALUE"""),"NI128F1")</f>
        <v>NI128F1</v>
      </c>
      <c r="B13111" s="226" t="str">
        <f>IFERROR(__xludf.DUMMYFUNCTION("""COMPUTED_VALUE"""),"8717323065464")</f>
        <v>8717323065464</v>
      </c>
      <c r="C13111" t="str">
        <f>IFERROR(__xludf.DUMMYFUNCTION("""COMPUTED_VALUE"""),"ECS")</f>
        <v>ECS</v>
      </c>
    </row>
    <row r="13112">
      <c r="A13112" t="str">
        <f>IFERROR(__xludf.DUMMYFUNCTION("""COMPUTED_VALUE"""),"NI128H1")</f>
        <v>NI128H1</v>
      </c>
      <c r="B13112" s="226" t="str">
        <f>IFERROR(__xludf.DUMMYFUNCTION("""COMPUTED_VALUE"""),"8717323065471")</f>
        <v>8717323065471</v>
      </c>
      <c r="C13112" t="str">
        <f>IFERROR(__xludf.DUMMYFUNCTION("""COMPUTED_VALUE"""),"ECS")</f>
        <v>ECS</v>
      </c>
    </row>
    <row r="13113">
      <c r="A13113" t="str">
        <f>IFERROR(__xludf.DUMMYFUNCTION("""COMPUTED_VALUE"""),"NI128F1")</f>
        <v>NI128F1</v>
      </c>
      <c r="B13113" s="226" t="str">
        <f>IFERROR(__xludf.DUMMYFUNCTION("""COMPUTED_VALUE"""),"8717323065464")</f>
        <v>8717323065464</v>
      </c>
      <c r="C13113" t="str">
        <f>IFERROR(__xludf.DUMMYFUNCTION("""COMPUTED_VALUE"""),"ECS")</f>
        <v>ECS</v>
      </c>
    </row>
    <row r="13114">
      <c r="A13114" t="str">
        <f>IFERROR(__xludf.DUMMYFUNCTION("""COMPUTED_VALUE"""),"NI128H1")</f>
        <v>NI128H1</v>
      </c>
      <c r="B13114" s="226" t="str">
        <f>IFERROR(__xludf.DUMMYFUNCTION("""COMPUTED_VALUE"""),"8717323065471")</f>
        <v>8717323065471</v>
      </c>
      <c r="C13114" t="str">
        <f>IFERROR(__xludf.DUMMYFUNCTION("""COMPUTED_VALUE"""),"ECS")</f>
        <v>ECS</v>
      </c>
    </row>
    <row r="13115">
      <c r="A13115" t="str">
        <f>IFERROR(__xludf.DUMMYFUNCTION("""COMPUTED_VALUE"""),"IS001BB")</f>
        <v>IS001BB</v>
      </c>
      <c r="B13115" s="226" t="str">
        <f>IFERROR(__xludf.DUMMYFUNCTION("""COMPUTED_VALUE"""),"8717323013441")</f>
        <v>8717323013441</v>
      </c>
      <c r="C13115" t="str">
        <f>IFERROR(__xludf.DUMMYFUNCTION("""COMPUTED_VALUE"""),"ECS")</f>
        <v>ECS</v>
      </c>
    </row>
    <row r="13116">
      <c r="A13116" t="str">
        <f>IFERROR(__xludf.DUMMYFUNCTION("""COMPUTED_VALUE"""),"IS001DL")</f>
        <v>IS001DL</v>
      </c>
      <c r="B13116" s="226" t="str">
        <f>IFERROR(__xludf.DUMMYFUNCTION("""COMPUTED_VALUE"""),"8717323013458")</f>
        <v>8717323013458</v>
      </c>
      <c r="C13116" t="str">
        <f>IFERROR(__xludf.DUMMYFUNCTION("""COMPUTED_VALUE"""),"ECS")</f>
        <v>ECS</v>
      </c>
    </row>
    <row r="13117">
      <c r="A13117" t="str">
        <f>IFERROR(__xludf.DUMMYFUNCTION("""COMPUTED_VALUE"""),"IS002BB")</f>
        <v>IS002BB</v>
      </c>
      <c r="B13117" s="226" t="str">
        <f>IFERROR(__xludf.DUMMYFUNCTION("""COMPUTED_VALUE"""),"8717323027875")</f>
        <v>8717323027875</v>
      </c>
      <c r="C13117" t="str">
        <f>IFERROR(__xludf.DUMMYFUNCTION("""COMPUTED_VALUE"""),"ECS")</f>
        <v>ECS</v>
      </c>
    </row>
    <row r="13118">
      <c r="A13118" t="str">
        <f>IFERROR(__xludf.DUMMYFUNCTION("""COMPUTED_VALUE"""),"IS002DL")</f>
        <v>IS002DL</v>
      </c>
      <c r="B13118" s="226" t="str">
        <f>IFERROR(__xludf.DUMMYFUNCTION("""COMPUTED_VALUE"""),"8717323028469")</f>
        <v>8717323028469</v>
      </c>
      <c r="C13118" t="str">
        <f>IFERROR(__xludf.DUMMYFUNCTION("""COMPUTED_VALUE"""),"ECS")</f>
        <v>ECS</v>
      </c>
    </row>
    <row r="13119">
      <c r="A13119" t="str">
        <f>IFERROR(__xludf.DUMMYFUNCTION("""COMPUTED_VALUE"""),"IS001BB")</f>
        <v>IS001BB</v>
      </c>
      <c r="B13119" s="226" t="str">
        <f>IFERROR(__xludf.DUMMYFUNCTION("""COMPUTED_VALUE"""),"8717323013441")</f>
        <v>8717323013441</v>
      </c>
      <c r="C13119" t="str">
        <f>IFERROR(__xludf.DUMMYFUNCTION("""COMPUTED_VALUE"""),"ECS")</f>
        <v>ECS</v>
      </c>
    </row>
    <row r="13120">
      <c r="A13120" t="str">
        <f>IFERROR(__xludf.DUMMYFUNCTION("""COMPUTED_VALUE"""),"IS001DL")</f>
        <v>IS001DL</v>
      </c>
      <c r="B13120" s="226" t="str">
        <f>IFERROR(__xludf.DUMMYFUNCTION("""COMPUTED_VALUE"""),"8717323013458")</f>
        <v>8717323013458</v>
      </c>
      <c r="C13120" t="str">
        <f>IFERROR(__xludf.DUMMYFUNCTION("""COMPUTED_VALUE"""),"ECS")</f>
        <v>ECS</v>
      </c>
    </row>
    <row r="13121">
      <c r="A13121" t="str">
        <f>IFERROR(__xludf.DUMMYFUNCTION("""COMPUTED_VALUE"""),"IV003BL")</f>
        <v>IV003BL</v>
      </c>
      <c r="B13121" s="226" t="str">
        <f>IFERROR(__xludf.DUMMYFUNCTION("""COMPUTED_VALUE"""),"8717323015711")</f>
        <v>8717323015711</v>
      </c>
      <c r="C13121" t="str">
        <f>IFERROR(__xludf.DUMMYFUNCTION("""COMPUTED_VALUE"""),"ECS")</f>
        <v>ECS</v>
      </c>
    </row>
    <row r="13122">
      <c r="A13122" t="str">
        <f>IFERROR(__xludf.DUMMYFUNCTION("""COMPUTED_VALUE"""),"IV003DL")</f>
        <v>IV003DL</v>
      </c>
      <c r="B13122" s="226" t="str">
        <f>IFERROR(__xludf.DUMMYFUNCTION("""COMPUTED_VALUE"""),"8717323015728")</f>
        <v>8717323015728</v>
      </c>
      <c r="C13122" t="str">
        <f>IFERROR(__xludf.DUMMYFUNCTION("""COMPUTED_VALUE"""),"ECS")</f>
        <v>ECS</v>
      </c>
    </row>
    <row r="13123">
      <c r="A13123" t="str">
        <f>IFERROR(__xludf.DUMMYFUNCTION("""COMPUTED_VALUE"""),"IV003BL")</f>
        <v>IV003BL</v>
      </c>
      <c r="B13123" s="226" t="str">
        <f>IFERROR(__xludf.DUMMYFUNCTION("""COMPUTED_VALUE"""),"8717323015711")</f>
        <v>8717323015711</v>
      </c>
      <c r="C13123" t="str">
        <f>IFERROR(__xludf.DUMMYFUNCTION("""COMPUTED_VALUE"""),"ECS")</f>
        <v>ECS</v>
      </c>
    </row>
    <row r="13124">
      <c r="A13124" t="str">
        <f>IFERROR(__xludf.DUMMYFUNCTION("""COMPUTED_VALUE"""),"IV003DL")</f>
        <v>IV003DL</v>
      </c>
      <c r="B13124" s="226" t="str">
        <f>IFERROR(__xludf.DUMMYFUNCTION("""COMPUTED_VALUE"""),"8717323015728")</f>
        <v>8717323015728</v>
      </c>
      <c r="C13124" t="str">
        <f>IFERROR(__xludf.DUMMYFUNCTION("""COMPUTED_VALUE"""),"ECS")</f>
        <v>ECS</v>
      </c>
    </row>
    <row r="13125">
      <c r="A13125" t="str">
        <f>IFERROR(__xludf.DUMMYFUNCTION("""COMPUTED_VALUE"""),"IV004BD")</f>
        <v>IV004BD</v>
      </c>
      <c r="B13125" s="226" t="str">
        <f>IFERROR(__xludf.DUMMYFUNCTION("""COMPUTED_VALUE"""),"8717323025246")</f>
        <v>8717323025246</v>
      </c>
      <c r="C13125" t="str">
        <f>IFERROR(__xludf.DUMMYFUNCTION("""COMPUTED_VALUE"""),"ECS")</f>
        <v>ECS</v>
      </c>
    </row>
    <row r="13126">
      <c r="A13126" t="str">
        <f>IFERROR(__xludf.DUMMYFUNCTION("""COMPUTED_VALUE"""),"IV004DD")</f>
        <v>IV004DD</v>
      </c>
      <c r="B13126" s="226" t="str">
        <f>IFERROR(__xludf.DUMMYFUNCTION("""COMPUTED_VALUE"""),"8717323025253")</f>
        <v>8717323025253</v>
      </c>
      <c r="C13126" t="str">
        <f>IFERROR(__xludf.DUMMYFUNCTION("""COMPUTED_VALUE"""),"ECS")</f>
        <v>ECS</v>
      </c>
    </row>
    <row r="13127">
      <c r="A13127" t="str">
        <f>IFERROR(__xludf.DUMMYFUNCTION("""COMPUTED_VALUE"""),"IV004BD")</f>
        <v>IV004BD</v>
      </c>
      <c r="B13127" s="226" t="str">
        <f>IFERROR(__xludf.DUMMYFUNCTION("""COMPUTED_VALUE"""),"8717323025246")</f>
        <v>8717323025246</v>
      </c>
      <c r="C13127" t="str">
        <f>IFERROR(__xludf.DUMMYFUNCTION("""COMPUTED_VALUE"""),"ECS")</f>
        <v>ECS</v>
      </c>
    </row>
    <row r="13128">
      <c r="A13128" t="str">
        <f>IFERROR(__xludf.DUMMYFUNCTION("""COMPUTED_VALUE"""),"IV004DD")</f>
        <v>IV004DD</v>
      </c>
      <c r="B13128" s="226" t="str">
        <f>IFERROR(__xludf.DUMMYFUNCTION("""COMPUTED_VALUE"""),"8717323025253")</f>
        <v>8717323025253</v>
      </c>
      <c r="C13128" t="str">
        <f>IFERROR(__xludf.DUMMYFUNCTION("""COMPUTED_VALUE"""),"ECS")</f>
        <v>ECS</v>
      </c>
    </row>
    <row r="13129">
      <c r="A13129" t="str">
        <f>IFERROR(__xludf.DUMMYFUNCTION("""COMPUTED_VALUE"""),"IV005BL")</f>
        <v>IV005BL</v>
      </c>
      <c r="B13129" s="226" t="str">
        <f>IFERROR(__xludf.DUMMYFUNCTION("""COMPUTED_VALUE"""),"8717323050224")</f>
        <v>8717323050224</v>
      </c>
      <c r="C13129" t="str">
        <f>IFERROR(__xludf.DUMMYFUNCTION("""COMPUTED_VALUE"""),"ECS")</f>
        <v>ECS</v>
      </c>
    </row>
    <row r="13130">
      <c r="A13130" t="str">
        <f>IFERROR(__xludf.DUMMYFUNCTION("""COMPUTED_VALUE"""),"IV005DL")</f>
        <v>IV005DL</v>
      </c>
      <c r="B13130" s="226" t="str">
        <f>IFERROR(__xludf.DUMMYFUNCTION("""COMPUTED_VALUE"""),"8717323050231")</f>
        <v>8717323050231</v>
      </c>
      <c r="C13130" t="str">
        <f>IFERROR(__xludf.DUMMYFUNCTION("""COMPUTED_VALUE"""),"ECS")</f>
        <v>ECS</v>
      </c>
    </row>
    <row r="13131">
      <c r="A13131" t="str">
        <f>IFERROR(__xludf.DUMMYFUNCTION("""COMPUTED_VALUE"""),"IV005BL")</f>
        <v>IV005BL</v>
      </c>
      <c r="B13131" s="226" t="str">
        <f>IFERROR(__xludf.DUMMYFUNCTION("""COMPUTED_VALUE"""),"8717323050224")</f>
        <v>8717323050224</v>
      </c>
      <c r="C13131" t="str">
        <f>IFERROR(__xludf.DUMMYFUNCTION("""COMPUTED_VALUE"""),"ECS")</f>
        <v>ECS</v>
      </c>
    </row>
    <row r="13132">
      <c r="A13132" t="str">
        <f>IFERROR(__xludf.DUMMYFUNCTION("""COMPUTED_VALUE"""),"IV005DL")</f>
        <v>IV005DL</v>
      </c>
      <c r="B13132" s="226" t="str">
        <f>IFERROR(__xludf.DUMMYFUNCTION("""COMPUTED_VALUE"""),"8717323050231")</f>
        <v>8717323050231</v>
      </c>
      <c r="C13132" t="str">
        <f>IFERROR(__xludf.DUMMYFUNCTION("""COMPUTED_VALUE"""),"ECS")</f>
        <v>ECS</v>
      </c>
    </row>
    <row r="13133">
      <c r="A13133" t="str">
        <f>IFERROR(__xludf.DUMMYFUNCTION("""COMPUTED_VALUE"""),"JG009F1")</f>
        <v>JG009F1</v>
      </c>
      <c r="B13133" s="226" t="str">
        <f>IFERROR(__xludf.DUMMYFUNCTION("""COMPUTED_VALUE"""),"8717323065877")</f>
        <v>8717323065877</v>
      </c>
      <c r="C13133" t="str">
        <f>IFERROR(__xludf.DUMMYFUNCTION("""COMPUTED_VALUE"""),"ECS")</f>
        <v>ECS</v>
      </c>
    </row>
    <row r="13134">
      <c r="A13134" t="str">
        <f>IFERROR(__xludf.DUMMYFUNCTION("""COMPUTED_VALUE"""),"JG009H1")</f>
        <v>JG009H1</v>
      </c>
      <c r="B13134" s="226" t="str">
        <f>IFERROR(__xludf.DUMMYFUNCTION("""COMPUTED_VALUE"""),"8717323065884")</f>
        <v>8717323065884</v>
      </c>
      <c r="C13134" t="str">
        <f>IFERROR(__xludf.DUMMYFUNCTION("""COMPUTED_VALUE"""),"ECS")</f>
        <v>ECS</v>
      </c>
    </row>
    <row r="13135">
      <c r="A13135" t="str">
        <f>IFERROR(__xludf.DUMMYFUNCTION("""COMPUTED_VALUE"""),"JG006F1")</f>
        <v>JG006F1</v>
      </c>
      <c r="B13135" s="226" t="str">
        <f>IFERROR(__xludf.DUMMYFUNCTION("""COMPUTED_VALUE"""),"8717323063521")</f>
        <v>8717323063521</v>
      </c>
      <c r="C13135" t="str">
        <f>IFERROR(__xludf.DUMMYFUNCTION("""COMPUTED_VALUE"""),"ECS")</f>
        <v>ECS</v>
      </c>
    </row>
    <row r="13136">
      <c r="A13136" t="str">
        <f>IFERROR(__xludf.DUMMYFUNCTION("""COMPUTED_VALUE"""),"JG006H1")</f>
        <v>JG006H1</v>
      </c>
      <c r="B13136" s="226" t="str">
        <f>IFERROR(__xludf.DUMMYFUNCTION("""COMPUTED_VALUE"""),"8717323063286")</f>
        <v>8717323063286</v>
      </c>
      <c r="C13136" t="str">
        <f>IFERROR(__xludf.DUMMYFUNCTION("""COMPUTED_VALUE"""),"ECS")</f>
        <v>ECS</v>
      </c>
    </row>
    <row r="13137">
      <c r="A13137" t="str">
        <f>IFERROR(__xludf.DUMMYFUNCTION("""COMPUTED_VALUE"""),"JG007F1")</f>
        <v>JG007F1</v>
      </c>
      <c r="B13137" s="226" t="str">
        <f>IFERROR(__xludf.DUMMYFUNCTION("""COMPUTED_VALUE"""),"8717323064849")</f>
        <v>8717323064849</v>
      </c>
      <c r="C13137" t="str">
        <f>IFERROR(__xludf.DUMMYFUNCTION("""COMPUTED_VALUE"""),"ECS")</f>
        <v>ECS</v>
      </c>
    </row>
    <row r="13138">
      <c r="A13138" t="str">
        <f>IFERROR(__xludf.DUMMYFUNCTION("""COMPUTED_VALUE"""),"JG007H1")</f>
        <v>JG007H1</v>
      </c>
      <c r="B13138" s="226" t="str">
        <f>IFERROR(__xludf.DUMMYFUNCTION("""COMPUTED_VALUE"""),"8717323064856")</f>
        <v>8717323064856</v>
      </c>
      <c r="C13138" t="str">
        <f>IFERROR(__xludf.DUMMYFUNCTION("""COMPUTED_VALUE"""),"ECS")</f>
        <v>ECS</v>
      </c>
    </row>
    <row r="13139">
      <c r="A13139" t="str">
        <f>IFERROR(__xludf.DUMMYFUNCTION("""COMPUTED_VALUE"""),"JG010FH")</f>
        <v>JG010FH</v>
      </c>
      <c r="C13139" t="str">
        <f>IFERROR(__xludf.DUMMYFUNCTION("""COMPUTED_VALUE"""),"ECS")</f>
        <v>ECS</v>
      </c>
    </row>
    <row r="13140">
      <c r="A13140" t="str">
        <f>IFERROR(__xludf.DUMMYFUNCTION("""COMPUTED_VALUE"""),"JG010HH")</f>
        <v>JG010HH</v>
      </c>
      <c r="C13140" t="str">
        <f>IFERROR(__xludf.DUMMYFUNCTION("""COMPUTED_VALUE"""),"ECS")</f>
        <v>ECS</v>
      </c>
    </row>
    <row r="13141">
      <c r="A13141" t="str">
        <f>IFERROR(__xludf.DUMMYFUNCTION("""COMPUTED_VALUE"""),"JG006F1")</f>
        <v>JG006F1</v>
      </c>
      <c r="B13141" s="226" t="str">
        <f>IFERROR(__xludf.DUMMYFUNCTION("""COMPUTED_VALUE"""),"8717323063521")</f>
        <v>8717323063521</v>
      </c>
      <c r="C13141" t="str">
        <f>IFERROR(__xludf.DUMMYFUNCTION("""COMPUTED_VALUE"""),"ECS")</f>
        <v>ECS</v>
      </c>
    </row>
    <row r="13142">
      <c r="A13142" t="str">
        <f>IFERROR(__xludf.DUMMYFUNCTION("""COMPUTED_VALUE"""),"JG006H1")</f>
        <v>JG006H1</v>
      </c>
      <c r="B13142" s="226" t="str">
        <f>IFERROR(__xludf.DUMMYFUNCTION("""COMPUTED_VALUE"""),"8717323063286")</f>
        <v>8717323063286</v>
      </c>
      <c r="C13142" t="str">
        <f>IFERROR(__xludf.DUMMYFUNCTION("""COMPUTED_VALUE"""),"ECS")</f>
        <v>ECS</v>
      </c>
    </row>
    <row r="13143">
      <c r="A13143" t="str">
        <f>IFERROR(__xludf.DUMMYFUNCTION("""COMPUTED_VALUE"""),"JG007F1")</f>
        <v>JG007F1</v>
      </c>
      <c r="B13143" s="226" t="str">
        <f>IFERROR(__xludf.DUMMYFUNCTION("""COMPUTED_VALUE"""),"8717323064849")</f>
        <v>8717323064849</v>
      </c>
      <c r="C13143" t="str">
        <f>IFERROR(__xludf.DUMMYFUNCTION("""COMPUTED_VALUE"""),"ECS")</f>
        <v>ECS</v>
      </c>
    </row>
    <row r="13144">
      <c r="A13144" t="str">
        <f>IFERROR(__xludf.DUMMYFUNCTION("""COMPUTED_VALUE"""),"JG007H1")</f>
        <v>JG007H1</v>
      </c>
      <c r="B13144" s="226" t="str">
        <f>IFERROR(__xludf.DUMMYFUNCTION("""COMPUTED_VALUE"""),"8717323064856")</f>
        <v>8717323064856</v>
      </c>
      <c r="C13144" t="str">
        <f>IFERROR(__xludf.DUMMYFUNCTION("""COMPUTED_VALUE"""),"ECS")</f>
        <v>ECS</v>
      </c>
    </row>
    <row r="13145">
      <c r="A13145" t="str">
        <f>IFERROR(__xludf.DUMMYFUNCTION("""COMPUTED_VALUE"""),"JG011F1")</f>
        <v>JG011F1</v>
      </c>
      <c r="B13145" s="226" t="str">
        <f>IFERROR(__xludf.DUMMYFUNCTION("""COMPUTED_VALUE"""),"8717323070840")</f>
        <v>8717323070840</v>
      </c>
      <c r="C13145" t="str">
        <f>IFERROR(__xludf.DUMMYFUNCTION("""COMPUTED_VALUE"""),"ECS")</f>
        <v>ECS</v>
      </c>
    </row>
    <row r="13146">
      <c r="A13146" t="str">
        <f>IFERROR(__xludf.DUMMYFUNCTION("""COMPUTED_VALUE"""),"JG011H1")</f>
        <v>JG011H1</v>
      </c>
      <c r="B13146" s="226" t="str">
        <f>IFERROR(__xludf.DUMMYFUNCTION("""COMPUTED_VALUE"""),"8717323070857")</f>
        <v>8717323070857</v>
      </c>
      <c r="C13146" t="str">
        <f>IFERROR(__xludf.DUMMYFUNCTION("""COMPUTED_VALUE"""),"ECS")</f>
        <v>ECS</v>
      </c>
    </row>
    <row r="13147">
      <c r="A13147" t="str">
        <f>IFERROR(__xludf.DUMMYFUNCTION("""COMPUTED_VALUE"""),"JG002BL")</f>
        <v>JG002BL</v>
      </c>
      <c r="B13147" s="226" t="str">
        <f>IFERROR(__xludf.DUMMYFUNCTION("""COMPUTED_VALUE"""),"8717323049150")</f>
        <v>8717323049150</v>
      </c>
      <c r="C13147" t="str">
        <f>IFERROR(__xludf.DUMMYFUNCTION("""COMPUTED_VALUE"""),"ECS")</f>
        <v>ECS</v>
      </c>
    </row>
    <row r="13148">
      <c r="A13148" t="str">
        <f>IFERROR(__xludf.DUMMYFUNCTION("""COMPUTED_VALUE"""),"JG002DL")</f>
        <v>JG002DL</v>
      </c>
      <c r="B13148" s="226" t="str">
        <f>IFERROR(__xludf.DUMMYFUNCTION("""COMPUTED_VALUE"""),"8717323034897")</f>
        <v>8717323034897</v>
      </c>
      <c r="C13148" t="str">
        <f>IFERROR(__xludf.DUMMYFUNCTION("""COMPUTED_VALUE"""),"ECS")</f>
        <v>ECS</v>
      </c>
    </row>
    <row r="13149">
      <c r="A13149" t="str">
        <f>IFERROR(__xludf.DUMMYFUNCTION("""COMPUTED_VALUE"""),"JG004BH")</f>
        <v>JG004BH</v>
      </c>
      <c r="B13149" s="226" t="str">
        <f>IFERROR(__xludf.DUMMYFUNCTION("""COMPUTED_VALUE"""),"8717323049143")</f>
        <v>8717323049143</v>
      </c>
      <c r="C13149" t="str">
        <f>IFERROR(__xludf.DUMMYFUNCTION("""COMPUTED_VALUE"""),"ECS")</f>
        <v>ECS</v>
      </c>
    </row>
    <row r="13150">
      <c r="A13150" t="str">
        <f>IFERROR(__xludf.DUMMYFUNCTION("""COMPUTED_VALUE"""),"JG004DH")</f>
        <v>JG004DH</v>
      </c>
      <c r="B13150" s="226" t="str">
        <f>IFERROR(__xludf.DUMMYFUNCTION("""COMPUTED_VALUE"""),"8717323029893")</f>
        <v>8717323029893</v>
      </c>
      <c r="C13150" t="str">
        <f>IFERROR(__xludf.DUMMYFUNCTION("""COMPUTED_VALUE"""),"ECS")</f>
        <v>ECS</v>
      </c>
    </row>
    <row r="13151">
      <c r="A13151" t="str">
        <f>IFERROR(__xludf.DUMMYFUNCTION("""COMPUTED_VALUE"""),"JG006F1")</f>
        <v>JG006F1</v>
      </c>
      <c r="B13151" s="226" t="str">
        <f>IFERROR(__xludf.DUMMYFUNCTION("""COMPUTED_VALUE"""),"8717323063521")</f>
        <v>8717323063521</v>
      </c>
      <c r="C13151" t="str">
        <f>IFERROR(__xludf.DUMMYFUNCTION("""COMPUTED_VALUE"""),"ECS")</f>
        <v>ECS</v>
      </c>
    </row>
    <row r="13152">
      <c r="A13152" t="str">
        <f>IFERROR(__xludf.DUMMYFUNCTION("""COMPUTED_VALUE"""),"JG006H1")</f>
        <v>JG006H1</v>
      </c>
      <c r="B13152" s="226" t="str">
        <f>IFERROR(__xludf.DUMMYFUNCTION("""COMPUTED_VALUE"""),"8717323063286")</f>
        <v>8717323063286</v>
      </c>
      <c r="C13152" t="str">
        <f>IFERROR(__xludf.DUMMYFUNCTION("""COMPUTED_VALUE"""),"ECS")</f>
        <v>ECS</v>
      </c>
    </row>
    <row r="13153">
      <c r="A13153" t="str">
        <f>IFERROR(__xludf.DUMMYFUNCTION("""COMPUTED_VALUE"""),"JG007F1")</f>
        <v>JG007F1</v>
      </c>
      <c r="B13153" s="226" t="str">
        <f>IFERROR(__xludf.DUMMYFUNCTION("""COMPUTED_VALUE"""),"8717323064849")</f>
        <v>8717323064849</v>
      </c>
      <c r="C13153" t="str">
        <f>IFERROR(__xludf.DUMMYFUNCTION("""COMPUTED_VALUE"""),"ECS")</f>
        <v>ECS</v>
      </c>
    </row>
    <row r="13154">
      <c r="A13154" t="str">
        <f>IFERROR(__xludf.DUMMYFUNCTION("""COMPUTED_VALUE"""),"JG007H1")</f>
        <v>JG007H1</v>
      </c>
      <c r="B13154" s="226" t="str">
        <f>IFERROR(__xludf.DUMMYFUNCTION("""COMPUTED_VALUE"""),"8717323064856")</f>
        <v>8717323064856</v>
      </c>
      <c r="C13154" t="str">
        <f>IFERROR(__xludf.DUMMYFUNCTION("""COMPUTED_VALUE"""),"ECS")</f>
        <v>ECS</v>
      </c>
    </row>
    <row r="13155">
      <c r="A13155" t="str">
        <f>IFERROR(__xludf.DUMMYFUNCTION("""COMPUTED_VALUE"""),"JG008F1")</f>
        <v>JG008F1</v>
      </c>
      <c r="B13155" s="226" t="str">
        <f>IFERROR(__xludf.DUMMYFUNCTION("""COMPUTED_VALUE"""),"8717323066522")</f>
        <v>8717323066522</v>
      </c>
      <c r="C13155" t="str">
        <f>IFERROR(__xludf.DUMMYFUNCTION("""COMPUTED_VALUE"""),"ECS")</f>
        <v>ECS</v>
      </c>
    </row>
    <row r="13156">
      <c r="A13156" t="str">
        <f>IFERROR(__xludf.DUMMYFUNCTION("""COMPUTED_VALUE"""),"JG008H1")</f>
        <v>JG008H1</v>
      </c>
      <c r="B13156" s="226" t="str">
        <f>IFERROR(__xludf.DUMMYFUNCTION("""COMPUTED_VALUE"""),"8717323066539")</f>
        <v>8717323066539</v>
      </c>
      <c r="C13156" t="str">
        <f>IFERROR(__xludf.DUMMYFUNCTION("""COMPUTED_VALUE"""),"ECS")</f>
        <v>ECS</v>
      </c>
    </row>
    <row r="13157">
      <c r="A13157" t="str">
        <f>IFERROR(__xludf.DUMMYFUNCTION("""COMPUTED_VALUE"""),"JG001BL")</f>
        <v>JG001BL</v>
      </c>
      <c r="B13157" s="226" t="str">
        <f>IFERROR(__xludf.DUMMYFUNCTION("""COMPUTED_VALUE"""),"8717323012802")</f>
        <v>8717323012802</v>
      </c>
      <c r="C13157" t="str">
        <f>IFERROR(__xludf.DUMMYFUNCTION("""COMPUTED_VALUE"""),"ECS")</f>
        <v>ECS</v>
      </c>
    </row>
    <row r="13158">
      <c r="A13158" t="str">
        <f>IFERROR(__xludf.DUMMYFUNCTION("""COMPUTED_VALUE"""),"JG001DH")</f>
        <v>JG001DH</v>
      </c>
      <c r="B13158" s="226" t="str">
        <f>IFERROR(__xludf.DUMMYFUNCTION("""COMPUTED_VALUE"""),"8717323012819")</f>
        <v>8717323012819</v>
      </c>
      <c r="C13158" t="str">
        <f>IFERROR(__xludf.DUMMYFUNCTION("""COMPUTED_VALUE"""),"ECS")</f>
        <v>ECS</v>
      </c>
    </row>
    <row r="13159">
      <c r="A13159" t="str">
        <f>IFERROR(__xludf.DUMMYFUNCTION("""COMPUTED_VALUE"""),"CR019HL")</f>
        <v>CR019HL</v>
      </c>
      <c r="B13159" s="226" t="str">
        <f>IFERROR(__xludf.DUMMYFUNCTION("""COMPUTED_VALUE"""),"8717323018132")</f>
        <v>8717323018132</v>
      </c>
      <c r="C13159" t="str">
        <f>IFERROR(__xludf.DUMMYFUNCTION("""COMPUTED_VALUE"""),"ECS")</f>
        <v>ECS</v>
      </c>
    </row>
    <row r="13160">
      <c r="A13160" t="str">
        <f>IFERROR(__xludf.DUMMYFUNCTION("""COMPUTED_VALUE"""),"CR049DH")</f>
        <v>CR049DH</v>
      </c>
      <c r="B13160" s="226" t="str">
        <f>IFERROR(__xludf.DUMMYFUNCTION("""COMPUTED_VALUE"""),"8717323015759")</f>
        <v>8717323015759</v>
      </c>
      <c r="C13160" t="str">
        <f>IFERROR(__xludf.DUMMYFUNCTION("""COMPUTED_VALUE"""),"ECS")</f>
        <v>ECS</v>
      </c>
    </row>
    <row r="13161">
      <c r="A13161" t="str">
        <f>IFERROR(__xludf.DUMMYFUNCTION("""COMPUTED_VALUE"""),"CR069BX")</f>
        <v>CR069BX</v>
      </c>
      <c r="B13161" s="226" t="str">
        <f>IFERROR(__xludf.DUMMYFUNCTION("""COMPUTED_VALUE"""),"8717323051498")</f>
        <v>8717323051498</v>
      </c>
      <c r="C13161" t="str">
        <f>IFERROR(__xludf.DUMMYFUNCTION("""COMPUTED_VALUE"""),"ECS")</f>
        <v>ECS</v>
      </c>
    </row>
    <row r="13162">
      <c r="A13162" t="str">
        <f>IFERROR(__xludf.DUMMYFUNCTION("""COMPUTED_VALUE"""),"CR069HX")</f>
        <v>CR069HX</v>
      </c>
      <c r="B13162" s="226" t="str">
        <f>IFERROR(__xludf.DUMMYFUNCTION("""COMPUTED_VALUE"""),"8717323051504")</f>
        <v>8717323051504</v>
      </c>
      <c r="C13162" t="str">
        <f>IFERROR(__xludf.DUMMYFUNCTION("""COMPUTED_VALUE"""),"ECS")</f>
        <v>ECS</v>
      </c>
    </row>
    <row r="13163">
      <c r="A13163" t="str">
        <f>IFERROR(__xludf.DUMMYFUNCTION("""COMPUTED_VALUE"""),"JE003BX")</f>
        <v>JE003BX</v>
      </c>
      <c r="B13163" s="226" t="str">
        <f>IFERROR(__xludf.DUMMYFUNCTION("""COMPUTED_VALUE"""),"8717323068878")</f>
        <v>8717323068878</v>
      </c>
      <c r="C13163" t="str">
        <f>IFERROR(__xludf.DUMMYFUNCTION("""COMPUTED_VALUE"""),"ECS")</f>
        <v>ECS</v>
      </c>
    </row>
    <row r="13164">
      <c r="A13164" t="str">
        <f>IFERROR(__xludf.DUMMYFUNCTION("""COMPUTED_VALUE"""),"JE003DX")</f>
        <v>JE003DX</v>
      </c>
      <c r="B13164" s="226" t="str">
        <f>IFERROR(__xludf.DUMMYFUNCTION("""COMPUTED_VALUE"""),"8717323068885")</f>
        <v>8717323068885</v>
      </c>
      <c r="C13164" t="str">
        <f>IFERROR(__xludf.DUMMYFUNCTION("""COMPUTED_VALUE"""),"ECS")</f>
        <v>ECS</v>
      </c>
    </row>
    <row r="13165">
      <c r="A13165" t="str">
        <f>IFERROR(__xludf.DUMMYFUNCTION("""COMPUTED_VALUE"""),"CR033HH")</f>
        <v>CR033HH</v>
      </c>
      <c r="B13165" s="226" t="str">
        <f>IFERROR(__xludf.DUMMYFUNCTION("""COMPUTED_VALUE"""),"8717323014783")</f>
        <v>8717323014783</v>
      </c>
      <c r="C13165" t="str">
        <f>IFERROR(__xludf.DUMMYFUNCTION("""COMPUTED_VALUE"""),"ECS")</f>
        <v>ECS</v>
      </c>
    </row>
    <row r="13166">
      <c r="A13166" t="str">
        <f>IFERROR(__xludf.DUMMYFUNCTION("""COMPUTED_VALUE"""),"CR034BH")</f>
        <v>CR034BH</v>
      </c>
      <c r="B13166" s="226" t="str">
        <f>IFERROR(__xludf.DUMMYFUNCTION("""COMPUTED_VALUE"""),"8717323049488")</f>
        <v>8717323049488</v>
      </c>
      <c r="C13166" t="str">
        <f>IFERROR(__xludf.DUMMYFUNCTION("""COMPUTED_VALUE"""),"ECS")</f>
        <v>ECS</v>
      </c>
    </row>
    <row r="13167">
      <c r="A13167" t="str">
        <f>IFERROR(__xludf.DUMMYFUNCTION("""COMPUTED_VALUE"""),"CR034HH")</f>
        <v>CR034HH</v>
      </c>
      <c r="B13167" s="226" t="str">
        <f>IFERROR(__xludf.DUMMYFUNCTION("""COMPUTED_VALUE"""),"8717323014011")</f>
        <v>8717323014011</v>
      </c>
      <c r="C13167" t="str">
        <f>IFERROR(__xludf.DUMMYFUNCTION("""COMPUTED_VALUE"""),"ECS")</f>
        <v>ECS</v>
      </c>
    </row>
    <row r="13168">
      <c r="A13168" t="str">
        <f>IFERROR(__xludf.DUMMYFUNCTION("""COMPUTED_VALUE"""),"FI044BX")</f>
        <v>FI044BX</v>
      </c>
      <c r="B13168" s="226" t="str">
        <f>IFERROR(__xludf.DUMMYFUNCTION("""COMPUTED_VALUE"""),"8717323052297")</f>
        <v>8717323052297</v>
      </c>
      <c r="C13168" t="str">
        <f>IFERROR(__xludf.DUMMYFUNCTION("""COMPUTED_VALUE"""),"ECS")</f>
        <v>ECS</v>
      </c>
    </row>
    <row r="13169">
      <c r="A13169" t="str">
        <f>IFERROR(__xludf.DUMMYFUNCTION("""COMPUTED_VALUE"""),"FI044DX")</f>
        <v>FI044DX</v>
      </c>
      <c r="B13169" s="226" t="str">
        <f>IFERROR(__xludf.DUMMYFUNCTION("""COMPUTED_VALUE"""),"8717323052303")</f>
        <v>8717323052303</v>
      </c>
      <c r="C13169" t="str">
        <f>IFERROR(__xludf.DUMMYFUNCTION("""COMPUTED_VALUE"""),"ECS")</f>
        <v>ECS</v>
      </c>
    </row>
    <row r="13170">
      <c r="A13170" t="str">
        <f>IFERROR(__xludf.DUMMYFUNCTION("""COMPUTED_VALUE"""),"CR009HL")</f>
        <v>CR009HL</v>
      </c>
      <c r="B13170" s="226" t="str">
        <f>IFERROR(__xludf.DUMMYFUNCTION("""COMPUTED_VALUE"""),"8717323023327")</f>
        <v>8717323023327</v>
      </c>
      <c r="C13170" t="str">
        <f>IFERROR(__xludf.DUMMYFUNCTION("""COMPUTED_VALUE"""),"ECS")</f>
        <v>ECS</v>
      </c>
    </row>
    <row r="13171">
      <c r="A13171" t="str">
        <f>IFERROR(__xludf.DUMMYFUNCTION("""COMPUTED_VALUE"""),"CR002BB")</f>
        <v>CR002BB</v>
      </c>
      <c r="B13171" s="226" t="str">
        <f>IFERROR(__xludf.DUMMYFUNCTION("""COMPUTED_VALUE"""),"8717323000748")</f>
        <v>8717323000748</v>
      </c>
      <c r="C13171" t="str">
        <f>IFERROR(__xludf.DUMMYFUNCTION("""COMPUTED_VALUE"""),"ECS")</f>
        <v>ECS</v>
      </c>
    </row>
    <row r="13172">
      <c r="A13172" t="str">
        <f>IFERROR(__xludf.DUMMYFUNCTION("""COMPUTED_VALUE"""),"CR002DL")</f>
        <v>CR002DL</v>
      </c>
      <c r="B13172" s="226" t="str">
        <f>IFERROR(__xludf.DUMMYFUNCTION("""COMPUTED_VALUE"""),"8717323018071")</f>
        <v>8717323018071</v>
      </c>
      <c r="C13172" t="str">
        <f>IFERROR(__xludf.DUMMYFUNCTION("""COMPUTED_VALUE"""),"ECS")</f>
        <v>ECS</v>
      </c>
    </row>
    <row r="13173">
      <c r="A13173" t="str">
        <f>IFERROR(__xludf.DUMMYFUNCTION("""COMPUTED_VALUE"""),"CR027HH")</f>
        <v>CR027HH</v>
      </c>
      <c r="B13173" s="226" t="str">
        <f>IFERROR(__xludf.DUMMYFUNCTION("""COMPUTED_VALUE"""),"8717323012345")</f>
        <v>8717323012345</v>
      </c>
      <c r="C13173" t="str">
        <f>IFERROR(__xludf.DUMMYFUNCTION("""COMPUTED_VALUE"""),"ECS")</f>
        <v>ECS</v>
      </c>
    </row>
    <row r="13174">
      <c r="A13174" t="str">
        <f>IFERROR(__xludf.DUMMYFUNCTION("""COMPUTED_VALUE"""),"CR033HH")</f>
        <v>CR033HH</v>
      </c>
      <c r="B13174" s="226" t="str">
        <f>IFERROR(__xludf.DUMMYFUNCTION("""COMPUTED_VALUE"""),"8717323014783")</f>
        <v>8717323014783</v>
      </c>
      <c r="C13174" t="str">
        <f>IFERROR(__xludf.DUMMYFUNCTION("""COMPUTED_VALUE"""),"ECS")</f>
        <v>ECS</v>
      </c>
    </row>
    <row r="13175">
      <c r="A13175" t="str">
        <f>IFERROR(__xludf.DUMMYFUNCTION("""COMPUTED_VALUE"""),"CR056BB")</f>
        <v>CR056BB</v>
      </c>
      <c r="B13175" s="226" t="str">
        <f>IFERROR(__xludf.DUMMYFUNCTION("""COMPUTED_VALUE"""),"8717323024980")</f>
        <v>8717323024980</v>
      </c>
      <c r="C13175" t="str">
        <f>IFERROR(__xludf.DUMMYFUNCTION("""COMPUTED_VALUE"""),"ECS")</f>
        <v>ECS</v>
      </c>
    </row>
    <row r="13176">
      <c r="A13176" t="str">
        <f>IFERROR(__xludf.DUMMYFUNCTION("""COMPUTED_VALUE"""),"CR056DH")</f>
        <v>CR056DH</v>
      </c>
      <c r="B13176" s="226" t="str">
        <f>IFERROR(__xludf.DUMMYFUNCTION("""COMPUTED_VALUE"""),"8717323024997")</f>
        <v>8717323024997</v>
      </c>
      <c r="C13176" t="str">
        <f>IFERROR(__xludf.DUMMYFUNCTION("""COMPUTED_VALUE"""),"ECS")</f>
        <v>ECS</v>
      </c>
    </row>
    <row r="13177">
      <c r="A13177" t="str">
        <f>IFERROR(__xludf.DUMMYFUNCTION("""COMPUTED_VALUE"""),"CR066BH")</f>
        <v>CR066BH</v>
      </c>
      <c r="B13177" s="226" t="str">
        <f>IFERROR(__xludf.DUMMYFUNCTION("""COMPUTED_VALUE"""),"8717323049532")</f>
        <v>8717323049532</v>
      </c>
      <c r="C13177" t="str">
        <f>IFERROR(__xludf.DUMMYFUNCTION("""COMPUTED_VALUE"""),"ECS")</f>
        <v>ECS</v>
      </c>
    </row>
    <row r="13178">
      <c r="A13178" t="str">
        <f>IFERROR(__xludf.DUMMYFUNCTION("""COMPUTED_VALUE"""),"CR066DH")</f>
        <v>CR066DH</v>
      </c>
      <c r="B13178" s="226" t="str">
        <f>IFERROR(__xludf.DUMMYFUNCTION("""COMPUTED_VALUE"""),"8717323049549")</f>
        <v>8717323049549</v>
      </c>
      <c r="C13178" t="str">
        <f>IFERROR(__xludf.DUMMYFUNCTION("""COMPUTED_VALUE"""),"ECS")</f>
        <v>ECS</v>
      </c>
    </row>
    <row r="13179">
      <c r="A13179" t="str">
        <f>IFERROR(__xludf.DUMMYFUNCTION("""COMPUTED_VALUE"""),"CR034BH")</f>
        <v>CR034BH</v>
      </c>
      <c r="B13179" s="226" t="str">
        <f>IFERROR(__xludf.DUMMYFUNCTION("""COMPUTED_VALUE"""),"8717323049488")</f>
        <v>8717323049488</v>
      </c>
      <c r="C13179" t="str">
        <f>IFERROR(__xludf.DUMMYFUNCTION("""COMPUTED_VALUE"""),"ECS")</f>
        <v>ECS</v>
      </c>
    </row>
    <row r="13180">
      <c r="A13180" t="str">
        <f>IFERROR(__xludf.DUMMYFUNCTION("""COMPUTED_VALUE"""),"CR034HH")</f>
        <v>CR034HH</v>
      </c>
      <c r="B13180" s="226" t="str">
        <f>IFERROR(__xludf.DUMMYFUNCTION("""COMPUTED_VALUE"""),"8717323014011")</f>
        <v>8717323014011</v>
      </c>
      <c r="C13180" t="str">
        <f>IFERROR(__xludf.DUMMYFUNCTION("""COMPUTED_VALUE"""),"ECS")</f>
        <v>ECS</v>
      </c>
    </row>
    <row r="13181">
      <c r="A13181" t="str">
        <f>IFERROR(__xludf.DUMMYFUNCTION("""COMPUTED_VALUE"""),"FI044BX")</f>
        <v>FI044BX</v>
      </c>
      <c r="B13181" s="226" t="str">
        <f>IFERROR(__xludf.DUMMYFUNCTION("""COMPUTED_VALUE"""),"8717323052297")</f>
        <v>8717323052297</v>
      </c>
      <c r="C13181" t="str">
        <f>IFERROR(__xludf.DUMMYFUNCTION("""COMPUTED_VALUE"""),"ECS")</f>
        <v>ECS</v>
      </c>
    </row>
    <row r="13182">
      <c r="A13182" t="str">
        <f>IFERROR(__xludf.DUMMYFUNCTION("""COMPUTED_VALUE"""),"FI044DX")</f>
        <v>FI044DX</v>
      </c>
      <c r="B13182" s="226" t="str">
        <f>IFERROR(__xludf.DUMMYFUNCTION("""COMPUTED_VALUE"""),"8717323052303")</f>
        <v>8717323052303</v>
      </c>
      <c r="C13182" t="str">
        <f>IFERROR(__xludf.DUMMYFUNCTION("""COMPUTED_VALUE"""),"ECS")</f>
        <v>ECS</v>
      </c>
    </row>
    <row r="13183">
      <c r="A13183" t="str">
        <f>IFERROR(__xludf.DUMMYFUNCTION("""COMPUTED_VALUE"""),"CR041DH")</f>
        <v>CR041DH</v>
      </c>
      <c r="B13183" s="226" t="str">
        <f>IFERROR(__xludf.DUMMYFUNCTION("""COMPUTED_VALUE"""),"8717323015940")</f>
        <v>8717323015940</v>
      </c>
      <c r="C13183" t="str">
        <f>IFERROR(__xludf.DUMMYFUNCTION("""COMPUTED_VALUE"""),"ECS")</f>
        <v>ECS</v>
      </c>
    </row>
    <row r="13184">
      <c r="A13184" t="str">
        <f>IFERROR(__xludf.DUMMYFUNCTION("""COMPUTED_VALUE"""),"CR041FL")</f>
        <v>CR041FL</v>
      </c>
      <c r="B13184" s="226" t="str">
        <f>IFERROR(__xludf.DUMMYFUNCTION("""COMPUTED_VALUE"""),"8717323029770")</f>
        <v>8717323029770</v>
      </c>
      <c r="C13184" t="str">
        <f>IFERROR(__xludf.DUMMYFUNCTION("""COMPUTED_VALUE"""),"ECS")</f>
        <v>ECS</v>
      </c>
    </row>
    <row r="13185">
      <c r="A13185" t="str">
        <f>IFERROR(__xludf.DUMMYFUNCTION("""COMPUTED_VALUE"""),"KI023BB")</f>
        <v>KI023BB</v>
      </c>
      <c r="B13185" s="226" t="str">
        <f>IFERROR(__xludf.DUMMYFUNCTION("""COMPUTED_VALUE"""),"8717323003121")</f>
        <v>8717323003121</v>
      </c>
      <c r="C13185" t="str">
        <f>IFERROR(__xludf.DUMMYFUNCTION("""COMPUTED_VALUE"""),"ECS")</f>
        <v>ECS</v>
      </c>
    </row>
    <row r="13186">
      <c r="A13186" t="str">
        <f>IFERROR(__xludf.DUMMYFUNCTION("""COMPUTED_VALUE"""),"KI037BB")</f>
        <v>KI037BB</v>
      </c>
      <c r="B13186" s="226" t="str">
        <f>IFERROR(__xludf.DUMMYFUNCTION("""COMPUTED_VALUE"""),"8717323013830")</f>
        <v>8717323013830</v>
      </c>
      <c r="C13186" t="str">
        <f>IFERROR(__xludf.DUMMYFUNCTION("""COMPUTED_VALUE"""),"ECS")</f>
        <v>ECS</v>
      </c>
    </row>
    <row r="13187">
      <c r="A13187" t="str">
        <f>IFERROR(__xludf.DUMMYFUNCTION("""COMPUTED_VALUE"""),"KI037DH")</f>
        <v>KI037DH</v>
      </c>
      <c r="B13187" s="226" t="str">
        <f>IFERROR(__xludf.DUMMYFUNCTION("""COMPUTED_VALUE"""),"8717323014202")</f>
        <v>8717323014202</v>
      </c>
      <c r="C13187" t="str">
        <f>IFERROR(__xludf.DUMMYFUNCTION("""COMPUTED_VALUE"""),"ECS")</f>
        <v>ECS</v>
      </c>
    </row>
    <row r="13188">
      <c r="A13188" t="str">
        <f>IFERROR(__xludf.DUMMYFUNCTION("""COMPUTED_VALUE"""),"KI068BH")</f>
        <v>KI068BH</v>
      </c>
      <c r="B13188" s="226" t="str">
        <f>IFERROR(__xludf.DUMMYFUNCTION("""COMPUTED_VALUE"""),"8717323047996")</f>
        <v>8717323047996</v>
      </c>
      <c r="C13188" t="str">
        <f>IFERROR(__xludf.DUMMYFUNCTION("""COMPUTED_VALUE"""),"ECS")</f>
        <v>ECS</v>
      </c>
    </row>
    <row r="13189">
      <c r="A13189" t="str">
        <f>IFERROR(__xludf.DUMMYFUNCTION("""COMPUTED_VALUE"""),"KI068DH")</f>
        <v>KI068DH</v>
      </c>
      <c r="B13189" s="226" t="str">
        <f>IFERROR(__xludf.DUMMYFUNCTION("""COMPUTED_VALUE"""),"8717323048009")</f>
        <v>8717323048009</v>
      </c>
      <c r="C13189" t="str">
        <f>IFERROR(__xludf.DUMMYFUNCTION("""COMPUTED_VALUE"""),"ECS")</f>
        <v>ECS</v>
      </c>
    </row>
    <row r="13190">
      <c r="A13190" t="str">
        <f>IFERROR(__xludf.DUMMYFUNCTION("""COMPUTED_VALUE"""),"KI034BB")</f>
        <v>KI034BB</v>
      </c>
      <c r="B13190" s="226" t="str">
        <f>IFERROR(__xludf.DUMMYFUNCTION("""COMPUTED_VALUE"""),"8717323013953")</f>
        <v>8717323013953</v>
      </c>
      <c r="C13190" t="str">
        <f>IFERROR(__xludf.DUMMYFUNCTION("""COMPUTED_VALUE"""),"ECS")</f>
        <v>ECS</v>
      </c>
    </row>
    <row r="13191">
      <c r="A13191" t="str">
        <f>IFERROR(__xludf.DUMMYFUNCTION("""COMPUTED_VALUE"""),"KI034BH")</f>
        <v>KI034BH</v>
      </c>
      <c r="B13191" s="226" t="str">
        <f>IFERROR(__xludf.DUMMYFUNCTION("""COMPUTED_VALUE"""),"8717323013960")</f>
        <v>8717323013960</v>
      </c>
      <c r="C13191" t="str">
        <f>IFERROR(__xludf.DUMMYFUNCTION("""COMPUTED_VALUE"""),"ECS")</f>
        <v>ECS</v>
      </c>
    </row>
    <row r="13192">
      <c r="A13192" t="str">
        <f>IFERROR(__xludf.DUMMYFUNCTION("""COMPUTED_VALUE"""),"KI034DH")</f>
        <v>KI034DH</v>
      </c>
      <c r="B13192" s="226" t="str">
        <f>IFERROR(__xludf.DUMMYFUNCTION("""COMPUTED_VALUE"""),"8717323013977")</f>
        <v>8717323013977</v>
      </c>
      <c r="C13192" t="str">
        <f>IFERROR(__xludf.DUMMYFUNCTION("""COMPUTED_VALUE"""),"ECS")</f>
        <v>ECS</v>
      </c>
    </row>
    <row r="13193">
      <c r="A13193" t="str">
        <f>IFERROR(__xludf.DUMMYFUNCTION("""COMPUTED_VALUE"""),"KI035BH")</f>
        <v>KI035BH</v>
      </c>
      <c r="B13193" s="226" t="str">
        <f>IFERROR(__xludf.DUMMYFUNCTION("""COMPUTED_VALUE"""),"8717323014707")</f>
        <v>8717323014707</v>
      </c>
      <c r="C13193" t="str">
        <f>IFERROR(__xludf.DUMMYFUNCTION("""COMPUTED_VALUE"""),"ECS")</f>
        <v>ECS</v>
      </c>
    </row>
    <row r="13194">
      <c r="A13194" t="str">
        <f>IFERROR(__xludf.DUMMYFUNCTION("""COMPUTED_VALUE"""),"KI035DB")</f>
        <v>KI035DB</v>
      </c>
      <c r="B13194" s="226" t="str">
        <f>IFERROR(__xludf.DUMMYFUNCTION("""COMPUTED_VALUE"""),"8717323014714")</f>
        <v>8717323014714</v>
      </c>
      <c r="C13194" t="str">
        <f>IFERROR(__xludf.DUMMYFUNCTION("""COMPUTED_VALUE"""),"ECS")</f>
        <v>ECS</v>
      </c>
    </row>
    <row r="13195">
      <c r="A13195" t="str">
        <f>IFERROR(__xludf.DUMMYFUNCTION("""COMPUTED_VALUE"""),"KI035DH")</f>
        <v>KI035DH</v>
      </c>
      <c r="B13195" s="226" t="str">
        <f>IFERROR(__xludf.DUMMYFUNCTION("""COMPUTED_VALUE"""),"8717323014738")</f>
        <v>8717323014738</v>
      </c>
      <c r="C13195" t="str">
        <f>IFERROR(__xludf.DUMMYFUNCTION("""COMPUTED_VALUE"""),"ECS")</f>
        <v>ECS</v>
      </c>
    </row>
    <row r="13196">
      <c r="A13196" t="str">
        <f>IFERROR(__xludf.DUMMYFUNCTION("""COMPUTED_VALUE"""),"KI047BB")</f>
        <v>KI047BB</v>
      </c>
      <c r="B13196" s="226" t="str">
        <f>IFERROR(__xludf.DUMMYFUNCTION("""COMPUTED_VALUE"""),"8717323022658")</f>
        <v>8717323022658</v>
      </c>
      <c r="C13196" t="str">
        <f>IFERROR(__xludf.DUMMYFUNCTION("""COMPUTED_VALUE"""),"ECS")</f>
        <v>ECS</v>
      </c>
    </row>
    <row r="13197">
      <c r="A13197" t="str">
        <f>IFERROR(__xludf.DUMMYFUNCTION("""COMPUTED_VALUE"""),"KI047DH")</f>
        <v>KI047DH</v>
      </c>
      <c r="B13197" s="226" t="str">
        <f>IFERROR(__xludf.DUMMYFUNCTION("""COMPUTED_VALUE"""),"8717323022672")</f>
        <v>8717323022672</v>
      </c>
      <c r="C13197" t="str">
        <f>IFERROR(__xludf.DUMMYFUNCTION("""COMPUTED_VALUE"""),"ECS")</f>
        <v>ECS</v>
      </c>
    </row>
    <row r="13198">
      <c r="A13198" t="str">
        <f>IFERROR(__xludf.DUMMYFUNCTION("""COMPUTED_VALUE"""),"KI064BH")</f>
        <v>KI064BH</v>
      </c>
      <c r="B13198" s="226" t="str">
        <f>IFERROR(__xludf.DUMMYFUNCTION("""COMPUTED_VALUE"""),"8717323028063")</f>
        <v>8717323028063</v>
      </c>
      <c r="C13198" t="str">
        <f>IFERROR(__xludf.DUMMYFUNCTION("""COMPUTED_VALUE"""),"ECS")</f>
        <v>ECS</v>
      </c>
    </row>
    <row r="13199">
      <c r="A13199" t="str">
        <f>IFERROR(__xludf.DUMMYFUNCTION("""COMPUTED_VALUE"""),"KI064DH")</f>
        <v>KI064DH</v>
      </c>
      <c r="B13199" s="226" t="str">
        <f>IFERROR(__xludf.DUMMYFUNCTION("""COMPUTED_VALUE"""),"8717323028124")</f>
        <v>8717323028124</v>
      </c>
      <c r="C13199" t="str">
        <f>IFERROR(__xludf.DUMMYFUNCTION("""COMPUTED_VALUE"""),"ECS")</f>
        <v>ECS</v>
      </c>
    </row>
    <row r="13200">
      <c r="A13200" t="str">
        <f>IFERROR(__xludf.DUMMYFUNCTION("""COMPUTED_VALUE"""),"KI132BX")</f>
        <v>KI132BX</v>
      </c>
      <c r="B13200" s="226" t="str">
        <f>IFERROR(__xludf.DUMMYFUNCTION("""COMPUTED_VALUE"""),"8717323068366")</f>
        <v>8717323068366</v>
      </c>
      <c r="C13200" t="str">
        <f>IFERROR(__xludf.DUMMYFUNCTION("""COMPUTED_VALUE"""),"ECS")</f>
        <v>ECS</v>
      </c>
    </row>
    <row r="13201">
      <c r="A13201" t="str">
        <f>IFERROR(__xludf.DUMMYFUNCTION("""COMPUTED_VALUE"""),"KI132DX")</f>
        <v>KI132DX</v>
      </c>
      <c r="B13201" s="226" t="str">
        <f>IFERROR(__xludf.DUMMYFUNCTION("""COMPUTED_VALUE"""),"8717323068373")</f>
        <v>8717323068373</v>
      </c>
      <c r="C13201" t="str">
        <f>IFERROR(__xludf.DUMMYFUNCTION("""COMPUTED_VALUE"""),"ECS")</f>
        <v>ECS</v>
      </c>
    </row>
    <row r="13202">
      <c r="A13202" t="str">
        <f>IFERROR(__xludf.DUMMYFUNCTION("""COMPUTED_VALUE"""),"KI026BB")</f>
        <v>KI026BB</v>
      </c>
      <c r="B13202" s="226" t="str">
        <f>IFERROR(__xludf.DUMMYFUNCTION("""COMPUTED_VALUE"""),"8717323010235")</f>
        <v>8717323010235</v>
      </c>
      <c r="C13202" t="str">
        <f>IFERROR(__xludf.DUMMYFUNCTION("""COMPUTED_VALUE"""),"ECS")</f>
        <v>ECS</v>
      </c>
    </row>
    <row r="13203">
      <c r="A13203" t="str">
        <f>IFERROR(__xludf.DUMMYFUNCTION("""COMPUTED_VALUE"""),"KI038BB")</f>
        <v>KI038BB</v>
      </c>
      <c r="B13203" s="226" t="str">
        <f>IFERROR(__xludf.DUMMYFUNCTION("""COMPUTED_VALUE"""),"8717323014660")</f>
        <v>8717323014660</v>
      </c>
      <c r="C13203" t="str">
        <f>IFERROR(__xludf.DUMMYFUNCTION("""COMPUTED_VALUE"""),"ECS")</f>
        <v>ECS</v>
      </c>
    </row>
    <row r="13204">
      <c r="A13204" t="str">
        <f>IFERROR(__xludf.DUMMYFUNCTION("""COMPUTED_VALUE"""),"KI026BB")</f>
        <v>KI026BB</v>
      </c>
      <c r="B13204" s="226" t="str">
        <f>IFERROR(__xludf.DUMMYFUNCTION("""COMPUTED_VALUE"""),"8717323010235")</f>
        <v>8717323010235</v>
      </c>
      <c r="C13204" t="str">
        <f>IFERROR(__xludf.DUMMYFUNCTION("""COMPUTED_VALUE"""),"ECS")</f>
        <v>ECS</v>
      </c>
    </row>
    <row r="13205">
      <c r="A13205" t="str">
        <f>IFERROR(__xludf.DUMMYFUNCTION("""COMPUTED_VALUE"""),"KI038BB")</f>
        <v>KI038BB</v>
      </c>
      <c r="B13205" s="226" t="str">
        <f>IFERROR(__xludf.DUMMYFUNCTION("""COMPUTED_VALUE"""),"8717323014660")</f>
        <v>8717323014660</v>
      </c>
      <c r="C13205" t="str">
        <f>IFERROR(__xludf.DUMMYFUNCTION("""COMPUTED_VALUE"""),"ECS")</f>
        <v>ECS</v>
      </c>
    </row>
    <row r="13206">
      <c r="A13206" t="str">
        <f>IFERROR(__xludf.DUMMYFUNCTION("""COMPUTED_VALUE"""),"KI030DB")</f>
        <v>KI030DB</v>
      </c>
      <c r="B13206" s="226" t="str">
        <f>IFERROR(__xludf.DUMMYFUNCTION("""COMPUTED_VALUE"""),"8717323011638")</f>
        <v>8717323011638</v>
      </c>
      <c r="C13206" t="str">
        <f>IFERROR(__xludf.DUMMYFUNCTION("""COMPUTED_VALUE"""),"ECS")</f>
        <v>ECS</v>
      </c>
    </row>
    <row r="13207">
      <c r="A13207" t="str">
        <f>IFERROR(__xludf.DUMMYFUNCTION("""COMPUTED_VALUE"""),"KI033BB")</f>
        <v>KI033BB</v>
      </c>
      <c r="B13207" s="226" t="str">
        <f>IFERROR(__xludf.DUMMYFUNCTION("""COMPUTED_VALUE"""),"8717323013137")</f>
        <v>8717323013137</v>
      </c>
      <c r="C13207" t="str">
        <f>IFERROR(__xludf.DUMMYFUNCTION("""COMPUTED_VALUE"""),"ECS")</f>
        <v>ECS</v>
      </c>
    </row>
    <row r="13208">
      <c r="A13208" t="str">
        <f>IFERROR(__xludf.DUMMYFUNCTION("""COMPUTED_VALUE"""),"KI033DH")</f>
        <v>KI033DH</v>
      </c>
      <c r="B13208" s="226" t="str">
        <f>IFERROR(__xludf.DUMMYFUNCTION("""COMPUTED_VALUE"""),"8717323013144")</f>
        <v>8717323013144</v>
      </c>
      <c r="C13208" t="str">
        <f>IFERROR(__xludf.DUMMYFUNCTION("""COMPUTED_VALUE"""),"ECS")</f>
        <v>ECS</v>
      </c>
    </row>
    <row r="13209">
      <c r="A13209" t="str">
        <f>IFERROR(__xludf.DUMMYFUNCTION("""COMPUTED_VALUE"""),"KI132BX")</f>
        <v>KI132BX</v>
      </c>
      <c r="B13209" s="226" t="str">
        <f>IFERROR(__xludf.DUMMYFUNCTION("""COMPUTED_VALUE"""),"8717323068366")</f>
        <v>8717323068366</v>
      </c>
      <c r="C13209" t="str">
        <f>IFERROR(__xludf.DUMMYFUNCTION("""COMPUTED_VALUE"""),"ECS")</f>
        <v>ECS</v>
      </c>
    </row>
    <row r="13210">
      <c r="A13210" t="str">
        <f>IFERROR(__xludf.DUMMYFUNCTION("""COMPUTED_VALUE"""),"KI132DX")</f>
        <v>KI132DX</v>
      </c>
      <c r="B13210" s="226" t="str">
        <f>IFERROR(__xludf.DUMMYFUNCTION("""COMPUTED_VALUE"""),"8717323068373")</f>
        <v>8717323068373</v>
      </c>
      <c r="C13210" t="str">
        <f>IFERROR(__xludf.DUMMYFUNCTION("""COMPUTED_VALUE"""),"ECS")</f>
        <v>ECS</v>
      </c>
    </row>
    <row r="13211">
      <c r="A13211" t="str">
        <f>IFERROR(__xludf.DUMMYFUNCTION("""COMPUTED_VALUE"""),"KI099BL")</f>
        <v>KI099BL</v>
      </c>
      <c r="B13211" s="226" t="str">
        <f>IFERROR(__xludf.DUMMYFUNCTION("""COMPUTED_VALUE"""),"8717323065815")</f>
        <v>8717323065815</v>
      </c>
      <c r="C13211" t="str">
        <f>IFERROR(__xludf.DUMMYFUNCTION("""COMPUTED_VALUE"""),"ECS")</f>
        <v>ECS</v>
      </c>
    </row>
    <row r="13212">
      <c r="A13212" t="str">
        <f>IFERROR(__xludf.DUMMYFUNCTION("""COMPUTED_VALUE"""),"KI099DL")</f>
        <v>KI099DL</v>
      </c>
      <c r="B13212" s="226" t="str">
        <f>IFERROR(__xludf.DUMMYFUNCTION("""COMPUTED_VALUE"""),"8717323065822")</f>
        <v>8717323065822</v>
      </c>
      <c r="C13212" t="str">
        <f>IFERROR(__xludf.DUMMYFUNCTION("""COMPUTED_VALUE"""),"ECS")</f>
        <v>ECS</v>
      </c>
    </row>
    <row r="13213">
      <c r="A13213" t="str">
        <f>IFERROR(__xludf.DUMMYFUNCTION("""COMPUTED_VALUE"""),"KI099BL")</f>
        <v>KI099BL</v>
      </c>
      <c r="B13213" s="226" t="str">
        <f>IFERROR(__xludf.DUMMYFUNCTION("""COMPUTED_VALUE"""),"8717323065815")</f>
        <v>8717323065815</v>
      </c>
      <c r="C13213" t="str">
        <f>IFERROR(__xludf.DUMMYFUNCTION("""COMPUTED_VALUE"""),"ECS")</f>
        <v>ECS</v>
      </c>
    </row>
    <row r="13214">
      <c r="A13214" t="str">
        <f>IFERROR(__xludf.DUMMYFUNCTION("""COMPUTED_VALUE"""),"KI099DL")</f>
        <v>KI099DL</v>
      </c>
      <c r="B13214" s="226" t="str">
        <f>IFERROR(__xludf.DUMMYFUNCTION("""COMPUTED_VALUE"""),"8717323065822")</f>
        <v>8717323065822</v>
      </c>
      <c r="C13214" t="str">
        <f>IFERROR(__xludf.DUMMYFUNCTION("""COMPUTED_VALUE"""),"ECS")</f>
        <v>ECS</v>
      </c>
    </row>
    <row r="13215">
      <c r="A13215" t="str">
        <f>IFERROR(__xludf.DUMMYFUNCTION("""COMPUTED_VALUE"""),"KI101BH")</f>
        <v>KI101BH</v>
      </c>
      <c r="B13215" s="226" t="str">
        <f>IFERROR(__xludf.DUMMYFUNCTION("""COMPUTED_VALUE"""),"8717323059708")</f>
        <v>8717323059708</v>
      </c>
      <c r="C13215" t="str">
        <f>IFERROR(__xludf.DUMMYFUNCTION("""COMPUTED_VALUE"""),"ECS")</f>
        <v>ECS</v>
      </c>
    </row>
    <row r="13216">
      <c r="A13216" t="str">
        <f>IFERROR(__xludf.DUMMYFUNCTION("""COMPUTED_VALUE"""),"KI101DH")</f>
        <v>KI101DH</v>
      </c>
      <c r="B13216" s="226" t="str">
        <f>IFERROR(__xludf.DUMMYFUNCTION("""COMPUTED_VALUE"""),"8717323059715")</f>
        <v>8717323059715</v>
      </c>
      <c r="C13216" t="str">
        <f>IFERROR(__xludf.DUMMYFUNCTION("""COMPUTED_VALUE"""),"ECS")</f>
        <v>ECS</v>
      </c>
    </row>
    <row r="13217">
      <c r="A13217" t="str">
        <f>IFERROR(__xludf.DUMMYFUNCTION("""COMPUTED_VALUE"""),"KI059BH")</f>
        <v>KI059BH</v>
      </c>
      <c r="B13217" s="226" t="str">
        <f>IFERROR(__xludf.DUMMYFUNCTION("""COMPUTED_VALUE"""),"8717323031155")</f>
        <v>8717323031155</v>
      </c>
      <c r="C13217" t="str">
        <f>IFERROR(__xludf.DUMMYFUNCTION("""COMPUTED_VALUE"""),"ECS")</f>
        <v>ECS</v>
      </c>
    </row>
    <row r="13218">
      <c r="A13218" t="str">
        <f>IFERROR(__xludf.DUMMYFUNCTION("""COMPUTED_VALUE"""),"KI059DH")</f>
        <v>KI059DH</v>
      </c>
      <c r="B13218" s="226" t="str">
        <f>IFERROR(__xludf.DUMMYFUNCTION("""COMPUTED_VALUE"""),"8717323033999")</f>
        <v>8717323033999</v>
      </c>
      <c r="C13218" t="str">
        <f>IFERROR(__xludf.DUMMYFUNCTION("""COMPUTED_VALUE"""),"ECS")</f>
        <v>ECS</v>
      </c>
    </row>
    <row r="13219">
      <c r="A13219" t="str">
        <f>IFERROR(__xludf.DUMMYFUNCTION("""COMPUTED_VALUE"""),"KI088BH")</f>
        <v>KI088BH</v>
      </c>
      <c r="B13219" s="226" t="str">
        <f>IFERROR(__xludf.DUMMYFUNCTION("""COMPUTED_VALUE"""),"8717323055922")</f>
        <v>8717323055922</v>
      </c>
      <c r="C13219" t="str">
        <f>IFERROR(__xludf.DUMMYFUNCTION("""COMPUTED_VALUE"""),"ECS")</f>
        <v>ECS</v>
      </c>
    </row>
    <row r="13220">
      <c r="A13220" t="str">
        <f>IFERROR(__xludf.DUMMYFUNCTION("""COMPUTED_VALUE"""),"KI088DH")</f>
        <v>KI088DH</v>
      </c>
      <c r="B13220" s="226" t="str">
        <f>IFERROR(__xludf.DUMMYFUNCTION("""COMPUTED_VALUE"""),"8717323055939")</f>
        <v>8717323055939</v>
      </c>
      <c r="C13220" t="str">
        <f>IFERROR(__xludf.DUMMYFUNCTION("""COMPUTED_VALUE"""),"ECS")</f>
        <v>ECS</v>
      </c>
    </row>
    <row r="13221">
      <c r="A13221" t="str">
        <f>IFERROR(__xludf.DUMMYFUNCTION("""COMPUTED_VALUE"""),"KI101BH")</f>
        <v>KI101BH</v>
      </c>
      <c r="B13221" s="226" t="str">
        <f>IFERROR(__xludf.DUMMYFUNCTION("""COMPUTED_VALUE"""),"8717323059708")</f>
        <v>8717323059708</v>
      </c>
      <c r="C13221" t="str">
        <f>IFERROR(__xludf.DUMMYFUNCTION("""COMPUTED_VALUE"""),"ECS")</f>
        <v>ECS</v>
      </c>
    </row>
    <row r="13222">
      <c r="A13222" t="str">
        <f>IFERROR(__xludf.DUMMYFUNCTION("""COMPUTED_VALUE"""),"KI101DH")</f>
        <v>KI101DH</v>
      </c>
      <c r="B13222" s="226" t="str">
        <f>IFERROR(__xludf.DUMMYFUNCTION("""COMPUTED_VALUE"""),"8717323059715")</f>
        <v>8717323059715</v>
      </c>
      <c r="C13222" t="str">
        <f>IFERROR(__xludf.DUMMYFUNCTION("""COMPUTED_VALUE"""),"ECS")</f>
        <v>ECS</v>
      </c>
    </row>
    <row r="13223">
      <c r="A13223" t="str">
        <f>IFERROR(__xludf.DUMMYFUNCTION("""COMPUTED_VALUE"""),"KI040BB")</f>
        <v>KI040BB</v>
      </c>
      <c r="B13223" s="226" t="str">
        <f>IFERROR(__xludf.DUMMYFUNCTION("""COMPUTED_VALUE"""),"8717323015469")</f>
        <v>8717323015469</v>
      </c>
      <c r="C13223" t="str">
        <f>IFERROR(__xludf.DUMMYFUNCTION("""COMPUTED_VALUE"""),"ECS")</f>
        <v>ECS</v>
      </c>
    </row>
    <row r="13224">
      <c r="A13224" t="str">
        <f>IFERROR(__xludf.DUMMYFUNCTION("""COMPUTED_VALUE"""),"KI040DH")</f>
        <v>KI040DH</v>
      </c>
      <c r="B13224" s="226" t="str">
        <f>IFERROR(__xludf.DUMMYFUNCTION("""COMPUTED_VALUE"""),"8717323015476")</f>
        <v>8717323015476</v>
      </c>
      <c r="C13224" t="str">
        <f>IFERROR(__xludf.DUMMYFUNCTION("""COMPUTED_VALUE"""),"ECS")</f>
        <v>ECS</v>
      </c>
    </row>
    <row r="13225">
      <c r="A13225" t="str">
        <f>IFERROR(__xludf.DUMMYFUNCTION("""COMPUTED_VALUE"""),"KI061BB")</f>
        <v>KI061BB</v>
      </c>
      <c r="B13225" s="226" t="str">
        <f>IFERROR(__xludf.DUMMYFUNCTION("""COMPUTED_VALUE"""),"8717323025642")</f>
        <v>8717323025642</v>
      </c>
      <c r="C13225" t="str">
        <f>IFERROR(__xludf.DUMMYFUNCTION("""COMPUTED_VALUE"""),"ECS")</f>
        <v>ECS</v>
      </c>
    </row>
    <row r="13226">
      <c r="A13226" t="str">
        <f>IFERROR(__xludf.DUMMYFUNCTION("""COMPUTED_VALUE"""),"KI061DH")</f>
        <v>KI061DH</v>
      </c>
      <c r="B13226" s="226" t="str">
        <f>IFERROR(__xludf.DUMMYFUNCTION("""COMPUTED_VALUE"""),"8717323025659")</f>
        <v>8717323025659</v>
      </c>
      <c r="C13226" t="str">
        <f>IFERROR(__xludf.DUMMYFUNCTION("""COMPUTED_VALUE"""),"ECS")</f>
        <v>ECS</v>
      </c>
    </row>
    <row r="13227">
      <c r="A13227" t="str">
        <f>IFERROR(__xludf.DUMMYFUNCTION("""COMPUTED_VALUE"""),"KI040BB")</f>
        <v>KI040BB</v>
      </c>
      <c r="B13227" s="226" t="str">
        <f>IFERROR(__xludf.DUMMYFUNCTION("""COMPUTED_VALUE"""),"8717323015469")</f>
        <v>8717323015469</v>
      </c>
      <c r="C13227" t="str">
        <f>IFERROR(__xludf.DUMMYFUNCTION("""COMPUTED_VALUE"""),"ECS")</f>
        <v>ECS</v>
      </c>
    </row>
    <row r="13228">
      <c r="A13228" t="str">
        <f>IFERROR(__xludf.DUMMYFUNCTION("""COMPUTED_VALUE"""),"KI040DH")</f>
        <v>KI040DH</v>
      </c>
      <c r="B13228" s="226" t="str">
        <f>IFERROR(__xludf.DUMMYFUNCTION("""COMPUTED_VALUE"""),"8717323015476")</f>
        <v>8717323015476</v>
      </c>
      <c r="C13228" t="str">
        <f>IFERROR(__xludf.DUMMYFUNCTION("""COMPUTED_VALUE"""),"ECS")</f>
        <v>ECS</v>
      </c>
    </row>
    <row r="13229">
      <c r="A13229" t="str">
        <f>IFERROR(__xludf.DUMMYFUNCTION("""COMPUTED_VALUE"""),"KI061BB")</f>
        <v>KI061BB</v>
      </c>
      <c r="B13229" s="226" t="str">
        <f>IFERROR(__xludf.DUMMYFUNCTION("""COMPUTED_VALUE"""),"8717323025642")</f>
        <v>8717323025642</v>
      </c>
      <c r="C13229" t="str">
        <f>IFERROR(__xludf.DUMMYFUNCTION("""COMPUTED_VALUE"""),"ECS")</f>
        <v>ECS</v>
      </c>
    </row>
    <row r="13230">
      <c r="A13230" t="str">
        <f>IFERROR(__xludf.DUMMYFUNCTION("""COMPUTED_VALUE"""),"KI061DH")</f>
        <v>KI061DH</v>
      </c>
      <c r="B13230" s="226" t="str">
        <f>IFERROR(__xludf.DUMMYFUNCTION("""COMPUTED_VALUE"""),"8717323025659")</f>
        <v>8717323025659</v>
      </c>
      <c r="C13230" t="str">
        <f>IFERROR(__xludf.DUMMYFUNCTION("""COMPUTED_VALUE"""),"ECS")</f>
        <v>ECS</v>
      </c>
    </row>
    <row r="13231">
      <c r="A13231" t="str">
        <f>IFERROR(__xludf.DUMMYFUNCTION("""COMPUTED_VALUE"""),"KI041BH")</f>
        <v>KI041BH</v>
      </c>
      <c r="B13231" s="226" t="str">
        <f>IFERROR(__xludf.DUMMYFUNCTION("""COMPUTED_VALUE"""),"8717323015636")</f>
        <v>8717323015636</v>
      </c>
      <c r="C13231" t="str">
        <f>IFERROR(__xludf.DUMMYFUNCTION("""COMPUTED_VALUE"""),"ECS")</f>
        <v>ECS</v>
      </c>
    </row>
    <row r="13232">
      <c r="A13232" t="str">
        <f>IFERROR(__xludf.DUMMYFUNCTION("""COMPUTED_VALUE"""),"KI041DH")</f>
        <v>KI041DH</v>
      </c>
      <c r="B13232" s="226" t="str">
        <f>IFERROR(__xludf.DUMMYFUNCTION("""COMPUTED_VALUE"""),"8717323015643")</f>
        <v>8717323015643</v>
      </c>
      <c r="C13232" t="str">
        <f>IFERROR(__xludf.DUMMYFUNCTION("""COMPUTED_VALUE"""),"ECS")</f>
        <v>ECS</v>
      </c>
    </row>
    <row r="13233">
      <c r="A13233" t="str">
        <f>IFERROR(__xludf.DUMMYFUNCTION("""COMPUTED_VALUE"""),"KI064BH")</f>
        <v>KI064BH</v>
      </c>
      <c r="B13233" s="226" t="str">
        <f>IFERROR(__xludf.DUMMYFUNCTION("""COMPUTED_VALUE"""),"8717323028063")</f>
        <v>8717323028063</v>
      </c>
      <c r="C13233" t="str">
        <f>IFERROR(__xludf.DUMMYFUNCTION("""COMPUTED_VALUE"""),"ECS")</f>
        <v>ECS</v>
      </c>
    </row>
    <row r="13234">
      <c r="A13234" t="str">
        <f>IFERROR(__xludf.DUMMYFUNCTION("""COMPUTED_VALUE"""),"KI064DH")</f>
        <v>KI064DH</v>
      </c>
      <c r="B13234" s="226" t="str">
        <f>IFERROR(__xludf.DUMMYFUNCTION("""COMPUTED_VALUE"""),"8717323028124")</f>
        <v>8717323028124</v>
      </c>
      <c r="C13234" t="str">
        <f>IFERROR(__xludf.DUMMYFUNCTION("""COMPUTED_VALUE"""),"ECS")</f>
        <v>ECS</v>
      </c>
    </row>
    <row r="13235">
      <c r="A13235" t="str">
        <f>IFERROR(__xludf.DUMMYFUNCTION("""COMPUTED_VALUE"""),"KI132BX")</f>
        <v>KI132BX</v>
      </c>
      <c r="B13235" s="226" t="str">
        <f>IFERROR(__xludf.DUMMYFUNCTION("""COMPUTED_VALUE"""),"8717323068366")</f>
        <v>8717323068366</v>
      </c>
      <c r="C13235" t="str">
        <f>IFERROR(__xludf.DUMMYFUNCTION("""COMPUTED_VALUE"""),"ECS")</f>
        <v>ECS</v>
      </c>
    </row>
    <row r="13236">
      <c r="A13236" t="str">
        <f>IFERROR(__xludf.DUMMYFUNCTION("""COMPUTED_VALUE"""),"KI132DX")</f>
        <v>KI132DX</v>
      </c>
      <c r="B13236" s="226" t="str">
        <f>IFERROR(__xludf.DUMMYFUNCTION("""COMPUTED_VALUE"""),"8717323068373")</f>
        <v>8717323068373</v>
      </c>
      <c r="C13236" t="str">
        <f>IFERROR(__xludf.DUMMYFUNCTION("""COMPUTED_VALUE"""),"ECS")</f>
        <v>ECS</v>
      </c>
    </row>
    <row r="13237">
      <c r="A13237" t="str">
        <f>IFERROR(__xludf.DUMMYFUNCTION("""COMPUTED_VALUE"""),"KI031BB")</f>
        <v>KI031BB</v>
      </c>
      <c r="B13237" s="226" t="str">
        <f>IFERROR(__xludf.DUMMYFUNCTION("""COMPUTED_VALUE"""),"8717323012406")</f>
        <v>8717323012406</v>
      </c>
      <c r="C13237" t="str">
        <f>IFERROR(__xludf.DUMMYFUNCTION("""COMPUTED_VALUE"""),"ECS")</f>
        <v>ECS</v>
      </c>
    </row>
    <row r="13238">
      <c r="A13238" t="str">
        <f>IFERROR(__xludf.DUMMYFUNCTION("""COMPUTED_VALUE"""),"KI031DB")</f>
        <v>KI031DB</v>
      </c>
      <c r="B13238" s="226" t="str">
        <f>IFERROR(__xludf.DUMMYFUNCTION("""COMPUTED_VALUE"""),"8717323012420")</f>
        <v>8717323012420</v>
      </c>
      <c r="C13238" t="str">
        <f>IFERROR(__xludf.DUMMYFUNCTION("""COMPUTED_VALUE"""),"ECS")</f>
        <v>ECS</v>
      </c>
    </row>
    <row r="13239">
      <c r="A13239" t="str">
        <f>IFERROR(__xludf.DUMMYFUNCTION("""COMPUTED_VALUE"""),"KI032DB")</f>
        <v>KI032DB</v>
      </c>
      <c r="B13239" s="226" t="str">
        <f>IFERROR(__xludf.DUMMYFUNCTION("""COMPUTED_VALUE"""),"8717323012604")</f>
        <v>8717323012604</v>
      </c>
      <c r="C13239" t="str">
        <f>IFERROR(__xludf.DUMMYFUNCTION("""COMPUTED_VALUE"""),"ECS")</f>
        <v>ECS</v>
      </c>
    </row>
    <row r="13240">
      <c r="A13240" t="str">
        <f>IFERROR(__xludf.DUMMYFUNCTION("""COMPUTED_VALUE"""),"KI032DL")</f>
        <v>KI032DL</v>
      </c>
      <c r="B13240" s="226" t="str">
        <f>IFERROR(__xludf.DUMMYFUNCTION("""COMPUTED_VALUE"""),"8717323012611")</f>
        <v>8717323012611</v>
      </c>
      <c r="C13240" t="str">
        <f>IFERROR(__xludf.DUMMYFUNCTION("""COMPUTED_VALUE"""),"ECS")</f>
        <v>ECS</v>
      </c>
    </row>
    <row r="13241">
      <c r="A13241" t="str">
        <f>IFERROR(__xludf.DUMMYFUNCTION("""COMPUTED_VALUE"""),"KI063BH")</f>
        <v>KI063BH</v>
      </c>
      <c r="B13241" s="226" t="str">
        <f>IFERROR(__xludf.DUMMYFUNCTION("""COMPUTED_VALUE"""),"8717323028117")</f>
        <v>8717323028117</v>
      </c>
      <c r="C13241" t="str">
        <f>IFERROR(__xludf.DUMMYFUNCTION("""COMPUTED_VALUE"""),"ECS")</f>
        <v>ECS</v>
      </c>
    </row>
    <row r="13242">
      <c r="A13242" t="str">
        <f>IFERROR(__xludf.DUMMYFUNCTION("""COMPUTED_VALUE"""),"KI063DH")</f>
        <v>KI063DH</v>
      </c>
      <c r="B13242" s="226" t="str">
        <f>IFERROR(__xludf.DUMMYFUNCTION("""COMPUTED_VALUE"""),"8717323029923")</f>
        <v>8717323029923</v>
      </c>
      <c r="C13242" t="str">
        <f>IFERROR(__xludf.DUMMYFUNCTION("""COMPUTED_VALUE"""),"ECS")</f>
        <v>ECS</v>
      </c>
    </row>
    <row r="13243">
      <c r="A13243" t="str">
        <f>IFERROR(__xludf.DUMMYFUNCTION("""COMPUTED_VALUE"""),"KI063BH")</f>
        <v>KI063BH</v>
      </c>
      <c r="B13243" s="226" t="str">
        <f>IFERROR(__xludf.DUMMYFUNCTION("""COMPUTED_VALUE"""),"8717323028117")</f>
        <v>8717323028117</v>
      </c>
      <c r="C13243" t="str">
        <f>IFERROR(__xludf.DUMMYFUNCTION("""COMPUTED_VALUE"""),"ECS")</f>
        <v>ECS</v>
      </c>
    </row>
    <row r="13244">
      <c r="A13244" t="str">
        <f>IFERROR(__xludf.DUMMYFUNCTION("""COMPUTED_VALUE"""),"KI063DH")</f>
        <v>KI063DH</v>
      </c>
      <c r="B13244" s="226" t="str">
        <f>IFERROR(__xludf.DUMMYFUNCTION("""COMPUTED_VALUE"""),"8717323029923")</f>
        <v>8717323029923</v>
      </c>
      <c r="C13244" t="str">
        <f>IFERROR(__xludf.DUMMYFUNCTION("""COMPUTED_VALUE"""),"ECS")</f>
        <v>ECS</v>
      </c>
    </row>
    <row r="13245">
      <c r="A13245" t="str">
        <f>IFERROR(__xludf.DUMMYFUNCTION("""COMPUTED_VALUE"""),"KI096BH")</f>
        <v>KI096BH</v>
      </c>
      <c r="B13245" s="226" t="str">
        <f>IFERROR(__xludf.DUMMYFUNCTION("""COMPUTED_VALUE"""),"8717323061275")</f>
        <v>8717323061275</v>
      </c>
      <c r="C13245" t="str">
        <f>IFERROR(__xludf.DUMMYFUNCTION("""COMPUTED_VALUE"""),"ECS")</f>
        <v>ECS</v>
      </c>
    </row>
    <row r="13246">
      <c r="A13246" t="str">
        <f>IFERROR(__xludf.DUMMYFUNCTION("""COMPUTED_VALUE"""),"KI096DH")</f>
        <v>KI096DH</v>
      </c>
      <c r="B13246" s="226" t="str">
        <f>IFERROR(__xludf.DUMMYFUNCTION("""COMPUTED_VALUE"""),"8717323061282")</f>
        <v>8717323061282</v>
      </c>
      <c r="C13246" t="str">
        <f>IFERROR(__xludf.DUMMYFUNCTION("""COMPUTED_VALUE"""),"ECS")</f>
        <v>ECS</v>
      </c>
    </row>
    <row r="13247">
      <c r="A13247" t="str">
        <f>IFERROR(__xludf.DUMMYFUNCTION("""COMPUTED_VALUE"""),"KI096DH")</f>
        <v>KI096DH</v>
      </c>
      <c r="B13247" s="226" t="str">
        <f>IFERROR(__xludf.DUMMYFUNCTION("""COMPUTED_VALUE"""),"8717323061282")</f>
        <v>8717323061282</v>
      </c>
      <c r="C13247" t="str">
        <f>IFERROR(__xludf.DUMMYFUNCTION("""COMPUTED_VALUE"""),"ECS")</f>
        <v>ECS</v>
      </c>
    </row>
    <row r="13248">
      <c r="A13248" t="str">
        <f>IFERROR(__xludf.DUMMYFUNCTION("""COMPUTED_VALUE"""),"KI132BX")</f>
        <v>KI132BX</v>
      </c>
      <c r="B13248" s="226" t="str">
        <f>IFERROR(__xludf.DUMMYFUNCTION("""COMPUTED_VALUE"""),"8717323068366")</f>
        <v>8717323068366</v>
      </c>
      <c r="C13248" t="str">
        <f>IFERROR(__xludf.DUMMYFUNCTION("""COMPUTED_VALUE"""),"ECS")</f>
        <v>ECS</v>
      </c>
    </row>
    <row r="13249">
      <c r="A13249" t="str">
        <f>IFERROR(__xludf.DUMMYFUNCTION("""COMPUTED_VALUE"""),"KI132BX")</f>
        <v>KI132BX</v>
      </c>
      <c r="B13249" s="226" t="str">
        <f>IFERROR(__xludf.DUMMYFUNCTION("""COMPUTED_VALUE"""),"8717323068366")</f>
        <v>8717323068366</v>
      </c>
      <c r="C13249" t="str">
        <f>IFERROR(__xludf.DUMMYFUNCTION("""COMPUTED_VALUE"""),"ECS")</f>
        <v>ECS</v>
      </c>
    </row>
    <row r="13250">
      <c r="A13250" t="str">
        <f>IFERROR(__xludf.DUMMYFUNCTION("""COMPUTED_VALUE"""),"KI132DX")</f>
        <v>KI132DX</v>
      </c>
      <c r="B13250" s="226" t="str">
        <f>IFERROR(__xludf.DUMMYFUNCTION("""COMPUTED_VALUE"""),"8717323068373")</f>
        <v>8717323068373</v>
      </c>
      <c r="C13250" t="str">
        <f>IFERROR(__xludf.DUMMYFUNCTION("""COMPUTED_VALUE"""),"ECS")</f>
        <v>ECS</v>
      </c>
    </row>
    <row r="13251">
      <c r="A13251" t="str">
        <f>IFERROR(__xludf.DUMMYFUNCTION("""COMPUTED_VALUE"""),"KI132DX")</f>
        <v>KI132DX</v>
      </c>
      <c r="B13251" s="226" t="str">
        <f>IFERROR(__xludf.DUMMYFUNCTION("""COMPUTED_VALUE"""),"8717323068373")</f>
        <v>8717323068373</v>
      </c>
      <c r="C13251" t="str">
        <f>IFERROR(__xludf.DUMMYFUNCTION("""COMPUTED_VALUE"""),"ECS")</f>
        <v>ECS</v>
      </c>
    </row>
    <row r="13252">
      <c r="A13252" t="str">
        <f>IFERROR(__xludf.DUMMYFUNCTION("""COMPUTED_VALUE"""),"KI036BB")</f>
        <v>KI036BB</v>
      </c>
      <c r="B13252" s="226" t="str">
        <f>IFERROR(__xludf.DUMMYFUNCTION("""COMPUTED_VALUE"""),"8717323013748")</f>
        <v>8717323013748</v>
      </c>
      <c r="C13252" t="str">
        <f>IFERROR(__xludf.DUMMYFUNCTION("""COMPUTED_VALUE"""),"ECS")</f>
        <v>ECS</v>
      </c>
    </row>
    <row r="13253">
      <c r="A13253" t="str">
        <f>IFERROR(__xludf.DUMMYFUNCTION("""COMPUTED_VALUE"""),"KI036BL")</f>
        <v>KI036BL</v>
      </c>
      <c r="B13253" s="226" t="str">
        <f>IFERROR(__xludf.DUMMYFUNCTION("""COMPUTED_VALUE"""),"8717323013755")</f>
        <v>8717323013755</v>
      </c>
      <c r="C13253" t="str">
        <f>IFERROR(__xludf.DUMMYFUNCTION("""COMPUTED_VALUE"""),"ECS")</f>
        <v>ECS</v>
      </c>
    </row>
    <row r="13254">
      <c r="A13254" t="str">
        <f>IFERROR(__xludf.DUMMYFUNCTION("""COMPUTED_VALUE"""),"KI036DH")</f>
        <v>KI036DH</v>
      </c>
      <c r="B13254" s="226" t="str">
        <f>IFERROR(__xludf.DUMMYFUNCTION("""COMPUTED_VALUE"""),"8717323013779")</f>
        <v>8717323013779</v>
      </c>
      <c r="C13254" t="str">
        <f>IFERROR(__xludf.DUMMYFUNCTION("""COMPUTED_VALUE"""),"ECS")</f>
        <v>ECS</v>
      </c>
    </row>
    <row r="13255">
      <c r="A13255" t="str">
        <f>IFERROR(__xludf.DUMMYFUNCTION("""COMPUTED_VALUE"""),"KI043BH")</f>
        <v>KI043BH</v>
      </c>
      <c r="B13255" s="226" t="str">
        <f>IFERROR(__xludf.DUMMYFUNCTION("""COMPUTED_VALUE"""),"8717323022764")</f>
        <v>8717323022764</v>
      </c>
      <c r="C13255" t="str">
        <f>IFERROR(__xludf.DUMMYFUNCTION("""COMPUTED_VALUE"""),"ECS")</f>
        <v>ECS</v>
      </c>
    </row>
    <row r="13256">
      <c r="A13256" t="str">
        <f>IFERROR(__xludf.DUMMYFUNCTION("""COMPUTED_VALUE"""),"KI043DH")</f>
        <v>KI043DH</v>
      </c>
      <c r="B13256" s="226" t="str">
        <f>IFERROR(__xludf.DUMMYFUNCTION("""COMPUTED_VALUE"""),"8717323022771")</f>
        <v>8717323022771</v>
      </c>
      <c r="C13256" t="str">
        <f>IFERROR(__xludf.DUMMYFUNCTION("""COMPUTED_VALUE"""),"ECS")</f>
        <v>ECS</v>
      </c>
    </row>
    <row r="13257">
      <c r="A13257" t="str">
        <f>IFERROR(__xludf.DUMMYFUNCTION("""COMPUTED_VALUE"""),"KI046BH")</f>
        <v>KI046BH</v>
      </c>
      <c r="B13257" s="226" t="str">
        <f>IFERROR(__xludf.DUMMYFUNCTION("""COMPUTED_VALUE"""),"8717323022740")</f>
        <v>8717323022740</v>
      </c>
      <c r="C13257" t="str">
        <f>IFERROR(__xludf.DUMMYFUNCTION("""COMPUTED_VALUE"""),"ECS")</f>
        <v>ECS</v>
      </c>
    </row>
    <row r="13258">
      <c r="A13258" t="str">
        <f>IFERROR(__xludf.DUMMYFUNCTION("""COMPUTED_VALUE"""),"KI046DH")</f>
        <v>KI046DH</v>
      </c>
      <c r="B13258" s="226" t="str">
        <f>IFERROR(__xludf.DUMMYFUNCTION("""COMPUTED_VALUE"""),"8717323022757")</f>
        <v>8717323022757</v>
      </c>
      <c r="C13258" t="str">
        <f>IFERROR(__xludf.DUMMYFUNCTION("""COMPUTED_VALUE"""),"ECS")</f>
        <v>ECS</v>
      </c>
    </row>
    <row r="13259">
      <c r="A13259" t="str">
        <f>IFERROR(__xludf.DUMMYFUNCTION("""COMPUTED_VALUE"""),"KI069BH")</f>
        <v>KI069BH</v>
      </c>
      <c r="B13259" s="226" t="str">
        <f>IFERROR(__xludf.DUMMYFUNCTION("""COMPUTED_VALUE"""),"8717323027486")</f>
        <v>8717323027486</v>
      </c>
      <c r="C13259" t="str">
        <f>IFERROR(__xludf.DUMMYFUNCTION("""COMPUTED_VALUE"""),"ECS")</f>
        <v>ECS</v>
      </c>
    </row>
    <row r="13260">
      <c r="A13260" t="str">
        <f>IFERROR(__xludf.DUMMYFUNCTION("""COMPUTED_VALUE"""),"KI069DH")</f>
        <v>KI069DH</v>
      </c>
      <c r="B13260" s="226" t="str">
        <f>IFERROR(__xludf.DUMMYFUNCTION("""COMPUTED_VALUE"""),"8717323027493")</f>
        <v>8717323027493</v>
      </c>
      <c r="C13260" t="str">
        <f>IFERROR(__xludf.DUMMYFUNCTION("""COMPUTED_VALUE"""),"ECS")</f>
        <v>ECS</v>
      </c>
    </row>
    <row r="13261">
      <c r="A13261" t="str">
        <f>IFERROR(__xludf.DUMMYFUNCTION("""COMPUTED_VALUE"""),"KI091BH")</f>
        <v>KI091BH</v>
      </c>
      <c r="B13261" s="226" t="str">
        <f>IFERROR(__xludf.DUMMYFUNCTION("""COMPUTED_VALUE"""),"8717323051412")</f>
        <v>8717323051412</v>
      </c>
      <c r="C13261" t="str">
        <f>IFERROR(__xludf.DUMMYFUNCTION("""COMPUTED_VALUE"""),"ECS")</f>
        <v>ECS</v>
      </c>
    </row>
    <row r="13262">
      <c r="A13262" t="str">
        <f>IFERROR(__xludf.DUMMYFUNCTION("""COMPUTED_VALUE"""),"KI091DH")</f>
        <v>KI091DH</v>
      </c>
      <c r="B13262" s="226" t="str">
        <f>IFERROR(__xludf.DUMMYFUNCTION("""COMPUTED_VALUE"""),"8717323051429")</f>
        <v>8717323051429</v>
      </c>
      <c r="C13262" t="str">
        <f>IFERROR(__xludf.DUMMYFUNCTION("""COMPUTED_VALUE"""),"ECS")</f>
        <v>ECS</v>
      </c>
    </row>
    <row r="13263">
      <c r="A13263" t="str">
        <f>IFERROR(__xludf.DUMMYFUNCTION("""COMPUTED_VALUE"""),"KI132BX")</f>
        <v>KI132BX</v>
      </c>
      <c r="B13263" s="226" t="str">
        <f>IFERROR(__xludf.DUMMYFUNCTION("""COMPUTED_VALUE"""),"8717323068366")</f>
        <v>8717323068366</v>
      </c>
      <c r="C13263" t="str">
        <f>IFERROR(__xludf.DUMMYFUNCTION("""COMPUTED_VALUE"""),"ECS")</f>
        <v>ECS</v>
      </c>
    </row>
    <row r="13264">
      <c r="A13264" t="str">
        <f>IFERROR(__xludf.DUMMYFUNCTION("""COMPUTED_VALUE"""),"KI132DX")</f>
        <v>KI132DX</v>
      </c>
      <c r="B13264" s="226" t="str">
        <f>IFERROR(__xludf.DUMMYFUNCTION("""COMPUTED_VALUE"""),"8717323068373")</f>
        <v>8717323068373</v>
      </c>
      <c r="C13264" t="str">
        <f>IFERROR(__xludf.DUMMYFUNCTION("""COMPUTED_VALUE"""),"ECS")</f>
        <v>ECS</v>
      </c>
    </row>
    <row r="13265">
      <c r="A13265" t="str">
        <f>IFERROR(__xludf.DUMMYFUNCTION("""COMPUTED_VALUE"""),"KI028BB")</f>
        <v>KI028BB</v>
      </c>
      <c r="B13265" s="226" t="str">
        <f>IFERROR(__xludf.DUMMYFUNCTION("""COMPUTED_VALUE"""),"8717323010679")</f>
        <v>8717323010679</v>
      </c>
      <c r="C13265" t="str">
        <f>IFERROR(__xludf.DUMMYFUNCTION("""COMPUTED_VALUE"""),"ECS")</f>
        <v>ECS</v>
      </c>
    </row>
    <row r="13266">
      <c r="A13266" t="str">
        <f>IFERROR(__xludf.DUMMYFUNCTION("""COMPUTED_VALUE"""),"KI028DB")</f>
        <v>KI028DB</v>
      </c>
      <c r="B13266" s="226" t="str">
        <f>IFERROR(__xludf.DUMMYFUNCTION("""COMPUTED_VALUE"""),"8717323010686")</f>
        <v>8717323010686</v>
      </c>
      <c r="C13266" t="str">
        <f>IFERROR(__xludf.DUMMYFUNCTION("""COMPUTED_VALUE"""),"ECS")</f>
        <v>ECS</v>
      </c>
    </row>
    <row r="13267">
      <c r="A13267" t="str">
        <f>IFERROR(__xludf.DUMMYFUNCTION("""COMPUTED_VALUE"""),"KI066BH")</f>
        <v>KI066BH</v>
      </c>
      <c r="B13267" s="226" t="str">
        <f>IFERROR(__xludf.DUMMYFUNCTION("""COMPUTED_VALUE"""),"8717323027288")</f>
        <v>8717323027288</v>
      </c>
      <c r="C13267" t="str">
        <f>IFERROR(__xludf.DUMMYFUNCTION("""COMPUTED_VALUE"""),"ECS")</f>
        <v>ECS</v>
      </c>
    </row>
    <row r="13268">
      <c r="A13268" t="str">
        <f>IFERROR(__xludf.DUMMYFUNCTION("""COMPUTED_VALUE"""),"KI066DH")</f>
        <v>KI066DH</v>
      </c>
      <c r="B13268" s="226" t="str">
        <f>IFERROR(__xludf.DUMMYFUNCTION("""COMPUTED_VALUE"""),"8717323028360")</f>
        <v>8717323028360</v>
      </c>
      <c r="C13268" t="str">
        <f>IFERROR(__xludf.DUMMYFUNCTION("""COMPUTED_VALUE"""),"ECS")</f>
        <v>ECS</v>
      </c>
    </row>
    <row r="13269">
      <c r="A13269" t="str">
        <f>IFERROR(__xludf.DUMMYFUNCTION("""COMPUTED_VALUE"""),"KI087DH")</f>
        <v>KI087DH</v>
      </c>
      <c r="B13269" s="226" t="str">
        <f>IFERROR(__xludf.DUMMYFUNCTION("""COMPUTED_VALUE"""),"8717323056400")</f>
        <v>8717323056400</v>
      </c>
      <c r="C13269" t="str">
        <f>IFERROR(__xludf.DUMMYFUNCTION("""COMPUTED_VALUE"""),"ECS")</f>
        <v>ECS</v>
      </c>
    </row>
    <row r="13270">
      <c r="A13270" t="str">
        <f>IFERROR(__xludf.DUMMYFUNCTION("""COMPUTED_VALUE"""),"KI132BX")</f>
        <v>KI132BX</v>
      </c>
      <c r="B13270" s="226" t="str">
        <f>IFERROR(__xludf.DUMMYFUNCTION("""COMPUTED_VALUE"""),"8717323068366")</f>
        <v>8717323068366</v>
      </c>
      <c r="C13270" t="str">
        <f>IFERROR(__xludf.DUMMYFUNCTION("""COMPUTED_VALUE"""),"ECS")</f>
        <v>ECS</v>
      </c>
    </row>
    <row r="13271">
      <c r="A13271" t="str">
        <f>IFERROR(__xludf.DUMMYFUNCTION("""COMPUTED_VALUE"""),"KI132DX")</f>
        <v>KI132DX</v>
      </c>
      <c r="B13271" s="226" t="str">
        <f>IFERROR(__xludf.DUMMYFUNCTION("""COMPUTED_VALUE"""),"8717323068373")</f>
        <v>8717323068373</v>
      </c>
      <c r="C13271" t="str">
        <f>IFERROR(__xludf.DUMMYFUNCTION("""COMPUTED_VALUE"""),"ECS")</f>
        <v>ECS</v>
      </c>
    </row>
    <row r="13272">
      <c r="A13272" t="str">
        <f>IFERROR(__xludf.DUMMYFUNCTION("""COMPUTED_VALUE"""),"KI099BL")</f>
        <v>KI099BL</v>
      </c>
      <c r="B13272" s="226" t="str">
        <f>IFERROR(__xludf.DUMMYFUNCTION("""COMPUTED_VALUE"""),"8717323065815")</f>
        <v>8717323065815</v>
      </c>
      <c r="C13272" t="str">
        <f>IFERROR(__xludf.DUMMYFUNCTION("""COMPUTED_VALUE"""),"ECS")</f>
        <v>ECS</v>
      </c>
    </row>
    <row r="13273">
      <c r="A13273" t="str">
        <f>IFERROR(__xludf.DUMMYFUNCTION("""COMPUTED_VALUE"""),"KI099DL")</f>
        <v>KI099DL</v>
      </c>
      <c r="B13273" s="226" t="str">
        <f>IFERROR(__xludf.DUMMYFUNCTION("""COMPUTED_VALUE"""),"8717323065822")</f>
        <v>8717323065822</v>
      </c>
      <c r="C13273" t="str">
        <f>IFERROR(__xludf.DUMMYFUNCTION("""COMPUTED_VALUE"""),"ECS")</f>
        <v>ECS</v>
      </c>
    </row>
    <row r="13274">
      <c r="A13274" t="str">
        <f>IFERROR(__xludf.DUMMYFUNCTION("""COMPUTED_VALUE"""),"KI109BH")</f>
        <v>KI109BH</v>
      </c>
      <c r="B13274" s="226" t="str">
        <f>IFERROR(__xludf.DUMMYFUNCTION("""COMPUTED_VALUE"""),"8717323066690")</f>
        <v>8717323066690</v>
      </c>
      <c r="C13274" t="str">
        <f>IFERROR(__xludf.DUMMYFUNCTION("""COMPUTED_VALUE"""),"ECS")</f>
        <v>ECS</v>
      </c>
    </row>
    <row r="13275">
      <c r="A13275" t="str">
        <f>IFERROR(__xludf.DUMMYFUNCTION("""COMPUTED_VALUE"""),"KI109DH")</f>
        <v>KI109DH</v>
      </c>
      <c r="B13275" s="226" t="str">
        <f>IFERROR(__xludf.DUMMYFUNCTION("""COMPUTED_VALUE"""),"8717323066706")</f>
        <v>8717323066706</v>
      </c>
      <c r="C13275" t="str">
        <f>IFERROR(__xludf.DUMMYFUNCTION("""COMPUTED_VALUE"""),"ECS")</f>
        <v>ECS</v>
      </c>
    </row>
    <row r="13276">
      <c r="A13276" t="str">
        <f>IFERROR(__xludf.DUMMYFUNCTION("""COMPUTED_VALUE"""),"KI132BX")</f>
        <v>KI132BX</v>
      </c>
      <c r="B13276" s="226" t="str">
        <f>IFERROR(__xludf.DUMMYFUNCTION("""COMPUTED_VALUE"""),"8717323068366")</f>
        <v>8717323068366</v>
      </c>
      <c r="C13276" t="str">
        <f>IFERROR(__xludf.DUMMYFUNCTION("""COMPUTED_VALUE"""),"ECS")</f>
        <v>ECS</v>
      </c>
    </row>
    <row r="13277">
      <c r="A13277" t="str">
        <f>IFERROR(__xludf.DUMMYFUNCTION("""COMPUTED_VALUE"""),"KI132DX")</f>
        <v>KI132DX</v>
      </c>
      <c r="B13277" s="226" t="str">
        <f>IFERROR(__xludf.DUMMYFUNCTION("""COMPUTED_VALUE"""),"8717323068373")</f>
        <v>8717323068373</v>
      </c>
      <c r="C13277" t="str">
        <f>IFERROR(__xludf.DUMMYFUNCTION("""COMPUTED_VALUE"""),"ECS")</f>
        <v>ECS</v>
      </c>
    </row>
    <row r="13278">
      <c r="A13278" t="str">
        <f>IFERROR(__xludf.DUMMYFUNCTION("""COMPUTED_VALUE"""),"HY061BB")</f>
        <v>HY061BB</v>
      </c>
      <c r="B13278" s="226" t="str">
        <f>IFERROR(__xludf.DUMMYFUNCTION("""COMPUTED_VALUE"""),"8717323024584")</f>
        <v>8717323024584</v>
      </c>
      <c r="C13278" t="str">
        <f>IFERROR(__xludf.DUMMYFUNCTION("""COMPUTED_VALUE"""),"ECS")</f>
        <v>ECS</v>
      </c>
    </row>
    <row r="13279">
      <c r="A13279" t="str">
        <f>IFERROR(__xludf.DUMMYFUNCTION("""COMPUTED_VALUE"""),"HY061DL")</f>
        <v>HY061DL</v>
      </c>
      <c r="B13279" s="226" t="str">
        <f>IFERROR(__xludf.DUMMYFUNCTION("""COMPUTED_VALUE"""),"8717323024591")</f>
        <v>8717323024591</v>
      </c>
      <c r="C13279" t="str">
        <f>IFERROR(__xludf.DUMMYFUNCTION("""COMPUTED_VALUE"""),"ECS")</f>
        <v>ECS</v>
      </c>
    </row>
    <row r="13280">
      <c r="A13280" t="str">
        <f>IFERROR(__xludf.DUMMYFUNCTION("""COMPUTED_VALUE"""),"KI039BB")</f>
        <v>KI039BB</v>
      </c>
      <c r="B13280" s="226" t="str">
        <f>IFERROR(__xludf.DUMMYFUNCTION("""COMPUTED_VALUE"""),"8717323015179")</f>
        <v>8717323015179</v>
      </c>
      <c r="C13280" t="str">
        <f>IFERROR(__xludf.DUMMYFUNCTION("""COMPUTED_VALUE"""),"ECS")</f>
        <v>ECS</v>
      </c>
    </row>
    <row r="13281">
      <c r="A13281" t="str">
        <f>IFERROR(__xludf.DUMMYFUNCTION("""COMPUTED_VALUE"""),"KI039BH")</f>
        <v>KI039BH</v>
      </c>
      <c r="B13281" s="226" t="str">
        <f>IFERROR(__xludf.DUMMYFUNCTION("""COMPUTED_VALUE"""),"8717323023495")</f>
        <v>8717323023495</v>
      </c>
      <c r="C13281" t="str">
        <f>IFERROR(__xludf.DUMMYFUNCTION("""COMPUTED_VALUE"""),"ECS")</f>
        <v>ECS</v>
      </c>
    </row>
    <row r="13282">
      <c r="A13282" t="str">
        <f>IFERROR(__xludf.DUMMYFUNCTION("""COMPUTED_VALUE"""),"KI039DB")</f>
        <v>KI039DB</v>
      </c>
      <c r="B13282" s="226" t="str">
        <f>IFERROR(__xludf.DUMMYFUNCTION("""COMPUTED_VALUE"""),"8717323023068")</f>
        <v>8717323023068</v>
      </c>
      <c r="C13282" t="str">
        <f>IFERROR(__xludf.DUMMYFUNCTION("""COMPUTED_VALUE"""),"ECS")</f>
        <v>ECS</v>
      </c>
    </row>
    <row r="13283">
      <c r="A13283" t="str">
        <f>IFERROR(__xludf.DUMMYFUNCTION("""COMPUTED_VALUE"""),"KI039DH")</f>
        <v>KI039DH</v>
      </c>
      <c r="B13283" s="226" t="str">
        <f>IFERROR(__xludf.DUMMYFUNCTION("""COMPUTED_VALUE"""),"8717323015193")</f>
        <v>8717323015193</v>
      </c>
      <c r="C13283" t="str">
        <f>IFERROR(__xludf.DUMMYFUNCTION("""COMPUTED_VALUE"""),"ECS")</f>
        <v>ECS</v>
      </c>
    </row>
    <row r="13284">
      <c r="A13284" t="str">
        <f>IFERROR(__xludf.DUMMYFUNCTION("""COMPUTED_VALUE"""),"KI048BB")</f>
        <v>KI048BB</v>
      </c>
      <c r="B13284" s="226" t="str">
        <f>IFERROR(__xludf.DUMMYFUNCTION("""COMPUTED_VALUE"""),"8717323022689")</f>
        <v>8717323022689</v>
      </c>
      <c r="C13284" t="str">
        <f>IFERROR(__xludf.DUMMYFUNCTION("""COMPUTED_VALUE"""),"ECS")</f>
        <v>ECS</v>
      </c>
    </row>
    <row r="13285">
      <c r="A13285" t="str">
        <f>IFERROR(__xludf.DUMMYFUNCTION("""COMPUTED_VALUE"""),"KI048BG")</f>
        <v>KI048BG</v>
      </c>
      <c r="B13285" s="226" t="str">
        <f>IFERROR(__xludf.DUMMYFUNCTION("""COMPUTED_VALUE"""),"8717323022696")</f>
        <v>8717323022696</v>
      </c>
      <c r="C13285" t="str">
        <f>IFERROR(__xludf.DUMMYFUNCTION("""COMPUTED_VALUE"""),"ECS")</f>
        <v>ECS</v>
      </c>
    </row>
    <row r="13286">
      <c r="A13286" t="str">
        <f>IFERROR(__xludf.DUMMYFUNCTION("""COMPUTED_VALUE"""),"KI048DH")</f>
        <v>KI048DH</v>
      </c>
      <c r="B13286" s="226" t="str">
        <f>IFERROR(__xludf.DUMMYFUNCTION("""COMPUTED_VALUE"""),"8717323022702")</f>
        <v>8717323022702</v>
      </c>
      <c r="C13286" t="str">
        <f>IFERROR(__xludf.DUMMYFUNCTION("""COMPUTED_VALUE"""),"ECS")</f>
        <v>ECS</v>
      </c>
    </row>
    <row r="13287">
      <c r="A13287" t="str">
        <f>IFERROR(__xludf.DUMMYFUNCTION("""COMPUTED_VALUE"""),"KI064BH")</f>
        <v>KI064BH</v>
      </c>
      <c r="B13287" s="226" t="str">
        <f>IFERROR(__xludf.DUMMYFUNCTION("""COMPUTED_VALUE"""),"8717323028063")</f>
        <v>8717323028063</v>
      </c>
      <c r="C13287" t="str">
        <f>IFERROR(__xludf.DUMMYFUNCTION("""COMPUTED_VALUE"""),"ECS")</f>
        <v>ECS</v>
      </c>
    </row>
    <row r="13288">
      <c r="A13288" t="str">
        <f>IFERROR(__xludf.DUMMYFUNCTION("""COMPUTED_VALUE"""),"KI064DH")</f>
        <v>KI064DH</v>
      </c>
      <c r="B13288" s="226" t="str">
        <f>IFERROR(__xludf.DUMMYFUNCTION("""COMPUTED_VALUE"""),"8717323028124")</f>
        <v>8717323028124</v>
      </c>
      <c r="C13288" t="str">
        <f>IFERROR(__xludf.DUMMYFUNCTION("""COMPUTED_VALUE"""),"ECS")</f>
        <v>ECS</v>
      </c>
    </row>
    <row r="13289">
      <c r="A13289" t="str">
        <f>IFERROR(__xludf.DUMMYFUNCTION("""COMPUTED_VALUE"""),"KI132BX")</f>
        <v>KI132BX</v>
      </c>
      <c r="B13289" s="226" t="str">
        <f>IFERROR(__xludf.DUMMYFUNCTION("""COMPUTED_VALUE"""),"8717323068366")</f>
        <v>8717323068366</v>
      </c>
      <c r="C13289" t="str">
        <f>IFERROR(__xludf.DUMMYFUNCTION("""COMPUTED_VALUE"""),"ECS")</f>
        <v>ECS</v>
      </c>
    </row>
    <row r="13290">
      <c r="A13290" t="str">
        <f>IFERROR(__xludf.DUMMYFUNCTION("""COMPUTED_VALUE"""),"KI132DX")</f>
        <v>KI132DX</v>
      </c>
      <c r="B13290" s="226" t="str">
        <f>IFERROR(__xludf.DUMMYFUNCTION("""COMPUTED_VALUE"""),"8717323068373")</f>
        <v>8717323068373</v>
      </c>
      <c r="C13290" t="str">
        <f>IFERROR(__xludf.DUMMYFUNCTION("""COMPUTED_VALUE"""),"ECS")</f>
        <v>ECS</v>
      </c>
    </row>
    <row r="13291">
      <c r="A13291" t="str">
        <f>IFERROR(__xludf.DUMMYFUNCTION("""COMPUTED_VALUE"""),"KI042BB")</f>
        <v>KI042BB</v>
      </c>
      <c r="B13291" s="226" t="str">
        <f>IFERROR(__xludf.DUMMYFUNCTION("""COMPUTED_VALUE"""),"8717323016930")</f>
        <v>8717323016930</v>
      </c>
      <c r="C13291" t="str">
        <f>IFERROR(__xludf.DUMMYFUNCTION("""COMPUTED_VALUE"""),"ECS")</f>
        <v>ECS</v>
      </c>
    </row>
    <row r="13292">
      <c r="A13292" t="str">
        <f>IFERROR(__xludf.DUMMYFUNCTION("""COMPUTED_VALUE"""),"KI042BG")</f>
        <v>KI042BG</v>
      </c>
      <c r="B13292" s="226" t="str">
        <f>IFERROR(__xludf.DUMMYFUNCTION("""COMPUTED_VALUE"""),"8717323016947")</f>
        <v>8717323016947</v>
      </c>
      <c r="C13292" t="str">
        <f>IFERROR(__xludf.DUMMYFUNCTION("""COMPUTED_VALUE"""),"ECS")</f>
        <v>ECS</v>
      </c>
    </row>
    <row r="13293">
      <c r="A13293" t="str">
        <f>IFERROR(__xludf.DUMMYFUNCTION("""COMPUTED_VALUE"""),"KI042DG")</f>
        <v>KI042DG</v>
      </c>
      <c r="B13293" s="226" t="str">
        <f>IFERROR(__xludf.DUMMYFUNCTION("""COMPUTED_VALUE"""),"8717323023082")</f>
        <v>8717323023082</v>
      </c>
      <c r="C13293" t="str">
        <f>IFERROR(__xludf.DUMMYFUNCTION("""COMPUTED_VALUE"""),"ECS")</f>
        <v>ECS</v>
      </c>
    </row>
    <row r="13294">
      <c r="A13294" t="str">
        <f>IFERROR(__xludf.DUMMYFUNCTION("""COMPUTED_VALUE"""),"KI067DH")</f>
        <v>KI067DH</v>
      </c>
      <c r="B13294" s="226" t="str">
        <f>IFERROR(__xludf.DUMMYFUNCTION("""COMPUTED_VALUE"""),"8717323036013")</f>
        <v>8717323036013</v>
      </c>
      <c r="C13294" t="str">
        <f>IFERROR(__xludf.DUMMYFUNCTION("""COMPUTED_VALUE"""),"ECS")</f>
        <v>ECS</v>
      </c>
    </row>
    <row r="13295">
      <c r="A13295" t="str">
        <f>IFERROR(__xludf.DUMMYFUNCTION("""COMPUTED_VALUE"""),"KI074BH")</f>
        <v>KI074BH</v>
      </c>
      <c r="B13295" s="226" t="str">
        <f>IFERROR(__xludf.DUMMYFUNCTION("""COMPUTED_VALUE"""),"8717323049297")</f>
        <v>8717323049297</v>
      </c>
      <c r="C13295" t="str">
        <f>IFERROR(__xludf.DUMMYFUNCTION("""COMPUTED_VALUE"""),"ECS")</f>
        <v>ECS</v>
      </c>
    </row>
    <row r="13296">
      <c r="A13296" t="str">
        <f>IFERROR(__xludf.DUMMYFUNCTION("""COMPUTED_VALUE"""),"KI074DH")</f>
        <v>KI074DH</v>
      </c>
      <c r="B13296" s="226" t="str">
        <f>IFERROR(__xludf.DUMMYFUNCTION("""COMPUTED_VALUE"""),"8717323049303")</f>
        <v>8717323049303</v>
      </c>
      <c r="C13296" t="str">
        <f>IFERROR(__xludf.DUMMYFUNCTION("""COMPUTED_VALUE"""),"ECS")</f>
        <v>ECS</v>
      </c>
    </row>
    <row r="13297">
      <c r="A13297" t="str">
        <f>IFERROR(__xludf.DUMMYFUNCTION("""COMPUTED_VALUE"""),"KI074BH")</f>
        <v>KI074BH</v>
      </c>
      <c r="B13297" s="226" t="str">
        <f>IFERROR(__xludf.DUMMYFUNCTION("""COMPUTED_VALUE"""),"8717323049297")</f>
        <v>8717323049297</v>
      </c>
      <c r="C13297" t="str">
        <f>IFERROR(__xludf.DUMMYFUNCTION("""COMPUTED_VALUE"""),"ECS")</f>
        <v>ECS</v>
      </c>
    </row>
    <row r="13298">
      <c r="A13298" t="str">
        <f>IFERROR(__xludf.DUMMYFUNCTION("""COMPUTED_VALUE"""),"KI074DH")</f>
        <v>KI074DH</v>
      </c>
      <c r="B13298" s="226" t="str">
        <f>IFERROR(__xludf.DUMMYFUNCTION("""COMPUTED_VALUE"""),"8717323049303")</f>
        <v>8717323049303</v>
      </c>
      <c r="C13298" t="str">
        <f>IFERROR(__xludf.DUMMYFUNCTION("""COMPUTED_VALUE"""),"ECS")</f>
        <v>ECS</v>
      </c>
    </row>
    <row r="13299">
      <c r="A13299" t="str">
        <f>IFERROR(__xludf.DUMMYFUNCTION("""COMPUTED_VALUE"""),"KI132BX")</f>
        <v>KI132BX</v>
      </c>
      <c r="B13299" s="226" t="str">
        <f>IFERROR(__xludf.DUMMYFUNCTION("""COMPUTED_VALUE"""),"8717323068366")</f>
        <v>8717323068366</v>
      </c>
      <c r="C13299" t="str">
        <f>IFERROR(__xludf.DUMMYFUNCTION("""COMPUTED_VALUE"""),"ECS")</f>
        <v>ECS</v>
      </c>
    </row>
    <row r="13300">
      <c r="A13300" t="str">
        <f>IFERROR(__xludf.DUMMYFUNCTION("""COMPUTED_VALUE"""),"KI132DX")</f>
        <v>KI132DX</v>
      </c>
      <c r="B13300" s="226" t="str">
        <f>IFERROR(__xludf.DUMMYFUNCTION("""COMPUTED_VALUE"""),"8717323068373")</f>
        <v>8717323068373</v>
      </c>
      <c r="C13300" t="str">
        <f>IFERROR(__xludf.DUMMYFUNCTION("""COMPUTED_VALUE"""),"ECS")</f>
        <v>ECS</v>
      </c>
    </row>
    <row r="13301">
      <c r="A13301" t="str">
        <f>IFERROR(__xludf.DUMMYFUNCTION("""COMPUTED_VALUE"""),"LN006BG")</f>
        <v>LN006BG</v>
      </c>
      <c r="B13301" s="226" t="str">
        <f>IFERROR(__xludf.DUMMYFUNCTION("""COMPUTED_VALUE"""),"8717323023761")</f>
        <v>8717323023761</v>
      </c>
      <c r="C13301" t="str">
        <f>IFERROR(__xludf.DUMMYFUNCTION("""COMPUTED_VALUE"""),"ECS")</f>
        <v>ECS</v>
      </c>
    </row>
    <row r="13302">
      <c r="A13302" t="str">
        <f>IFERROR(__xludf.DUMMYFUNCTION("""COMPUTED_VALUE"""),"LN006DH")</f>
        <v>LN006DH</v>
      </c>
      <c r="B13302" s="226" t="str">
        <f>IFERROR(__xludf.DUMMYFUNCTION("""COMPUTED_VALUE"""),"8717323016510")</f>
        <v>8717323016510</v>
      </c>
      <c r="C13302" t="str">
        <f>IFERROR(__xludf.DUMMYFUNCTION("""COMPUTED_VALUE"""),"ECS")</f>
        <v>ECS</v>
      </c>
    </row>
    <row r="13303">
      <c r="A13303" t="str">
        <f>IFERROR(__xludf.DUMMYFUNCTION("""COMPUTED_VALUE"""),"CR050BH")</f>
        <v>CR050BH</v>
      </c>
      <c r="B13303" s="226" t="str">
        <f>IFERROR(__xludf.DUMMYFUNCTION("""COMPUTED_VALUE"""),"8717323033432")</f>
        <v>8717323033432</v>
      </c>
      <c r="C13303" t="str">
        <f>IFERROR(__xludf.DUMMYFUNCTION("""COMPUTED_VALUE"""),"ECS")</f>
        <v>ECS</v>
      </c>
    </row>
    <row r="13304">
      <c r="A13304" t="str">
        <f>IFERROR(__xludf.DUMMYFUNCTION("""COMPUTED_VALUE"""),"CR050DH")</f>
        <v>CR050DH</v>
      </c>
      <c r="B13304" s="226" t="str">
        <f>IFERROR(__xludf.DUMMYFUNCTION("""COMPUTED_VALUE"""),"8717323016732")</f>
        <v>8717323016732</v>
      </c>
      <c r="C13304" t="str">
        <f>IFERROR(__xludf.DUMMYFUNCTION("""COMPUTED_VALUE"""),"ECS")</f>
        <v>ECS</v>
      </c>
    </row>
    <row r="13305">
      <c r="A13305" t="str">
        <f>IFERROR(__xludf.DUMMYFUNCTION("""COMPUTED_VALUE"""),"LN005BL")</f>
        <v>LN005BL</v>
      </c>
      <c r="B13305" s="226" t="str">
        <f>IFERROR(__xludf.DUMMYFUNCTION("""COMPUTED_VALUE"""),"8717323010860")</f>
        <v>8717323010860</v>
      </c>
      <c r="C13305" t="str">
        <f>IFERROR(__xludf.DUMMYFUNCTION("""COMPUTED_VALUE"""),"ECS")</f>
        <v>ECS</v>
      </c>
    </row>
    <row r="13306">
      <c r="A13306" t="str">
        <f>IFERROR(__xludf.DUMMYFUNCTION("""COMPUTED_VALUE"""),"LN005DL")</f>
        <v>LN005DL</v>
      </c>
      <c r="B13306" s="226" t="str">
        <f>IFERROR(__xludf.DUMMYFUNCTION("""COMPUTED_VALUE"""),"8717323010549")</f>
        <v>8717323010549</v>
      </c>
      <c r="C13306" t="str">
        <f>IFERROR(__xludf.DUMMYFUNCTION("""COMPUTED_VALUE"""),"ECS")</f>
        <v>ECS</v>
      </c>
    </row>
    <row r="13307">
      <c r="A13307" t="str">
        <f>IFERROR(__xludf.DUMMYFUNCTION("""COMPUTED_VALUE"""),"LN007BH")</f>
        <v>LN007BH</v>
      </c>
      <c r="B13307" s="226" t="str">
        <f>IFERROR(__xludf.DUMMYFUNCTION("""COMPUTED_VALUE"""),"8717323016145")</f>
        <v>8717323016145</v>
      </c>
      <c r="C13307" t="str">
        <f>IFERROR(__xludf.DUMMYFUNCTION("""COMPUTED_VALUE"""),"ECS")</f>
        <v>ECS</v>
      </c>
    </row>
    <row r="13308">
      <c r="A13308" t="str">
        <f>IFERROR(__xludf.DUMMYFUNCTION("""COMPUTED_VALUE"""),"LN007DH")</f>
        <v>LN007DH</v>
      </c>
      <c r="B13308" s="226" t="str">
        <f>IFERROR(__xludf.DUMMYFUNCTION("""COMPUTED_VALUE"""),"8717323016152")</f>
        <v>8717323016152</v>
      </c>
      <c r="C13308" t="str">
        <f>IFERROR(__xludf.DUMMYFUNCTION("""COMPUTED_VALUE"""),"ECS")</f>
        <v>ECS</v>
      </c>
    </row>
    <row r="13309">
      <c r="A13309" t="str">
        <f>IFERROR(__xludf.DUMMYFUNCTION("""COMPUTED_VALUE"""),"CT015BB")</f>
        <v>CT015BB</v>
      </c>
      <c r="B13309" s="226" t="str">
        <f>IFERROR(__xludf.DUMMYFUNCTION("""COMPUTED_VALUE"""),"8717323000960")</f>
        <v>8717323000960</v>
      </c>
      <c r="C13309" t="str">
        <f>IFERROR(__xludf.DUMMYFUNCTION("""COMPUTED_VALUE"""),"ECS")</f>
        <v>ECS</v>
      </c>
    </row>
    <row r="13310">
      <c r="A13310" t="str">
        <f>IFERROR(__xludf.DUMMYFUNCTION("""COMPUTED_VALUE"""),"PE059B1")</f>
        <v>PE059B1</v>
      </c>
      <c r="B13310" s="226" t="str">
        <f>IFERROR(__xludf.DUMMYFUNCTION("""COMPUTED_VALUE"""),"8717323024102")</f>
        <v>8717323024102</v>
      </c>
      <c r="C13310" t="str">
        <f>IFERROR(__xludf.DUMMYFUNCTION("""COMPUTED_VALUE"""),"ECS")</f>
        <v>ECS</v>
      </c>
    </row>
    <row r="13311">
      <c r="A13311" t="str">
        <f>IFERROR(__xludf.DUMMYFUNCTION("""COMPUTED_VALUE"""),"PE059D1")</f>
        <v>PE059D1</v>
      </c>
      <c r="B13311" s="226" t="str">
        <f>IFERROR(__xludf.DUMMYFUNCTION("""COMPUTED_VALUE"""),"8717323024119")</f>
        <v>8717323024119</v>
      </c>
      <c r="C13311" t="str">
        <f>IFERROR(__xludf.DUMMYFUNCTION("""COMPUTED_VALUE"""),"ECS")</f>
        <v>ECS</v>
      </c>
    </row>
    <row r="13312">
      <c r="A13312" t="str">
        <f>IFERROR(__xludf.DUMMYFUNCTION("""COMPUTED_VALUE"""),"LN009DL")</f>
        <v>LN009DL</v>
      </c>
      <c r="B13312" s="226" t="str">
        <f>IFERROR(__xludf.DUMMYFUNCTION("""COMPUTED_VALUE"""),"8717323026861")</f>
        <v>8717323026861</v>
      </c>
      <c r="C13312" t="str">
        <f>IFERROR(__xludf.DUMMYFUNCTION("""COMPUTED_VALUE"""),"ECS")</f>
        <v>ECS</v>
      </c>
    </row>
    <row r="13313">
      <c r="A13313" t="str">
        <f>IFERROR(__xludf.DUMMYFUNCTION("""COMPUTED_VALUE"""),"CR050BH")</f>
        <v>CR050BH</v>
      </c>
      <c r="B13313" s="226" t="str">
        <f>IFERROR(__xludf.DUMMYFUNCTION("""COMPUTED_VALUE"""),"8717323033432")</f>
        <v>8717323033432</v>
      </c>
      <c r="C13313" t="str">
        <f>IFERROR(__xludf.DUMMYFUNCTION("""COMPUTED_VALUE"""),"ECS")</f>
        <v>ECS</v>
      </c>
    </row>
    <row r="13314">
      <c r="A13314" t="str">
        <f>IFERROR(__xludf.DUMMYFUNCTION("""COMPUTED_VALUE"""),"CR050DH")</f>
        <v>CR050DH</v>
      </c>
      <c r="B13314" s="226" t="str">
        <f>IFERROR(__xludf.DUMMYFUNCTION("""COMPUTED_VALUE"""),"8717323016732")</f>
        <v>8717323016732</v>
      </c>
      <c r="C13314" t="str">
        <f>IFERROR(__xludf.DUMMYFUNCTION("""COMPUTED_VALUE"""),"ECS")</f>
        <v>ECS</v>
      </c>
    </row>
    <row r="13315">
      <c r="A13315" t="str">
        <f>IFERROR(__xludf.DUMMYFUNCTION("""COMPUTED_VALUE"""),"LN004BB")</f>
        <v>LN004BB</v>
      </c>
      <c r="B13315" s="226" t="str">
        <f>IFERROR(__xludf.DUMMYFUNCTION("""COMPUTED_VALUE"""),"8717323010051")</f>
        <v>8717323010051</v>
      </c>
      <c r="C13315" t="str">
        <f>IFERROR(__xludf.DUMMYFUNCTION("""COMPUTED_VALUE"""),"ECS")</f>
        <v>ECS</v>
      </c>
    </row>
    <row r="13316">
      <c r="A13316" t="str">
        <f>IFERROR(__xludf.DUMMYFUNCTION("""COMPUTED_VALUE"""),"LN008BB")</f>
        <v>LN008BB</v>
      </c>
      <c r="B13316" s="226" t="str">
        <f>IFERROR(__xludf.DUMMYFUNCTION("""COMPUTED_VALUE"""),"8717323026052")</f>
        <v>8717323026052</v>
      </c>
      <c r="C13316" t="str">
        <f>IFERROR(__xludf.DUMMYFUNCTION("""COMPUTED_VALUE"""),"ECS")</f>
        <v>ECS</v>
      </c>
    </row>
    <row r="13317">
      <c r="A13317" t="str">
        <f>IFERROR(__xludf.DUMMYFUNCTION("""COMPUTED_VALUE"""),"LN008DH")</f>
        <v>LN008DH</v>
      </c>
      <c r="B13317" s="226" t="str">
        <f>IFERROR(__xludf.DUMMYFUNCTION("""COMPUTED_VALUE"""),"8717323037805")</f>
        <v>8717323037805</v>
      </c>
      <c r="C13317" t="str">
        <f>IFERROR(__xludf.DUMMYFUNCTION("""COMPUTED_VALUE"""),"ECS")</f>
        <v>ECS</v>
      </c>
    </row>
    <row r="13318">
      <c r="A13318" t="str">
        <f>IFERROR(__xludf.DUMMYFUNCTION("""COMPUTED_VALUE"""),"LR001BH")</f>
        <v>LR001BH</v>
      </c>
      <c r="B13318" s="226" t="str">
        <f>IFERROR(__xludf.DUMMYFUNCTION("""COMPUTED_VALUE"""),"8717323012543")</f>
        <v>8717323012543</v>
      </c>
      <c r="C13318" t="str">
        <f>IFERROR(__xludf.DUMMYFUNCTION("""COMPUTED_VALUE"""),"ECS")</f>
        <v>ECS</v>
      </c>
    </row>
    <row r="13319">
      <c r="A13319" t="str">
        <f>IFERROR(__xludf.DUMMYFUNCTION("""COMPUTED_VALUE"""),"LR001DH")</f>
        <v>LR001DH</v>
      </c>
      <c r="B13319" s="226" t="str">
        <f>IFERROR(__xludf.DUMMYFUNCTION("""COMPUTED_VALUE"""),"8717323012550")</f>
        <v>8717323012550</v>
      </c>
      <c r="C13319" t="str">
        <f>IFERROR(__xludf.DUMMYFUNCTION("""COMPUTED_VALUE"""),"ECS")</f>
        <v>ECS</v>
      </c>
    </row>
    <row r="13320">
      <c r="A13320" t="str">
        <f>IFERROR(__xludf.DUMMYFUNCTION("""COMPUTED_VALUE"""),"LR003BH")</f>
        <v>LR003BH</v>
      </c>
      <c r="B13320" s="226" t="str">
        <f>IFERROR(__xludf.DUMMYFUNCTION("""COMPUTED_VALUE"""),"8717323025710")</f>
        <v>8717323025710</v>
      </c>
      <c r="C13320" t="str">
        <f>IFERROR(__xludf.DUMMYFUNCTION("""COMPUTED_VALUE"""),"ECS")</f>
        <v>ECS</v>
      </c>
    </row>
    <row r="13321">
      <c r="A13321" t="str">
        <f>IFERROR(__xludf.DUMMYFUNCTION("""COMPUTED_VALUE"""),"LR003DH")</f>
        <v>LR003DH</v>
      </c>
      <c r="B13321" s="226" t="str">
        <f>IFERROR(__xludf.DUMMYFUNCTION("""COMPUTED_VALUE"""),"8717323025727")</f>
        <v>8717323025727</v>
      </c>
      <c r="C13321" t="str">
        <f>IFERROR(__xludf.DUMMYFUNCTION("""COMPUTED_VALUE"""),"ECS")</f>
        <v>ECS</v>
      </c>
    </row>
    <row r="13322">
      <c r="A13322" t="str">
        <f>IFERROR(__xludf.DUMMYFUNCTION("""COMPUTED_VALUE"""),"LR009BH")</f>
        <v>LR009BH</v>
      </c>
      <c r="B13322" s="226" t="str">
        <f>IFERROR(__xludf.DUMMYFUNCTION("""COMPUTED_VALUE"""),"8717323054390")</f>
        <v>8717323054390</v>
      </c>
      <c r="C13322" t="str">
        <f>IFERROR(__xludf.DUMMYFUNCTION("""COMPUTED_VALUE"""),"ECS")</f>
        <v>ECS</v>
      </c>
    </row>
    <row r="13323">
      <c r="A13323" t="str">
        <f>IFERROR(__xludf.DUMMYFUNCTION("""COMPUTED_VALUE"""),"LR009DH")</f>
        <v>LR009DH</v>
      </c>
      <c r="B13323" s="226" t="str">
        <f>IFERROR(__xludf.DUMMYFUNCTION("""COMPUTED_VALUE"""),"8717323054406")</f>
        <v>8717323054406</v>
      </c>
      <c r="C13323" t="str">
        <f>IFERROR(__xludf.DUMMYFUNCTION("""COMPUTED_VALUE"""),"ECS")</f>
        <v>ECS</v>
      </c>
    </row>
    <row r="13324">
      <c r="A13324" t="str">
        <f>IFERROR(__xludf.DUMMYFUNCTION("""COMPUTED_VALUE"""),"LR021F1")</f>
        <v>LR021F1</v>
      </c>
      <c r="B13324" s="226" t="str">
        <f>IFERROR(__xludf.DUMMYFUNCTION("""COMPUTED_VALUE"""),"8717323069837")</f>
        <v>8717323069837</v>
      </c>
      <c r="C13324" t="str">
        <f>IFERROR(__xludf.DUMMYFUNCTION("""COMPUTED_VALUE"""),"ECS")</f>
        <v>ECS</v>
      </c>
    </row>
    <row r="13325">
      <c r="A13325" t="str">
        <f>IFERROR(__xludf.DUMMYFUNCTION("""COMPUTED_VALUE"""),"LR021H1")</f>
        <v>LR021H1</v>
      </c>
      <c r="B13325" s="226" t="str">
        <f>IFERROR(__xludf.DUMMYFUNCTION("""COMPUTED_VALUE"""),"8717323069844")</f>
        <v>8717323069844</v>
      </c>
      <c r="C13325" t="str">
        <f>IFERROR(__xludf.DUMMYFUNCTION("""COMPUTED_VALUE"""),"ECS")</f>
        <v>ECS</v>
      </c>
    </row>
    <row r="13326">
      <c r="A13326" t="str">
        <f>IFERROR(__xludf.DUMMYFUNCTION("""COMPUTED_VALUE"""),"LR006BH")</f>
        <v>LR006BH</v>
      </c>
      <c r="B13326" s="226" t="str">
        <f>IFERROR(__xludf.DUMMYFUNCTION("""COMPUTED_VALUE"""),"8717323047583")</f>
        <v>8717323047583</v>
      </c>
      <c r="C13326" t="str">
        <f>IFERROR(__xludf.DUMMYFUNCTION("""COMPUTED_VALUE"""),"ECS")</f>
        <v>ECS</v>
      </c>
    </row>
    <row r="13327">
      <c r="A13327" t="str">
        <f>IFERROR(__xludf.DUMMYFUNCTION("""COMPUTED_VALUE"""),"LR006DH")</f>
        <v>LR006DH</v>
      </c>
      <c r="B13327" s="226" t="str">
        <f>IFERROR(__xludf.DUMMYFUNCTION("""COMPUTED_VALUE"""),"8717323047590")</f>
        <v>8717323047590</v>
      </c>
      <c r="C13327" t="str">
        <f>IFERROR(__xludf.DUMMYFUNCTION("""COMPUTED_VALUE"""),"ECS")</f>
        <v>ECS</v>
      </c>
    </row>
    <row r="13328">
      <c r="A13328" t="str">
        <f>IFERROR(__xludf.DUMMYFUNCTION("""COMPUTED_VALUE"""),"RV003BB")</f>
        <v>RV003BB</v>
      </c>
      <c r="B13328" s="226" t="str">
        <f>IFERROR(__xludf.DUMMYFUNCTION("""COMPUTED_VALUE"""),"8717323006658")</f>
        <v>8717323006658</v>
      </c>
      <c r="C13328" t="str">
        <f>IFERROR(__xludf.DUMMYFUNCTION("""COMPUTED_VALUE"""),"ECS")</f>
        <v>ECS</v>
      </c>
    </row>
    <row r="13329">
      <c r="A13329" t="str">
        <f>IFERROR(__xludf.DUMMYFUNCTION("""COMPUTED_VALUE"""),"RV008BB")</f>
        <v>RV008BB</v>
      </c>
      <c r="B13329" s="226" t="str">
        <f>IFERROR(__xludf.DUMMYFUNCTION("""COMPUTED_VALUE"""),"8717323010457")</f>
        <v>8717323010457</v>
      </c>
      <c r="C13329" t="str">
        <f>IFERROR(__xludf.DUMMYFUNCTION("""COMPUTED_VALUE"""),"ECS")</f>
        <v>ECS</v>
      </c>
    </row>
    <row r="13330">
      <c r="A13330" t="str">
        <f>IFERROR(__xludf.DUMMYFUNCTION("""COMPUTED_VALUE"""),"RV008DB")</f>
        <v>RV008DB</v>
      </c>
      <c r="B13330" s="226" t="str">
        <f>IFERROR(__xludf.DUMMYFUNCTION("""COMPUTED_VALUE"""),"8717323010471")</f>
        <v>8717323010471</v>
      </c>
      <c r="C13330" t="str">
        <f>IFERROR(__xludf.DUMMYFUNCTION("""COMPUTED_VALUE"""),"ECS")</f>
        <v>ECS</v>
      </c>
    </row>
    <row r="13331">
      <c r="A13331" t="str">
        <f>IFERROR(__xludf.DUMMYFUNCTION("""COMPUTED_VALUE"""),"RV008DL")</f>
        <v>RV008DL</v>
      </c>
      <c r="B13331" s="226" t="str">
        <f>IFERROR(__xludf.DUMMYFUNCTION("""COMPUTED_VALUE"""),"8717323010488")</f>
        <v>8717323010488</v>
      </c>
      <c r="C13331" t="str">
        <f>IFERROR(__xludf.DUMMYFUNCTION("""COMPUTED_VALUE"""),"ECS")</f>
        <v>ECS</v>
      </c>
    </row>
    <row r="13332">
      <c r="A13332" t="str">
        <f>IFERROR(__xludf.DUMMYFUNCTION("""COMPUTED_VALUE"""),"LR002B1")</f>
        <v>LR002B1</v>
      </c>
      <c r="B13332" s="226" t="str">
        <f>IFERROR(__xludf.DUMMYFUNCTION("""COMPUTED_VALUE"""),"8717323025666")</f>
        <v>8717323025666</v>
      </c>
      <c r="C13332" t="str">
        <f>IFERROR(__xludf.DUMMYFUNCTION("""COMPUTED_VALUE"""),"ECS")</f>
        <v>ECS</v>
      </c>
    </row>
    <row r="13333">
      <c r="A13333" t="str">
        <f>IFERROR(__xludf.DUMMYFUNCTION("""COMPUTED_VALUE"""),"LR002D1")</f>
        <v>LR002D1</v>
      </c>
      <c r="B13333" s="226" t="str">
        <f>IFERROR(__xludf.DUMMYFUNCTION("""COMPUTED_VALUE"""),"8717323025673")</f>
        <v>8717323025673</v>
      </c>
      <c r="C13333" t="str">
        <f>IFERROR(__xludf.DUMMYFUNCTION("""COMPUTED_VALUE"""),"ECS")</f>
        <v>ECS</v>
      </c>
    </row>
    <row r="13334">
      <c r="A13334" t="str">
        <f>IFERROR(__xludf.DUMMYFUNCTION("""COMPUTED_VALUE"""),"LR005BHC")</f>
        <v>LR005BHC</v>
      </c>
      <c r="B13334" s="226" t="str">
        <f>IFERROR(__xludf.DUMMYFUNCTION("""COMPUTED_VALUE"""),"8717323048856")</f>
        <v>8717323048856</v>
      </c>
      <c r="C13334" t="str">
        <f>IFERROR(__xludf.DUMMYFUNCTION("""COMPUTED_VALUE"""),"ECS")</f>
        <v>ECS</v>
      </c>
    </row>
    <row r="13335">
      <c r="A13335" t="str">
        <f>IFERROR(__xludf.DUMMYFUNCTION("""COMPUTED_VALUE"""),"LR005DH")</f>
        <v>LR005DH</v>
      </c>
      <c r="B13335" s="226" t="str">
        <f>IFERROR(__xludf.DUMMYFUNCTION("""COMPUTED_VALUE"""),"8717323029954")</f>
        <v>8717323029954</v>
      </c>
      <c r="C13335" t="str">
        <f>IFERROR(__xludf.DUMMYFUNCTION("""COMPUTED_VALUE"""),"ECS")</f>
        <v>ECS</v>
      </c>
    </row>
    <row r="13336">
      <c r="A13336" t="str">
        <f>IFERROR(__xludf.DUMMYFUNCTION("""COMPUTED_VALUE"""),"LR004BHC")</f>
        <v>LR004BHC</v>
      </c>
      <c r="B13336" s="226" t="str">
        <f>IFERROR(__xludf.DUMMYFUNCTION("""COMPUTED_VALUE"""),"8717323048849")</f>
        <v>8717323048849</v>
      </c>
      <c r="C13336" t="str">
        <f>IFERROR(__xludf.DUMMYFUNCTION("""COMPUTED_VALUE"""),"ECS")</f>
        <v>ECS</v>
      </c>
    </row>
    <row r="13337">
      <c r="A13337" t="str">
        <f>IFERROR(__xludf.DUMMYFUNCTION("""COMPUTED_VALUE"""),"LR004DH")</f>
        <v>LR004DH</v>
      </c>
      <c r="B13337" s="226" t="str">
        <f>IFERROR(__xludf.DUMMYFUNCTION("""COMPUTED_VALUE"""),"8717323029664")</f>
        <v>8717323029664</v>
      </c>
      <c r="C13337" t="str">
        <f>IFERROR(__xludf.DUMMYFUNCTION("""COMPUTED_VALUE"""),"ECS")</f>
        <v>ECS</v>
      </c>
    </row>
    <row r="13338">
      <c r="A13338" t="str">
        <f>IFERROR(__xludf.DUMMYFUNCTION("""COMPUTED_VALUE"""),"LR021F1")</f>
        <v>LR021F1</v>
      </c>
      <c r="B13338" s="226" t="str">
        <f>IFERROR(__xludf.DUMMYFUNCTION("""COMPUTED_VALUE"""),"8717323069837")</f>
        <v>8717323069837</v>
      </c>
      <c r="C13338" t="str">
        <f>IFERROR(__xludf.DUMMYFUNCTION("""COMPUTED_VALUE"""),"ECS")</f>
        <v>ECS</v>
      </c>
    </row>
    <row r="13339">
      <c r="A13339" t="str">
        <f>IFERROR(__xludf.DUMMYFUNCTION("""COMPUTED_VALUE"""),"LR021H1")</f>
        <v>LR021H1</v>
      </c>
      <c r="B13339" s="226" t="str">
        <f>IFERROR(__xludf.DUMMYFUNCTION("""COMPUTED_VALUE"""),"8717323069844")</f>
        <v>8717323069844</v>
      </c>
      <c r="C13339" t="str">
        <f>IFERROR(__xludf.DUMMYFUNCTION("""COMPUTED_VALUE"""),"ECS")</f>
        <v>ECS</v>
      </c>
    </row>
    <row r="13340">
      <c r="A13340" t="str">
        <f>IFERROR(__xludf.DUMMYFUNCTION("""COMPUTED_VALUE"""),"LR004BHC")</f>
        <v>LR004BHC</v>
      </c>
      <c r="B13340" s="226" t="str">
        <f>IFERROR(__xludf.DUMMYFUNCTION("""COMPUTED_VALUE"""),"8717323048849")</f>
        <v>8717323048849</v>
      </c>
      <c r="C13340" t="str">
        <f>IFERROR(__xludf.DUMMYFUNCTION("""COMPUTED_VALUE"""),"ECS")</f>
        <v>ECS</v>
      </c>
    </row>
    <row r="13341">
      <c r="A13341" t="str">
        <f>IFERROR(__xludf.DUMMYFUNCTION("""COMPUTED_VALUE"""),"LR004DH")</f>
        <v>LR004DH</v>
      </c>
      <c r="B13341" s="226" t="str">
        <f>IFERROR(__xludf.DUMMYFUNCTION("""COMPUTED_VALUE"""),"8717323029664")</f>
        <v>8717323029664</v>
      </c>
      <c r="C13341" t="str">
        <f>IFERROR(__xludf.DUMMYFUNCTION("""COMPUTED_VALUE"""),"ECS")</f>
        <v>ECS</v>
      </c>
    </row>
    <row r="13342">
      <c r="A13342" t="str">
        <f>IFERROR(__xludf.DUMMYFUNCTION("""COMPUTED_VALUE"""),"RV005D1")</f>
        <v>RV005D1</v>
      </c>
      <c r="B13342" s="226" t="str">
        <f>IFERROR(__xludf.DUMMYFUNCTION("""COMPUTED_VALUE"""),"8717323051016")</f>
        <v>8717323051016</v>
      </c>
      <c r="C13342" t="str">
        <f>IFERROR(__xludf.DUMMYFUNCTION("""COMPUTED_VALUE"""),"ECS")</f>
        <v>ECS</v>
      </c>
    </row>
    <row r="13343">
      <c r="A13343" t="str">
        <f>IFERROR(__xludf.DUMMYFUNCTION("""COMPUTED_VALUE"""),"LR017BH")</f>
        <v>LR017BH</v>
      </c>
      <c r="B13343" s="226" t="str">
        <f>IFERROR(__xludf.DUMMYFUNCTION("""COMPUTED_VALUE"""),"8717323065716")</f>
        <v>8717323065716</v>
      </c>
      <c r="C13343" t="str">
        <f>IFERROR(__xludf.DUMMYFUNCTION("""COMPUTED_VALUE"""),"ECS")</f>
        <v>ECS</v>
      </c>
    </row>
    <row r="13344">
      <c r="A13344" t="str">
        <f>IFERROR(__xludf.DUMMYFUNCTION("""COMPUTED_VALUE"""),"LR017DH")</f>
        <v>LR017DH</v>
      </c>
      <c r="B13344" s="226" t="str">
        <f>IFERROR(__xludf.DUMMYFUNCTION("""COMPUTED_VALUE"""),"8717323065723")</f>
        <v>8717323065723</v>
      </c>
      <c r="C13344" t="str">
        <f>IFERROR(__xludf.DUMMYFUNCTION("""COMPUTED_VALUE"""),"ECS")</f>
        <v>ECS</v>
      </c>
    </row>
    <row r="13345">
      <c r="A13345" t="str">
        <f>IFERROR(__xludf.DUMMYFUNCTION("""COMPUTED_VALUE"""),"LR006BH")</f>
        <v>LR006BH</v>
      </c>
      <c r="B13345" s="226" t="str">
        <f>IFERROR(__xludf.DUMMYFUNCTION("""COMPUTED_VALUE"""),"8717323047583")</f>
        <v>8717323047583</v>
      </c>
      <c r="C13345" t="str">
        <f>IFERROR(__xludf.DUMMYFUNCTION("""COMPUTED_VALUE"""),"ECS")</f>
        <v>ECS</v>
      </c>
    </row>
    <row r="13346">
      <c r="A13346" t="str">
        <f>IFERROR(__xludf.DUMMYFUNCTION("""COMPUTED_VALUE"""),"LR006DH")</f>
        <v>LR006DH</v>
      </c>
      <c r="B13346" s="226" t="str">
        <f>IFERROR(__xludf.DUMMYFUNCTION("""COMPUTED_VALUE"""),"8717323047590")</f>
        <v>8717323047590</v>
      </c>
      <c r="C13346" t="str">
        <f>IFERROR(__xludf.DUMMYFUNCTION("""COMPUTED_VALUE"""),"ECS")</f>
        <v>ECS</v>
      </c>
    </row>
    <row r="13347">
      <c r="A13347" t="str">
        <f>IFERROR(__xludf.DUMMYFUNCTION("""COMPUTED_VALUE"""),"LR001BH")</f>
        <v>LR001BH</v>
      </c>
      <c r="B13347" s="226" t="str">
        <f>IFERROR(__xludf.DUMMYFUNCTION("""COMPUTED_VALUE"""),"8717323012543")</f>
        <v>8717323012543</v>
      </c>
      <c r="C13347" t="str">
        <f>IFERROR(__xludf.DUMMYFUNCTION("""COMPUTED_VALUE"""),"ECS")</f>
        <v>ECS</v>
      </c>
    </row>
    <row r="13348">
      <c r="A13348" t="str">
        <f>IFERROR(__xludf.DUMMYFUNCTION("""COMPUTED_VALUE"""),"LR001DH")</f>
        <v>LR001DH</v>
      </c>
      <c r="B13348" s="226" t="str">
        <f>IFERROR(__xludf.DUMMYFUNCTION("""COMPUTED_VALUE"""),"8717323012550")</f>
        <v>8717323012550</v>
      </c>
      <c r="C13348" t="str">
        <f>IFERROR(__xludf.DUMMYFUNCTION("""COMPUTED_VALUE"""),"ECS")</f>
        <v>ECS</v>
      </c>
    </row>
    <row r="13349">
      <c r="A13349" t="str">
        <f>IFERROR(__xludf.DUMMYFUNCTION("""COMPUTED_VALUE"""),"LR003BH")</f>
        <v>LR003BH</v>
      </c>
      <c r="B13349" s="226" t="str">
        <f>IFERROR(__xludf.DUMMYFUNCTION("""COMPUTED_VALUE"""),"8717323025710")</f>
        <v>8717323025710</v>
      </c>
      <c r="C13349" t="str">
        <f>IFERROR(__xludf.DUMMYFUNCTION("""COMPUTED_VALUE"""),"ECS")</f>
        <v>ECS</v>
      </c>
    </row>
    <row r="13350">
      <c r="A13350" t="str">
        <f>IFERROR(__xludf.DUMMYFUNCTION("""COMPUTED_VALUE"""),"LR003DH")</f>
        <v>LR003DH</v>
      </c>
      <c r="B13350" s="226" t="str">
        <f>IFERROR(__xludf.DUMMYFUNCTION("""COMPUTED_VALUE"""),"8717323025727")</f>
        <v>8717323025727</v>
      </c>
      <c r="C13350" t="str">
        <f>IFERROR(__xludf.DUMMYFUNCTION("""COMPUTED_VALUE"""),"ECS")</f>
        <v>ECS</v>
      </c>
    </row>
    <row r="13351">
      <c r="A13351" t="str">
        <f>IFERROR(__xludf.DUMMYFUNCTION("""COMPUTED_VALUE"""),"LR006BH")</f>
        <v>LR006BH</v>
      </c>
      <c r="B13351" s="226" t="str">
        <f>IFERROR(__xludf.DUMMYFUNCTION("""COMPUTED_VALUE"""),"8717323047583")</f>
        <v>8717323047583</v>
      </c>
      <c r="C13351" t="str">
        <f>IFERROR(__xludf.DUMMYFUNCTION("""COMPUTED_VALUE"""),"ECS")</f>
        <v>ECS</v>
      </c>
    </row>
    <row r="13352">
      <c r="A13352" t="str">
        <f>IFERROR(__xludf.DUMMYFUNCTION("""COMPUTED_VALUE"""),"LR006DH")</f>
        <v>LR006DH</v>
      </c>
      <c r="B13352" s="226" t="str">
        <f>IFERROR(__xludf.DUMMYFUNCTION("""COMPUTED_VALUE"""),"8717323047590")</f>
        <v>8717323047590</v>
      </c>
      <c r="C13352" t="str">
        <f>IFERROR(__xludf.DUMMYFUNCTION("""COMPUTED_VALUE"""),"ECS")</f>
        <v>ECS</v>
      </c>
    </row>
    <row r="13353">
      <c r="A13353" t="str">
        <f>IFERROR(__xludf.DUMMYFUNCTION("""COMPUTED_VALUE"""),"JG007F1")</f>
        <v>JG007F1</v>
      </c>
      <c r="B13353" s="226" t="str">
        <f>IFERROR(__xludf.DUMMYFUNCTION("""COMPUTED_VALUE"""),"8717323064849")</f>
        <v>8717323064849</v>
      </c>
      <c r="C13353" t="str">
        <f>IFERROR(__xludf.DUMMYFUNCTION("""COMPUTED_VALUE"""),"ECS")</f>
        <v>ECS</v>
      </c>
    </row>
    <row r="13354">
      <c r="A13354" t="str">
        <f>IFERROR(__xludf.DUMMYFUNCTION("""COMPUTED_VALUE"""),"JG007H1")</f>
        <v>JG007H1</v>
      </c>
      <c r="B13354" s="226" t="str">
        <f>IFERROR(__xludf.DUMMYFUNCTION("""COMPUTED_VALUE"""),"8717323064856")</f>
        <v>8717323064856</v>
      </c>
      <c r="C13354" t="str">
        <f>IFERROR(__xludf.DUMMYFUNCTION("""COMPUTED_VALUE"""),"ECS")</f>
        <v>ECS</v>
      </c>
    </row>
    <row r="13355">
      <c r="A13355" t="str">
        <f>IFERROR(__xludf.DUMMYFUNCTION("""COMPUTED_VALUE"""),"LW003DH")</f>
        <v>LW003DH</v>
      </c>
      <c r="B13355" s="226" t="str">
        <f>IFERROR(__xludf.DUMMYFUNCTION("""COMPUTED_VALUE"""),"8717323023013")</f>
        <v>8717323023013</v>
      </c>
      <c r="C13355" t="str">
        <f>IFERROR(__xludf.DUMMYFUNCTION("""COMPUTED_VALUE"""),"ECS")</f>
        <v>ECS</v>
      </c>
    </row>
    <row r="13356">
      <c r="A13356" t="str">
        <f>IFERROR(__xludf.DUMMYFUNCTION("""COMPUTED_VALUE"""),"LW002BG")</f>
        <v>LW002BG</v>
      </c>
      <c r="B13356" s="226" t="str">
        <f>IFERROR(__xludf.DUMMYFUNCTION("""COMPUTED_VALUE"""),"8717323026137")</f>
        <v>8717323026137</v>
      </c>
      <c r="C13356" t="str">
        <f>IFERROR(__xludf.DUMMYFUNCTION("""COMPUTED_VALUE"""),"ECS")</f>
        <v>ECS</v>
      </c>
    </row>
    <row r="13357">
      <c r="A13357" t="str">
        <f>IFERROR(__xludf.DUMMYFUNCTION("""COMPUTED_VALUE"""),"LW001BB")</f>
        <v>LW001BB</v>
      </c>
      <c r="B13357" s="226" t="str">
        <f>IFERROR(__xludf.DUMMYFUNCTION("""COMPUTED_VALUE"""),"8717323011751")</f>
        <v>8717323011751</v>
      </c>
      <c r="C13357" t="str">
        <f>IFERROR(__xludf.DUMMYFUNCTION("""COMPUTED_VALUE"""),"ECS")</f>
        <v>ECS</v>
      </c>
    </row>
    <row r="13358">
      <c r="A13358" t="str">
        <f>IFERROR(__xludf.DUMMYFUNCTION("""COMPUTED_VALUE"""),"LW001DB")</f>
        <v>LW001DB</v>
      </c>
      <c r="B13358" s="226" t="str">
        <f>IFERROR(__xludf.DUMMYFUNCTION("""COMPUTED_VALUE"""),"8717323011775")</f>
        <v>8717323011775</v>
      </c>
      <c r="C13358" t="str">
        <f>IFERROR(__xludf.DUMMYFUNCTION("""COMPUTED_VALUE"""),"ECS")</f>
        <v>ECS</v>
      </c>
    </row>
    <row r="13359">
      <c r="A13359" t="str">
        <f>IFERROR(__xludf.DUMMYFUNCTION("""COMPUTED_VALUE"""),"LW001BB")</f>
        <v>LW001BB</v>
      </c>
      <c r="B13359" s="226" t="str">
        <f>IFERROR(__xludf.DUMMYFUNCTION("""COMPUTED_VALUE"""),"8717323011751")</f>
        <v>8717323011751</v>
      </c>
      <c r="C13359" t="str">
        <f>IFERROR(__xludf.DUMMYFUNCTION("""COMPUTED_VALUE"""),"ECS")</f>
        <v>ECS</v>
      </c>
    </row>
    <row r="13360">
      <c r="A13360" t="str">
        <f>IFERROR(__xludf.DUMMYFUNCTION("""COMPUTED_VALUE"""),"LW001DB")</f>
        <v>LW001DB</v>
      </c>
      <c r="B13360" s="226" t="str">
        <f>IFERROR(__xludf.DUMMYFUNCTION("""COMPUTED_VALUE"""),"8717323011775")</f>
        <v>8717323011775</v>
      </c>
      <c r="C13360" t="str">
        <f>IFERROR(__xludf.DUMMYFUNCTION("""COMPUTED_VALUE"""),"ECS")</f>
        <v>ECS</v>
      </c>
    </row>
    <row r="13361">
      <c r="A13361" t="str">
        <f>IFERROR(__xludf.DUMMYFUNCTION("""COMPUTED_VALUE"""),"LW001DL")</f>
        <v>LW001DL</v>
      </c>
      <c r="B13361" s="226" t="str">
        <f>IFERROR(__xludf.DUMMYFUNCTION("""COMPUTED_VALUE"""),"8717323014448")</f>
        <v>8717323014448</v>
      </c>
      <c r="C13361" t="str">
        <f>IFERROR(__xludf.DUMMYFUNCTION("""COMPUTED_VALUE"""),"ECS")</f>
        <v>ECS</v>
      </c>
    </row>
    <row r="13362">
      <c r="A13362" t="str">
        <f>IFERROR(__xludf.DUMMYFUNCTION("""COMPUTED_VALUE"""),"LW001BB")</f>
        <v>LW001BB</v>
      </c>
      <c r="B13362" s="226" t="str">
        <f>IFERROR(__xludf.DUMMYFUNCTION("""COMPUTED_VALUE"""),"8717323011751")</f>
        <v>8717323011751</v>
      </c>
      <c r="C13362" t="str">
        <f>IFERROR(__xludf.DUMMYFUNCTION("""COMPUTED_VALUE"""),"ECS")</f>
        <v>ECS</v>
      </c>
    </row>
    <row r="13363">
      <c r="A13363" t="str">
        <f>IFERROR(__xludf.DUMMYFUNCTION("""COMPUTED_VALUE"""),"LW001DB")</f>
        <v>LW001DB</v>
      </c>
      <c r="B13363" s="226" t="str">
        <f>IFERROR(__xludf.DUMMYFUNCTION("""COMPUTED_VALUE"""),"8717323011775")</f>
        <v>8717323011775</v>
      </c>
      <c r="C13363" t="str">
        <f>IFERROR(__xludf.DUMMYFUNCTION("""COMPUTED_VALUE"""),"ECS")</f>
        <v>ECS</v>
      </c>
    </row>
    <row r="13364">
      <c r="A13364" t="str">
        <f>IFERROR(__xludf.DUMMYFUNCTION("""COMPUTED_VALUE"""),"LW001DL")</f>
        <v>LW001DL</v>
      </c>
      <c r="B13364" s="226" t="str">
        <f>IFERROR(__xludf.DUMMYFUNCTION("""COMPUTED_VALUE"""),"8717323014448")</f>
        <v>8717323014448</v>
      </c>
      <c r="C13364" t="str">
        <f>IFERROR(__xludf.DUMMYFUNCTION("""COMPUTED_VALUE"""),"ECS")</f>
        <v>ECS</v>
      </c>
    </row>
    <row r="13365">
      <c r="A13365" t="str">
        <f>IFERROR(__xludf.DUMMYFUNCTION("""COMPUTED_VALUE"""),"TO193DL")</f>
        <v>TO193DL</v>
      </c>
      <c r="B13365" s="226" t="str">
        <f>IFERROR(__xludf.DUMMYFUNCTION("""COMPUTED_VALUE"""),"8717323034590")</f>
        <v>8717323034590</v>
      </c>
      <c r="C13365" t="str">
        <f>IFERROR(__xludf.DUMMYFUNCTION("""COMPUTED_VALUE"""),"ECS")</f>
        <v>ECS</v>
      </c>
    </row>
    <row r="13366">
      <c r="A13366" t="str">
        <f>IFERROR(__xludf.DUMMYFUNCTION("""COMPUTED_VALUE"""),"TO136DH")</f>
        <v>TO136DH</v>
      </c>
      <c r="B13366" s="226" t="str">
        <f>IFERROR(__xludf.DUMMYFUNCTION("""COMPUTED_VALUE"""),"8717323013205")</f>
        <v>8717323013205</v>
      </c>
      <c r="C13366" t="str">
        <f>IFERROR(__xludf.DUMMYFUNCTION("""COMPUTED_VALUE"""),"ECS")</f>
        <v>ECS</v>
      </c>
    </row>
    <row r="13367">
      <c r="A13367" t="str">
        <f>IFERROR(__xludf.DUMMYFUNCTION("""COMPUTED_VALUE"""),"TO140DH")</f>
        <v>TO140DH</v>
      </c>
      <c r="B13367" s="226" t="str">
        <f>IFERROR(__xludf.DUMMYFUNCTION("""COMPUTED_VALUE"""),"8717323013588")</f>
        <v>8717323013588</v>
      </c>
      <c r="C13367" t="str">
        <f>IFERROR(__xludf.DUMMYFUNCTION("""COMPUTED_VALUE"""),"ECS")</f>
        <v>ECS</v>
      </c>
    </row>
    <row r="13368">
      <c r="A13368" t="str">
        <f>IFERROR(__xludf.DUMMYFUNCTION("""COMPUTED_VALUE"""),"TO243DH")</f>
        <v>TO243DH</v>
      </c>
      <c r="B13368" s="226" t="str">
        <f>IFERROR(__xludf.DUMMYFUNCTION("""COMPUTED_VALUE"""),"8717323051177")</f>
        <v>8717323051177</v>
      </c>
      <c r="C13368" t="str">
        <f>IFERROR(__xludf.DUMMYFUNCTION("""COMPUTED_VALUE"""),"ECS")</f>
        <v>ECS</v>
      </c>
    </row>
    <row r="13369">
      <c r="A13369" t="str">
        <f>IFERROR(__xludf.DUMMYFUNCTION("""COMPUTED_VALUE"""),"TO243DH")</f>
        <v>TO243DH</v>
      </c>
      <c r="B13369" s="226" t="str">
        <f>IFERROR(__xludf.DUMMYFUNCTION("""COMPUTED_VALUE"""),"8717323051177")</f>
        <v>8717323051177</v>
      </c>
      <c r="C13369" t="str">
        <f>IFERROR(__xludf.DUMMYFUNCTION("""COMPUTED_VALUE"""),"ECS")</f>
        <v>ECS</v>
      </c>
    </row>
    <row r="13370">
      <c r="A13370" t="str">
        <f>IFERROR(__xludf.DUMMYFUNCTION("""COMPUTED_VALUE"""),"TO073DL")</f>
        <v>TO073DL</v>
      </c>
      <c r="B13370" s="226" t="str">
        <f>IFERROR(__xludf.DUMMYFUNCTION("""COMPUTED_VALUE"""),"8717323007747")</f>
        <v>8717323007747</v>
      </c>
      <c r="C13370" t="str">
        <f>IFERROR(__xludf.DUMMYFUNCTION("""COMPUTED_VALUE"""),"ECS")</f>
        <v>ECS</v>
      </c>
    </row>
    <row r="13371">
      <c r="A13371" t="str">
        <f>IFERROR(__xludf.DUMMYFUNCTION("""COMPUTED_VALUE"""),"TO135DL")</f>
        <v>TO135DL</v>
      </c>
      <c r="B13371" s="226" t="str">
        <f>IFERROR(__xludf.DUMMYFUNCTION("""COMPUTED_VALUE"""),"8717323013175")</f>
        <v>8717323013175</v>
      </c>
      <c r="C13371" t="str">
        <f>IFERROR(__xludf.DUMMYFUNCTION("""COMPUTED_VALUE"""),"ECS")</f>
        <v>ECS</v>
      </c>
    </row>
    <row r="13372">
      <c r="A13372" t="str">
        <f>IFERROR(__xludf.DUMMYFUNCTION("""COMPUTED_VALUE"""),"TO299BH")</f>
        <v>TO299BH</v>
      </c>
      <c r="B13372" s="226" t="str">
        <f>IFERROR(__xludf.DUMMYFUNCTION("""COMPUTED_VALUE"""),"8717323069875")</f>
        <v>8717323069875</v>
      </c>
      <c r="C13372" t="str">
        <f>IFERROR(__xludf.DUMMYFUNCTION("""COMPUTED_VALUE"""),"ECS")</f>
        <v>ECS</v>
      </c>
    </row>
    <row r="13373">
      <c r="A13373" t="str">
        <f>IFERROR(__xludf.DUMMYFUNCTION("""COMPUTED_VALUE"""),"TO299DH")</f>
        <v>TO299DH</v>
      </c>
      <c r="B13373" s="226" t="str">
        <f>IFERROR(__xludf.DUMMYFUNCTION("""COMPUTED_VALUE"""),"8717323069882")</f>
        <v>8717323069882</v>
      </c>
      <c r="C13373" t="str">
        <f>IFERROR(__xludf.DUMMYFUNCTION("""COMPUTED_VALUE"""),"ECS")</f>
        <v>ECS</v>
      </c>
    </row>
    <row r="13374">
      <c r="A13374" t="str">
        <f>IFERROR(__xludf.DUMMYFUNCTION("""COMPUTED_VALUE"""),"VW200B1")</f>
        <v>VW200B1</v>
      </c>
      <c r="B13374" s="226" t="str">
        <f>IFERROR(__xludf.DUMMYFUNCTION("""COMPUTED_VALUE"""),"8717323061121")</f>
        <v>8717323061121</v>
      </c>
      <c r="C13374" t="str">
        <f>IFERROR(__xludf.DUMMYFUNCTION("""COMPUTED_VALUE"""),"ECS")</f>
        <v>ECS</v>
      </c>
    </row>
    <row r="13375">
      <c r="A13375" t="str">
        <f>IFERROR(__xludf.DUMMYFUNCTION("""COMPUTED_VALUE"""),"VW200D1")</f>
        <v>VW200D1</v>
      </c>
      <c r="B13375" s="226" t="str">
        <f>IFERROR(__xludf.DUMMYFUNCTION("""COMPUTED_VALUE"""),"8717323061138")</f>
        <v>8717323061138</v>
      </c>
      <c r="C13375" t="str">
        <f>IFERROR(__xludf.DUMMYFUNCTION("""COMPUTED_VALUE"""),"ECS")</f>
        <v>ECS</v>
      </c>
    </row>
    <row r="13376">
      <c r="A13376" t="str">
        <f>IFERROR(__xludf.DUMMYFUNCTION("""COMPUTED_VALUE"""),"VW201B1")</f>
        <v>VW201B1</v>
      </c>
      <c r="B13376" s="226" t="str">
        <f>IFERROR(__xludf.DUMMYFUNCTION("""COMPUTED_VALUE"""),"8717323061145")</f>
        <v>8717323061145</v>
      </c>
      <c r="C13376" t="str">
        <f>IFERROR(__xludf.DUMMYFUNCTION("""COMPUTED_VALUE"""),"ECS")</f>
        <v>ECS</v>
      </c>
    </row>
    <row r="13377">
      <c r="A13377" t="str">
        <f>IFERROR(__xludf.DUMMYFUNCTION("""COMPUTED_VALUE"""),"VW201H1")</f>
        <v>VW201H1</v>
      </c>
      <c r="B13377" s="226" t="str">
        <f>IFERROR(__xludf.DUMMYFUNCTION("""COMPUTED_VALUE"""),"8717323061152")</f>
        <v>8717323061152</v>
      </c>
      <c r="C13377" t="str">
        <f>IFERROR(__xludf.DUMMYFUNCTION("""COMPUTED_VALUE"""),"ECS")</f>
        <v>ECS</v>
      </c>
    </row>
    <row r="13378">
      <c r="A13378" t="str">
        <f>IFERROR(__xludf.DUMMYFUNCTION("""COMPUTED_VALUE"""),"MZ026BB")</f>
        <v>MZ026BB</v>
      </c>
      <c r="B13378" s="226" t="str">
        <f>IFERROR(__xludf.DUMMYFUNCTION("""COMPUTED_VALUE"""),"8717323010372")</f>
        <v>8717323010372</v>
      </c>
      <c r="C13378" t="str">
        <f>IFERROR(__xludf.DUMMYFUNCTION("""COMPUTED_VALUE"""),"ECS")</f>
        <v>ECS</v>
      </c>
    </row>
    <row r="13379">
      <c r="A13379" t="str">
        <f>IFERROR(__xludf.DUMMYFUNCTION("""COMPUTED_VALUE"""),"MZ026BL")</f>
        <v>MZ026BL</v>
      </c>
      <c r="B13379" s="226" t="str">
        <f>IFERROR(__xludf.DUMMYFUNCTION("""COMPUTED_VALUE"""),"8717323011270")</f>
        <v>8717323011270</v>
      </c>
      <c r="C13379" t="str">
        <f>IFERROR(__xludf.DUMMYFUNCTION("""COMPUTED_VALUE"""),"ECS")</f>
        <v>ECS</v>
      </c>
    </row>
    <row r="13380">
      <c r="A13380" t="str">
        <f>IFERROR(__xludf.DUMMYFUNCTION("""COMPUTED_VALUE"""),"MZ026DB")</f>
        <v>MZ026DB</v>
      </c>
      <c r="B13380" s="226" t="str">
        <f>IFERROR(__xludf.DUMMYFUNCTION("""COMPUTED_VALUE"""),"8717323010389")</f>
        <v>8717323010389</v>
      </c>
      <c r="C13380" t="str">
        <f>IFERROR(__xludf.DUMMYFUNCTION("""COMPUTED_VALUE"""),"ECS")</f>
        <v>ECS</v>
      </c>
    </row>
    <row r="13381">
      <c r="A13381" t="str">
        <f>IFERROR(__xludf.DUMMYFUNCTION("""COMPUTED_VALUE"""),"MZ029BL")</f>
        <v>MZ029BL</v>
      </c>
      <c r="B13381" s="226" t="str">
        <f>IFERROR(__xludf.DUMMYFUNCTION("""COMPUTED_VALUE"""),"8717323016183")</f>
        <v>8717323016183</v>
      </c>
      <c r="C13381" t="str">
        <f>IFERROR(__xludf.DUMMYFUNCTION("""COMPUTED_VALUE"""),"ECS")</f>
        <v>ECS</v>
      </c>
    </row>
    <row r="13382">
      <c r="A13382" t="str">
        <f>IFERROR(__xludf.DUMMYFUNCTION("""COMPUTED_VALUE"""),"MZ029DH")</f>
        <v>MZ029DH</v>
      </c>
      <c r="B13382" s="226" t="str">
        <f>IFERROR(__xludf.DUMMYFUNCTION("""COMPUTED_VALUE"""),"8717323016190")</f>
        <v>8717323016190</v>
      </c>
      <c r="C13382" t="str">
        <f>IFERROR(__xludf.DUMMYFUNCTION("""COMPUTED_VALUE"""),"ECS")</f>
        <v>ECS</v>
      </c>
    </row>
    <row r="13383">
      <c r="A13383" t="str">
        <f>IFERROR(__xludf.DUMMYFUNCTION("""COMPUTED_VALUE"""),"MZ123BH")</f>
        <v>MZ123BH</v>
      </c>
      <c r="B13383" s="226" t="str">
        <f>IFERROR(__xludf.DUMMYFUNCTION("""COMPUTED_VALUE"""),"8717323051634")</f>
        <v>8717323051634</v>
      </c>
      <c r="C13383" t="str">
        <f>IFERROR(__xludf.DUMMYFUNCTION("""COMPUTED_VALUE"""),"ECS")</f>
        <v>ECS</v>
      </c>
    </row>
    <row r="13384">
      <c r="A13384" t="str">
        <f>IFERROR(__xludf.DUMMYFUNCTION("""COMPUTED_VALUE"""),"MZ123DH")</f>
        <v>MZ123DH</v>
      </c>
      <c r="B13384" s="226" t="str">
        <f>IFERROR(__xludf.DUMMYFUNCTION("""COMPUTED_VALUE"""),"8717323051511")</f>
        <v>8717323051511</v>
      </c>
      <c r="C13384" t="str">
        <f>IFERROR(__xludf.DUMMYFUNCTION("""COMPUTED_VALUE"""),"ECS")</f>
        <v>ECS</v>
      </c>
    </row>
    <row r="13385">
      <c r="A13385" t="str">
        <f>IFERROR(__xludf.DUMMYFUNCTION("""COMPUTED_VALUE"""),"MZ156BX")</f>
        <v>MZ156BX</v>
      </c>
      <c r="B13385" s="226" t="str">
        <f>IFERROR(__xludf.DUMMYFUNCTION("""COMPUTED_VALUE"""),"8717323067628")</f>
        <v>8717323067628</v>
      </c>
      <c r="C13385" t="str">
        <f>IFERROR(__xludf.DUMMYFUNCTION("""COMPUTED_VALUE"""),"ECS")</f>
        <v>ECS</v>
      </c>
    </row>
    <row r="13386">
      <c r="A13386" t="str">
        <f>IFERROR(__xludf.DUMMYFUNCTION("""COMPUTED_VALUE"""),"MZ156HX")</f>
        <v>MZ156HX</v>
      </c>
      <c r="B13386" s="226" t="str">
        <f>IFERROR(__xludf.DUMMYFUNCTION("""COMPUTED_VALUE"""),"8717323067635")</f>
        <v>8717323067635</v>
      </c>
      <c r="C13386" t="str">
        <f>IFERROR(__xludf.DUMMYFUNCTION("""COMPUTED_VALUE"""),"ECS")</f>
        <v>ECS</v>
      </c>
    </row>
    <row r="13387">
      <c r="A13387" t="str">
        <f>IFERROR(__xludf.DUMMYFUNCTION("""COMPUTED_VALUE"""),"MZ026BB")</f>
        <v>MZ026BB</v>
      </c>
      <c r="B13387" s="226" t="str">
        <f>IFERROR(__xludf.DUMMYFUNCTION("""COMPUTED_VALUE"""),"8717323010372")</f>
        <v>8717323010372</v>
      </c>
      <c r="C13387" t="str">
        <f>IFERROR(__xludf.DUMMYFUNCTION("""COMPUTED_VALUE"""),"ECS")</f>
        <v>ECS</v>
      </c>
    </row>
    <row r="13388">
      <c r="A13388" t="str">
        <f>IFERROR(__xludf.DUMMYFUNCTION("""COMPUTED_VALUE"""),"MZ026BL")</f>
        <v>MZ026BL</v>
      </c>
      <c r="B13388" s="226" t="str">
        <f>IFERROR(__xludf.DUMMYFUNCTION("""COMPUTED_VALUE"""),"8717323011270")</f>
        <v>8717323011270</v>
      </c>
      <c r="C13388" t="str">
        <f>IFERROR(__xludf.DUMMYFUNCTION("""COMPUTED_VALUE"""),"ECS")</f>
        <v>ECS</v>
      </c>
    </row>
    <row r="13389">
      <c r="A13389" t="str">
        <f>IFERROR(__xludf.DUMMYFUNCTION("""COMPUTED_VALUE"""),"MZ026DB")</f>
        <v>MZ026DB</v>
      </c>
      <c r="B13389" s="226" t="str">
        <f>IFERROR(__xludf.DUMMYFUNCTION("""COMPUTED_VALUE"""),"8717323010389")</f>
        <v>8717323010389</v>
      </c>
      <c r="C13389" t="str">
        <f>IFERROR(__xludf.DUMMYFUNCTION("""COMPUTED_VALUE"""),"ECS")</f>
        <v>ECS</v>
      </c>
    </row>
    <row r="13390">
      <c r="A13390" t="str">
        <f>IFERROR(__xludf.DUMMYFUNCTION("""COMPUTED_VALUE"""),"MZ066BH")</f>
        <v>MZ066BH</v>
      </c>
      <c r="B13390" s="226" t="str">
        <f>IFERROR(__xludf.DUMMYFUNCTION("""COMPUTED_VALUE"""),"8717323025062")</f>
        <v>8717323025062</v>
      </c>
      <c r="C13390" t="str">
        <f>IFERROR(__xludf.DUMMYFUNCTION("""COMPUTED_VALUE"""),"ECS")</f>
        <v>ECS</v>
      </c>
    </row>
    <row r="13391">
      <c r="A13391" t="str">
        <f>IFERROR(__xludf.DUMMYFUNCTION("""COMPUTED_VALUE"""),"MZ066DH")</f>
        <v>MZ066DH</v>
      </c>
      <c r="B13391" s="226" t="str">
        <f>IFERROR(__xludf.DUMMYFUNCTION("""COMPUTED_VALUE"""),"8717323025079")</f>
        <v>8717323025079</v>
      </c>
      <c r="C13391" t="str">
        <f>IFERROR(__xludf.DUMMYFUNCTION("""COMPUTED_VALUE"""),"ECS")</f>
        <v>ECS</v>
      </c>
    </row>
    <row r="13392">
      <c r="A13392" t="str">
        <f>IFERROR(__xludf.DUMMYFUNCTION("""COMPUTED_VALUE"""),"MZ153BX")</f>
        <v>MZ153BX</v>
      </c>
      <c r="B13392" s="226" t="str">
        <f>IFERROR(__xludf.DUMMYFUNCTION("""COMPUTED_VALUE"""),"8717323062654")</f>
        <v>8717323062654</v>
      </c>
      <c r="C13392" t="str">
        <f>IFERROR(__xludf.DUMMYFUNCTION("""COMPUTED_VALUE"""),"ECS")</f>
        <v>ECS</v>
      </c>
    </row>
    <row r="13393">
      <c r="A13393" t="str">
        <f>IFERROR(__xludf.DUMMYFUNCTION("""COMPUTED_VALUE"""),"MZ153DX")</f>
        <v>MZ153DX</v>
      </c>
      <c r="B13393" s="226" t="str">
        <f>IFERROR(__xludf.DUMMYFUNCTION("""COMPUTED_VALUE"""),"8717323062661")</f>
        <v>8717323062661</v>
      </c>
      <c r="C13393" t="str">
        <f>IFERROR(__xludf.DUMMYFUNCTION("""COMPUTED_VALUE"""),"ECS")</f>
        <v>ECS</v>
      </c>
    </row>
    <row r="13394">
      <c r="A13394" t="str">
        <f>IFERROR(__xludf.DUMMYFUNCTION("""COMPUTED_VALUE"""),"MZ163BX")</f>
        <v>MZ163BX</v>
      </c>
      <c r="B13394" s="226" t="str">
        <f>IFERROR(__xludf.DUMMYFUNCTION("""COMPUTED_VALUE"""),"8717323070178")</f>
        <v>8717323070178</v>
      </c>
      <c r="C13394" t="str">
        <f>IFERROR(__xludf.DUMMYFUNCTION("""COMPUTED_VALUE"""),"ECS")</f>
        <v>ECS</v>
      </c>
    </row>
    <row r="13395">
      <c r="A13395" t="str">
        <f>IFERROR(__xludf.DUMMYFUNCTION("""COMPUTED_VALUE"""),"MZ163HX")</f>
        <v>MZ163HX</v>
      </c>
      <c r="B13395" s="226" t="str">
        <f>IFERROR(__xludf.DUMMYFUNCTION("""COMPUTED_VALUE"""),"8717323070185")</f>
        <v>8717323070185</v>
      </c>
      <c r="C13395" t="str">
        <f>IFERROR(__xludf.DUMMYFUNCTION("""COMPUTED_VALUE"""),"ECS")</f>
        <v>ECS</v>
      </c>
    </row>
    <row r="13396">
      <c r="A13396" t="str">
        <f>IFERROR(__xludf.DUMMYFUNCTION("""COMPUTED_VALUE"""),"MZ026BB")</f>
        <v>MZ026BB</v>
      </c>
      <c r="B13396" s="226" t="str">
        <f>IFERROR(__xludf.DUMMYFUNCTION("""COMPUTED_VALUE"""),"8717323010372")</f>
        <v>8717323010372</v>
      </c>
      <c r="C13396" t="str">
        <f>IFERROR(__xludf.DUMMYFUNCTION("""COMPUTED_VALUE"""),"ECS")</f>
        <v>ECS</v>
      </c>
    </row>
    <row r="13397">
      <c r="A13397" t="str">
        <f>IFERROR(__xludf.DUMMYFUNCTION("""COMPUTED_VALUE"""),"MZ026BL")</f>
        <v>MZ026BL</v>
      </c>
      <c r="B13397" s="226" t="str">
        <f>IFERROR(__xludf.DUMMYFUNCTION("""COMPUTED_VALUE"""),"8717323011270")</f>
        <v>8717323011270</v>
      </c>
      <c r="C13397" t="str">
        <f>IFERROR(__xludf.DUMMYFUNCTION("""COMPUTED_VALUE"""),"ECS")</f>
        <v>ECS</v>
      </c>
    </row>
    <row r="13398">
      <c r="A13398" t="str">
        <f>IFERROR(__xludf.DUMMYFUNCTION("""COMPUTED_VALUE"""),"MZ026DB")</f>
        <v>MZ026DB</v>
      </c>
      <c r="B13398" s="226" t="str">
        <f>IFERROR(__xludf.DUMMYFUNCTION("""COMPUTED_VALUE"""),"8717323010389")</f>
        <v>8717323010389</v>
      </c>
      <c r="C13398" t="str">
        <f>IFERROR(__xludf.DUMMYFUNCTION("""COMPUTED_VALUE"""),"ECS")</f>
        <v>ECS</v>
      </c>
    </row>
    <row r="13399">
      <c r="A13399" t="str">
        <f>IFERROR(__xludf.DUMMYFUNCTION("""COMPUTED_VALUE"""),"MZ066BH")</f>
        <v>MZ066BH</v>
      </c>
      <c r="B13399" s="226" t="str">
        <f>IFERROR(__xludf.DUMMYFUNCTION("""COMPUTED_VALUE"""),"8717323025062")</f>
        <v>8717323025062</v>
      </c>
      <c r="C13399" t="str">
        <f>IFERROR(__xludf.DUMMYFUNCTION("""COMPUTED_VALUE"""),"ECS")</f>
        <v>ECS</v>
      </c>
    </row>
    <row r="13400">
      <c r="A13400" t="str">
        <f>IFERROR(__xludf.DUMMYFUNCTION("""COMPUTED_VALUE"""),"MZ066DH")</f>
        <v>MZ066DH</v>
      </c>
      <c r="B13400" s="226" t="str">
        <f>IFERROR(__xludf.DUMMYFUNCTION("""COMPUTED_VALUE"""),"8717323025079")</f>
        <v>8717323025079</v>
      </c>
      <c r="C13400" t="str">
        <f>IFERROR(__xludf.DUMMYFUNCTION("""COMPUTED_VALUE"""),"ECS")</f>
        <v>ECS</v>
      </c>
    </row>
    <row r="13401">
      <c r="A13401" t="str">
        <f>IFERROR(__xludf.DUMMYFUNCTION("""COMPUTED_VALUE"""),"MZ153BX")</f>
        <v>MZ153BX</v>
      </c>
      <c r="B13401" s="226" t="str">
        <f>IFERROR(__xludf.DUMMYFUNCTION("""COMPUTED_VALUE"""),"8717323062654")</f>
        <v>8717323062654</v>
      </c>
      <c r="C13401" t="str">
        <f>IFERROR(__xludf.DUMMYFUNCTION("""COMPUTED_VALUE"""),"ECS")</f>
        <v>ECS</v>
      </c>
    </row>
    <row r="13402">
      <c r="A13402" t="str">
        <f>IFERROR(__xludf.DUMMYFUNCTION("""COMPUTED_VALUE"""),"MZ153DX")</f>
        <v>MZ153DX</v>
      </c>
      <c r="B13402" s="226" t="str">
        <f>IFERROR(__xludf.DUMMYFUNCTION("""COMPUTED_VALUE"""),"8717323062661")</f>
        <v>8717323062661</v>
      </c>
      <c r="C13402" t="str">
        <f>IFERROR(__xludf.DUMMYFUNCTION("""COMPUTED_VALUE"""),"ECS")</f>
        <v>ECS</v>
      </c>
    </row>
    <row r="13403">
      <c r="A13403" t="str">
        <f>IFERROR(__xludf.DUMMYFUNCTION("""COMPUTED_VALUE"""),"MZ027BB")</f>
        <v>MZ027BB</v>
      </c>
      <c r="B13403" s="226" t="str">
        <f>IFERROR(__xludf.DUMMYFUNCTION("""COMPUTED_VALUE"""),"8717323012444")</f>
        <v>8717323012444</v>
      </c>
      <c r="C13403" t="str">
        <f>IFERROR(__xludf.DUMMYFUNCTION("""COMPUTED_VALUE"""),"ECS")</f>
        <v>ECS</v>
      </c>
    </row>
    <row r="13404">
      <c r="A13404" t="str">
        <f>IFERROR(__xludf.DUMMYFUNCTION("""COMPUTED_VALUE"""),"MZ027DH")</f>
        <v>MZ027DH</v>
      </c>
      <c r="B13404" s="226" t="str">
        <f>IFERROR(__xludf.DUMMYFUNCTION("""COMPUTED_VALUE"""),"8717323012451")</f>
        <v>8717323012451</v>
      </c>
      <c r="C13404" t="str">
        <f>IFERROR(__xludf.DUMMYFUNCTION("""COMPUTED_VALUE"""),"ECS")</f>
        <v>ECS</v>
      </c>
    </row>
    <row r="13405">
      <c r="A13405" t="str">
        <f>IFERROR(__xludf.DUMMYFUNCTION("""COMPUTED_VALUE"""),"MZ085BB")</f>
        <v>MZ085BB</v>
      </c>
      <c r="B13405" s="226" t="str">
        <f>IFERROR(__xludf.DUMMYFUNCTION("""COMPUTED_VALUE"""),"8717323024614")</f>
        <v>8717323024614</v>
      </c>
      <c r="C13405" t="str">
        <f>IFERROR(__xludf.DUMMYFUNCTION("""COMPUTED_VALUE"""),"ECS")</f>
        <v>ECS</v>
      </c>
    </row>
    <row r="13406">
      <c r="A13406" t="str">
        <f>IFERROR(__xludf.DUMMYFUNCTION("""COMPUTED_VALUE"""),"MZ085DH")</f>
        <v>MZ085DH</v>
      </c>
      <c r="B13406" s="226" t="str">
        <f>IFERROR(__xludf.DUMMYFUNCTION("""COMPUTED_VALUE"""),"8717323024621")</f>
        <v>8717323024621</v>
      </c>
      <c r="C13406" t="str">
        <f>IFERROR(__xludf.DUMMYFUNCTION("""COMPUTED_VALUE"""),"ECS")</f>
        <v>ECS</v>
      </c>
    </row>
    <row r="13407">
      <c r="A13407" t="str">
        <f>IFERROR(__xludf.DUMMYFUNCTION("""COMPUTED_VALUE"""),"MZ034BL")</f>
        <v>MZ034BL</v>
      </c>
      <c r="B13407" s="226" t="str">
        <f>IFERROR(__xludf.DUMMYFUNCTION("""COMPUTED_VALUE"""),"8717323016206")</f>
        <v>8717323016206</v>
      </c>
      <c r="C13407" t="str">
        <f>IFERROR(__xludf.DUMMYFUNCTION("""COMPUTED_VALUE"""),"ECS")</f>
        <v>ECS</v>
      </c>
    </row>
    <row r="13408">
      <c r="A13408" t="str">
        <f>IFERROR(__xludf.DUMMYFUNCTION("""COMPUTED_VALUE"""),"MZ034DH")</f>
        <v>MZ034DH</v>
      </c>
      <c r="B13408" s="226" t="str">
        <f>IFERROR(__xludf.DUMMYFUNCTION("""COMPUTED_VALUE"""),"8717323016213")</f>
        <v>8717323016213</v>
      </c>
      <c r="C13408" t="str">
        <f>IFERROR(__xludf.DUMMYFUNCTION("""COMPUTED_VALUE"""),"ECS")</f>
        <v>ECS</v>
      </c>
    </row>
    <row r="13409">
      <c r="A13409" t="str">
        <f>IFERROR(__xludf.DUMMYFUNCTION("""COMPUTED_VALUE"""),"MZ153BX")</f>
        <v>MZ153BX</v>
      </c>
      <c r="B13409" s="226" t="str">
        <f>IFERROR(__xludf.DUMMYFUNCTION("""COMPUTED_VALUE"""),"8717323062654")</f>
        <v>8717323062654</v>
      </c>
      <c r="C13409" t="str">
        <f>IFERROR(__xludf.DUMMYFUNCTION("""COMPUTED_VALUE"""),"ECS")</f>
        <v>ECS</v>
      </c>
    </row>
    <row r="13410">
      <c r="A13410" t="str">
        <f>IFERROR(__xludf.DUMMYFUNCTION("""COMPUTED_VALUE"""),"MZ153DX")</f>
        <v>MZ153DX</v>
      </c>
      <c r="B13410" s="226" t="str">
        <f>IFERROR(__xludf.DUMMYFUNCTION("""COMPUTED_VALUE"""),"8717323062661")</f>
        <v>8717323062661</v>
      </c>
      <c r="C13410" t="str">
        <f>IFERROR(__xludf.DUMMYFUNCTION("""COMPUTED_VALUE"""),"ECS")</f>
        <v>ECS</v>
      </c>
    </row>
    <row r="13411">
      <c r="A13411" t="str">
        <f>IFERROR(__xludf.DUMMYFUNCTION("""COMPUTED_VALUE"""),"MZ034BL")</f>
        <v>MZ034BL</v>
      </c>
      <c r="B13411" s="226" t="str">
        <f>IFERROR(__xludf.DUMMYFUNCTION("""COMPUTED_VALUE"""),"8717323016206")</f>
        <v>8717323016206</v>
      </c>
      <c r="C13411" t="str">
        <f>IFERROR(__xludf.DUMMYFUNCTION("""COMPUTED_VALUE"""),"ECS")</f>
        <v>ECS</v>
      </c>
    </row>
    <row r="13412">
      <c r="A13412" t="str">
        <f>IFERROR(__xludf.DUMMYFUNCTION("""COMPUTED_VALUE"""),"MZ034DH")</f>
        <v>MZ034DH</v>
      </c>
      <c r="B13412" s="226" t="str">
        <f>IFERROR(__xludf.DUMMYFUNCTION("""COMPUTED_VALUE"""),"8717323016213")</f>
        <v>8717323016213</v>
      </c>
      <c r="C13412" t="str">
        <f>IFERROR(__xludf.DUMMYFUNCTION("""COMPUTED_VALUE"""),"ECS")</f>
        <v>ECS</v>
      </c>
    </row>
    <row r="13413">
      <c r="A13413" t="str">
        <f>IFERROR(__xludf.DUMMYFUNCTION("""COMPUTED_VALUE"""),"MZ153BX")</f>
        <v>MZ153BX</v>
      </c>
      <c r="B13413" s="226" t="str">
        <f>IFERROR(__xludf.DUMMYFUNCTION("""COMPUTED_VALUE"""),"8717323062654")</f>
        <v>8717323062654</v>
      </c>
      <c r="C13413" t="str">
        <f>IFERROR(__xludf.DUMMYFUNCTION("""COMPUTED_VALUE"""),"ECS")</f>
        <v>ECS</v>
      </c>
    </row>
    <row r="13414">
      <c r="A13414" t="str">
        <f>IFERROR(__xludf.DUMMYFUNCTION("""COMPUTED_VALUE"""),"MZ153DX")</f>
        <v>MZ153DX</v>
      </c>
      <c r="B13414" s="226" t="str">
        <f>IFERROR(__xludf.DUMMYFUNCTION("""COMPUTED_VALUE"""),"8717323062661")</f>
        <v>8717323062661</v>
      </c>
      <c r="C13414" t="str">
        <f>IFERROR(__xludf.DUMMYFUNCTION("""COMPUTED_VALUE"""),"ECS")</f>
        <v>ECS</v>
      </c>
    </row>
    <row r="13415">
      <c r="A13415" t="str">
        <f>IFERROR(__xludf.DUMMYFUNCTION("""COMPUTED_VALUE"""),"MZ153BX")</f>
        <v>MZ153BX</v>
      </c>
      <c r="B13415" s="226" t="str">
        <f>IFERROR(__xludf.DUMMYFUNCTION("""COMPUTED_VALUE"""),"8717323062654")</f>
        <v>8717323062654</v>
      </c>
      <c r="C13415" t="str">
        <f>IFERROR(__xludf.DUMMYFUNCTION("""COMPUTED_VALUE"""),"ECS")</f>
        <v>ECS</v>
      </c>
    </row>
    <row r="13416">
      <c r="A13416" t="str">
        <f>IFERROR(__xludf.DUMMYFUNCTION("""COMPUTED_VALUE"""),"MZ153DX")</f>
        <v>MZ153DX</v>
      </c>
      <c r="B13416" s="226" t="str">
        <f>IFERROR(__xludf.DUMMYFUNCTION("""COMPUTED_VALUE"""),"8717323062661")</f>
        <v>8717323062661</v>
      </c>
      <c r="C13416" t="str">
        <f>IFERROR(__xludf.DUMMYFUNCTION("""COMPUTED_VALUE"""),"ECS")</f>
        <v>ECS</v>
      </c>
    </row>
    <row r="13417">
      <c r="A13417" t="str">
        <f>IFERROR(__xludf.DUMMYFUNCTION("""COMPUTED_VALUE"""),"MZ153BX")</f>
        <v>MZ153BX</v>
      </c>
      <c r="B13417" s="226" t="str">
        <f>IFERROR(__xludf.DUMMYFUNCTION("""COMPUTED_VALUE"""),"8717323062654")</f>
        <v>8717323062654</v>
      </c>
      <c r="C13417" t="str">
        <f>IFERROR(__xludf.DUMMYFUNCTION("""COMPUTED_VALUE"""),"ECS")</f>
        <v>ECS</v>
      </c>
    </row>
    <row r="13418">
      <c r="A13418" t="str">
        <f>IFERROR(__xludf.DUMMYFUNCTION("""COMPUTED_VALUE"""),"MZ153DX")</f>
        <v>MZ153DX</v>
      </c>
      <c r="B13418" s="226" t="str">
        <f>IFERROR(__xludf.DUMMYFUNCTION("""COMPUTED_VALUE"""),"8717323062661")</f>
        <v>8717323062661</v>
      </c>
      <c r="C13418" t="str">
        <f>IFERROR(__xludf.DUMMYFUNCTION("""COMPUTED_VALUE"""),"ECS")</f>
        <v>ECS</v>
      </c>
    </row>
    <row r="13419">
      <c r="A13419" t="str">
        <f>IFERROR(__xludf.DUMMYFUNCTION("""COMPUTED_VALUE"""),"MZ034BL")</f>
        <v>MZ034BL</v>
      </c>
      <c r="B13419" s="226" t="str">
        <f>IFERROR(__xludf.DUMMYFUNCTION("""COMPUTED_VALUE"""),"8717323016206")</f>
        <v>8717323016206</v>
      </c>
      <c r="C13419" t="str">
        <f>IFERROR(__xludf.DUMMYFUNCTION("""COMPUTED_VALUE"""),"ECS")</f>
        <v>ECS</v>
      </c>
    </row>
    <row r="13420">
      <c r="A13420" t="str">
        <f>IFERROR(__xludf.DUMMYFUNCTION("""COMPUTED_VALUE"""),"MZ034DH")</f>
        <v>MZ034DH</v>
      </c>
      <c r="B13420" s="226" t="str">
        <f>IFERROR(__xludf.DUMMYFUNCTION("""COMPUTED_VALUE"""),"8717323016213")</f>
        <v>8717323016213</v>
      </c>
      <c r="C13420" t="str">
        <f>IFERROR(__xludf.DUMMYFUNCTION("""COMPUTED_VALUE"""),"ECS")</f>
        <v>ECS</v>
      </c>
    </row>
    <row r="13421">
      <c r="A13421" t="str">
        <f>IFERROR(__xludf.DUMMYFUNCTION("""COMPUTED_VALUE"""),"MZ153BX")</f>
        <v>MZ153BX</v>
      </c>
      <c r="B13421" s="226" t="str">
        <f>IFERROR(__xludf.DUMMYFUNCTION("""COMPUTED_VALUE"""),"8717323062654")</f>
        <v>8717323062654</v>
      </c>
      <c r="C13421" t="str">
        <f>IFERROR(__xludf.DUMMYFUNCTION("""COMPUTED_VALUE"""),"ECS")</f>
        <v>ECS</v>
      </c>
    </row>
    <row r="13422">
      <c r="A13422" t="str">
        <f>IFERROR(__xludf.DUMMYFUNCTION("""COMPUTED_VALUE"""),"MZ153DX")</f>
        <v>MZ153DX</v>
      </c>
      <c r="B13422" s="226" t="str">
        <f>IFERROR(__xludf.DUMMYFUNCTION("""COMPUTED_VALUE"""),"8717323062661")</f>
        <v>8717323062661</v>
      </c>
      <c r="C13422" t="str">
        <f>IFERROR(__xludf.DUMMYFUNCTION("""COMPUTED_VALUE"""),"ECS")</f>
        <v>ECS</v>
      </c>
    </row>
    <row r="13423">
      <c r="A13423" t="str">
        <f>IFERROR(__xludf.DUMMYFUNCTION("""COMPUTED_VALUE"""),"MZ153BX")</f>
        <v>MZ153BX</v>
      </c>
      <c r="B13423" s="226" t="str">
        <f>IFERROR(__xludf.DUMMYFUNCTION("""COMPUTED_VALUE"""),"8717323062654")</f>
        <v>8717323062654</v>
      </c>
      <c r="C13423" t="str">
        <f>IFERROR(__xludf.DUMMYFUNCTION("""COMPUTED_VALUE"""),"ECS")</f>
        <v>ECS</v>
      </c>
    </row>
    <row r="13424">
      <c r="A13424" t="str">
        <f>IFERROR(__xludf.DUMMYFUNCTION("""COMPUTED_VALUE"""),"MZ153DX")</f>
        <v>MZ153DX</v>
      </c>
      <c r="B13424" s="226" t="str">
        <f>IFERROR(__xludf.DUMMYFUNCTION("""COMPUTED_VALUE"""),"8717323062661")</f>
        <v>8717323062661</v>
      </c>
      <c r="C13424" t="str">
        <f>IFERROR(__xludf.DUMMYFUNCTION("""COMPUTED_VALUE"""),"ECS")</f>
        <v>ECS</v>
      </c>
    </row>
    <row r="13425">
      <c r="A13425" t="str">
        <f>IFERROR(__xludf.DUMMYFUNCTION("""COMPUTED_VALUE"""),"MZ153BX")</f>
        <v>MZ153BX</v>
      </c>
      <c r="B13425" s="226" t="str">
        <f>IFERROR(__xludf.DUMMYFUNCTION("""COMPUTED_VALUE"""),"8717323062654")</f>
        <v>8717323062654</v>
      </c>
      <c r="C13425" t="str">
        <f>IFERROR(__xludf.DUMMYFUNCTION("""COMPUTED_VALUE"""),"ECS")</f>
        <v>ECS</v>
      </c>
    </row>
    <row r="13426">
      <c r="A13426" t="str">
        <f>IFERROR(__xludf.DUMMYFUNCTION("""COMPUTED_VALUE"""),"MZ153DX")</f>
        <v>MZ153DX</v>
      </c>
      <c r="B13426" s="226" t="str">
        <f>IFERROR(__xludf.DUMMYFUNCTION("""COMPUTED_VALUE"""),"8717323062661")</f>
        <v>8717323062661</v>
      </c>
      <c r="C13426" t="str">
        <f>IFERROR(__xludf.DUMMYFUNCTION("""COMPUTED_VALUE"""),"ECS")</f>
        <v>ECS</v>
      </c>
    </row>
    <row r="13427">
      <c r="A13427" t="str">
        <f>IFERROR(__xludf.DUMMYFUNCTION("""COMPUTED_VALUE"""),"MZ023BB")</f>
        <v>MZ023BB</v>
      </c>
      <c r="B13427" s="226" t="str">
        <f>IFERROR(__xludf.DUMMYFUNCTION("""COMPUTED_VALUE"""),"8717323004401")</f>
        <v>8717323004401</v>
      </c>
      <c r="C13427" t="str">
        <f>IFERROR(__xludf.DUMMYFUNCTION("""COMPUTED_VALUE"""),"ECS")</f>
        <v>ECS</v>
      </c>
    </row>
    <row r="13428">
      <c r="A13428" t="str">
        <f>IFERROR(__xludf.DUMMYFUNCTION("""COMPUTED_VALUE"""),"MZ023BB")</f>
        <v>MZ023BB</v>
      </c>
      <c r="B13428" s="226" t="str">
        <f>IFERROR(__xludf.DUMMYFUNCTION("""COMPUTED_VALUE"""),"8717323004401")</f>
        <v>8717323004401</v>
      </c>
      <c r="C13428" t="str">
        <f>IFERROR(__xludf.DUMMYFUNCTION("""COMPUTED_VALUE"""),"ECS")</f>
        <v>ECS</v>
      </c>
    </row>
    <row r="13429">
      <c r="A13429" t="str">
        <f>IFERROR(__xludf.DUMMYFUNCTION("""COMPUTED_VALUE"""),"FR038BB")</f>
        <v>FR038BB</v>
      </c>
      <c r="B13429" s="226" t="str">
        <f>IFERROR(__xludf.DUMMYFUNCTION("""COMPUTED_VALUE"""),"8717323015209")</f>
        <v>8717323015209</v>
      </c>
      <c r="C13429" t="str">
        <f>IFERROR(__xludf.DUMMYFUNCTION("""COMPUTED_VALUE"""),"ECS")</f>
        <v>ECS</v>
      </c>
    </row>
    <row r="13430">
      <c r="A13430" t="str">
        <f>IFERROR(__xludf.DUMMYFUNCTION("""COMPUTED_VALUE"""),"FR038DL")</f>
        <v>FR038DL</v>
      </c>
      <c r="B13430" s="226" t="str">
        <f>IFERROR(__xludf.DUMMYFUNCTION("""COMPUTED_VALUE"""),"8717323015216")</f>
        <v>8717323015216</v>
      </c>
      <c r="C13430" t="str">
        <f>IFERROR(__xludf.DUMMYFUNCTION("""COMPUTED_VALUE"""),"ECS")</f>
        <v>ECS</v>
      </c>
    </row>
    <row r="13431">
      <c r="A13431" t="str">
        <f>IFERROR(__xludf.DUMMYFUNCTION("""COMPUTED_VALUE"""),"MZ123BH")</f>
        <v>MZ123BH</v>
      </c>
      <c r="B13431" s="226" t="str">
        <f>IFERROR(__xludf.DUMMYFUNCTION("""COMPUTED_VALUE"""),"8717323051634")</f>
        <v>8717323051634</v>
      </c>
      <c r="C13431" t="str">
        <f>IFERROR(__xludf.DUMMYFUNCTION("""COMPUTED_VALUE"""),"ECS")</f>
        <v>ECS</v>
      </c>
    </row>
    <row r="13432">
      <c r="A13432" t="str">
        <f>IFERROR(__xludf.DUMMYFUNCTION("""COMPUTED_VALUE"""),"MZ123DH")</f>
        <v>MZ123DH</v>
      </c>
      <c r="B13432" s="226" t="str">
        <f>IFERROR(__xludf.DUMMYFUNCTION("""COMPUTED_VALUE"""),"8717323051511")</f>
        <v>8717323051511</v>
      </c>
      <c r="C13432" t="str">
        <f>IFERROR(__xludf.DUMMYFUNCTION("""COMPUTED_VALUE"""),"ECS")</f>
        <v>ECS</v>
      </c>
    </row>
    <row r="13433">
      <c r="A13433" t="str">
        <f>IFERROR(__xludf.DUMMYFUNCTION("""COMPUTED_VALUE"""),"MZ156BX")</f>
        <v>MZ156BX</v>
      </c>
      <c r="B13433" s="226" t="str">
        <f>IFERROR(__xludf.DUMMYFUNCTION("""COMPUTED_VALUE"""),"8717323067628")</f>
        <v>8717323067628</v>
      </c>
      <c r="C13433" t="str">
        <f>IFERROR(__xludf.DUMMYFUNCTION("""COMPUTED_VALUE"""),"ECS")</f>
        <v>ECS</v>
      </c>
    </row>
    <row r="13434">
      <c r="A13434" t="str">
        <f>IFERROR(__xludf.DUMMYFUNCTION("""COMPUTED_VALUE"""),"MZ156HX")</f>
        <v>MZ156HX</v>
      </c>
      <c r="B13434" s="226" t="str">
        <f>IFERROR(__xludf.DUMMYFUNCTION("""COMPUTED_VALUE"""),"8717323067635")</f>
        <v>8717323067635</v>
      </c>
      <c r="C13434" t="str">
        <f>IFERROR(__xludf.DUMMYFUNCTION("""COMPUTED_VALUE"""),"ECS")</f>
        <v>ECS</v>
      </c>
    </row>
    <row r="13435">
      <c r="A13435" t="str">
        <f>IFERROR(__xludf.DUMMYFUNCTION("""COMPUTED_VALUE"""),"MZ153BX")</f>
        <v>MZ153BX</v>
      </c>
      <c r="B13435" s="226" t="str">
        <f>IFERROR(__xludf.DUMMYFUNCTION("""COMPUTED_VALUE"""),"8717323062654")</f>
        <v>8717323062654</v>
      </c>
      <c r="C13435" t="str">
        <f>IFERROR(__xludf.DUMMYFUNCTION("""COMPUTED_VALUE"""),"ECS")</f>
        <v>ECS</v>
      </c>
    </row>
    <row r="13436">
      <c r="A13436" t="str">
        <f>IFERROR(__xludf.DUMMYFUNCTION("""COMPUTED_VALUE"""),"MZ153DX")</f>
        <v>MZ153DX</v>
      </c>
      <c r="B13436" s="226" t="str">
        <f>IFERROR(__xludf.DUMMYFUNCTION("""COMPUTED_VALUE"""),"8717323062661")</f>
        <v>8717323062661</v>
      </c>
      <c r="C13436" t="str">
        <f>IFERROR(__xludf.DUMMYFUNCTION("""COMPUTED_VALUE"""),"ECS")</f>
        <v>ECS</v>
      </c>
    </row>
    <row r="13437">
      <c r="A13437" t="str">
        <f>IFERROR(__xludf.DUMMYFUNCTION("""COMPUTED_VALUE"""),"MZ072BH")</f>
        <v>MZ072BH</v>
      </c>
      <c r="B13437" s="226" t="str">
        <f>IFERROR(__xludf.DUMMYFUNCTION("""COMPUTED_VALUE"""),"8717323049280")</f>
        <v>8717323049280</v>
      </c>
      <c r="C13437" t="str">
        <f>IFERROR(__xludf.DUMMYFUNCTION("""COMPUTED_VALUE"""),"ECS")</f>
        <v>ECS</v>
      </c>
    </row>
    <row r="13438">
      <c r="A13438" t="str">
        <f>IFERROR(__xludf.DUMMYFUNCTION("""COMPUTED_VALUE"""),"MZ163BX")</f>
        <v>MZ163BX</v>
      </c>
      <c r="B13438" s="226" t="str">
        <f>IFERROR(__xludf.DUMMYFUNCTION("""COMPUTED_VALUE"""),"8717323070178")</f>
        <v>8717323070178</v>
      </c>
      <c r="C13438" t="str">
        <f>IFERROR(__xludf.DUMMYFUNCTION("""COMPUTED_VALUE"""),"ECS")</f>
        <v>ECS</v>
      </c>
    </row>
    <row r="13439">
      <c r="A13439" t="str">
        <f>IFERROR(__xludf.DUMMYFUNCTION("""COMPUTED_VALUE"""),"MZ163HX")</f>
        <v>MZ163HX</v>
      </c>
      <c r="B13439" s="226" t="str">
        <f>IFERROR(__xludf.DUMMYFUNCTION("""COMPUTED_VALUE"""),"8717323070185")</f>
        <v>8717323070185</v>
      </c>
      <c r="C13439" t="str">
        <f>IFERROR(__xludf.DUMMYFUNCTION("""COMPUTED_VALUE"""),"ECS")</f>
        <v>ECS</v>
      </c>
    </row>
    <row r="13440">
      <c r="A13440" t="str">
        <f>IFERROR(__xludf.DUMMYFUNCTION("""COMPUTED_VALUE"""),"MZ023BB")</f>
        <v>MZ023BB</v>
      </c>
      <c r="B13440" s="226" t="str">
        <f>IFERROR(__xludf.DUMMYFUNCTION("""COMPUTED_VALUE"""),"8717323004401")</f>
        <v>8717323004401</v>
      </c>
      <c r="C13440" t="str">
        <f>IFERROR(__xludf.DUMMYFUNCTION("""COMPUTED_VALUE"""),"ECS")</f>
        <v>ECS</v>
      </c>
    </row>
    <row r="13441">
      <c r="A13441" t="str">
        <f>IFERROR(__xludf.DUMMYFUNCTION("""COMPUTED_VALUE"""),"MZ023BB")</f>
        <v>MZ023BB</v>
      </c>
      <c r="B13441" s="226" t="str">
        <f>IFERROR(__xludf.DUMMYFUNCTION("""COMPUTED_VALUE"""),"8717323004401")</f>
        <v>8717323004401</v>
      </c>
      <c r="C13441" t="str">
        <f>IFERROR(__xludf.DUMMYFUNCTION("""COMPUTED_VALUE"""),"ECS")</f>
        <v>ECS</v>
      </c>
    </row>
    <row r="13442">
      <c r="A13442" t="str">
        <f>IFERROR(__xludf.DUMMYFUNCTION("""COMPUTED_VALUE"""),"MZ023BB")</f>
        <v>MZ023BB</v>
      </c>
      <c r="B13442" s="226" t="str">
        <f>IFERROR(__xludf.DUMMYFUNCTION("""COMPUTED_VALUE"""),"8717323004401")</f>
        <v>8717323004401</v>
      </c>
      <c r="C13442" t="str">
        <f>IFERROR(__xludf.DUMMYFUNCTION("""COMPUTED_VALUE"""),"ECS")</f>
        <v>ECS</v>
      </c>
    </row>
    <row r="13443">
      <c r="A13443" t="str">
        <f>IFERROR(__xludf.DUMMYFUNCTION("""COMPUTED_VALUE"""),"MB068B1")</f>
        <v>MB068B1</v>
      </c>
      <c r="B13443" s="226" t="str">
        <f>IFERROR(__xludf.DUMMYFUNCTION("""COMPUTED_VALUE"""),"8717323025307")</f>
        <v>8717323025307</v>
      </c>
      <c r="C13443" t="str">
        <f>IFERROR(__xludf.DUMMYFUNCTION("""COMPUTED_VALUE"""),"ECS")</f>
        <v>ECS</v>
      </c>
    </row>
    <row r="13444">
      <c r="A13444" t="str">
        <f>IFERROR(__xludf.DUMMYFUNCTION("""COMPUTED_VALUE"""),"MB068D1")</f>
        <v>MB068D1</v>
      </c>
      <c r="B13444" s="226" t="str">
        <f>IFERROR(__xludf.DUMMYFUNCTION("""COMPUTED_VALUE"""),"8717323025390")</f>
        <v>8717323025390</v>
      </c>
      <c r="C13444" t="str">
        <f>IFERROR(__xludf.DUMMYFUNCTION("""COMPUTED_VALUE"""),"ECS")</f>
        <v>ECS</v>
      </c>
    </row>
    <row r="13445">
      <c r="A13445" t="str">
        <f>IFERROR(__xludf.DUMMYFUNCTION("""COMPUTED_VALUE"""),"MB077B1")</f>
        <v>MB077B1</v>
      </c>
      <c r="B13445" s="226" t="str">
        <f>IFERROR(__xludf.DUMMYFUNCTION("""COMPUTED_VALUE"""),"8717323031445")</f>
        <v>8717323031445</v>
      </c>
      <c r="C13445" t="str">
        <f>IFERROR(__xludf.DUMMYFUNCTION("""COMPUTED_VALUE"""),"ECS")</f>
        <v>ECS</v>
      </c>
    </row>
    <row r="13446">
      <c r="A13446" t="str">
        <f>IFERROR(__xludf.DUMMYFUNCTION("""COMPUTED_VALUE"""),"MB077D1")</f>
        <v>MB077D1</v>
      </c>
      <c r="B13446" s="226" t="str">
        <f>IFERROR(__xludf.DUMMYFUNCTION("""COMPUTED_VALUE"""),"8717323028605")</f>
        <v>8717323028605</v>
      </c>
      <c r="C13446" t="str">
        <f>IFERROR(__xludf.DUMMYFUNCTION("""COMPUTED_VALUE"""),"ECS")</f>
        <v>ECS</v>
      </c>
    </row>
    <row r="13447">
      <c r="A13447" t="str">
        <f>IFERROR(__xludf.DUMMYFUNCTION("""COMPUTED_VALUE"""),"MB097F1")</f>
        <v>MB097F1</v>
      </c>
      <c r="C13447" t="str">
        <f>IFERROR(__xludf.DUMMYFUNCTION("""COMPUTED_VALUE"""),"ECS")</f>
        <v>ECS</v>
      </c>
    </row>
    <row r="13448">
      <c r="A13448" t="str">
        <f>IFERROR(__xludf.DUMMYFUNCTION("""COMPUTED_VALUE"""),"MB097H1")</f>
        <v>MB097H1</v>
      </c>
      <c r="C13448" t="str">
        <f>IFERROR(__xludf.DUMMYFUNCTION("""COMPUTED_VALUE"""),"ECS")</f>
        <v>ECS</v>
      </c>
    </row>
    <row r="13449">
      <c r="A13449" t="str">
        <f>IFERROR(__xludf.DUMMYFUNCTION("""COMPUTED_VALUE"""),"MB097F1")</f>
        <v>MB097F1</v>
      </c>
      <c r="C13449" t="str">
        <f>IFERROR(__xludf.DUMMYFUNCTION("""COMPUTED_VALUE"""),"ECS")</f>
        <v>ECS</v>
      </c>
    </row>
    <row r="13450">
      <c r="A13450" t="str">
        <f>IFERROR(__xludf.DUMMYFUNCTION("""COMPUTED_VALUE"""),"MB097H1")</f>
        <v>MB097H1</v>
      </c>
      <c r="C13450" t="str">
        <f>IFERROR(__xludf.DUMMYFUNCTION("""COMPUTED_VALUE"""),"ECS")</f>
        <v>ECS</v>
      </c>
    </row>
    <row r="13451">
      <c r="A13451" t="str">
        <f>IFERROR(__xludf.DUMMYFUNCTION("""COMPUTED_VALUE"""),"MB068B1")</f>
        <v>MB068B1</v>
      </c>
      <c r="B13451" s="226" t="str">
        <f>IFERROR(__xludf.DUMMYFUNCTION("""COMPUTED_VALUE"""),"8717323025307")</f>
        <v>8717323025307</v>
      </c>
      <c r="C13451" t="str">
        <f>IFERROR(__xludf.DUMMYFUNCTION("""COMPUTED_VALUE"""),"ECS")</f>
        <v>ECS</v>
      </c>
    </row>
    <row r="13452">
      <c r="A13452" t="str">
        <f>IFERROR(__xludf.DUMMYFUNCTION("""COMPUTED_VALUE"""),"MB068D1")</f>
        <v>MB068D1</v>
      </c>
      <c r="B13452" s="226" t="str">
        <f>IFERROR(__xludf.DUMMYFUNCTION("""COMPUTED_VALUE"""),"8717323025390")</f>
        <v>8717323025390</v>
      </c>
      <c r="C13452" t="str">
        <f>IFERROR(__xludf.DUMMYFUNCTION("""COMPUTED_VALUE"""),"ECS")</f>
        <v>ECS</v>
      </c>
    </row>
    <row r="13453">
      <c r="A13453" t="str">
        <f>IFERROR(__xludf.DUMMYFUNCTION("""COMPUTED_VALUE"""),"MB077B1")</f>
        <v>MB077B1</v>
      </c>
      <c r="B13453" s="226" t="str">
        <f>IFERROR(__xludf.DUMMYFUNCTION("""COMPUTED_VALUE"""),"8717323031445")</f>
        <v>8717323031445</v>
      </c>
      <c r="C13453" t="str">
        <f>IFERROR(__xludf.DUMMYFUNCTION("""COMPUTED_VALUE"""),"ECS")</f>
        <v>ECS</v>
      </c>
    </row>
    <row r="13454">
      <c r="A13454" t="str">
        <f>IFERROR(__xludf.DUMMYFUNCTION("""COMPUTED_VALUE"""),"MB077D1")</f>
        <v>MB077D1</v>
      </c>
      <c r="B13454" s="226" t="str">
        <f>IFERROR(__xludf.DUMMYFUNCTION("""COMPUTED_VALUE"""),"8717323028605")</f>
        <v>8717323028605</v>
      </c>
      <c r="C13454" t="str">
        <f>IFERROR(__xludf.DUMMYFUNCTION("""COMPUTED_VALUE"""),"ECS")</f>
        <v>ECS</v>
      </c>
    </row>
    <row r="13455">
      <c r="A13455" t="str">
        <f>IFERROR(__xludf.DUMMYFUNCTION("""COMPUTED_VALUE"""),"MB097F1")</f>
        <v>MB097F1</v>
      </c>
      <c r="C13455" t="str">
        <f>IFERROR(__xludf.DUMMYFUNCTION("""COMPUTED_VALUE"""),"ECS")</f>
        <v>ECS</v>
      </c>
    </row>
    <row r="13456">
      <c r="A13456" t="str">
        <f>IFERROR(__xludf.DUMMYFUNCTION("""COMPUTED_VALUE"""),"MB097H1")</f>
        <v>MB097H1</v>
      </c>
      <c r="C13456" t="str">
        <f>IFERROR(__xludf.DUMMYFUNCTION("""COMPUTED_VALUE"""),"ECS")</f>
        <v>ECS</v>
      </c>
    </row>
    <row r="13457">
      <c r="A13457" t="str">
        <f>IFERROR(__xludf.DUMMYFUNCTION("""COMPUTED_VALUE"""),"MB080B1")</f>
        <v>MB080B1</v>
      </c>
      <c r="B13457" s="226" t="str">
        <f>IFERROR(__xludf.DUMMYFUNCTION("""COMPUTED_VALUE"""),"8717323049969")</f>
        <v>8717323049969</v>
      </c>
      <c r="C13457" t="str">
        <f>IFERROR(__xludf.DUMMYFUNCTION("""COMPUTED_VALUE"""),"ECS")</f>
        <v>ECS</v>
      </c>
    </row>
    <row r="13458">
      <c r="A13458" t="str">
        <f>IFERROR(__xludf.DUMMYFUNCTION("""COMPUTED_VALUE"""),"MB080D1")</f>
        <v>MB080D1</v>
      </c>
      <c r="B13458" s="226" t="str">
        <f>IFERROR(__xludf.DUMMYFUNCTION("""COMPUTED_VALUE"""),"8717323049976")</f>
        <v>8717323049976</v>
      </c>
      <c r="C13458" t="str">
        <f>IFERROR(__xludf.DUMMYFUNCTION("""COMPUTED_VALUE"""),"ECS")</f>
        <v>ECS</v>
      </c>
    </row>
    <row r="13459">
      <c r="A13459" t="str">
        <f>IFERROR(__xludf.DUMMYFUNCTION("""COMPUTED_VALUE"""),"MB080H1")</f>
        <v>MB080H1</v>
      </c>
      <c r="B13459" s="226" t="str">
        <f>IFERROR(__xludf.DUMMYFUNCTION("""COMPUTED_VALUE"""),"8717323049983")</f>
        <v>8717323049983</v>
      </c>
      <c r="C13459" t="str">
        <f>IFERROR(__xludf.DUMMYFUNCTION("""COMPUTED_VALUE"""),"ECS")</f>
        <v>ECS</v>
      </c>
    </row>
    <row r="13460">
      <c r="A13460" t="str">
        <f>IFERROR(__xludf.DUMMYFUNCTION("""COMPUTED_VALUE"""),"MB099F1")</f>
        <v>MB099F1</v>
      </c>
      <c r="B13460" s="226" t="str">
        <f>IFERROR(__xludf.DUMMYFUNCTION("""COMPUTED_VALUE"""),"8717323067956")</f>
        <v>8717323067956</v>
      </c>
      <c r="C13460" t="str">
        <f>IFERROR(__xludf.DUMMYFUNCTION("""COMPUTED_VALUE"""),"ECS")</f>
        <v>ECS</v>
      </c>
    </row>
    <row r="13461">
      <c r="A13461" t="str">
        <f>IFERROR(__xludf.DUMMYFUNCTION("""COMPUTED_VALUE"""),"MB099H1")</f>
        <v>MB099H1</v>
      </c>
      <c r="B13461" s="226" t="str">
        <f>IFERROR(__xludf.DUMMYFUNCTION("""COMPUTED_VALUE"""),"8717323067963")</f>
        <v>8717323067963</v>
      </c>
      <c r="C13461" t="str">
        <f>IFERROR(__xludf.DUMMYFUNCTION("""COMPUTED_VALUE"""),"ECS")</f>
        <v>ECS</v>
      </c>
    </row>
    <row r="13462">
      <c r="A13462" t="str">
        <f>IFERROR(__xludf.DUMMYFUNCTION("""COMPUTED_VALUE"""),"MB074B1")</f>
        <v>MB074B1</v>
      </c>
      <c r="B13462" s="226" t="str">
        <f>IFERROR(__xludf.DUMMYFUNCTION("""COMPUTED_VALUE"""),"8717323025734")</f>
        <v>8717323025734</v>
      </c>
      <c r="C13462" t="str">
        <f>IFERROR(__xludf.DUMMYFUNCTION("""COMPUTED_VALUE"""),"ECS")</f>
        <v>ECS</v>
      </c>
    </row>
    <row r="13463">
      <c r="A13463" t="str">
        <f>IFERROR(__xludf.DUMMYFUNCTION("""COMPUTED_VALUE"""),"MB074D12")</f>
        <v>MB074D12</v>
      </c>
      <c r="B13463" s="226" t="str">
        <f>IFERROR(__xludf.DUMMYFUNCTION("""COMPUTED_VALUE"""),"8717323025406")</f>
        <v>8717323025406</v>
      </c>
      <c r="C13463" t="str">
        <f>IFERROR(__xludf.DUMMYFUNCTION("""COMPUTED_VALUE"""),"ECS")</f>
        <v>ECS</v>
      </c>
    </row>
    <row r="13464">
      <c r="A13464" t="str">
        <f>IFERROR(__xludf.DUMMYFUNCTION("""COMPUTED_VALUE"""),"MB076B1")</f>
        <v>MB076B1</v>
      </c>
      <c r="B13464" s="226" t="str">
        <f>IFERROR(__xludf.DUMMYFUNCTION("""COMPUTED_VALUE"""),"8717323025758")</f>
        <v>8717323025758</v>
      </c>
      <c r="C13464" t="str">
        <f>IFERROR(__xludf.DUMMYFUNCTION("""COMPUTED_VALUE"""),"ECS")</f>
        <v>ECS</v>
      </c>
    </row>
    <row r="13465">
      <c r="A13465" t="str">
        <f>IFERROR(__xludf.DUMMYFUNCTION("""COMPUTED_VALUE"""),"MB076D1")</f>
        <v>MB076D1</v>
      </c>
      <c r="B13465" s="226" t="str">
        <f>IFERROR(__xludf.DUMMYFUNCTION("""COMPUTED_VALUE"""),"8717323025765")</f>
        <v>8717323025765</v>
      </c>
      <c r="C13465" t="str">
        <f>IFERROR(__xludf.DUMMYFUNCTION("""COMPUTED_VALUE"""),"ECS")</f>
        <v>ECS</v>
      </c>
    </row>
    <row r="13466">
      <c r="A13466" t="str">
        <f>IFERROR(__xludf.DUMMYFUNCTION("""COMPUTED_VALUE"""),"MB076H1")</f>
        <v>MB076H1</v>
      </c>
      <c r="B13466" s="226" t="str">
        <f>IFERROR(__xludf.DUMMYFUNCTION("""COMPUTED_VALUE"""),"8717323049808")</f>
        <v>8717323049808</v>
      </c>
      <c r="C13466" t="str">
        <f>IFERROR(__xludf.DUMMYFUNCTION("""COMPUTED_VALUE"""),"ECS")</f>
        <v>ECS</v>
      </c>
    </row>
    <row r="13467">
      <c r="A13467" t="str">
        <f>IFERROR(__xludf.DUMMYFUNCTION("""COMPUTED_VALUE"""),"MB080B1")</f>
        <v>MB080B1</v>
      </c>
      <c r="B13467" s="226" t="str">
        <f>IFERROR(__xludf.DUMMYFUNCTION("""COMPUTED_VALUE"""),"8717323049969")</f>
        <v>8717323049969</v>
      </c>
      <c r="C13467" t="str">
        <f>IFERROR(__xludf.DUMMYFUNCTION("""COMPUTED_VALUE"""),"ECS")</f>
        <v>ECS</v>
      </c>
    </row>
    <row r="13468">
      <c r="A13468" t="str">
        <f>IFERROR(__xludf.DUMMYFUNCTION("""COMPUTED_VALUE"""),"MB080D1")</f>
        <v>MB080D1</v>
      </c>
      <c r="B13468" s="226" t="str">
        <f>IFERROR(__xludf.DUMMYFUNCTION("""COMPUTED_VALUE"""),"8717323049976")</f>
        <v>8717323049976</v>
      </c>
      <c r="C13468" t="str">
        <f>IFERROR(__xludf.DUMMYFUNCTION("""COMPUTED_VALUE"""),"ECS")</f>
        <v>ECS</v>
      </c>
    </row>
    <row r="13469">
      <c r="A13469" t="str">
        <f>IFERROR(__xludf.DUMMYFUNCTION("""COMPUTED_VALUE"""),"MB080H1")</f>
        <v>MB080H1</v>
      </c>
      <c r="B13469" s="226" t="str">
        <f>IFERROR(__xludf.DUMMYFUNCTION("""COMPUTED_VALUE"""),"8717323049983")</f>
        <v>8717323049983</v>
      </c>
      <c r="C13469" t="str">
        <f>IFERROR(__xludf.DUMMYFUNCTION("""COMPUTED_VALUE"""),"ECS")</f>
        <v>ECS</v>
      </c>
    </row>
    <row r="13470">
      <c r="A13470" t="str">
        <f>IFERROR(__xludf.DUMMYFUNCTION("""COMPUTED_VALUE"""),"MB099F1")</f>
        <v>MB099F1</v>
      </c>
      <c r="B13470" s="226" t="str">
        <f>IFERROR(__xludf.DUMMYFUNCTION("""COMPUTED_VALUE"""),"8717323067956")</f>
        <v>8717323067956</v>
      </c>
      <c r="C13470" t="str">
        <f>IFERROR(__xludf.DUMMYFUNCTION("""COMPUTED_VALUE"""),"ECS")</f>
        <v>ECS</v>
      </c>
    </row>
    <row r="13471">
      <c r="A13471" t="str">
        <f>IFERROR(__xludf.DUMMYFUNCTION("""COMPUTED_VALUE"""),"MB099H1")</f>
        <v>MB099H1</v>
      </c>
      <c r="B13471" s="226" t="str">
        <f>IFERROR(__xludf.DUMMYFUNCTION("""COMPUTED_VALUE"""),"8717323067963")</f>
        <v>8717323067963</v>
      </c>
      <c r="C13471" t="str">
        <f>IFERROR(__xludf.DUMMYFUNCTION("""COMPUTED_VALUE"""),"ECS")</f>
        <v>ECS</v>
      </c>
    </row>
    <row r="13472">
      <c r="A13472" t="str">
        <f>IFERROR(__xludf.DUMMYFUNCTION("""COMPUTED_VALUE"""),"MB024B")</f>
        <v>MB024B</v>
      </c>
      <c r="B13472" s="226" t="str">
        <f>IFERROR(__xludf.DUMMYFUNCTION("""COMPUTED_VALUE"""),"8717323003664")</f>
        <v>8717323003664</v>
      </c>
      <c r="C13472" t="str">
        <f>IFERROR(__xludf.DUMMYFUNCTION("""COMPUTED_VALUE"""),"ECS")</f>
        <v>ECS</v>
      </c>
    </row>
    <row r="13473">
      <c r="A13473" t="str">
        <f>IFERROR(__xludf.DUMMYFUNCTION("""COMPUTED_VALUE"""),"MB074B1")</f>
        <v>MB074B1</v>
      </c>
      <c r="B13473" s="226" t="str">
        <f>IFERROR(__xludf.DUMMYFUNCTION("""COMPUTED_VALUE"""),"8717323025734")</f>
        <v>8717323025734</v>
      </c>
      <c r="C13473" t="str">
        <f>IFERROR(__xludf.DUMMYFUNCTION("""COMPUTED_VALUE"""),"ECS")</f>
        <v>ECS</v>
      </c>
    </row>
    <row r="13474">
      <c r="A13474" t="str">
        <f>IFERROR(__xludf.DUMMYFUNCTION("""COMPUTED_VALUE"""),"MB074D12")</f>
        <v>MB074D12</v>
      </c>
      <c r="B13474" s="226" t="str">
        <f>IFERROR(__xludf.DUMMYFUNCTION("""COMPUTED_VALUE"""),"8717323025406")</f>
        <v>8717323025406</v>
      </c>
      <c r="C13474" t="str">
        <f>IFERROR(__xludf.DUMMYFUNCTION("""COMPUTED_VALUE"""),"ECS")</f>
        <v>ECS</v>
      </c>
    </row>
    <row r="13475">
      <c r="A13475" t="str">
        <f>IFERROR(__xludf.DUMMYFUNCTION("""COMPUTED_VALUE"""),"MB076B1")</f>
        <v>MB076B1</v>
      </c>
      <c r="B13475" s="226" t="str">
        <f>IFERROR(__xludf.DUMMYFUNCTION("""COMPUTED_VALUE"""),"8717323025758")</f>
        <v>8717323025758</v>
      </c>
      <c r="C13475" t="str">
        <f>IFERROR(__xludf.DUMMYFUNCTION("""COMPUTED_VALUE"""),"ECS")</f>
        <v>ECS</v>
      </c>
    </row>
    <row r="13476">
      <c r="A13476" t="str">
        <f>IFERROR(__xludf.DUMMYFUNCTION("""COMPUTED_VALUE"""),"MB076D1")</f>
        <v>MB076D1</v>
      </c>
      <c r="B13476" s="226" t="str">
        <f>IFERROR(__xludf.DUMMYFUNCTION("""COMPUTED_VALUE"""),"8717323025765")</f>
        <v>8717323025765</v>
      </c>
      <c r="C13476" t="str">
        <f>IFERROR(__xludf.DUMMYFUNCTION("""COMPUTED_VALUE"""),"ECS")</f>
        <v>ECS</v>
      </c>
    </row>
    <row r="13477">
      <c r="A13477" t="str">
        <f>IFERROR(__xludf.DUMMYFUNCTION("""COMPUTED_VALUE"""),"MB076H1")</f>
        <v>MB076H1</v>
      </c>
      <c r="B13477" s="226" t="str">
        <f>IFERROR(__xludf.DUMMYFUNCTION("""COMPUTED_VALUE"""),"8717323049808")</f>
        <v>8717323049808</v>
      </c>
      <c r="C13477" t="str">
        <f>IFERROR(__xludf.DUMMYFUNCTION("""COMPUTED_VALUE"""),"ECS")</f>
        <v>ECS</v>
      </c>
    </row>
    <row r="13478">
      <c r="A13478" t="str">
        <f>IFERROR(__xludf.DUMMYFUNCTION("""COMPUTED_VALUE"""),"MB080B1")</f>
        <v>MB080B1</v>
      </c>
      <c r="B13478" s="226" t="str">
        <f>IFERROR(__xludf.DUMMYFUNCTION("""COMPUTED_VALUE"""),"8717323049969")</f>
        <v>8717323049969</v>
      </c>
      <c r="C13478" t="str">
        <f>IFERROR(__xludf.DUMMYFUNCTION("""COMPUTED_VALUE"""),"ECS")</f>
        <v>ECS</v>
      </c>
    </row>
    <row r="13479">
      <c r="A13479" t="str">
        <f>IFERROR(__xludf.DUMMYFUNCTION("""COMPUTED_VALUE"""),"MB080D1")</f>
        <v>MB080D1</v>
      </c>
      <c r="B13479" s="226" t="str">
        <f>IFERROR(__xludf.DUMMYFUNCTION("""COMPUTED_VALUE"""),"8717323049976")</f>
        <v>8717323049976</v>
      </c>
      <c r="C13479" t="str">
        <f>IFERROR(__xludf.DUMMYFUNCTION("""COMPUTED_VALUE"""),"ECS")</f>
        <v>ECS</v>
      </c>
    </row>
    <row r="13480">
      <c r="A13480" t="str">
        <f>IFERROR(__xludf.DUMMYFUNCTION("""COMPUTED_VALUE"""),"MB080H1")</f>
        <v>MB080H1</v>
      </c>
      <c r="B13480" s="226" t="str">
        <f>IFERROR(__xludf.DUMMYFUNCTION("""COMPUTED_VALUE"""),"8717323049983")</f>
        <v>8717323049983</v>
      </c>
      <c r="C13480" t="str">
        <f>IFERROR(__xludf.DUMMYFUNCTION("""COMPUTED_VALUE"""),"ECS")</f>
        <v>ECS</v>
      </c>
    </row>
    <row r="13481">
      <c r="A13481" t="str">
        <f>IFERROR(__xludf.DUMMYFUNCTION("""COMPUTED_VALUE"""),"MB099F1")</f>
        <v>MB099F1</v>
      </c>
      <c r="B13481" s="226" t="str">
        <f>IFERROR(__xludf.DUMMYFUNCTION("""COMPUTED_VALUE"""),"8717323067956")</f>
        <v>8717323067956</v>
      </c>
      <c r="C13481" t="str">
        <f>IFERROR(__xludf.DUMMYFUNCTION("""COMPUTED_VALUE"""),"ECS")</f>
        <v>ECS</v>
      </c>
    </row>
    <row r="13482">
      <c r="A13482" t="str">
        <f>IFERROR(__xludf.DUMMYFUNCTION("""COMPUTED_VALUE"""),"MB099H1")</f>
        <v>MB099H1</v>
      </c>
      <c r="B13482" s="226" t="str">
        <f>IFERROR(__xludf.DUMMYFUNCTION("""COMPUTED_VALUE"""),"8717323067963")</f>
        <v>8717323067963</v>
      </c>
      <c r="C13482" t="str">
        <f>IFERROR(__xludf.DUMMYFUNCTION("""COMPUTED_VALUE"""),"ECS")</f>
        <v>ECS</v>
      </c>
    </row>
    <row r="13483">
      <c r="A13483" t="str">
        <f>IFERROR(__xludf.DUMMYFUNCTION("""COMPUTED_VALUE"""),"MB024B")</f>
        <v>MB024B</v>
      </c>
      <c r="B13483" s="226" t="str">
        <f>IFERROR(__xludf.DUMMYFUNCTION("""COMPUTED_VALUE"""),"8717323003664")</f>
        <v>8717323003664</v>
      </c>
      <c r="C13483" t="str">
        <f>IFERROR(__xludf.DUMMYFUNCTION("""COMPUTED_VALUE"""),"ECS")</f>
        <v>ECS</v>
      </c>
    </row>
    <row r="13484">
      <c r="A13484" t="str">
        <f>IFERROR(__xludf.DUMMYFUNCTION("""COMPUTED_VALUE"""),"MB074B1")</f>
        <v>MB074B1</v>
      </c>
      <c r="B13484" s="226" t="str">
        <f>IFERROR(__xludf.DUMMYFUNCTION("""COMPUTED_VALUE"""),"8717323025734")</f>
        <v>8717323025734</v>
      </c>
      <c r="C13484" t="str">
        <f>IFERROR(__xludf.DUMMYFUNCTION("""COMPUTED_VALUE"""),"ECS")</f>
        <v>ECS</v>
      </c>
    </row>
    <row r="13485">
      <c r="A13485" t="str">
        <f>IFERROR(__xludf.DUMMYFUNCTION("""COMPUTED_VALUE"""),"MB074D12")</f>
        <v>MB074D12</v>
      </c>
      <c r="B13485" s="226" t="str">
        <f>IFERROR(__xludf.DUMMYFUNCTION("""COMPUTED_VALUE"""),"8717323025406")</f>
        <v>8717323025406</v>
      </c>
      <c r="C13485" t="str">
        <f>IFERROR(__xludf.DUMMYFUNCTION("""COMPUTED_VALUE"""),"ECS")</f>
        <v>ECS</v>
      </c>
    </row>
    <row r="13486">
      <c r="A13486" t="str">
        <f>IFERROR(__xludf.DUMMYFUNCTION("""COMPUTED_VALUE"""),"MB076B1")</f>
        <v>MB076B1</v>
      </c>
      <c r="B13486" s="226" t="str">
        <f>IFERROR(__xludf.DUMMYFUNCTION("""COMPUTED_VALUE"""),"8717323025758")</f>
        <v>8717323025758</v>
      </c>
      <c r="C13486" t="str">
        <f>IFERROR(__xludf.DUMMYFUNCTION("""COMPUTED_VALUE"""),"ECS")</f>
        <v>ECS</v>
      </c>
    </row>
    <row r="13487">
      <c r="A13487" t="str">
        <f>IFERROR(__xludf.DUMMYFUNCTION("""COMPUTED_VALUE"""),"MB076D1")</f>
        <v>MB076D1</v>
      </c>
      <c r="B13487" s="226" t="str">
        <f>IFERROR(__xludf.DUMMYFUNCTION("""COMPUTED_VALUE"""),"8717323025765")</f>
        <v>8717323025765</v>
      </c>
      <c r="C13487" t="str">
        <f>IFERROR(__xludf.DUMMYFUNCTION("""COMPUTED_VALUE"""),"ECS")</f>
        <v>ECS</v>
      </c>
    </row>
    <row r="13488">
      <c r="A13488" t="str">
        <f>IFERROR(__xludf.DUMMYFUNCTION("""COMPUTED_VALUE"""),"MB076H1")</f>
        <v>MB076H1</v>
      </c>
      <c r="B13488" s="226" t="str">
        <f>IFERROR(__xludf.DUMMYFUNCTION("""COMPUTED_VALUE"""),"8717323049808")</f>
        <v>8717323049808</v>
      </c>
      <c r="C13488" t="str">
        <f>IFERROR(__xludf.DUMMYFUNCTION("""COMPUTED_VALUE"""),"ECS")</f>
        <v>ECS</v>
      </c>
    </row>
    <row r="13489">
      <c r="A13489" t="str">
        <f>IFERROR(__xludf.DUMMYFUNCTION("""COMPUTED_VALUE"""),"MB080B1")</f>
        <v>MB080B1</v>
      </c>
      <c r="B13489" s="226" t="str">
        <f>IFERROR(__xludf.DUMMYFUNCTION("""COMPUTED_VALUE"""),"8717323049969")</f>
        <v>8717323049969</v>
      </c>
      <c r="C13489" t="str">
        <f>IFERROR(__xludf.DUMMYFUNCTION("""COMPUTED_VALUE"""),"ECS")</f>
        <v>ECS</v>
      </c>
    </row>
    <row r="13490">
      <c r="A13490" t="str">
        <f>IFERROR(__xludf.DUMMYFUNCTION("""COMPUTED_VALUE"""),"MB080D1")</f>
        <v>MB080D1</v>
      </c>
      <c r="B13490" s="226" t="str">
        <f>IFERROR(__xludf.DUMMYFUNCTION("""COMPUTED_VALUE"""),"8717323049976")</f>
        <v>8717323049976</v>
      </c>
      <c r="C13490" t="str">
        <f>IFERROR(__xludf.DUMMYFUNCTION("""COMPUTED_VALUE"""),"ECS")</f>
        <v>ECS</v>
      </c>
    </row>
    <row r="13491">
      <c r="A13491" t="str">
        <f>IFERROR(__xludf.DUMMYFUNCTION("""COMPUTED_VALUE"""),"MB080H1")</f>
        <v>MB080H1</v>
      </c>
      <c r="B13491" s="226" t="str">
        <f>IFERROR(__xludf.DUMMYFUNCTION("""COMPUTED_VALUE"""),"8717323049983")</f>
        <v>8717323049983</v>
      </c>
      <c r="C13491" t="str">
        <f>IFERROR(__xludf.DUMMYFUNCTION("""COMPUTED_VALUE"""),"ECS")</f>
        <v>ECS</v>
      </c>
    </row>
    <row r="13492">
      <c r="A13492" t="str">
        <f>IFERROR(__xludf.DUMMYFUNCTION("""COMPUTED_VALUE"""),"MB099F1")</f>
        <v>MB099F1</v>
      </c>
      <c r="B13492" s="226" t="str">
        <f>IFERROR(__xludf.DUMMYFUNCTION("""COMPUTED_VALUE"""),"8717323067956")</f>
        <v>8717323067956</v>
      </c>
      <c r="C13492" t="str">
        <f>IFERROR(__xludf.DUMMYFUNCTION("""COMPUTED_VALUE"""),"ECS")</f>
        <v>ECS</v>
      </c>
    </row>
    <row r="13493">
      <c r="A13493" t="str">
        <f>IFERROR(__xludf.DUMMYFUNCTION("""COMPUTED_VALUE"""),"MB099H1")</f>
        <v>MB099H1</v>
      </c>
      <c r="B13493" s="226" t="str">
        <f>IFERROR(__xludf.DUMMYFUNCTION("""COMPUTED_VALUE"""),"8717323067963")</f>
        <v>8717323067963</v>
      </c>
      <c r="C13493" t="str">
        <f>IFERROR(__xludf.DUMMYFUNCTION("""COMPUTED_VALUE"""),"ECS")</f>
        <v>ECS</v>
      </c>
    </row>
    <row r="13494">
      <c r="A13494" t="str">
        <f>IFERROR(__xludf.DUMMYFUNCTION("""COMPUTED_VALUE"""),"MB079BB")</f>
        <v>MB079BB</v>
      </c>
      <c r="B13494" s="226" t="str">
        <f>IFERROR(__xludf.DUMMYFUNCTION("""COMPUTED_VALUE"""),"8717323045268")</f>
        <v>8717323045268</v>
      </c>
      <c r="C13494" t="str">
        <f>IFERROR(__xludf.DUMMYFUNCTION("""COMPUTED_VALUE"""),"ECS")</f>
        <v>ECS</v>
      </c>
    </row>
    <row r="13495">
      <c r="A13495" t="str">
        <f>IFERROR(__xludf.DUMMYFUNCTION("""COMPUTED_VALUE"""),"MB079DL")</f>
        <v>MB079DL</v>
      </c>
      <c r="B13495" s="226" t="str">
        <f>IFERROR(__xludf.DUMMYFUNCTION("""COMPUTED_VALUE"""),"8717323045275")</f>
        <v>8717323045275</v>
      </c>
      <c r="C13495" t="str">
        <f>IFERROR(__xludf.DUMMYFUNCTION("""COMPUTED_VALUE"""),"ECS")</f>
        <v>ECS</v>
      </c>
    </row>
    <row r="13496">
      <c r="A13496" t="str">
        <f>IFERROR(__xludf.DUMMYFUNCTION("""COMPUTED_VALUE"""),"MB094BL")</f>
        <v>MB094BL</v>
      </c>
      <c r="B13496" s="226" t="str">
        <f>IFERROR(__xludf.DUMMYFUNCTION("""COMPUTED_VALUE"""),"8717323069554")</f>
        <v>8717323069554</v>
      </c>
      <c r="C13496" t="str">
        <f>IFERROR(__xludf.DUMMYFUNCTION("""COMPUTED_VALUE"""),"ECS")</f>
        <v>ECS</v>
      </c>
    </row>
    <row r="13497">
      <c r="A13497" t="str">
        <f>IFERROR(__xludf.DUMMYFUNCTION("""COMPUTED_VALUE"""),"MB094DL")</f>
        <v>MB094DL</v>
      </c>
      <c r="B13497" s="226" t="str">
        <f>IFERROR(__xludf.DUMMYFUNCTION("""COMPUTED_VALUE"""),"8717323069561")</f>
        <v>8717323069561</v>
      </c>
      <c r="C13497" t="str">
        <f>IFERROR(__xludf.DUMMYFUNCTION("""COMPUTED_VALUE"""),"ECS")</f>
        <v>ECS</v>
      </c>
    </row>
    <row r="13498">
      <c r="A13498" t="str">
        <f>IFERROR(__xludf.DUMMYFUNCTION("""COMPUTED_VALUE"""),"MB077B1")</f>
        <v>MB077B1</v>
      </c>
      <c r="B13498" s="226" t="str">
        <f>IFERROR(__xludf.DUMMYFUNCTION("""COMPUTED_VALUE"""),"8717323031445")</f>
        <v>8717323031445</v>
      </c>
      <c r="C13498" t="str">
        <f>IFERROR(__xludf.DUMMYFUNCTION("""COMPUTED_VALUE"""),"ECS")</f>
        <v>ECS</v>
      </c>
    </row>
    <row r="13499">
      <c r="A13499" t="str">
        <f>IFERROR(__xludf.DUMMYFUNCTION("""COMPUTED_VALUE"""),"MB077D1")</f>
        <v>MB077D1</v>
      </c>
      <c r="B13499" s="226" t="str">
        <f>IFERROR(__xludf.DUMMYFUNCTION("""COMPUTED_VALUE"""),"8717323028605")</f>
        <v>8717323028605</v>
      </c>
      <c r="C13499" t="str">
        <f>IFERROR(__xludf.DUMMYFUNCTION("""COMPUTED_VALUE"""),"ECS")</f>
        <v>ECS</v>
      </c>
    </row>
    <row r="13500">
      <c r="A13500" t="str">
        <f>IFERROR(__xludf.DUMMYFUNCTION("""COMPUTED_VALUE"""),"MB097F1")</f>
        <v>MB097F1</v>
      </c>
      <c r="C13500" t="str">
        <f>IFERROR(__xludf.DUMMYFUNCTION("""COMPUTED_VALUE"""),"ECS")</f>
        <v>ECS</v>
      </c>
    </row>
    <row r="13501">
      <c r="A13501" t="str">
        <f>IFERROR(__xludf.DUMMYFUNCTION("""COMPUTED_VALUE"""),"MB097H1")</f>
        <v>MB097H1</v>
      </c>
      <c r="C13501" t="str">
        <f>IFERROR(__xludf.DUMMYFUNCTION("""COMPUTED_VALUE"""),"ECS")</f>
        <v>ECS</v>
      </c>
    </row>
    <row r="13502">
      <c r="A13502" t="str">
        <f>IFERROR(__xludf.DUMMYFUNCTION("""COMPUTED_VALUE"""),"MB077B1")</f>
        <v>MB077B1</v>
      </c>
      <c r="B13502" s="226" t="str">
        <f>IFERROR(__xludf.DUMMYFUNCTION("""COMPUTED_VALUE"""),"8717323031445")</f>
        <v>8717323031445</v>
      </c>
      <c r="C13502" t="str">
        <f>IFERROR(__xludf.DUMMYFUNCTION("""COMPUTED_VALUE"""),"ECS")</f>
        <v>ECS</v>
      </c>
    </row>
    <row r="13503">
      <c r="A13503" t="str">
        <f>IFERROR(__xludf.DUMMYFUNCTION("""COMPUTED_VALUE"""),"MB077D1")</f>
        <v>MB077D1</v>
      </c>
      <c r="B13503" s="226" t="str">
        <f>IFERROR(__xludf.DUMMYFUNCTION("""COMPUTED_VALUE"""),"8717323028605")</f>
        <v>8717323028605</v>
      </c>
      <c r="C13503" t="str">
        <f>IFERROR(__xludf.DUMMYFUNCTION("""COMPUTED_VALUE"""),"ECS")</f>
        <v>ECS</v>
      </c>
    </row>
    <row r="13504">
      <c r="A13504" t="str">
        <f>IFERROR(__xludf.DUMMYFUNCTION("""COMPUTED_VALUE"""),"MB097F1")</f>
        <v>MB097F1</v>
      </c>
      <c r="C13504" t="str">
        <f>IFERROR(__xludf.DUMMYFUNCTION("""COMPUTED_VALUE"""),"ECS")</f>
        <v>ECS</v>
      </c>
    </row>
    <row r="13505">
      <c r="A13505" t="str">
        <f>IFERROR(__xludf.DUMMYFUNCTION("""COMPUTED_VALUE"""),"MB097H1")</f>
        <v>MB097H1</v>
      </c>
      <c r="C13505" t="str">
        <f>IFERROR(__xludf.DUMMYFUNCTION("""COMPUTED_VALUE"""),"ECS")</f>
        <v>ECS</v>
      </c>
    </row>
    <row r="13506">
      <c r="A13506" t="str">
        <f>IFERROR(__xludf.DUMMYFUNCTION("""COMPUTED_VALUE"""),"MB074B1")</f>
        <v>MB074B1</v>
      </c>
      <c r="B13506" s="226" t="str">
        <f>IFERROR(__xludf.DUMMYFUNCTION("""COMPUTED_VALUE"""),"8717323025734")</f>
        <v>8717323025734</v>
      </c>
      <c r="C13506" t="str">
        <f>IFERROR(__xludf.DUMMYFUNCTION("""COMPUTED_VALUE"""),"ECS")</f>
        <v>ECS</v>
      </c>
    </row>
    <row r="13507">
      <c r="A13507" t="str">
        <f>IFERROR(__xludf.DUMMYFUNCTION("""COMPUTED_VALUE"""),"MB074D12")</f>
        <v>MB074D12</v>
      </c>
      <c r="B13507" s="226" t="str">
        <f>IFERROR(__xludf.DUMMYFUNCTION("""COMPUTED_VALUE"""),"8717323025406")</f>
        <v>8717323025406</v>
      </c>
      <c r="C13507" t="str">
        <f>IFERROR(__xludf.DUMMYFUNCTION("""COMPUTED_VALUE"""),"ECS")</f>
        <v>ECS</v>
      </c>
    </row>
    <row r="13508">
      <c r="A13508" t="str">
        <f>IFERROR(__xludf.DUMMYFUNCTION("""COMPUTED_VALUE"""),"MB026FL")</f>
        <v>MB026FL</v>
      </c>
      <c r="B13508" s="226" t="str">
        <f>IFERROR(__xludf.DUMMYFUNCTION("""COMPUTED_VALUE"""),"8717323003671")</f>
        <v>8717323003671</v>
      </c>
      <c r="C13508" t="str">
        <f>IFERROR(__xludf.DUMMYFUNCTION("""COMPUTED_VALUE"""),"ECS")</f>
        <v>ECS</v>
      </c>
    </row>
    <row r="13509">
      <c r="A13509" t="str">
        <f>IFERROR(__xludf.DUMMYFUNCTION("""COMPUTED_VALUE"""),"MB926KL")</f>
        <v>MB926KL</v>
      </c>
      <c r="B13509" s="226" t="str">
        <f>IFERROR(__xludf.DUMMYFUNCTION("""COMPUTED_VALUE"""),"8717323003886")</f>
        <v>8717323003886</v>
      </c>
      <c r="C13509" t="str">
        <f>IFERROR(__xludf.DUMMYFUNCTION("""COMPUTED_VALUE"""),"ECS")</f>
        <v>ECS</v>
      </c>
    </row>
    <row r="13510">
      <c r="A13510" t="str">
        <f>IFERROR(__xludf.DUMMYFUNCTION("""COMPUTED_VALUE"""),"MB074B1")</f>
        <v>MB074B1</v>
      </c>
      <c r="B13510" s="226" t="str">
        <f>IFERROR(__xludf.DUMMYFUNCTION("""COMPUTED_VALUE"""),"8717323025734")</f>
        <v>8717323025734</v>
      </c>
      <c r="C13510" t="str">
        <f>IFERROR(__xludf.DUMMYFUNCTION("""COMPUTED_VALUE"""),"ECS")</f>
        <v>ECS</v>
      </c>
    </row>
    <row r="13511">
      <c r="A13511" t="str">
        <f>IFERROR(__xludf.DUMMYFUNCTION("""COMPUTED_VALUE"""),"MB074D12")</f>
        <v>MB074D12</v>
      </c>
      <c r="B13511" s="226" t="str">
        <f>IFERROR(__xludf.DUMMYFUNCTION("""COMPUTED_VALUE"""),"8717323025406")</f>
        <v>8717323025406</v>
      </c>
      <c r="C13511" t="str">
        <f>IFERROR(__xludf.DUMMYFUNCTION("""COMPUTED_VALUE"""),"ECS")</f>
        <v>ECS</v>
      </c>
    </row>
    <row r="13512">
      <c r="A13512" t="str">
        <f>IFERROR(__xludf.DUMMYFUNCTION("""COMPUTED_VALUE"""),"MB083F1")</f>
        <v>MB083F1</v>
      </c>
      <c r="B13512" s="226" t="str">
        <f>IFERROR(__xludf.DUMMYFUNCTION("""COMPUTED_VALUE"""),"8717323061619")</f>
        <v>8717323061619</v>
      </c>
      <c r="C13512" t="str">
        <f>IFERROR(__xludf.DUMMYFUNCTION("""COMPUTED_VALUE"""),"ECS")</f>
        <v>ECS</v>
      </c>
    </row>
    <row r="13513">
      <c r="A13513" t="str">
        <f>IFERROR(__xludf.DUMMYFUNCTION("""COMPUTED_VALUE"""),"MB083H1")</f>
        <v>MB083H1</v>
      </c>
      <c r="B13513" s="226" t="str">
        <f>IFERROR(__xludf.DUMMYFUNCTION("""COMPUTED_VALUE"""),"8717323061626")</f>
        <v>8717323061626</v>
      </c>
      <c r="C13513" t="str">
        <f>IFERROR(__xludf.DUMMYFUNCTION("""COMPUTED_VALUE"""),"ECS")</f>
        <v>ECS</v>
      </c>
    </row>
    <row r="13514">
      <c r="A13514" t="str">
        <f>IFERROR(__xludf.DUMMYFUNCTION("""COMPUTED_VALUE"""),"MB102B1")</f>
        <v>MB102B1</v>
      </c>
      <c r="B13514" s="226" t="str">
        <f>IFERROR(__xludf.DUMMYFUNCTION("""COMPUTED_VALUE"""),"8717323070000")</f>
        <v>8717323070000</v>
      </c>
      <c r="C13514" t="str">
        <f>IFERROR(__xludf.DUMMYFUNCTION("""COMPUTED_VALUE"""),"ECS")</f>
        <v>ECS</v>
      </c>
    </row>
    <row r="13515">
      <c r="A13515" t="str">
        <f>IFERROR(__xludf.DUMMYFUNCTION("""COMPUTED_VALUE"""),"MB102D1")</f>
        <v>MB102D1</v>
      </c>
      <c r="B13515" s="226" t="str">
        <f>IFERROR(__xludf.DUMMYFUNCTION("""COMPUTED_VALUE"""),"8717323070017")</f>
        <v>8717323070017</v>
      </c>
      <c r="C13515" t="str">
        <f>IFERROR(__xludf.DUMMYFUNCTION("""COMPUTED_VALUE"""),"ECS")</f>
        <v>ECS</v>
      </c>
    </row>
    <row r="13516">
      <c r="A13516" t="str">
        <f>IFERROR(__xludf.DUMMYFUNCTION("""COMPUTED_VALUE"""),"MB102H1")</f>
        <v>MB102H1</v>
      </c>
      <c r="B13516" s="226" t="str">
        <f>IFERROR(__xludf.DUMMYFUNCTION("""COMPUTED_VALUE"""),"8717323070024")</f>
        <v>8717323070024</v>
      </c>
      <c r="C13516" t="str">
        <f>IFERROR(__xludf.DUMMYFUNCTION("""COMPUTED_VALUE"""),"ECS")</f>
        <v>ECS</v>
      </c>
    </row>
    <row r="13517">
      <c r="A13517" t="str">
        <f>IFERROR(__xludf.DUMMYFUNCTION("""COMPUTED_VALUE"""),"MB076B1")</f>
        <v>MB076B1</v>
      </c>
      <c r="B13517" s="226" t="str">
        <f>IFERROR(__xludf.DUMMYFUNCTION("""COMPUTED_VALUE"""),"8717323025758")</f>
        <v>8717323025758</v>
      </c>
      <c r="C13517" t="str">
        <f>IFERROR(__xludf.DUMMYFUNCTION("""COMPUTED_VALUE"""),"ECS")</f>
        <v>ECS</v>
      </c>
    </row>
    <row r="13518">
      <c r="A13518" t="str">
        <f>IFERROR(__xludf.DUMMYFUNCTION("""COMPUTED_VALUE"""),"MB076D1")</f>
        <v>MB076D1</v>
      </c>
      <c r="B13518" s="226" t="str">
        <f>IFERROR(__xludf.DUMMYFUNCTION("""COMPUTED_VALUE"""),"8717323025765")</f>
        <v>8717323025765</v>
      </c>
      <c r="C13518" t="str">
        <f>IFERROR(__xludf.DUMMYFUNCTION("""COMPUTED_VALUE"""),"ECS")</f>
        <v>ECS</v>
      </c>
    </row>
    <row r="13519">
      <c r="A13519" t="str">
        <f>IFERROR(__xludf.DUMMYFUNCTION("""COMPUTED_VALUE"""),"MB076H1")</f>
        <v>MB076H1</v>
      </c>
      <c r="B13519" s="226" t="str">
        <f>IFERROR(__xludf.DUMMYFUNCTION("""COMPUTED_VALUE"""),"8717323049808")</f>
        <v>8717323049808</v>
      </c>
      <c r="C13519" t="str">
        <f>IFERROR(__xludf.DUMMYFUNCTION("""COMPUTED_VALUE"""),"ECS")</f>
        <v>ECS</v>
      </c>
    </row>
    <row r="13520">
      <c r="A13520" t="str">
        <f>IFERROR(__xludf.DUMMYFUNCTION("""COMPUTED_VALUE"""),"MB076B1")</f>
        <v>MB076B1</v>
      </c>
      <c r="B13520" s="226" t="str">
        <f>IFERROR(__xludf.DUMMYFUNCTION("""COMPUTED_VALUE"""),"8717323025758")</f>
        <v>8717323025758</v>
      </c>
      <c r="C13520" t="str">
        <f>IFERROR(__xludf.DUMMYFUNCTION("""COMPUTED_VALUE"""),"ECS")</f>
        <v>ECS</v>
      </c>
    </row>
    <row r="13521">
      <c r="A13521" t="str">
        <f>IFERROR(__xludf.DUMMYFUNCTION("""COMPUTED_VALUE"""),"MB076D1")</f>
        <v>MB076D1</v>
      </c>
      <c r="B13521" s="226" t="str">
        <f>IFERROR(__xludf.DUMMYFUNCTION("""COMPUTED_VALUE"""),"8717323025765")</f>
        <v>8717323025765</v>
      </c>
      <c r="C13521" t="str">
        <f>IFERROR(__xludf.DUMMYFUNCTION("""COMPUTED_VALUE"""),"ECS")</f>
        <v>ECS</v>
      </c>
    </row>
    <row r="13522">
      <c r="A13522" t="str">
        <f>IFERROR(__xludf.DUMMYFUNCTION("""COMPUTED_VALUE"""),"MB076H1")</f>
        <v>MB076H1</v>
      </c>
      <c r="B13522" s="226" t="str">
        <f>IFERROR(__xludf.DUMMYFUNCTION("""COMPUTED_VALUE"""),"8717323049808")</f>
        <v>8717323049808</v>
      </c>
      <c r="C13522" t="str">
        <f>IFERROR(__xludf.DUMMYFUNCTION("""COMPUTED_VALUE"""),"ECS")</f>
        <v>ECS</v>
      </c>
    </row>
    <row r="13523">
      <c r="A13523" t="str">
        <f>IFERROR(__xludf.DUMMYFUNCTION("""COMPUTED_VALUE"""),"MB083F1")</f>
        <v>MB083F1</v>
      </c>
      <c r="B13523" s="226" t="str">
        <f>IFERROR(__xludf.DUMMYFUNCTION("""COMPUTED_VALUE"""),"8717323061619")</f>
        <v>8717323061619</v>
      </c>
      <c r="C13523" t="str">
        <f>IFERROR(__xludf.DUMMYFUNCTION("""COMPUTED_VALUE"""),"ECS")</f>
        <v>ECS</v>
      </c>
    </row>
    <row r="13524">
      <c r="A13524" t="str">
        <f>IFERROR(__xludf.DUMMYFUNCTION("""COMPUTED_VALUE"""),"MB083H1")</f>
        <v>MB083H1</v>
      </c>
      <c r="B13524" s="226" t="str">
        <f>IFERROR(__xludf.DUMMYFUNCTION("""COMPUTED_VALUE"""),"8717323061626")</f>
        <v>8717323061626</v>
      </c>
      <c r="C13524" t="str">
        <f>IFERROR(__xludf.DUMMYFUNCTION("""COMPUTED_VALUE"""),"ECS")</f>
        <v>ECS</v>
      </c>
    </row>
    <row r="13525">
      <c r="A13525" t="str">
        <f>IFERROR(__xludf.DUMMYFUNCTION("""COMPUTED_VALUE"""),"MB076B1")</f>
        <v>MB076B1</v>
      </c>
      <c r="B13525" s="226" t="str">
        <f>IFERROR(__xludf.DUMMYFUNCTION("""COMPUTED_VALUE"""),"8717323025758")</f>
        <v>8717323025758</v>
      </c>
      <c r="C13525" t="str">
        <f>IFERROR(__xludf.DUMMYFUNCTION("""COMPUTED_VALUE"""),"ECS")</f>
        <v>ECS</v>
      </c>
    </row>
    <row r="13526">
      <c r="A13526" t="str">
        <f>IFERROR(__xludf.DUMMYFUNCTION("""COMPUTED_VALUE"""),"MB076D1")</f>
        <v>MB076D1</v>
      </c>
      <c r="B13526" s="226" t="str">
        <f>IFERROR(__xludf.DUMMYFUNCTION("""COMPUTED_VALUE"""),"8717323025765")</f>
        <v>8717323025765</v>
      </c>
      <c r="C13526" t="str">
        <f>IFERROR(__xludf.DUMMYFUNCTION("""COMPUTED_VALUE"""),"ECS")</f>
        <v>ECS</v>
      </c>
    </row>
    <row r="13527">
      <c r="A13527" t="str">
        <f>IFERROR(__xludf.DUMMYFUNCTION("""COMPUTED_VALUE"""),"MB076H1")</f>
        <v>MB076H1</v>
      </c>
      <c r="B13527" s="226" t="str">
        <f>IFERROR(__xludf.DUMMYFUNCTION("""COMPUTED_VALUE"""),"8717323049808")</f>
        <v>8717323049808</v>
      </c>
      <c r="C13527" t="str">
        <f>IFERROR(__xludf.DUMMYFUNCTION("""COMPUTED_VALUE"""),"ECS")</f>
        <v>ECS</v>
      </c>
    </row>
    <row r="13528">
      <c r="A13528" t="str">
        <f>IFERROR(__xludf.DUMMYFUNCTION("""COMPUTED_VALUE"""),"MB083F1")</f>
        <v>MB083F1</v>
      </c>
      <c r="B13528" s="226" t="str">
        <f>IFERROR(__xludf.DUMMYFUNCTION("""COMPUTED_VALUE"""),"8717323061619")</f>
        <v>8717323061619</v>
      </c>
      <c r="C13528" t="str">
        <f>IFERROR(__xludf.DUMMYFUNCTION("""COMPUTED_VALUE"""),"ECS")</f>
        <v>ECS</v>
      </c>
    </row>
    <row r="13529">
      <c r="A13529" t="str">
        <f>IFERROR(__xludf.DUMMYFUNCTION("""COMPUTED_VALUE"""),"MB083H1")</f>
        <v>MB083H1</v>
      </c>
      <c r="B13529" s="226" t="str">
        <f>IFERROR(__xludf.DUMMYFUNCTION("""COMPUTED_VALUE"""),"8717323061626")</f>
        <v>8717323061626</v>
      </c>
      <c r="C13529" t="str">
        <f>IFERROR(__xludf.DUMMYFUNCTION("""COMPUTED_VALUE"""),"ECS")</f>
        <v>ECS</v>
      </c>
    </row>
    <row r="13530">
      <c r="A13530" t="str">
        <f>IFERROR(__xludf.DUMMYFUNCTION("""COMPUTED_VALUE"""),"MB026FL")</f>
        <v>MB026FL</v>
      </c>
      <c r="B13530" s="226" t="str">
        <f>IFERROR(__xludf.DUMMYFUNCTION("""COMPUTED_VALUE"""),"8717323003671")</f>
        <v>8717323003671</v>
      </c>
      <c r="C13530" t="str">
        <f>IFERROR(__xludf.DUMMYFUNCTION("""COMPUTED_VALUE"""),"ECS")</f>
        <v>ECS</v>
      </c>
    </row>
    <row r="13531">
      <c r="A13531" t="str">
        <f>IFERROR(__xludf.DUMMYFUNCTION("""COMPUTED_VALUE"""),"MB926KL")</f>
        <v>MB926KL</v>
      </c>
      <c r="B13531" s="226" t="str">
        <f>IFERROR(__xludf.DUMMYFUNCTION("""COMPUTED_VALUE"""),"8717323003886")</f>
        <v>8717323003886</v>
      </c>
      <c r="C13531" t="str">
        <f>IFERROR(__xludf.DUMMYFUNCTION("""COMPUTED_VALUE"""),"ECS")</f>
        <v>ECS</v>
      </c>
    </row>
    <row r="13532">
      <c r="A13532" t="str">
        <f>IFERROR(__xludf.DUMMYFUNCTION("""COMPUTED_VALUE"""),"MB074B1")</f>
        <v>MB074B1</v>
      </c>
      <c r="B13532" s="226" t="str">
        <f>IFERROR(__xludf.DUMMYFUNCTION("""COMPUTED_VALUE"""),"8717323025734")</f>
        <v>8717323025734</v>
      </c>
      <c r="C13532" t="str">
        <f>IFERROR(__xludf.DUMMYFUNCTION("""COMPUTED_VALUE"""),"ECS")</f>
        <v>ECS</v>
      </c>
    </row>
    <row r="13533">
      <c r="A13533" t="str">
        <f>IFERROR(__xludf.DUMMYFUNCTION("""COMPUTED_VALUE"""),"MB074D12")</f>
        <v>MB074D12</v>
      </c>
      <c r="B13533" s="226" t="str">
        <f>IFERROR(__xludf.DUMMYFUNCTION("""COMPUTED_VALUE"""),"8717323025406")</f>
        <v>8717323025406</v>
      </c>
      <c r="C13533" t="str">
        <f>IFERROR(__xludf.DUMMYFUNCTION("""COMPUTED_VALUE"""),"ECS")</f>
        <v>ECS</v>
      </c>
    </row>
    <row r="13534">
      <c r="A13534" t="str">
        <f>IFERROR(__xludf.DUMMYFUNCTION("""COMPUTED_VALUE"""),"MB076B1")</f>
        <v>MB076B1</v>
      </c>
      <c r="B13534" s="226" t="str">
        <f>IFERROR(__xludf.DUMMYFUNCTION("""COMPUTED_VALUE"""),"8717323025758")</f>
        <v>8717323025758</v>
      </c>
      <c r="C13534" t="str">
        <f>IFERROR(__xludf.DUMMYFUNCTION("""COMPUTED_VALUE"""),"ECS")</f>
        <v>ECS</v>
      </c>
    </row>
    <row r="13535">
      <c r="A13535" t="str">
        <f>IFERROR(__xludf.DUMMYFUNCTION("""COMPUTED_VALUE"""),"MB076D1")</f>
        <v>MB076D1</v>
      </c>
      <c r="B13535" s="226" t="str">
        <f>IFERROR(__xludf.DUMMYFUNCTION("""COMPUTED_VALUE"""),"8717323025765")</f>
        <v>8717323025765</v>
      </c>
      <c r="C13535" t="str">
        <f>IFERROR(__xludf.DUMMYFUNCTION("""COMPUTED_VALUE"""),"ECS")</f>
        <v>ECS</v>
      </c>
    </row>
    <row r="13536">
      <c r="A13536" t="str">
        <f>IFERROR(__xludf.DUMMYFUNCTION("""COMPUTED_VALUE"""),"MB076H1")</f>
        <v>MB076H1</v>
      </c>
      <c r="B13536" s="226" t="str">
        <f>IFERROR(__xludf.DUMMYFUNCTION("""COMPUTED_VALUE"""),"8717323049808")</f>
        <v>8717323049808</v>
      </c>
      <c r="C13536" t="str">
        <f>IFERROR(__xludf.DUMMYFUNCTION("""COMPUTED_VALUE"""),"ECS")</f>
        <v>ECS</v>
      </c>
    </row>
    <row r="13537">
      <c r="A13537" t="str">
        <f>IFERROR(__xludf.DUMMYFUNCTION("""COMPUTED_VALUE"""),"MB083BX")</f>
        <v>MB083BX</v>
      </c>
      <c r="B13537" s="226" t="str">
        <f>IFERROR(__xludf.DUMMYFUNCTION("""COMPUTED_VALUE"""),"8717323057490")</f>
        <v>8717323057490</v>
      </c>
      <c r="C13537" t="str">
        <f>IFERROR(__xludf.DUMMYFUNCTION("""COMPUTED_VALUE"""),"ECS")</f>
        <v>ECS</v>
      </c>
    </row>
    <row r="13538">
      <c r="A13538" t="str">
        <f>IFERROR(__xludf.DUMMYFUNCTION("""COMPUTED_VALUE"""),"MB083DX")</f>
        <v>MB083DX</v>
      </c>
      <c r="B13538" s="226" t="str">
        <f>IFERROR(__xludf.DUMMYFUNCTION("""COMPUTED_VALUE"""),"8717323057506")</f>
        <v>8717323057506</v>
      </c>
      <c r="C13538" t="str">
        <f>IFERROR(__xludf.DUMMYFUNCTION("""COMPUTED_VALUE"""),"ECS")</f>
        <v>ECS</v>
      </c>
    </row>
    <row r="13539">
      <c r="A13539" t="str">
        <f>IFERROR(__xludf.DUMMYFUNCTION("""COMPUTED_VALUE"""),"MB083F1")</f>
        <v>MB083F1</v>
      </c>
      <c r="B13539" s="226" t="str">
        <f>IFERROR(__xludf.DUMMYFUNCTION("""COMPUTED_VALUE"""),"8717323061619")</f>
        <v>8717323061619</v>
      </c>
      <c r="C13539" t="str">
        <f>IFERROR(__xludf.DUMMYFUNCTION("""COMPUTED_VALUE"""),"ECS")</f>
        <v>ECS</v>
      </c>
    </row>
    <row r="13540">
      <c r="A13540" t="str">
        <f>IFERROR(__xludf.DUMMYFUNCTION("""COMPUTED_VALUE"""),"MB083H1")</f>
        <v>MB083H1</v>
      </c>
      <c r="B13540" s="226" t="str">
        <f>IFERROR(__xludf.DUMMYFUNCTION("""COMPUTED_VALUE"""),"8717323061626")</f>
        <v>8717323061626</v>
      </c>
      <c r="C13540" t="str">
        <f>IFERROR(__xludf.DUMMYFUNCTION("""COMPUTED_VALUE"""),"ECS")</f>
        <v>ECS</v>
      </c>
    </row>
    <row r="13541">
      <c r="A13541" t="str">
        <f>IFERROR(__xludf.DUMMYFUNCTION("""COMPUTED_VALUE"""),"MB083HX")</f>
        <v>MB083HX</v>
      </c>
      <c r="B13541" s="226" t="str">
        <f>IFERROR(__xludf.DUMMYFUNCTION("""COMPUTED_VALUE"""),"8717323057780")</f>
        <v>8717323057780</v>
      </c>
      <c r="C13541" t="str">
        <f>IFERROR(__xludf.DUMMYFUNCTION("""COMPUTED_VALUE"""),"ECS")</f>
        <v>ECS</v>
      </c>
    </row>
    <row r="13542">
      <c r="A13542" t="str">
        <f>IFERROR(__xludf.DUMMYFUNCTION("""COMPUTED_VALUE"""),"MB102B1")</f>
        <v>MB102B1</v>
      </c>
      <c r="B13542" s="226" t="str">
        <f>IFERROR(__xludf.DUMMYFUNCTION("""COMPUTED_VALUE"""),"8717323070000")</f>
        <v>8717323070000</v>
      </c>
      <c r="C13542" t="str">
        <f>IFERROR(__xludf.DUMMYFUNCTION("""COMPUTED_VALUE"""),"ECS")</f>
        <v>ECS</v>
      </c>
    </row>
    <row r="13543">
      <c r="A13543" t="str">
        <f>IFERROR(__xludf.DUMMYFUNCTION("""COMPUTED_VALUE"""),"MB102D1")</f>
        <v>MB102D1</v>
      </c>
      <c r="B13543" s="226" t="str">
        <f>IFERROR(__xludf.DUMMYFUNCTION("""COMPUTED_VALUE"""),"8717323070017")</f>
        <v>8717323070017</v>
      </c>
      <c r="C13543" t="str">
        <f>IFERROR(__xludf.DUMMYFUNCTION("""COMPUTED_VALUE"""),"ECS")</f>
        <v>ECS</v>
      </c>
    </row>
    <row r="13544">
      <c r="A13544" t="str">
        <f>IFERROR(__xludf.DUMMYFUNCTION("""COMPUTED_VALUE"""),"MB102H1")</f>
        <v>MB102H1</v>
      </c>
      <c r="B13544" s="226" t="str">
        <f>IFERROR(__xludf.DUMMYFUNCTION("""COMPUTED_VALUE"""),"8717323070024")</f>
        <v>8717323070024</v>
      </c>
      <c r="C13544" t="str">
        <f>IFERROR(__xludf.DUMMYFUNCTION("""COMPUTED_VALUE"""),"ECS")</f>
        <v>ECS</v>
      </c>
    </row>
    <row r="13545">
      <c r="A13545" t="str">
        <f>IFERROR(__xludf.DUMMYFUNCTION("""COMPUTED_VALUE"""),"MB026FL")</f>
        <v>MB026FL</v>
      </c>
      <c r="B13545" s="226" t="str">
        <f>IFERROR(__xludf.DUMMYFUNCTION("""COMPUTED_VALUE"""),"8717323003671")</f>
        <v>8717323003671</v>
      </c>
      <c r="C13545" t="str">
        <f>IFERROR(__xludf.DUMMYFUNCTION("""COMPUTED_VALUE"""),"ECS")</f>
        <v>ECS</v>
      </c>
    </row>
    <row r="13546">
      <c r="A13546" t="str">
        <f>IFERROR(__xludf.DUMMYFUNCTION("""COMPUTED_VALUE"""),"MB926KL")</f>
        <v>MB926KL</v>
      </c>
      <c r="B13546" s="226" t="str">
        <f>IFERROR(__xludf.DUMMYFUNCTION("""COMPUTED_VALUE"""),"8717323003886")</f>
        <v>8717323003886</v>
      </c>
      <c r="C13546" t="str">
        <f>IFERROR(__xludf.DUMMYFUNCTION("""COMPUTED_VALUE"""),"ECS")</f>
        <v>ECS</v>
      </c>
    </row>
    <row r="13547">
      <c r="A13547" t="str">
        <f>IFERROR(__xludf.DUMMYFUNCTION("""COMPUTED_VALUE"""),"MB074B1")</f>
        <v>MB074B1</v>
      </c>
      <c r="B13547" s="226" t="str">
        <f>IFERROR(__xludf.DUMMYFUNCTION("""COMPUTED_VALUE"""),"8717323025734")</f>
        <v>8717323025734</v>
      </c>
      <c r="C13547" t="str">
        <f>IFERROR(__xludf.DUMMYFUNCTION("""COMPUTED_VALUE"""),"ECS")</f>
        <v>ECS</v>
      </c>
    </row>
    <row r="13548">
      <c r="A13548" t="str">
        <f>IFERROR(__xludf.DUMMYFUNCTION("""COMPUTED_VALUE"""),"MB074D12")</f>
        <v>MB074D12</v>
      </c>
      <c r="B13548" s="226" t="str">
        <f>IFERROR(__xludf.DUMMYFUNCTION("""COMPUTED_VALUE"""),"8717323025406")</f>
        <v>8717323025406</v>
      </c>
      <c r="C13548" t="str">
        <f>IFERROR(__xludf.DUMMYFUNCTION("""COMPUTED_VALUE"""),"ECS")</f>
        <v>ECS</v>
      </c>
    </row>
    <row r="13549">
      <c r="A13549" t="str">
        <f>IFERROR(__xludf.DUMMYFUNCTION("""COMPUTED_VALUE"""),"MB076B1")</f>
        <v>MB076B1</v>
      </c>
      <c r="B13549" s="226" t="str">
        <f>IFERROR(__xludf.DUMMYFUNCTION("""COMPUTED_VALUE"""),"8717323025758")</f>
        <v>8717323025758</v>
      </c>
      <c r="C13549" t="str">
        <f>IFERROR(__xludf.DUMMYFUNCTION("""COMPUTED_VALUE"""),"ECS")</f>
        <v>ECS</v>
      </c>
    </row>
    <row r="13550">
      <c r="A13550" t="str">
        <f>IFERROR(__xludf.DUMMYFUNCTION("""COMPUTED_VALUE"""),"MB076D1")</f>
        <v>MB076D1</v>
      </c>
      <c r="B13550" s="226" t="str">
        <f>IFERROR(__xludf.DUMMYFUNCTION("""COMPUTED_VALUE"""),"8717323025765")</f>
        <v>8717323025765</v>
      </c>
      <c r="C13550" t="str">
        <f>IFERROR(__xludf.DUMMYFUNCTION("""COMPUTED_VALUE"""),"ECS")</f>
        <v>ECS</v>
      </c>
    </row>
    <row r="13551">
      <c r="A13551" t="str">
        <f>IFERROR(__xludf.DUMMYFUNCTION("""COMPUTED_VALUE"""),"MB076H1")</f>
        <v>MB076H1</v>
      </c>
      <c r="B13551" s="226" t="str">
        <f>IFERROR(__xludf.DUMMYFUNCTION("""COMPUTED_VALUE"""),"8717323049808")</f>
        <v>8717323049808</v>
      </c>
      <c r="C13551" t="str">
        <f>IFERROR(__xludf.DUMMYFUNCTION("""COMPUTED_VALUE"""),"ECS")</f>
        <v>ECS</v>
      </c>
    </row>
    <row r="13552">
      <c r="A13552" t="str">
        <f>IFERROR(__xludf.DUMMYFUNCTION("""COMPUTED_VALUE"""),"MB083BX")</f>
        <v>MB083BX</v>
      </c>
      <c r="B13552" s="226" t="str">
        <f>IFERROR(__xludf.DUMMYFUNCTION("""COMPUTED_VALUE"""),"8717323057490")</f>
        <v>8717323057490</v>
      </c>
      <c r="C13552" t="str">
        <f>IFERROR(__xludf.DUMMYFUNCTION("""COMPUTED_VALUE"""),"ECS")</f>
        <v>ECS</v>
      </c>
    </row>
    <row r="13553">
      <c r="A13553" t="str">
        <f>IFERROR(__xludf.DUMMYFUNCTION("""COMPUTED_VALUE"""),"MB083DX")</f>
        <v>MB083DX</v>
      </c>
      <c r="B13553" s="226" t="str">
        <f>IFERROR(__xludf.DUMMYFUNCTION("""COMPUTED_VALUE"""),"8717323057506")</f>
        <v>8717323057506</v>
      </c>
      <c r="C13553" t="str">
        <f>IFERROR(__xludf.DUMMYFUNCTION("""COMPUTED_VALUE"""),"ECS")</f>
        <v>ECS</v>
      </c>
    </row>
    <row r="13554">
      <c r="A13554" t="str">
        <f>IFERROR(__xludf.DUMMYFUNCTION("""COMPUTED_VALUE"""),"MB083F1")</f>
        <v>MB083F1</v>
      </c>
      <c r="B13554" s="226" t="str">
        <f>IFERROR(__xludf.DUMMYFUNCTION("""COMPUTED_VALUE"""),"8717323061619")</f>
        <v>8717323061619</v>
      </c>
      <c r="C13554" t="str">
        <f>IFERROR(__xludf.DUMMYFUNCTION("""COMPUTED_VALUE"""),"ECS")</f>
        <v>ECS</v>
      </c>
    </row>
    <row r="13555">
      <c r="A13555" t="str">
        <f>IFERROR(__xludf.DUMMYFUNCTION("""COMPUTED_VALUE"""),"MB083H1")</f>
        <v>MB083H1</v>
      </c>
      <c r="B13555" s="226" t="str">
        <f>IFERROR(__xludf.DUMMYFUNCTION("""COMPUTED_VALUE"""),"8717323061626")</f>
        <v>8717323061626</v>
      </c>
      <c r="C13555" t="str">
        <f>IFERROR(__xludf.DUMMYFUNCTION("""COMPUTED_VALUE"""),"ECS")</f>
        <v>ECS</v>
      </c>
    </row>
    <row r="13556">
      <c r="A13556" t="str">
        <f>IFERROR(__xludf.DUMMYFUNCTION("""COMPUTED_VALUE"""),"MB083HX")</f>
        <v>MB083HX</v>
      </c>
      <c r="B13556" s="226" t="str">
        <f>IFERROR(__xludf.DUMMYFUNCTION("""COMPUTED_VALUE"""),"8717323057780")</f>
        <v>8717323057780</v>
      </c>
      <c r="C13556" t="str">
        <f>IFERROR(__xludf.DUMMYFUNCTION("""COMPUTED_VALUE"""),"ECS")</f>
        <v>ECS</v>
      </c>
    </row>
    <row r="13557">
      <c r="A13557" t="str">
        <f>IFERROR(__xludf.DUMMYFUNCTION("""COMPUTED_VALUE"""),"MB102B1")</f>
        <v>MB102B1</v>
      </c>
      <c r="B13557" s="226" t="str">
        <f>IFERROR(__xludf.DUMMYFUNCTION("""COMPUTED_VALUE"""),"8717323070000")</f>
        <v>8717323070000</v>
      </c>
      <c r="C13557" t="str">
        <f>IFERROR(__xludf.DUMMYFUNCTION("""COMPUTED_VALUE"""),"ECS")</f>
        <v>ECS</v>
      </c>
    </row>
    <row r="13558">
      <c r="A13558" t="str">
        <f>IFERROR(__xludf.DUMMYFUNCTION("""COMPUTED_VALUE"""),"MB102D1")</f>
        <v>MB102D1</v>
      </c>
      <c r="B13558" s="226" t="str">
        <f>IFERROR(__xludf.DUMMYFUNCTION("""COMPUTED_VALUE"""),"8717323070017")</f>
        <v>8717323070017</v>
      </c>
      <c r="C13558" t="str">
        <f>IFERROR(__xludf.DUMMYFUNCTION("""COMPUTED_VALUE"""),"ECS")</f>
        <v>ECS</v>
      </c>
    </row>
    <row r="13559">
      <c r="A13559" t="str">
        <f>IFERROR(__xludf.DUMMYFUNCTION("""COMPUTED_VALUE"""),"MB102H1")</f>
        <v>MB102H1</v>
      </c>
      <c r="B13559" s="226" t="str">
        <f>IFERROR(__xludf.DUMMYFUNCTION("""COMPUTED_VALUE"""),"8717323070024")</f>
        <v>8717323070024</v>
      </c>
      <c r="C13559" t="str">
        <f>IFERROR(__xludf.DUMMYFUNCTION("""COMPUTED_VALUE"""),"ECS")</f>
        <v>ECS</v>
      </c>
    </row>
    <row r="13560">
      <c r="A13560" t="str">
        <f>IFERROR(__xludf.DUMMYFUNCTION("""COMPUTED_VALUE"""),"MB083F1")</f>
        <v>MB083F1</v>
      </c>
      <c r="B13560" s="226" t="str">
        <f>IFERROR(__xludf.DUMMYFUNCTION("""COMPUTED_VALUE"""),"8717323061619")</f>
        <v>8717323061619</v>
      </c>
      <c r="C13560" t="str">
        <f>IFERROR(__xludf.DUMMYFUNCTION("""COMPUTED_VALUE"""),"ECS")</f>
        <v>ECS</v>
      </c>
    </row>
    <row r="13561">
      <c r="A13561" t="str">
        <f>IFERROR(__xludf.DUMMYFUNCTION("""COMPUTED_VALUE"""),"MB083H1")</f>
        <v>MB083H1</v>
      </c>
      <c r="B13561" s="226" t="str">
        <f>IFERROR(__xludf.DUMMYFUNCTION("""COMPUTED_VALUE"""),"8717323061626")</f>
        <v>8717323061626</v>
      </c>
      <c r="C13561" t="str">
        <f>IFERROR(__xludf.DUMMYFUNCTION("""COMPUTED_VALUE"""),"ECS")</f>
        <v>ECS</v>
      </c>
    </row>
    <row r="13562">
      <c r="A13562" t="str">
        <f>IFERROR(__xludf.DUMMYFUNCTION("""COMPUTED_VALUE"""),"MB102B1")</f>
        <v>MB102B1</v>
      </c>
      <c r="B13562" s="226" t="str">
        <f>IFERROR(__xludf.DUMMYFUNCTION("""COMPUTED_VALUE"""),"8717323070000")</f>
        <v>8717323070000</v>
      </c>
      <c r="C13562" t="str">
        <f>IFERROR(__xludf.DUMMYFUNCTION("""COMPUTED_VALUE"""),"ECS")</f>
        <v>ECS</v>
      </c>
    </row>
    <row r="13563">
      <c r="A13563" t="str">
        <f>IFERROR(__xludf.DUMMYFUNCTION("""COMPUTED_VALUE"""),"MB102D1")</f>
        <v>MB102D1</v>
      </c>
      <c r="B13563" s="226" t="str">
        <f>IFERROR(__xludf.DUMMYFUNCTION("""COMPUTED_VALUE"""),"8717323070017")</f>
        <v>8717323070017</v>
      </c>
      <c r="C13563" t="str">
        <f>IFERROR(__xludf.DUMMYFUNCTION("""COMPUTED_VALUE"""),"ECS")</f>
        <v>ECS</v>
      </c>
    </row>
    <row r="13564">
      <c r="A13564" t="str">
        <f>IFERROR(__xludf.DUMMYFUNCTION("""COMPUTED_VALUE"""),"MB102H1")</f>
        <v>MB102H1</v>
      </c>
      <c r="B13564" s="226" t="str">
        <f>IFERROR(__xludf.DUMMYFUNCTION("""COMPUTED_VALUE"""),"8717323070024")</f>
        <v>8717323070024</v>
      </c>
      <c r="C13564" t="str">
        <f>IFERROR(__xludf.DUMMYFUNCTION("""COMPUTED_VALUE"""),"ECS")</f>
        <v>ECS</v>
      </c>
    </row>
    <row r="13565">
      <c r="A13565" t="str">
        <f>IFERROR(__xludf.DUMMYFUNCTION("""COMPUTED_VALUE"""),"MB075BH")</f>
        <v>MB075BH</v>
      </c>
      <c r="B13565" s="226" t="str">
        <f>IFERROR(__xludf.DUMMYFUNCTION("""COMPUTED_VALUE"""),"8717323025451")</f>
        <v>8717323025451</v>
      </c>
      <c r="C13565" t="str">
        <f>IFERROR(__xludf.DUMMYFUNCTION("""COMPUTED_VALUE"""),"ECS")</f>
        <v>ECS</v>
      </c>
    </row>
    <row r="13566">
      <c r="A13566" t="str">
        <f>IFERROR(__xludf.DUMMYFUNCTION("""COMPUTED_VALUE"""),"MB075DH")</f>
        <v>MB075DH</v>
      </c>
      <c r="B13566" s="226" t="str">
        <f>IFERROR(__xludf.DUMMYFUNCTION("""COMPUTED_VALUE"""),"8717323024287")</f>
        <v>8717323024287</v>
      </c>
      <c r="C13566" t="str">
        <f>IFERROR(__xludf.DUMMYFUNCTION("""COMPUTED_VALUE"""),"ECS")</f>
        <v>ECS</v>
      </c>
    </row>
    <row r="13567">
      <c r="A13567" t="str">
        <f>IFERROR(__xludf.DUMMYFUNCTION("""COMPUTED_VALUE"""),"MB077B1")</f>
        <v>MB077B1</v>
      </c>
      <c r="B13567" s="226" t="str">
        <f>IFERROR(__xludf.DUMMYFUNCTION("""COMPUTED_VALUE"""),"8717323031445")</f>
        <v>8717323031445</v>
      </c>
      <c r="C13567" t="str">
        <f>IFERROR(__xludf.DUMMYFUNCTION("""COMPUTED_VALUE"""),"ECS")</f>
        <v>ECS</v>
      </c>
    </row>
    <row r="13568">
      <c r="A13568" t="str">
        <f>IFERROR(__xludf.DUMMYFUNCTION("""COMPUTED_VALUE"""),"MB077D1")</f>
        <v>MB077D1</v>
      </c>
      <c r="B13568" s="226" t="str">
        <f>IFERROR(__xludf.DUMMYFUNCTION("""COMPUTED_VALUE"""),"8717323028605")</f>
        <v>8717323028605</v>
      </c>
      <c r="C13568" t="str">
        <f>IFERROR(__xludf.DUMMYFUNCTION("""COMPUTED_VALUE"""),"ECS")</f>
        <v>ECS</v>
      </c>
    </row>
    <row r="13569">
      <c r="A13569" t="str">
        <f>IFERROR(__xludf.DUMMYFUNCTION("""COMPUTED_VALUE"""),"MB082B1")</f>
        <v>MB082B1</v>
      </c>
      <c r="B13569" s="226" t="str">
        <f>IFERROR(__xludf.DUMMYFUNCTION("""COMPUTED_VALUE"""),"8717323055632")</f>
        <v>8717323055632</v>
      </c>
      <c r="C13569" t="str">
        <f>IFERROR(__xludf.DUMMYFUNCTION("""COMPUTED_VALUE"""),"ECS")</f>
        <v>ECS</v>
      </c>
    </row>
    <row r="13570">
      <c r="A13570" t="str">
        <f>IFERROR(__xludf.DUMMYFUNCTION("""COMPUTED_VALUE"""),"MB082D1")</f>
        <v>MB082D1</v>
      </c>
      <c r="B13570" s="226" t="str">
        <f>IFERROR(__xludf.DUMMYFUNCTION("""COMPUTED_VALUE"""),"8717323055649")</f>
        <v>8717323055649</v>
      </c>
      <c r="C13570" t="str">
        <f>IFERROR(__xludf.DUMMYFUNCTION("""COMPUTED_VALUE"""),"ECS")</f>
        <v>ECS</v>
      </c>
    </row>
    <row r="13571">
      <c r="A13571" t="str">
        <f>IFERROR(__xludf.DUMMYFUNCTION("""COMPUTED_VALUE"""),"MB099F1")</f>
        <v>MB099F1</v>
      </c>
      <c r="B13571" s="226" t="str">
        <f>IFERROR(__xludf.DUMMYFUNCTION("""COMPUTED_VALUE"""),"8717323067956")</f>
        <v>8717323067956</v>
      </c>
      <c r="C13571" t="str">
        <f>IFERROR(__xludf.DUMMYFUNCTION("""COMPUTED_VALUE"""),"ECS")</f>
        <v>ECS</v>
      </c>
    </row>
    <row r="13572">
      <c r="A13572" t="str">
        <f>IFERROR(__xludf.DUMMYFUNCTION("""COMPUTED_VALUE"""),"MB099H1")</f>
        <v>MB099H1</v>
      </c>
      <c r="B13572" s="226" t="str">
        <f>IFERROR(__xludf.DUMMYFUNCTION("""COMPUTED_VALUE"""),"8717323067963")</f>
        <v>8717323067963</v>
      </c>
      <c r="C13572" t="str">
        <f>IFERROR(__xludf.DUMMYFUNCTION("""COMPUTED_VALUE"""),"ECS")</f>
        <v>ECS</v>
      </c>
    </row>
    <row r="13573">
      <c r="A13573" t="str">
        <f>IFERROR(__xludf.DUMMYFUNCTION("""COMPUTED_VALUE"""),"MB082B1")</f>
        <v>MB082B1</v>
      </c>
      <c r="B13573" s="226" t="str">
        <f>IFERROR(__xludf.DUMMYFUNCTION("""COMPUTED_VALUE"""),"8717323055632")</f>
        <v>8717323055632</v>
      </c>
      <c r="C13573" t="str">
        <f>IFERROR(__xludf.DUMMYFUNCTION("""COMPUTED_VALUE"""),"ECS")</f>
        <v>ECS</v>
      </c>
    </row>
    <row r="13574">
      <c r="A13574" t="str">
        <f>IFERROR(__xludf.DUMMYFUNCTION("""COMPUTED_VALUE"""),"MB082D1")</f>
        <v>MB082D1</v>
      </c>
      <c r="B13574" s="226" t="str">
        <f>IFERROR(__xludf.DUMMYFUNCTION("""COMPUTED_VALUE"""),"8717323055649")</f>
        <v>8717323055649</v>
      </c>
      <c r="C13574" t="str">
        <f>IFERROR(__xludf.DUMMYFUNCTION("""COMPUTED_VALUE"""),"ECS")</f>
        <v>ECS</v>
      </c>
    </row>
    <row r="13575">
      <c r="A13575" t="str">
        <f>IFERROR(__xludf.DUMMYFUNCTION("""COMPUTED_VALUE"""),"MB099F1")</f>
        <v>MB099F1</v>
      </c>
      <c r="B13575" s="226" t="str">
        <f>IFERROR(__xludf.DUMMYFUNCTION("""COMPUTED_VALUE"""),"8717323067956")</f>
        <v>8717323067956</v>
      </c>
      <c r="C13575" t="str">
        <f>IFERROR(__xludf.DUMMYFUNCTION("""COMPUTED_VALUE"""),"ECS")</f>
        <v>ECS</v>
      </c>
    </row>
    <row r="13576">
      <c r="A13576" t="str">
        <f>IFERROR(__xludf.DUMMYFUNCTION("""COMPUTED_VALUE"""),"MB099H1")</f>
        <v>MB099H1</v>
      </c>
      <c r="B13576" s="226" t="str">
        <f>IFERROR(__xludf.DUMMYFUNCTION("""COMPUTED_VALUE"""),"8717323067963")</f>
        <v>8717323067963</v>
      </c>
      <c r="C13576" t="str">
        <f>IFERROR(__xludf.DUMMYFUNCTION("""COMPUTED_VALUE"""),"ECS")</f>
        <v>ECS</v>
      </c>
    </row>
    <row r="13577">
      <c r="A13577" t="str">
        <f>IFERROR(__xludf.DUMMYFUNCTION("""COMPUTED_VALUE"""),"MB078B1")</f>
        <v>MB078B1</v>
      </c>
      <c r="B13577" s="226" t="str">
        <f>IFERROR(__xludf.DUMMYFUNCTION("""COMPUTED_VALUE"""),"8717323029756")</f>
        <v>8717323029756</v>
      </c>
      <c r="C13577" t="str">
        <f>IFERROR(__xludf.DUMMYFUNCTION("""COMPUTED_VALUE"""),"ECS")</f>
        <v>ECS</v>
      </c>
    </row>
    <row r="13578">
      <c r="A13578" t="str">
        <f>IFERROR(__xludf.DUMMYFUNCTION("""COMPUTED_VALUE"""),"MB078D1")</f>
        <v>MB078D1</v>
      </c>
      <c r="B13578" s="226" t="str">
        <f>IFERROR(__xludf.DUMMYFUNCTION("""COMPUTED_VALUE"""),"8717323029794")</f>
        <v>8717323029794</v>
      </c>
      <c r="C13578" t="str">
        <f>IFERROR(__xludf.DUMMYFUNCTION("""COMPUTED_VALUE"""),"ECS")</f>
        <v>ECS</v>
      </c>
    </row>
    <row r="13579">
      <c r="A13579" t="str">
        <f>IFERROR(__xludf.DUMMYFUNCTION("""COMPUTED_VALUE"""),"MB078B1")</f>
        <v>MB078B1</v>
      </c>
      <c r="B13579" s="226" t="str">
        <f>IFERROR(__xludf.DUMMYFUNCTION("""COMPUTED_VALUE"""),"8717323029756")</f>
        <v>8717323029756</v>
      </c>
      <c r="C13579" t="str">
        <f>IFERROR(__xludf.DUMMYFUNCTION("""COMPUTED_VALUE"""),"ECS")</f>
        <v>ECS</v>
      </c>
    </row>
    <row r="13580">
      <c r="A13580" t="str">
        <f>IFERROR(__xludf.DUMMYFUNCTION("""COMPUTED_VALUE"""),"MB078D1")</f>
        <v>MB078D1</v>
      </c>
      <c r="B13580" s="226" t="str">
        <f>IFERROR(__xludf.DUMMYFUNCTION("""COMPUTED_VALUE"""),"8717323029794")</f>
        <v>8717323029794</v>
      </c>
      <c r="C13580" t="str">
        <f>IFERROR(__xludf.DUMMYFUNCTION("""COMPUTED_VALUE"""),"ECS")</f>
        <v>ECS</v>
      </c>
    </row>
    <row r="13581">
      <c r="A13581" t="str">
        <f>IFERROR(__xludf.DUMMYFUNCTION("""COMPUTED_VALUE"""),"MB076B1")</f>
        <v>MB076B1</v>
      </c>
      <c r="B13581" s="226" t="str">
        <f>IFERROR(__xludf.DUMMYFUNCTION("""COMPUTED_VALUE"""),"8717323025758")</f>
        <v>8717323025758</v>
      </c>
      <c r="C13581" t="str">
        <f>IFERROR(__xludf.DUMMYFUNCTION("""COMPUTED_VALUE"""),"ECS")</f>
        <v>ECS</v>
      </c>
    </row>
    <row r="13582">
      <c r="A13582" t="str">
        <f>IFERROR(__xludf.DUMMYFUNCTION("""COMPUTED_VALUE"""),"MB076D1")</f>
        <v>MB076D1</v>
      </c>
      <c r="B13582" s="226" t="str">
        <f>IFERROR(__xludf.DUMMYFUNCTION("""COMPUTED_VALUE"""),"8717323025765")</f>
        <v>8717323025765</v>
      </c>
      <c r="C13582" t="str">
        <f>IFERROR(__xludf.DUMMYFUNCTION("""COMPUTED_VALUE"""),"ECS")</f>
        <v>ECS</v>
      </c>
    </row>
    <row r="13583">
      <c r="A13583" t="str">
        <f>IFERROR(__xludf.DUMMYFUNCTION("""COMPUTED_VALUE"""),"MB076H1")</f>
        <v>MB076H1</v>
      </c>
      <c r="B13583" s="226" t="str">
        <f>IFERROR(__xludf.DUMMYFUNCTION("""COMPUTED_VALUE"""),"8717323049808")</f>
        <v>8717323049808</v>
      </c>
      <c r="C13583" t="str">
        <f>IFERROR(__xludf.DUMMYFUNCTION("""COMPUTED_VALUE"""),"ECS")</f>
        <v>ECS</v>
      </c>
    </row>
    <row r="13584">
      <c r="A13584" t="str">
        <f>IFERROR(__xludf.DUMMYFUNCTION("""COMPUTED_VALUE"""),"MB084B1")</f>
        <v>MB084B1</v>
      </c>
      <c r="B13584" s="226" t="str">
        <f>IFERROR(__xludf.DUMMYFUNCTION("""COMPUTED_VALUE"""),"8717323057971")</f>
        <v>8717323057971</v>
      </c>
      <c r="C13584" t="str">
        <f>IFERROR(__xludf.DUMMYFUNCTION("""COMPUTED_VALUE"""),"ECS")</f>
        <v>ECS</v>
      </c>
    </row>
    <row r="13585">
      <c r="A13585" t="str">
        <f>IFERROR(__xludf.DUMMYFUNCTION("""COMPUTED_VALUE"""),"MB084H1")</f>
        <v>MB084H1</v>
      </c>
      <c r="B13585" s="226" t="str">
        <f>IFERROR(__xludf.DUMMYFUNCTION("""COMPUTED_VALUE"""),"8717323057988")</f>
        <v>8717323057988</v>
      </c>
      <c r="C13585" t="str">
        <f>IFERROR(__xludf.DUMMYFUNCTION("""COMPUTED_VALUE"""),"ECS")</f>
        <v>ECS</v>
      </c>
    </row>
    <row r="13586">
      <c r="A13586" t="str">
        <f>IFERROR(__xludf.DUMMYFUNCTION("""COMPUTED_VALUE"""),"MB075BH")</f>
        <v>MB075BH</v>
      </c>
      <c r="B13586" s="226" t="str">
        <f>IFERROR(__xludf.DUMMYFUNCTION("""COMPUTED_VALUE"""),"8717323025451")</f>
        <v>8717323025451</v>
      </c>
      <c r="C13586" t="str">
        <f>IFERROR(__xludf.DUMMYFUNCTION("""COMPUTED_VALUE"""),"ECS")</f>
        <v>ECS</v>
      </c>
    </row>
    <row r="13587">
      <c r="A13587" t="str">
        <f>IFERROR(__xludf.DUMMYFUNCTION("""COMPUTED_VALUE"""),"MB075DH")</f>
        <v>MB075DH</v>
      </c>
      <c r="B13587" s="226" t="str">
        <f>IFERROR(__xludf.DUMMYFUNCTION("""COMPUTED_VALUE"""),"8717323024287")</f>
        <v>8717323024287</v>
      </c>
      <c r="C13587" t="str">
        <f>IFERROR(__xludf.DUMMYFUNCTION("""COMPUTED_VALUE"""),"ECS")</f>
        <v>ECS</v>
      </c>
    </row>
    <row r="13588">
      <c r="A13588" t="str">
        <f>IFERROR(__xludf.DUMMYFUNCTION("""COMPUTED_VALUE"""),"MB078B1")</f>
        <v>MB078B1</v>
      </c>
      <c r="B13588" s="226" t="str">
        <f>IFERROR(__xludf.DUMMYFUNCTION("""COMPUTED_VALUE"""),"8717323029756")</f>
        <v>8717323029756</v>
      </c>
      <c r="C13588" t="str">
        <f>IFERROR(__xludf.DUMMYFUNCTION("""COMPUTED_VALUE"""),"ECS")</f>
        <v>ECS</v>
      </c>
    </row>
    <row r="13589">
      <c r="A13589" t="str">
        <f>IFERROR(__xludf.DUMMYFUNCTION("""COMPUTED_VALUE"""),"MB078D1")</f>
        <v>MB078D1</v>
      </c>
      <c r="B13589" s="226" t="str">
        <f>IFERROR(__xludf.DUMMYFUNCTION("""COMPUTED_VALUE"""),"8717323029794")</f>
        <v>8717323029794</v>
      </c>
      <c r="C13589" t="str">
        <f>IFERROR(__xludf.DUMMYFUNCTION("""COMPUTED_VALUE"""),"ECS")</f>
        <v>ECS</v>
      </c>
    </row>
    <row r="13590">
      <c r="A13590" t="str">
        <f>IFERROR(__xludf.DUMMYFUNCTION("""COMPUTED_VALUE"""),"MB075BH")</f>
        <v>MB075BH</v>
      </c>
      <c r="B13590" s="226" t="str">
        <f>IFERROR(__xludf.DUMMYFUNCTION("""COMPUTED_VALUE"""),"8717323025451")</f>
        <v>8717323025451</v>
      </c>
      <c r="C13590" t="str">
        <f>IFERROR(__xludf.DUMMYFUNCTION("""COMPUTED_VALUE"""),"ECS")</f>
        <v>ECS</v>
      </c>
    </row>
    <row r="13591">
      <c r="A13591" t="str">
        <f>IFERROR(__xludf.DUMMYFUNCTION("""COMPUTED_VALUE"""),"MB075DH")</f>
        <v>MB075DH</v>
      </c>
      <c r="B13591" s="226" t="str">
        <f>IFERROR(__xludf.DUMMYFUNCTION("""COMPUTED_VALUE"""),"8717323024287")</f>
        <v>8717323024287</v>
      </c>
      <c r="C13591" t="str">
        <f>IFERROR(__xludf.DUMMYFUNCTION("""COMPUTED_VALUE"""),"ECS")</f>
        <v>ECS</v>
      </c>
    </row>
    <row r="13592">
      <c r="A13592" t="str">
        <f>IFERROR(__xludf.DUMMYFUNCTION("""COMPUTED_VALUE"""),"VW107B1")</f>
        <v>VW107B1</v>
      </c>
      <c r="B13592" s="226" t="str">
        <f>IFERROR(__xludf.DUMMYFUNCTION("""COMPUTED_VALUE"""),"8717323024744")</f>
        <v>8717323024744</v>
      </c>
      <c r="C13592" t="str">
        <f>IFERROR(__xludf.DUMMYFUNCTION("""COMPUTED_VALUE"""),"ECS")</f>
        <v>ECS</v>
      </c>
    </row>
    <row r="13593">
      <c r="A13593" t="str">
        <f>IFERROR(__xludf.DUMMYFUNCTION("""COMPUTED_VALUE"""),"VW107D1")</f>
        <v>VW107D1</v>
      </c>
      <c r="B13593" s="226" t="str">
        <f>IFERROR(__xludf.DUMMYFUNCTION("""COMPUTED_VALUE"""),"8717323025161")</f>
        <v>8717323025161</v>
      </c>
      <c r="C13593" t="str">
        <f>IFERROR(__xludf.DUMMYFUNCTION("""COMPUTED_VALUE"""),"ECS")</f>
        <v>ECS</v>
      </c>
    </row>
    <row r="13594">
      <c r="A13594" t="str">
        <f>IFERROR(__xludf.DUMMYFUNCTION("""COMPUTED_VALUE"""),"MB098B1")</f>
        <v>MB098B1</v>
      </c>
      <c r="B13594" s="226" t="str">
        <f>IFERROR(__xludf.DUMMYFUNCTION("""COMPUTED_VALUE"""),"8717323067994")</f>
        <v>8717323067994</v>
      </c>
      <c r="C13594" t="str">
        <f>IFERROR(__xludf.DUMMYFUNCTION("""COMPUTED_VALUE"""),"ECS")</f>
        <v>ECS</v>
      </c>
    </row>
    <row r="13595">
      <c r="A13595" t="str">
        <f>IFERROR(__xludf.DUMMYFUNCTION("""COMPUTED_VALUE"""),"MB098D1")</f>
        <v>MB098D1</v>
      </c>
      <c r="B13595" s="226" t="str">
        <f>IFERROR(__xludf.DUMMYFUNCTION("""COMPUTED_VALUE"""),"8717323068007")</f>
        <v>8717323068007</v>
      </c>
      <c r="C13595" t="str">
        <f>IFERROR(__xludf.DUMMYFUNCTION("""COMPUTED_VALUE"""),"ECS")</f>
        <v>ECS</v>
      </c>
    </row>
    <row r="13596">
      <c r="A13596" t="str">
        <f>IFERROR(__xludf.DUMMYFUNCTION("""COMPUTED_VALUE"""),"VW107B1")</f>
        <v>VW107B1</v>
      </c>
      <c r="B13596" s="226" t="str">
        <f>IFERROR(__xludf.DUMMYFUNCTION("""COMPUTED_VALUE"""),"8717323024744")</f>
        <v>8717323024744</v>
      </c>
      <c r="C13596" t="str">
        <f>IFERROR(__xludf.DUMMYFUNCTION("""COMPUTED_VALUE"""),"ECS")</f>
        <v>ECS</v>
      </c>
    </row>
    <row r="13597">
      <c r="A13597" t="str">
        <f>IFERROR(__xludf.DUMMYFUNCTION("""COMPUTED_VALUE"""),"VW107D1")</f>
        <v>VW107D1</v>
      </c>
      <c r="B13597" s="226" t="str">
        <f>IFERROR(__xludf.DUMMYFUNCTION("""COMPUTED_VALUE"""),"8717323025161")</f>
        <v>8717323025161</v>
      </c>
      <c r="C13597" t="str">
        <f>IFERROR(__xludf.DUMMYFUNCTION("""COMPUTED_VALUE"""),"ECS")</f>
        <v>ECS</v>
      </c>
    </row>
    <row r="13598">
      <c r="A13598" t="str">
        <f>IFERROR(__xludf.DUMMYFUNCTION("""COMPUTED_VALUE"""),"MB098B1")</f>
        <v>MB098B1</v>
      </c>
      <c r="B13598" s="226" t="str">
        <f>IFERROR(__xludf.DUMMYFUNCTION("""COMPUTED_VALUE"""),"8717323067994")</f>
        <v>8717323067994</v>
      </c>
      <c r="C13598" t="str">
        <f>IFERROR(__xludf.DUMMYFUNCTION("""COMPUTED_VALUE"""),"ECS")</f>
        <v>ECS</v>
      </c>
    </row>
    <row r="13599">
      <c r="A13599" t="str">
        <f>IFERROR(__xludf.DUMMYFUNCTION("""COMPUTED_VALUE"""),"MB098D1")</f>
        <v>MB098D1</v>
      </c>
      <c r="B13599" s="226" t="str">
        <f>IFERROR(__xludf.DUMMYFUNCTION("""COMPUTED_VALUE"""),"8717323068007")</f>
        <v>8717323068007</v>
      </c>
      <c r="C13599" t="str">
        <f>IFERROR(__xludf.DUMMYFUNCTION("""COMPUTED_VALUE"""),"ECS")</f>
        <v>ECS</v>
      </c>
    </row>
    <row r="13600">
      <c r="A13600" t="str">
        <f>IFERROR(__xludf.DUMMYFUNCTION("""COMPUTED_VALUE"""),"MB081B1")</f>
        <v>MB081B1</v>
      </c>
      <c r="B13600" s="226" t="str">
        <f>IFERROR(__xludf.DUMMYFUNCTION("""COMPUTED_VALUE"""),"8717323050910")</f>
        <v>8717323050910</v>
      </c>
      <c r="C13600" t="str">
        <f>IFERROR(__xludf.DUMMYFUNCTION("""COMPUTED_VALUE"""),"ECS")</f>
        <v>ECS</v>
      </c>
    </row>
    <row r="13601">
      <c r="A13601" t="str">
        <f>IFERROR(__xludf.DUMMYFUNCTION("""COMPUTED_VALUE"""),"MB081H1")</f>
        <v>MB081H1</v>
      </c>
      <c r="B13601" s="226" t="str">
        <f>IFERROR(__xludf.DUMMYFUNCTION("""COMPUTED_VALUE"""),"8717323050927")</f>
        <v>8717323050927</v>
      </c>
      <c r="C13601" t="str">
        <f>IFERROR(__xludf.DUMMYFUNCTION("""COMPUTED_VALUE"""),"ECS")</f>
        <v>ECS</v>
      </c>
    </row>
    <row r="13602">
      <c r="A13602" t="str">
        <f>IFERROR(__xludf.DUMMYFUNCTION("""COMPUTED_VALUE"""),"MB020B")</f>
        <v>MB020B</v>
      </c>
      <c r="B13602" s="226" t="str">
        <f>IFERROR(__xludf.DUMMYFUNCTION("""COMPUTED_VALUE"""),"8717323003640")</f>
        <v>8717323003640</v>
      </c>
      <c r="C13602" t="str">
        <f>IFERROR(__xludf.DUMMYFUNCTION("""COMPUTED_VALUE"""),"ECS")</f>
        <v>ECS</v>
      </c>
    </row>
    <row r="13603">
      <c r="A13603" t="str">
        <f>IFERROR(__xludf.DUMMYFUNCTION("""COMPUTED_VALUE"""),"MB070B1")</f>
        <v>MB070B1</v>
      </c>
      <c r="B13603" s="226" t="str">
        <f>IFERROR(__xludf.DUMMYFUNCTION("""COMPUTED_VALUE"""),"8717323025192")</f>
        <v>8717323025192</v>
      </c>
      <c r="C13603" t="str">
        <f>IFERROR(__xludf.DUMMYFUNCTION("""COMPUTED_VALUE"""),"ECS")</f>
        <v>ECS</v>
      </c>
    </row>
    <row r="13604">
      <c r="A13604" t="str">
        <f>IFERROR(__xludf.DUMMYFUNCTION("""COMPUTED_VALUE"""),"MB070D1")</f>
        <v>MB070D1</v>
      </c>
      <c r="B13604" s="226" t="str">
        <f>IFERROR(__xludf.DUMMYFUNCTION("""COMPUTED_VALUE"""),"8717323025321")</f>
        <v>8717323025321</v>
      </c>
      <c r="C13604" t="str">
        <f>IFERROR(__xludf.DUMMYFUNCTION("""COMPUTED_VALUE"""),"ECS")</f>
        <v>ECS</v>
      </c>
    </row>
    <row r="13605">
      <c r="A13605" t="str">
        <f>IFERROR(__xludf.DUMMYFUNCTION("""COMPUTED_VALUE"""),"MB020B")</f>
        <v>MB020B</v>
      </c>
      <c r="B13605" s="226" t="str">
        <f>IFERROR(__xludf.DUMMYFUNCTION("""COMPUTED_VALUE"""),"8717323003640")</f>
        <v>8717323003640</v>
      </c>
      <c r="C13605" t="str">
        <f>IFERROR(__xludf.DUMMYFUNCTION("""COMPUTED_VALUE"""),"ECS")</f>
        <v>ECS</v>
      </c>
    </row>
    <row r="13606">
      <c r="A13606" t="str">
        <f>IFERROR(__xludf.DUMMYFUNCTION("""COMPUTED_VALUE"""),"MB070B1")</f>
        <v>MB070B1</v>
      </c>
      <c r="B13606" s="226" t="str">
        <f>IFERROR(__xludf.DUMMYFUNCTION("""COMPUTED_VALUE"""),"8717323025192")</f>
        <v>8717323025192</v>
      </c>
      <c r="C13606" t="str">
        <f>IFERROR(__xludf.DUMMYFUNCTION("""COMPUTED_VALUE"""),"ECS")</f>
        <v>ECS</v>
      </c>
    </row>
    <row r="13607">
      <c r="A13607" t="str">
        <f>IFERROR(__xludf.DUMMYFUNCTION("""COMPUTED_VALUE"""),"MB070D1")</f>
        <v>MB070D1</v>
      </c>
      <c r="B13607" s="226" t="str">
        <f>IFERROR(__xludf.DUMMYFUNCTION("""COMPUTED_VALUE"""),"8717323025321")</f>
        <v>8717323025321</v>
      </c>
      <c r="C13607" t="str">
        <f>IFERROR(__xludf.DUMMYFUNCTION("""COMPUTED_VALUE"""),"ECS")</f>
        <v>ECS</v>
      </c>
    </row>
    <row r="13608">
      <c r="A13608" t="str">
        <f>IFERROR(__xludf.DUMMYFUNCTION("""COMPUTED_VALUE"""),"MB081B1")</f>
        <v>MB081B1</v>
      </c>
      <c r="B13608" s="226" t="str">
        <f>IFERROR(__xludf.DUMMYFUNCTION("""COMPUTED_VALUE"""),"8717323050910")</f>
        <v>8717323050910</v>
      </c>
      <c r="C13608" t="str">
        <f>IFERROR(__xludf.DUMMYFUNCTION("""COMPUTED_VALUE"""),"ECS")</f>
        <v>ECS</v>
      </c>
    </row>
    <row r="13609">
      <c r="A13609" t="str">
        <f>IFERROR(__xludf.DUMMYFUNCTION("""COMPUTED_VALUE"""),"MB081H1")</f>
        <v>MB081H1</v>
      </c>
      <c r="B13609" s="226" t="str">
        <f>IFERROR(__xludf.DUMMYFUNCTION("""COMPUTED_VALUE"""),"8717323050927")</f>
        <v>8717323050927</v>
      </c>
      <c r="C13609" t="str">
        <f>IFERROR(__xludf.DUMMYFUNCTION("""COMPUTED_VALUE"""),"ECS")</f>
        <v>ECS</v>
      </c>
    </row>
    <row r="13610">
      <c r="A13610" t="str">
        <f>IFERROR(__xludf.DUMMYFUNCTION("""COMPUTED_VALUE"""),"NI112BB")</f>
        <v>NI112BB</v>
      </c>
      <c r="B13610" s="226" t="str">
        <f>IFERROR(__xludf.DUMMYFUNCTION("""COMPUTED_VALUE"""),"8717323057438")</f>
        <v>8717323057438</v>
      </c>
      <c r="C13610" t="str">
        <f>IFERROR(__xludf.DUMMYFUNCTION("""COMPUTED_VALUE"""),"ECS")</f>
        <v>ECS</v>
      </c>
    </row>
    <row r="13611">
      <c r="A13611" t="str">
        <f>IFERROR(__xludf.DUMMYFUNCTION("""COMPUTED_VALUE"""),"NI112BH")</f>
        <v>NI112BH</v>
      </c>
      <c r="B13611" s="226" t="str">
        <f>IFERROR(__xludf.DUMMYFUNCTION("""COMPUTED_VALUE"""),"8717323065907")</f>
        <v>8717323065907</v>
      </c>
      <c r="C13611" t="str">
        <f>IFERROR(__xludf.DUMMYFUNCTION("""COMPUTED_VALUE"""),"ECS")</f>
        <v>ECS</v>
      </c>
    </row>
    <row r="13612">
      <c r="A13612" t="str">
        <f>IFERROR(__xludf.DUMMYFUNCTION("""COMPUTED_VALUE"""),"NI112DH")</f>
        <v>NI112DH</v>
      </c>
      <c r="B13612" s="226" t="str">
        <f>IFERROR(__xludf.DUMMYFUNCTION("""COMPUTED_VALUE"""),"8717323057445")</f>
        <v>8717323057445</v>
      </c>
      <c r="C13612" t="str">
        <f>IFERROR(__xludf.DUMMYFUNCTION("""COMPUTED_VALUE"""),"ECS")</f>
        <v>ECS</v>
      </c>
    </row>
    <row r="13613">
      <c r="A13613" t="str">
        <f>IFERROR(__xludf.DUMMYFUNCTION("""COMPUTED_VALUE"""),"MI003DH")</f>
        <v>MI003DH</v>
      </c>
      <c r="B13613" s="226" t="str">
        <f>IFERROR(__xludf.DUMMYFUNCTION("""COMPUTED_VALUE"""),"8717323024317")</f>
        <v>8717323024317</v>
      </c>
      <c r="C13613" t="str">
        <f>IFERROR(__xludf.DUMMYFUNCTION("""COMPUTED_VALUE"""),"ECS")</f>
        <v>ECS</v>
      </c>
    </row>
    <row r="13614">
      <c r="A13614" t="str">
        <f>IFERROR(__xludf.DUMMYFUNCTION("""COMPUTED_VALUE"""),"BW027B1")</f>
        <v>BW027B1</v>
      </c>
      <c r="B13614" s="226" t="str">
        <f>IFERROR(__xludf.DUMMYFUNCTION("""COMPUTED_VALUE"""),"8717323063828")</f>
        <v>8717323063828</v>
      </c>
      <c r="C13614" t="str">
        <f>IFERROR(__xludf.DUMMYFUNCTION("""COMPUTED_VALUE"""),"ECS")</f>
        <v>ECS</v>
      </c>
    </row>
    <row r="13615">
      <c r="A13615" t="str">
        <f>IFERROR(__xludf.DUMMYFUNCTION("""COMPUTED_VALUE"""),"BW027D1")</f>
        <v>BW027D1</v>
      </c>
      <c r="B13615" s="226" t="str">
        <f>IFERROR(__xludf.DUMMYFUNCTION("""COMPUTED_VALUE"""),"8717323063835")</f>
        <v>8717323063835</v>
      </c>
      <c r="C13615" t="str">
        <f>IFERROR(__xludf.DUMMYFUNCTION("""COMPUTED_VALUE"""),"ECS")</f>
        <v>ECS</v>
      </c>
    </row>
    <row r="13616">
      <c r="A13616" t="str">
        <f>IFERROR(__xludf.DUMMYFUNCTION("""COMPUTED_VALUE"""),"MI002BB")</f>
        <v>MI002BB</v>
      </c>
      <c r="B13616" s="226" t="str">
        <f>IFERROR(__xludf.DUMMYFUNCTION("""COMPUTED_VALUE"""),"8717323015155")</f>
        <v>8717323015155</v>
      </c>
      <c r="C13616" t="str">
        <f>IFERROR(__xludf.DUMMYFUNCTION("""COMPUTED_VALUE"""),"ECS")</f>
        <v>ECS</v>
      </c>
    </row>
    <row r="13617">
      <c r="A13617" t="str">
        <f>IFERROR(__xludf.DUMMYFUNCTION("""COMPUTED_VALUE"""),"MI002DL")</f>
        <v>MI002DL</v>
      </c>
      <c r="B13617" s="226" t="str">
        <f>IFERROR(__xludf.DUMMYFUNCTION("""COMPUTED_VALUE"""),"8717323015162")</f>
        <v>8717323015162</v>
      </c>
      <c r="C13617" t="str">
        <f>IFERROR(__xludf.DUMMYFUNCTION("""COMPUTED_VALUE"""),"ECS")</f>
        <v>ECS</v>
      </c>
    </row>
    <row r="13618">
      <c r="A13618" t="str">
        <f>IFERROR(__xludf.DUMMYFUNCTION("""COMPUTED_VALUE"""),"BW027B1")</f>
        <v>BW027B1</v>
      </c>
      <c r="B13618" s="226" t="str">
        <f>IFERROR(__xludf.DUMMYFUNCTION("""COMPUTED_VALUE"""),"8717323063828")</f>
        <v>8717323063828</v>
      </c>
      <c r="C13618" t="str">
        <f>IFERROR(__xludf.DUMMYFUNCTION("""COMPUTED_VALUE"""),"ECS")</f>
        <v>ECS</v>
      </c>
    </row>
    <row r="13619">
      <c r="A13619" t="str">
        <f>IFERROR(__xludf.DUMMYFUNCTION("""COMPUTED_VALUE"""),"BW027D1")</f>
        <v>BW027D1</v>
      </c>
      <c r="B13619" s="226" t="str">
        <f>IFERROR(__xludf.DUMMYFUNCTION("""COMPUTED_VALUE"""),"8717323063835")</f>
        <v>8717323063835</v>
      </c>
      <c r="C13619" t="str">
        <f>IFERROR(__xludf.DUMMYFUNCTION("""COMPUTED_VALUE"""),"ECS")</f>
        <v>ECS</v>
      </c>
    </row>
    <row r="13620">
      <c r="A13620" t="str">
        <f>IFERROR(__xludf.DUMMYFUNCTION("""COMPUTED_VALUE"""),"BW027B1")</f>
        <v>BW027B1</v>
      </c>
      <c r="B13620" s="226" t="str">
        <f>IFERROR(__xludf.DUMMYFUNCTION("""COMPUTED_VALUE"""),"8717323063828")</f>
        <v>8717323063828</v>
      </c>
      <c r="C13620" t="str">
        <f>IFERROR(__xludf.DUMMYFUNCTION("""COMPUTED_VALUE"""),"ECS")</f>
        <v>ECS</v>
      </c>
    </row>
    <row r="13621">
      <c r="A13621" t="str">
        <f>IFERROR(__xludf.DUMMYFUNCTION("""COMPUTED_VALUE"""),"BW027D1")</f>
        <v>BW027D1</v>
      </c>
      <c r="B13621" s="226" t="str">
        <f>IFERROR(__xludf.DUMMYFUNCTION("""COMPUTED_VALUE"""),"8717323063835")</f>
        <v>8717323063835</v>
      </c>
      <c r="C13621" t="str">
        <f>IFERROR(__xludf.DUMMYFUNCTION("""COMPUTED_VALUE"""),"ECS")</f>
        <v>ECS</v>
      </c>
    </row>
    <row r="13622">
      <c r="A13622" t="str">
        <f>IFERROR(__xludf.DUMMYFUNCTION("""COMPUTED_VALUE"""),"BW027B1")</f>
        <v>BW027B1</v>
      </c>
      <c r="B13622" s="226" t="str">
        <f>IFERROR(__xludf.DUMMYFUNCTION("""COMPUTED_VALUE"""),"8717323063828")</f>
        <v>8717323063828</v>
      </c>
      <c r="C13622" t="str">
        <f>IFERROR(__xludf.DUMMYFUNCTION("""COMPUTED_VALUE"""),"ECS")</f>
        <v>ECS</v>
      </c>
    </row>
    <row r="13623">
      <c r="A13623" t="str">
        <f>IFERROR(__xludf.DUMMYFUNCTION("""COMPUTED_VALUE"""),"BW027D1")</f>
        <v>BW027D1</v>
      </c>
      <c r="B13623" s="226" t="str">
        <f>IFERROR(__xludf.DUMMYFUNCTION("""COMPUTED_VALUE"""),"8717323063835")</f>
        <v>8717323063835</v>
      </c>
      <c r="C13623" t="str">
        <f>IFERROR(__xludf.DUMMYFUNCTION("""COMPUTED_VALUE"""),"ECS")</f>
        <v>ECS</v>
      </c>
    </row>
    <row r="13624">
      <c r="A13624" t="str">
        <f>IFERROR(__xludf.DUMMYFUNCTION("""COMPUTED_VALUE"""),"MI003DH")</f>
        <v>MI003DH</v>
      </c>
      <c r="B13624" s="226" t="str">
        <f>IFERROR(__xludf.DUMMYFUNCTION("""COMPUTED_VALUE"""),"8717323024317")</f>
        <v>8717323024317</v>
      </c>
      <c r="C13624" t="str">
        <f>IFERROR(__xludf.DUMMYFUNCTION("""COMPUTED_VALUE"""),"ECS")</f>
        <v>ECS</v>
      </c>
    </row>
    <row r="13625">
      <c r="A13625" t="str">
        <f>IFERROR(__xludf.DUMMYFUNCTION("""COMPUTED_VALUE"""),"BW027B1")</f>
        <v>BW027B1</v>
      </c>
      <c r="B13625" s="226" t="str">
        <f>IFERROR(__xludf.DUMMYFUNCTION("""COMPUTED_VALUE"""),"8717323063828")</f>
        <v>8717323063828</v>
      </c>
      <c r="C13625" t="str">
        <f>IFERROR(__xludf.DUMMYFUNCTION("""COMPUTED_VALUE"""),"ECS")</f>
        <v>ECS</v>
      </c>
    </row>
    <row r="13626">
      <c r="A13626" t="str">
        <f>IFERROR(__xludf.DUMMYFUNCTION("""COMPUTED_VALUE"""),"BW027D1")</f>
        <v>BW027D1</v>
      </c>
      <c r="B13626" s="226" t="str">
        <f>IFERROR(__xludf.DUMMYFUNCTION("""COMPUTED_VALUE"""),"8717323063835")</f>
        <v>8717323063835</v>
      </c>
      <c r="C13626" t="str">
        <f>IFERROR(__xludf.DUMMYFUNCTION("""COMPUTED_VALUE"""),"ECS")</f>
        <v>ECS</v>
      </c>
    </row>
    <row r="13627">
      <c r="A13627" t="str">
        <f>IFERROR(__xludf.DUMMYFUNCTION("""COMPUTED_VALUE"""),"MI004DH")</f>
        <v>MI004DH</v>
      </c>
      <c r="B13627" s="226" t="str">
        <f>IFERROR(__xludf.DUMMYFUNCTION("""COMPUTED_VALUE"""),"8717323046944")</f>
        <v>8717323046944</v>
      </c>
      <c r="C13627" t="str">
        <f>IFERROR(__xludf.DUMMYFUNCTION("""COMPUTED_VALUE"""),"ECS")</f>
        <v>ECS</v>
      </c>
    </row>
    <row r="13628">
      <c r="A13628" t="str">
        <f>IFERROR(__xludf.DUMMYFUNCTION("""COMPUTED_VALUE"""),"MT094BB")</f>
        <v>MT094BB</v>
      </c>
      <c r="B13628" s="226" t="str">
        <f>IFERROR(__xludf.DUMMYFUNCTION("""COMPUTED_VALUE"""),"8717323023952")</f>
        <v>8717323023952</v>
      </c>
      <c r="C13628" t="str">
        <f>IFERROR(__xludf.DUMMYFUNCTION("""COMPUTED_VALUE"""),"ECS")</f>
        <v>ECS</v>
      </c>
    </row>
    <row r="13629">
      <c r="A13629" t="str">
        <f>IFERROR(__xludf.DUMMYFUNCTION("""COMPUTED_VALUE"""),"MT114BH")</f>
        <v>MT114BH</v>
      </c>
      <c r="B13629" s="226" t="str">
        <f>IFERROR(__xludf.DUMMYFUNCTION("""COMPUTED_VALUE"""),"8717323026540")</f>
        <v>8717323026540</v>
      </c>
      <c r="C13629" t="str">
        <f>IFERROR(__xludf.DUMMYFUNCTION("""COMPUTED_VALUE"""),"ECS")</f>
        <v>ECS</v>
      </c>
    </row>
    <row r="13630">
      <c r="A13630" t="str">
        <f>IFERROR(__xludf.DUMMYFUNCTION("""COMPUTED_VALUE"""),"MT114DH")</f>
        <v>MT114DH</v>
      </c>
      <c r="B13630" s="226" t="str">
        <f>IFERROR(__xludf.DUMMYFUNCTION("""COMPUTED_VALUE"""),"8717323029305")</f>
        <v>8717323029305</v>
      </c>
      <c r="C13630" t="str">
        <f>IFERROR(__xludf.DUMMYFUNCTION("""COMPUTED_VALUE"""),"ECS")</f>
        <v>ECS</v>
      </c>
    </row>
    <row r="13631">
      <c r="A13631" t="str">
        <f>IFERROR(__xludf.DUMMYFUNCTION("""COMPUTED_VALUE"""),"MT059BB")</f>
        <v>MT059BB</v>
      </c>
      <c r="B13631" s="226" t="str">
        <f>IFERROR(__xludf.DUMMYFUNCTION("""COMPUTED_VALUE"""),"8717323010884")</f>
        <v>8717323010884</v>
      </c>
      <c r="C13631" t="str">
        <f>IFERROR(__xludf.DUMMYFUNCTION("""COMPUTED_VALUE"""),"ECS")</f>
        <v>ECS</v>
      </c>
    </row>
    <row r="13632">
      <c r="A13632" t="str">
        <f>IFERROR(__xludf.DUMMYFUNCTION("""COMPUTED_VALUE"""),"MT059DL")</f>
        <v>MT059DL</v>
      </c>
      <c r="B13632" s="226" t="str">
        <f>IFERROR(__xludf.DUMMYFUNCTION("""COMPUTED_VALUE"""),"8717323010891")</f>
        <v>8717323010891</v>
      </c>
      <c r="C13632" t="str">
        <f>IFERROR(__xludf.DUMMYFUNCTION("""COMPUTED_VALUE"""),"ECS")</f>
        <v>ECS</v>
      </c>
    </row>
    <row r="13633">
      <c r="A13633" t="str">
        <f>IFERROR(__xludf.DUMMYFUNCTION("""COMPUTED_VALUE"""),"MT092BB")</f>
        <v>MT092BB</v>
      </c>
      <c r="B13633" s="226" t="str">
        <f>IFERROR(__xludf.DUMMYFUNCTION("""COMPUTED_VALUE"""),"8717323016893")</f>
        <v>8717323016893</v>
      </c>
      <c r="C13633" t="str">
        <f>IFERROR(__xludf.DUMMYFUNCTION("""COMPUTED_VALUE"""),"ECS")</f>
        <v>ECS</v>
      </c>
    </row>
    <row r="13634">
      <c r="A13634" t="str">
        <f>IFERROR(__xludf.DUMMYFUNCTION("""COMPUTED_VALUE"""),"MT092DL")</f>
        <v>MT092DL</v>
      </c>
      <c r="B13634" s="226" t="str">
        <f>IFERROR(__xludf.DUMMYFUNCTION("""COMPUTED_VALUE"""),"8717323016909")</f>
        <v>8717323016909</v>
      </c>
      <c r="C13634" t="str">
        <f>IFERROR(__xludf.DUMMYFUNCTION("""COMPUTED_VALUE"""),"ECS")</f>
        <v>ECS</v>
      </c>
    </row>
    <row r="13635">
      <c r="A13635" t="str">
        <f>IFERROR(__xludf.DUMMYFUNCTION("""COMPUTED_VALUE"""),"MT053BB")</f>
        <v>MT053BB</v>
      </c>
      <c r="B13635" s="226" t="str">
        <f>IFERROR(__xludf.DUMMYFUNCTION("""COMPUTED_VALUE"""),"8717323010327")</f>
        <v>8717323010327</v>
      </c>
      <c r="C13635" t="str">
        <f>IFERROR(__xludf.DUMMYFUNCTION("""COMPUTED_VALUE"""),"ECS")</f>
        <v>ECS</v>
      </c>
    </row>
    <row r="13636">
      <c r="A13636" t="str">
        <f>IFERROR(__xludf.DUMMYFUNCTION("""COMPUTED_VALUE"""),"MT053BL")</f>
        <v>MT053BL</v>
      </c>
      <c r="B13636" s="226" t="str">
        <f>IFERROR(__xludf.DUMMYFUNCTION("""COMPUTED_VALUE"""),"8717323011959")</f>
        <v>8717323011959</v>
      </c>
      <c r="C13636" t="str">
        <f>IFERROR(__xludf.DUMMYFUNCTION("""COMPUTED_VALUE"""),"ECS")</f>
        <v>ECS</v>
      </c>
    </row>
    <row r="13637">
      <c r="A13637" t="str">
        <f>IFERROR(__xludf.DUMMYFUNCTION("""COMPUTED_VALUE"""),"MT053DL")</f>
        <v>MT053DL</v>
      </c>
      <c r="B13637" s="226" t="str">
        <f>IFERROR(__xludf.DUMMYFUNCTION("""COMPUTED_VALUE"""),"8717323011973")</f>
        <v>8717323011973</v>
      </c>
      <c r="C13637" t="str">
        <f>IFERROR(__xludf.DUMMYFUNCTION("""COMPUTED_VALUE"""),"ECS")</f>
        <v>ECS</v>
      </c>
    </row>
    <row r="13638">
      <c r="A13638" t="str">
        <f>IFERROR(__xludf.DUMMYFUNCTION("""COMPUTED_VALUE"""),"MT091BB")</f>
        <v>MT091BB</v>
      </c>
      <c r="B13638" s="226" t="str">
        <f>IFERROR(__xludf.DUMMYFUNCTION("""COMPUTED_VALUE"""),"8717323016879")</f>
        <v>8717323016879</v>
      </c>
      <c r="C13638" t="str">
        <f>IFERROR(__xludf.DUMMYFUNCTION("""COMPUTED_VALUE"""),"ECS")</f>
        <v>ECS</v>
      </c>
    </row>
    <row r="13639">
      <c r="A13639" t="str">
        <f>IFERROR(__xludf.DUMMYFUNCTION("""COMPUTED_VALUE"""),"MT091DL")</f>
        <v>MT091DL</v>
      </c>
      <c r="B13639" s="226" t="str">
        <f>IFERROR(__xludf.DUMMYFUNCTION("""COMPUTED_VALUE"""),"8717323016886")</f>
        <v>8717323016886</v>
      </c>
      <c r="C13639" t="str">
        <f>IFERROR(__xludf.DUMMYFUNCTION("""COMPUTED_VALUE"""),"ECS")</f>
        <v>ECS</v>
      </c>
    </row>
    <row r="13640">
      <c r="A13640" t="str">
        <f>IFERROR(__xludf.DUMMYFUNCTION("""COMPUTED_VALUE"""),"MT133BH")</f>
        <v>MT133BH</v>
      </c>
      <c r="B13640" s="226" t="str">
        <f>IFERROR(__xludf.DUMMYFUNCTION("""COMPUTED_VALUE"""),"8717323065327")</f>
        <v>8717323065327</v>
      </c>
      <c r="C13640" t="str">
        <f>IFERROR(__xludf.DUMMYFUNCTION("""COMPUTED_VALUE"""),"ECS")</f>
        <v>ECS</v>
      </c>
    </row>
    <row r="13641">
      <c r="A13641" t="str">
        <f>IFERROR(__xludf.DUMMYFUNCTION("""COMPUTED_VALUE"""),"MT133DH")</f>
        <v>MT133DH</v>
      </c>
      <c r="B13641" s="226" t="str">
        <f>IFERROR(__xludf.DUMMYFUNCTION("""COMPUTED_VALUE"""),"8717323065334")</f>
        <v>8717323065334</v>
      </c>
      <c r="C13641" t="str">
        <f>IFERROR(__xludf.DUMMYFUNCTION("""COMPUTED_VALUE"""),"ECS")</f>
        <v>ECS</v>
      </c>
    </row>
    <row r="13642">
      <c r="A13642" t="str">
        <f>IFERROR(__xludf.DUMMYFUNCTION("""COMPUTED_VALUE"""),"MT054DL")</f>
        <v>MT054DL</v>
      </c>
      <c r="B13642" s="226" t="str">
        <f>IFERROR(__xludf.DUMMYFUNCTION("""COMPUTED_VALUE"""),"8717323011294")</f>
        <v>8717323011294</v>
      </c>
      <c r="C13642" t="str">
        <f>IFERROR(__xludf.DUMMYFUNCTION("""COMPUTED_VALUE"""),"ECS")</f>
        <v>ECS</v>
      </c>
    </row>
    <row r="13643">
      <c r="A13643" t="str">
        <f>IFERROR(__xludf.DUMMYFUNCTION("""COMPUTED_VALUE"""),"MT054BB")</f>
        <v>MT054BB</v>
      </c>
      <c r="B13643" s="226" t="str">
        <f>IFERROR(__xludf.DUMMYFUNCTION("""COMPUTED_VALUE"""),"8717323010310")</f>
        <v>8717323010310</v>
      </c>
      <c r="C13643" t="str">
        <f>IFERROR(__xludf.DUMMYFUNCTION("""COMPUTED_VALUE"""),"ECS")</f>
        <v>ECS</v>
      </c>
    </row>
    <row r="13644">
      <c r="A13644" t="str">
        <f>IFERROR(__xludf.DUMMYFUNCTION("""COMPUTED_VALUE"""),"MT054BL")</f>
        <v>MT054BL</v>
      </c>
      <c r="B13644" s="226" t="str">
        <f>IFERROR(__xludf.DUMMYFUNCTION("""COMPUTED_VALUE"""),"8717323011966")</f>
        <v>8717323011966</v>
      </c>
      <c r="C13644" t="str">
        <f>IFERROR(__xludf.DUMMYFUNCTION("""COMPUTED_VALUE"""),"ECS")</f>
        <v>ECS</v>
      </c>
    </row>
    <row r="13645">
      <c r="A13645" t="str">
        <f>IFERROR(__xludf.DUMMYFUNCTION("""COMPUTED_VALUE"""),"MIT079B")</f>
        <v>MIT079B</v>
      </c>
      <c r="B13645" s="226" t="str">
        <f>IFERROR(__xludf.DUMMYFUNCTION("""COMPUTED_VALUE"""),"8717323004050")</f>
        <v>8717323004050</v>
      </c>
      <c r="C13645" t="str">
        <f>IFERROR(__xludf.DUMMYFUNCTION("""COMPUTED_VALUE"""),"ECS")</f>
        <v>ECS</v>
      </c>
    </row>
    <row r="13646">
      <c r="A13646" t="str">
        <f>IFERROR(__xludf.DUMMYFUNCTION("""COMPUTED_VALUE"""),"MT060BH")</f>
        <v>MT060BH</v>
      </c>
      <c r="B13646" s="226" t="str">
        <f>IFERROR(__xludf.DUMMYFUNCTION("""COMPUTED_VALUE"""),"8717323013304")</f>
        <v>8717323013304</v>
      </c>
      <c r="C13646" t="str">
        <f>IFERROR(__xludf.DUMMYFUNCTION("""COMPUTED_VALUE"""),"ECS")</f>
        <v>ECS</v>
      </c>
    </row>
    <row r="13647">
      <c r="A13647" t="str">
        <f>IFERROR(__xludf.DUMMYFUNCTION("""COMPUTED_VALUE"""),"MT060DH")</f>
        <v>MT060DH</v>
      </c>
      <c r="B13647" s="226" t="str">
        <f>IFERROR(__xludf.DUMMYFUNCTION("""COMPUTED_VALUE"""),"8717323013311")</f>
        <v>8717323013311</v>
      </c>
      <c r="C13647" t="str">
        <f>IFERROR(__xludf.DUMMYFUNCTION("""COMPUTED_VALUE"""),"ECS")</f>
        <v>ECS</v>
      </c>
    </row>
    <row r="13648">
      <c r="A13648" t="str">
        <f>IFERROR(__xludf.DUMMYFUNCTION("""COMPUTED_VALUE"""),"MT096BH")</f>
        <v>MT096BH</v>
      </c>
      <c r="B13648" s="226" t="str">
        <f>IFERROR(__xludf.DUMMYFUNCTION("""COMPUTED_VALUE"""),"8717323023792")</f>
        <v>8717323023792</v>
      </c>
      <c r="C13648" t="str">
        <f>IFERROR(__xludf.DUMMYFUNCTION("""COMPUTED_VALUE"""),"ECS")</f>
        <v>ECS</v>
      </c>
    </row>
    <row r="13649">
      <c r="A13649" t="str">
        <f>IFERROR(__xludf.DUMMYFUNCTION("""COMPUTED_VALUE"""),"MT096DH")</f>
        <v>MT096DH</v>
      </c>
      <c r="B13649" s="226" t="str">
        <f>IFERROR(__xludf.DUMMYFUNCTION("""COMPUTED_VALUE"""),"8717323023808")</f>
        <v>8717323023808</v>
      </c>
      <c r="C13649" t="str">
        <f>IFERROR(__xludf.DUMMYFUNCTION("""COMPUTED_VALUE"""),"ECS")</f>
        <v>ECS</v>
      </c>
    </row>
    <row r="13650">
      <c r="A13650" t="str">
        <f>IFERROR(__xludf.DUMMYFUNCTION("""COMPUTED_VALUE"""),"MT131BH")</f>
        <v>MT131BH</v>
      </c>
      <c r="B13650" s="226" t="str">
        <f>IFERROR(__xludf.DUMMYFUNCTION("""COMPUTED_VALUE"""),"8717323054413")</f>
        <v>8717323054413</v>
      </c>
      <c r="C13650" t="str">
        <f>IFERROR(__xludf.DUMMYFUNCTION("""COMPUTED_VALUE"""),"ECS")</f>
        <v>ECS</v>
      </c>
    </row>
    <row r="13651">
      <c r="A13651" t="str">
        <f>IFERROR(__xludf.DUMMYFUNCTION("""COMPUTED_VALUE"""),"MT131DH")</f>
        <v>MT131DH</v>
      </c>
      <c r="B13651" s="226" t="str">
        <f>IFERROR(__xludf.DUMMYFUNCTION("""COMPUTED_VALUE"""),"8717323054420")</f>
        <v>8717323054420</v>
      </c>
      <c r="C13651" t="str">
        <f>IFERROR(__xludf.DUMMYFUNCTION("""COMPUTED_VALUE"""),"ECS")</f>
        <v>ECS</v>
      </c>
    </row>
    <row r="13652">
      <c r="A13652" t="str">
        <f>IFERROR(__xludf.DUMMYFUNCTION("""COMPUTED_VALUE"""),"MT057BB")</f>
        <v>MT057BB</v>
      </c>
      <c r="B13652" s="226" t="str">
        <f>IFERROR(__xludf.DUMMYFUNCTION("""COMPUTED_VALUE"""),"8717323010044")</f>
        <v>8717323010044</v>
      </c>
      <c r="C13652" t="str">
        <f>IFERROR(__xludf.DUMMYFUNCTION("""COMPUTED_VALUE"""),"ECS")</f>
        <v>ECS</v>
      </c>
    </row>
    <row r="13653">
      <c r="A13653" t="str">
        <f>IFERROR(__xludf.DUMMYFUNCTION("""COMPUTED_VALUE"""),"MT057DH")</f>
        <v>MT057DH</v>
      </c>
      <c r="B13653" s="226" t="str">
        <f>IFERROR(__xludf.DUMMYFUNCTION("""COMPUTED_VALUE"""),"8717323010655")</f>
        <v>8717323010655</v>
      </c>
      <c r="C13653" t="str">
        <f>IFERROR(__xludf.DUMMYFUNCTION("""COMPUTED_VALUE"""),"ECS")</f>
        <v>ECS</v>
      </c>
    </row>
    <row r="13654">
      <c r="A13654" t="str">
        <f>IFERROR(__xludf.DUMMYFUNCTION("""COMPUTED_VALUE"""),"MT057BB")</f>
        <v>MT057BB</v>
      </c>
      <c r="B13654" s="226" t="str">
        <f>IFERROR(__xludf.DUMMYFUNCTION("""COMPUTED_VALUE"""),"8717323010044")</f>
        <v>8717323010044</v>
      </c>
      <c r="C13654" t="str">
        <f>IFERROR(__xludf.DUMMYFUNCTION("""COMPUTED_VALUE"""),"ECS")</f>
        <v>ECS</v>
      </c>
    </row>
    <row r="13655">
      <c r="A13655" t="str">
        <f>IFERROR(__xludf.DUMMYFUNCTION("""COMPUTED_VALUE"""),"MT057DH")</f>
        <v>MT057DH</v>
      </c>
      <c r="B13655" s="226" t="str">
        <f>IFERROR(__xludf.DUMMYFUNCTION("""COMPUTED_VALUE"""),"8717323010655")</f>
        <v>8717323010655</v>
      </c>
      <c r="C13655" t="str">
        <f>IFERROR(__xludf.DUMMYFUNCTION("""COMPUTED_VALUE"""),"ECS")</f>
        <v>ECS</v>
      </c>
    </row>
    <row r="13656">
      <c r="A13656" t="str">
        <f>IFERROR(__xludf.DUMMYFUNCTION("""COMPUTED_VALUE"""),"MT104HH")</f>
        <v>MT104HH</v>
      </c>
      <c r="B13656" s="226" t="str">
        <f>IFERROR(__xludf.DUMMYFUNCTION("""COMPUTED_VALUE"""),"8717323034194")</f>
        <v>8717323034194</v>
      </c>
      <c r="C13656" t="str">
        <f>IFERROR(__xludf.DUMMYFUNCTION("""COMPUTED_VALUE"""),"ECS")</f>
        <v>ECS</v>
      </c>
    </row>
    <row r="13657">
      <c r="A13657" t="str">
        <f>IFERROR(__xludf.DUMMYFUNCTION("""COMPUTED_VALUE"""),"MT087FH")</f>
        <v>MT087FH</v>
      </c>
      <c r="B13657" s="226" t="str">
        <f>IFERROR(__xludf.DUMMYFUNCTION("""COMPUTED_VALUE"""),"8717323016770")</f>
        <v>8717323016770</v>
      </c>
      <c r="C13657" t="str">
        <f>IFERROR(__xludf.DUMMYFUNCTION("""COMPUTED_VALUE"""),"ECS")</f>
        <v>ECS</v>
      </c>
    </row>
    <row r="13658">
      <c r="A13658" t="str">
        <f>IFERROR(__xludf.DUMMYFUNCTION("""COMPUTED_VALUE"""),"MT087HH")</f>
        <v>MT087HH</v>
      </c>
      <c r="B13658" s="226" t="str">
        <f>IFERROR(__xludf.DUMMYFUNCTION("""COMPUTED_VALUE"""),"8717323016787")</f>
        <v>8717323016787</v>
      </c>
      <c r="C13658" t="str">
        <f>IFERROR(__xludf.DUMMYFUNCTION("""COMPUTED_VALUE"""),"ECS")</f>
        <v>ECS</v>
      </c>
    </row>
    <row r="13659">
      <c r="A13659" t="str">
        <f>IFERROR(__xludf.DUMMYFUNCTION("""COMPUTED_VALUE"""),"MT104HH")</f>
        <v>MT104HH</v>
      </c>
      <c r="B13659" s="226" t="str">
        <f>IFERROR(__xludf.DUMMYFUNCTION("""COMPUTED_VALUE"""),"8717323034194")</f>
        <v>8717323034194</v>
      </c>
      <c r="C13659" t="str">
        <f>IFERROR(__xludf.DUMMYFUNCTION("""COMPUTED_VALUE"""),"ECS")</f>
        <v>ECS</v>
      </c>
    </row>
    <row r="13660">
      <c r="A13660" t="str">
        <f>IFERROR(__xludf.DUMMYFUNCTION("""COMPUTED_VALUE"""),"MT086FH")</f>
        <v>MT086FH</v>
      </c>
      <c r="B13660" s="226" t="str">
        <f>IFERROR(__xludf.DUMMYFUNCTION("""COMPUTED_VALUE"""),"8717323017050")</f>
        <v>8717323017050</v>
      </c>
      <c r="C13660" t="str">
        <f>IFERROR(__xludf.DUMMYFUNCTION("""COMPUTED_VALUE"""),"ECS")</f>
        <v>ECS</v>
      </c>
    </row>
    <row r="13661">
      <c r="A13661" t="str">
        <f>IFERROR(__xludf.DUMMYFUNCTION("""COMPUTED_VALUE"""),"MT052BB")</f>
        <v>MT052BB</v>
      </c>
      <c r="B13661" s="226" t="str">
        <f>IFERROR(__xludf.DUMMYFUNCTION("""COMPUTED_VALUE"""),"8717323009369")</f>
        <v>8717323009369</v>
      </c>
      <c r="C13661" t="str">
        <f>IFERROR(__xludf.DUMMYFUNCTION("""COMPUTED_VALUE"""),"ECS")</f>
        <v>ECS</v>
      </c>
    </row>
    <row r="13662">
      <c r="A13662" t="str">
        <f>IFERROR(__xludf.DUMMYFUNCTION("""COMPUTED_VALUE"""),"MT052DL")</f>
        <v>MT052DL</v>
      </c>
      <c r="B13662" s="226" t="str">
        <f>IFERROR(__xludf.DUMMYFUNCTION("""COMPUTED_VALUE"""),"8717323009376")</f>
        <v>8717323009376</v>
      </c>
      <c r="C13662" t="str">
        <f>IFERROR(__xludf.DUMMYFUNCTION("""COMPUTED_VALUE"""),"ECS")</f>
        <v>ECS</v>
      </c>
    </row>
    <row r="13663">
      <c r="A13663" t="str">
        <f>IFERROR(__xludf.DUMMYFUNCTION("""COMPUTED_VALUE"""),"MT088DH")</f>
        <v>MT088DH</v>
      </c>
      <c r="B13663" s="226" t="str">
        <f>IFERROR(__xludf.DUMMYFUNCTION("""COMPUTED_VALUE"""),"8717323026113")</f>
        <v>8717323026113</v>
      </c>
      <c r="C13663" t="str">
        <f>IFERROR(__xludf.DUMMYFUNCTION("""COMPUTED_VALUE"""),"ECS")</f>
        <v>ECS</v>
      </c>
    </row>
    <row r="13664">
      <c r="A13664" t="str">
        <f>IFERROR(__xludf.DUMMYFUNCTION("""COMPUTED_VALUE"""),"MT088FH")</f>
        <v>MT088FH</v>
      </c>
      <c r="B13664" s="226" t="str">
        <f>IFERROR(__xludf.DUMMYFUNCTION("""COMPUTED_VALUE"""),"8717323016619")</f>
        <v>8717323016619</v>
      </c>
      <c r="C13664" t="str">
        <f>IFERROR(__xludf.DUMMYFUNCTION("""COMPUTED_VALUE"""),"ECS")</f>
        <v>ECS</v>
      </c>
    </row>
    <row r="13665">
      <c r="A13665" t="str">
        <f>IFERROR(__xludf.DUMMYFUNCTION("""COMPUTED_VALUE"""),"MT115BH")</f>
        <v>MT115BH</v>
      </c>
      <c r="B13665" s="226" t="str">
        <f>IFERROR(__xludf.DUMMYFUNCTION("""COMPUTED_VALUE"""),"8717323047712")</f>
        <v>8717323047712</v>
      </c>
      <c r="C13665" t="str">
        <f>IFERROR(__xludf.DUMMYFUNCTION("""COMPUTED_VALUE"""),"ECS")</f>
        <v>ECS</v>
      </c>
    </row>
    <row r="13666">
      <c r="A13666" t="str">
        <f>IFERROR(__xludf.DUMMYFUNCTION("""COMPUTED_VALUE"""),"MT115DH")</f>
        <v>MT115DH</v>
      </c>
      <c r="B13666" s="226" t="str">
        <f>IFERROR(__xludf.DUMMYFUNCTION("""COMPUTED_VALUE"""),"8717323047729")</f>
        <v>8717323047729</v>
      </c>
      <c r="C13666" t="str">
        <f>IFERROR(__xludf.DUMMYFUNCTION("""COMPUTED_VALUE"""),"ECS")</f>
        <v>ECS</v>
      </c>
    </row>
    <row r="13667">
      <c r="A13667" t="str">
        <f>IFERROR(__xludf.DUMMYFUNCTION("""COMPUTED_VALUE"""),"MT115BH")</f>
        <v>MT115BH</v>
      </c>
      <c r="B13667" s="226" t="str">
        <f>IFERROR(__xludf.DUMMYFUNCTION("""COMPUTED_VALUE"""),"8717323047712")</f>
        <v>8717323047712</v>
      </c>
      <c r="C13667" t="str">
        <f>IFERROR(__xludf.DUMMYFUNCTION("""COMPUTED_VALUE"""),"ECS")</f>
        <v>ECS</v>
      </c>
    </row>
    <row r="13668">
      <c r="A13668" t="str">
        <f>IFERROR(__xludf.DUMMYFUNCTION("""COMPUTED_VALUE"""),"MT115DH")</f>
        <v>MT115DH</v>
      </c>
      <c r="B13668" s="226" t="str">
        <f>IFERROR(__xludf.DUMMYFUNCTION("""COMPUTED_VALUE"""),"8717323047729")</f>
        <v>8717323047729</v>
      </c>
      <c r="C13668" t="str">
        <f>IFERROR(__xludf.DUMMYFUNCTION("""COMPUTED_VALUE"""),"ECS")</f>
        <v>ECS</v>
      </c>
    </row>
    <row r="13669">
      <c r="A13669" t="str">
        <f>IFERROR(__xludf.DUMMYFUNCTION("""COMPUTED_VALUE"""),"MT052BB")</f>
        <v>MT052BB</v>
      </c>
      <c r="B13669" s="226" t="str">
        <f>IFERROR(__xludf.DUMMYFUNCTION("""COMPUTED_VALUE"""),"8717323009369")</f>
        <v>8717323009369</v>
      </c>
      <c r="C13669" t="str">
        <f>IFERROR(__xludf.DUMMYFUNCTION("""COMPUTED_VALUE"""),"ECS")</f>
        <v>ECS</v>
      </c>
    </row>
    <row r="13670">
      <c r="A13670" t="str">
        <f>IFERROR(__xludf.DUMMYFUNCTION("""COMPUTED_VALUE"""),"MT052DL")</f>
        <v>MT052DL</v>
      </c>
      <c r="B13670" s="226" t="str">
        <f>IFERROR(__xludf.DUMMYFUNCTION("""COMPUTED_VALUE"""),"8717323009376")</f>
        <v>8717323009376</v>
      </c>
      <c r="C13670" t="str">
        <f>IFERROR(__xludf.DUMMYFUNCTION("""COMPUTED_VALUE"""),"ECS")</f>
        <v>ECS</v>
      </c>
    </row>
    <row r="13671">
      <c r="A13671" t="str">
        <f>IFERROR(__xludf.DUMMYFUNCTION("""COMPUTED_VALUE"""),"MT029FB")</f>
        <v>MT029FB</v>
      </c>
      <c r="B13671" s="226" t="str">
        <f>IFERROR(__xludf.DUMMYFUNCTION("""COMPUTED_VALUE"""),"8717323004258")</f>
        <v>8717323004258</v>
      </c>
      <c r="C13671" t="str">
        <f>IFERROR(__xludf.DUMMYFUNCTION("""COMPUTED_VALUE"""),"ECS")</f>
        <v>ECS</v>
      </c>
    </row>
    <row r="13672">
      <c r="A13672" t="str">
        <f>IFERROR(__xludf.DUMMYFUNCTION("""COMPUTED_VALUE"""),"MT072FH")</f>
        <v>MT072FH</v>
      </c>
      <c r="B13672" s="226" t="str">
        <f>IFERROR(__xludf.DUMMYFUNCTION("""COMPUTED_VALUE"""),"8717323014820")</f>
        <v>8717323014820</v>
      </c>
      <c r="C13672" t="str">
        <f>IFERROR(__xludf.DUMMYFUNCTION("""COMPUTED_VALUE"""),"ECS")</f>
        <v>ECS</v>
      </c>
    </row>
    <row r="13673">
      <c r="A13673" t="str">
        <f>IFERROR(__xludf.DUMMYFUNCTION("""COMPUTED_VALUE"""),"MT072HH")</f>
        <v>MT072HH</v>
      </c>
      <c r="B13673" s="226" t="str">
        <f>IFERROR(__xludf.DUMMYFUNCTION("""COMPUTED_VALUE"""),"8717323014837")</f>
        <v>8717323014837</v>
      </c>
      <c r="C13673" t="str">
        <f>IFERROR(__xludf.DUMMYFUNCTION("""COMPUTED_VALUE"""),"ECS")</f>
        <v>ECS</v>
      </c>
    </row>
    <row r="13674">
      <c r="A13674" t="str">
        <f>IFERROR(__xludf.DUMMYFUNCTION("""COMPUTED_VALUE"""),"MT011HL")</f>
        <v>MT011HL</v>
      </c>
      <c r="B13674" s="226" t="str">
        <f>IFERROR(__xludf.DUMMYFUNCTION("""COMPUTED_VALUE"""),"8717323020036")</f>
        <v>8717323020036</v>
      </c>
      <c r="C13674" t="str">
        <f>IFERROR(__xludf.DUMMYFUNCTION("""COMPUTED_VALUE"""),"ECS")</f>
        <v>ECS</v>
      </c>
    </row>
    <row r="13675">
      <c r="A13675" t="str">
        <f>IFERROR(__xludf.DUMMYFUNCTION("""COMPUTED_VALUE"""),"MT001BB")</f>
        <v>MT001BB</v>
      </c>
      <c r="B13675" s="226" t="str">
        <f>IFERROR(__xludf.DUMMYFUNCTION("""COMPUTED_VALUE"""),"8717323004159")</f>
        <v>8717323004159</v>
      </c>
      <c r="C13675" t="str">
        <f>IFERROR(__xludf.DUMMYFUNCTION("""COMPUTED_VALUE"""),"ECS")</f>
        <v>ECS</v>
      </c>
    </row>
    <row r="13676">
      <c r="A13676" t="str">
        <f>IFERROR(__xludf.DUMMYFUNCTION("""COMPUTED_VALUE"""),"MT112DH")</f>
        <v>MT112DH</v>
      </c>
      <c r="B13676" s="226" t="str">
        <f>IFERROR(__xludf.DUMMYFUNCTION("""COMPUTED_VALUE"""),"8717323045404")</f>
        <v>8717323045404</v>
      </c>
      <c r="C13676" t="str">
        <f>IFERROR(__xludf.DUMMYFUNCTION("""COMPUTED_VALUE"""),"ECS")</f>
        <v>ECS</v>
      </c>
    </row>
    <row r="13677">
      <c r="A13677" t="str">
        <f>IFERROR(__xludf.DUMMYFUNCTION("""COMPUTED_VALUE"""),"NI014BL")</f>
        <v>NI014BL</v>
      </c>
      <c r="B13677" s="226" t="str">
        <f>IFERROR(__xludf.DUMMYFUNCTION("""COMPUTED_VALUE"""),"8717323004555")</f>
        <v>8717323004555</v>
      </c>
      <c r="C13677" t="str">
        <f>IFERROR(__xludf.DUMMYFUNCTION("""COMPUTED_VALUE"""),"ECS")</f>
        <v>ECS</v>
      </c>
    </row>
    <row r="13678">
      <c r="A13678" t="str">
        <f>IFERROR(__xludf.DUMMYFUNCTION("""COMPUTED_VALUE"""),"NI014BL")</f>
        <v>NI014BL</v>
      </c>
      <c r="B13678" s="226" t="str">
        <f>IFERROR(__xludf.DUMMYFUNCTION("""COMPUTED_VALUE"""),"8717323004555")</f>
        <v>8717323004555</v>
      </c>
      <c r="C13678" t="str">
        <f>IFERROR(__xludf.DUMMYFUNCTION("""COMPUTED_VALUE"""),"ECS")</f>
        <v>ECS</v>
      </c>
    </row>
    <row r="13679">
      <c r="A13679" t="str">
        <f>IFERROR(__xludf.DUMMYFUNCTION("""COMPUTED_VALUE"""),"NI015BL")</f>
        <v>NI015BL</v>
      </c>
      <c r="B13679" s="226" t="str">
        <f>IFERROR(__xludf.DUMMYFUNCTION("""COMPUTED_VALUE"""),"8717323009246")</f>
        <v>8717323009246</v>
      </c>
      <c r="C13679" t="str">
        <f>IFERROR(__xludf.DUMMYFUNCTION("""COMPUTED_VALUE"""),"ECS")</f>
        <v>ECS</v>
      </c>
    </row>
    <row r="13680">
      <c r="A13680" t="str">
        <f>IFERROR(__xludf.DUMMYFUNCTION("""COMPUTED_VALUE"""),"NI067BB")</f>
        <v>NI067BB</v>
      </c>
      <c r="B13680" s="226" t="str">
        <f>IFERROR(__xludf.DUMMYFUNCTION("""COMPUTED_VALUE"""),"8717323023778")</f>
        <v>8717323023778</v>
      </c>
      <c r="C13680" t="str">
        <f>IFERROR(__xludf.DUMMYFUNCTION("""COMPUTED_VALUE"""),"ECS")</f>
        <v>ECS</v>
      </c>
    </row>
    <row r="13681">
      <c r="A13681" t="str">
        <f>IFERROR(__xludf.DUMMYFUNCTION("""COMPUTED_VALUE"""),"NI067DH")</f>
        <v>NI067DH</v>
      </c>
      <c r="B13681" s="226" t="str">
        <f>IFERROR(__xludf.DUMMYFUNCTION("""COMPUTED_VALUE"""),"8717323023785")</f>
        <v>8717323023785</v>
      </c>
      <c r="C13681" t="str">
        <f>IFERROR(__xludf.DUMMYFUNCTION("""COMPUTED_VALUE"""),"ECS")</f>
        <v>ECS</v>
      </c>
    </row>
    <row r="13682">
      <c r="A13682" t="str">
        <f>IFERROR(__xludf.DUMMYFUNCTION("""COMPUTED_VALUE"""),"NI066BL")</f>
        <v>NI066BL</v>
      </c>
      <c r="B13682" s="226" t="str">
        <f>IFERROR(__xludf.DUMMYFUNCTION("""COMPUTED_VALUE"""),"8717323023235")</f>
        <v>8717323023235</v>
      </c>
      <c r="C13682" t="str">
        <f>IFERROR(__xludf.DUMMYFUNCTION("""COMPUTED_VALUE"""),"ECS")</f>
        <v>ECS</v>
      </c>
    </row>
    <row r="13683">
      <c r="A13683" t="str">
        <f>IFERROR(__xludf.DUMMYFUNCTION("""COMPUTED_VALUE"""),"NI066DL")</f>
        <v>NI066DL</v>
      </c>
      <c r="B13683" s="226" t="str">
        <f>IFERROR(__xludf.DUMMYFUNCTION("""COMPUTED_VALUE"""),"8717323023249")</f>
        <v>8717323023249</v>
      </c>
      <c r="C13683" t="str">
        <f>IFERROR(__xludf.DUMMYFUNCTION("""COMPUTED_VALUE"""),"ECS")</f>
        <v>ECS</v>
      </c>
    </row>
    <row r="13684">
      <c r="A13684" t="str">
        <f>IFERROR(__xludf.DUMMYFUNCTION("""COMPUTED_VALUE"""),"RN002BB")</f>
        <v>RN002BB</v>
      </c>
      <c r="B13684" s="226" t="str">
        <f>IFERROR(__xludf.DUMMYFUNCTION("""COMPUTED_VALUE"""),"8717323006313")</f>
        <v>8717323006313</v>
      </c>
      <c r="C13684" t="str">
        <f>IFERROR(__xludf.DUMMYFUNCTION("""COMPUTED_VALUE"""),"ECS")</f>
        <v>ECS</v>
      </c>
    </row>
    <row r="13685">
      <c r="A13685" t="str">
        <f>IFERROR(__xludf.DUMMYFUNCTION("""COMPUTED_VALUE"""),"RN057BB")</f>
        <v>RN057BB</v>
      </c>
      <c r="B13685" s="226" t="str">
        <f>IFERROR(__xludf.DUMMYFUNCTION("""COMPUTED_VALUE"""),"8717323010556")</f>
        <v>8717323010556</v>
      </c>
      <c r="C13685" t="str">
        <f>IFERROR(__xludf.DUMMYFUNCTION("""COMPUTED_VALUE"""),"ECS")</f>
        <v>ECS</v>
      </c>
    </row>
    <row r="13686">
      <c r="A13686" t="str">
        <f>IFERROR(__xludf.DUMMYFUNCTION("""COMPUTED_VALUE"""),"RN057DL")</f>
        <v>RN057DL</v>
      </c>
      <c r="B13686" s="226" t="str">
        <f>IFERROR(__xludf.DUMMYFUNCTION("""COMPUTED_VALUE"""),"8717323010587")</f>
        <v>8717323010587</v>
      </c>
      <c r="C13686" t="str">
        <f>IFERROR(__xludf.DUMMYFUNCTION("""COMPUTED_VALUE"""),"ECS")</f>
        <v>ECS</v>
      </c>
    </row>
    <row r="13687">
      <c r="A13687" t="str">
        <f>IFERROR(__xludf.DUMMYFUNCTION("""COMPUTED_VALUE"""),"NI072BB")</f>
        <v>NI072BB</v>
      </c>
      <c r="B13687" s="226" t="str">
        <f>IFERROR(__xludf.DUMMYFUNCTION("""COMPUTED_VALUE"""),"8717323024347")</f>
        <v>8717323024347</v>
      </c>
      <c r="C13687" t="str">
        <f>IFERROR(__xludf.DUMMYFUNCTION("""COMPUTED_VALUE"""),"ECS")</f>
        <v>ECS</v>
      </c>
    </row>
    <row r="13688">
      <c r="A13688" t="str">
        <f>IFERROR(__xludf.DUMMYFUNCTION("""COMPUTED_VALUE"""),"NI072DH")</f>
        <v>NI072DH</v>
      </c>
      <c r="B13688" s="226" t="str">
        <f>IFERROR(__xludf.DUMMYFUNCTION("""COMPUTED_VALUE"""),"8717323024354")</f>
        <v>8717323024354</v>
      </c>
      <c r="C13688" t="str">
        <f>IFERROR(__xludf.DUMMYFUNCTION("""COMPUTED_VALUE"""),"ECS")</f>
        <v>ECS</v>
      </c>
    </row>
    <row r="13689">
      <c r="A13689" t="str">
        <f>IFERROR(__xludf.DUMMYFUNCTION("""COMPUTED_VALUE"""),"NI111BH")</f>
        <v>NI111BH</v>
      </c>
      <c r="B13689" s="226" t="str">
        <f>IFERROR(__xludf.DUMMYFUNCTION("""COMPUTED_VALUE"""),"8717323049860")</f>
        <v>8717323049860</v>
      </c>
      <c r="C13689" t="str">
        <f>IFERROR(__xludf.DUMMYFUNCTION("""COMPUTED_VALUE"""),"ECS")</f>
        <v>ECS</v>
      </c>
    </row>
    <row r="13690">
      <c r="A13690" t="str">
        <f>IFERROR(__xludf.DUMMYFUNCTION("""COMPUTED_VALUE"""),"NI111DH")</f>
        <v>NI111DH</v>
      </c>
      <c r="B13690" s="226" t="str">
        <f>IFERROR(__xludf.DUMMYFUNCTION("""COMPUTED_VALUE"""),"8717323049877")</f>
        <v>8717323049877</v>
      </c>
      <c r="C13690" t="str">
        <f>IFERROR(__xludf.DUMMYFUNCTION("""COMPUTED_VALUE"""),"ECS")</f>
        <v>ECS</v>
      </c>
    </row>
    <row r="13691">
      <c r="A13691" t="str">
        <f>IFERROR(__xludf.DUMMYFUNCTION("""COMPUTED_VALUE"""),"NIS020B")</f>
        <v>NIS020B</v>
      </c>
      <c r="B13691" s="226" t="str">
        <f>IFERROR(__xludf.DUMMYFUNCTION("""COMPUTED_VALUE"""),"8717323004777")</f>
        <v>8717323004777</v>
      </c>
      <c r="C13691" t="str">
        <f>IFERROR(__xludf.DUMMYFUNCTION("""COMPUTED_VALUE"""),"ECS")</f>
        <v>ECS</v>
      </c>
    </row>
    <row r="13692">
      <c r="A13692" t="str">
        <f>IFERROR(__xludf.DUMMYFUNCTION("""COMPUTED_VALUE"""),"RN001BB")</f>
        <v>RN001BB</v>
      </c>
      <c r="B13692" s="226" t="str">
        <f>IFERROR(__xludf.DUMMYFUNCTION("""COMPUTED_VALUE"""),"8717323006290")</f>
        <v>8717323006290</v>
      </c>
      <c r="C13692" t="str">
        <f>IFERROR(__xludf.DUMMYFUNCTION("""COMPUTED_VALUE"""),"ECS")</f>
        <v>ECS</v>
      </c>
    </row>
    <row r="13693">
      <c r="A13693" t="str">
        <f>IFERROR(__xludf.DUMMYFUNCTION("""COMPUTED_VALUE"""),"RN001DB")</f>
        <v>RN001DB</v>
      </c>
      <c r="B13693" s="226" t="str">
        <f>IFERROR(__xludf.DUMMYFUNCTION("""COMPUTED_VALUE"""),"8717323006306")</f>
        <v>8717323006306</v>
      </c>
      <c r="C13693" t="str">
        <f>IFERROR(__xludf.DUMMYFUNCTION("""COMPUTED_VALUE"""),"ECS")</f>
        <v>ECS</v>
      </c>
    </row>
    <row r="13694">
      <c r="A13694" t="str">
        <f>IFERROR(__xludf.DUMMYFUNCTION("""COMPUTED_VALUE"""),"NI003BB")</f>
        <v>NI003BB</v>
      </c>
      <c r="B13694" s="226" t="str">
        <f>IFERROR(__xludf.DUMMYFUNCTION("""COMPUTED_VALUE"""),"8717323004463")</f>
        <v>8717323004463</v>
      </c>
      <c r="C13694" t="str">
        <f>IFERROR(__xludf.DUMMYFUNCTION("""COMPUTED_VALUE"""),"ECS")</f>
        <v>ECS</v>
      </c>
    </row>
    <row r="13695">
      <c r="A13695" t="str">
        <f>IFERROR(__xludf.DUMMYFUNCTION("""COMPUTED_VALUE"""),"NI003BB")</f>
        <v>NI003BB</v>
      </c>
      <c r="B13695" s="226" t="str">
        <f>IFERROR(__xludf.DUMMYFUNCTION("""COMPUTED_VALUE"""),"8717323004463")</f>
        <v>8717323004463</v>
      </c>
      <c r="C13695" t="str">
        <f>IFERROR(__xludf.DUMMYFUNCTION("""COMPUTED_VALUE"""),"ECS")</f>
        <v>ECS</v>
      </c>
    </row>
    <row r="13696">
      <c r="A13696" t="str">
        <f>IFERROR(__xludf.DUMMYFUNCTION("""COMPUTED_VALUE"""),"NI025BL")</f>
        <v>NI025BL</v>
      </c>
      <c r="B13696" s="226" t="str">
        <f>IFERROR(__xludf.DUMMYFUNCTION("""COMPUTED_VALUE"""),"8717323009345")</f>
        <v>8717323009345</v>
      </c>
      <c r="C13696" t="str">
        <f>IFERROR(__xludf.DUMMYFUNCTION("""COMPUTED_VALUE"""),"ECS")</f>
        <v>ECS</v>
      </c>
    </row>
    <row r="13697">
      <c r="A13697" t="str">
        <f>IFERROR(__xludf.DUMMYFUNCTION("""COMPUTED_VALUE"""),"NI025DL")</f>
        <v>NI025DL</v>
      </c>
      <c r="B13697" s="226" t="str">
        <f>IFERROR(__xludf.DUMMYFUNCTION("""COMPUTED_VALUE"""),"8717323009420")</f>
        <v>8717323009420</v>
      </c>
      <c r="C13697" t="str">
        <f>IFERROR(__xludf.DUMMYFUNCTION("""COMPUTED_VALUE"""),"ECS")</f>
        <v>ECS</v>
      </c>
    </row>
    <row r="13698">
      <c r="A13698" t="str">
        <f>IFERROR(__xludf.DUMMYFUNCTION("""COMPUTED_VALUE"""),"NI025BL")</f>
        <v>NI025BL</v>
      </c>
      <c r="B13698" s="226" t="str">
        <f>IFERROR(__xludf.DUMMYFUNCTION("""COMPUTED_VALUE"""),"8717323009345")</f>
        <v>8717323009345</v>
      </c>
      <c r="C13698" t="str">
        <f>IFERROR(__xludf.DUMMYFUNCTION("""COMPUTED_VALUE"""),"ECS")</f>
        <v>ECS</v>
      </c>
    </row>
    <row r="13699">
      <c r="A13699" t="str">
        <f>IFERROR(__xludf.DUMMYFUNCTION("""COMPUTED_VALUE"""),"NI025DL")</f>
        <v>NI025DL</v>
      </c>
      <c r="B13699" s="226" t="str">
        <f>IFERROR(__xludf.DUMMYFUNCTION("""COMPUTED_VALUE"""),"8717323009420")</f>
        <v>8717323009420</v>
      </c>
      <c r="C13699" t="str">
        <f>IFERROR(__xludf.DUMMYFUNCTION("""COMPUTED_VALUE"""),"ECS")</f>
        <v>ECS</v>
      </c>
    </row>
    <row r="13700">
      <c r="A13700" t="str">
        <f>IFERROR(__xludf.DUMMYFUNCTION("""COMPUTED_VALUE"""),"NI075BB")</f>
        <v>NI075BB</v>
      </c>
      <c r="B13700" s="226" t="str">
        <f>IFERROR(__xludf.DUMMYFUNCTION("""COMPUTED_VALUE"""),"8717323024829")</f>
        <v>8717323024829</v>
      </c>
      <c r="C13700" t="str">
        <f>IFERROR(__xludf.DUMMYFUNCTION("""COMPUTED_VALUE"""),"ECS")</f>
        <v>ECS</v>
      </c>
    </row>
    <row r="13701">
      <c r="A13701" t="str">
        <f>IFERROR(__xludf.DUMMYFUNCTION("""COMPUTED_VALUE"""),"NI075DL")</f>
        <v>NI075DL</v>
      </c>
      <c r="B13701" s="226" t="str">
        <f>IFERROR(__xludf.DUMMYFUNCTION("""COMPUTED_VALUE"""),"8717323024836")</f>
        <v>8717323024836</v>
      </c>
      <c r="C13701" t="str">
        <f>IFERROR(__xludf.DUMMYFUNCTION("""COMPUTED_VALUE"""),"ECS")</f>
        <v>ECS</v>
      </c>
    </row>
    <row r="13702">
      <c r="A13702" t="str">
        <f>IFERROR(__xludf.DUMMYFUNCTION("""COMPUTED_VALUE"""),"NI116BB")</f>
        <v>NI116BB</v>
      </c>
      <c r="B13702" s="226" t="str">
        <f>IFERROR(__xludf.DUMMYFUNCTION("""COMPUTED_VALUE"""),"8717323049624")</f>
        <v>8717323049624</v>
      </c>
      <c r="C13702" t="str">
        <f>IFERROR(__xludf.DUMMYFUNCTION("""COMPUTED_VALUE"""),"ECS")</f>
        <v>ECS</v>
      </c>
    </row>
    <row r="13703">
      <c r="A13703" t="str">
        <f>IFERROR(__xludf.DUMMYFUNCTION("""COMPUTED_VALUE"""),"NI116DH")</f>
        <v>NI116DH</v>
      </c>
      <c r="B13703" s="226" t="str">
        <f>IFERROR(__xludf.DUMMYFUNCTION("""COMPUTED_VALUE"""),"8717323049631")</f>
        <v>8717323049631</v>
      </c>
      <c r="C13703" t="str">
        <f>IFERROR(__xludf.DUMMYFUNCTION("""COMPUTED_VALUE"""),"ECS")</f>
        <v>ECS</v>
      </c>
    </row>
    <row r="13704">
      <c r="A13704" t="str">
        <f>IFERROR(__xludf.DUMMYFUNCTION("""COMPUTED_VALUE"""),"NI075BB")</f>
        <v>NI075BB</v>
      </c>
      <c r="B13704" s="226" t="str">
        <f>IFERROR(__xludf.DUMMYFUNCTION("""COMPUTED_VALUE"""),"8717323024829")</f>
        <v>8717323024829</v>
      </c>
      <c r="C13704" t="str">
        <f>IFERROR(__xludf.DUMMYFUNCTION("""COMPUTED_VALUE"""),"ECS")</f>
        <v>ECS</v>
      </c>
    </row>
    <row r="13705">
      <c r="A13705" t="str">
        <f>IFERROR(__xludf.DUMMYFUNCTION("""COMPUTED_VALUE"""),"NI075DL")</f>
        <v>NI075DL</v>
      </c>
      <c r="B13705" s="226" t="str">
        <f>IFERROR(__xludf.DUMMYFUNCTION("""COMPUTED_VALUE"""),"8717323024836")</f>
        <v>8717323024836</v>
      </c>
      <c r="C13705" t="str">
        <f>IFERROR(__xludf.DUMMYFUNCTION("""COMPUTED_VALUE"""),"ECS")</f>
        <v>ECS</v>
      </c>
    </row>
    <row r="13706">
      <c r="A13706" t="str">
        <f>IFERROR(__xludf.DUMMYFUNCTION("""COMPUTED_VALUE"""),"NI116BB")</f>
        <v>NI116BB</v>
      </c>
      <c r="B13706" s="226" t="str">
        <f>IFERROR(__xludf.DUMMYFUNCTION("""COMPUTED_VALUE"""),"8717323049624")</f>
        <v>8717323049624</v>
      </c>
      <c r="C13706" t="str">
        <f>IFERROR(__xludf.DUMMYFUNCTION("""COMPUTED_VALUE"""),"ECS")</f>
        <v>ECS</v>
      </c>
    </row>
    <row r="13707">
      <c r="A13707" t="str">
        <f>IFERROR(__xludf.DUMMYFUNCTION("""COMPUTED_VALUE"""),"NI116DH")</f>
        <v>NI116DH</v>
      </c>
      <c r="B13707" s="226" t="str">
        <f>IFERROR(__xludf.DUMMYFUNCTION("""COMPUTED_VALUE"""),"8717323049631")</f>
        <v>8717323049631</v>
      </c>
      <c r="C13707" t="str">
        <f>IFERROR(__xludf.DUMMYFUNCTION("""COMPUTED_VALUE"""),"ECS")</f>
        <v>ECS</v>
      </c>
    </row>
    <row r="13708">
      <c r="A13708" t="str">
        <f>IFERROR(__xludf.DUMMYFUNCTION("""COMPUTED_VALUE"""),"NI130BH")</f>
        <v>NI130BH</v>
      </c>
      <c r="B13708" s="226" t="str">
        <f>IFERROR(__xludf.DUMMYFUNCTION("""COMPUTED_VALUE"""),"8717323066638")</f>
        <v>8717323066638</v>
      </c>
      <c r="C13708" t="str">
        <f>IFERROR(__xludf.DUMMYFUNCTION("""COMPUTED_VALUE"""),"ECS")</f>
        <v>ECS</v>
      </c>
    </row>
    <row r="13709">
      <c r="A13709" t="str">
        <f>IFERROR(__xludf.DUMMYFUNCTION("""COMPUTED_VALUE"""),"NI130DH")</f>
        <v>NI130DH</v>
      </c>
      <c r="B13709" s="226" t="str">
        <f>IFERROR(__xludf.DUMMYFUNCTION("""COMPUTED_VALUE"""),"8717323066645")</f>
        <v>8717323066645</v>
      </c>
      <c r="C13709" t="str">
        <f>IFERROR(__xludf.DUMMYFUNCTION("""COMPUTED_VALUE"""),"ECS")</f>
        <v>ECS</v>
      </c>
    </row>
    <row r="13710">
      <c r="A13710" t="str">
        <f>IFERROR(__xludf.DUMMYFUNCTION("""COMPUTED_VALUE"""),"NI026BH")</f>
        <v>NI026BH</v>
      </c>
      <c r="B13710" s="226" t="str">
        <f>IFERROR(__xludf.DUMMYFUNCTION("""COMPUTED_VALUE"""),"8717323012222")</f>
        <v>8717323012222</v>
      </c>
      <c r="C13710" t="str">
        <f>IFERROR(__xludf.DUMMYFUNCTION("""COMPUTED_VALUE"""),"ECS")</f>
        <v>ECS</v>
      </c>
    </row>
    <row r="13711">
      <c r="A13711" t="str">
        <f>IFERROR(__xludf.DUMMYFUNCTION("""COMPUTED_VALUE"""),"NI026DH")</f>
        <v>NI026DH</v>
      </c>
      <c r="B13711" s="226" t="str">
        <f>IFERROR(__xludf.DUMMYFUNCTION("""COMPUTED_VALUE"""),"8717323012239")</f>
        <v>8717323012239</v>
      </c>
      <c r="C13711" t="str">
        <f>IFERROR(__xludf.DUMMYFUNCTION("""COMPUTED_VALUE"""),"ECS")</f>
        <v>ECS</v>
      </c>
    </row>
    <row r="13712">
      <c r="A13712" t="str">
        <f>IFERROR(__xludf.DUMMYFUNCTION("""COMPUTED_VALUE"""),"NI031BL")</f>
        <v>NI031BL</v>
      </c>
      <c r="B13712" s="226" t="str">
        <f>IFERROR(__xludf.DUMMYFUNCTION("""COMPUTED_VALUE"""),"8717323012352")</f>
        <v>8717323012352</v>
      </c>
      <c r="C13712" t="str">
        <f>IFERROR(__xludf.DUMMYFUNCTION("""COMPUTED_VALUE"""),"ECS")</f>
        <v>ECS</v>
      </c>
    </row>
    <row r="13713">
      <c r="A13713" t="str">
        <f>IFERROR(__xludf.DUMMYFUNCTION("""COMPUTED_VALUE"""),"NI031DL")</f>
        <v>NI031DL</v>
      </c>
      <c r="B13713" s="226" t="str">
        <f>IFERROR(__xludf.DUMMYFUNCTION("""COMPUTED_VALUE"""),"8717323012369")</f>
        <v>8717323012369</v>
      </c>
      <c r="C13713" t="str">
        <f>IFERROR(__xludf.DUMMYFUNCTION("""COMPUTED_VALUE"""),"ECS")</f>
        <v>ECS</v>
      </c>
    </row>
    <row r="13714">
      <c r="A13714" t="str">
        <f>IFERROR(__xludf.DUMMYFUNCTION("""COMPUTED_VALUE"""),"NI076BB")</f>
        <v>NI076BB</v>
      </c>
      <c r="B13714" s="226" t="str">
        <f>IFERROR(__xludf.DUMMYFUNCTION("""COMPUTED_VALUE"""),"8717323024324")</f>
        <v>8717323024324</v>
      </c>
      <c r="C13714" t="str">
        <f>IFERROR(__xludf.DUMMYFUNCTION("""COMPUTED_VALUE"""),"ECS")</f>
        <v>ECS</v>
      </c>
    </row>
    <row r="13715">
      <c r="A13715" t="str">
        <f>IFERROR(__xludf.DUMMYFUNCTION("""COMPUTED_VALUE"""),"NI076DL")</f>
        <v>NI076DL</v>
      </c>
      <c r="B13715" s="226" t="str">
        <f>IFERROR(__xludf.DUMMYFUNCTION("""COMPUTED_VALUE"""),"8717323024331")</f>
        <v>8717323024331</v>
      </c>
      <c r="C13715" t="str">
        <f>IFERROR(__xludf.DUMMYFUNCTION("""COMPUTED_VALUE"""),"ECS")</f>
        <v>ECS</v>
      </c>
    </row>
    <row r="13716">
      <c r="A13716" t="str">
        <f>IFERROR(__xludf.DUMMYFUNCTION("""COMPUTED_VALUE"""),"NI112BB")</f>
        <v>NI112BB</v>
      </c>
      <c r="B13716" s="226" t="str">
        <f>IFERROR(__xludf.DUMMYFUNCTION("""COMPUTED_VALUE"""),"8717323057438")</f>
        <v>8717323057438</v>
      </c>
      <c r="C13716" t="str">
        <f>IFERROR(__xludf.DUMMYFUNCTION("""COMPUTED_VALUE"""),"ECS")</f>
        <v>ECS</v>
      </c>
    </row>
    <row r="13717">
      <c r="A13717" t="str">
        <f>IFERROR(__xludf.DUMMYFUNCTION("""COMPUTED_VALUE"""),"NI112BH")</f>
        <v>NI112BH</v>
      </c>
      <c r="B13717" s="226" t="str">
        <f>IFERROR(__xludf.DUMMYFUNCTION("""COMPUTED_VALUE"""),"8717323065907")</f>
        <v>8717323065907</v>
      </c>
      <c r="C13717" t="str">
        <f>IFERROR(__xludf.DUMMYFUNCTION("""COMPUTED_VALUE"""),"ECS")</f>
        <v>ECS</v>
      </c>
    </row>
    <row r="13718">
      <c r="A13718" t="str">
        <f>IFERROR(__xludf.DUMMYFUNCTION("""COMPUTED_VALUE"""),"NI112DH")</f>
        <v>NI112DH</v>
      </c>
      <c r="B13718" s="226" t="str">
        <f>IFERROR(__xludf.DUMMYFUNCTION("""COMPUTED_VALUE"""),"8717323057445")</f>
        <v>8717323057445</v>
      </c>
      <c r="C13718" t="str">
        <f>IFERROR(__xludf.DUMMYFUNCTION("""COMPUTED_VALUE"""),"ECS")</f>
        <v>ECS</v>
      </c>
    </row>
    <row r="13719">
      <c r="A13719" t="str">
        <f>IFERROR(__xludf.DUMMYFUNCTION("""COMPUTED_VALUE"""),"NI032BB")</f>
        <v>NI032BB</v>
      </c>
      <c r="B13719" s="226" t="str">
        <f>IFERROR(__xludf.DUMMYFUNCTION("""COMPUTED_VALUE"""),"8717323013939")</f>
        <v>8717323013939</v>
      </c>
      <c r="C13719" t="str">
        <f>IFERROR(__xludf.DUMMYFUNCTION("""COMPUTED_VALUE"""),"ECS")</f>
        <v>ECS</v>
      </c>
    </row>
    <row r="13720">
      <c r="A13720" t="str">
        <f>IFERROR(__xludf.DUMMYFUNCTION("""COMPUTED_VALUE"""),"NI032DH")</f>
        <v>NI032DH</v>
      </c>
      <c r="B13720" s="226" t="str">
        <f>IFERROR(__xludf.DUMMYFUNCTION("""COMPUTED_VALUE"""),"8717323013946")</f>
        <v>8717323013946</v>
      </c>
      <c r="C13720" t="str">
        <f>IFERROR(__xludf.DUMMYFUNCTION("""COMPUTED_VALUE"""),"ECS")</f>
        <v>ECS</v>
      </c>
    </row>
    <row r="13721">
      <c r="A13721" t="str">
        <f>IFERROR(__xludf.DUMMYFUNCTION("""COMPUTED_VALUE"""),"NI096BB")</f>
        <v>NI096BB</v>
      </c>
      <c r="B13721" s="226" t="str">
        <f>IFERROR(__xludf.DUMMYFUNCTION("""COMPUTED_VALUE"""),"8717323047958")</f>
        <v>8717323047958</v>
      </c>
      <c r="C13721" t="str">
        <f>IFERROR(__xludf.DUMMYFUNCTION("""COMPUTED_VALUE"""),"ECS")</f>
        <v>ECS</v>
      </c>
    </row>
    <row r="13722">
      <c r="A13722" t="str">
        <f>IFERROR(__xludf.DUMMYFUNCTION("""COMPUTED_VALUE"""),"NI096DH")</f>
        <v>NI096DH</v>
      </c>
      <c r="B13722" s="226" t="str">
        <f>IFERROR(__xludf.DUMMYFUNCTION("""COMPUTED_VALUE"""),"8717323047965")</f>
        <v>8717323047965</v>
      </c>
      <c r="C13722" t="str">
        <f>IFERROR(__xludf.DUMMYFUNCTION("""COMPUTED_VALUE"""),"ECS")</f>
        <v>ECS</v>
      </c>
    </row>
    <row r="13723">
      <c r="A13723" t="str">
        <f>IFERROR(__xludf.DUMMYFUNCTION("""COMPUTED_VALUE"""),"NI066BL")</f>
        <v>NI066BL</v>
      </c>
      <c r="B13723" s="226" t="str">
        <f>IFERROR(__xludf.DUMMYFUNCTION("""COMPUTED_VALUE"""),"8717323023235")</f>
        <v>8717323023235</v>
      </c>
      <c r="C13723" t="str">
        <f>IFERROR(__xludf.DUMMYFUNCTION("""COMPUTED_VALUE"""),"ECS")</f>
        <v>ECS</v>
      </c>
    </row>
    <row r="13724">
      <c r="A13724" t="str">
        <f>IFERROR(__xludf.DUMMYFUNCTION("""COMPUTED_VALUE"""),"NI066DL")</f>
        <v>NI066DL</v>
      </c>
      <c r="B13724" s="226" t="str">
        <f>IFERROR(__xludf.DUMMYFUNCTION("""COMPUTED_VALUE"""),"8717323023249")</f>
        <v>8717323023249</v>
      </c>
      <c r="C13724" t="str">
        <f>IFERROR(__xludf.DUMMYFUNCTION("""COMPUTED_VALUE"""),"ECS")</f>
        <v>ECS</v>
      </c>
    </row>
    <row r="13725">
      <c r="A13725" t="str">
        <f>IFERROR(__xludf.DUMMYFUNCTION("""COMPUTED_VALUE"""),"OP069BH")</f>
        <v>OP069BH</v>
      </c>
      <c r="B13725" s="226" t="str">
        <f>IFERROR(__xludf.DUMMYFUNCTION("""COMPUTED_VALUE"""),"8717323050446")</f>
        <v>8717323050446</v>
      </c>
      <c r="C13725" t="str">
        <f>IFERROR(__xludf.DUMMYFUNCTION("""COMPUTED_VALUE"""),"ECS")</f>
        <v>ECS</v>
      </c>
    </row>
    <row r="13726">
      <c r="A13726" t="str">
        <f>IFERROR(__xludf.DUMMYFUNCTION("""COMPUTED_VALUE"""),"OP069DH")</f>
        <v>OP069DH</v>
      </c>
      <c r="B13726" s="226" t="str">
        <f>IFERROR(__xludf.DUMMYFUNCTION("""COMPUTED_VALUE"""),"8717323050583")</f>
        <v>8717323050583</v>
      </c>
      <c r="C13726" t="str">
        <f>IFERROR(__xludf.DUMMYFUNCTION("""COMPUTED_VALUE"""),"ECS")</f>
        <v>ECS</v>
      </c>
    </row>
    <row r="13727">
      <c r="A13727" t="str">
        <f>IFERROR(__xludf.DUMMYFUNCTION("""COMPUTED_VALUE"""),"OP054BB")</f>
        <v>OP054BB</v>
      </c>
      <c r="B13727" s="226" t="str">
        <f>IFERROR(__xludf.DUMMYFUNCTION("""COMPUTED_VALUE"""),"8717323026403")</f>
        <v>8717323026403</v>
      </c>
      <c r="C13727" t="str">
        <f>IFERROR(__xludf.DUMMYFUNCTION("""COMPUTED_VALUE"""),"ECS")</f>
        <v>ECS</v>
      </c>
    </row>
    <row r="13728">
      <c r="A13728" t="str">
        <f>IFERROR(__xludf.DUMMYFUNCTION("""COMPUTED_VALUE"""),"OP054DB")</f>
        <v>OP054DB</v>
      </c>
      <c r="B13728" s="226" t="str">
        <f>IFERROR(__xludf.DUMMYFUNCTION("""COMPUTED_VALUE"""),"8717323056219")</f>
        <v>8717323056219</v>
      </c>
      <c r="C13728" t="str">
        <f>IFERROR(__xludf.DUMMYFUNCTION("""COMPUTED_VALUE"""),"ECS")</f>
        <v>ECS</v>
      </c>
    </row>
    <row r="13729">
      <c r="A13729" t="str">
        <f>IFERROR(__xludf.DUMMYFUNCTION("""COMPUTED_VALUE"""),"OP054DL")</f>
        <v>OP054DL</v>
      </c>
      <c r="B13729" s="226" t="str">
        <f>IFERROR(__xludf.DUMMYFUNCTION("""COMPUTED_VALUE"""),"8717323026267")</f>
        <v>8717323026267</v>
      </c>
      <c r="C13729" t="str">
        <f>IFERROR(__xludf.DUMMYFUNCTION("""COMPUTED_VALUE"""),"ECS")</f>
        <v>ECS</v>
      </c>
    </row>
    <row r="13730">
      <c r="A13730" t="str">
        <f>IFERROR(__xludf.DUMMYFUNCTION("""COMPUTED_VALUE"""),"OP056BB")</f>
        <v>OP056BB</v>
      </c>
      <c r="B13730" s="226" t="str">
        <f>IFERROR(__xludf.DUMMYFUNCTION("""COMPUTED_VALUE"""),"8717323024447")</f>
        <v>8717323024447</v>
      </c>
      <c r="C13730" t="str">
        <f>IFERROR(__xludf.DUMMYFUNCTION("""COMPUTED_VALUE"""),"ECS")</f>
        <v>ECS</v>
      </c>
    </row>
    <row r="13731">
      <c r="A13731" t="str">
        <f>IFERROR(__xludf.DUMMYFUNCTION("""COMPUTED_VALUE"""),"OP056BL")</f>
        <v>OP056BL</v>
      </c>
      <c r="B13731" s="226" t="str">
        <f>IFERROR(__xludf.DUMMYFUNCTION("""COMPUTED_VALUE"""),"8717323023938")</f>
        <v>8717323023938</v>
      </c>
      <c r="C13731" t="str">
        <f>IFERROR(__xludf.DUMMYFUNCTION("""COMPUTED_VALUE"""),"ECS")</f>
        <v>ECS</v>
      </c>
    </row>
    <row r="13732">
      <c r="A13732" t="str">
        <f>IFERROR(__xludf.DUMMYFUNCTION("""COMPUTED_VALUE"""),"OP056DL")</f>
        <v>OP056DL</v>
      </c>
      <c r="B13732" s="226" t="str">
        <f>IFERROR(__xludf.DUMMYFUNCTION("""COMPUTED_VALUE"""),"8717323024454")</f>
        <v>8717323024454</v>
      </c>
      <c r="C13732" t="str">
        <f>IFERROR(__xludf.DUMMYFUNCTION("""COMPUTED_VALUE"""),"ECS")</f>
        <v>ECS</v>
      </c>
    </row>
    <row r="13733">
      <c r="A13733" t="str">
        <f>IFERROR(__xludf.DUMMYFUNCTION("""COMPUTED_VALUE"""),"NI082BB")</f>
        <v>NI082BB</v>
      </c>
      <c r="B13733" s="226" t="str">
        <f>IFERROR(__xludf.DUMMYFUNCTION("""COMPUTED_VALUE"""),"8717323024911")</f>
        <v>8717323024911</v>
      </c>
      <c r="C13733" t="str">
        <f>IFERROR(__xludf.DUMMYFUNCTION("""COMPUTED_VALUE"""),"ECS")</f>
        <v>ECS</v>
      </c>
    </row>
    <row r="13734">
      <c r="A13734" t="str">
        <f>IFERROR(__xludf.DUMMYFUNCTION("""COMPUTED_VALUE"""),"NI082DL")</f>
        <v>NI082DL</v>
      </c>
      <c r="B13734" s="226" t="str">
        <f>IFERROR(__xludf.DUMMYFUNCTION("""COMPUTED_VALUE"""),"8717323024928")</f>
        <v>8717323024928</v>
      </c>
      <c r="C13734" t="str">
        <f>IFERROR(__xludf.DUMMYFUNCTION("""COMPUTED_VALUE"""),"ECS")</f>
        <v>ECS</v>
      </c>
    </row>
    <row r="13735">
      <c r="A13735" t="str">
        <f>IFERROR(__xludf.DUMMYFUNCTION("""COMPUTED_VALUE"""),"OP049BB")</f>
        <v>OP049BB</v>
      </c>
      <c r="B13735" s="226" t="str">
        <f>IFERROR(__xludf.DUMMYFUNCTION("""COMPUTED_VALUE"""),"8717323016343")</f>
        <v>8717323016343</v>
      </c>
      <c r="C13735" t="str">
        <f>IFERROR(__xludf.DUMMYFUNCTION("""COMPUTED_VALUE"""),"ECS")</f>
        <v>ECS</v>
      </c>
    </row>
    <row r="13736">
      <c r="A13736" t="str">
        <f>IFERROR(__xludf.DUMMYFUNCTION("""COMPUTED_VALUE"""),"OP049DH")</f>
        <v>OP049DH</v>
      </c>
      <c r="B13736" s="226" t="str">
        <f>IFERROR(__xludf.DUMMYFUNCTION("""COMPUTED_VALUE"""),"8717323016350")</f>
        <v>8717323016350</v>
      </c>
      <c r="C13736" t="str">
        <f>IFERROR(__xludf.DUMMYFUNCTION("""COMPUTED_VALUE"""),"ECS")</f>
        <v>ECS</v>
      </c>
    </row>
    <row r="13737">
      <c r="A13737" t="str">
        <f>IFERROR(__xludf.DUMMYFUNCTION("""COMPUTED_VALUE"""),"OP031BL")</f>
        <v>OP031BL</v>
      </c>
      <c r="B13737" s="226" t="str">
        <f>IFERROR(__xludf.DUMMYFUNCTION("""COMPUTED_VALUE"""),"8717323005118")</f>
        <v>8717323005118</v>
      </c>
      <c r="C13737" t="str">
        <f>IFERROR(__xludf.DUMMYFUNCTION("""COMPUTED_VALUE"""),"ECS")</f>
        <v>ECS</v>
      </c>
    </row>
    <row r="13738">
      <c r="A13738" t="str">
        <f>IFERROR(__xludf.DUMMYFUNCTION("""COMPUTED_VALUE"""),"OP031DL")</f>
        <v>OP031DL</v>
      </c>
      <c r="B13738" s="226" t="str">
        <f>IFERROR(__xludf.DUMMYFUNCTION("""COMPUTED_VALUE"""),"8717323005125")</f>
        <v>8717323005125</v>
      </c>
      <c r="C13738" t="str">
        <f>IFERROR(__xludf.DUMMYFUNCTION("""COMPUTED_VALUE"""),"ECS")</f>
        <v>ECS</v>
      </c>
    </row>
    <row r="13739">
      <c r="A13739" t="str">
        <f>IFERROR(__xludf.DUMMYFUNCTION("""COMPUTED_VALUE"""),"OP057BB")</f>
        <v>OP057BB</v>
      </c>
      <c r="B13739" s="226" t="str">
        <f>IFERROR(__xludf.DUMMYFUNCTION("""COMPUTED_VALUE"""),"8717323024638")</f>
        <v>8717323024638</v>
      </c>
      <c r="C13739" t="str">
        <f>IFERROR(__xludf.DUMMYFUNCTION("""COMPUTED_VALUE"""),"ECS")</f>
        <v>ECS</v>
      </c>
    </row>
    <row r="13740">
      <c r="A13740" t="str">
        <f>IFERROR(__xludf.DUMMYFUNCTION("""COMPUTED_VALUE"""),"OP057BL")</f>
        <v>OP057BL</v>
      </c>
      <c r="B13740" s="226" t="str">
        <f>IFERROR(__xludf.DUMMYFUNCTION("""COMPUTED_VALUE"""),"8717323026410")</f>
        <v>8717323026410</v>
      </c>
      <c r="C13740" t="str">
        <f>IFERROR(__xludf.DUMMYFUNCTION("""COMPUTED_VALUE"""),"ECS")</f>
        <v>ECS</v>
      </c>
    </row>
    <row r="13741">
      <c r="A13741" t="str">
        <f>IFERROR(__xludf.DUMMYFUNCTION("""COMPUTED_VALUE"""),"OP057DL")</f>
        <v>OP057DL</v>
      </c>
      <c r="B13741" s="226" t="str">
        <f>IFERROR(__xludf.DUMMYFUNCTION("""COMPUTED_VALUE"""),"8717323024508")</f>
        <v>8717323024508</v>
      </c>
      <c r="C13741" t="str">
        <f>IFERROR(__xludf.DUMMYFUNCTION("""COMPUTED_VALUE"""),"ECS")</f>
        <v>ECS</v>
      </c>
    </row>
    <row r="13742">
      <c r="A13742" t="str">
        <f>IFERROR(__xludf.DUMMYFUNCTION("""COMPUTED_VALUE"""),"OP057BB")</f>
        <v>OP057BB</v>
      </c>
      <c r="B13742" s="226" t="str">
        <f>IFERROR(__xludf.DUMMYFUNCTION("""COMPUTED_VALUE"""),"8717323024638")</f>
        <v>8717323024638</v>
      </c>
      <c r="C13742" t="str">
        <f>IFERROR(__xludf.DUMMYFUNCTION("""COMPUTED_VALUE"""),"ECS")</f>
        <v>ECS</v>
      </c>
    </row>
    <row r="13743">
      <c r="A13743" t="str">
        <f>IFERROR(__xludf.DUMMYFUNCTION("""COMPUTED_VALUE"""),"OP057BL")</f>
        <v>OP057BL</v>
      </c>
      <c r="B13743" s="226" t="str">
        <f>IFERROR(__xludf.DUMMYFUNCTION("""COMPUTED_VALUE"""),"8717323026410")</f>
        <v>8717323026410</v>
      </c>
      <c r="C13743" t="str">
        <f>IFERROR(__xludf.DUMMYFUNCTION("""COMPUTED_VALUE"""),"ECS")</f>
        <v>ECS</v>
      </c>
    </row>
    <row r="13744">
      <c r="A13744" t="str">
        <f>IFERROR(__xludf.DUMMYFUNCTION("""COMPUTED_VALUE"""),"OP057DL")</f>
        <v>OP057DL</v>
      </c>
      <c r="B13744" s="226" t="str">
        <f>IFERROR(__xludf.DUMMYFUNCTION("""COMPUTED_VALUE"""),"8717323024508")</f>
        <v>8717323024508</v>
      </c>
      <c r="C13744" t="str">
        <f>IFERROR(__xludf.DUMMYFUNCTION("""COMPUTED_VALUE"""),"ECS")</f>
        <v>ECS</v>
      </c>
    </row>
    <row r="13745">
      <c r="A13745" t="str">
        <f>IFERROR(__xludf.DUMMYFUNCTION("""COMPUTED_VALUE"""),"NI018BL")</f>
        <v>NI018BL</v>
      </c>
      <c r="B13745" s="226" t="str">
        <f>IFERROR(__xludf.DUMMYFUNCTION("""COMPUTED_VALUE"""),"8717323004623")</f>
        <v>8717323004623</v>
      </c>
      <c r="C13745" t="str">
        <f>IFERROR(__xludf.DUMMYFUNCTION("""COMPUTED_VALUE"""),"ECS")</f>
        <v>ECS</v>
      </c>
    </row>
    <row r="13746">
      <c r="A13746" t="str">
        <f>IFERROR(__xludf.DUMMYFUNCTION("""COMPUTED_VALUE"""),"NI125BH")</f>
        <v>NI125BH</v>
      </c>
      <c r="B13746" s="226" t="str">
        <f>IFERROR(__xludf.DUMMYFUNCTION("""COMPUTED_VALUE"""),"8717323050545")</f>
        <v>8717323050545</v>
      </c>
      <c r="C13746" t="str">
        <f>IFERROR(__xludf.DUMMYFUNCTION("""COMPUTED_VALUE"""),"ECS")</f>
        <v>ECS</v>
      </c>
    </row>
    <row r="13747">
      <c r="A13747" t="str">
        <f>IFERROR(__xludf.DUMMYFUNCTION("""COMPUTED_VALUE"""),"NI125DH")</f>
        <v>NI125DH</v>
      </c>
      <c r="B13747" s="226" t="str">
        <f>IFERROR(__xludf.DUMMYFUNCTION("""COMPUTED_VALUE"""),"8717323050552")</f>
        <v>8717323050552</v>
      </c>
      <c r="C13747" t="str">
        <f>IFERROR(__xludf.DUMMYFUNCTION("""COMPUTED_VALUE"""),"ECS")</f>
        <v>ECS</v>
      </c>
    </row>
    <row r="13748">
      <c r="A13748" t="str">
        <f>IFERROR(__xludf.DUMMYFUNCTION("""COMPUTED_VALUE"""),"NI041BB")</f>
        <v>NI041BB</v>
      </c>
      <c r="B13748" s="226" t="str">
        <f>IFERROR(__xludf.DUMMYFUNCTION("""COMPUTED_VALUE"""),"8717323016985")</f>
        <v>8717323016985</v>
      </c>
      <c r="C13748" t="str">
        <f>IFERROR(__xludf.DUMMYFUNCTION("""COMPUTED_VALUE"""),"ECS")</f>
        <v>ECS</v>
      </c>
    </row>
    <row r="13749">
      <c r="A13749" t="str">
        <f>IFERROR(__xludf.DUMMYFUNCTION("""COMPUTED_VALUE"""),"NI041BH")</f>
        <v>NI041BH</v>
      </c>
      <c r="B13749" s="226" t="str">
        <f>IFERROR(__xludf.DUMMYFUNCTION("""COMPUTED_VALUE"""),"8717323016992")</f>
        <v>8717323016992</v>
      </c>
      <c r="C13749" t="str">
        <f>IFERROR(__xludf.DUMMYFUNCTION("""COMPUTED_VALUE"""),"ECS")</f>
        <v>ECS</v>
      </c>
    </row>
    <row r="13750">
      <c r="A13750" t="str">
        <f>IFERROR(__xludf.DUMMYFUNCTION("""COMPUTED_VALUE"""),"NI041DH")</f>
        <v>NI041DH</v>
      </c>
      <c r="B13750" s="226" t="str">
        <f>IFERROR(__xludf.DUMMYFUNCTION("""COMPUTED_VALUE"""),"8717323017005")</f>
        <v>8717323017005</v>
      </c>
      <c r="C13750" t="str">
        <f>IFERROR(__xludf.DUMMYFUNCTION("""COMPUTED_VALUE"""),"ECS")</f>
        <v>ECS</v>
      </c>
    </row>
    <row r="13751">
      <c r="A13751" t="str">
        <f>IFERROR(__xludf.DUMMYFUNCTION("""COMPUTED_VALUE"""),"NI041BH")</f>
        <v>NI041BH</v>
      </c>
      <c r="B13751" s="226" t="str">
        <f>IFERROR(__xludf.DUMMYFUNCTION("""COMPUTED_VALUE"""),"8717323016992")</f>
        <v>8717323016992</v>
      </c>
      <c r="C13751" t="str">
        <f>IFERROR(__xludf.DUMMYFUNCTION("""COMPUTED_VALUE"""),"ECS")</f>
        <v>ECS</v>
      </c>
    </row>
    <row r="13752">
      <c r="A13752" t="str">
        <f>IFERROR(__xludf.DUMMYFUNCTION("""COMPUTED_VALUE"""),"NI041DH")</f>
        <v>NI041DH</v>
      </c>
      <c r="B13752" s="226" t="str">
        <f>IFERROR(__xludf.DUMMYFUNCTION("""COMPUTED_VALUE"""),"8717323017005")</f>
        <v>8717323017005</v>
      </c>
      <c r="C13752" t="str">
        <f>IFERROR(__xludf.DUMMYFUNCTION("""COMPUTED_VALUE"""),"ECS")</f>
        <v>ECS</v>
      </c>
    </row>
    <row r="13753">
      <c r="A13753" t="str">
        <f>IFERROR(__xludf.DUMMYFUNCTION("""COMPUTED_VALUE"""),"NI115BH")</f>
        <v>NI115BH</v>
      </c>
      <c r="B13753" s="226" t="str">
        <f>IFERROR(__xludf.DUMMYFUNCTION("""COMPUTED_VALUE"""),"8717323048733")</f>
        <v>8717323048733</v>
      </c>
      <c r="C13753" t="str">
        <f>IFERROR(__xludf.DUMMYFUNCTION("""COMPUTED_VALUE"""),"ECS")</f>
        <v>ECS</v>
      </c>
    </row>
    <row r="13754">
      <c r="A13754" t="str">
        <f>IFERROR(__xludf.DUMMYFUNCTION("""COMPUTED_VALUE"""),"NI115DH")</f>
        <v>NI115DH</v>
      </c>
      <c r="B13754" s="226" t="str">
        <f>IFERROR(__xludf.DUMMYFUNCTION("""COMPUTED_VALUE"""),"8717323048740")</f>
        <v>8717323048740</v>
      </c>
      <c r="C13754" t="str">
        <f>IFERROR(__xludf.DUMMYFUNCTION("""COMPUTED_VALUE"""),"ECS")</f>
        <v>ECS</v>
      </c>
    </row>
    <row r="13755">
      <c r="A13755" t="str">
        <f>IFERROR(__xludf.DUMMYFUNCTION("""COMPUTED_VALUE"""),"NI163BH")</f>
        <v>NI163BH</v>
      </c>
      <c r="B13755" s="226" t="str">
        <f>IFERROR(__xludf.DUMMYFUNCTION("""COMPUTED_VALUE"""),"8717323070895")</f>
        <v>8717323070895</v>
      </c>
      <c r="C13755" t="str">
        <f>IFERROR(__xludf.DUMMYFUNCTION("""COMPUTED_VALUE"""),"ECS")</f>
        <v>ECS</v>
      </c>
    </row>
    <row r="13756">
      <c r="A13756" t="str">
        <f>IFERROR(__xludf.DUMMYFUNCTION("""COMPUTED_VALUE"""),"NI163DH")</f>
        <v>NI163DH</v>
      </c>
      <c r="B13756" s="226" t="str">
        <f>IFERROR(__xludf.DUMMYFUNCTION("""COMPUTED_VALUE"""),"8717323070901")</f>
        <v>8717323070901</v>
      </c>
      <c r="C13756" t="str">
        <f>IFERROR(__xludf.DUMMYFUNCTION("""COMPUTED_VALUE"""),"ECS")</f>
        <v>ECS</v>
      </c>
    </row>
    <row r="13757">
      <c r="A13757" t="str">
        <f>IFERROR(__xludf.DUMMYFUNCTION("""COMPUTED_VALUE"""),"NIS018B")</f>
        <v>NIS018B</v>
      </c>
      <c r="B13757" s="226" t="str">
        <f>IFERROR(__xludf.DUMMYFUNCTION("""COMPUTED_VALUE"""),"8717323004760")</f>
        <v>8717323004760</v>
      </c>
      <c r="C13757" t="str">
        <f>IFERROR(__xludf.DUMMYFUNCTION("""COMPUTED_VALUE"""),"ECS")</f>
        <v>ECS</v>
      </c>
    </row>
    <row r="13758">
      <c r="A13758" t="str">
        <f>IFERROR(__xludf.DUMMYFUNCTION("""COMPUTED_VALUE"""),"NI034BQ")</f>
        <v>NI034BQ</v>
      </c>
      <c r="B13758" s="226" t="str">
        <f>IFERROR(__xludf.DUMMYFUNCTION("""COMPUTED_VALUE"""),"8717323036051")</f>
        <v>8717323036051</v>
      </c>
      <c r="C13758" t="str">
        <f>IFERROR(__xludf.DUMMYFUNCTION("""COMPUTED_VALUE"""),"ECS")</f>
        <v>ECS</v>
      </c>
    </row>
    <row r="13759">
      <c r="A13759" t="str">
        <f>IFERROR(__xludf.DUMMYFUNCTION("""COMPUTED_VALUE"""),"NI034DH")</f>
        <v>NI034DH</v>
      </c>
      <c r="B13759" s="226" t="str">
        <f>IFERROR(__xludf.DUMMYFUNCTION("""COMPUTED_VALUE"""),"8717323035092")</f>
        <v>8717323035092</v>
      </c>
      <c r="C13759" t="str">
        <f>IFERROR(__xludf.DUMMYFUNCTION("""COMPUTED_VALUE"""),"ECS")</f>
        <v>ECS</v>
      </c>
    </row>
    <row r="13760">
      <c r="A13760" t="str">
        <f>IFERROR(__xludf.DUMMYFUNCTION("""COMPUTED_VALUE"""),"NI034BQ")</f>
        <v>NI034BQ</v>
      </c>
      <c r="B13760" s="226" t="str">
        <f>IFERROR(__xludf.DUMMYFUNCTION("""COMPUTED_VALUE"""),"8717323036051")</f>
        <v>8717323036051</v>
      </c>
      <c r="C13760" t="str">
        <f>IFERROR(__xludf.DUMMYFUNCTION("""COMPUTED_VALUE"""),"ECS")</f>
        <v>ECS</v>
      </c>
    </row>
    <row r="13761">
      <c r="A13761" t="str">
        <f>IFERROR(__xludf.DUMMYFUNCTION("""COMPUTED_VALUE"""),"NI034DH")</f>
        <v>NI034DH</v>
      </c>
      <c r="B13761" s="226" t="str">
        <f>IFERROR(__xludf.DUMMYFUNCTION("""COMPUTED_VALUE"""),"8717323035092")</f>
        <v>8717323035092</v>
      </c>
      <c r="C13761" t="str">
        <f>IFERROR(__xludf.DUMMYFUNCTION("""COMPUTED_VALUE"""),"ECS")</f>
        <v>ECS</v>
      </c>
    </row>
    <row r="13762">
      <c r="A13762" t="str">
        <f>IFERROR(__xludf.DUMMYFUNCTION("""COMPUTED_VALUE"""),"NI019BB")</f>
        <v>NI019BB</v>
      </c>
      <c r="B13762" s="226" t="str">
        <f>IFERROR(__xludf.DUMMYFUNCTION("""COMPUTED_VALUE"""),"8717323004647")</f>
        <v>8717323004647</v>
      </c>
      <c r="C13762" t="str">
        <f>IFERROR(__xludf.DUMMYFUNCTION("""COMPUTED_VALUE"""),"ECS")</f>
        <v>ECS</v>
      </c>
    </row>
    <row r="13763">
      <c r="A13763" t="str">
        <f>IFERROR(__xludf.DUMMYFUNCTION("""COMPUTED_VALUE"""),"NI019DL")</f>
        <v>NI019DL</v>
      </c>
      <c r="B13763" s="226" t="str">
        <f>IFERROR(__xludf.DUMMYFUNCTION("""COMPUTED_VALUE"""),"8717323020203")</f>
        <v>8717323020203</v>
      </c>
      <c r="C13763" t="str">
        <f>IFERROR(__xludf.DUMMYFUNCTION("""COMPUTED_VALUE"""),"ECS")</f>
        <v>ECS</v>
      </c>
    </row>
    <row r="13764">
      <c r="A13764" t="str">
        <f>IFERROR(__xludf.DUMMYFUNCTION("""COMPUTED_VALUE"""),"NI041BB")</f>
        <v>NI041BB</v>
      </c>
      <c r="B13764" s="226" t="str">
        <f>IFERROR(__xludf.DUMMYFUNCTION("""COMPUTED_VALUE"""),"8717323016985")</f>
        <v>8717323016985</v>
      </c>
      <c r="C13764" t="str">
        <f>IFERROR(__xludf.DUMMYFUNCTION("""COMPUTED_VALUE"""),"ECS")</f>
        <v>ECS</v>
      </c>
    </row>
    <row r="13765">
      <c r="A13765" t="str">
        <f>IFERROR(__xludf.DUMMYFUNCTION("""COMPUTED_VALUE"""),"NI041BH")</f>
        <v>NI041BH</v>
      </c>
      <c r="B13765" s="226" t="str">
        <f>IFERROR(__xludf.DUMMYFUNCTION("""COMPUTED_VALUE"""),"8717323016992")</f>
        <v>8717323016992</v>
      </c>
      <c r="C13765" t="str">
        <f>IFERROR(__xludf.DUMMYFUNCTION("""COMPUTED_VALUE"""),"ECS")</f>
        <v>ECS</v>
      </c>
    </row>
    <row r="13766">
      <c r="A13766" t="str">
        <f>IFERROR(__xludf.DUMMYFUNCTION("""COMPUTED_VALUE"""),"NI041DH")</f>
        <v>NI041DH</v>
      </c>
      <c r="B13766" s="226" t="str">
        <f>IFERROR(__xludf.DUMMYFUNCTION("""COMPUTED_VALUE"""),"8717323017005")</f>
        <v>8717323017005</v>
      </c>
      <c r="C13766" t="str">
        <f>IFERROR(__xludf.DUMMYFUNCTION("""COMPUTED_VALUE"""),"ECS")</f>
        <v>ECS</v>
      </c>
    </row>
    <row r="13767">
      <c r="A13767" t="str">
        <f>IFERROR(__xludf.DUMMYFUNCTION("""COMPUTED_VALUE"""),"NI115BH")</f>
        <v>NI115BH</v>
      </c>
      <c r="B13767" s="226" t="str">
        <f>IFERROR(__xludf.DUMMYFUNCTION("""COMPUTED_VALUE"""),"8717323048733")</f>
        <v>8717323048733</v>
      </c>
      <c r="C13767" t="str">
        <f>IFERROR(__xludf.DUMMYFUNCTION("""COMPUTED_VALUE"""),"ECS")</f>
        <v>ECS</v>
      </c>
    </row>
    <row r="13768">
      <c r="A13768" t="str">
        <f>IFERROR(__xludf.DUMMYFUNCTION("""COMPUTED_VALUE"""),"NI115DH")</f>
        <v>NI115DH</v>
      </c>
      <c r="B13768" s="226" t="str">
        <f>IFERROR(__xludf.DUMMYFUNCTION("""COMPUTED_VALUE"""),"8717323048740")</f>
        <v>8717323048740</v>
      </c>
      <c r="C13768" t="str">
        <f>IFERROR(__xludf.DUMMYFUNCTION("""COMPUTED_VALUE"""),"ECS")</f>
        <v>ECS</v>
      </c>
    </row>
    <row r="13769">
      <c r="A13769" t="str">
        <f>IFERROR(__xludf.DUMMYFUNCTION("""COMPUTED_VALUE"""),"OP052B1")</f>
        <v>OP052B1</v>
      </c>
      <c r="B13769" s="226" t="str">
        <f>IFERROR(__xludf.DUMMYFUNCTION("""COMPUTED_VALUE"""),"8717323024652")</f>
        <v>8717323024652</v>
      </c>
      <c r="C13769" t="str">
        <f>IFERROR(__xludf.DUMMYFUNCTION("""COMPUTED_VALUE"""),"ECS")</f>
        <v>ECS</v>
      </c>
    </row>
    <row r="13770">
      <c r="A13770" t="str">
        <f>IFERROR(__xludf.DUMMYFUNCTION("""COMPUTED_VALUE"""),"OP052D1")</f>
        <v>OP052D1</v>
      </c>
      <c r="B13770" s="226" t="str">
        <f>IFERROR(__xludf.DUMMYFUNCTION("""COMPUTED_VALUE"""),"8717323024652")</f>
        <v>8717323024652</v>
      </c>
      <c r="C13770" t="str">
        <f>IFERROR(__xludf.DUMMYFUNCTION("""COMPUTED_VALUE"""),"ECS")</f>
        <v>ECS</v>
      </c>
    </row>
    <row r="13771">
      <c r="A13771" t="str">
        <f>IFERROR(__xludf.DUMMYFUNCTION("""COMPUTED_VALUE"""),"SZ008BB")</f>
        <v>SZ008BB</v>
      </c>
      <c r="B13771" s="226" t="str">
        <f>IFERROR(__xludf.DUMMYFUNCTION("""COMPUTED_VALUE"""),"8717323007433")</f>
        <v>8717323007433</v>
      </c>
      <c r="C13771" t="str">
        <f>IFERROR(__xludf.DUMMYFUNCTION("""COMPUTED_VALUE"""),"ECS")</f>
        <v>ECS</v>
      </c>
    </row>
    <row r="13772">
      <c r="A13772" t="str">
        <f>IFERROR(__xludf.DUMMYFUNCTION("""COMPUTED_VALUE"""),"OP049BB")</f>
        <v>OP049BB</v>
      </c>
      <c r="B13772" s="226" t="str">
        <f>IFERROR(__xludf.DUMMYFUNCTION("""COMPUTED_VALUE"""),"8717323016343")</f>
        <v>8717323016343</v>
      </c>
      <c r="C13772" t="str">
        <f>IFERROR(__xludf.DUMMYFUNCTION("""COMPUTED_VALUE"""),"ECS")</f>
        <v>ECS</v>
      </c>
    </row>
    <row r="13773">
      <c r="A13773" t="str">
        <f>IFERROR(__xludf.DUMMYFUNCTION("""COMPUTED_VALUE"""),"OP049DH")</f>
        <v>OP049DH</v>
      </c>
      <c r="B13773" s="226" t="str">
        <f>IFERROR(__xludf.DUMMYFUNCTION("""COMPUTED_VALUE"""),"8717323016350")</f>
        <v>8717323016350</v>
      </c>
      <c r="C13773" t="str">
        <f>IFERROR(__xludf.DUMMYFUNCTION("""COMPUTED_VALUE"""),"ECS")</f>
        <v>ECS</v>
      </c>
    </row>
    <row r="13774">
      <c r="A13774" t="str">
        <f>IFERROR(__xludf.DUMMYFUNCTION("""COMPUTED_VALUE"""),"CH006BL")</f>
        <v>CH006BL</v>
      </c>
      <c r="B13774" s="226" t="str">
        <f>IFERROR(__xludf.DUMMYFUNCTION("""COMPUTED_VALUE"""),"8717323015438")</f>
        <v>8717323015438</v>
      </c>
      <c r="C13774" t="str">
        <f>IFERROR(__xludf.DUMMYFUNCTION("""COMPUTED_VALUE"""),"ECS")</f>
        <v>ECS</v>
      </c>
    </row>
    <row r="13775">
      <c r="A13775" t="str">
        <f>IFERROR(__xludf.DUMMYFUNCTION("""COMPUTED_VALUE"""),"CH006DL")</f>
        <v>CH006DL</v>
      </c>
      <c r="B13775" s="226" t="str">
        <f>IFERROR(__xludf.DUMMYFUNCTION("""COMPUTED_VALUE"""),"8717323015445")</f>
        <v>8717323015445</v>
      </c>
      <c r="C13775" t="str">
        <f>IFERROR(__xludf.DUMMYFUNCTION("""COMPUTED_VALUE"""),"ECS")</f>
        <v>ECS</v>
      </c>
    </row>
    <row r="13776">
      <c r="A13776" t="str">
        <f>IFERROR(__xludf.DUMMYFUNCTION("""COMPUTED_VALUE"""),"CH003BL")</f>
        <v>CH003BL</v>
      </c>
      <c r="B13776" s="226" t="str">
        <f>IFERROR(__xludf.DUMMYFUNCTION("""COMPUTED_VALUE"""),"8717323014417")</f>
        <v>8717323014417</v>
      </c>
      <c r="C13776" t="str">
        <f>IFERROR(__xludf.DUMMYFUNCTION("""COMPUTED_VALUE"""),"ECS")</f>
        <v>ECS</v>
      </c>
    </row>
    <row r="13777">
      <c r="A13777" t="str">
        <f>IFERROR(__xludf.DUMMYFUNCTION("""COMPUTED_VALUE"""),"CH003DH")</f>
        <v>CH003DH</v>
      </c>
      <c r="B13777" s="226" t="str">
        <f>IFERROR(__xludf.DUMMYFUNCTION("""COMPUTED_VALUE"""),"8717323014424")</f>
        <v>8717323014424</v>
      </c>
      <c r="C13777" t="str">
        <f>IFERROR(__xludf.DUMMYFUNCTION("""COMPUTED_VALUE"""),"ECS")</f>
        <v>ECS</v>
      </c>
    </row>
    <row r="13778">
      <c r="A13778" t="str">
        <f>IFERROR(__xludf.DUMMYFUNCTION("""COMPUTED_VALUE"""),"OP059BB")</f>
        <v>OP059BB</v>
      </c>
      <c r="B13778" s="226" t="str">
        <f>IFERROR(__xludf.DUMMYFUNCTION("""COMPUTED_VALUE"""),"8717323026274")</f>
        <v>8717323026274</v>
      </c>
      <c r="C13778" t="str">
        <f>IFERROR(__xludf.DUMMYFUNCTION("""COMPUTED_VALUE"""),"ECS")</f>
        <v>ECS</v>
      </c>
    </row>
    <row r="13779">
      <c r="A13779" t="str">
        <f>IFERROR(__xludf.DUMMYFUNCTION("""COMPUTED_VALUE"""),"OP059BL")</f>
        <v>OP059BL</v>
      </c>
      <c r="B13779" s="226" t="str">
        <f>IFERROR(__xludf.DUMMYFUNCTION("""COMPUTED_VALUE"""),"8717323049396")</f>
        <v>8717323049396</v>
      </c>
      <c r="C13779" t="str">
        <f>IFERROR(__xludf.DUMMYFUNCTION("""COMPUTED_VALUE"""),"ECS")</f>
        <v>ECS</v>
      </c>
    </row>
    <row r="13780">
      <c r="A13780" t="str">
        <f>IFERROR(__xludf.DUMMYFUNCTION("""COMPUTED_VALUE"""),"OP003BB")</f>
        <v>OP003BB</v>
      </c>
      <c r="B13780" s="226" t="str">
        <f>IFERROR(__xludf.DUMMYFUNCTION("""COMPUTED_VALUE"""),"8717323004999")</f>
        <v>8717323004999</v>
      </c>
      <c r="C13780" t="str">
        <f>IFERROR(__xludf.DUMMYFUNCTION("""COMPUTED_VALUE"""),"ECS")</f>
        <v>ECS</v>
      </c>
    </row>
    <row r="13781">
      <c r="A13781" t="str">
        <f>IFERROR(__xludf.DUMMYFUNCTION("""COMPUTED_VALUE"""),"OP008BB")</f>
        <v>OP008BB</v>
      </c>
      <c r="B13781" s="226" t="str">
        <f>IFERROR(__xludf.DUMMYFUNCTION("""COMPUTED_VALUE"""),"8717323005033")</f>
        <v>8717323005033</v>
      </c>
      <c r="C13781" t="str">
        <f>IFERROR(__xludf.DUMMYFUNCTION("""COMPUTED_VALUE"""),"ECS")</f>
        <v>ECS</v>
      </c>
    </row>
    <row r="13782">
      <c r="A13782" t="str">
        <f>IFERROR(__xludf.DUMMYFUNCTION("""COMPUTED_VALUE"""),"OP008BL")</f>
        <v>OP008BL</v>
      </c>
      <c r="B13782" s="226" t="str">
        <f>IFERROR(__xludf.DUMMYFUNCTION("""COMPUTED_VALUE"""),"8717323023877")</f>
        <v>8717323023877</v>
      </c>
      <c r="C13782" t="str">
        <f>IFERROR(__xludf.DUMMYFUNCTION("""COMPUTED_VALUE"""),"ECS")</f>
        <v>ECS</v>
      </c>
    </row>
    <row r="13783">
      <c r="A13783" t="str">
        <f>IFERROR(__xludf.DUMMYFUNCTION("""COMPUTED_VALUE"""),"OP003BB")</f>
        <v>OP003BB</v>
      </c>
      <c r="B13783" s="226" t="str">
        <f>IFERROR(__xludf.DUMMYFUNCTION("""COMPUTED_VALUE"""),"8717323004999")</f>
        <v>8717323004999</v>
      </c>
      <c r="C13783" t="str">
        <f>IFERROR(__xludf.DUMMYFUNCTION("""COMPUTED_VALUE"""),"ECS")</f>
        <v>ECS</v>
      </c>
    </row>
    <row r="13784">
      <c r="A13784" t="str">
        <f>IFERROR(__xludf.DUMMYFUNCTION("""COMPUTED_VALUE"""),"OP008BB")</f>
        <v>OP008BB</v>
      </c>
      <c r="B13784" s="226" t="str">
        <f>IFERROR(__xludf.DUMMYFUNCTION("""COMPUTED_VALUE"""),"8717323005033")</f>
        <v>8717323005033</v>
      </c>
      <c r="C13784" t="str">
        <f>IFERROR(__xludf.DUMMYFUNCTION("""COMPUTED_VALUE"""),"ECS")</f>
        <v>ECS</v>
      </c>
    </row>
    <row r="13785">
      <c r="A13785" t="str">
        <f>IFERROR(__xludf.DUMMYFUNCTION("""COMPUTED_VALUE"""),"OP008BL")</f>
        <v>OP008BL</v>
      </c>
      <c r="B13785" s="226" t="str">
        <f>IFERROR(__xludf.DUMMYFUNCTION("""COMPUTED_VALUE"""),"8717323023877")</f>
        <v>8717323023877</v>
      </c>
      <c r="C13785" t="str">
        <f>IFERROR(__xludf.DUMMYFUNCTION("""COMPUTED_VALUE"""),"ECS")</f>
        <v>ECS</v>
      </c>
    </row>
    <row r="13786">
      <c r="A13786" t="str">
        <f>IFERROR(__xludf.DUMMYFUNCTION("""COMPUTED_VALUE"""),"OP003BB")</f>
        <v>OP003BB</v>
      </c>
      <c r="B13786" s="226" t="str">
        <f>IFERROR(__xludf.DUMMYFUNCTION("""COMPUTED_VALUE"""),"8717323004999")</f>
        <v>8717323004999</v>
      </c>
      <c r="C13786" t="str">
        <f>IFERROR(__xludf.DUMMYFUNCTION("""COMPUTED_VALUE"""),"ECS")</f>
        <v>ECS</v>
      </c>
    </row>
    <row r="13787">
      <c r="A13787" t="str">
        <f>IFERROR(__xludf.DUMMYFUNCTION("""COMPUTED_VALUE"""),"OP015BB")</f>
        <v>OP015BB</v>
      </c>
      <c r="B13787" s="226" t="str">
        <f>IFERROR(__xludf.DUMMYFUNCTION("""COMPUTED_VALUE"""),"8717323005071")</f>
        <v>8717323005071</v>
      </c>
      <c r="C13787" t="str">
        <f>IFERROR(__xludf.DUMMYFUNCTION("""COMPUTED_VALUE"""),"ECS")</f>
        <v>ECS</v>
      </c>
    </row>
    <row r="13788">
      <c r="A13788" t="str">
        <f>IFERROR(__xludf.DUMMYFUNCTION("""COMPUTED_VALUE"""),"OP015BL")</f>
        <v>OP015BL</v>
      </c>
      <c r="B13788" s="226" t="str">
        <f>IFERROR(__xludf.DUMMYFUNCTION("""COMPUTED_VALUE"""),"8717323020319")</f>
        <v>8717323020319</v>
      </c>
      <c r="C13788" t="str">
        <f>IFERROR(__xludf.DUMMYFUNCTION("""COMPUTED_VALUE"""),"ECS")</f>
        <v>ECS</v>
      </c>
    </row>
    <row r="13789">
      <c r="A13789" t="str">
        <f>IFERROR(__xludf.DUMMYFUNCTION("""COMPUTED_VALUE"""),"OP003BB")</f>
        <v>OP003BB</v>
      </c>
      <c r="B13789" s="226" t="str">
        <f>IFERROR(__xludf.DUMMYFUNCTION("""COMPUTED_VALUE"""),"8717323004999")</f>
        <v>8717323004999</v>
      </c>
      <c r="C13789" t="str">
        <f>IFERROR(__xludf.DUMMYFUNCTION("""COMPUTED_VALUE"""),"ECS")</f>
        <v>ECS</v>
      </c>
    </row>
    <row r="13790">
      <c r="A13790" t="str">
        <f>IFERROR(__xludf.DUMMYFUNCTION("""COMPUTED_VALUE"""),"OP008BB")</f>
        <v>OP008BB</v>
      </c>
      <c r="B13790" s="226" t="str">
        <f>IFERROR(__xludf.DUMMYFUNCTION("""COMPUTED_VALUE"""),"8717323005033")</f>
        <v>8717323005033</v>
      </c>
      <c r="C13790" t="str">
        <f>IFERROR(__xludf.DUMMYFUNCTION("""COMPUTED_VALUE"""),"ECS")</f>
        <v>ECS</v>
      </c>
    </row>
    <row r="13791">
      <c r="A13791" t="str">
        <f>IFERROR(__xludf.DUMMYFUNCTION("""COMPUTED_VALUE"""),"OP008BL")</f>
        <v>OP008BL</v>
      </c>
      <c r="B13791" s="226" t="str">
        <f>IFERROR(__xludf.DUMMYFUNCTION("""COMPUTED_VALUE"""),"8717323023877")</f>
        <v>8717323023877</v>
      </c>
      <c r="C13791" t="str">
        <f>IFERROR(__xludf.DUMMYFUNCTION("""COMPUTED_VALUE"""),"ECS")</f>
        <v>ECS</v>
      </c>
    </row>
    <row r="13792">
      <c r="A13792" t="str">
        <f>IFERROR(__xludf.DUMMYFUNCTION("""COMPUTED_VALUE"""),"OP016BL")</f>
        <v>OP016BL</v>
      </c>
      <c r="B13792" s="226" t="str">
        <f>IFERROR(__xludf.DUMMYFUNCTION("""COMPUTED_VALUE"""),"8717323020333")</f>
        <v>8717323020333</v>
      </c>
      <c r="C13792" t="str">
        <f>IFERROR(__xludf.DUMMYFUNCTION("""COMPUTED_VALUE"""),"ECS")</f>
        <v>ECS</v>
      </c>
    </row>
    <row r="13793">
      <c r="A13793" t="str">
        <f>IFERROR(__xludf.DUMMYFUNCTION("""COMPUTED_VALUE"""),"OP034BH")</f>
        <v>OP034BH</v>
      </c>
      <c r="B13793" s="226" t="str">
        <f>IFERROR(__xludf.DUMMYFUNCTION("""COMPUTED_VALUE"""),"8717323011546")</f>
        <v>8717323011546</v>
      </c>
      <c r="C13793" t="str">
        <f>IFERROR(__xludf.DUMMYFUNCTION("""COMPUTED_VALUE"""),"ECS")</f>
        <v>ECS</v>
      </c>
    </row>
    <row r="13794">
      <c r="A13794" t="str">
        <f>IFERROR(__xludf.DUMMYFUNCTION("""COMPUTED_VALUE"""),"OP034DH")</f>
        <v>OP034DH</v>
      </c>
      <c r="B13794" s="226" t="str">
        <f>IFERROR(__xludf.DUMMYFUNCTION("""COMPUTED_VALUE"""),"8717323011553")</f>
        <v>8717323011553</v>
      </c>
      <c r="C13794" t="str">
        <f>IFERROR(__xludf.DUMMYFUNCTION("""COMPUTED_VALUE"""),"ECS")</f>
        <v>ECS</v>
      </c>
    </row>
    <row r="13795">
      <c r="A13795" t="str">
        <f>IFERROR(__xludf.DUMMYFUNCTION("""COMPUTED_VALUE"""),"OP068BH")</f>
        <v>OP068BH</v>
      </c>
      <c r="B13795" s="226" t="str">
        <f>IFERROR(__xludf.DUMMYFUNCTION("""COMPUTED_VALUE"""),"8717323046869")</f>
        <v>8717323046869</v>
      </c>
      <c r="C13795" t="str">
        <f>IFERROR(__xludf.DUMMYFUNCTION("""COMPUTED_VALUE"""),"ECS")</f>
        <v>ECS</v>
      </c>
    </row>
    <row r="13796">
      <c r="A13796" t="str">
        <f>IFERROR(__xludf.DUMMYFUNCTION("""COMPUTED_VALUE"""),"OP068DH")</f>
        <v>OP068DH</v>
      </c>
      <c r="B13796" s="226" t="str">
        <f>IFERROR(__xludf.DUMMYFUNCTION("""COMPUTED_VALUE"""),"8717323046876")</f>
        <v>8717323046876</v>
      </c>
      <c r="C13796" t="str">
        <f>IFERROR(__xludf.DUMMYFUNCTION("""COMPUTED_VALUE"""),"ECS")</f>
        <v>ECS</v>
      </c>
    </row>
    <row r="13797">
      <c r="A13797" t="str">
        <f>IFERROR(__xludf.DUMMYFUNCTION("""COMPUTED_VALUE"""),"OP034BH")</f>
        <v>OP034BH</v>
      </c>
      <c r="B13797" s="226" t="str">
        <f>IFERROR(__xludf.DUMMYFUNCTION("""COMPUTED_VALUE"""),"8717323011546")</f>
        <v>8717323011546</v>
      </c>
      <c r="C13797" t="str">
        <f>IFERROR(__xludf.DUMMYFUNCTION("""COMPUTED_VALUE"""),"ECS")</f>
        <v>ECS</v>
      </c>
    </row>
    <row r="13798">
      <c r="A13798" t="str">
        <f>IFERROR(__xludf.DUMMYFUNCTION("""COMPUTED_VALUE"""),"OP034DH")</f>
        <v>OP034DH</v>
      </c>
      <c r="B13798" s="226" t="str">
        <f>IFERROR(__xludf.DUMMYFUNCTION("""COMPUTED_VALUE"""),"8717323011553")</f>
        <v>8717323011553</v>
      </c>
      <c r="C13798" t="str">
        <f>IFERROR(__xludf.DUMMYFUNCTION("""COMPUTED_VALUE"""),"ECS")</f>
        <v>ECS</v>
      </c>
    </row>
    <row r="13799">
      <c r="A13799" t="str">
        <f>IFERROR(__xludf.DUMMYFUNCTION("""COMPUTED_VALUE"""),"OP068BH")</f>
        <v>OP068BH</v>
      </c>
      <c r="B13799" s="226" t="str">
        <f>IFERROR(__xludf.DUMMYFUNCTION("""COMPUTED_VALUE"""),"8717323046869")</f>
        <v>8717323046869</v>
      </c>
      <c r="C13799" t="str">
        <f>IFERROR(__xludf.DUMMYFUNCTION("""COMPUTED_VALUE"""),"ECS")</f>
        <v>ECS</v>
      </c>
    </row>
    <row r="13800">
      <c r="A13800" t="str">
        <f>IFERROR(__xludf.DUMMYFUNCTION("""COMPUTED_VALUE"""),"OP068DH")</f>
        <v>OP068DH</v>
      </c>
      <c r="B13800" s="226" t="str">
        <f>IFERROR(__xludf.DUMMYFUNCTION("""COMPUTED_VALUE"""),"8717323046876")</f>
        <v>8717323046876</v>
      </c>
      <c r="C13800" t="str">
        <f>IFERROR(__xludf.DUMMYFUNCTION("""COMPUTED_VALUE"""),"ECS")</f>
        <v>ECS</v>
      </c>
    </row>
    <row r="13801">
      <c r="A13801" t="str">
        <f>IFERROR(__xludf.DUMMYFUNCTION("""COMPUTED_VALUE"""),"OP034BH")</f>
        <v>OP034BH</v>
      </c>
      <c r="B13801" s="226" t="str">
        <f>IFERROR(__xludf.DUMMYFUNCTION("""COMPUTED_VALUE"""),"8717323011546")</f>
        <v>8717323011546</v>
      </c>
      <c r="C13801" t="str">
        <f>IFERROR(__xludf.DUMMYFUNCTION("""COMPUTED_VALUE"""),"ECS")</f>
        <v>ECS</v>
      </c>
    </row>
    <row r="13802">
      <c r="A13802" t="str">
        <f>IFERROR(__xludf.DUMMYFUNCTION("""COMPUTED_VALUE"""),"OP034DH")</f>
        <v>OP034DH</v>
      </c>
      <c r="B13802" s="226" t="str">
        <f>IFERROR(__xludf.DUMMYFUNCTION("""COMPUTED_VALUE"""),"8717323011553")</f>
        <v>8717323011553</v>
      </c>
      <c r="C13802" t="str">
        <f>IFERROR(__xludf.DUMMYFUNCTION("""COMPUTED_VALUE"""),"ECS")</f>
        <v>ECS</v>
      </c>
    </row>
    <row r="13803">
      <c r="A13803" t="str">
        <f>IFERROR(__xludf.DUMMYFUNCTION("""COMPUTED_VALUE"""),"OP039BB")</f>
        <v>OP039BB</v>
      </c>
      <c r="B13803" s="226" t="str">
        <f>IFERROR(__xludf.DUMMYFUNCTION("""COMPUTED_VALUE"""),"8717323014080")</f>
        <v>8717323014080</v>
      </c>
      <c r="C13803" t="str">
        <f>IFERROR(__xludf.DUMMYFUNCTION("""COMPUTED_VALUE"""),"ECS")</f>
        <v>ECS</v>
      </c>
    </row>
    <row r="13804">
      <c r="A13804" t="str">
        <f>IFERROR(__xludf.DUMMYFUNCTION("""COMPUTED_VALUE"""),"OP039BL")</f>
        <v>OP039BL</v>
      </c>
      <c r="B13804" s="226" t="str">
        <f>IFERROR(__xludf.DUMMYFUNCTION("""COMPUTED_VALUE"""),"8717323014097")</f>
        <v>8717323014097</v>
      </c>
      <c r="C13804" t="str">
        <f>IFERROR(__xludf.DUMMYFUNCTION("""COMPUTED_VALUE"""),"ECS")</f>
        <v>ECS</v>
      </c>
    </row>
    <row r="13805">
      <c r="A13805" t="str">
        <f>IFERROR(__xludf.DUMMYFUNCTION("""COMPUTED_VALUE"""),"OP039DH")</f>
        <v>OP039DH</v>
      </c>
      <c r="B13805" s="226" t="str">
        <f>IFERROR(__xludf.DUMMYFUNCTION("""COMPUTED_VALUE"""),"8717323033173")</f>
        <v>8717323033173</v>
      </c>
      <c r="C13805" t="str">
        <f>IFERROR(__xludf.DUMMYFUNCTION("""COMPUTED_VALUE"""),"ECS")</f>
        <v>ECS</v>
      </c>
    </row>
    <row r="13806">
      <c r="A13806" t="str">
        <f>IFERROR(__xludf.DUMMYFUNCTION("""COMPUTED_VALUE"""),"OP067BH")</f>
        <v>OP067BH</v>
      </c>
      <c r="B13806" s="226" t="str">
        <f>IFERROR(__xludf.DUMMYFUNCTION("""COMPUTED_VALUE"""),"8717323046852")</f>
        <v>8717323046852</v>
      </c>
      <c r="C13806" t="str">
        <f>IFERROR(__xludf.DUMMYFUNCTION("""COMPUTED_VALUE"""),"ECS")</f>
        <v>ECS</v>
      </c>
    </row>
    <row r="13807">
      <c r="A13807" t="str">
        <f>IFERROR(__xludf.DUMMYFUNCTION("""COMPUTED_VALUE"""),"OP067DH")</f>
        <v>OP067DH</v>
      </c>
      <c r="B13807" s="226" t="str">
        <f>IFERROR(__xludf.DUMMYFUNCTION("""COMPUTED_VALUE"""),"8717323046838")</f>
        <v>8717323046838</v>
      </c>
      <c r="C13807" t="str">
        <f>IFERROR(__xludf.DUMMYFUNCTION("""COMPUTED_VALUE"""),"ECS")</f>
        <v>ECS</v>
      </c>
    </row>
    <row r="13808">
      <c r="A13808" t="str">
        <f>IFERROR(__xludf.DUMMYFUNCTION("""COMPUTED_VALUE"""),"OP039BB")</f>
        <v>OP039BB</v>
      </c>
      <c r="B13808" s="226" t="str">
        <f>IFERROR(__xludf.DUMMYFUNCTION("""COMPUTED_VALUE"""),"8717323014080")</f>
        <v>8717323014080</v>
      </c>
      <c r="C13808" t="str">
        <f>IFERROR(__xludf.DUMMYFUNCTION("""COMPUTED_VALUE"""),"ECS")</f>
        <v>ECS</v>
      </c>
    </row>
    <row r="13809">
      <c r="A13809" t="str">
        <f>IFERROR(__xludf.DUMMYFUNCTION("""COMPUTED_VALUE"""),"OP039BL")</f>
        <v>OP039BL</v>
      </c>
      <c r="B13809" s="226" t="str">
        <f>IFERROR(__xludf.DUMMYFUNCTION("""COMPUTED_VALUE"""),"8717323014097")</f>
        <v>8717323014097</v>
      </c>
      <c r="C13809" t="str">
        <f>IFERROR(__xludf.DUMMYFUNCTION("""COMPUTED_VALUE"""),"ECS")</f>
        <v>ECS</v>
      </c>
    </row>
    <row r="13810">
      <c r="A13810" t="str">
        <f>IFERROR(__xludf.DUMMYFUNCTION("""COMPUTED_VALUE"""),"OP039DH")</f>
        <v>OP039DH</v>
      </c>
      <c r="B13810" s="226" t="str">
        <f>IFERROR(__xludf.DUMMYFUNCTION("""COMPUTED_VALUE"""),"8717323033173")</f>
        <v>8717323033173</v>
      </c>
      <c r="C13810" t="str">
        <f>IFERROR(__xludf.DUMMYFUNCTION("""COMPUTED_VALUE"""),"ECS")</f>
        <v>ECS</v>
      </c>
    </row>
    <row r="13811">
      <c r="A13811" t="str">
        <f>IFERROR(__xludf.DUMMYFUNCTION("""COMPUTED_VALUE"""),"OP034BH")</f>
        <v>OP034BH</v>
      </c>
      <c r="B13811" s="226" t="str">
        <f>IFERROR(__xludf.DUMMYFUNCTION("""COMPUTED_VALUE"""),"8717323011546")</f>
        <v>8717323011546</v>
      </c>
      <c r="C13811" t="str">
        <f>IFERROR(__xludf.DUMMYFUNCTION("""COMPUTED_VALUE"""),"ECS")</f>
        <v>ECS</v>
      </c>
    </row>
    <row r="13812">
      <c r="A13812" t="str">
        <f>IFERROR(__xludf.DUMMYFUNCTION("""COMPUTED_VALUE"""),"OP034DH")</f>
        <v>OP034DH</v>
      </c>
      <c r="B13812" s="226" t="str">
        <f>IFERROR(__xludf.DUMMYFUNCTION("""COMPUTED_VALUE"""),"8717323011553")</f>
        <v>8717323011553</v>
      </c>
      <c r="C13812" t="str">
        <f>IFERROR(__xludf.DUMMYFUNCTION("""COMPUTED_VALUE"""),"ECS")</f>
        <v>ECS</v>
      </c>
    </row>
    <row r="13813">
      <c r="A13813" t="str">
        <f>IFERROR(__xludf.DUMMYFUNCTION("""COMPUTED_VALUE"""),"OP043BH")</f>
        <v>OP043BH</v>
      </c>
      <c r="B13813" s="226" t="str">
        <f>IFERROR(__xludf.DUMMYFUNCTION("""COMPUTED_VALUE"""),"8717323014189")</f>
        <v>8717323014189</v>
      </c>
      <c r="C13813" t="str">
        <f>IFERROR(__xludf.DUMMYFUNCTION("""COMPUTED_VALUE"""),"ECS")</f>
        <v>ECS</v>
      </c>
    </row>
    <row r="13814">
      <c r="A13814" t="str">
        <f>IFERROR(__xludf.DUMMYFUNCTION("""COMPUTED_VALUE"""),"OP043DH")</f>
        <v>OP043DH</v>
      </c>
      <c r="B13814" s="226" t="str">
        <f>IFERROR(__xludf.DUMMYFUNCTION("""COMPUTED_VALUE"""),"8717323014196")</f>
        <v>8717323014196</v>
      </c>
      <c r="C13814" t="str">
        <f>IFERROR(__xludf.DUMMYFUNCTION("""COMPUTED_VALUE"""),"ECS")</f>
        <v>ECS</v>
      </c>
    </row>
    <row r="13815">
      <c r="A13815" t="str">
        <f>IFERROR(__xludf.DUMMYFUNCTION("""COMPUTED_VALUE"""),"OP052B1")</f>
        <v>OP052B1</v>
      </c>
      <c r="B13815" s="226" t="str">
        <f>IFERROR(__xludf.DUMMYFUNCTION("""COMPUTED_VALUE"""),"8717323024652")</f>
        <v>8717323024652</v>
      </c>
      <c r="C13815" t="str">
        <f>IFERROR(__xludf.DUMMYFUNCTION("""COMPUTED_VALUE"""),"ECS")</f>
        <v>ECS</v>
      </c>
    </row>
    <row r="13816">
      <c r="A13816" t="str">
        <f>IFERROR(__xludf.DUMMYFUNCTION("""COMPUTED_VALUE"""),"OP052D1")</f>
        <v>OP052D1</v>
      </c>
      <c r="B13816" s="226" t="str">
        <f>IFERROR(__xludf.DUMMYFUNCTION("""COMPUTED_VALUE"""),"8717323024652")</f>
        <v>8717323024652</v>
      </c>
      <c r="C13816" t="str">
        <f>IFERROR(__xludf.DUMMYFUNCTION("""COMPUTED_VALUE"""),"ECS")</f>
        <v>ECS</v>
      </c>
    </row>
    <row r="13817">
      <c r="A13817" t="str">
        <f>IFERROR(__xludf.DUMMYFUNCTION("""COMPUTED_VALUE"""),"OP052B1")</f>
        <v>OP052B1</v>
      </c>
      <c r="B13817" s="226" t="str">
        <f>IFERROR(__xludf.DUMMYFUNCTION("""COMPUTED_VALUE"""),"8717323024652")</f>
        <v>8717323024652</v>
      </c>
      <c r="C13817" t="str">
        <f>IFERROR(__xludf.DUMMYFUNCTION("""COMPUTED_VALUE"""),"ECS")</f>
        <v>ECS</v>
      </c>
    </row>
    <row r="13818">
      <c r="A13818" t="str">
        <f>IFERROR(__xludf.DUMMYFUNCTION("""COMPUTED_VALUE"""),"OP052D1")</f>
        <v>OP052D1</v>
      </c>
      <c r="B13818" s="226" t="str">
        <f>IFERROR(__xludf.DUMMYFUNCTION("""COMPUTED_VALUE"""),"8717323024492")</f>
        <v>8717323024492</v>
      </c>
      <c r="C13818" t="str">
        <f>IFERROR(__xludf.DUMMYFUNCTION("""COMPUTED_VALUE"""),"ECS")</f>
        <v>ECS</v>
      </c>
    </row>
    <row r="13819">
      <c r="A13819" t="str">
        <f>IFERROR(__xludf.DUMMYFUNCTION("""COMPUTED_VALUE"""),"OP052B1")</f>
        <v>OP052B1</v>
      </c>
      <c r="B13819" s="226" t="str">
        <f>IFERROR(__xludf.DUMMYFUNCTION("""COMPUTED_VALUE"""),"8717323024652")</f>
        <v>8717323024652</v>
      </c>
      <c r="C13819" t="str">
        <f>IFERROR(__xludf.DUMMYFUNCTION("""COMPUTED_VALUE"""),"ECS")</f>
        <v>ECS</v>
      </c>
    </row>
    <row r="13820">
      <c r="A13820" t="str">
        <f>IFERROR(__xludf.DUMMYFUNCTION("""COMPUTED_VALUE"""),"OP052D1")</f>
        <v>OP052D1</v>
      </c>
      <c r="B13820" s="226" t="str">
        <f>IFERROR(__xludf.DUMMYFUNCTION("""COMPUTED_VALUE"""),"8717323024492")</f>
        <v>8717323024492</v>
      </c>
      <c r="C13820" t="str">
        <f>IFERROR(__xludf.DUMMYFUNCTION("""COMPUTED_VALUE"""),"ECS")</f>
        <v>ECS</v>
      </c>
    </row>
    <row r="13821">
      <c r="A13821" t="str">
        <f>IFERROR(__xludf.DUMMYFUNCTION("""COMPUTED_VALUE"""),"OP052B1")</f>
        <v>OP052B1</v>
      </c>
      <c r="B13821" s="226" t="str">
        <f>IFERROR(__xludf.DUMMYFUNCTION("""COMPUTED_VALUE"""),"8717323024652")</f>
        <v>8717323024652</v>
      </c>
      <c r="C13821" t="str">
        <f>IFERROR(__xludf.DUMMYFUNCTION("""COMPUTED_VALUE"""),"ECS")</f>
        <v>ECS</v>
      </c>
    </row>
    <row r="13822">
      <c r="A13822" t="str">
        <f>IFERROR(__xludf.DUMMYFUNCTION("""COMPUTED_VALUE"""),"OP052D1")</f>
        <v>OP052D1</v>
      </c>
      <c r="B13822" s="226" t="str">
        <f>IFERROR(__xludf.DUMMYFUNCTION("""COMPUTED_VALUE"""),"8717323024492")</f>
        <v>8717323024492</v>
      </c>
      <c r="C13822" t="str">
        <f>IFERROR(__xludf.DUMMYFUNCTION("""COMPUTED_VALUE"""),"ECS")</f>
        <v>ECS</v>
      </c>
    </row>
    <row r="13823">
      <c r="A13823" t="str">
        <f>IFERROR(__xludf.DUMMYFUNCTION("""COMPUTED_VALUE"""),"OP052B1")</f>
        <v>OP052B1</v>
      </c>
      <c r="B13823" s="226" t="str">
        <f>IFERROR(__xludf.DUMMYFUNCTION("""COMPUTED_VALUE"""),"8717323024652")</f>
        <v>8717323024652</v>
      </c>
      <c r="C13823" t="str">
        <f>IFERROR(__xludf.DUMMYFUNCTION("""COMPUTED_VALUE"""),"ECS")</f>
        <v>ECS</v>
      </c>
    </row>
    <row r="13824">
      <c r="A13824" t="str">
        <f>IFERROR(__xludf.DUMMYFUNCTION("""COMPUTED_VALUE"""),"OP052D1")</f>
        <v>OP052D1</v>
      </c>
      <c r="B13824" s="226" t="str">
        <f>IFERROR(__xludf.DUMMYFUNCTION("""COMPUTED_VALUE"""),"8717323024492")</f>
        <v>8717323024492</v>
      </c>
      <c r="C13824" t="str">
        <f>IFERROR(__xludf.DUMMYFUNCTION("""COMPUTED_VALUE"""),"ECS")</f>
        <v>ECS</v>
      </c>
    </row>
    <row r="13825">
      <c r="A13825" t="str">
        <f>IFERROR(__xludf.DUMMYFUNCTION("""COMPUTED_VALUE"""),"OP071B1")</f>
        <v>OP071B1</v>
      </c>
      <c r="B13825" s="226" t="str">
        <f>IFERROR(__xludf.DUMMYFUNCTION("""COMPUTED_VALUE"""),"8717323054529")</f>
        <v>8717323054529</v>
      </c>
      <c r="C13825" t="str">
        <f>IFERROR(__xludf.DUMMYFUNCTION("""COMPUTED_VALUE"""),"ECS")</f>
        <v>ECS</v>
      </c>
    </row>
    <row r="13826">
      <c r="A13826" t="str">
        <f>IFERROR(__xludf.DUMMYFUNCTION("""COMPUTED_VALUE"""),"OP071D1")</f>
        <v>OP071D1</v>
      </c>
      <c r="B13826" s="226" t="str">
        <f>IFERROR(__xludf.DUMMYFUNCTION("""COMPUTED_VALUE"""),"8717323054536")</f>
        <v>8717323054536</v>
      </c>
      <c r="C13826" t="str">
        <f>IFERROR(__xludf.DUMMYFUNCTION("""COMPUTED_VALUE"""),"ECS")</f>
        <v>ECS</v>
      </c>
    </row>
    <row r="13827">
      <c r="A13827" t="str">
        <f>IFERROR(__xludf.DUMMYFUNCTION("""COMPUTED_VALUE"""),"OP071H1")</f>
        <v>OP071H1</v>
      </c>
      <c r="B13827" s="226" t="str">
        <f>IFERROR(__xludf.DUMMYFUNCTION("""COMPUTED_VALUE"""),"8717323056844")</f>
        <v>8717323056844</v>
      </c>
      <c r="C13827" t="str">
        <f>IFERROR(__xludf.DUMMYFUNCTION("""COMPUTED_VALUE"""),"ECS")</f>
        <v>ECS</v>
      </c>
    </row>
    <row r="13828">
      <c r="A13828" t="str">
        <f>IFERROR(__xludf.DUMMYFUNCTION("""COMPUTED_VALUE"""),"OP071B1")</f>
        <v>OP071B1</v>
      </c>
      <c r="B13828" s="226" t="str">
        <f>IFERROR(__xludf.DUMMYFUNCTION("""COMPUTED_VALUE"""),"8717323054529")</f>
        <v>8717323054529</v>
      </c>
      <c r="C13828" t="str">
        <f>IFERROR(__xludf.DUMMYFUNCTION("""COMPUTED_VALUE"""),"ECS")</f>
        <v>ECS</v>
      </c>
    </row>
    <row r="13829">
      <c r="A13829" t="str">
        <f>IFERROR(__xludf.DUMMYFUNCTION("""COMPUTED_VALUE"""),"OP071D1")</f>
        <v>OP071D1</v>
      </c>
      <c r="B13829" s="226" t="str">
        <f>IFERROR(__xludf.DUMMYFUNCTION("""COMPUTED_VALUE"""),"8717323054536")</f>
        <v>8717323054536</v>
      </c>
      <c r="C13829" t="str">
        <f>IFERROR(__xludf.DUMMYFUNCTION("""COMPUTED_VALUE"""),"ECS")</f>
        <v>ECS</v>
      </c>
    </row>
    <row r="13830">
      <c r="A13830" t="str">
        <f>IFERROR(__xludf.DUMMYFUNCTION("""COMPUTED_VALUE"""),"OP071H1")</f>
        <v>OP071H1</v>
      </c>
      <c r="B13830" s="226" t="str">
        <f>IFERROR(__xludf.DUMMYFUNCTION("""COMPUTED_VALUE"""),"8717323056844")</f>
        <v>8717323056844</v>
      </c>
      <c r="C13830" t="str">
        <f>IFERROR(__xludf.DUMMYFUNCTION("""COMPUTED_VALUE"""),"ECS")</f>
        <v>ECS</v>
      </c>
    </row>
    <row r="13831">
      <c r="A13831" t="str">
        <f>IFERROR(__xludf.DUMMYFUNCTION("""COMPUTED_VALUE"""),"OP052B1")</f>
        <v>OP052B1</v>
      </c>
      <c r="B13831" s="226" t="str">
        <f>IFERROR(__xludf.DUMMYFUNCTION("""COMPUTED_VALUE"""),"8717323024652")</f>
        <v>8717323024652</v>
      </c>
      <c r="C13831" t="str">
        <f>IFERROR(__xludf.DUMMYFUNCTION("""COMPUTED_VALUE"""),"ECS")</f>
        <v>ECS</v>
      </c>
    </row>
    <row r="13832">
      <c r="A13832" t="str">
        <f>IFERROR(__xludf.DUMMYFUNCTION("""COMPUTED_VALUE"""),"OP052D1")</f>
        <v>OP052D1</v>
      </c>
      <c r="B13832" s="226" t="str">
        <f>IFERROR(__xludf.DUMMYFUNCTION("""COMPUTED_VALUE"""),"8717323024492")</f>
        <v>8717323024492</v>
      </c>
      <c r="C13832" t="str">
        <f>IFERROR(__xludf.DUMMYFUNCTION("""COMPUTED_VALUE"""),"ECS")</f>
        <v>ECS</v>
      </c>
    </row>
    <row r="13833">
      <c r="A13833" t="str">
        <f>IFERROR(__xludf.DUMMYFUNCTION("""COMPUTED_VALUE"""),"OP027BL")</f>
        <v>OP027BL</v>
      </c>
      <c r="B13833" s="226" t="str">
        <f>IFERROR(__xludf.DUMMYFUNCTION("""COMPUTED_VALUE"""),"8717323005194")</f>
        <v>8717323005194</v>
      </c>
      <c r="C13833" t="str">
        <f>IFERROR(__xludf.DUMMYFUNCTION("""COMPUTED_VALUE"""),"ECS")</f>
        <v>ECS</v>
      </c>
    </row>
    <row r="13834">
      <c r="A13834" t="str">
        <f>IFERROR(__xludf.DUMMYFUNCTION("""COMPUTED_VALUE"""),"OP027DL")</f>
        <v>OP027DL</v>
      </c>
      <c r="B13834" s="226" t="str">
        <f>IFERROR(__xludf.DUMMYFUNCTION("""COMPUTED_VALUE"""),"8717323005200")</f>
        <v>8717323005200</v>
      </c>
      <c r="C13834" t="str">
        <f>IFERROR(__xludf.DUMMYFUNCTION("""COMPUTED_VALUE"""),"ECS")</f>
        <v>ECS</v>
      </c>
    </row>
    <row r="13835">
      <c r="A13835" t="str">
        <f>IFERROR(__xludf.DUMMYFUNCTION("""COMPUTED_VALUE"""),"OP061BH")</f>
        <v>OP061BH</v>
      </c>
      <c r="B13835" s="226" t="str">
        <f>IFERROR(__xludf.DUMMYFUNCTION("""COMPUTED_VALUE"""),"8717323026601")</f>
        <v>8717323026601</v>
      </c>
      <c r="C13835" t="str">
        <f>IFERROR(__xludf.DUMMYFUNCTION("""COMPUTED_VALUE"""),"ECS")</f>
        <v>ECS</v>
      </c>
    </row>
    <row r="13836">
      <c r="A13836" t="str">
        <f>IFERROR(__xludf.DUMMYFUNCTION("""COMPUTED_VALUE"""),"OP061DH")</f>
        <v>OP061DH</v>
      </c>
      <c r="B13836" s="226" t="str">
        <f>IFERROR(__xludf.DUMMYFUNCTION("""COMPUTED_VALUE"""),"8717323029817")</f>
        <v>8717323029817</v>
      </c>
      <c r="C13836" t="str">
        <f>IFERROR(__xludf.DUMMYFUNCTION("""COMPUTED_VALUE"""),"ECS")</f>
        <v>ECS</v>
      </c>
    </row>
    <row r="13837">
      <c r="A13837" t="str">
        <f>IFERROR(__xludf.DUMMYFUNCTION("""COMPUTED_VALUE"""),"OP072BH")</f>
        <v>OP072BH</v>
      </c>
      <c r="B13837" s="226" t="str">
        <f>IFERROR(__xludf.DUMMYFUNCTION("""COMPUTED_VALUE"""),"8717323056998")</f>
        <v>8717323056998</v>
      </c>
      <c r="C13837" t="str">
        <f>IFERROR(__xludf.DUMMYFUNCTION("""COMPUTED_VALUE"""),"ECS")</f>
        <v>ECS</v>
      </c>
    </row>
    <row r="13838">
      <c r="A13838" t="str">
        <f>IFERROR(__xludf.DUMMYFUNCTION("""COMPUTED_VALUE"""),"OP072DH")</f>
        <v>OP072DH</v>
      </c>
      <c r="B13838" s="226" t="str">
        <f>IFERROR(__xludf.DUMMYFUNCTION("""COMPUTED_VALUE"""),"8717323057001")</f>
        <v>8717323057001</v>
      </c>
      <c r="C13838" t="str">
        <f>IFERROR(__xludf.DUMMYFUNCTION("""COMPUTED_VALUE"""),"ECS")</f>
        <v>ECS</v>
      </c>
    </row>
    <row r="13839">
      <c r="A13839" t="str">
        <f>IFERROR(__xludf.DUMMYFUNCTION("""COMPUTED_VALUE"""),"OP077B1")</f>
        <v>OP077B1</v>
      </c>
      <c r="C13839" t="str">
        <f>IFERROR(__xludf.DUMMYFUNCTION("""COMPUTED_VALUE"""),"ECS")</f>
        <v>ECS</v>
      </c>
    </row>
    <row r="13840">
      <c r="A13840" t="str">
        <f>IFERROR(__xludf.DUMMYFUNCTION("""COMPUTED_VALUE"""),"OP077D1")</f>
        <v>OP077D1</v>
      </c>
      <c r="B13840" s="226" t="str">
        <f>IFERROR(__xludf.DUMMYFUNCTION("""COMPUTED_VALUE"""),"8717323068182")</f>
        <v>8717323068182</v>
      </c>
      <c r="C13840" t="str">
        <f>IFERROR(__xludf.DUMMYFUNCTION("""COMPUTED_VALUE"""),"ECS")</f>
        <v>ECS</v>
      </c>
    </row>
    <row r="13841">
      <c r="A13841" t="str">
        <f>IFERROR(__xludf.DUMMYFUNCTION("""COMPUTED_VALUE"""),"OP077B1")</f>
        <v>OP077B1</v>
      </c>
      <c r="C13841" t="str">
        <f>IFERROR(__xludf.DUMMYFUNCTION("""COMPUTED_VALUE"""),"ECS")</f>
        <v>ECS</v>
      </c>
    </row>
    <row r="13842">
      <c r="A13842" t="str">
        <f>IFERROR(__xludf.DUMMYFUNCTION("""COMPUTED_VALUE"""),"OP077D1")</f>
        <v>OP077D1</v>
      </c>
      <c r="B13842" s="226" t="str">
        <f>IFERROR(__xludf.DUMMYFUNCTION("""COMPUTED_VALUE"""),"8717323068182")</f>
        <v>8717323068182</v>
      </c>
      <c r="C13842" t="str">
        <f>IFERROR(__xludf.DUMMYFUNCTION("""COMPUTED_VALUE"""),"ECS")</f>
        <v>ECS</v>
      </c>
    </row>
    <row r="13843">
      <c r="A13843" t="str">
        <f>IFERROR(__xludf.DUMMYFUNCTION("""COMPUTED_VALUE"""),"OP026BL")</f>
        <v>OP026BL</v>
      </c>
      <c r="B13843" s="226" t="str">
        <f>IFERROR(__xludf.DUMMYFUNCTION("""COMPUTED_VALUE"""),"8717323005170")</f>
        <v>8717323005170</v>
      </c>
      <c r="C13843" t="str">
        <f>IFERROR(__xludf.DUMMYFUNCTION("""COMPUTED_VALUE"""),"ECS")</f>
        <v>ECS</v>
      </c>
    </row>
    <row r="13844">
      <c r="A13844" t="str">
        <f>IFERROR(__xludf.DUMMYFUNCTION("""COMPUTED_VALUE"""),"OP026BL")</f>
        <v>OP026BL</v>
      </c>
      <c r="B13844" s="226" t="str">
        <f>IFERROR(__xludf.DUMMYFUNCTION("""COMPUTED_VALUE"""),"8717323005170")</f>
        <v>8717323005170</v>
      </c>
      <c r="C13844" t="str">
        <f>IFERROR(__xludf.DUMMYFUNCTION("""COMPUTED_VALUE"""),"ECS")</f>
        <v>ECS</v>
      </c>
    </row>
    <row r="13845">
      <c r="A13845" t="str">
        <f>IFERROR(__xludf.DUMMYFUNCTION("""COMPUTED_VALUE"""),"OP039BB")</f>
        <v>OP039BB</v>
      </c>
      <c r="B13845" s="226" t="str">
        <f>IFERROR(__xludf.DUMMYFUNCTION("""COMPUTED_VALUE"""),"8717323014080")</f>
        <v>8717323014080</v>
      </c>
      <c r="C13845" t="str">
        <f>IFERROR(__xludf.DUMMYFUNCTION("""COMPUTED_VALUE"""),"ECS")</f>
        <v>ECS</v>
      </c>
    </row>
    <row r="13846">
      <c r="A13846" t="str">
        <f>IFERROR(__xludf.DUMMYFUNCTION("""COMPUTED_VALUE"""),"OP039BL")</f>
        <v>OP039BL</v>
      </c>
      <c r="B13846" s="226" t="str">
        <f>IFERROR(__xludf.DUMMYFUNCTION("""COMPUTED_VALUE"""),"8717323014097")</f>
        <v>8717323014097</v>
      </c>
      <c r="C13846" t="str">
        <f>IFERROR(__xludf.DUMMYFUNCTION("""COMPUTED_VALUE"""),"ECS")</f>
        <v>ECS</v>
      </c>
    </row>
    <row r="13847">
      <c r="A13847" t="str">
        <f>IFERROR(__xludf.DUMMYFUNCTION("""COMPUTED_VALUE"""),"OP039DH")</f>
        <v>OP039DH</v>
      </c>
      <c r="B13847" s="226" t="str">
        <f>IFERROR(__xludf.DUMMYFUNCTION("""COMPUTED_VALUE"""),"8717323033173")</f>
        <v>8717323033173</v>
      </c>
      <c r="C13847" t="str">
        <f>IFERROR(__xludf.DUMMYFUNCTION("""COMPUTED_VALUE"""),"ECS")</f>
        <v>ECS</v>
      </c>
    </row>
    <row r="13848">
      <c r="A13848" t="str">
        <f>IFERROR(__xludf.DUMMYFUNCTION("""COMPUTED_VALUE"""),"OP044BH")</f>
        <v>OP044BH</v>
      </c>
      <c r="B13848" s="226" t="str">
        <f>IFERROR(__xludf.DUMMYFUNCTION("""COMPUTED_VALUE"""),"8717323014127")</f>
        <v>8717323014127</v>
      </c>
      <c r="C13848" t="str">
        <f>IFERROR(__xludf.DUMMYFUNCTION("""COMPUTED_VALUE"""),"ECS")</f>
        <v>ECS</v>
      </c>
    </row>
    <row r="13849">
      <c r="A13849" t="str">
        <f>IFERROR(__xludf.DUMMYFUNCTION("""COMPUTED_VALUE"""),"OP044DH")</f>
        <v>OP044DH</v>
      </c>
      <c r="B13849" s="226" t="str">
        <f>IFERROR(__xludf.DUMMYFUNCTION("""COMPUTED_VALUE"""),"8717323014134")</f>
        <v>8717323014134</v>
      </c>
      <c r="C13849" t="str">
        <f>IFERROR(__xludf.DUMMYFUNCTION("""COMPUTED_VALUE"""),"ECS")</f>
        <v>ECS</v>
      </c>
    </row>
    <row r="13850">
      <c r="A13850" t="str">
        <f>IFERROR(__xludf.DUMMYFUNCTION("""COMPUTED_VALUE"""),"OP053BX")</f>
        <v>OP053BX</v>
      </c>
      <c r="B13850" s="226" t="str">
        <f>IFERROR(__xludf.DUMMYFUNCTION("""COMPUTED_VALUE"""),"8717323028377")</f>
        <v>8717323028377</v>
      </c>
      <c r="C13850" t="str">
        <f>IFERROR(__xludf.DUMMYFUNCTION("""COMPUTED_VALUE"""),"ECS")</f>
        <v>ECS</v>
      </c>
    </row>
    <row r="13851">
      <c r="A13851" t="str">
        <f>IFERROR(__xludf.DUMMYFUNCTION("""COMPUTED_VALUE"""),"OP053DX")</f>
        <v>OP053DX</v>
      </c>
      <c r="B13851" s="226" t="str">
        <f>IFERROR(__xludf.DUMMYFUNCTION("""COMPUTED_VALUE"""),"8717323025680")</f>
        <v>8717323025680</v>
      </c>
      <c r="C13851" t="str">
        <f>IFERROR(__xludf.DUMMYFUNCTION("""COMPUTED_VALUE"""),"ECS")</f>
        <v>ECS</v>
      </c>
    </row>
    <row r="13852">
      <c r="A13852" t="str">
        <f>IFERROR(__xludf.DUMMYFUNCTION("""COMPUTED_VALUE"""),"OP039BB")</f>
        <v>OP039BB</v>
      </c>
      <c r="B13852" s="226" t="str">
        <f>IFERROR(__xludf.DUMMYFUNCTION("""COMPUTED_VALUE"""),"8717323014080")</f>
        <v>8717323014080</v>
      </c>
      <c r="C13852" t="str">
        <f>IFERROR(__xludf.DUMMYFUNCTION("""COMPUTED_VALUE"""),"ECS")</f>
        <v>ECS</v>
      </c>
    </row>
    <row r="13853">
      <c r="A13853" t="str">
        <f>IFERROR(__xludf.DUMMYFUNCTION("""COMPUTED_VALUE"""),"OP039BL")</f>
        <v>OP039BL</v>
      </c>
      <c r="B13853" s="226" t="str">
        <f>IFERROR(__xludf.DUMMYFUNCTION("""COMPUTED_VALUE"""),"8717323014097")</f>
        <v>8717323014097</v>
      </c>
      <c r="C13853" t="str">
        <f>IFERROR(__xludf.DUMMYFUNCTION("""COMPUTED_VALUE"""),"ECS")</f>
        <v>ECS</v>
      </c>
    </row>
    <row r="13854">
      <c r="A13854" t="str">
        <f>IFERROR(__xludf.DUMMYFUNCTION("""COMPUTED_VALUE"""),"OP039DH")</f>
        <v>OP039DH</v>
      </c>
      <c r="B13854" s="226" t="str">
        <f>IFERROR(__xludf.DUMMYFUNCTION("""COMPUTED_VALUE"""),"8717323033173")</f>
        <v>8717323033173</v>
      </c>
      <c r="C13854" t="str">
        <f>IFERROR(__xludf.DUMMYFUNCTION("""COMPUTED_VALUE"""),"ECS")</f>
        <v>ECS</v>
      </c>
    </row>
    <row r="13855">
      <c r="A13855" t="str">
        <f>IFERROR(__xludf.DUMMYFUNCTION("""COMPUTED_VALUE"""),"OP045BH")</f>
        <v>OP045BH</v>
      </c>
      <c r="B13855" s="226" t="str">
        <f>IFERROR(__xludf.DUMMYFUNCTION("""COMPUTED_VALUE"""),"8717323014141")</f>
        <v>8717323014141</v>
      </c>
      <c r="C13855" t="str">
        <f>IFERROR(__xludf.DUMMYFUNCTION("""COMPUTED_VALUE"""),"ECS")</f>
        <v>ECS</v>
      </c>
    </row>
    <row r="13856">
      <c r="A13856" t="str">
        <f>IFERROR(__xludf.DUMMYFUNCTION("""COMPUTED_VALUE"""),"OP053BX")</f>
        <v>OP053BX</v>
      </c>
      <c r="B13856" s="226" t="str">
        <f>IFERROR(__xludf.DUMMYFUNCTION("""COMPUTED_VALUE"""),"8717323028377")</f>
        <v>8717323028377</v>
      </c>
      <c r="C13856" t="str">
        <f>IFERROR(__xludf.DUMMYFUNCTION("""COMPUTED_VALUE"""),"ECS")</f>
        <v>ECS</v>
      </c>
    </row>
    <row r="13857">
      <c r="A13857" t="str">
        <f>IFERROR(__xludf.DUMMYFUNCTION("""COMPUTED_VALUE"""),"OP053DX")</f>
        <v>OP053DX</v>
      </c>
      <c r="B13857" s="226" t="str">
        <f>IFERROR(__xludf.DUMMYFUNCTION("""COMPUTED_VALUE"""),"8717323025680")</f>
        <v>8717323025680</v>
      </c>
      <c r="C13857" t="str">
        <f>IFERROR(__xludf.DUMMYFUNCTION("""COMPUTED_VALUE"""),"ECS")</f>
        <v>ECS</v>
      </c>
    </row>
    <row r="13858">
      <c r="A13858" t="str">
        <f>IFERROR(__xludf.DUMMYFUNCTION("""COMPUTED_VALUE"""),"OP052B1")</f>
        <v>OP052B1</v>
      </c>
      <c r="B13858" s="226" t="str">
        <f>IFERROR(__xludf.DUMMYFUNCTION("""COMPUTED_VALUE"""),"8717323024652")</f>
        <v>8717323024652</v>
      </c>
      <c r="C13858" t="str">
        <f>IFERROR(__xludf.DUMMYFUNCTION("""COMPUTED_VALUE"""),"ECS")</f>
        <v>ECS</v>
      </c>
    </row>
    <row r="13859">
      <c r="A13859" t="str">
        <f>IFERROR(__xludf.DUMMYFUNCTION("""COMPUTED_VALUE"""),"OP052D1")</f>
        <v>OP052D1</v>
      </c>
      <c r="B13859" s="226" t="str">
        <f>IFERROR(__xludf.DUMMYFUNCTION("""COMPUTED_VALUE"""),"8717323024492")</f>
        <v>8717323024492</v>
      </c>
      <c r="C13859" t="str">
        <f>IFERROR(__xludf.DUMMYFUNCTION("""COMPUTED_VALUE"""),"ECS")</f>
        <v>ECS</v>
      </c>
    </row>
    <row r="13860">
      <c r="A13860" t="str">
        <f>IFERROR(__xludf.DUMMYFUNCTION("""COMPUTED_VALUE"""),"OP052B1")</f>
        <v>OP052B1</v>
      </c>
      <c r="B13860" s="226" t="str">
        <f>IFERROR(__xludf.DUMMYFUNCTION("""COMPUTED_VALUE"""),"8717323024652")</f>
        <v>8717323024652</v>
      </c>
      <c r="C13860" t="str">
        <f>IFERROR(__xludf.DUMMYFUNCTION("""COMPUTED_VALUE"""),"ECS")</f>
        <v>ECS</v>
      </c>
    </row>
    <row r="13861">
      <c r="A13861" t="str">
        <f>IFERROR(__xludf.DUMMYFUNCTION("""COMPUTED_VALUE"""),"OP052D1")</f>
        <v>OP052D1</v>
      </c>
      <c r="B13861" s="226" t="str">
        <f>IFERROR(__xludf.DUMMYFUNCTION("""COMPUTED_VALUE"""),"8717323024492")</f>
        <v>8717323024492</v>
      </c>
      <c r="C13861" t="str">
        <f>IFERROR(__xludf.DUMMYFUNCTION("""COMPUTED_VALUE"""),"ECS")</f>
        <v>ECS</v>
      </c>
    </row>
    <row r="13862">
      <c r="A13862" t="str">
        <f>IFERROR(__xludf.DUMMYFUNCTION("""COMPUTED_VALUE"""),"OP076D1")</f>
        <v>OP076D1</v>
      </c>
      <c r="B13862" s="226" t="str">
        <f>IFERROR(__xludf.DUMMYFUNCTION("""COMPUTED_VALUE"""),"8717323062760")</f>
        <v>8717323062760</v>
      </c>
      <c r="C13862" t="str">
        <f>IFERROR(__xludf.DUMMYFUNCTION("""COMPUTED_VALUE"""),"ECS")</f>
        <v>ECS</v>
      </c>
    </row>
    <row r="13863">
      <c r="A13863" t="str">
        <f>IFERROR(__xludf.DUMMYFUNCTION("""COMPUTED_VALUE"""),"OP077B1")</f>
        <v>OP077B1</v>
      </c>
      <c r="C13863" t="str">
        <f>IFERROR(__xludf.DUMMYFUNCTION("""COMPUTED_VALUE"""),"ECS")</f>
        <v>ECS</v>
      </c>
    </row>
    <row r="13864">
      <c r="A13864" t="str">
        <f>IFERROR(__xludf.DUMMYFUNCTION("""COMPUTED_VALUE"""),"OP077D1")</f>
        <v>OP077D1</v>
      </c>
      <c r="B13864" s="226" t="str">
        <f>IFERROR(__xludf.DUMMYFUNCTION("""COMPUTED_VALUE"""),"8717323068182")</f>
        <v>8717323068182</v>
      </c>
      <c r="C13864" t="str">
        <f>IFERROR(__xludf.DUMMYFUNCTION("""COMPUTED_VALUE"""),"ECS")</f>
        <v>ECS</v>
      </c>
    </row>
    <row r="13865">
      <c r="A13865" t="str">
        <f>IFERROR(__xludf.DUMMYFUNCTION("""COMPUTED_VALUE"""),"PE084B1")</f>
        <v>PE084B1</v>
      </c>
      <c r="B13865" s="226" t="str">
        <f>IFERROR(__xludf.DUMMYFUNCTION("""COMPUTED_VALUE"""),"8717323066409")</f>
        <v>8717323066409</v>
      </c>
      <c r="C13865" t="str">
        <f>IFERROR(__xludf.DUMMYFUNCTION("""COMPUTED_VALUE"""),"ECS")</f>
        <v>ECS</v>
      </c>
    </row>
    <row r="13866">
      <c r="A13866" t="str">
        <f>IFERROR(__xludf.DUMMYFUNCTION("""COMPUTED_VALUE"""),"PE084D1")</f>
        <v>PE084D1</v>
      </c>
      <c r="B13866" s="226" t="str">
        <f>IFERROR(__xludf.DUMMYFUNCTION("""COMPUTED_VALUE"""),"8717323066416")</f>
        <v>8717323066416</v>
      </c>
      <c r="C13866" t="str">
        <f>IFERROR(__xludf.DUMMYFUNCTION("""COMPUTED_VALUE"""),"ECS")</f>
        <v>ECS</v>
      </c>
    </row>
    <row r="13867">
      <c r="A13867" t="str">
        <f>IFERROR(__xludf.DUMMYFUNCTION("""COMPUTED_VALUE"""),"OP052B1")</f>
        <v>OP052B1</v>
      </c>
      <c r="B13867" s="226" t="str">
        <f>IFERROR(__xludf.DUMMYFUNCTION("""COMPUTED_VALUE"""),"8717323024652")</f>
        <v>8717323024652</v>
      </c>
      <c r="C13867" t="str">
        <f>IFERROR(__xludf.DUMMYFUNCTION("""COMPUTED_VALUE"""),"ECS")</f>
        <v>ECS</v>
      </c>
    </row>
    <row r="13868">
      <c r="A13868" t="str">
        <f>IFERROR(__xludf.DUMMYFUNCTION("""COMPUTED_VALUE"""),"OP052D1")</f>
        <v>OP052D1</v>
      </c>
      <c r="B13868" s="226" t="str">
        <f>IFERROR(__xludf.DUMMYFUNCTION("""COMPUTED_VALUE"""),"8717323024492")</f>
        <v>8717323024492</v>
      </c>
      <c r="C13868" t="str">
        <f>IFERROR(__xludf.DUMMYFUNCTION("""COMPUTED_VALUE"""),"ECS")</f>
        <v>ECS</v>
      </c>
    </row>
    <row r="13869">
      <c r="A13869" t="str">
        <f>IFERROR(__xludf.DUMMYFUNCTION("""COMPUTED_VALUE"""),"OP052B1")</f>
        <v>OP052B1</v>
      </c>
      <c r="B13869" s="226" t="str">
        <f>IFERROR(__xludf.DUMMYFUNCTION("""COMPUTED_VALUE"""),"8717323024652")</f>
        <v>8717323024652</v>
      </c>
      <c r="C13869" t="str">
        <f>IFERROR(__xludf.DUMMYFUNCTION("""COMPUTED_VALUE"""),"ECS")</f>
        <v>ECS</v>
      </c>
    </row>
    <row r="13870">
      <c r="A13870" t="str">
        <f>IFERROR(__xludf.DUMMYFUNCTION("""COMPUTED_VALUE"""),"OP052D1")</f>
        <v>OP052D1</v>
      </c>
      <c r="B13870" s="226" t="str">
        <f>IFERROR(__xludf.DUMMYFUNCTION("""COMPUTED_VALUE"""),"8717323024492")</f>
        <v>8717323024492</v>
      </c>
      <c r="C13870" t="str">
        <f>IFERROR(__xludf.DUMMYFUNCTION("""COMPUTED_VALUE"""),"ECS")</f>
        <v>ECS</v>
      </c>
    </row>
    <row r="13871">
      <c r="A13871" t="str">
        <f>IFERROR(__xludf.DUMMYFUNCTION("""COMPUTED_VALUE"""),"OP051D1")</f>
        <v>OP051D1</v>
      </c>
      <c r="B13871" s="226" t="str">
        <f>IFERROR(__xludf.DUMMYFUNCTION("""COMPUTED_VALUE"""),"8717323017616")</f>
        <v>8717323017616</v>
      </c>
      <c r="C13871" t="str">
        <f>IFERROR(__xludf.DUMMYFUNCTION("""COMPUTED_VALUE"""),"ECS")</f>
        <v>ECS</v>
      </c>
    </row>
    <row r="13872">
      <c r="A13872" t="str">
        <f>IFERROR(__xludf.DUMMYFUNCTION("""COMPUTED_VALUE"""),"OP052B1")</f>
        <v>OP052B1</v>
      </c>
      <c r="B13872" s="226" t="str">
        <f>IFERROR(__xludf.DUMMYFUNCTION("""COMPUTED_VALUE"""),"8717323024652")</f>
        <v>8717323024652</v>
      </c>
      <c r="C13872" t="str">
        <f>IFERROR(__xludf.DUMMYFUNCTION("""COMPUTED_VALUE"""),"ECS")</f>
        <v>ECS</v>
      </c>
    </row>
    <row r="13873">
      <c r="A13873" t="str">
        <f>IFERROR(__xludf.DUMMYFUNCTION("""COMPUTED_VALUE"""),"OP052D1")</f>
        <v>OP052D1</v>
      </c>
      <c r="B13873" s="226" t="str">
        <f>IFERROR(__xludf.DUMMYFUNCTION("""COMPUTED_VALUE"""),"8717323024492")</f>
        <v>8717323024492</v>
      </c>
      <c r="C13873" t="str">
        <f>IFERROR(__xludf.DUMMYFUNCTION("""COMPUTED_VALUE"""),"ECS")</f>
        <v>ECS</v>
      </c>
    </row>
    <row r="13874">
      <c r="A13874" t="str">
        <f>IFERROR(__xludf.DUMMYFUNCTION("""COMPUTED_VALUE"""),"OP075B1")</f>
        <v>OP075B1</v>
      </c>
      <c r="B13874" s="226" t="str">
        <f>IFERROR(__xludf.DUMMYFUNCTION("""COMPUTED_VALUE"""),"8717323062173")</f>
        <v>8717323062173</v>
      </c>
      <c r="C13874" t="str">
        <f>IFERROR(__xludf.DUMMYFUNCTION("""COMPUTED_VALUE"""),"ECS")</f>
        <v>ECS</v>
      </c>
    </row>
    <row r="13875">
      <c r="A13875" t="str">
        <f>IFERROR(__xludf.DUMMYFUNCTION("""COMPUTED_VALUE"""),"OP075D1")</f>
        <v>OP075D1</v>
      </c>
      <c r="B13875" s="226" t="str">
        <f>IFERROR(__xludf.DUMMYFUNCTION("""COMPUTED_VALUE"""),"8717323062180")</f>
        <v>8717323062180</v>
      </c>
      <c r="C13875" t="str">
        <f>IFERROR(__xludf.DUMMYFUNCTION("""COMPUTED_VALUE"""),"ECS")</f>
        <v>ECS</v>
      </c>
    </row>
    <row r="13876">
      <c r="A13876" t="str">
        <f>IFERROR(__xludf.DUMMYFUNCTION("""COMPUTED_VALUE"""),"OP075B1")</f>
        <v>OP075B1</v>
      </c>
      <c r="B13876" s="226" t="str">
        <f>IFERROR(__xludf.DUMMYFUNCTION("""COMPUTED_VALUE"""),"8717323062173")</f>
        <v>8717323062173</v>
      </c>
      <c r="C13876" t="str">
        <f>IFERROR(__xludf.DUMMYFUNCTION("""COMPUTED_VALUE"""),"ECS")</f>
        <v>ECS</v>
      </c>
    </row>
    <row r="13877">
      <c r="A13877" t="str">
        <f>IFERROR(__xludf.DUMMYFUNCTION("""COMPUTED_VALUE"""),"OP075D1")</f>
        <v>OP075D1</v>
      </c>
      <c r="B13877" s="226" t="str">
        <f>IFERROR(__xludf.DUMMYFUNCTION("""COMPUTED_VALUE"""),"8717323062180")</f>
        <v>8717323062180</v>
      </c>
      <c r="C13877" t="str">
        <f>IFERROR(__xludf.DUMMYFUNCTION("""COMPUTED_VALUE"""),"ECS")</f>
        <v>ECS</v>
      </c>
    </row>
    <row r="13878">
      <c r="A13878" t="str">
        <f>IFERROR(__xludf.DUMMYFUNCTION("""COMPUTED_VALUE"""),"OP075B1")</f>
        <v>OP075B1</v>
      </c>
      <c r="B13878" s="226" t="str">
        <f>IFERROR(__xludf.DUMMYFUNCTION("""COMPUTED_VALUE"""),"8717323062173")</f>
        <v>8717323062173</v>
      </c>
      <c r="C13878" t="str">
        <f>IFERROR(__xludf.DUMMYFUNCTION("""COMPUTED_VALUE"""),"ECS")</f>
        <v>ECS</v>
      </c>
    </row>
    <row r="13879">
      <c r="A13879" t="str">
        <f>IFERROR(__xludf.DUMMYFUNCTION("""COMPUTED_VALUE"""),"OP075D1")</f>
        <v>OP075D1</v>
      </c>
      <c r="B13879" s="226" t="str">
        <f>IFERROR(__xludf.DUMMYFUNCTION("""COMPUTED_VALUE"""),"8717323062180")</f>
        <v>8717323062180</v>
      </c>
      <c r="C13879" t="str">
        <f>IFERROR(__xludf.DUMMYFUNCTION("""COMPUTED_VALUE"""),"ECS")</f>
        <v>ECS</v>
      </c>
    </row>
    <row r="13880">
      <c r="A13880" t="str">
        <f>IFERROR(__xludf.DUMMYFUNCTION("""COMPUTED_VALUE"""),"OP028BL")</f>
        <v>OP028BL</v>
      </c>
      <c r="B13880" s="226" t="str">
        <f>IFERROR(__xludf.DUMMYFUNCTION("""COMPUTED_VALUE"""),"8717323002506")</f>
        <v>8717323002506</v>
      </c>
      <c r="C13880" t="str">
        <f>IFERROR(__xludf.DUMMYFUNCTION("""COMPUTED_VALUE"""),"ECS")</f>
        <v>ECS</v>
      </c>
    </row>
    <row r="13881">
      <c r="A13881" t="str">
        <f>IFERROR(__xludf.DUMMYFUNCTION("""COMPUTED_VALUE"""),"OP028DL")</f>
        <v>OP028DL</v>
      </c>
      <c r="B13881" s="226" t="str">
        <f>IFERROR(__xludf.DUMMYFUNCTION("""COMPUTED_VALUE"""),"8717323004005")</f>
        <v>8717323004005</v>
      </c>
      <c r="C13881" t="str">
        <f>IFERROR(__xludf.DUMMYFUNCTION("""COMPUTED_VALUE"""),"ECS")</f>
        <v>ECS</v>
      </c>
    </row>
    <row r="13882">
      <c r="A13882" t="str">
        <f>IFERROR(__xludf.DUMMYFUNCTION("""COMPUTED_VALUE"""),"OP052B1")</f>
        <v>OP052B1</v>
      </c>
      <c r="B13882" s="226" t="str">
        <f>IFERROR(__xludf.DUMMYFUNCTION("""COMPUTED_VALUE"""),"8717323024652")</f>
        <v>8717323024652</v>
      </c>
      <c r="C13882" t="str">
        <f>IFERROR(__xludf.DUMMYFUNCTION("""COMPUTED_VALUE"""),"ECS")</f>
        <v>ECS</v>
      </c>
    </row>
    <row r="13883">
      <c r="A13883" t="str">
        <f>IFERROR(__xludf.DUMMYFUNCTION("""COMPUTED_VALUE"""),"OP052D1")</f>
        <v>OP052D1</v>
      </c>
      <c r="B13883" s="226" t="str">
        <f>IFERROR(__xludf.DUMMYFUNCTION("""COMPUTED_VALUE"""),"8717323024492")</f>
        <v>8717323024492</v>
      </c>
      <c r="C13883" t="str">
        <f>IFERROR(__xludf.DUMMYFUNCTION("""COMPUTED_VALUE"""),"ECS")</f>
        <v>ECS</v>
      </c>
    </row>
    <row r="13884">
      <c r="A13884" t="str">
        <f>IFERROR(__xludf.DUMMYFUNCTION("""COMPUTED_VALUE"""),"OP052B1")</f>
        <v>OP052B1</v>
      </c>
      <c r="B13884" s="226" t="str">
        <f>IFERROR(__xludf.DUMMYFUNCTION("""COMPUTED_VALUE"""),"8717323024652")</f>
        <v>8717323024652</v>
      </c>
      <c r="C13884" t="str">
        <f>IFERROR(__xludf.DUMMYFUNCTION("""COMPUTED_VALUE"""),"ECS")</f>
        <v>ECS</v>
      </c>
    </row>
    <row r="13885">
      <c r="A13885" t="str">
        <f>IFERROR(__xludf.DUMMYFUNCTION("""COMPUTED_VALUE"""),"OP052D1")</f>
        <v>OP052D1</v>
      </c>
      <c r="B13885" s="226" t="str">
        <f>IFERROR(__xludf.DUMMYFUNCTION("""COMPUTED_VALUE"""),"8717323024492")</f>
        <v>8717323024492</v>
      </c>
      <c r="C13885" t="str">
        <f>IFERROR(__xludf.DUMMYFUNCTION("""COMPUTED_VALUE"""),"ECS")</f>
        <v>ECS</v>
      </c>
    </row>
    <row r="13886">
      <c r="A13886" t="str">
        <f>IFERROR(__xludf.DUMMYFUNCTION("""COMPUTED_VALUE"""),"OP052B1")</f>
        <v>OP052B1</v>
      </c>
      <c r="B13886" s="226" t="str">
        <f>IFERROR(__xludf.DUMMYFUNCTION("""COMPUTED_VALUE"""),"8717323024652")</f>
        <v>8717323024652</v>
      </c>
      <c r="C13886" t="str">
        <f>IFERROR(__xludf.DUMMYFUNCTION("""COMPUTED_VALUE"""),"ECS")</f>
        <v>ECS</v>
      </c>
    </row>
    <row r="13887">
      <c r="A13887" t="str">
        <f>IFERROR(__xludf.DUMMYFUNCTION("""COMPUTED_VALUE"""),"OP052D1")</f>
        <v>OP052D1</v>
      </c>
      <c r="B13887" s="226" t="str">
        <f>IFERROR(__xludf.DUMMYFUNCTION("""COMPUTED_VALUE"""),"8717323024492")</f>
        <v>8717323024492</v>
      </c>
      <c r="C13887" t="str">
        <f>IFERROR(__xludf.DUMMYFUNCTION("""COMPUTED_VALUE"""),"ECS")</f>
        <v>ECS</v>
      </c>
    </row>
    <row r="13888">
      <c r="A13888" t="str">
        <f>IFERROR(__xludf.DUMMYFUNCTION("""COMPUTED_VALUE"""),"RN002BB")</f>
        <v>RN002BB</v>
      </c>
      <c r="B13888" s="226" t="str">
        <f>IFERROR(__xludf.DUMMYFUNCTION("""COMPUTED_VALUE"""),"8717323006313")</f>
        <v>8717323006313</v>
      </c>
      <c r="C13888" t="str">
        <f>IFERROR(__xludf.DUMMYFUNCTION("""COMPUTED_VALUE"""),"ECS")</f>
        <v>ECS</v>
      </c>
    </row>
    <row r="13889">
      <c r="A13889" t="str">
        <f>IFERROR(__xludf.DUMMYFUNCTION("""COMPUTED_VALUE"""),"RN057BB")</f>
        <v>RN057BB</v>
      </c>
      <c r="B13889" s="226" t="str">
        <f>IFERROR(__xludf.DUMMYFUNCTION("""COMPUTED_VALUE"""),"8717323010556")</f>
        <v>8717323010556</v>
      </c>
      <c r="C13889" t="str">
        <f>IFERROR(__xludf.DUMMYFUNCTION("""COMPUTED_VALUE"""),"ECS")</f>
        <v>ECS</v>
      </c>
    </row>
    <row r="13890">
      <c r="A13890" t="str">
        <f>IFERROR(__xludf.DUMMYFUNCTION("""COMPUTED_VALUE"""),"RN057DL")</f>
        <v>RN057DL</v>
      </c>
      <c r="B13890" s="226" t="str">
        <f>IFERROR(__xludf.DUMMYFUNCTION("""COMPUTED_VALUE"""),"8717323010587")</f>
        <v>8717323010587</v>
      </c>
      <c r="C13890" t="str">
        <f>IFERROR(__xludf.DUMMYFUNCTION("""COMPUTED_VALUE"""),"ECS")</f>
        <v>ECS</v>
      </c>
    </row>
    <row r="13891">
      <c r="A13891" t="str">
        <f>IFERROR(__xludf.DUMMYFUNCTION("""COMPUTED_VALUE"""),"OP054BB")</f>
        <v>OP054BB</v>
      </c>
      <c r="B13891" s="226" t="str">
        <f>IFERROR(__xludf.DUMMYFUNCTION("""COMPUTED_VALUE"""),"8717323026403")</f>
        <v>8717323026403</v>
      </c>
      <c r="C13891" t="str">
        <f>IFERROR(__xludf.DUMMYFUNCTION("""COMPUTED_VALUE"""),"ECS")</f>
        <v>ECS</v>
      </c>
    </row>
    <row r="13892">
      <c r="A13892" t="str">
        <f>IFERROR(__xludf.DUMMYFUNCTION("""COMPUTED_VALUE"""),"OP054DB")</f>
        <v>OP054DB</v>
      </c>
      <c r="B13892" s="226" t="str">
        <f>IFERROR(__xludf.DUMMYFUNCTION("""COMPUTED_VALUE"""),"8717323056219")</f>
        <v>8717323056219</v>
      </c>
      <c r="C13892" t="str">
        <f>IFERROR(__xludf.DUMMYFUNCTION("""COMPUTED_VALUE"""),"ECS")</f>
        <v>ECS</v>
      </c>
    </row>
    <row r="13893">
      <c r="A13893" t="str">
        <f>IFERROR(__xludf.DUMMYFUNCTION("""COMPUTED_VALUE"""),"OP054DL")</f>
        <v>OP054DL</v>
      </c>
      <c r="B13893" s="226" t="str">
        <f>IFERROR(__xludf.DUMMYFUNCTION("""COMPUTED_VALUE"""),"8717323026267")</f>
        <v>8717323026267</v>
      </c>
      <c r="C13893" t="str">
        <f>IFERROR(__xludf.DUMMYFUNCTION("""COMPUTED_VALUE"""),"ECS")</f>
        <v>ECS</v>
      </c>
    </row>
    <row r="13894">
      <c r="A13894" t="str">
        <f>IFERROR(__xludf.DUMMYFUNCTION("""COMPUTED_VALUE"""),"OP056BB")</f>
        <v>OP056BB</v>
      </c>
      <c r="B13894" s="226" t="str">
        <f>IFERROR(__xludf.DUMMYFUNCTION("""COMPUTED_VALUE"""),"8717323024447")</f>
        <v>8717323024447</v>
      </c>
      <c r="C13894" t="str">
        <f>IFERROR(__xludf.DUMMYFUNCTION("""COMPUTED_VALUE"""),"ECS")</f>
        <v>ECS</v>
      </c>
    </row>
    <row r="13895">
      <c r="A13895" t="str">
        <f>IFERROR(__xludf.DUMMYFUNCTION("""COMPUTED_VALUE"""),"OP056BL")</f>
        <v>OP056BL</v>
      </c>
      <c r="B13895" s="226" t="str">
        <f>IFERROR(__xludf.DUMMYFUNCTION("""COMPUTED_VALUE"""),"8717323023938")</f>
        <v>8717323023938</v>
      </c>
      <c r="C13895" t="str">
        <f>IFERROR(__xludf.DUMMYFUNCTION("""COMPUTED_VALUE"""),"ECS")</f>
        <v>ECS</v>
      </c>
    </row>
    <row r="13896">
      <c r="A13896" t="str">
        <f>IFERROR(__xludf.DUMMYFUNCTION("""COMPUTED_VALUE"""),"OP056DL")</f>
        <v>OP056DL</v>
      </c>
      <c r="B13896" s="226" t="str">
        <f>IFERROR(__xludf.DUMMYFUNCTION("""COMPUTED_VALUE"""),"8717323024454")</f>
        <v>8717323024454</v>
      </c>
      <c r="C13896" t="str">
        <f>IFERROR(__xludf.DUMMYFUNCTION("""COMPUTED_VALUE"""),"ECS")</f>
        <v>ECS</v>
      </c>
    </row>
    <row r="13897">
      <c r="A13897" t="str">
        <f>IFERROR(__xludf.DUMMYFUNCTION("""COMPUTED_VALUE"""),"OP054BB")</f>
        <v>OP054BB</v>
      </c>
      <c r="B13897" s="226" t="str">
        <f>IFERROR(__xludf.DUMMYFUNCTION("""COMPUTED_VALUE"""),"8717323026403")</f>
        <v>8717323026403</v>
      </c>
      <c r="C13897" t="str">
        <f>IFERROR(__xludf.DUMMYFUNCTION("""COMPUTED_VALUE"""),"ECS")</f>
        <v>ECS</v>
      </c>
    </row>
    <row r="13898">
      <c r="A13898" t="str">
        <f>IFERROR(__xludf.DUMMYFUNCTION("""COMPUTED_VALUE"""),"OP054DB")</f>
        <v>OP054DB</v>
      </c>
      <c r="B13898" s="226" t="str">
        <f>IFERROR(__xludf.DUMMYFUNCTION("""COMPUTED_VALUE"""),"8717323056219")</f>
        <v>8717323056219</v>
      </c>
      <c r="C13898" t="str">
        <f>IFERROR(__xludf.DUMMYFUNCTION("""COMPUTED_VALUE"""),"ECS")</f>
        <v>ECS</v>
      </c>
    </row>
    <row r="13899">
      <c r="A13899" t="str">
        <f>IFERROR(__xludf.DUMMYFUNCTION("""COMPUTED_VALUE"""),"OP054DL")</f>
        <v>OP054DL</v>
      </c>
      <c r="B13899" s="226" t="str">
        <f>IFERROR(__xludf.DUMMYFUNCTION("""COMPUTED_VALUE"""),"8717323026267")</f>
        <v>8717323026267</v>
      </c>
      <c r="C13899" t="str">
        <f>IFERROR(__xludf.DUMMYFUNCTION("""COMPUTED_VALUE"""),"ECS")</f>
        <v>ECS</v>
      </c>
    </row>
    <row r="13900">
      <c r="A13900" t="str">
        <f>IFERROR(__xludf.DUMMYFUNCTION("""COMPUTED_VALUE"""),"OP056BB")</f>
        <v>OP056BB</v>
      </c>
      <c r="B13900" s="226" t="str">
        <f>IFERROR(__xludf.DUMMYFUNCTION("""COMPUTED_VALUE"""),"8717323024447")</f>
        <v>8717323024447</v>
      </c>
      <c r="C13900" t="str">
        <f>IFERROR(__xludf.DUMMYFUNCTION("""COMPUTED_VALUE"""),"ECS")</f>
        <v>ECS</v>
      </c>
    </row>
    <row r="13901">
      <c r="A13901" t="str">
        <f>IFERROR(__xludf.DUMMYFUNCTION("""COMPUTED_VALUE"""),"OP056BL")</f>
        <v>OP056BL</v>
      </c>
      <c r="B13901" s="226" t="str">
        <f>IFERROR(__xludf.DUMMYFUNCTION("""COMPUTED_VALUE"""),"8717323023938")</f>
        <v>8717323023938</v>
      </c>
      <c r="C13901" t="str">
        <f>IFERROR(__xludf.DUMMYFUNCTION("""COMPUTED_VALUE"""),"ECS")</f>
        <v>ECS</v>
      </c>
    </row>
    <row r="13902">
      <c r="A13902" t="str">
        <f>IFERROR(__xludf.DUMMYFUNCTION("""COMPUTED_VALUE"""),"OP056DL")</f>
        <v>OP056DL</v>
      </c>
      <c r="B13902" s="226" t="str">
        <f>IFERROR(__xludf.DUMMYFUNCTION("""COMPUTED_VALUE"""),"8717323024454")</f>
        <v>8717323024454</v>
      </c>
      <c r="C13902" t="str">
        <f>IFERROR(__xludf.DUMMYFUNCTION("""COMPUTED_VALUE"""),"ECS")</f>
        <v>ECS</v>
      </c>
    </row>
    <row r="13903">
      <c r="A13903" t="str">
        <f>IFERROR(__xludf.DUMMYFUNCTION("""COMPUTED_VALUE"""),"OP029BL")</f>
        <v>OP029BL</v>
      </c>
      <c r="B13903" s="226" t="str">
        <f>IFERROR(__xludf.DUMMYFUNCTION("""COMPUTED_VALUE"""),"8717323004517")</f>
        <v>8717323004517</v>
      </c>
      <c r="C13903" t="str">
        <f>IFERROR(__xludf.DUMMYFUNCTION("""COMPUTED_VALUE"""),"ECS")</f>
        <v>ECS</v>
      </c>
    </row>
    <row r="13904">
      <c r="A13904" t="str">
        <f>IFERROR(__xludf.DUMMYFUNCTION("""COMPUTED_VALUE"""),"OP029DL")</f>
        <v>OP029DL</v>
      </c>
      <c r="B13904" s="226" t="str">
        <f>IFERROR(__xludf.DUMMYFUNCTION("""COMPUTED_VALUE"""),"8717323004531")</f>
        <v>8717323004531</v>
      </c>
      <c r="C13904" t="str">
        <f>IFERROR(__xludf.DUMMYFUNCTION("""COMPUTED_VALUE"""),"ECS")</f>
        <v>ECS</v>
      </c>
    </row>
    <row r="13905">
      <c r="A13905" t="str">
        <f>IFERROR(__xludf.DUMMYFUNCTION("""COMPUTED_VALUE"""),"OP031BL")</f>
        <v>OP031BL</v>
      </c>
      <c r="B13905" s="226" t="str">
        <f>IFERROR(__xludf.DUMMYFUNCTION("""COMPUTED_VALUE"""),"8717323005118")</f>
        <v>8717323005118</v>
      </c>
      <c r="C13905" t="str">
        <f>IFERROR(__xludf.DUMMYFUNCTION("""COMPUTED_VALUE"""),"ECS")</f>
        <v>ECS</v>
      </c>
    </row>
    <row r="13906">
      <c r="A13906" t="str">
        <f>IFERROR(__xludf.DUMMYFUNCTION("""COMPUTED_VALUE"""),"OP031DL")</f>
        <v>OP031DL</v>
      </c>
      <c r="B13906" s="226" t="str">
        <f>IFERROR(__xludf.DUMMYFUNCTION("""COMPUTED_VALUE"""),"8717323005125")</f>
        <v>8717323005125</v>
      </c>
      <c r="C13906" t="str">
        <f>IFERROR(__xludf.DUMMYFUNCTION("""COMPUTED_VALUE"""),"ECS")</f>
        <v>ECS</v>
      </c>
    </row>
    <row r="13907">
      <c r="A13907" t="str">
        <f>IFERROR(__xludf.DUMMYFUNCTION("""COMPUTED_VALUE"""),"OP057BB")</f>
        <v>OP057BB</v>
      </c>
      <c r="B13907" s="226" t="str">
        <f>IFERROR(__xludf.DUMMYFUNCTION("""COMPUTED_VALUE"""),"8717323024638")</f>
        <v>8717323024638</v>
      </c>
      <c r="C13907" t="str">
        <f>IFERROR(__xludf.DUMMYFUNCTION("""COMPUTED_VALUE"""),"ECS")</f>
        <v>ECS</v>
      </c>
    </row>
    <row r="13908">
      <c r="A13908" t="str">
        <f>IFERROR(__xludf.DUMMYFUNCTION("""COMPUTED_VALUE"""),"OP057BL")</f>
        <v>OP057BL</v>
      </c>
      <c r="B13908" s="226" t="str">
        <f>IFERROR(__xludf.DUMMYFUNCTION("""COMPUTED_VALUE"""),"8717323026410")</f>
        <v>8717323026410</v>
      </c>
      <c r="C13908" t="str">
        <f>IFERROR(__xludf.DUMMYFUNCTION("""COMPUTED_VALUE"""),"ECS")</f>
        <v>ECS</v>
      </c>
    </row>
    <row r="13909">
      <c r="A13909" t="str">
        <f>IFERROR(__xludf.DUMMYFUNCTION("""COMPUTED_VALUE"""),"OP057DL")</f>
        <v>OP057DL</v>
      </c>
      <c r="B13909" s="226" t="str">
        <f>IFERROR(__xludf.DUMMYFUNCTION("""COMPUTED_VALUE"""),"8717323024508")</f>
        <v>8717323024508</v>
      </c>
      <c r="C13909" t="str">
        <f>IFERROR(__xludf.DUMMYFUNCTION("""COMPUTED_VALUE"""),"ECS")</f>
        <v>ECS</v>
      </c>
    </row>
    <row r="13910">
      <c r="A13910" t="str">
        <f>IFERROR(__xludf.DUMMYFUNCTION("""COMPUTED_VALUE"""),"OP057BB")</f>
        <v>OP057BB</v>
      </c>
      <c r="B13910" s="226" t="str">
        <f>IFERROR(__xludf.DUMMYFUNCTION("""COMPUTED_VALUE"""),"8717323024638")</f>
        <v>8717323024638</v>
      </c>
      <c r="C13910" t="str">
        <f>IFERROR(__xludf.DUMMYFUNCTION("""COMPUTED_VALUE"""),"ECS")</f>
        <v>ECS</v>
      </c>
    </row>
    <row r="13911">
      <c r="A13911" t="str">
        <f>IFERROR(__xludf.DUMMYFUNCTION("""COMPUTED_VALUE"""),"OP057BL")</f>
        <v>OP057BL</v>
      </c>
      <c r="B13911" s="226" t="str">
        <f>IFERROR(__xludf.DUMMYFUNCTION("""COMPUTED_VALUE"""),"8717323026410")</f>
        <v>8717323026410</v>
      </c>
      <c r="C13911" t="str">
        <f>IFERROR(__xludf.DUMMYFUNCTION("""COMPUTED_VALUE"""),"ECS")</f>
        <v>ECS</v>
      </c>
    </row>
    <row r="13912">
      <c r="A13912" t="str">
        <f>IFERROR(__xludf.DUMMYFUNCTION("""COMPUTED_VALUE"""),"OP057DL")</f>
        <v>OP057DL</v>
      </c>
      <c r="B13912" s="226" t="str">
        <f>IFERROR(__xludf.DUMMYFUNCTION("""COMPUTED_VALUE"""),"8717323024508")</f>
        <v>8717323024508</v>
      </c>
      <c r="C13912" t="str">
        <f>IFERROR(__xludf.DUMMYFUNCTION("""COMPUTED_VALUE"""),"ECS")</f>
        <v>ECS</v>
      </c>
    </row>
    <row r="13913">
      <c r="A13913" t="str">
        <f>IFERROR(__xludf.DUMMYFUNCTION("""COMPUTED_VALUE"""),"OP069BH")</f>
        <v>OP069BH</v>
      </c>
      <c r="B13913" s="226" t="str">
        <f>IFERROR(__xludf.DUMMYFUNCTION("""COMPUTED_VALUE"""),"8717323050446")</f>
        <v>8717323050446</v>
      </c>
      <c r="C13913" t="str">
        <f>IFERROR(__xludf.DUMMYFUNCTION("""COMPUTED_VALUE"""),"ECS")</f>
        <v>ECS</v>
      </c>
    </row>
    <row r="13914">
      <c r="A13914" t="str">
        <f>IFERROR(__xludf.DUMMYFUNCTION("""COMPUTED_VALUE"""),"OP069DH")</f>
        <v>OP069DH</v>
      </c>
      <c r="B13914" s="226" t="str">
        <f>IFERROR(__xludf.DUMMYFUNCTION("""COMPUTED_VALUE"""),"8717323050583")</f>
        <v>8717323050583</v>
      </c>
      <c r="C13914" t="str">
        <f>IFERROR(__xludf.DUMMYFUNCTION("""COMPUTED_VALUE"""),"ECS")</f>
        <v>ECS</v>
      </c>
    </row>
    <row r="13915">
      <c r="A13915" t="str">
        <f>IFERROR(__xludf.DUMMYFUNCTION("""COMPUTED_VALUE"""),"OP069BH")</f>
        <v>OP069BH</v>
      </c>
      <c r="B13915" s="226" t="str">
        <f>IFERROR(__xludf.DUMMYFUNCTION("""COMPUTED_VALUE"""),"8717323050446")</f>
        <v>8717323050446</v>
      </c>
      <c r="C13915" t="str">
        <f>IFERROR(__xludf.DUMMYFUNCTION("""COMPUTED_VALUE"""),"ECS")</f>
        <v>ECS</v>
      </c>
    </row>
    <row r="13916">
      <c r="A13916" t="str">
        <f>IFERROR(__xludf.DUMMYFUNCTION("""COMPUTED_VALUE"""),"OP069DH")</f>
        <v>OP069DH</v>
      </c>
      <c r="B13916" s="226" t="str">
        <f>IFERROR(__xludf.DUMMYFUNCTION("""COMPUTED_VALUE"""),"8717323050583")</f>
        <v>8717323050583</v>
      </c>
      <c r="C13916" t="str">
        <f>IFERROR(__xludf.DUMMYFUNCTION("""COMPUTED_VALUE"""),"ECS")</f>
        <v>ECS</v>
      </c>
    </row>
    <row r="13917">
      <c r="A13917" t="str">
        <f>IFERROR(__xludf.DUMMYFUNCTION("""COMPUTED_VALUE"""),"PE067B1")</f>
        <v>PE067B1</v>
      </c>
      <c r="B13917" s="226" t="str">
        <f>IFERROR(__xludf.DUMMYFUNCTION("""COMPUTED_VALUE"""),"8717323057629")</f>
        <v>8717323057629</v>
      </c>
      <c r="C13917" t="str">
        <f>IFERROR(__xludf.DUMMYFUNCTION("""COMPUTED_VALUE"""),"ECS")</f>
        <v>ECS</v>
      </c>
    </row>
    <row r="13918">
      <c r="A13918" t="str">
        <f>IFERROR(__xludf.DUMMYFUNCTION("""COMPUTED_VALUE"""),"PE067D1")</f>
        <v>PE067D1</v>
      </c>
      <c r="B13918" s="226" t="str">
        <f>IFERROR(__xludf.DUMMYFUNCTION("""COMPUTED_VALUE"""),"8717323057636")</f>
        <v>8717323057636</v>
      </c>
      <c r="C13918" t="str">
        <f>IFERROR(__xludf.DUMMYFUNCTION("""COMPUTED_VALUE"""),"ECS")</f>
        <v>ECS</v>
      </c>
    </row>
    <row r="13919">
      <c r="A13919" t="str">
        <f>IFERROR(__xludf.DUMMYFUNCTION("""COMPUTED_VALUE"""),"OP003BB")</f>
        <v>OP003BB</v>
      </c>
      <c r="B13919" s="226" t="str">
        <f>IFERROR(__xludf.DUMMYFUNCTION("""COMPUTED_VALUE"""),"8717323004999")</f>
        <v>8717323004999</v>
      </c>
      <c r="C13919" t="str">
        <f>IFERROR(__xludf.DUMMYFUNCTION("""COMPUTED_VALUE"""),"ECS")</f>
        <v>ECS</v>
      </c>
    </row>
    <row r="13920">
      <c r="A13920" t="str">
        <f>IFERROR(__xludf.DUMMYFUNCTION("""COMPUTED_VALUE"""),"OP009BB")</f>
        <v>OP009BB</v>
      </c>
      <c r="B13920" s="226" t="str">
        <f>IFERROR(__xludf.DUMMYFUNCTION("""COMPUTED_VALUE"""),"8717323005057")</f>
        <v>8717323005057</v>
      </c>
      <c r="C13920" t="str">
        <f>IFERROR(__xludf.DUMMYFUNCTION("""COMPUTED_VALUE"""),"ECS")</f>
        <v>ECS</v>
      </c>
    </row>
    <row r="13921">
      <c r="A13921" t="str">
        <f>IFERROR(__xludf.DUMMYFUNCTION("""COMPUTED_VALUE"""),"OP009BL")</f>
        <v>OP009BL</v>
      </c>
      <c r="B13921" s="226" t="str">
        <f>IFERROR(__xludf.DUMMYFUNCTION("""COMPUTED_VALUE"""),"8717323034347")</f>
        <v>8717323034347</v>
      </c>
      <c r="C13921" t="str">
        <f>IFERROR(__xludf.DUMMYFUNCTION("""COMPUTED_VALUE"""),"ECS")</f>
        <v>ECS</v>
      </c>
    </row>
    <row r="13922">
      <c r="A13922" t="str">
        <f>IFERROR(__xludf.DUMMYFUNCTION("""COMPUTED_VALUE"""),"OP034BH")</f>
        <v>OP034BH</v>
      </c>
      <c r="B13922" s="226" t="str">
        <f>IFERROR(__xludf.DUMMYFUNCTION("""COMPUTED_VALUE"""),"8717323011546")</f>
        <v>8717323011546</v>
      </c>
      <c r="C13922" t="str">
        <f>IFERROR(__xludf.DUMMYFUNCTION("""COMPUTED_VALUE"""),"ECS")</f>
        <v>ECS</v>
      </c>
    </row>
    <row r="13923">
      <c r="A13923" t="str">
        <f>IFERROR(__xludf.DUMMYFUNCTION("""COMPUTED_VALUE"""),"OP034DH")</f>
        <v>OP034DH</v>
      </c>
      <c r="B13923" s="226" t="str">
        <f>IFERROR(__xludf.DUMMYFUNCTION("""COMPUTED_VALUE"""),"8717323011553")</f>
        <v>8717323011553</v>
      </c>
      <c r="C13923" t="str">
        <f>IFERROR(__xludf.DUMMYFUNCTION("""COMPUTED_VALUE"""),"ECS")</f>
        <v>ECS</v>
      </c>
    </row>
    <row r="13924">
      <c r="A13924" t="str">
        <f>IFERROR(__xludf.DUMMYFUNCTION("""COMPUTED_VALUE"""),"OP038BB")</f>
        <v>OP038BB</v>
      </c>
      <c r="B13924" s="226" t="str">
        <f>IFERROR(__xludf.DUMMYFUNCTION("""COMPUTED_VALUE"""),"8717323013526")</f>
        <v>8717323013526</v>
      </c>
      <c r="C13924" t="str">
        <f>IFERROR(__xludf.DUMMYFUNCTION("""COMPUTED_VALUE"""),"ECS")</f>
        <v>ECS</v>
      </c>
    </row>
    <row r="13925">
      <c r="A13925" t="str">
        <f>IFERROR(__xludf.DUMMYFUNCTION("""COMPUTED_VALUE"""),"OP038DL")</f>
        <v>OP038DL</v>
      </c>
      <c r="B13925" s="226" t="str">
        <f>IFERROR(__xludf.DUMMYFUNCTION("""COMPUTED_VALUE"""),"8717323013533")</f>
        <v>8717323013533</v>
      </c>
      <c r="C13925" t="str">
        <f>IFERROR(__xludf.DUMMYFUNCTION("""COMPUTED_VALUE"""),"ECS")</f>
        <v>ECS</v>
      </c>
    </row>
    <row r="13926">
      <c r="A13926" t="str">
        <f>IFERROR(__xludf.DUMMYFUNCTION("""COMPUTED_VALUE"""),"OP052B1")</f>
        <v>OP052B1</v>
      </c>
      <c r="B13926" s="226" t="str">
        <f>IFERROR(__xludf.DUMMYFUNCTION("""COMPUTED_VALUE"""),"8717323024652")</f>
        <v>8717323024652</v>
      </c>
      <c r="C13926" t="str">
        <f>IFERROR(__xludf.DUMMYFUNCTION("""COMPUTED_VALUE"""),"ECS")</f>
        <v>ECS</v>
      </c>
    </row>
    <row r="13927">
      <c r="A13927" t="str">
        <f>IFERROR(__xludf.DUMMYFUNCTION("""COMPUTED_VALUE"""),"OP052D1")</f>
        <v>OP052D1</v>
      </c>
      <c r="B13927" s="226" t="str">
        <f>IFERROR(__xludf.DUMMYFUNCTION("""COMPUTED_VALUE"""),"8717323024492")</f>
        <v>8717323024492</v>
      </c>
      <c r="C13927" t="str">
        <f>IFERROR(__xludf.DUMMYFUNCTION("""COMPUTED_VALUE"""),"ECS")</f>
        <v>ECS</v>
      </c>
    </row>
    <row r="13928">
      <c r="A13928" t="str">
        <f>IFERROR(__xludf.DUMMYFUNCTION("""COMPUTED_VALUE"""),"OPE008B")</f>
        <v>OPE008B</v>
      </c>
      <c r="B13928" s="226" t="str">
        <f>IFERROR(__xludf.DUMMYFUNCTION("""COMPUTED_VALUE"""),"8717323005262")</f>
        <v>8717323005262</v>
      </c>
      <c r="C13928" t="str">
        <f>IFERROR(__xludf.DUMMYFUNCTION("""COMPUTED_VALUE"""),"ECS")</f>
        <v>ECS</v>
      </c>
    </row>
    <row r="13929">
      <c r="A13929" t="str">
        <f>IFERROR(__xludf.DUMMYFUNCTION("""COMPUTED_VALUE"""),"OP016BB")</f>
        <v>OP016BB</v>
      </c>
      <c r="B13929" s="226" t="str">
        <f>IFERROR(__xludf.DUMMYFUNCTION("""COMPUTED_VALUE"""),"8717323005095")</f>
        <v>8717323005095</v>
      </c>
      <c r="C13929" t="str">
        <f>IFERROR(__xludf.DUMMYFUNCTION("""COMPUTED_VALUE"""),"ECS")</f>
        <v>ECS</v>
      </c>
    </row>
    <row r="13930">
      <c r="A13930" t="str">
        <f>IFERROR(__xludf.DUMMYFUNCTION("""COMPUTED_VALUE"""),"OP016BL")</f>
        <v>OP016BL</v>
      </c>
      <c r="B13930" s="226" t="str">
        <f>IFERROR(__xludf.DUMMYFUNCTION("""COMPUTED_VALUE"""),"8717323020333")</f>
        <v>8717323020333</v>
      </c>
      <c r="C13930" t="str">
        <f>IFERROR(__xludf.DUMMYFUNCTION("""COMPUTED_VALUE"""),"ECS")</f>
        <v>ECS</v>
      </c>
    </row>
    <row r="13931">
      <c r="A13931" t="str">
        <f>IFERROR(__xludf.DUMMYFUNCTION("""COMPUTED_VALUE"""),"OP016DB")</f>
        <v>OP016DB</v>
      </c>
      <c r="B13931" s="226" t="str">
        <f>IFERROR(__xludf.DUMMYFUNCTION("""COMPUTED_VALUE"""),"8717323005101")</f>
        <v>8717323005101</v>
      </c>
      <c r="C13931" t="str">
        <f>IFERROR(__xludf.DUMMYFUNCTION("""COMPUTED_VALUE"""),"ECS")</f>
        <v>ECS</v>
      </c>
    </row>
    <row r="13932">
      <c r="A13932" t="str">
        <f>IFERROR(__xludf.DUMMYFUNCTION("""COMPUTED_VALUE"""),"OP016BB")</f>
        <v>OP016BB</v>
      </c>
      <c r="B13932" s="226" t="str">
        <f>IFERROR(__xludf.DUMMYFUNCTION("""COMPUTED_VALUE"""),"8717323005095")</f>
        <v>8717323005095</v>
      </c>
      <c r="C13932" t="str">
        <f>IFERROR(__xludf.DUMMYFUNCTION("""COMPUTED_VALUE"""),"ECS")</f>
        <v>ECS</v>
      </c>
    </row>
    <row r="13933">
      <c r="A13933" t="str">
        <f>IFERROR(__xludf.DUMMYFUNCTION("""COMPUTED_VALUE"""),"OP016DB")</f>
        <v>OP016DB</v>
      </c>
      <c r="B13933" s="226" t="str">
        <f>IFERROR(__xludf.DUMMYFUNCTION("""COMPUTED_VALUE"""),"8717323005101")</f>
        <v>8717323005101</v>
      </c>
      <c r="C13933" t="str">
        <f>IFERROR(__xludf.DUMMYFUNCTION("""COMPUTED_VALUE"""),"ECS")</f>
        <v>ECS</v>
      </c>
    </row>
    <row r="13934">
      <c r="A13934" t="str">
        <f>IFERROR(__xludf.DUMMYFUNCTION("""COMPUTED_VALUE"""),"OP016BL")</f>
        <v>OP016BL</v>
      </c>
      <c r="B13934" s="226" t="str">
        <f>IFERROR(__xludf.DUMMYFUNCTION("""COMPUTED_VALUE"""),"8717323020333")</f>
        <v>8717323020333</v>
      </c>
      <c r="C13934" t="str">
        <f>IFERROR(__xludf.DUMMYFUNCTION("""COMPUTED_VALUE"""),"ECS")</f>
        <v>ECS</v>
      </c>
    </row>
    <row r="13935">
      <c r="A13935" t="str">
        <f>IFERROR(__xludf.DUMMYFUNCTION("""COMPUTED_VALUE"""),"OP016BB")</f>
        <v>OP016BB</v>
      </c>
      <c r="B13935" s="226" t="str">
        <f>IFERROR(__xludf.DUMMYFUNCTION("""COMPUTED_VALUE"""),"8717323005095")</f>
        <v>8717323005095</v>
      </c>
      <c r="C13935" t="str">
        <f>IFERROR(__xludf.DUMMYFUNCTION("""COMPUTED_VALUE"""),"ECS")</f>
        <v>ECS</v>
      </c>
    </row>
    <row r="13936">
      <c r="A13936" t="str">
        <f>IFERROR(__xludf.DUMMYFUNCTION("""COMPUTED_VALUE"""),"OP016BL")</f>
        <v>OP016BL</v>
      </c>
      <c r="B13936" s="226" t="str">
        <f>IFERROR(__xludf.DUMMYFUNCTION("""COMPUTED_VALUE"""),"8717323020333")</f>
        <v>8717323020333</v>
      </c>
      <c r="C13936" t="str">
        <f>IFERROR(__xludf.DUMMYFUNCTION("""COMPUTED_VALUE"""),"ECS")</f>
        <v>ECS</v>
      </c>
    </row>
    <row r="13937">
      <c r="A13937" t="str">
        <f>IFERROR(__xludf.DUMMYFUNCTION("""COMPUTED_VALUE"""),"OP016DB")</f>
        <v>OP016DB</v>
      </c>
      <c r="B13937" s="226" t="str">
        <f>IFERROR(__xludf.DUMMYFUNCTION("""COMPUTED_VALUE"""),"8717323005101")</f>
        <v>8717323005101</v>
      </c>
      <c r="C13937" t="str">
        <f>IFERROR(__xludf.DUMMYFUNCTION("""COMPUTED_VALUE"""),"ECS")</f>
        <v>ECS</v>
      </c>
    </row>
    <row r="13938">
      <c r="A13938" t="str">
        <f>IFERROR(__xludf.DUMMYFUNCTION("""COMPUTED_VALUE"""),"OP029BL")</f>
        <v>OP029BL</v>
      </c>
      <c r="B13938" s="226" t="str">
        <f>IFERROR(__xludf.DUMMYFUNCTION("""COMPUTED_VALUE"""),"8717323004517")</f>
        <v>8717323004517</v>
      </c>
      <c r="C13938" t="str">
        <f>IFERROR(__xludf.DUMMYFUNCTION("""COMPUTED_VALUE"""),"ECS")</f>
        <v>ECS</v>
      </c>
    </row>
    <row r="13939">
      <c r="A13939" t="str">
        <f>IFERROR(__xludf.DUMMYFUNCTION("""COMPUTED_VALUE"""),"OP029DL")</f>
        <v>OP029DL</v>
      </c>
      <c r="B13939" s="226" t="str">
        <f>IFERROR(__xludf.DUMMYFUNCTION("""COMPUTED_VALUE"""),"8717323004531")</f>
        <v>8717323004531</v>
      </c>
      <c r="C13939" t="str">
        <f>IFERROR(__xludf.DUMMYFUNCTION("""COMPUTED_VALUE"""),"ECS")</f>
        <v>ECS</v>
      </c>
    </row>
    <row r="13940">
      <c r="A13940" t="str">
        <f>IFERROR(__xludf.DUMMYFUNCTION("""COMPUTED_VALUE"""),"OP029BL")</f>
        <v>OP029BL</v>
      </c>
      <c r="B13940" s="226" t="str">
        <f>IFERROR(__xludf.DUMMYFUNCTION("""COMPUTED_VALUE"""),"8717323004517")</f>
        <v>8717323004517</v>
      </c>
      <c r="C13940" t="str">
        <f>IFERROR(__xludf.DUMMYFUNCTION("""COMPUTED_VALUE"""),"ECS")</f>
        <v>ECS</v>
      </c>
    </row>
    <row r="13941">
      <c r="A13941" t="str">
        <f>IFERROR(__xludf.DUMMYFUNCTION("""COMPUTED_VALUE"""),"OP029DL")</f>
        <v>OP029DL</v>
      </c>
      <c r="B13941" s="226" t="str">
        <f>IFERROR(__xludf.DUMMYFUNCTION("""COMPUTED_VALUE"""),"8717323004531")</f>
        <v>8717323004531</v>
      </c>
      <c r="C13941" t="str">
        <f>IFERROR(__xludf.DUMMYFUNCTION("""COMPUTED_VALUE"""),"ECS")</f>
        <v>ECS</v>
      </c>
    </row>
    <row r="13942">
      <c r="A13942" t="str">
        <f>IFERROR(__xludf.DUMMYFUNCTION("""COMPUTED_VALUE"""),"OP029BL")</f>
        <v>OP029BL</v>
      </c>
      <c r="B13942" s="226" t="str">
        <f>IFERROR(__xludf.DUMMYFUNCTION("""COMPUTED_VALUE"""),"8717323004517")</f>
        <v>8717323004517</v>
      </c>
      <c r="C13942" t="str">
        <f>IFERROR(__xludf.DUMMYFUNCTION("""COMPUTED_VALUE"""),"ECS")</f>
        <v>ECS</v>
      </c>
    </row>
    <row r="13943">
      <c r="A13943" t="str">
        <f>IFERROR(__xludf.DUMMYFUNCTION("""COMPUTED_VALUE"""),"OP029DL")</f>
        <v>OP029DL</v>
      </c>
      <c r="B13943" s="226" t="str">
        <f>IFERROR(__xludf.DUMMYFUNCTION("""COMPUTED_VALUE"""),"8717323004531")</f>
        <v>8717323004531</v>
      </c>
      <c r="C13943" t="str">
        <f>IFERROR(__xludf.DUMMYFUNCTION("""COMPUTED_VALUE"""),"ECS")</f>
        <v>ECS</v>
      </c>
    </row>
    <row r="13944">
      <c r="A13944" t="str">
        <f>IFERROR(__xludf.DUMMYFUNCTION("""COMPUTED_VALUE"""),"PE045DL")</f>
        <v>PE045DL</v>
      </c>
      <c r="B13944" s="226" t="str">
        <f>IFERROR(__xludf.DUMMYFUNCTION("""COMPUTED_VALUE"""),"8717323020593")</f>
        <v>8717323020593</v>
      </c>
      <c r="C13944" t="str">
        <f>IFERROR(__xludf.DUMMYFUNCTION("""COMPUTED_VALUE"""),"ECS")</f>
        <v>ECS</v>
      </c>
    </row>
    <row r="13945">
      <c r="A13945" t="str">
        <f>IFERROR(__xludf.DUMMYFUNCTION("""COMPUTED_VALUE"""),"PE045DL")</f>
        <v>PE045DL</v>
      </c>
      <c r="B13945" s="226" t="str">
        <f>IFERROR(__xludf.DUMMYFUNCTION("""COMPUTED_VALUE"""),"8717323020593")</f>
        <v>8717323020593</v>
      </c>
      <c r="C13945" t="str">
        <f>IFERROR(__xludf.DUMMYFUNCTION("""COMPUTED_VALUE"""),"ECS")</f>
        <v>ECS</v>
      </c>
    </row>
    <row r="13946">
      <c r="A13946" t="str">
        <f>IFERROR(__xludf.DUMMYFUNCTION("""COMPUTED_VALUE"""),"TO241BB")</f>
        <v>TO241BB</v>
      </c>
      <c r="B13946" s="226" t="str">
        <f>IFERROR(__xludf.DUMMYFUNCTION("""COMPUTED_VALUE"""),"8717323050903")</f>
        <v>8717323050903</v>
      </c>
      <c r="C13946" t="str">
        <f>IFERROR(__xludf.DUMMYFUNCTION("""COMPUTED_VALUE"""),"ECS")</f>
        <v>ECS</v>
      </c>
    </row>
    <row r="13947">
      <c r="A13947" t="str">
        <f>IFERROR(__xludf.DUMMYFUNCTION("""COMPUTED_VALUE"""),"TO241DL")</f>
        <v>TO241DL</v>
      </c>
      <c r="B13947" s="226" t="str">
        <f>IFERROR(__xludf.DUMMYFUNCTION("""COMPUTED_VALUE"""),"8717323050118")</f>
        <v>8717323050118</v>
      </c>
      <c r="C13947" t="str">
        <f>IFERROR(__xludf.DUMMYFUNCTION("""COMPUTED_VALUE"""),"ECS")</f>
        <v>ECS</v>
      </c>
    </row>
    <row r="13948">
      <c r="A13948" t="str">
        <f>IFERROR(__xludf.DUMMYFUNCTION("""COMPUTED_VALUE"""),"TO241BB")</f>
        <v>TO241BB</v>
      </c>
      <c r="B13948" s="226" t="str">
        <f>IFERROR(__xludf.DUMMYFUNCTION("""COMPUTED_VALUE"""),"8717323050903")</f>
        <v>8717323050903</v>
      </c>
      <c r="C13948" t="str">
        <f>IFERROR(__xludf.DUMMYFUNCTION("""COMPUTED_VALUE"""),"ECS")</f>
        <v>ECS</v>
      </c>
    </row>
    <row r="13949">
      <c r="A13949" t="str">
        <f>IFERROR(__xludf.DUMMYFUNCTION("""COMPUTED_VALUE"""),"TO241DL")</f>
        <v>TO241DL</v>
      </c>
      <c r="B13949" s="226" t="str">
        <f>IFERROR(__xludf.DUMMYFUNCTION("""COMPUTED_VALUE"""),"8717323050118")</f>
        <v>8717323050118</v>
      </c>
      <c r="C13949" t="str">
        <f>IFERROR(__xludf.DUMMYFUNCTION("""COMPUTED_VALUE"""),"ECS")</f>
        <v>ECS</v>
      </c>
    </row>
    <row r="13950">
      <c r="A13950" t="str">
        <f>IFERROR(__xludf.DUMMYFUNCTION("""COMPUTED_VALUE"""),"PE026BB")</f>
        <v>PE026BB</v>
      </c>
      <c r="B13950" s="226" t="str">
        <f>IFERROR(__xludf.DUMMYFUNCTION("""COMPUTED_VALUE"""),"8717323010747")</f>
        <v>8717323010747</v>
      </c>
      <c r="C13950" t="str">
        <f>IFERROR(__xludf.DUMMYFUNCTION("""COMPUTED_VALUE"""),"ECS")</f>
        <v>ECS</v>
      </c>
    </row>
    <row r="13951">
      <c r="A13951" t="str">
        <f>IFERROR(__xludf.DUMMYFUNCTION("""COMPUTED_VALUE"""),"PE026DB")</f>
        <v>PE026DB</v>
      </c>
      <c r="B13951" s="226" t="str">
        <f>IFERROR(__xludf.DUMMYFUNCTION("""COMPUTED_VALUE"""),"8717323010761")</f>
        <v>8717323010761</v>
      </c>
      <c r="C13951" t="str">
        <f>IFERROR(__xludf.DUMMYFUNCTION("""COMPUTED_VALUE"""),"ECS")</f>
        <v>ECS</v>
      </c>
    </row>
    <row r="13952">
      <c r="A13952" t="str">
        <f>IFERROR(__xludf.DUMMYFUNCTION("""COMPUTED_VALUE"""),"PE026BB")</f>
        <v>PE026BB</v>
      </c>
      <c r="B13952" s="226" t="str">
        <f>IFERROR(__xludf.DUMMYFUNCTION("""COMPUTED_VALUE"""),"8717323010747")</f>
        <v>8717323010747</v>
      </c>
      <c r="C13952" t="str">
        <f>IFERROR(__xludf.DUMMYFUNCTION("""COMPUTED_VALUE"""),"ECS")</f>
        <v>ECS</v>
      </c>
    </row>
    <row r="13953">
      <c r="A13953" t="str">
        <f>IFERROR(__xludf.DUMMYFUNCTION("""COMPUTED_VALUE"""),"PE026DB")</f>
        <v>PE026DB</v>
      </c>
      <c r="B13953" s="226" t="str">
        <f>IFERROR(__xludf.DUMMYFUNCTION("""COMPUTED_VALUE"""),"8717323010761")</f>
        <v>8717323010761</v>
      </c>
      <c r="C13953" t="str">
        <f>IFERROR(__xludf.DUMMYFUNCTION("""COMPUTED_VALUE"""),"ECS")</f>
        <v>ECS</v>
      </c>
    </row>
    <row r="13954">
      <c r="A13954" t="str">
        <f>IFERROR(__xludf.DUMMYFUNCTION("""COMPUTED_VALUE"""),"PE026BB")</f>
        <v>PE026BB</v>
      </c>
      <c r="B13954" s="226" t="str">
        <f>IFERROR(__xludf.DUMMYFUNCTION("""COMPUTED_VALUE"""),"8717323010747")</f>
        <v>8717323010747</v>
      </c>
      <c r="C13954" t="str">
        <f>IFERROR(__xludf.DUMMYFUNCTION("""COMPUTED_VALUE"""),"ECS")</f>
        <v>ECS</v>
      </c>
    </row>
    <row r="13955">
      <c r="A13955" t="str">
        <f>IFERROR(__xludf.DUMMYFUNCTION("""COMPUTED_VALUE"""),"PE026DB")</f>
        <v>PE026DB</v>
      </c>
      <c r="B13955" s="226" t="str">
        <f>IFERROR(__xludf.DUMMYFUNCTION("""COMPUTED_VALUE"""),"8717323010761")</f>
        <v>8717323010761</v>
      </c>
      <c r="C13955" t="str">
        <f>IFERROR(__xludf.DUMMYFUNCTION("""COMPUTED_VALUE"""),"ECS")</f>
        <v>ECS</v>
      </c>
    </row>
    <row r="13956">
      <c r="A13956" t="str">
        <f>IFERROR(__xludf.DUMMYFUNCTION("""COMPUTED_VALUE"""),"CT050B1")</f>
        <v>CT050B1</v>
      </c>
      <c r="B13956" s="226" t="str">
        <f>IFERROR(__xludf.DUMMYFUNCTION("""COMPUTED_VALUE"""),"8717323024065")</f>
        <v>8717323024065</v>
      </c>
      <c r="C13956" t="str">
        <f>IFERROR(__xludf.DUMMYFUNCTION("""COMPUTED_VALUE"""),"ECS")</f>
        <v>ECS</v>
      </c>
    </row>
    <row r="13957">
      <c r="A13957" t="str">
        <f>IFERROR(__xludf.DUMMYFUNCTION("""COMPUTED_VALUE"""),"CT050D1")</f>
        <v>CT050D1</v>
      </c>
      <c r="B13957" s="226" t="str">
        <f>IFERROR(__xludf.DUMMYFUNCTION("""COMPUTED_VALUE"""),"8717323024133")</f>
        <v>8717323024133</v>
      </c>
      <c r="C13957" t="str">
        <f>IFERROR(__xludf.DUMMYFUNCTION("""COMPUTED_VALUE"""),"ECS")</f>
        <v>ECS</v>
      </c>
    </row>
    <row r="13958">
      <c r="A13958" t="str">
        <f>IFERROR(__xludf.DUMMYFUNCTION("""COMPUTED_VALUE"""),"CT050B1")</f>
        <v>CT050B1</v>
      </c>
      <c r="B13958" s="226" t="str">
        <f>IFERROR(__xludf.DUMMYFUNCTION("""COMPUTED_VALUE"""),"8717323024065")</f>
        <v>8717323024065</v>
      </c>
      <c r="C13958" t="str">
        <f>IFERROR(__xludf.DUMMYFUNCTION("""COMPUTED_VALUE"""),"ECS")</f>
        <v>ECS</v>
      </c>
    </row>
    <row r="13959">
      <c r="A13959" t="str">
        <f>IFERROR(__xludf.DUMMYFUNCTION("""COMPUTED_VALUE"""),"CT050D1")</f>
        <v>CT050D1</v>
      </c>
      <c r="B13959" s="226" t="str">
        <f>IFERROR(__xludf.DUMMYFUNCTION("""COMPUTED_VALUE"""),"8717323024133")</f>
        <v>8717323024133</v>
      </c>
      <c r="C13959" t="str">
        <f>IFERROR(__xludf.DUMMYFUNCTION("""COMPUTED_VALUE"""),"ECS")</f>
        <v>ECS</v>
      </c>
    </row>
    <row r="13960">
      <c r="A13960" t="str">
        <f>IFERROR(__xludf.DUMMYFUNCTION("""COMPUTED_VALUE"""),"PE064B1")</f>
        <v>PE064B1</v>
      </c>
      <c r="B13960" s="226" t="str">
        <f>IFERROR(__xludf.DUMMYFUNCTION("""COMPUTED_VALUE"""),"8717323028384")</f>
        <v>8717323028384</v>
      </c>
      <c r="C13960" t="str">
        <f>IFERROR(__xludf.DUMMYFUNCTION("""COMPUTED_VALUE"""),"ECS")</f>
        <v>ECS</v>
      </c>
    </row>
    <row r="13961">
      <c r="A13961" t="str">
        <f>IFERROR(__xludf.DUMMYFUNCTION("""COMPUTED_VALUE"""),"PE064D1")</f>
        <v>PE064D1</v>
      </c>
      <c r="B13961" s="226" t="str">
        <f>IFERROR(__xludf.DUMMYFUNCTION("""COMPUTED_VALUE"""),"8717323029046")</f>
        <v>8717323029046</v>
      </c>
      <c r="C13961" t="str">
        <f>IFERROR(__xludf.DUMMYFUNCTION("""COMPUTED_VALUE"""),"ECS")</f>
        <v>ECS</v>
      </c>
    </row>
    <row r="13962">
      <c r="A13962" t="str">
        <f>IFERROR(__xludf.DUMMYFUNCTION("""COMPUTED_VALUE"""),"PE064B1")</f>
        <v>PE064B1</v>
      </c>
      <c r="B13962" s="226" t="str">
        <f>IFERROR(__xludf.DUMMYFUNCTION("""COMPUTED_VALUE"""),"8717323028384")</f>
        <v>8717323028384</v>
      </c>
      <c r="C13962" t="str">
        <f>IFERROR(__xludf.DUMMYFUNCTION("""COMPUTED_VALUE"""),"ECS")</f>
        <v>ECS</v>
      </c>
    </row>
    <row r="13963">
      <c r="A13963" t="str">
        <f>IFERROR(__xludf.DUMMYFUNCTION("""COMPUTED_VALUE"""),"PE064D1")</f>
        <v>PE064D1</v>
      </c>
      <c r="B13963" s="226" t="str">
        <f>IFERROR(__xludf.DUMMYFUNCTION("""COMPUTED_VALUE"""),"8717323029046")</f>
        <v>8717323029046</v>
      </c>
      <c r="C13963" t="str">
        <f>IFERROR(__xludf.DUMMYFUNCTION("""COMPUTED_VALUE"""),"ECS")</f>
        <v>ECS</v>
      </c>
    </row>
    <row r="13964">
      <c r="A13964" t="str">
        <f>IFERROR(__xludf.DUMMYFUNCTION("""COMPUTED_VALUE"""),"PE008BB")</f>
        <v>PE008BB</v>
      </c>
      <c r="B13964" s="226" t="str">
        <f>IFERROR(__xludf.DUMMYFUNCTION("""COMPUTED_VALUE"""),"8717323005804")</f>
        <v>8717323005804</v>
      </c>
      <c r="C13964" t="str">
        <f>IFERROR(__xludf.DUMMYFUNCTION("""COMPUTED_VALUE"""),"ECS")</f>
        <v>ECS</v>
      </c>
    </row>
    <row r="13965">
      <c r="A13965" t="str">
        <f>IFERROR(__xludf.DUMMYFUNCTION("""COMPUTED_VALUE"""),"PE059B1")</f>
        <v>PE059B1</v>
      </c>
      <c r="B13965" s="226" t="str">
        <f>IFERROR(__xludf.DUMMYFUNCTION("""COMPUTED_VALUE"""),"8717323024102")</f>
        <v>8717323024102</v>
      </c>
      <c r="C13965" t="str">
        <f>IFERROR(__xludf.DUMMYFUNCTION("""COMPUTED_VALUE"""),"ECS")</f>
        <v>ECS</v>
      </c>
    </row>
    <row r="13966">
      <c r="A13966" t="str">
        <f>IFERROR(__xludf.DUMMYFUNCTION("""COMPUTED_VALUE"""),"PE059D1")</f>
        <v>PE059D1</v>
      </c>
      <c r="B13966" s="226" t="str">
        <f>IFERROR(__xludf.DUMMYFUNCTION("""COMPUTED_VALUE"""),"8717323024119")</f>
        <v>8717323024119</v>
      </c>
      <c r="C13966" t="str">
        <f>IFERROR(__xludf.DUMMYFUNCTION("""COMPUTED_VALUE"""),"ECS")</f>
        <v>ECS</v>
      </c>
    </row>
    <row r="13967">
      <c r="A13967" t="str">
        <f>IFERROR(__xludf.DUMMYFUNCTION("""COMPUTED_VALUE"""),"PE008BB")</f>
        <v>PE008BB</v>
      </c>
      <c r="B13967" s="226" t="str">
        <f>IFERROR(__xludf.DUMMYFUNCTION("""COMPUTED_VALUE"""),"8717323005804")</f>
        <v>8717323005804</v>
      </c>
      <c r="C13967" t="str">
        <f>IFERROR(__xludf.DUMMYFUNCTION("""COMPUTED_VALUE"""),"ECS")</f>
        <v>ECS</v>
      </c>
    </row>
    <row r="13968">
      <c r="A13968" t="str">
        <f>IFERROR(__xludf.DUMMYFUNCTION("""COMPUTED_VALUE"""),"PE059B1")</f>
        <v>PE059B1</v>
      </c>
      <c r="B13968" s="226" t="str">
        <f>IFERROR(__xludf.DUMMYFUNCTION("""COMPUTED_VALUE"""),"8717323024102")</f>
        <v>8717323024102</v>
      </c>
      <c r="C13968" t="str">
        <f>IFERROR(__xludf.DUMMYFUNCTION("""COMPUTED_VALUE"""),"ECS")</f>
        <v>ECS</v>
      </c>
    </row>
    <row r="13969">
      <c r="A13969" t="str">
        <f>IFERROR(__xludf.DUMMYFUNCTION("""COMPUTED_VALUE"""),"PE059D1")</f>
        <v>PE059D1</v>
      </c>
      <c r="B13969" s="226" t="str">
        <f>IFERROR(__xludf.DUMMYFUNCTION("""COMPUTED_VALUE"""),"8717323024119")</f>
        <v>8717323024119</v>
      </c>
      <c r="C13969" t="str">
        <f>IFERROR(__xludf.DUMMYFUNCTION("""COMPUTED_VALUE"""),"ECS")</f>
        <v>ECS</v>
      </c>
    </row>
    <row r="13970">
      <c r="A13970" t="str">
        <f>IFERROR(__xludf.DUMMYFUNCTION("""COMPUTED_VALUE"""),"PE059B1")</f>
        <v>PE059B1</v>
      </c>
      <c r="B13970" s="226" t="str">
        <f>IFERROR(__xludf.DUMMYFUNCTION("""COMPUTED_VALUE"""),"8717323024102")</f>
        <v>8717323024102</v>
      </c>
      <c r="C13970" t="str">
        <f>IFERROR(__xludf.DUMMYFUNCTION("""COMPUTED_VALUE"""),"ECS")</f>
        <v>ECS</v>
      </c>
    </row>
    <row r="13971">
      <c r="A13971" t="str">
        <f>IFERROR(__xludf.DUMMYFUNCTION("""COMPUTED_VALUE"""),"PE059D1")</f>
        <v>PE059D1</v>
      </c>
      <c r="B13971" s="226" t="str">
        <f>IFERROR(__xludf.DUMMYFUNCTION("""COMPUTED_VALUE"""),"8717323024119")</f>
        <v>8717323024119</v>
      </c>
      <c r="C13971" t="str">
        <f>IFERROR(__xludf.DUMMYFUNCTION("""COMPUTED_VALUE"""),"ECS")</f>
        <v>ECS</v>
      </c>
    </row>
    <row r="13972">
      <c r="A13972" t="str">
        <f>IFERROR(__xludf.DUMMYFUNCTION("""COMPUTED_VALUE"""),"CT050B1")</f>
        <v>CT050B1</v>
      </c>
      <c r="B13972" s="226" t="str">
        <f>IFERROR(__xludf.DUMMYFUNCTION("""COMPUTED_VALUE"""),"8717323024065")</f>
        <v>8717323024065</v>
      </c>
      <c r="C13972" t="str">
        <f>IFERROR(__xludf.DUMMYFUNCTION("""COMPUTED_VALUE"""),"ECS")</f>
        <v>ECS</v>
      </c>
    </row>
    <row r="13973">
      <c r="A13973" t="str">
        <f>IFERROR(__xludf.DUMMYFUNCTION("""COMPUTED_VALUE"""),"CT050D1")</f>
        <v>CT050D1</v>
      </c>
      <c r="B13973" s="226" t="str">
        <f>IFERROR(__xludf.DUMMYFUNCTION("""COMPUTED_VALUE"""),"8717323024133")</f>
        <v>8717323024133</v>
      </c>
      <c r="C13973" t="str">
        <f>IFERROR(__xludf.DUMMYFUNCTION("""COMPUTED_VALUE"""),"ECS")</f>
        <v>ECS</v>
      </c>
    </row>
    <row r="13974">
      <c r="A13974" t="str">
        <f>IFERROR(__xludf.DUMMYFUNCTION("""COMPUTED_VALUE"""),"PE059B1")</f>
        <v>PE059B1</v>
      </c>
      <c r="B13974" s="226" t="str">
        <f>IFERROR(__xludf.DUMMYFUNCTION("""COMPUTED_VALUE"""),"8717323024102")</f>
        <v>8717323024102</v>
      </c>
      <c r="C13974" t="str">
        <f>IFERROR(__xludf.DUMMYFUNCTION("""COMPUTED_VALUE"""),"ECS")</f>
        <v>ECS</v>
      </c>
    </row>
    <row r="13975">
      <c r="A13975" t="str">
        <f>IFERROR(__xludf.DUMMYFUNCTION("""COMPUTED_VALUE"""),"PE059D1")</f>
        <v>PE059D1</v>
      </c>
      <c r="B13975" s="226" t="str">
        <f>IFERROR(__xludf.DUMMYFUNCTION("""COMPUTED_VALUE"""),"8717323024119")</f>
        <v>8717323024119</v>
      </c>
      <c r="C13975" t="str">
        <f>IFERROR(__xludf.DUMMYFUNCTION("""COMPUTED_VALUE"""),"ECS")</f>
        <v>ECS</v>
      </c>
    </row>
    <row r="13976">
      <c r="A13976" t="str">
        <f>IFERROR(__xludf.DUMMYFUNCTION("""COMPUTED_VALUE"""),"CT050B1")</f>
        <v>CT050B1</v>
      </c>
      <c r="B13976" s="226" t="str">
        <f>IFERROR(__xludf.DUMMYFUNCTION("""COMPUTED_VALUE"""),"8717323024065")</f>
        <v>8717323024065</v>
      </c>
      <c r="C13976" t="str">
        <f>IFERROR(__xludf.DUMMYFUNCTION("""COMPUTED_VALUE"""),"ECS")</f>
        <v>ECS</v>
      </c>
    </row>
    <row r="13977">
      <c r="A13977" t="str">
        <f>IFERROR(__xludf.DUMMYFUNCTION("""COMPUTED_VALUE"""),"CT050D1")</f>
        <v>CT050D1</v>
      </c>
      <c r="B13977" s="226" t="str">
        <f>IFERROR(__xludf.DUMMYFUNCTION("""COMPUTED_VALUE"""),"8717323024133")</f>
        <v>8717323024133</v>
      </c>
      <c r="C13977" t="str">
        <f>IFERROR(__xludf.DUMMYFUNCTION("""COMPUTED_VALUE"""),"ECS")</f>
        <v>ECS</v>
      </c>
    </row>
    <row r="13978">
      <c r="A13978" t="str">
        <f>IFERROR(__xludf.DUMMYFUNCTION("""COMPUTED_VALUE"""),"PEU026B")</f>
        <v>PEU026B</v>
      </c>
      <c r="B13978" s="226" t="str">
        <f>IFERROR(__xludf.DUMMYFUNCTION("""COMPUTED_VALUE"""),"8717323005934")</f>
        <v>8717323005934</v>
      </c>
      <c r="C13978" t="str">
        <f>IFERROR(__xludf.DUMMYFUNCTION("""COMPUTED_VALUE"""),"ECS")</f>
        <v>ECS</v>
      </c>
    </row>
    <row r="13979">
      <c r="A13979" t="str">
        <f>IFERROR(__xludf.DUMMYFUNCTION("""COMPUTED_VALUE"""),"PE003BB")</f>
        <v>PE003BB</v>
      </c>
      <c r="B13979" s="226" t="str">
        <f>IFERROR(__xludf.DUMMYFUNCTION("""COMPUTED_VALUE"""),"8717323005743")</f>
        <v>8717323005743</v>
      </c>
      <c r="C13979" t="str">
        <f>IFERROR(__xludf.DUMMYFUNCTION("""COMPUTED_VALUE"""),"ECS")</f>
        <v>ECS</v>
      </c>
    </row>
    <row r="13980">
      <c r="A13980" t="str">
        <f>IFERROR(__xludf.DUMMYFUNCTION("""COMPUTED_VALUE"""),"PE059B1")</f>
        <v>PE059B1</v>
      </c>
      <c r="B13980" s="226" t="str">
        <f>IFERROR(__xludf.DUMMYFUNCTION("""COMPUTED_VALUE"""),"8717323024102")</f>
        <v>8717323024102</v>
      </c>
      <c r="C13980" t="str">
        <f>IFERROR(__xludf.DUMMYFUNCTION("""COMPUTED_VALUE"""),"ECS")</f>
        <v>ECS</v>
      </c>
    </row>
    <row r="13981">
      <c r="A13981" t="str">
        <f>IFERROR(__xludf.DUMMYFUNCTION("""COMPUTED_VALUE"""),"PE059D1")</f>
        <v>PE059D1</v>
      </c>
      <c r="B13981" s="226" t="str">
        <f>IFERROR(__xludf.DUMMYFUNCTION("""COMPUTED_VALUE"""),"8717323024119")</f>
        <v>8717323024119</v>
      </c>
      <c r="C13981" t="str">
        <f>IFERROR(__xludf.DUMMYFUNCTION("""COMPUTED_VALUE"""),"ECS")</f>
        <v>ECS</v>
      </c>
    </row>
    <row r="13982">
      <c r="A13982" t="str">
        <f>IFERROR(__xludf.DUMMYFUNCTION("""COMPUTED_VALUE"""),"PE052B1")</f>
        <v>PE052B1</v>
      </c>
      <c r="B13982" s="226" t="str">
        <f>IFERROR(__xludf.DUMMYFUNCTION("""COMPUTED_VALUE"""),"8717323017296")</f>
        <v>8717323017296</v>
      </c>
      <c r="C13982" t="str">
        <f>IFERROR(__xludf.DUMMYFUNCTION("""COMPUTED_VALUE"""),"ECS")</f>
        <v>ECS</v>
      </c>
    </row>
    <row r="13983">
      <c r="A13983" t="str">
        <f>IFERROR(__xludf.DUMMYFUNCTION("""COMPUTED_VALUE"""),"PE052D1")</f>
        <v>PE052D1</v>
      </c>
      <c r="B13983" s="226" t="str">
        <f>IFERROR(__xludf.DUMMYFUNCTION("""COMPUTED_VALUE"""),"8717323017302")</f>
        <v>8717323017302</v>
      </c>
      <c r="C13983" t="str">
        <f>IFERROR(__xludf.DUMMYFUNCTION("""COMPUTED_VALUE"""),"ECS")</f>
        <v>ECS</v>
      </c>
    </row>
    <row r="13984">
      <c r="A13984" t="str">
        <f>IFERROR(__xludf.DUMMYFUNCTION("""COMPUTED_VALUE"""),"PE059B1")</f>
        <v>PE059B1</v>
      </c>
      <c r="B13984" s="226" t="str">
        <f>IFERROR(__xludf.DUMMYFUNCTION("""COMPUTED_VALUE"""),"8717323024102")</f>
        <v>8717323024102</v>
      </c>
      <c r="C13984" t="str">
        <f>IFERROR(__xludf.DUMMYFUNCTION("""COMPUTED_VALUE"""),"ECS")</f>
        <v>ECS</v>
      </c>
    </row>
    <row r="13985">
      <c r="A13985" t="str">
        <f>IFERROR(__xludf.DUMMYFUNCTION("""COMPUTED_VALUE"""),"PE059D1")</f>
        <v>PE059D1</v>
      </c>
      <c r="B13985" s="226" t="str">
        <f>IFERROR(__xludf.DUMMYFUNCTION("""COMPUTED_VALUE"""),"8717323024119")</f>
        <v>8717323024119</v>
      </c>
      <c r="C13985" t="str">
        <f>IFERROR(__xludf.DUMMYFUNCTION("""COMPUTED_VALUE"""),"ECS")</f>
        <v>ECS</v>
      </c>
    </row>
    <row r="13986">
      <c r="A13986" t="str">
        <f>IFERROR(__xludf.DUMMYFUNCTION("""COMPUTED_VALUE"""),"PE050B1")</f>
        <v>PE050B1</v>
      </c>
      <c r="B13986" s="226" t="str">
        <f>IFERROR(__xludf.DUMMYFUNCTION("""COMPUTED_VALUE"""),"8717323017319")</f>
        <v>8717323017319</v>
      </c>
      <c r="C13986" t="str">
        <f>IFERROR(__xludf.DUMMYFUNCTION("""COMPUTED_VALUE"""),"ECS")</f>
        <v>ECS</v>
      </c>
    </row>
    <row r="13987">
      <c r="A13987" t="str">
        <f>IFERROR(__xludf.DUMMYFUNCTION("""COMPUTED_VALUE"""),"PE050D1")</f>
        <v>PE050D1</v>
      </c>
      <c r="B13987" s="226" t="str">
        <f>IFERROR(__xludf.DUMMYFUNCTION("""COMPUTED_VALUE"""),"8717323017326")</f>
        <v>8717323017326</v>
      </c>
      <c r="C13987" t="str">
        <f>IFERROR(__xludf.DUMMYFUNCTION("""COMPUTED_VALUE"""),"ECS")</f>
        <v>ECS</v>
      </c>
    </row>
    <row r="13988">
      <c r="A13988" t="str">
        <f>IFERROR(__xludf.DUMMYFUNCTION("""COMPUTED_VALUE"""),"PE061B1")</f>
        <v>PE061B1</v>
      </c>
      <c r="B13988" s="226" t="str">
        <f>IFERROR(__xludf.DUMMYFUNCTION("""COMPUTED_VALUE"""),"8717323024959")</f>
        <v>8717323024959</v>
      </c>
      <c r="C13988" t="str">
        <f>IFERROR(__xludf.DUMMYFUNCTION("""COMPUTED_VALUE"""),"ECS")</f>
        <v>ECS</v>
      </c>
    </row>
    <row r="13989">
      <c r="A13989" t="str">
        <f>IFERROR(__xludf.DUMMYFUNCTION("""COMPUTED_VALUE"""),"PE061D1")</f>
        <v>PE061D1</v>
      </c>
      <c r="B13989" s="226" t="str">
        <f>IFERROR(__xludf.DUMMYFUNCTION("""COMPUTED_VALUE"""),"8717323024966")</f>
        <v>8717323024966</v>
      </c>
      <c r="C13989" t="str">
        <f>IFERROR(__xludf.DUMMYFUNCTION("""COMPUTED_VALUE"""),"ECS")</f>
        <v>ECS</v>
      </c>
    </row>
    <row r="13990">
      <c r="A13990" t="str">
        <f>IFERROR(__xludf.DUMMYFUNCTION("""COMPUTED_VALUE"""),"PE084B1")</f>
        <v>PE084B1</v>
      </c>
      <c r="B13990" s="226" t="str">
        <f>IFERROR(__xludf.DUMMYFUNCTION("""COMPUTED_VALUE"""),"8717323066409")</f>
        <v>8717323066409</v>
      </c>
      <c r="C13990" t="str">
        <f>IFERROR(__xludf.DUMMYFUNCTION("""COMPUTED_VALUE"""),"ECS")</f>
        <v>ECS</v>
      </c>
    </row>
    <row r="13991">
      <c r="A13991" t="str">
        <f>IFERROR(__xludf.DUMMYFUNCTION("""COMPUTED_VALUE"""),"PE084D1")</f>
        <v>PE084D1</v>
      </c>
      <c r="B13991" s="226" t="str">
        <f>IFERROR(__xludf.DUMMYFUNCTION("""COMPUTED_VALUE"""),"8717323066416")</f>
        <v>8717323066416</v>
      </c>
      <c r="C13991" t="str">
        <f>IFERROR(__xludf.DUMMYFUNCTION("""COMPUTED_VALUE"""),"ECS")</f>
        <v>ECS</v>
      </c>
    </row>
    <row r="13992">
      <c r="A13992" t="str">
        <f>IFERROR(__xludf.DUMMYFUNCTION("""COMPUTED_VALUE"""),"PE007BB")</f>
        <v>PE007BB</v>
      </c>
      <c r="B13992" s="226" t="str">
        <f>IFERROR(__xludf.DUMMYFUNCTION("""COMPUTED_VALUE"""),"8717323005781")</f>
        <v>8717323005781</v>
      </c>
      <c r="C13992" t="str">
        <f>IFERROR(__xludf.DUMMYFUNCTION("""COMPUTED_VALUE"""),"ECS")</f>
        <v>ECS</v>
      </c>
    </row>
    <row r="13993">
      <c r="A13993" t="str">
        <f>IFERROR(__xludf.DUMMYFUNCTION("""COMPUTED_VALUE"""),"PE007HL")</f>
        <v>PE007HL</v>
      </c>
      <c r="B13993" s="226" t="str">
        <f>IFERROR(__xludf.DUMMYFUNCTION("""COMPUTED_VALUE"""),"8717323020470")</f>
        <v>8717323020470</v>
      </c>
      <c r="C13993" t="str">
        <f>IFERROR(__xludf.DUMMYFUNCTION("""COMPUTED_VALUE"""),"ECS")</f>
        <v>ECS</v>
      </c>
    </row>
    <row r="13994">
      <c r="A13994" t="str">
        <f>IFERROR(__xludf.DUMMYFUNCTION("""COMPUTED_VALUE"""),"CT015BB")</f>
        <v>CT015BB</v>
      </c>
      <c r="B13994" s="226" t="str">
        <f>IFERROR(__xludf.DUMMYFUNCTION("""COMPUTED_VALUE"""),"8717323000960")</f>
        <v>8717323000960</v>
      </c>
      <c r="C13994" t="str">
        <f>IFERROR(__xludf.DUMMYFUNCTION("""COMPUTED_VALUE"""),"ECS")</f>
        <v>ECS</v>
      </c>
    </row>
    <row r="13995">
      <c r="A13995" t="str">
        <f>IFERROR(__xludf.DUMMYFUNCTION("""COMPUTED_VALUE"""),"PE059B1")</f>
        <v>PE059B1</v>
      </c>
      <c r="B13995" s="226" t="str">
        <f>IFERROR(__xludf.DUMMYFUNCTION("""COMPUTED_VALUE"""),"8717323024102")</f>
        <v>8717323024102</v>
      </c>
      <c r="C13995" t="str">
        <f>IFERROR(__xludf.DUMMYFUNCTION("""COMPUTED_VALUE"""),"ECS")</f>
        <v>ECS</v>
      </c>
    </row>
    <row r="13996">
      <c r="A13996" t="str">
        <f>IFERROR(__xludf.DUMMYFUNCTION("""COMPUTED_VALUE"""),"PE059D1")</f>
        <v>PE059D1</v>
      </c>
      <c r="B13996" s="226" t="str">
        <f>IFERROR(__xludf.DUMMYFUNCTION("""COMPUTED_VALUE"""),"8717323024119")</f>
        <v>8717323024119</v>
      </c>
      <c r="C13996" t="str">
        <f>IFERROR(__xludf.DUMMYFUNCTION("""COMPUTED_VALUE"""),"ECS")</f>
        <v>ECS</v>
      </c>
    </row>
    <row r="13997">
      <c r="A13997" t="str">
        <f>IFERROR(__xludf.DUMMYFUNCTION("""COMPUTED_VALUE"""),"PE025BB")</f>
        <v>PE025BB</v>
      </c>
      <c r="B13997" s="226" t="str">
        <f>IFERROR(__xludf.DUMMYFUNCTION("""COMPUTED_VALUE"""),"8717323012628")</f>
        <v>8717323012628</v>
      </c>
      <c r="C13997" t="str">
        <f>IFERROR(__xludf.DUMMYFUNCTION("""COMPUTED_VALUE"""),"ECS")</f>
        <v>ECS</v>
      </c>
    </row>
    <row r="13998">
      <c r="A13998" t="str">
        <f>IFERROR(__xludf.DUMMYFUNCTION("""COMPUTED_VALUE"""),"PE025DB")</f>
        <v>PE025DB</v>
      </c>
      <c r="B13998" s="226" t="str">
        <f>IFERROR(__xludf.DUMMYFUNCTION("""COMPUTED_VALUE"""),"8717323012642")</f>
        <v>8717323012642</v>
      </c>
      <c r="C13998" t="str">
        <f>IFERROR(__xludf.DUMMYFUNCTION("""COMPUTED_VALUE"""),"ECS")</f>
        <v>ECS</v>
      </c>
    </row>
    <row r="13999">
      <c r="A13999" t="str">
        <f>IFERROR(__xludf.DUMMYFUNCTION("""COMPUTED_VALUE"""),"PE025DL")</f>
        <v>PE025DL</v>
      </c>
      <c r="B13999" s="226" t="str">
        <f>IFERROR(__xludf.DUMMYFUNCTION("""COMPUTED_VALUE"""),"8717323012659")</f>
        <v>8717323012659</v>
      </c>
      <c r="C13999" t="str">
        <f>IFERROR(__xludf.DUMMYFUNCTION("""COMPUTED_VALUE"""),"ECS")</f>
        <v>ECS</v>
      </c>
    </row>
    <row r="14000">
      <c r="A14000" t="str">
        <f>IFERROR(__xludf.DUMMYFUNCTION("""COMPUTED_VALUE"""),"PE064B1")</f>
        <v>PE064B1</v>
      </c>
      <c r="B14000" s="226" t="str">
        <f>IFERROR(__xludf.DUMMYFUNCTION("""COMPUTED_VALUE"""),"8717323028384")</f>
        <v>8717323028384</v>
      </c>
      <c r="C14000" t="str">
        <f>IFERROR(__xludf.DUMMYFUNCTION("""COMPUTED_VALUE"""),"ECS")</f>
        <v>ECS</v>
      </c>
    </row>
    <row r="14001">
      <c r="A14001" t="str">
        <f>IFERROR(__xludf.DUMMYFUNCTION("""COMPUTED_VALUE"""),"PE064D1")</f>
        <v>PE064D1</v>
      </c>
      <c r="B14001" s="226" t="str">
        <f>IFERROR(__xludf.DUMMYFUNCTION("""COMPUTED_VALUE"""),"8717323029046")</f>
        <v>8717323029046</v>
      </c>
      <c r="C14001" t="str">
        <f>IFERROR(__xludf.DUMMYFUNCTION("""COMPUTED_VALUE"""),"ECS")</f>
        <v>ECS</v>
      </c>
    </row>
    <row r="14002">
      <c r="A14002" t="str">
        <f>IFERROR(__xludf.DUMMYFUNCTION("""COMPUTED_VALUE"""),"PE057B1")</f>
        <v>PE057B1</v>
      </c>
      <c r="B14002" s="226" t="str">
        <f>IFERROR(__xludf.DUMMYFUNCTION("""COMPUTED_VALUE"""),"8717323023709")</f>
        <v>8717323023709</v>
      </c>
      <c r="C14002" t="str">
        <f>IFERROR(__xludf.DUMMYFUNCTION("""COMPUTED_VALUE"""),"ECS")</f>
        <v>ECS</v>
      </c>
    </row>
    <row r="14003">
      <c r="A14003" t="str">
        <f>IFERROR(__xludf.DUMMYFUNCTION("""COMPUTED_VALUE"""),"PE059D1")</f>
        <v>PE059D1</v>
      </c>
      <c r="B14003" s="226" t="str">
        <f>IFERROR(__xludf.DUMMYFUNCTION("""COMPUTED_VALUE"""),"8717323024119")</f>
        <v>8717323024119</v>
      </c>
      <c r="C14003" t="str">
        <f>IFERROR(__xludf.DUMMYFUNCTION("""COMPUTED_VALUE"""),"ECS")</f>
        <v>ECS</v>
      </c>
    </row>
    <row r="14004">
      <c r="A14004" t="str">
        <f>IFERROR(__xludf.DUMMYFUNCTION("""COMPUTED_VALUE"""),"CT050B1")</f>
        <v>CT050B1</v>
      </c>
      <c r="B14004" s="226" t="str">
        <f>IFERROR(__xludf.DUMMYFUNCTION("""COMPUTED_VALUE"""),"8717323024065")</f>
        <v>8717323024065</v>
      </c>
      <c r="C14004" t="str">
        <f>IFERROR(__xludf.DUMMYFUNCTION("""COMPUTED_VALUE"""),"ECS")</f>
        <v>ECS</v>
      </c>
    </row>
    <row r="14005">
      <c r="A14005" t="str">
        <f>IFERROR(__xludf.DUMMYFUNCTION("""COMPUTED_VALUE"""),"CT050D1")</f>
        <v>CT050D1</v>
      </c>
      <c r="B14005" s="226" t="str">
        <f>IFERROR(__xludf.DUMMYFUNCTION("""COMPUTED_VALUE"""),"8717323024133")</f>
        <v>8717323024133</v>
      </c>
      <c r="C14005" t="str">
        <f>IFERROR(__xludf.DUMMYFUNCTION("""COMPUTED_VALUE"""),"ECS")</f>
        <v>ECS</v>
      </c>
    </row>
    <row r="14006">
      <c r="A14006" t="str">
        <f>IFERROR(__xludf.DUMMYFUNCTION("""COMPUTED_VALUE"""),"PE084B1")</f>
        <v>PE084B1</v>
      </c>
      <c r="B14006" s="226" t="str">
        <f>IFERROR(__xludf.DUMMYFUNCTION("""COMPUTED_VALUE"""),"8717323066409")</f>
        <v>8717323066409</v>
      </c>
      <c r="C14006" t="str">
        <f>IFERROR(__xludf.DUMMYFUNCTION("""COMPUTED_VALUE"""),"ECS")</f>
        <v>ECS</v>
      </c>
    </row>
    <row r="14007">
      <c r="A14007" t="str">
        <f>IFERROR(__xludf.DUMMYFUNCTION("""COMPUTED_VALUE"""),"PE084D1")</f>
        <v>PE084D1</v>
      </c>
      <c r="B14007" s="226" t="str">
        <f>IFERROR(__xludf.DUMMYFUNCTION("""COMPUTED_VALUE"""),"8717323066416")</f>
        <v>8717323066416</v>
      </c>
      <c r="C14007" t="str">
        <f>IFERROR(__xludf.DUMMYFUNCTION("""COMPUTED_VALUE"""),"ECS")</f>
        <v>ECS</v>
      </c>
    </row>
    <row r="14008">
      <c r="A14008" t="str">
        <f>IFERROR(__xludf.DUMMYFUNCTION("""COMPUTED_VALUE"""),"MT088DH")</f>
        <v>MT088DH</v>
      </c>
      <c r="B14008" s="226" t="str">
        <f>IFERROR(__xludf.DUMMYFUNCTION("""COMPUTED_VALUE"""),"8717323026113")</f>
        <v>8717323026113</v>
      </c>
      <c r="C14008" t="str">
        <f>IFERROR(__xludf.DUMMYFUNCTION("""COMPUTED_VALUE"""),"ECS")</f>
        <v>ECS</v>
      </c>
    </row>
    <row r="14009">
      <c r="A14009" t="str">
        <f>IFERROR(__xludf.DUMMYFUNCTION("""COMPUTED_VALUE"""),"MT088FH")</f>
        <v>MT088FH</v>
      </c>
      <c r="B14009" s="226" t="str">
        <f>IFERROR(__xludf.DUMMYFUNCTION("""COMPUTED_VALUE"""),"8717323016619")</f>
        <v>8717323016619</v>
      </c>
      <c r="C14009" t="str">
        <f>IFERROR(__xludf.DUMMYFUNCTION("""COMPUTED_VALUE"""),"ECS")</f>
        <v>ECS</v>
      </c>
    </row>
    <row r="14010">
      <c r="A14010" t="str">
        <f>IFERROR(__xludf.DUMMYFUNCTION("""COMPUTED_VALUE"""),"MT114BH")</f>
        <v>MT114BH</v>
      </c>
      <c r="B14010" s="226" t="str">
        <f>IFERROR(__xludf.DUMMYFUNCTION("""COMPUTED_VALUE"""),"8717323026540")</f>
        <v>8717323026540</v>
      </c>
      <c r="C14010" t="str">
        <f>IFERROR(__xludf.DUMMYFUNCTION("""COMPUTED_VALUE"""),"ECS")</f>
        <v>ECS</v>
      </c>
    </row>
    <row r="14011">
      <c r="A14011" t="str">
        <f>IFERROR(__xludf.DUMMYFUNCTION("""COMPUTED_VALUE"""),"MT114DH")</f>
        <v>MT114DH</v>
      </c>
      <c r="B14011" s="226" t="str">
        <f>IFERROR(__xludf.DUMMYFUNCTION("""COMPUTED_VALUE"""),"8717323029305")</f>
        <v>8717323029305</v>
      </c>
      <c r="C14011" t="str">
        <f>IFERROR(__xludf.DUMMYFUNCTION("""COMPUTED_VALUE"""),"ECS")</f>
        <v>ECS</v>
      </c>
    </row>
    <row r="14012">
      <c r="A14012" t="str">
        <f>IFERROR(__xludf.DUMMYFUNCTION("""COMPUTED_VALUE"""),"PE059B1")</f>
        <v>PE059B1</v>
      </c>
      <c r="B14012" s="226" t="str">
        <f>IFERROR(__xludf.DUMMYFUNCTION("""COMPUTED_VALUE"""),"8717323024102")</f>
        <v>8717323024102</v>
      </c>
      <c r="C14012" t="str">
        <f>IFERROR(__xludf.DUMMYFUNCTION("""COMPUTED_VALUE"""),"ECS")</f>
        <v>ECS</v>
      </c>
    </row>
    <row r="14013">
      <c r="A14013" t="str">
        <f>IFERROR(__xludf.DUMMYFUNCTION("""COMPUTED_VALUE"""),"PE059D1")</f>
        <v>PE059D1</v>
      </c>
      <c r="B14013" s="226" t="str">
        <f>IFERROR(__xludf.DUMMYFUNCTION("""COMPUTED_VALUE"""),"8717323024119")</f>
        <v>8717323024119</v>
      </c>
      <c r="C14013" t="str">
        <f>IFERROR(__xludf.DUMMYFUNCTION("""COMPUTED_VALUE"""),"ECS")</f>
        <v>ECS</v>
      </c>
    </row>
    <row r="14014">
      <c r="A14014" t="str">
        <f>IFERROR(__xludf.DUMMYFUNCTION("""COMPUTED_VALUE"""),"CT050B1")</f>
        <v>CT050B1</v>
      </c>
      <c r="B14014" s="226" t="str">
        <f>IFERROR(__xludf.DUMMYFUNCTION("""COMPUTED_VALUE"""),"8717323024065")</f>
        <v>8717323024065</v>
      </c>
      <c r="C14014" t="str">
        <f>IFERROR(__xludf.DUMMYFUNCTION("""COMPUTED_VALUE"""),"ECS")</f>
        <v>ECS</v>
      </c>
    </row>
    <row r="14015">
      <c r="A14015" t="str">
        <f>IFERROR(__xludf.DUMMYFUNCTION("""COMPUTED_VALUE"""),"CT050D1")</f>
        <v>CT050D1</v>
      </c>
      <c r="B14015" s="226" t="str">
        <f>IFERROR(__xludf.DUMMYFUNCTION("""COMPUTED_VALUE"""),"8717323024133")</f>
        <v>8717323024133</v>
      </c>
      <c r="C14015" t="str">
        <f>IFERROR(__xludf.DUMMYFUNCTION("""COMPUTED_VALUE"""),"ECS")</f>
        <v>ECS</v>
      </c>
    </row>
    <row r="14016">
      <c r="A14016" t="str">
        <f>IFERROR(__xludf.DUMMYFUNCTION("""COMPUTED_VALUE"""),"PEU028B")</f>
        <v>PEU028B</v>
      </c>
      <c r="B14016" s="226" t="str">
        <f>IFERROR(__xludf.DUMMYFUNCTION("""COMPUTED_VALUE"""),"8717323005941")</f>
        <v>8717323005941</v>
      </c>
      <c r="C14016" t="str">
        <f>IFERROR(__xludf.DUMMYFUNCTION("""COMPUTED_VALUE"""),"ECS")</f>
        <v>ECS</v>
      </c>
    </row>
    <row r="14017">
      <c r="A14017" t="str">
        <f>IFERROR(__xludf.DUMMYFUNCTION("""COMPUTED_VALUE"""),"PEU028B")</f>
        <v>PEU028B</v>
      </c>
      <c r="B14017" s="226" t="str">
        <f>IFERROR(__xludf.DUMMYFUNCTION("""COMPUTED_VALUE"""),"8717323005941")</f>
        <v>8717323005941</v>
      </c>
      <c r="C14017" t="str">
        <f>IFERROR(__xludf.DUMMYFUNCTION("""COMPUTED_VALUE"""),"ECS")</f>
        <v>ECS</v>
      </c>
    </row>
    <row r="14018">
      <c r="A14018" t="str">
        <f>IFERROR(__xludf.DUMMYFUNCTION("""COMPUTED_VALUE"""),"PE026BB")</f>
        <v>PE026BB</v>
      </c>
      <c r="B14018" s="226" t="str">
        <f>IFERROR(__xludf.DUMMYFUNCTION("""COMPUTED_VALUE"""),"8717323010747")</f>
        <v>8717323010747</v>
      </c>
      <c r="C14018" t="str">
        <f>IFERROR(__xludf.DUMMYFUNCTION("""COMPUTED_VALUE"""),"ECS")</f>
        <v>ECS</v>
      </c>
    </row>
    <row r="14019">
      <c r="A14019" t="str">
        <f>IFERROR(__xludf.DUMMYFUNCTION("""COMPUTED_VALUE"""),"PE026DB")</f>
        <v>PE026DB</v>
      </c>
      <c r="B14019" s="226" t="str">
        <f>IFERROR(__xludf.DUMMYFUNCTION("""COMPUTED_VALUE"""),"8717323010761")</f>
        <v>8717323010761</v>
      </c>
      <c r="C14019" t="str">
        <f>IFERROR(__xludf.DUMMYFUNCTION("""COMPUTED_VALUE"""),"ECS")</f>
        <v>ECS</v>
      </c>
    </row>
    <row r="14020">
      <c r="A14020" t="str">
        <f>IFERROR(__xludf.DUMMYFUNCTION("""COMPUTED_VALUE"""),"PE013BB")</f>
        <v>PE013BB</v>
      </c>
      <c r="B14020" s="226" t="str">
        <f>IFERROR(__xludf.DUMMYFUNCTION("""COMPUTED_VALUE"""),"8717323005842")</f>
        <v>8717323005842</v>
      </c>
      <c r="C14020" t="str">
        <f>IFERROR(__xludf.DUMMYFUNCTION("""COMPUTED_VALUE"""),"ECS")</f>
        <v>ECS</v>
      </c>
    </row>
    <row r="14021">
      <c r="A14021" t="str">
        <f>IFERROR(__xludf.DUMMYFUNCTION("""COMPUTED_VALUE"""),"CT050B1")</f>
        <v>CT050B1</v>
      </c>
      <c r="B14021" s="226" t="str">
        <f>IFERROR(__xludf.DUMMYFUNCTION("""COMPUTED_VALUE"""),"8717323024065")</f>
        <v>8717323024065</v>
      </c>
      <c r="C14021" t="str">
        <f>IFERROR(__xludf.DUMMYFUNCTION("""COMPUTED_VALUE"""),"ECS")</f>
        <v>ECS</v>
      </c>
    </row>
    <row r="14022">
      <c r="A14022" t="str">
        <f>IFERROR(__xludf.DUMMYFUNCTION("""COMPUTED_VALUE"""),"CT050D1")</f>
        <v>CT050D1</v>
      </c>
      <c r="B14022" s="226" t="str">
        <f>IFERROR(__xludf.DUMMYFUNCTION("""COMPUTED_VALUE"""),"8717323024133")</f>
        <v>8717323024133</v>
      </c>
      <c r="C14022" t="str">
        <f>IFERROR(__xludf.DUMMYFUNCTION("""COMPUTED_VALUE"""),"ECS")</f>
        <v>ECS</v>
      </c>
    </row>
    <row r="14023">
      <c r="A14023" t="str">
        <f>IFERROR(__xludf.DUMMYFUNCTION("""COMPUTED_VALUE"""),"CT050B1")</f>
        <v>CT050B1</v>
      </c>
      <c r="B14023" s="226" t="str">
        <f>IFERROR(__xludf.DUMMYFUNCTION("""COMPUTED_VALUE"""),"8717323024065")</f>
        <v>8717323024065</v>
      </c>
      <c r="C14023" t="str">
        <f>IFERROR(__xludf.DUMMYFUNCTION("""COMPUTED_VALUE"""),"ECS")</f>
        <v>ECS</v>
      </c>
    </row>
    <row r="14024">
      <c r="A14024" t="str">
        <f>IFERROR(__xludf.DUMMYFUNCTION("""COMPUTED_VALUE"""),"CT050D1")</f>
        <v>CT050D1</v>
      </c>
      <c r="B14024" s="226" t="str">
        <f>IFERROR(__xludf.DUMMYFUNCTION("""COMPUTED_VALUE"""),"8717323024133")</f>
        <v>8717323024133</v>
      </c>
      <c r="C14024" t="str">
        <f>IFERROR(__xludf.DUMMYFUNCTION("""COMPUTED_VALUE"""),"ECS")</f>
        <v>ECS</v>
      </c>
    </row>
    <row r="14025">
      <c r="A14025" t="str">
        <f>IFERROR(__xludf.DUMMYFUNCTION("""COMPUTED_VALUE"""),"CT050B1")</f>
        <v>CT050B1</v>
      </c>
      <c r="B14025" s="226" t="str">
        <f>IFERROR(__xludf.DUMMYFUNCTION("""COMPUTED_VALUE"""),"8717323024065")</f>
        <v>8717323024065</v>
      </c>
      <c r="C14025" t="str">
        <f>IFERROR(__xludf.DUMMYFUNCTION("""COMPUTED_VALUE"""),"ECS")</f>
        <v>ECS</v>
      </c>
    </row>
    <row r="14026">
      <c r="A14026" t="str">
        <f>IFERROR(__xludf.DUMMYFUNCTION("""COMPUTED_VALUE"""),"CT050D1")</f>
        <v>CT050D1</v>
      </c>
      <c r="B14026" s="226" t="str">
        <f>IFERROR(__xludf.DUMMYFUNCTION("""COMPUTED_VALUE"""),"8717323024133")</f>
        <v>8717323024133</v>
      </c>
      <c r="C14026" t="str">
        <f>IFERROR(__xludf.DUMMYFUNCTION("""COMPUTED_VALUE"""),"ECS")</f>
        <v>ECS</v>
      </c>
    </row>
    <row r="14027">
      <c r="A14027" t="str">
        <f>IFERROR(__xludf.DUMMYFUNCTION("""COMPUTED_VALUE"""),"PE020BB")</f>
        <v>PE020BB</v>
      </c>
      <c r="B14027" s="226" t="str">
        <f>IFERROR(__xludf.DUMMYFUNCTION("""COMPUTED_VALUE"""),"8717323011010")</f>
        <v>8717323011010</v>
      </c>
      <c r="C14027" t="str">
        <f>IFERROR(__xludf.DUMMYFUNCTION("""COMPUTED_VALUE"""),"ECS")</f>
        <v>ECS</v>
      </c>
    </row>
    <row r="14028">
      <c r="A14028" t="str">
        <f>IFERROR(__xludf.DUMMYFUNCTION("""COMPUTED_VALUE"""),"PE020DL")</f>
        <v>PE020DL</v>
      </c>
      <c r="B14028" s="226" t="str">
        <f>IFERROR(__xludf.DUMMYFUNCTION("""COMPUTED_VALUE"""),"8717323011027")</f>
        <v>8717323011027</v>
      </c>
      <c r="C14028" t="str">
        <f>IFERROR(__xludf.DUMMYFUNCTION("""COMPUTED_VALUE"""),"ECS")</f>
        <v>ECS</v>
      </c>
    </row>
    <row r="14029">
      <c r="A14029" t="str">
        <f>IFERROR(__xludf.DUMMYFUNCTION("""COMPUTED_VALUE"""),"PE012BB")</f>
        <v>PE012BB</v>
      </c>
      <c r="B14029" s="226" t="str">
        <f>IFERROR(__xludf.DUMMYFUNCTION("""COMPUTED_VALUE"""),"8717323005828")</f>
        <v>8717323005828</v>
      </c>
      <c r="C14029" t="str">
        <f>IFERROR(__xludf.DUMMYFUNCTION("""COMPUTED_VALUE"""),"ECS")</f>
        <v>ECS</v>
      </c>
    </row>
    <row r="14030">
      <c r="A14030" t="str">
        <f>IFERROR(__xludf.DUMMYFUNCTION("""COMPUTED_VALUE"""),"PE012DB")</f>
        <v>PE012DB</v>
      </c>
      <c r="B14030" s="226" t="str">
        <f>IFERROR(__xludf.DUMMYFUNCTION("""COMPUTED_VALUE"""),"8717323005835")</f>
        <v>8717323005835</v>
      </c>
      <c r="C14030" t="str">
        <f>IFERROR(__xludf.DUMMYFUNCTION("""COMPUTED_VALUE"""),"ECS")</f>
        <v>ECS</v>
      </c>
    </row>
    <row r="14031">
      <c r="A14031" t="str">
        <f>IFERROR(__xludf.DUMMYFUNCTION("""COMPUTED_VALUE"""),"PE059B1")</f>
        <v>PE059B1</v>
      </c>
      <c r="B14031" s="226" t="str">
        <f>IFERROR(__xludf.DUMMYFUNCTION("""COMPUTED_VALUE"""),"8717323024102")</f>
        <v>8717323024102</v>
      </c>
      <c r="C14031" t="str">
        <f>IFERROR(__xludf.DUMMYFUNCTION("""COMPUTED_VALUE"""),"ECS")</f>
        <v>ECS</v>
      </c>
    </row>
    <row r="14032">
      <c r="A14032" t="str">
        <f>IFERROR(__xludf.DUMMYFUNCTION("""COMPUTED_VALUE"""),"PE059D1")</f>
        <v>PE059D1</v>
      </c>
      <c r="B14032" s="226" t="str">
        <f>IFERROR(__xludf.DUMMYFUNCTION("""COMPUTED_VALUE"""),"8717323024119")</f>
        <v>8717323024119</v>
      </c>
      <c r="C14032" t="str">
        <f>IFERROR(__xludf.DUMMYFUNCTION("""COMPUTED_VALUE"""),"ECS")</f>
        <v>ECS</v>
      </c>
    </row>
    <row r="14033">
      <c r="A14033" t="str">
        <f>IFERROR(__xludf.DUMMYFUNCTION("""COMPUTED_VALUE"""),"CT050B1")</f>
        <v>CT050B1</v>
      </c>
      <c r="B14033" s="226" t="str">
        <f>IFERROR(__xludf.DUMMYFUNCTION("""COMPUTED_VALUE"""),"8717323024065")</f>
        <v>8717323024065</v>
      </c>
      <c r="C14033" t="str">
        <f>IFERROR(__xludf.DUMMYFUNCTION("""COMPUTED_VALUE"""),"ECS")</f>
        <v>ECS</v>
      </c>
    </row>
    <row r="14034">
      <c r="A14034" t="str">
        <f>IFERROR(__xludf.DUMMYFUNCTION("""COMPUTED_VALUE"""),"CT050D1")</f>
        <v>CT050D1</v>
      </c>
      <c r="B14034" s="226" t="str">
        <f>IFERROR(__xludf.DUMMYFUNCTION("""COMPUTED_VALUE"""),"8717323024133")</f>
        <v>8717323024133</v>
      </c>
      <c r="C14034" t="str">
        <f>IFERROR(__xludf.DUMMYFUNCTION("""COMPUTED_VALUE"""),"ECS")</f>
        <v>ECS</v>
      </c>
    </row>
    <row r="14035">
      <c r="A14035" t="str">
        <f>IFERROR(__xludf.DUMMYFUNCTION("""COMPUTED_VALUE"""),"CT052B1")</f>
        <v>CT052B1</v>
      </c>
      <c r="B14035" s="226" t="str">
        <f>IFERROR(__xludf.DUMMYFUNCTION("""COMPUTED_VALUE"""),"8717323047903")</f>
        <v>8717323047903</v>
      </c>
      <c r="C14035" t="str">
        <f>IFERROR(__xludf.DUMMYFUNCTION("""COMPUTED_VALUE"""),"ECS")</f>
        <v>ECS</v>
      </c>
    </row>
    <row r="14036">
      <c r="A14036" t="str">
        <f>IFERROR(__xludf.DUMMYFUNCTION("""COMPUTED_VALUE"""),"CT052D1")</f>
        <v>CT052D1</v>
      </c>
      <c r="B14036" s="226" t="str">
        <f>IFERROR(__xludf.DUMMYFUNCTION("""COMPUTED_VALUE"""),"8717323047910")</f>
        <v>8717323047910</v>
      </c>
      <c r="C14036" t="str">
        <f>IFERROR(__xludf.DUMMYFUNCTION("""COMPUTED_VALUE"""),"ECS")</f>
        <v>ECS</v>
      </c>
    </row>
    <row r="14037">
      <c r="A14037" t="str">
        <f>IFERROR(__xludf.DUMMYFUNCTION("""COMPUTED_VALUE"""),"CT052B1")</f>
        <v>CT052B1</v>
      </c>
      <c r="B14037" s="226" t="str">
        <f>IFERROR(__xludf.DUMMYFUNCTION("""COMPUTED_VALUE"""),"8717323047903")</f>
        <v>8717323047903</v>
      </c>
      <c r="C14037" t="str">
        <f>IFERROR(__xludf.DUMMYFUNCTION("""COMPUTED_VALUE"""),"ECS")</f>
        <v>ECS</v>
      </c>
    </row>
    <row r="14038">
      <c r="A14038" t="str">
        <f>IFERROR(__xludf.DUMMYFUNCTION("""COMPUTED_VALUE"""),"CT052D1")</f>
        <v>CT052D1</v>
      </c>
      <c r="B14038" s="226" t="str">
        <f>IFERROR(__xludf.DUMMYFUNCTION("""COMPUTED_VALUE"""),"8717323047910")</f>
        <v>8717323047910</v>
      </c>
      <c r="C14038" t="str">
        <f>IFERROR(__xludf.DUMMYFUNCTION("""COMPUTED_VALUE"""),"ECS")</f>
        <v>ECS</v>
      </c>
    </row>
    <row r="14039">
      <c r="A14039" t="str">
        <f>IFERROR(__xludf.DUMMYFUNCTION("""COMPUTED_VALUE"""),"PE059B1")</f>
        <v>PE059B1</v>
      </c>
      <c r="B14039" s="226" t="str">
        <f>IFERROR(__xludf.DUMMYFUNCTION("""COMPUTED_VALUE"""),"8717323024102")</f>
        <v>8717323024102</v>
      </c>
      <c r="C14039" t="str">
        <f>IFERROR(__xludf.DUMMYFUNCTION("""COMPUTED_VALUE"""),"ECS")</f>
        <v>ECS</v>
      </c>
    </row>
    <row r="14040">
      <c r="A14040" t="str">
        <f>IFERROR(__xludf.DUMMYFUNCTION("""COMPUTED_VALUE"""),"PE059D1")</f>
        <v>PE059D1</v>
      </c>
      <c r="B14040" s="226" t="str">
        <f>IFERROR(__xludf.DUMMYFUNCTION("""COMPUTED_VALUE"""),"8717323024119")</f>
        <v>8717323024119</v>
      </c>
      <c r="C14040" t="str">
        <f>IFERROR(__xludf.DUMMYFUNCTION("""COMPUTED_VALUE"""),"ECS")</f>
        <v>ECS</v>
      </c>
    </row>
    <row r="14041">
      <c r="A14041" t="str">
        <f>IFERROR(__xludf.DUMMYFUNCTION("""COMPUTED_VALUE"""),"CT050B1")</f>
        <v>CT050B1</v>
      </c>
      <c r="B14041" s="226" t="str">
        <f>IFERROR(__xludf.DUMMYFUNCTION("""COMPUTED_VALUE"""),"8717323024065")</f>
        <v>8717323024065</v>
      </c>
      <c r="C14041" t="str">
        <f>IFERROR(__xludf.DUMMYFUNCTION("""COMPUTED_VALUE"""),"ECS")</f>
        <v>ECS</v>
      </c>
    </row>
    <row r="14042">
      <c r="A14042" t="str">
        <f>IFERROR(__xludf.DUMMYFUNCTION("""COMPUTED_VALUE"""),"CT050D1")</f>
        <v>CT050D1</v>
      </c>
      <c r="B14042" s="226" t="str">
        <f>IFERROR(__xludf.DUMMYFUNCTION("""COMPUTED_VALUE"""),"8717323024133")</f>
        <v>8717323024133</v>
      </c>
      <c r="C14042" t="str">
        <f>IFERROR(__xludf.DUMMYFUNCTION("""COMPUTED_VALUE"""),"ECS")</f>
        <v>ECS</v>
      </c>
    </row>
    <row r="14043">
      <c r="A14043" t="str">
        <f>IFERROR(__xludf.DUMMYFUNCTION("""COMPUTED_VALUE"""),"CT052B1")</f>
        <v>CT052B1</v>
      </c>
      <c r="B14043" s="226" t="str">
        <f>IFERROR(__xludf.DUMMYFUNCTION("""COMPUTED_VALUE"""),"8717323047903")</f>
        <v>8717323047903</v>
      </c>
      <c r="C14043" t="str">
        <f>IFERROR(__xludf.DUMMYFUNCTION("""COMPUTED_VALUE"""),"ECS")</f>
        <v>ECS</v>
      </c>
    </row>
    <row r="14044">
      <c r="A14044" t="str">
        <f>IFERROR(__xludf.DUMMYFUNCTION("""COMPUTED_VALUE"""),"CT052D1")</f>
        <v>CT052D1</v>
      </c>
      <c r="B14044" s="226" t="str">
        <f>IFERROR(__xludf.DUMMYFUNCTION("""COMPUTED_VALUE"""),"8717323047910")</f>
        <v>8717323047910</v>
      </c>
      <c r="C14044" t="str">
        <f>IFERROR(__xludf.DUMMYFUNCTION("""COMPUTED_VALUE"""),"ECS")</f>
        <v>ECS</v>
      </c>
    </row>
    <row r="14045">
      <c r="A14045" t="str">
        <f>IFERROR(__xludf.DUMMYFUNCTION("""COMPUTED_VALUE"""),"PE059B1")</f>
        <v>PE059B1</v>
      </c>
      <c r="B14045" s="226" t="str">
        <f>IFERROR(__xludf.DUMMYFUNCTION("""COMPUTED_VALUE"""),"8717323024102")</f>
        <v>8717323024102</v>
      </c>
      <c r="C14045" t="str">
        <f>IFERROR(__xludf.DUMMYFUNCTION("""COMPUTED_VALUE"""),"ECS")</f>
        <v>ECS</v>
      </c>
    </row>
    <row r="14046">
      <c r="A14046" t="str">
        <f>IFERROR(__xludf.DUMMYFUNCTION("""COMPUTED_VALUE"""),"PE059D1")</f>
        <v>PE059D1</v>
      </c>
      <c r="B14046" s="226" t="str">
        <f>IFERROR(__xludf.DUMMYFUNCTION("""COMPUTED_VALUE"""),"8717323024119")</f>
        <v>8717323024119</v>
      </c>
      <c r="C14046" t="str">
        <f>IFERROR(__xludf.DUMMYFUNCTION("""COMPUTED_VALUE"""),"ECS")</f>
        <v>ECS</v>
      </c>
    </row>
    <row r="14047">
      <c r="A14047" t="str">
        <f>IFERROR(__xludf.DUMMYFUNCTION("""COMPUTED_VALUE"""),"PE084B1")</f>
        <v>PE084B1</v>
      </c>
      <c r="B14047" s="226" t="str">
        <f>IFERROR(__xludf.DUMMYFUNCTION("""COMPUTED_VALUE"""),"8717323066409")</f>
        <v>8717323066409</v>
      </c>
      <c r="C14047" t="str">
        <f>IFERROR(__xludf.DUMMYFUNCTION("""COMPUTED_VALUE"""),"ECS")</f>
        <v>ECS</v>
      </c>
    </row>
    <row r="14048">
      <c r="A14048" t="str">
        <f>IFERROR(__xludf.DUMMYFUNCTION("""COMPUTED_VALUE"""),"PE084D1")</f>
        <v>PE084D1</v>
      </c>
      <c r="B14048" s="226" t="str">
        <f>IFERROR(__xludf.DUMMYFUNCTION("""COMPUTED_VALUE"""),"8717323066416")</f>
        <v>8717323066416</v>
      </c>
      <c r="C14048" t="str">
        <f>IFERROR(__xludf.DUMMYFUNCTION("""COMPUTED_VALUE"""),"ECS")</f>
        <v>ECS</v>
      </c>
    </row>
    <row r="14049">
      <c r="A14049" t="str">
        <f>IFERROR(__xludf.DUMMYFUNCTION("""COMPUTED_VALUE"""),"PE061B1")</f>
        <v>PE061B1</v>
      </c>
      <c r="B14049" s="226" t="str">
        <f>IFERROR(__xludf.DUMMYFUNCTION("""COMPUTED_VALUE"""),"8717323024959")</f>
        <v>8717323024959</v>
      </c>
      <c r="C14049" t="str">
        <f>IFERROR(__xludf.DUMMYFUNCTION("""COMPUTED_VALUE"""),"ECS")</f>
        <v>ECS</v>
      </c>
    </row>
    <row r="14050">
      <c r="A14050" t="str">
        <f>IFERROR(__xludf.DUMMYFUNCTION("""COMPUTED_VALUE"""),"PE061D1")</f>
        <v>PE061D1</v>
      </c>
      <c r="B14050" s="226" t="str">
        <f>IFERROR(__xludf.DUMMYFUNCTION("""COMPUTED_VALUE"""),"8717323024966")</f>
        <v>8717323024966</v>
      </c>
      <c r="C14050" t="str">
        <f>IFERROR(__xludf.DUMMYFUNCTION("""COMPUTED_VALUE"""),"ECS")</f>
        <v>ECS</v>
      </c>
    </row>
    <row r="14051">
      <c r="A14051" t="str">
        <f>IFERROR(__xludf.DUMMYFUNCTION("""COMPUTED_VALUE"""),"PE061B1")</f>
        <v>PE061B1</v>
      </c>
      <c r="B14051" s="226" t="str">
        <f>IFERROR(__xludf.DUMMYFUNCTION("""COMPUTED_VALUE"""),"8717323024959")</f>
        <v>8717323024959</v>
      </c>
      <c r="C14051" t="str">
        <f>IFERROR(__xludf.DUMMYFUNCTION("""COMPUTED_VALUE"""),"ECS")</f>
        <v>ECS</v>
      </c>
    </row>
    <row r="14052">
      <c r="A14052" t="str">
        <f>IFERROR(__xludf.DUMMYFUNCTION("""COMPUTED_VALUE"""),"PE061D1")</f>
        <v>PE061D1</v>
      </c>
      <c r="B14052" s="226" t="str">
        <f>IFERROR(__xludf.DUMMYFUNCTION("""COMPUTED_VALUE"""),"8717323024966")</f>
        <v>8717323024966</v>
      </c>
      <c r="C14052" t="str">
        <f>IFERROR(__xludf.DUMMYFUNCTION("""COMPUTED_VALUE"""),"ECS")</f>
        <v>ECS</v>
      </c>
    </row>
    <row r="14053">
      <c r="A14053" t="str">
        <f>IFERROR(__xludf.DUMMYFUNCTION("""COMPUTED_VALUE"""),"PE061B1")</f>
        <v>PE061B1</v>
      </c>
      <c r="B14053" s="226" t="str">
        <f>IFERROR(__xludf.DUMMYFUNCTION("""COMPUTED_VALUE"""),"8717323024959")</f>
        <v>8717323024959</v>
      </c>
      <c r="C14053" t="str">
        <f>IFERROR(__xludf.DUMMYFUNCTION("""COMPUTED_VALUE"""),"ECS")</f>
        <v>ECS</v>
      </c>
    </row>
    <row r="14054">
      <c r="A14054" t="str">
        <f>IFERROR(__xludf.DUMMYFUNCTION("""COMPUTED_VALUE"""),"PE061D1")</f>
        <v>PE061D1</v>
      </c>
      <c r="B14054" s="226" t="str">
        <f>IFERROR(__xludf.DUMMYFUNCTION("""COMPUTED_VALUE"""),"8717323024966")</f>
        <v>8717323024966</v>
      </c>
      <c r="C14054" t="str">
        <f>IFERROR(__xludf.DUMMYFUNCTION("""COMPUTED_VALUE"""),"ECS")</f>
        <v>ECS</v>
      </c>
    </row>
    <row r="14055">
      <c r="A14055" t="str">
        <f>IFERROR(__xludf.DUMMYFUNCTION("""COMPUTED_VALUE"""),"PE084B1")</f>
        <v>PE084B1</v>
      </c>
      <c r="B14055" s="226" t="str">
        <f>IFERROR(__xludf.DUMMYFUNCTION("""COMPUTED_VALUE"""),"8717323066409")</f>
        <v>8717323066409</v>
      </c>
      <c r="C14055" t="str">
        <f>IFERROR(__xludf.DUMMYFUNCTION("""COMPUTED_VALUE"""),"ECS")</f>
        <v>ECS</v>
      </c>
    </row>
    <row r="14056">
      <c r="A14056" t="str">
        <f>IFERROR(__xludf.DUMMYFUNCTION("""COMPUTED_VALUE"""),"PE084D1")</f>
        <v>PE084D1</v>
      </c>
      <c r="B14056" s="226" t="str">
        <f>IFERROR(__xludf.DUMMYFUNCTION("""COMPUTED_VALUE"""),"8717323066416")</f>
        <v>8717323066416</v>
      </c>
      <c r="C14056" t="str">
        <f>IFERROR(__xludf.DUMMYFUNCTION("""COMPUTED_VALUE"""),"ECS")</f>
        <v>ECS</v>
      </c>
    </row>
    <row r="14057">
      <c r="A14057" t="str">
        <f>IFERROR(__xludf.DUMMYFUNCTION("""COMPUTED_VALUE"""),"FI024BH")</f>
        <v>FI024BH</v>
      </c>
      <c r="B14057" s="226" t="str">
        <f>IFERROR(__xludf.DUMMYFUNCTION("""COMPUTED_VALUE"""),"8717323015971")</f>
        <v>8717323015971</v>
      </c>
      <c r="C14057" t="str">
        <f>IFERROR(__xludf.DUMMYFUNCTION("""COMPUTED_VALUE"""),"ECS")</f>
        <v>ECS</v>
      </c>
    </row>
    <row r="14058">
      <c r="A14058" t="str">
        <f>IFERROR(__xludf.DUMMYFUNCTION("""COMPUTED_VALUE"""),"FI024BQ")</f>
        <v>FI024BQ</v>
      </c>
      <c r="B14058" s="226" t="str">
        <f>IFERROR(__xludf.DUMMYFUNCTION("""COMPUTED_VALUE"""),"8717323015964")</f>
        <v>8717323015964</v>
      </c>
      <c r="C14058" t="str">
        <f>IFERROR(__xludf.DUMMYFUNCTION("""COMPUTED_VALUE"""),"ECS")</f>
        <v>ECS</v>
      </c>
    </row>
    <row r="14059">
      <c r="A14059" t="str">
        <f>IFERROR(__xludf.DUMMYFUNCTION("""COMPUTED_VALUE"""),"FI024DH")</f>
        <v>FI024DH</v>
      </c>
      <c r="B14059" s="226" t="str">
        <f>IFERROR(__xludf.DUMMYFUNCTION("""COMPUTED_VALUE"""),"8717323015988")</f>
        <v>8717323015988</v>
      </c>
      <c r="C14059" t="str">
        <f>IFERROR(__xludf.DUMMYFUNCTION("""COMPUTED_VALUE"""),"ECS")</f>
        <v>ECS</v>
      </c>
    </row>
    <row r="14060">
      <c r="A14060" t="str">
        <f>IFERROR(__xludf.DUMMYFUNCTION("""COMPUTED_VALUE"""),"FI024BH")</f>
        <v>FI024BH</v>
      </c>
      <c r="B14060" s="226" t="str">
        <f>IFERROR(__xludf.DUMMYFUNCTION("""COMPUTED_VALUE"""),"8717323015971")</f>
        <v>8717323015971</v>
      </c>
      <c r="C14060" t="str">
        <f>IFERROR(__xludf.DUMMYFUNCTION("""COMPUTED_VALUE"""),"ECS")</f>
        <v>ECS</v>
      </c>
    </row>
    <row r="14061">
      <c r="A14061" t="str">
        <f>IFERROR(__xludf.DUMMYFUNCTION("""COMPUTED_VALUE"""),"FI024BQ")</f>
        <v>FI024BQ</v>
      </c>
      <c r="B14061" s="226" t="str">
        <f>IFERROR(__xludf.DUMMYFUNCTION("""COMPUTED_VALUE"""),"8717323015964")</f>
        <v>8717323015964</v>
      </c>
      <c r="C14061" t="str">
        <f>IFERROR(__xludf.DUMMYFUNCTION("""COMPUTED_VALUE"""),"ECS")</f>
        <v>ECS</v>
      </c>
    </row>
    <row r="14062">
      <c r="A14062" t="str">
        <f>IFERROR(__xludf.DUMMYFUNCTION("""COMPUTED_VALUE"""),"FI024DH")</f>
        <v>FI024DH</v>
      </c>
      <c r="B14062" s="226" t="str">
        <f>IFERROR(__xludf.DUMMYFUNCTION("""COMPUTED_VALUE"""),"8717323015988")</f>
        <v>8717323015988</v>
      </c>
      <c r="C14062" t="str">
        <f>IFERROR(__xludf.DUMMYFUNCTION("""COMPUTED_VALUE"""),"ECS")</f>
        <v>ECS</v>
      </c>
    </row>
    <row r="14063">
      <c r="A14063" t="str">
        <f>IFERROR(__xludf.DUMMYFUNCTION("""COMPUTED_VALUE"""),"FI023BB")</f>
        <v>FI023BB</v>
      </c>
      <c r="B14063" s="226" t="str">
        <f>IFERROR(__xludf.DUMMYFUNCTION("""COMPUTED_VALUE"""),"8717323014516")</f>
        <v>8717323014516</v>
      </c>
      <c r="C14063" t="str">
        <f>IFERROR(__xludf.DUMMYFUNCTION("""COMPUTED_VALUE"""),"ECS")</f>
        <v>ECS</v>
      </c>
    </row>
    <row r="14064">
      <c r="A14064" t="str">
        <f>IFERROR(__xludf.DUMMYFUNCTION("""COMPUTED_VALUE"""),"FI023BL")</f>
        <v>FI023BL</v>
      </c>
      <c r="B14064" s="226" t="str">
        <f>IFERROR(__xludf.DUMMYFUNCTION("""COMPUTED_VALUE"""),"8717323014523")</f>
        <v>8717323014523</v>
      </c>
      <c r="C14064" t="str">
        <f>IFERROR(__xludf.DUMMYFUNCTION("""COMPUTED_VALUE"""),"ECS")</f>
        <v>ECS</v>
      </c>
    </row>
    <row r="14065">
      <c r="A14065" t="str">
        <f>IFERROR(__xludf.DUMMYFUNCTION("""COMPUTED_VALUE"""),"FI023DL")</f>
        <v>FI023DL</v>
      </c>
      <c r="B14065" s="226" t="str">
        <f>IFERROR(__xludf.DUMMYFUNCTION("""COMPUTED_VALUE"""),"8717323015360")</f>
        <v>8717323015360</v>
      </c>
      <c r="C14065" t="str">
        <f>IFERROR(__xludf.DUMMYFUNCTION("""COMPUTED_VALUE"""),"ECS")</f>
        <v>ECS</v>
      </c>
    </row>
    <row r="14066">
      <c r="A14066" t="str">
        <f>IFERROR(__xludf.DUMMYFUNCTION("""COMPUTED_VALUE"""),"CIT010B")</f>
        <v>CIT010B</v>
      </c>
      <c r="B14066" s="226" t="str">
        <f>IFERROR(__xludf.DUMMYFUNCTION("""COMPUTED_VALUE"""),"8717323000595")</f>
        <v>8717323000595</v>
      </c>
      <c r="C14066" t="str">
        <f>IFERROR(__xludf.DUMMYFUNCTION("""COMPUTED_VALUE"""),"ECS")</f>
        <v>ECS</v>
      </c>
    </row>
    <row r="14067">
      <c r="A14067" t="str">
        <f>IFERROR(__xludf.DUMMYFUNCTION("""COMPUTED_VALUE"""),"CT016BB")</f>
        <v>CT016BB</v>
      </c>
      <c r="B14067" s="226" t="str">
        <f>IFERROR(__xludf.DUMMYFUNCTION("""COMPUTED_VALUE"""),"8717323000984")</f>
        <v>8717323000984</v>
      </c>
      <c r="C14067" t="str">
        <f>IFERROR(__xludf.DUMMYFUNCTION("""COMPUTED_VALUE"""),"ECS")</f>
        <v>ECS</v>
      </c>
    </row>
    <row r="14068">
      <c r="A14068" t="str">
        <f>IFERROR(__xludf.DUMMYFUNCTION("""COMPUTED_VALUE"""),"FI027BB")</f>
        <v>FI027BB</v>
      </c>
      <c r="B14068" s="226" t="str">
        <f>IFERROR(__xludf.DUMMYFUNCTION("""COMPUTED_VALUE"""),"8717323017029")</f>
        <v>8717323017029</v>
      </c>
      <c r="C14068" t="str">
        <f>IFERROR(__xludf.DUMMYFUNCTION("""COMPUTED_VALUE"""),"ECS")</f>
        <v>ECS</v>
      </c>
    </row>
    <row r="14069">
      <c r="A14069" t="str">
        <f>IFERROR(__xludf.DUMMYFUNCTION("""COMPUTED_VALUE"""),"FI027BL")</f>
        <v>FI027BL</v>
      </c>
      <c r="B14069" s="226" t="str">
        <f>IFERROR(__xludf.DUMMYFUNCTION("""COMPUTED_VALUE"""),"8717323016855")</f>
        <v>8717323016855</v>
      </c>
      <c r="C14069" t="str">
        <f>IFERROR(__xludf.DUMMYFUNCTION("""COMPUTED_VALUE"""),"ECS")</f>
        <v>ECS</v>
      </c>
    </row>
    <row r="14070">
      <c r="A14070" t="str">
        <f>IFERROR(__xludf.DUMMYFUNCTION("""COMPUTED_VALUE"""),"FI027DL")</f>
        <v>FI027DL</v>
      </c>
      <c r="B14070" s="226" t="str">
        <f>IFERROR(__xludf.DUMMYFUNCTION("""COMPUTED_VALUE"""),"8717323016862")</f>
        <v>8717323016862</v>
      </c>
      <c r="C14070" t="str">
        <f>IFERROR(__xludf.DUMMYFUNCTION("""COMPUTED_VALUE"""),"ECS")</f>
        <v>ECS</v>
      </c>
    </row>
    <row r="14071">
      <c r="A14071" t="str">
        <f>IFERROR(__xludf.DUMMYFUNCTION("""COMPUTED_VALUE"""),"FI034BB")</f>
        <v>FI034BB</v>
      </c>
      <c r="B14071" s="226" t="str">
        <f>IFERROR(__xludf.DUMMYFUNCTION("""COMPUTED_VALUE"""),"8717323025550")</f>
        <v>8717323025550</v>
      </c>
      <c r="C14071" t="str">
        <f>IFERROR(__xludf.DUMMYFUNCTION("""COMPUTED_VALUE"""),"ECS")</f>
        <v>ECS</v>
      </c>
    </row>
    <row r="14072">
      <c r="A14072" t="str">
        <f>IFERROR(__xludf.DUMMYFUNCTION("""COMPUTED_VALUE"""),"FI034BL")</f>
        <v>FI034BL</v>
      </c>
      <c r="B14072" s="226" t="str">
        <f>IFERROR(__xludf.DUMMYFUNCTION("""COMPUTED_VALUE"""),"8717323025567")</f>
        <v>8717323025567</v>
      </c>
      <c r="C14072" t="str">
        <f>IFERROR(__xludf.DUMMYFUNCTION("""COMPUTED_VALUE"""),"ECS")</f>
        <v>ECS</v>
      </c>
    </row>
    <row r="14073">
      <c r="A14073" t="str">
        <f>IFERROR(__xludf.DUMMYFUNCTION("""COMPUTED_VALUE"""),"FI034DL")</f>
        <v>FI034DL</v>
      </c>
      <c r="B14073" s="226" t="str">
        <f>IFERROR(__xludf.DUMMYFUNCTION("""COMPUTED_VALUE"""),"8717323025574")</f>
        <v>8717323025574</v>
      </c>
      <c r="C14073" t="str">
        <f>IFERROR(__xludf.DUMMYFUNCTION("""COMPUTED_VALUE"""),"ECS")</f>
        <v>ECS</v>
      </c>
    </row>
    <row r="14074">
      <c r="A14074" t="str">
        <f>IFERROR(__xludf.DUMMYFUNCTION("""COMPUTED_VALUE"""),"PE059B1")</f>
        <v>PE059B1</v>
      </c>
      <c r="B14074" s="226" t="str">
        <f>IFERROR(__xludf.DUMMYFUNCTION("""COMPUTED_VALUE"""),"8717323024102")</f>
        <v>8717323024102</v>
      </c>
      <c r="C14074" t="str">
        <f>IFERROR(__xludf.DUMMYFUNCTION("""COMPUTED_VALUE"""),"ECS")</f>
        <v>ECS</v>
      </c>
    </row>
    <row r="14075">
      <c r="A14075" t="str">
        <f>IFERROR(__xludf.DUMMYFUNCTION("""COMPUTED_VALUE"""),"PE059D1")</f>
        <v>PE059D1</v>
      </c>
      <c r="B14075" s="226" t="str">
        <f>IFERROR(__xludf.DUMMYFUNCTION("""COMPUTED_VALUE"""),"8717323024119")</f>
        <v>8717323024119</v>
      </c>
      <c r="C14075" t="str">
        <f>IFERROR(__xludf.DUMMYFUNCTION("""COMPUTED_VALUE"""),"ECS")</f>
        <v>ECS</v>
      </c>
    </row>
    <row r="14076">
      <c r="A14076" t="str">
        <f>IFERROR(__xludf.DUMMYFUNCTION("""COMPUTED_VALUE"""),"PE067B1")</f>
        <v>PE067B1</v>
      </c>
      <c r="B14076" s="226" t="str">
        <f>IFERROR(__xludf.DUMMYFUNCTION("""COMPUTED_VALUE"""),"8717323057629")</f>
        <v>8717323057629</v>
      </c>
      <c r="C14076" t="str">
        <f>IFERROR(__xludf.DUMMYFUNCTION("""COMPUTED_VALUE"""),"ECS")</f>
        <v>ECS</v>
      </c>
    </row>
    <row r="14077">
      <c r="A14077" t="str">
        <f>IFERROR(__xludf.DUMMYFUNCTION("""COMPUTED_VALUE"""),"PE067D1")</f>
        <v>PE067D1</v>
      </c>
      <c r="B14077" s="226" t="str">
        <f>IFERROR(__xludf.DUMMYFUNCTION("""COMPUTED_VALUE"""),"8717323057636")</f>
        <v>8717323057636</v>
      </c>
      <c r="C14077" t="str">
        <f>IFERROR(__xludf.DUMMYFUNCTION("""COMPUTED_VALUE"""),"ECS")</f>
        <v>ECS</v>
      </c>
    </row>
    <row r="14078">
      <c r="A14078" t="str">
        <f>IFERROR(__xludf.DUMMYFUNCTION("""COMPUTED_VALUE"""),"PE059B1")</f>
        <v>PE059B1</v>
      </c>
      <c r="B14078" s="226" t="str">
        <f>IFERROR(__xludf.DUMMYFUNCTION("""COMPUTED_VALUE"""),"8717323024102")</f>
        <v>8717323024102</v>
      </c>
      <c r="C14078" t="str">
        <f>IFERROR(__xludf.DUMMYFUNCTION("""COMPUTED_VALUE"""),"ECS")</f>
        <v>ECS</v>
      </c>
    </row>
    <row r="14079">
      <c r="A14079" t="str">
        <f>IFERROR(__xludf.DUMMYFUNCTION("""COMPUTED_VALUE"""),"PE059D1")</f>
        <v>PE059D1</v>
      </c>
      <c r="B14079" s="226" t="str">
        <f>IFERROR(__xludf.DUMMYFUNCTION("""COMPUTED_VALUE"""),"8717323024119")</f>
        <v>8717323024119</v>
      </c>
      <c r="C14079" t="str">
        <f>IFERROR(__xludf.DUMMYFUNCTION("""COMPUTED_VALUE"""),"ECS")</f>
        <v>ECS</v>
      </c>
    </row>
    <row r="14080">
      <c r="A14080" t="str">
        <f>IFERROR(__xludf.DUMMYFUNCTION("""COMPUTED_VALUE"""),"PE067B1")</f>
        <v>PE067B1</v>
      </c>
      <c r="B14080" s="226" t="str">
        <f>IFERROR(__xludf.DUMMYFUNCTION("""COMPUTED_VALUE"""),"8717323057629")</f>
        <v>8717323057629</v>
      </c>
      <c r="C14080" t="str">
        <f>IFERROR(__xludf.DUMMYFUNCTION("""COMPUTED_VALUE"""),"ECS")</f>
        <v>ECS</v>
      </c>
    </row>
    <row r="14081">
      <c r="A14081" t="str">
        <f>IFERROR(__xludf.DUMMYFUNCTION("""COMPUTED_VALUE"""),"PE067D1")</f>
        <v>PE067D1</v>
      </c>
      <c r="B14081" s="226" t="str">
        <f>IFERROR(__xludf.DUMMYFUNCTION("""COMPUTED_VALUE"""),"8717323057636")</f>
        <v>8717323057636</v>
      </c>
      <c r="C14081" t="str">
        <f>IFERROR(__xludf.DUMMYFUNCTION("""COMPUTED_VALUE"""),"ECS")</f>
        <v>ECS</v>
      </c>
    </row>
    <row r="14082">
      <c r="A14082" t="str">
        <f>IFERROR(__xludf.DUMMYFUNCTION("""COMPUTED_VALUE"""),"CT012BB")</f>
        <v>CT012BB</v>
      </c>
      <c r="B14082" s="226" t="str">
        <f>IFERROR(__xludf.DUMMYFUNCTION("""COMPUTED_VALUE"""),"8717323010037")</f>
        <v>8717323010037</v>
      </c>
      <c r="C14082" t="str">
        <f>IFERROR(__xludf.DUMMYFUNCTION("""COMPUTED_VALUE"""),"ECS")</f>
        <v>ECS</v>
      </c>
    </row>
    <row r="14083">
      <c r="A14083" t="str">
        <f>IFERROR(__xludf.DUMMYFUNCTION("""COMPUTED_VALUE"""),"CT012DL")</f>
        <v>CT012DL</v>
      </c>
      <c r="B14083" s="226" t="str">
        <f>IFERROR(__xludf.DUMMYFUNCTION("""COMPUTED_VALUE"""),"8717323018286")</f>
        <v>8717323018286</v>
      </c>
      <c r="C14083" t="str">
        <f>IFERROR(__xludf.DUMMYFUNCTION("""COMPUTED_VALUE"""),"ECS")</f>
        <v>ECS</v>
      </c>
    </row>
    <row r="14084">
      <c r="A14084" t="str">
        <f>IFERROR(__xludf.DUMMYFUNCTION("""COMPUTED_VALUE"""),"CIT026B")</f>
        <v>CIT026B</v>
      </c>
      <c r="B14084" s="226" t="str">
        <f>IFERROR(__xludf.DUMMYFUNCTION("""COMPUTED_VALUE"""),"8717323000663")</f>
        <v>8717323000663</v>
      </c>
      <c r="C14084" t="str">
        <f>IFERROR(__xludf.DUMMYFUNCTION("""COMPUTED_VALUE"""),"ECS")</f>
        <v>ECS</v>
      </c>
    </row>
    <row r="14085">
      <c r="A14085" t="str">
        <f>IFERROR(__xludf.DUMMYFUNCTION("""COMPUTED_VALUE"""),"PE059B1")</f>
        <v>PE059B1</v>
      </c>
      <c r="B14085" s="226" t="str">
        <f>IFERROR(__xludf.DUMMYFUNCTION("""COMPUTED_VALUE"""),"8717323024102")</f>
        <v>8717323024102</v>
      </c>
      <c r="C14085" t="str">
        <f>IFERROR(__xludf.DUMMYFUNCTION("""COMPUTED_VALUE"""),"ECS")</f>
        <v>ECS</v>
      </c>
    </row>
    <row r="14086">
      <c r="A14086" t="str">
        <f>IFERROR(__xludf.DUMMYFUNCTION("""COMPUTED_VALUE"""),"PE059D1")</f>
        <v>PE059D1</v>
      </c>
      <c r="B14086" s="226" t="str">
        <f>IFERROR(__xludf.DUMMYFUNCTION("""COMPUTED_VALUE"""),"8717323024119")</f>
        <v>8717323024119</v>
      </c>
      <c r="C14086" t="str">
        <f>IFERROR(__xludf.DUMMYFUNCTION("""COMPUTED_VALUE"""),"ECS")</f>
        <v>ECS</v>
      </c>
    </row>
    <row r="14087">
      <c r="A14087" t="str">
        <f>IFERROR(__xludf.DUMMYFUNCTION("""COMPUTED_VALUE"""),"CT050B1")</f>
        <v>CT050B1</v>
      </c>
      <c r="B14087" s="226" t="str">
        <f>IFERROR(__xludf.DUMMYFUNCTION("""COMPUTED_VALUE"""),"8717323024065")</f>
        <v>8717323024065</v>
      </c>
      <c r="C14087" t="str">
        <f>IFERROR(__xludf.DUMMYFUNCTION("""COMPUTED_VALUE"""),"ECS")</f>
        <v>ECS</v>
      </c>
    </row>
    <row r="14088">
      <c r="A14088" t="str">
        <f>IFERROR(__xludf.DUMMYFUNCTION("""COMPUTED_VALUE"""),"CT050D1")</f>
        <v>CT050D1</v>
      </c>
      <c r="B14088" s="226" t="str">
        <f>IFERROR(__xludf.DUMMYFUNCTION("""COMPUTED_VALUE"""),"8717323024133")</f>
        <v>8717323024133</v>
      </c>
      <c r="C14088" t="str">
        <f>IFERROR(__xludf.DUMMYFUNCTION("""COMPUTED_VALUE"""),"ECS")</f>
        <v>ECS</v>
      </c>
    </row>
    <row r="14089">
      <c r="A14089" t="str">
        <f>IFERROR(__xludf.DUMMYFUNCTION("""COMPUTED_VALUE"""),"CT049D1")</f>
        <v>CT049D1</v>
      </c>
      <c r="B14089" s="226" t="str">
        <f>IFERROR(__xludf.DUMMYFUNCTION("""COMPUTED_VALUE"""),"8717323038703")</f>
        <v>8717323038703</v>
      </c>
      <c r="C14089" t="str">
        <f>IFERROR(__xludf.DUMMYFUNCTION("""COMPUTED_VALUE"""),"ECS")</f>
        <v>ECS</v>
      </c>
    </row>
    <row r="14090">
      <c r="A14090" t="str">
        <f>IFERROR(__xludf.DUMMYFUNCTION("""COMPUTED_VALUE"""),"CT012BB")</f>
        <v>CT012BB</v>
      </c>
      <c r="B14090" s="226" t="str">
        <f>IFERROR(__xludf.DUMMYFUNCTION("""COMPUTED_VALUE"""),"8717323010037")</f>
        <v>8717323010037</v>
      </c>
      <c r="C14090" t="str">
        <f>IFERROR(__xludf.DUMMYFUNCTION("""COMPUTED_VALUE"""),"ECS")</f>
        <v>ECS</v>
      </c>
    </row>
    <row r="14091">
      <c r="A14091" t="str">
        <f>IFERROR(__xludf.DUMMYFUNCTION("""COMPUTED_VALUE"""),"CT012DL")</f>
        <v>CT012DL</v>
      </c>
      <c r="B14091" s="226" t="str">
        <f>IFERROR(__xludf.DUMMYFUNCTION("""COMPUTED_VALUE"""),"8717323018286")</f>
        <v>8717323018286</v>
      </c>
      <c r="C14091" t="str">
        <f>IFERROR(__xludf.DUMMYFUNCTION("""COMPUTED_VALUE"""),"ECS")</f>
        <v>ECS</v>
      </c>
    </row>
    <row r="14092">
      <c r="A14092" t="str">
        <f>IFERROR(__xludf.DUMMYFUNCTION("""COMPUTED_VALUE"""),"CIT026B")</f>
        <v>CIT026B</v>
      </c>
      <c r="B14092" s="226" t="str">
        <f>IFERROR(__xludf.DUMMYFUNCTION("""COMPUTED_VALUE"""),"8717323000663")</f>
        <v>8717323000663</v>
      </c>
      <c r="C14092" t="str">
        <f>IFERROR(__xludf.DUMMYFUNCTION("""COMPUTED_VALUE"""),"ECS")</f>
        <v>ECS</v>
      </c>
    </row>
    <row r="14093">
      <c r="A14093" t="str">
        <f>IFERROR(__xludf.DUMMYFUNCTION("""COMPUTED_VALUE"""),"PE059B1")</f>
        <v>PE059B1</v>
      </c>
      <c r="B14093" s="226" t="str">
        <f>IFERROR(__xludf.DUMMYFUNCTION("""COMPUTED_VALUE"""),"8717323024102")</f>
        <v>8717323024102</v>
      </c>
      <c r="C14093" t="str">
        <f>IFERROR(__xludf.DUMMYFUNCTION("""COMPUTED_VALUE"""),"ECS")</f>
        <v>ECS</v>
      </c>
    </row>
    <row r="14094">
      <c r="A14094" t="str">
        <f>IFERROR(__xludf.DUMMYFUNCTION("""COMPUTED_VALUE"""),"PE059D1")</f>
        <v>PE059D1</v>
      </c>
      <c r="B14094" s="226" t="str">
        <f>IFERROR(__xludf.DUMMYFUNCTION("""COMPUTED_VALUE"""),"8717323024119")</f>
        <v>8717323024119</v>
      </c>
      <c r="C14094" t="str">
        <f>IFERROR(__xludf.DUMMYFUNCTION("""COMPUTED_VALUE"""),"ECS")</f>
        <v>ECS</v>
      </c>
    </row>
    <row r="14095">
      <c r="A14095" t="str">
        <f>IFERROR(__xludf.DUMMYFUNCTION("""COMPUTED_VALUE"""),"CT050B1")</f>
        <v>CT050B1</v>
      </c>
      <c r="B14095" s="226" t="str">
        <f>IFERROR(__xludf.DUMMYFUNCTION("""COMPUTED_VALUE"""),"8717323024065")</f>
        <v>8717323024065</v>
      </c>
      <c r="C14095" t="str">
        <f>IFERROR(__xludf.DUMMYFUNCTION("""COMPUTED_VALUE"""),"ECS")</f>
        <v>ECS</v>
      </c>
    </row>
    <row r="14096">
      <c r="A14096" t="str">
        <f>IFERROR(__xludf.DUMMYFUNCTION("""COMPUTED_VALUE"""),"CT050D1")</f>
        <v>CT050D1</v>
      </c>
      <c r="B14096" s="226" t="str">
        <f>IFERROR(__xludf.DUMMYFUNCTION("""COMPUTED_VALUE"""),"8717323024133")</f>
        <v>8717323024133</v>
      </c>
      <c r="C14096" t="str">
        <f>IFERROR(__xludf.DUMMYFUNCTION("""COMPUTED_VALUE"""),"ECS")</f>
        <v>ECS</v>
      </c>
    </row>
    <row r="14097">
      <c r="A14097" t="str">
        <f>IFERROR(__xludf.DUMMYFUNCTION("""COMPUTED_VALUE"""),"CT056B1")</f>
        <v>CT056B1</v>
      </c>
      <c r="B14097" s="226" t="str">
        <f>IFERROR(__xludf.DUMMYFUNCTION("""COMPUTED_VALUE"""),"8717323053041")</f>
        <v>8717323053041</v>
      </c>
      <c r="C14097" t="str">
        <f>IFERROR(__xludf.DUMMYFUNCTION("""COMPUTED_VALUE"""),"ECS")</f>
        <v>ECS</v>
      </c>
    </row>
    <row r="14098">
      <c r="A14098" t="str">
        <f>IFERROR(__xludf.DUMMYFUNCTION("""COMPUTED_VALUE"""),"CT056D1")</f>
        <v>CT056D1</v>
      </c>
      <c r="B14098" s="226" t="str">
        <f>IFERROR(__xludf.DUMMYFUNCTION("""COMPUTED_VALUE"""),"8717323053058")</f>
        <v>8717323053058</v>
      </c>
      <c r="C14098" t="str">
        <f>IFERROR(__xludf.DUMMYFUNCTION("""COMPUTED_VALUE"""),"ECS")</f>
        <v>ECS</v>
      </c>
    </row>
    <row r="14099">
      <c r="A14099" t="str">
        <f>IFERROR(__xludf.DUMMYFUNCTION("""COMPUTED_VALUE"""),"CT056B1")</f>
        <v>CT056B1</v>
      </c>
      <c r="B14099" s="226" t="str">
        <f>IFERROR(__xludf.DUMMYFUNCTION("""COMPUTED_VALUE"""),"8717323053041")</f>
        <v>8717323053041</v>
      </c>
      <c r="C14099" t="str">
        <f>IFERROR(__xludf.DUMMYFUNCTION("""COMPUTED_VALUE"""),"ECS")</f>
        <v>ECS</v>
      </c>
    </row>
    <row r="14100">
      <c r="A14100" t="str">
        <f>IFERROR(__xludf.DUMMYFUNCTION("""COMPUTED_VALUE"""),"CT056D1")</f>
        <v>CT056D1</v>
      </c>
      <c r="B14100" s="226" t="str">
        <f>IFERROR(__xludf.DUMMYFUNCTION("""COMPUTED_VALUE"""),"8717323053058")</f>
        <v>8717323053058</v>
      </c>
      <c r="C14100" t="str">
        <f>IFERROR(__xludf.DUMMYFUNCTION("""COMPUTED_VALUE"""),"ECS")</f>
        <v>ECS</v>
      </c>
    </row>
    <row r="14101">
      <c r="A14101" t="str">
        <f>IFERROR(__xludf.DUMMYFUNCTION("""COMPUTED_VALUE"""),"OP077B1")</f>
        <v>OP077B1</v>
      </c>
      <c r="C14101" t="str">
        <f>IFERROR(__xludf.DUMMYFUNCTION("""COMPUTED_VALUE"""),"ECS")</f>
        <v>ECS</v>
      </c>
    </row>
    <row r="14102">
      <c r="A14102" t="str">
        <f>IFERROR(__xludf.DUMMYFUNCTION("""COMPUTED_VALUE"""),"OP077D1")</f>
        <v>OP077D1</v>
      </c>
      <c r="B14102" s="226" t="str">
        <f>IFERROR(__xludf.DUMMYFUNCTION("""COMPUTED_VALUE"""),"8717323068182")</f>
        <v>8717323068182</v>
      </c>
      <c r="C14102" t="str">
        <f>IFERROR(__xludf.DUMMYFUNCTION("""COMPUTED_VALUE"""),"ECS")</f>
        <v>ECS</v>
      </c>
    </row>
    <row r="14103">
      <c r="A14103" t="str">
        <f>IFERROR(__xludf.DUMMYFUNCTION("""COMPUTED_VALUE"""),"OP077B1")</f>
        <v>OP077B1</v>
      </c>
      <c r="C14103" t="str">
        <f>IFERROR(__xludf.DUMMYFUNCTION("""COMPUTED_VALUE"""),"ECS")</f>
        <v>ECS</v>
      </c>
    </row>
    <row r="14104">
      <c r="A14104" t="str">
        <f>IFERROR(__xludf.DUMMYFUNCTION("""COMPUTED_VALUE"""),"OP077D1")</f>
        <v>OP077D1</v>
      </c>
      <c r="B14104" s="226" t="str">
        <f>IFERROR(__xludf.DUMMYFUNCTION("""COMPUTED_VALUE"""),"8717323068182")</f>
        <v>8717323068182</v>
      </c>
      <c r="C14104" t="str">
        <f>IFERROR(__xludf.DUMMYFUNCTION("""COMPUTED_VALUE"""),"ECS")</f>
        <v>ECS</v>
      </c>
    </row>
    <row r="14105">
      <c r="A14105" t="str">
        <f>IFERROR(__xludf.DUMMYFUNCTION("""COMPUTED_VALUE"""),"OP077B1")</f>
        <v>OP077B1</v>
      </c>
      <c r="C14105" t="str">
        <f>IFERROR(__xludf.DUMMYFUNCTION("""COMPUTED_VALUE"""),"ECS")</f>
        <v>ECS</v>
      </c>
    </row>
    <row r="14106">
      <c r="A14106" t="str">
        <f>IFERROR(__xludf.DUMMYFUNCTION("""COMPUTED_VALUE"""),"OP077D1")</f>
        <v>OP077D1</v>
      </c>
      <c r="B14106" s="226" t="str">
        <f>IFERROR(__xludf.DUMMYFUNCTION("""COMPUTED_VALUE"""),"8717323068182")</f>
        <v>8717323068182</v>
      </c>
      <c r="C14106" t="str">
        <f>IFERROR(__xludf.DUMMYFUNCTION("""COMPUTED_VALUE"""),"ECS")</f>
        <v>ECS</v>
      </c>
    </row>
    <row r="14107">
      <c r="A14107" t="str">
        <f>IFERROR(__xludf.DUMMYFUNCTION("""COMPUTED_VALUE"""),"PE067B1")</f>
        <v>PE067B1</v>
      </c>
      <c r="B14107" s="226" t="str">
        <f>IFERROR(__xludf.DUMMYFUNCTION("""COMPUTED_VALUE"""),"8717323057629")</f>
        <v>8717323057629</v>
      </c>
      <c r="C14107" t="str">
        <f>IFERROR(__xludf.DUMMYFUNCTION("""COMPUTED_VALUE"""),"ECS")</f>
        <v>ECS</v>
      </c>
    </row>
    <row r="14108">
      <c r="A14108" t="str">
        <f>IFERROR(__xludf.DUMMYFUNCTION("""COMPUTED_VALUE"""),"PE067D1")</f>
        <v>PE067D1</v>
      </c>
      <c r="B14108" s="226" t="str">
        <f>IFERROR(__xludf.DUMMYFUNCTION("""COMPUTED_VALUE"""),"8717323057636")</f>
        <v>8717323057636</v>
      </c>
      <c r="C14108" t="str">
        <f>IFERROR(__xludf.DUMMYFUNCTION("""COMPUTED_VALUE"""),"ECS")</f>
        <v>ECS</v>
      </c>
    </row>
    <row r="14109">
      <c r="A14109" t="str">
        <f>IFERROR(__xludf.DUMMYFUNCTION("""COMPUTED_VALUE"""),"NI112BB")</f>
        <v>NI112BB</v>
      </c>
      <c r="B14109" s="226" t="str">
        <f>IFERROR(__xludf.DUMMYFUNCTION("""COMPUTED_VALUE"""),"8717323057438")</f>
        <v>8717323057438</v>
      </c>
      <c r="C14109" t="str">
        <f>IFERROR(__xludf.DUMMYFUNCTION("""COMPUTED_VALUE"""),"ECS")</f>
        <v>ECS</v>
      </c>
    </row>
    <row r="14110">
      <c r="A14110" t="str">
        <f>IFERROR(__xludf.DUMMYFUNCTION("""COMPUTED_VALUE"""),"NI112BH")</f>
        <v>NI112BH</v>
      </c>
      <c r="B14110" s="226" t="str">
        <f>IFERROR(__xludf.DUMMYFUNCTION("""COMPUTED_VALUE"""),"8717323065907")</f>
        <v>8717323065907</v>
      </c>
      <c r="C14110" t="str">
        <f>IFERROR(__xludf.DUMMYFUNCTION("""COMPUTED_VALUE"""),"ECS")</f>
        <v>ECS</v>
      </c>
    </row>
    <row r="14111">
      <c r="A14111" t="str">
        <f>IFERROR(__xludf.DUMMYFUNCTION("""COMPUTED_VALUE"""),"NI112DH")</f>
        <v>NI112DH</v>
      </c>
      <c r="B14111" s="226" t="str">
        <f>IFERROR(__xludf.DUMMYFUNCTION("""COMPUTED_VALUE"""),"8717323057445")</f>
        <v>8717323057445</v>
      </c>
      <c r="C14111" t="str">
        <f>IFERROR(__xludf.DUMMYFUNCTION("""COMPUTED_VALUE"""),"ECS")</f>
        <v>ECS</v>
      </c>
    </row>
    <row r="14112">
      <c r="A14112" t="str">
        <f>IFERROR(__xludf.DUMMYFUNCTION("""COMPUTED_VALUE"""),"RN122BX")</f>
        <v>RN122BX</v>
      </c>
      <c r="B14112" s="226" t="str">
        <f>IFERROR(__xludf.DUMMYFUNCTION("""COMPUTED_VALUE"""),"8717323047309")</f>
        <v>8717323047309</v>
      </c>
      <c r="C14112" t="str">
        <f>IFERROR(__xludf.DUMMYFUNCTION("""COMPUTED_VALUE"""),"ECS")</f>
        <v>ECS</v>
      </c>
    </row>
    <row r="14113">
      <c r="A14113" t="str">
        <f>IFERROR(__xludf.DUMMYFUNCTION("""COMPUTED_VALUE"""),"RN122DX")</f>
        <v>RN122DX</v>
      </c>
      <c r="B14113" s="226" t="str">
        <f>IFERROR(__xludf.DUMMYFUNCTION("""COMPUTED_VALUE"""),"8717323047316")</f>
        <v>8717323047316</v>
      </c>
      <c r="C14113" t="str">
        <f>IFERROR(__xludf.DUMMYFUNCTION("""COMPUTED_VALUE"""),"ECS")</f>
        <v>ECS</v>
      </c>
    </row>
    <row r="14114">
      <c r="A14114" t="str">
        <f>IFERROR(__xludf.DUMMYFUNCTION("""COMPUTED_VALUE"""),"RN156BX")</f>
        <v>RN156BX</v>
      </c>
      <c r="B14114" s="226" t="str">
        <f>IFERROR(__xludf.DUMMYFUNCTION("""COMPUTED_VALUE"""),"8717323071359")</f>
        <v>8717323071359</v>
      </c>
      <c r="C14114" t="str">
        <f>IFERROR(__xludf.DUMMYFUNCTION("""COMPUTED_VALUE"""),"ECS")</f>
        <v>ECS</v>
      </c>
    </row>
    <row r="14115">
      <c r="A14115" t="str">
        <f>IFERROR(__xludf.DUMMYFUNCTION("""COMPUTED_VALUE"""),"RN156DX")</f>
        <v>RN156DX</v>
      </c>
      <c r="B14115" s="226" t="str">
        <f>IFERROR(__xludf.DUMMYFUNCTION("""COMPUTED_VALUE"""),"8717323071366")</f>
        <v>8717323071366</v>
      </c>
      <c r="C14115" t="str">
        <f>IFERROR(__xludf.DUMMYFUNCTION("""COMPUTED_VALUE"""),"ECS")</f>
        <v>ECS</v>
      </c>
    </row>
    <row r="14116">
      <c r="A14116" t="str">
        <f>IFERROR(__xludf.DUMMYFUNCTION("""COMPUTED_VALUE"""),"RN003BB")</f>
        <v>RN003BB</v>
      </c>
      <c r="B14116" s="226" t="str">
        <f>IFERROR(__xludf.DUMMYFUNCTION("""COMPUTED_VALUE"""),"8717323006337")</f>
        <v>8717323006337</v>
      </c>
      <c r="C14116" t="str">
        <f>IFERROR(__xludf.DUMMYFUNCTION("""COMPUTED_VALUE"""),"ECS")</f>
        <v>ECS</v>
      </c>
    </row>
    <row r="14117">
      <c r="A14117" t="str">
        <f>IFERROR(__xludf.DUMMYFUNCTION("""COMPUTED_VALUE"""),"RN032BB")</f>
        <v>RN032BB</v>
      </c>
      <c r="B14117" s="226" t="str">
        <f>IFERROR(__xludf.DUMMYFUNCTION("""COMPUTED_VALUE"""),"8717323006511")</f>
        <v>8717323006511</v>
      </c>
      <c r="C14117" t="str">
        <f>IFERROR(__xludf.DUMMYFUNCTION("""COMPUTED_VALUE"""),"ECS")</f>
        <v>ECS</v>
      </c>
    </row>
    <row r="14118">
      <c r="A14118" t="str">
        <f>IFERROR(__xludf.DUMMYFUNCTION("""COMPUTED_VALUE"""),"RN032DL")</f>
        <v>RN032DL</v>
      </c>
      <c r="B14118" s="226" t="str">
        <f>IFERROR(__xludf.DUMMYFUNCTION("""COMPUTED_VALUE"""),"8717323020845")</f>
        <v>8717323020845</v>
      </c>
      <c r="C14118" t="str">
        <f>IFERROR(__xludf.DUMMYFUNCTION("""COMPUTED_VALUE"""),"ECS")</f>
        <v>ECS</v>
      </c>
    </row>
    <row r="14119">
      <c r="A14119" t="str">
        <f>IFERROR(__xludf.DUMMYFUNCTION("""COMPUTED_VALUE"""),"RN032BB")</f>
        <v>RN032BB</v>
      </c>
      <c r="B14119" s="226" t="str">
        <f>IFERROR(__xludf.DUMMYFUNCTION("""COMPUTED_VALUE"""),"8717323006511")</f>
        <v>8717323006511</v>
      </c>
      <c r="C14119" t="str">
        <f>IFERROR(__xludf.DUMMYFUNCTION("""COMPUTED_VALUE"""),"ECS")</f>
        <v>ECS</v>
      </c>
    </row>
    <row r="14120">
      <c r="A14120" t="str">
        <f>IFERROR(__xludf.DUMMYFUNCTION("""COMPUTED_VALUE"""),"RN032DL")</f>
        <v>RN032DL</v>
      </c>
      <c r="B14120" s="226" t="str">
        <f>IFERROR(__xludf.DUMMYFUNCTION("""COMPUTED_VALUE"""),"8717323020845")</f>
        <v>8717323020845</v>
      </c>
      <c r="C14120" t="str">
        <f>IFERROR(__xludf.DUMMYFUNCTION("""COMPUTED_VALUE"""),"ECS")</f>
        <v>ECS</v>
      </c>
    </row>
    <row r="14121">
      <c r="A14121" t="str">
        <f>IFERROR(__xludf.DUMMYFUNCTION("""COMPUTED_VALUE"""),"RN063BB")</f>
        <v>RN063BB</v>
      </c>
      <c r="B14121" s="226" t="str">
        <f>IFERROR(__xludf.DUMMYFUNCTION("""COMPUTED_VALUE"""),"8717323013083")</f>
        <v>8717323013083</v>
      </c>
      <c r="C14121" t="str">
        <f>IFERROR(__xludf.DUMMYFUNCTION("""COMPUTED_VALUE"""),"ECS")</f>
        <v>ECS</v>
      </c>
    </row>
    <row r="14122">
      <c r="A14122" t="str">
        <f>IFERROR(__xludf.DUMMYFUNCTION("""COMPUTED_VALUE"""),"RN063BH")</f>
        <v>RN063BH</v>
      </c>
      <c r="B14122" s="226" t="str">
        <f>IFERROR(__xludf.DUMMYFUNCTION("""COMPUTED_VALUE"""),"8717323049693")</f>
        <v>8717323049693</v>
      </c>
      <c r="C14122" t="str">
        <f>IFERROR(__xludf.DUMMYFUNCTION("""COMPUTED_VALUE"""),"ECS")</f>
        <v>ECS</v>
      </c>
    </row>
    <row r="14123">
      <c r="A14123" t="str">
        <f>IFERROR(__xludf.DUMMYFUNCTION("""COMPUTED_VALUE"""),"RN063BL")</f>
        <v>RN063BL</v>
      </c>
      <c r="B14123" s="226" t="str">
        <f>IFERROR(__xludf.DUMMYFUNCTION("""COMPUTED_VALUE"""),"8717323013090")</f>
        <v>8717323013090</v>
      </c>
      <c r="C14123" t="str">
        <f>IFERROR(__xludf.DUMMYFUNCTION("""COMPUTED_VALUE"""),"ECS")</f>
        <v>ECS</v>
      </c>
    </row>
    <row r="14124">
      <c r="A14124" t="str">
        <f>IFERROR(__xludf.DUMMYFUNCTION("""COMPUTED_VALUE"""),"RN063DH")</f>
        <v>RN063DH</v>
      </c>
      <c r="B14124" s="226" t="str">
        <f>IFERROR(__xludf.DUMMYFUNCTION("""COMPUTED_VALUE"""),"8717323049709")</f>
        <v>8717323049709</v>
      </c>
      <c r="C14124" t="str">
        <f>IFERROR(__xludf.DUMMYFUNCTION("""COMPUTED_VALUE"""),"ECS")</f>
        <v>ECS</v>
      </c>
    </row>
    <row r="14125">
      <c r="A14125" t="str">
        <f>IFERROR(__xludf.DUMMYFUNCTION("""COMPUTED_VALUE"""),"RN063DL")</f>
        <v>RN063DL</v>
      </c>
      <c r="B14125" s="226" t="str">
        <f>IFERROR(__xludf.DUMMYFUNCTION("""COMPUTED_VALUE"""),"8717323013113")</f>
        <v>8717323013113</v>
      </c>
      <c r="C14125" t="str">
        <f>IFERROR(__xludf.DUMMYFUNCTION("""COMPUTED_VALUE"""),"ECS")</f>
        <v>ECS</v>
      </c>
    </row>
    <row r="14126">
      <c r="A14126" t="str">
        <f>IFERROR(__xludf.DUMMYFUNCTION("""COMPUTED_VALUE"""),"RN063BB")</f>
        <v>RN063BB</v>
      </c>
      <c r="B14126" s="226" t="str">
        <f>IFERROR(__xludf.DUMMYFUNCTION("""COMPUTED_VALUE"""),"8717323013083")</f>
        <v>8717323013083</v>
      </c>
      <c r="C14126" t="str">
        <f>IFERROR(__xludf.DUMMYFUNCTION("""COMPUTED_VALUE"""),"ECS")</f>
        <v>ECS</v>
      </c>
    </row>
    <row r="14127">
      <c r="A14127" t="str">
        <f>IFERROR(__xludf.DUMMYFUNCTION("""COMPUTED_VALUE"""),"RN063BH")</f>
        <v>RN063BH</v>
      </c>
      <c r="B14127" s="226" t="str">
        <f>IFERROR(__xludf.DUMMYFUNCTION("""COMPUTED_VALUE"""),"8717323049693")</f>
        <v>8717323049693</v>
      </c>
      <c r="C14127" t="str">
        <f>IFERROR(__xludf.DUMMYFUNCTION("""COMPUTED_VALUE"""),"ECS")</f>
        <v>ECS</v>
      </c>
    </row>
    <row r="14128">
      <c r="A14128" t="str">
        <f>IFERROR(__xludf.DUMMYFUNCTION("""COMPUTED_VALUE"""),"RN063BL")</f>
        <v>RN063BL</v>
      </c>
      <c r="B14128" s="226" t="str">
        <f>IFERROR(__xludf.DUMMYFUNCTION("""COMPUTED_VALUE"""),"8717323013090")</f>
        <v>8717323013090</v>
      </c>
      <c r="C14128" t="str">
        <f>IFERROR(__xludf.DUMMYFUNCTION("""COMPUTED_VALUE"""),"ECS")</f>
        <v>ECS</v>
      </c>
    </row>
    <row r="14129">
      <c r="A14129" t="str">
        <f>IFERROR(__xludf.DUMMYFUNCTION("""COMPUTED_VALUE"""),"RN063DH")</f>
        <v>RN063DH</v>
      </c>
      <c r="B14129" s="226" t="str">
        <f>IFERROR(__xludf.DUMMYFUNCTION("""COMPUTED_VALUE"""),"8717323049709")</f>
        <v>8717323049709</v>
      </c>
      <c r="C14129" t="str">
        <f>IFERROR(__xludf.DUMMYFUNCTION("""COMPUTED_VALUE"""),"ECS")</f>
        <v>ECS</v>
      </c>
    </row>
    <row r="14130">
      <c r="A14130" t="str">
        <f>IFERROR(__xludf.DUMMYFUNCTION("""COMPUTED_VALUE"""),"RN063DL")</f>
        <v>RN063DL</v>
      </c>
      <c r="B14130" s="226" t="str">
        <f>IFERROR(__xludf.DUMMYFUNCTION("""COMPUTED_VALUE"""),"8717323013113")</f>
        <v>8717323013113</v>
      </c>
      <c r="C14130" t="str">
        <f>IFERROR(__xludf.DUMMYFUNCTION("""COMPUTED_VALUE"""),"ECS")</f>
        <v>ECS</v>
      </c>
    </row>
    <row r="14131">
      <c r="A14131" t="str">
        <f>IFERROR(__xludf.DUMMYFUNCTION("""COMPUTED_VALUE"""),"RN073BB")</f>
        <v>RN073BB</v>
      </c>
      <c r="B14131" s="226" t="str">
        <f>IFERROR(__xludf.DUMMYFUNCTION("""COMPUTED_VALUE"""),"8717323017036")</f>
        <v>8717323017036</v>
      </c>
      <c r="C14131" t="str">
        <f>IFERROR(__xludf.DUMMYFUNCTION("""COMPUTED_VALUE"""),"ECS")</f>
        <v>ECS</v>
      </c>
    </row>
    <row r="14132">
      <c r="A14132" t="str">
        <f>IFERROR(__xludf.DUMMYFUNCTION("""COMPUTED_VALUE"""),"RN073DH")</f>
        <v>RN073DH</v>
      </c>
      <c r="B14132" s="226" t="str">
        <f>IFERROR(__xludf.DUMMYFUNCTION("""COMPUTED_VALUE"""),"8717323017043")</f>
        <v>8717323017043</v>
      </c>
      <c r="C14132" t="str">
        <f>IFERROR(__xludf.DUMMYFUNCTION("""COMPUTED_VALUE"""),"ECS")</f>
        <v>ECS</v>
      </c>
    </row>
    <row r="14133">
      <c r="A14133" t="str">
        <f>IFERROR(__xludf.DUMMYFUNCTION("""COMPUTED_VALUE"""),"RN083BB")</f>
        <v>RN083BB</v>
      </c>
      <c r="B14133" s="226" t="str">
        <f>IFERROR(__xludf.DUMMYFUNCTION("""COMPUTED_VALUE"""),"8717323022719")</f>
        <v>8717323022719</v>
      </c>
      <c r="C14133" t="str">
        <f>IFERROR(__xludf.DUMMYFUNCTION("""COMPUTED_VALUE"""),"ECS")</f>
        <v>ECS</v>
      </c>
    </row>
    <row r="14134">
      <c r="A14134" t="str">
        <f>IFERROR(__xludf.DUMMYFUNCTION("""COMPUTED_VALUE"""),"RN083DH")</f>
        <v>RN083DH</v>
      </c>
      <c r="B14134" s="226" t="str">
        <f>IFERROR(__xludf.DUMMYFUNCTION("""COMPUTED_VALUE"""),"8717323022726")</f>
        <v>8717323022726</v>
      </c>
      <c r="C14134" t="str">
        <f>IFERROR(__xludf.DUMMYFUNCTION("""COMPUTED_VALUE"""),"ECS")</f>
        <v>ECS</v>
      </c>
    </row>
    <row r="14135">
      <c r="A14135" t="str">
        <f>IFERROR(__xludf.DUMMYFUNCTION("""COMPUTED_VALUE"""),"RN084BB")</f>
        <v>RN084BB</v>
      </c>
      <c r="B14135" s="226" t="str">
        <f>IFERROR(__xludf.DUMMYFUNCTION("""COMPUTED_VALUE"""),"8717323022634")</f>
        <v>8717323022634</v>
      </c>
      <c r="C14135" t="str">
        <f>IFERROR(__xludf.DUMMYFUNCTION("""COMPUTED_VALUE"""),"ECS")</f>
        <v>ECS</v>
      </c>
    </row>
    <row r="14136">
      <c r="A14136" t="str">
        <f>IFERROR(__xludf.DUMMYFUNCTION("""COMPUTED_VALUE"""),"RN084DH")</f>
        <v>RN084DH</v>
      </c>
      <c r="B14136" s="226" t="str">
        <f>IFERROR(__xludf.DUMMYFUNCTION("""COMPUTED_VALUE"""),"8717323022641")</f>
        <v>8717323022641</v>
      </c>
      <c r="C14136" t="str">
        <f>IFERROR(__xludf.DUMMYFUNCTION("""COMPUTED_VALUE"""),"ECS")</f>
        <v>ECS</v>
      </c>
    </row>
    <row r="14137">
      <c r="A14137" t="str">
        <f>IFERROR(__xludf.DUMMYFUNCTION("""COMPUTED_VALUE"""),"RN122BX")</f>
        <v>RN122BX</v>
      </c>
      <c r="B14137" s="226" t="str">
        <f>IFERROR(__xludf.DUMMYFUNCTION("""COMPUTED_VALUE"""),"8717323047309")</f>
        <v>8717323047309</v>
      </c>
      <c r="C14137" t="str">
        <f>IFERROR(__xludf.DUMMYFUNCTION("""COMPUTED_VALUE"""),"ECS")</f>
        <v>ECS</v>
      </c>
    </row>
    <row r="14138">
      <c r="A14138" t="str">
        <f>IFERROR(__xludf.DUMMYFUNCTION("""COMPUTED_VALUE"""),"RN122DX")</f>
        <v>RN122DX</v>
      </c>
      <c r="B14138" s="226" t="str">
        <f>IFERROR(__xludf.DUMMYFUNCTION("""COMPUTED_VALUE"""),"8717323047316")</f>
        <v>8717323047316</v>
      </c>
      <c r="C14138" t="str">
        <f>IFERROR(__xludf.DUMMYFUNCTION("""COMPUTED_VALUE"""),"ECS")</f>
        <v>ECS</v>
      </c>
    </row>
    <row r="14139">
      <c r="A14139" t="str">
        <f>IFERROR(__xludf.DUMMYFUNCTION("""COMPUTED_VALUE"""),"RN122BX")</f>
        <v>RN122BX</v>
      </c>
      <c r="B14139" s="226" t="str">
        <f>IFERROR(__xludf.DUMMYFUNCTION("""COMPUTED_VALUE"""),"8717323047309")</f>
        <v>8717323047309</v>
      </c>
      <c r="C14139" t="str">
        <f>IFERROR(__xludf.DUMMYFUNCTION("""COMPUTED_VALUE"""),"ECS")</f>
        <v>ECS</v>
      </c>
    </row>
    <row r="14140">
      <c r="A14140" t="str">
        <f>IFERROR(__xludf.DUMMYFUNCTION("""COMPUTED_VALUE"""),"RN122DX")</f>
        <v>RN122DX</v>
      </c>
      <c r="B14140" s="226" t="str">
        <f>IFERROR(__xludf.DUMMYFUNCTION("""COMPUTED_VALUE"""),"8717323047316")</f>
        <v>8717323047316</v>
      </c>
      <c r="C14140" t="str">
        <f>IFERROR(__xludf.DUMMYFUNCTION("""COMPUTED_VALUE"""),"ECS")</f>
        <v>ECS</v>
      </c>
    </row>
    <row r="14141">
      <c r="A14141" t="str">
        <f>IFERROR(__xludf.DUMMYFUNCTION("""COMPUTED_VALUE"""),"RN122BX")</f>
        <v>RN122BX</v>
      </c>
      <c r="B14141" s="226" t="str">
        <f>IFERROR(__xludf.DUMMYFUNCTION("""COMPUTED_VALUE"""),"8717323047309")</f>
        <v>8717323047309</v>
      </c>
      <c r="C14141" t="str">
        <f>IFERROR(__xludf.DUMMYFUNCTION("""COMPUTED_VALUE"""),"ECS")</f>
        <v>ECS</v>
      </c>
    </row>
    <row r="14142">
      <c r="A14142" t="str">
        <f>IFERROR(__xludf.DUMMYFUNCTION("""COMPUTED_VALUE"""),"RN122DX")</f>
        <v>RN122DX</v>
      </c>
      <c r="B14142" s="226" t="str">
        <f>IFERROR(__xludf.DUMMYFUNCTION("""COMPUTED_VALUE"""),"8717323047316")</f>
        <v>8717323047316</v>
      </c>
      <c r="C14142" t="str">
        <f>IFERROR(__xludf.DUMMYFUNCTION("""COMPUTED_VALUE"""),"ECS")</f>
        <v>ECS</v>
      </c>
    </row>
    <row r="14143">
      <c r="A14143" t="str">
        <f>IFERROR(__xludf.DUMMYFUNCTION("""COMPUTED_VALUE"""),"RN156BX")</f>
        <v>RN156BX</v>
      </c>
      <c r="B14143" s="226" t="str">
        <f>IFERROR(__xludf.DUMMYFUNCTION("""COMPUTED_VALUE"""),"8717323071359")</f>
        <v>8717323071359</v>
      </c>
      <c r="C14143" t="str">
        <f>IFERROR(__xludf.DUMMYFUNCTION("""COMPUTED_VALUE"""),"ECS")</f>
        <v>ECS</v>
      </c>
    </row>
    <row r="14144">
      <c r="A14144" t="str">
        <f>IFERROR(__xludf.DUMMYFUNCTION("""COMPUTED_VALUE"""),"RN156DX")</f>
        <v>RN156DX</v>
      </c>
      <c r="B14144" s="226" t="str">
        <f>IFERROR(__xludf.DUMMYFUNCTION("""COMPUTED_VALUE"""),"8717323071366")</f>
        <v>8717323071366</v>
      </c>
      <c r="C14144" t="str">
        <f>IFERROR(__xludf.DUMMYFUNCTION("""COMPUTED_VALUE"""),"ECS")</f>
        <v>ECS</v>
      </c>
    </row>
    <row r="14145">
      <c r="A14145" t="str">
        <f>IFERROR(__xludf.DUMMYFUNCTION("""COMPUTED_VALUE"""),"RN007FQ")</f>
        <v>RN007FQ</v>
      </c>
      <c r="B14145" s="226" t="str">
        <f>IFERROR(__xludf.DUMMYFUNCTION("""COMPUTED_VALUE"""),"8717323006351")</f>
        <v>8717323006351</v>
      </c>
      <c r="C14145" t="str">
        <f>IFERROR(__xludf.DUMMYFUNCTION("""COMPUTED_VALUE"""),"ECS")</f>
        <v>ECS</v>
      </c>
    </row>
    <row r="14146">
      <c r="A14146" t="str">
        <f>IFERROR(__xludf.DUMMYFUNCTION("""COMPUTED_VALUE"""),"RN037BB")</f>
        <v>RN037BB</v>
      </c>
      <c r="B14146" s="226" t="str">
        <f>IFERROR(__xludf.DUMMYFUNCTION("""COMPUTED_VALUE"""),"8717323006559")</f>
        <v>8717323006559</v>
      </c>
      <c r="C14146" t="str">
        <f>IFERROR(__xludf.DUMMYFUNCTION("""COMPUTED_VALUE"""),"ECS")</f>
        <v>ECS</v>
      </c>
    </row>
    <row r="14147">
      <c r="A14147" t="str">
        <f>IFERROR(__xludf.DUMMYFUNCTION("""COMPUTED_VALUE"""),"RN037DB")</f>
        <v>RN037DB</v>
      </c>
      <c r="B14147" s="226" t="str">
        <f>IFERROR(__xludf.DUMMYFUNCTION("""COMPUTED_VALUE"""),"8717323006566")</f>
        <v>8717323006566</v>
      </c>
      <c r="C14147" t="str">
        <f>IFERROR(__xludf.DUMMYFUNCTION("""COMPUTED_VALUE"""),"ECS")</f>
        <v>ECS</v>
      </c>
    </row>
    <row r="14148">
      <c r="A14148" t="str">
        <f>IFERROR(__xludf.DUMMYFUNCTION("""COMPUTED_VALUE"""),"RN037DL")</f>
        <v>RN037DL</v>
      </c>
      <c r="B14148" s="226" t="str">
        <f>IFERROR(__xludf.DUMMYFUNCTION("""COMPUTED_VALUE"""),"8717323020906")</f>
        <v>8717323020906</v>
      </c>
      <c r="C14148" t="str">
        <f>IFERROR(__xludf.DUMMYFUNCTION("""COMPUTED_VALUE"""),"ECS")</f>
        <v>ECS</v>
      </c>
    </row>
    <row r="14149">
      <c r="A14149" t="str">
        <f>IFERROR(__xludf.DUMMYFUNCTION("""COMPUTED_VALUE"""),"RN127BB")</f>
        <v>RN127BB</v>
      </c>
      <c r="B14149" s="226" t="str">
        <f>IFERROR(__xludf.DUMMYFUNCTION("""COMPUTED_VALUE"""),"8717323053096")</f>
        <v>8717323053096</v>
      </c>
      <c r="C14149" t="str">
        <f>IFERROR(__xludf.DUMMYFUNCTION("""COMPUTED_VALUE"""),"ECS")</f>
        <v>ECS</v>
      </c>
    </row>
    <row r="14150">
      <c r="A14150" t="str">
        <f>IFERROR(__xludf.DUMMYFUNCTION("""COMPUTED_VALUE"""),"RN127BH")</f>
        <v>RN127BH</v>
      </c>
      <c r="B14150" s="226" t="str">
        <f>IFERROR(__xludf.DUMMYFUNCTION("""COMPUTED_VALUE"""),"8717323056707")</f>
        <v>8717323056707</v>
      </c>
      <c r="C14150" t="str">
        <f>IFERROR(__xludf.DUMMYFUNCTION("""COMPUTED_VALUE"""),"ECS")</f>
        <v>ECS</v>
      </c>
    </row>
    <row r="14151">
      <c r="A14151" t="str">
        <f>IFERROR(__xludf.DUMMYFUNCTION("""COMPUTED_VALUE"""),"RN127DH")</f>
        <v>RN127DH</v>
      </c>
      <c r="B14151" s="226" t="str">
        <f>IFERROR(__xludf.DUMMYFUNCTION("""COMPUTED_VALUE"""),"8717323053102")</f>
        <v>8717323053102</v>
      </c>
      <c r="C14151" t="str">
        <f>IFERROR(__xludf.DUMMYFUNCTION("""COMPUTED_VALUE"""),"ECS")</f>
        <v>ECS</v>
      </c>
    </row>
    <row r="14152">
      <c r="A14152" t="str">
        <f>IFERROR(__xludf.DUMMYFUNCTION("""COMPUTED_VALUE"""),"RN143BX")</f>
        <v>RN143BX</v>
      </c>
      <c r="B14152" s="226" t="str">
        <f>IFERROR(__xludf.DUMMYFUNCTION("""COMPUTED_VALUE"""),"8717323062715")</f>
        <v>8717323062715</v>
      </c>
      <c r="C14152" t="str">
        <f>IFERROR(__xludf.DUMMYFUNCTION("""COMPUTED_VALUE"""),"ECS")</f>
        <v>ECS</v>
      </c>
    </row>
    <row r="14153">
      <c r="A14153" t="str">
        <f>IFERROR(__xludf.DUMMYFUNCTION("""COMPUTED_VALUE"""),"RN143DX")</f>
        <v>RN143DX</v>
      </c>
      <c r="B14153" s="226" t="str">
        <f>IFERROR(__xludf.DUMMYFUNCTION("""COMPUTED_VALUE"""),"8717323062722")</f>
        <v>8717323062722</v>
      </c>
      <c r="C14153" t="str">
        <f>IFERROR(__xludf.DUMMYFUNCTION("""COMPUTED_VALUE"""),"ECS")</f>
        <v>ECS</v>
      </c>
    </row>
    <row r="14154">
      <c r="A14154" t="str">
        <f>IFERROR(__xludf.DUMMYFUNCTION("""COMPUTED_VALUE"""),"MB079BB")</f>
        <v>MB079BB</v>
      </c>
      <c r="B14154" s="226" t="str">
        <f>IFERROR(__xludf.DUMMYFUNCTION("""COMPUTED_VALUE"""),"8717323045268")</f>
        <v>8717323045268</v>
      </c>
      <c r="C14154" t="str">
        <f>IFERROR(__xludf.DUMMYFUNCTION("""COMPUTED_VALUE"""),"ECS")</f>
        <v>ECS</v>
      </c>
    </row>
    <row r="14155">
      <c r="A14155" t="str">
        <f>IFERROR(__xludf.DUMMYFUNCTION("""COMPUTED_VALUE"""),"MB094BL")</f>
        <v>MB094BL</v>
      </c>
      <c r="B14155" s="226" t="str">
        <f>IFERROR(__xludf.DUMMYFUNCTION("""COMPUTED_VALUE"""),"8717323069554")</f>
        <v>8717323069554</v>
      </c>
      <c r="C14155" t="str">
        <f>IFERROR(__xludf.DUMMYFUNCTION("""COMPUTED_VALUE"""),"ECS")</f>
        <v>ECS</v>
      </c>
    </row>
    <row r="14156">
      <c r="A14156" t="str">
        <f>IFERROR(__xludf.DUMMYFUNCTION("""COMPUTED_VALUE"""),"MB094DL")</f>
        <v>MB094DL</v>
      </c>
      <c r="B14156" s="226" t="str">
        <f>IFERROR(__xludf.DUMMYFUNCTION("""COMPUTED_VALUE"""),"8717323069561")</f>
        <v>8717323069561</v>
      </c>
      <c r="C14156" t="str">
        <f>IFERROR(__xludf.DUMMYFUNCTION("""COMPUTED_VALUE"""),"ECS")</f>
        <v>ECS</v>
      </c>
    </row>
    <row r="14157">
      <c r="A14157" t="str">
        <f>IFERROR(__xludf.DUMMYFUNCTION("""COMPUTED_VALUE"""),"RN123DL")</f>
        <v>RN123DL</v>
      </c>
      <c r="B14157" s="226" t="str">
        <f>IFERROR(__xludf.DUMMYFUNCTION("""COMPUTED_VALUE"""),"8717323047941")</f>
        <v>8717323047941</v>
      </c>
      <c r="C14157" t="str">
        <f>IFERROR(__xludf.DUMMYFUNCTION("""COMPUTED_VALUE"""),"ECS")</f>
        <v>ECS</v>
      </c>
    </row>
    <row r="14158">
      <c r="A14158" t="str">
        <f>IFERROR(__xludf.DUMMYFUNCTION("""COMPUTED_VALUE"""),"RN072BQ")</f>
        <v>RN072BQ</v>
      </c>
      <c r="B14158" s="226" t="str">
        <f>IFERROR(__xludf.DUMMYFUNCTION("""COMPUTED_VALUE"""),"8717323023167")</f>
        <v>8717323023167</v>
      </c>
      <c r="C14158" t="str">
        <f>IFERROR(__xludf.DUMMYFUNCTION("""COMPUTED_VALUE"""),"ECS")</f>
        <v>ECS</v>
      </c>
    </row>
    <row r="14159">
      <c r="A14159" t="str">
        <f>IFERROR(__xludf.DUMMYFUNCTION("""COMPUTED_VALUE"""),"RN072DB")</f>
        <v>RN072DB</v>
      </c>
      <c r="B14159" s="226" t="str">
        <f>IFERROR(__xludf.DUMMYFUNCTION("""COMPUTED_VALUE"""),"8717323021019")</f>
        <v>8717323021019</v>
      </c>
      <c r="C14159" t="str">
        <f>IFERROR(__xludf.DUMMYFUNCTION("""COMPUTED_VALUE"""),"ECS")</f>
        <v>ECS</v>
      </c>
    </row>
    <row r="14160">
      <c r="A14160" t="str">
        <f>IFERROR(__xludf.DUMMYFUNCTION("""COMPUTED_VALUE"""),"RN072DL")</f>
        <v>RN072DL</v>
      </c>
      <c r="B14160" s="226" t="str">
        <f>IFERROR(__xludf.DUMMYFUNCTION("""COMPUTED_VALUE"""),"8717323021026")</f>
        <v>8717323021026</v>
      </c>
      <c r="C14160" t="str">
        <f>IFERROR(__xludf.DUMMYFUNCTION("""COMPUTED_VALUE"""),"ECS")</f>
        <v>ECS</v>
      </c>
    </row>
    <row r="14161">
      <c r="A14161" t="str">
        <f>IFERROR(__xludf.DUMMYFUNCTION("""COMPUTED_VALUE"""),"RN072BQ")</f>
        <v>RN072BQ</v>
      </c>
      <c r="B14161" s="226" t="str">
        <f>IFERROR(__xludf.DUMMYFUNCTION("""COMPUTED_VALUE"""),"8717323023167")</f>
        <v>8717323023167</v>
      </c>
      <c r="C14161" t="str">
        <f>IFERROR(__xludf.DUMMYFUNCTION("""COMPUTED_VALUE"""),"ECS")</f>
        <v>ECS</v>
      </c>
    </row>
    <row r="14162">
      <c r="A14162" t="str">
        <f>IFERROR(__xludf.DUMMYFUNCTION("""COMPUTED_VALUE"""),"RN072DB")</f>
        <v>RN072DB</v>
      </c>
      <c r="B14162" s="226" t="str">
        <f>IFERROR(__xludf.DUMMYFUNCTION("""COMPUTED_VALUE"""),"8717323021019")</f>
        <v>8717323021019</v>
      </c>
      <c r="C14162" t="str">
        <f>IFERROR(__xludf.DUMMYFUNCTION("""COMPUTED_VALUE"""),"ECS")</f>
        <v>ECS</v>
      </c>
    </row>
    <row r="14163">
      <c r="A14163" t="str">
        <f>IFERROR(__xludf.DUMMYFUNCTION("""COMPUTED_VALUE"""),"RN072DL")</f>
        <v>RN072DL</v>
      </c>
      <c r="B14163" s="226" t="str">
        <f>IFERROR(__xludf.DUMMYFUNCTION("""COMPUTED_VALUE"""),"8717323021026")</f>
        <v>8717323021026</v>
      </c>
      <c r="C14163" t="str">
        <f>IFERROR(__xludf.DUMMYFUNCTION("""COMPUTED_VALUE"""),"ECS")</f>
        <v>ECS</v>
      </c>
    </row>
    <row r="14164">
      <c r="A14164" t="str">
        <f>IFERROR(__xludf.DUMMYFUNCTION("""COMPUTED_VALUE"""),"RN044BB")</f>
        <v>RN044BB</v>
      </c>
      <c r="B14164" s="226" t="str">
        <f>IFERROR(__xludf.DUMMYFUNCTION("""COMPUTED_VALUE"""),"8717323009864")</f>
        <v>8717323009864</v>
      </c>
      <c r="C14164" t="str">
        <f>IFERROR(__xludf.DUMMYFUNCTION("""COMPUTED_VALUE"""),"ECS")</f>
        <v>ECS</v>
      </c>
    </row>
    <row r="14165">
      <c r="A14165" t="str">
        <f>IFERROR(__xludf.DUMMYFUNCTION("""COMPUTED_VALUE"""),"RN044BL")</f>
        <v>RN044BL</v>
      </c>
      <c r="B14165" s="226" t="str">
        <f>IFERROR(__xludf.DUMMYFUNCTION("""COMPUTED_VALUE"""),"8717323020920")</f>
        <v>8717323020920</v>
      </c>
      <c r="C14165" t="str">
        <f>IFERROR(__xludf.DUMMYFUNCTION("""COMPUTED_VALUE"""),"ECS")</f>
        <v>ECS</v>
      </c>
    </row>
    <row r="14166">
      <c r="A14166" t="str">
        <f>IFERROR(__xludf.DUMMYFUNCTION("""COMPUTED_VALUE"""),"RN044DB")</f>
        <v>RN044DB</v>
      </c>
      <c r="B14166" s="226" t="str">
        <f>IFERROR(__xludf.DUMMYFUNCTION("""COMPUTED_VALUE"""),"8717323009871")</f>
        <v>8717323009871</v>
      </c>
      <c r="C14166" t="str">
        <f>IFERROR(__xludf.DUMMYFUNCTION("""COMPUTED_VALUE"""),"ECS")</f>
        <v>ECS</v>
      </c>
    </row>
    <row r="14167">
      <c r="A14167" t="str">
        <f>IFERROR(__xludf.DUMMYFUNCTION("""COMPUTED_VALUE"""),"RN044DL")</f>
        <v>RN044DL</v>
      </c>
      <c r="B14167" s="226" t="str">
        <f>IFERROR(__xludf.DUMMYFUNCTION("""COMPUTED_VALUE"""),"8717323020937")</f>
        <v>8717323020937</v>
      </c>
      <c r="C14167" t="str">
        <f>IFERROR(__xludf.DUMMYFUNCTION("""COMPUTED_VALUE"""),"ECS")</f>
        <v>ECS</v>
      </c>
    </row>
    <row r="14168">
      <c r="A14168" t="str">
        <f>IFERROR(__xludf.DUMMYFUNCTION("""COMPUTED_VALUE"""),"RN085BB")</f>
        <v>RN085BB</v>
      </c>
      <c r="B14168" s="226" t="str">
        <f>IFERROR(__xludf.DUMMYFUNCTION("""COMPUTED_VALUE"""),"8717323023297")</f>
        <v>8717323023297</v>
      </c>
      <c r="C14168" t="str">
        <f>IFERROR(__xludf.DUMMYFUNCTION("""COMPUTED_VALUE"""),"ECS")</f>
        <v>ECS</v>
      </c>
    </row>
    <row r="14169">
      <c r="A14169" t="str">
        <f>IFERROR(__xludf.DUMMYFUNCTION("""COMPUTED_VALUE"""),"RN085BH")</f>
        <v>RN085BH</v>
      </c>
      <c r="B14169" s="226" t="str">
        <f>IFERROR(__xludf.DUMMYFUNCTION("""COMPUTED_VALUE"""),"8717323027042")</f>
        <v>8717323027042</v>
      </c>
      <c r="C14169" t="str">
        <f>IFERROR(__xludf.DUMMYFUNCTION("""COMPUTED_VALUE"""),"ECS")</f>
        <v>ECS</v>
      </c>
    </row>
    <row r="14170">
      <c r="A14170" t="str">
        <f>IFERROR(__xludf.DUMMYFUNCTION("""COMPUTED_VALUE"""),"RN085DH")</f>
        <v>RN085DH</v>
      </c>
      <c r="B14170" s="226" t="str">
        <f>IFERROR(__xludf.DUMMYFUNCTION("""COMPUTED_VALUE"""),"8717323023303")</f>
        <v>8717323023303</v>
      </c>
      <c r="C14170" t="str">
        <f>IFERROR(__xludf.DUMMYFUNCTION("""COMPUTED_VALUE"""),"ECS")</f>
        <v>ECS</v>
      </c>
    </row>
    <row r="14171">
      <c r="A14171" t="str">
        <f>IFERROR(__xludf.DUMMYFUNCTION("""COMPUTED_VALUE"""),"RN124BB")</f>
        <v>RN124BB</v>
      </c>
      <c r="B14171" s="226" t="str">
        <f>IFERROR(__xludf.DUMMYFUNCTION("""COMPUTED_VALUE"""),"8717323048993")</f>
        <v>8717323048993</v>
      </c>
      <c r="C14171" t="str">
        <f>IFERROR(__xludf.DUMMYFUNCTION("""COMPUTED_VALUE"""),"ECS")</f>
        <v>ECS</v>
      </c>
    </row>
    <row r="14172">
      <c r="A14172" t="str">
        <f>IFERROR(__xludf.DUMMYFUNCTION("""COMPUTED_VALUE"""),"RN124DH")</f>
        <v>RN124DH</v>
      </c>
      <c r="B14172" s="226" t="str">
        <f>IFERROR(__xludf.DUMMYFUNCTION("""COMPUTED_VALUE"""),"8717323049006")</f>
        <v>8717323049006</v>
      </c>
      <c r="C14172" t="str">
        <f>IFERROR(__xludf.DUMMYFUNCTION("""COMPUTED_VALUE"""),"ECS")</f>
        <v>ECS</v>
      </c>
    </row>
    <row r="14173">
      <c r="A14173" t="str">
        <f>IFERROR(__xludf.DUMMYFUNCTION("""COMPUTED_VALUE"""),"RN143BX")</f>
        <v>RN143BX</v>
      </c>
      <c r="B14173" s="226" t="str">
        <f>IFERROR(__xludf.DUMMYFUNCTION("""COMPUTED_VALUE"""),"8717323062715")</f>
        <v>8717323062715</v>
      </c>
      <c r="C14173" t="str">
        <f>IFERROR(__xludf.DUMMYFUNCTION("""COMPUTED_VALUE"""),"ECS")</f>
        <v>ECS</v>
      </c>
    </row>
    <row r="14174">
      <c r="A14174" t="str">
        <f>IFERROR(__xludf.DUMMYFUNCTION("""COMPUTED_VALUE"""),"RN143DX")</f>
        <v>RN143DX</v>
      </c>
      <c r="B14174" s="226" t="str">
        <f>IFERROR(__xludf.DUMMYFUNCTION("""COMPUTED_VALUE"""),"8717323062722")</f>
        <v>8717323062722</v>
      </c>
      <c r="C14174" t="str">
        <f>IFERROR(__xludf.DUMMYFUNCTION("""COMPUTED_VALUE"""),"ECS")</f>
        <v>ECS</v>
      </c>
    </row>
    <row r="14175">
      <c r="A14175" t="str">
        <f>IFERROR(__xludf.DUMMYFUNCTION("""COMPUTED_VALUE"""),"RN143BX")</f>
        <v>RN143BX</v>
      </c>
      <c r="B14175" s="226" t="str">
        <f>IFERROR(__xludf.DUMMYFUNCTION("""COMPUTED_VALUE"""),"8717323062715")</f>
        <v>8717323062715</v>
      </c>
      <c r="C14175" t="str">
        <f>IFERROR(__xludf.DUMMYFUNCTION("""COMPUTED_VALUE"""),"ECS")</f>
        <v>ECS</v>
      </c>
    </row>
    <row r="14176">
      <c r="A14176" t="str">
        <f>IFERROR(__xludf.DUMMYFUNCTION("""COMPUTED_VALUE"""),"RN143DX")</f>
        <v>RN143DX</v>
      </c>
      <c r="B14176" s="226" t="str">
        <f>IFERROR(__xludf.DUMMYFUNCTION("""COMPUTED_VALUE"""),"8717323062722")</f>
        <v>8717323062722</v>
      </c>
      <c r="C14176" t="str">
        <f>IFERROR(__xludf.DUMMYFUNCTION("""COMPUTED_VALUE"""),"ECS")</f>
        <v>ECS</v>
      </c>
    </row>
    <row r="14177">
      <c r="A14177" t="str">
        <f>IFERROR(__xludf.DUMMYFUNCTION("""COMPUTED_VALUE"""),"RN001BB")</f>
        <v>RN001BB</v>
      </c>
      <c r="B14177" s="226" t="str">
        <f>IFERROR(__xludf.DUMMYFUNCTION("""COMPUTED_VALUE"""),"8717323006290")</f>
        <v>8717323006290</v>
      </c>
      <c r="C14177" t="str">
        <f>IFERROR(__xludf.DUMMYFUNCTION("""COMPUTED_VALUE"""),"ECS")</f>
        <v>ECS</v>
      </c>
    </row>
    <row r="14178">
      <c r="A14178" t="str">
        <f>IFERROR(__xludf.DUMMYFUNCTION("""COMPUTED_VALUE"""),"RN001DB")</f>
        <v>RN001DB</v>
      </c>
      <c r="B14178" s="226" t="str">
        <f>IFERROR(__xludf.DUMMYFUNCTION("""COMPUTED_VALUE"""),"8717323006306")</f>
        <v>8717323006306</v>
      </c>
      <c r="C14178" t="str">
        <f>IFERROR(__xludf.DUMMYFUNCTION("""COMPUTED_VALUE"""),"ECS")</f>
        <v>ECS</v>
      </c>
    </row>
    <row r="14179">
      <c r="A14179" t="str">
        <f>IFERROR(__xludf.DUMMYFUNCTION("""COMPUTED_VALUE"""),"RN075BB")</f>
        <v>RN075BB</v>
      </c>
      <c r="B14179" s="226" t="str">
        <f>IFERROR(__xludf.DUMMYFUNCTION("""COMPUTED_VALUE"""),"8717323016541")</f>
        <v>8717323016541</v>
      </c>
      <c r="C14179" t="str">
        <f>IFERROR(__xludf.DUMMYFUNCTION("""COMPUTED_VALUE"""),"ECS")</f>
        <v>ECS</v>
      </c>
    </row>
    <row r="14180">
      <c r="A14180" t="str">
        <f>IFERROR(__xludf.DUMMYFUNCTION("""COMPUTED_VALUE"""),"RN075BL")</f>
        <v>RN075BL</v>
      </c>
      <c r="B14180" s="226" t="str">
        <f>IFERROR(__xludf.DUMMYFUNCTION("""COMPUTED_VALUE"""),"8717323016558")</f>
        <v>8717323016558</v>
      </c>
      <c r="C14180" t="str">
        <f>IFERROR(__xludf.DUMMYFUNCTION("""COMPUTED_VALUE"""),"ECS")</f>
        <v>ECS</v>
      </c>
    </row>
    <row r="14181">
      <c r="A14181" t="str">
        <f>IFERROR(__xludf.DUMMYFUNCTION("""COMPUTED_VALUE"""),"RN075DL")</f>
        <v>RN075DL</v>
      </c>
      <c r="B14181" s="226" t="str">
        <f>IFERROR(__xludf.DUMMYFUNCTION("""COMPUTED_VALUE"""),"8717323016565")</f>
        <v>8717323016565</v>
      </c>
      <c r="C14181" t="str">
        <f>IFERROR(__xludf.DUMMYFUNCTION("""COMPUTED_VALUE"""),"ECS")</f>
        <v>ECS</v>
      </c>
    </row>
    <row r="14182">
      <c r="A14182" t="str">
        <f>IFERROR(__xludf.DUMMYFUNCTION("""COMPUTED_VALUE"""),"MB079BB")</f>
        <v>MB079BB</v>
      </c>
      <c r="B14182" s="226" t="str">
        <f>IFERROR(__xludf.DUMMYFUNCTION("""COMPUTED_VALUE"""),"8717323045268")</f>
        <v>8717323045268</v>
      </c>
      <c r="C14182" t="str">
        <f>IFERROR(__xludf.DUMMYFUNCTION("""COMPUTED_VALUE"""),"ECS")</f>
        <v>ECS</v>
      </c>
    </row>
    <row r="14183">
      <c r="A14183" t="str">
        <f>IFERROR(__xludf.DUMMYFUNCTION("""COMPUTED_VALUE"""),"MB094BL")</f>
        <v>MB094BL</v>
      </c>
      <c r="B14183" s="226" t="str">
        <f>IFERROR(__xludf.DUMMYFUNCTION("""COMPUTED_VALUE"""),"8717323069554")</f>
        <v>8717323069554</v>
      </c>
      <c r="C14183" t="str">
        <f>IFERROR(__xludf.DUMMYFUNCTION("""COMPUTED_VALUE"""),"ECS")</f>
        <v>ECS</v>
      </c>
    </row>
    <row r="14184">
      <c r="A14184" t="str">
        <f>IFERROR(__xludf.DUMMYFUNCTION("""COMPUTED_VALUE"""),"MB094DL")</f>
        <v>MB094DL</v>
      </c>
      <c r="B14184" s="226" t="str">
        <f>IFERROR(__xludf.DUMMYFUNCTION("""COMPUTED_VALUE"""),"8717323069561")</f>
        <v>8717323069561</v>
      </c>
      <c r="C14184" t="str">
        <f>IFERROR(__xludf.DUMMYFUNCTION("""COMPUTED_VALUE"""),"ECS")</f>
        <v>ECS</v>
      </c>
    </row>
    <row r="14185">
      <c r="A14185" t="str">
        <f>IFERROR(__xludf.DUMMYFUNCTION("""COMPUTED_VALUE"""),"RN123DL")</f>
        <v>RN123DL</v>
      </c>
      <c r="B14185" s="226" t="str">
        <f>IFERROR(__xludf.DUMMYFUNCTION("""COMPUTED_VALUE"""),"8717323047941")</f>
        <v>8717323047941</v>
      </c>
      <c r="C14185" t="str">
        <f>IFERROR(__xludf.DUMMYFUNCTION("""COMPUTED_VALUE"""),"ECS")</f>
        <v>ECS</v>
      </c>
    </row>
    <row r="14186">
      <c r="A14186" t="str">
        <f>IFERROR(__xludf.DUMMYFUNCTION("""COMPUTED_VALUE"""),"MB079BB")</f>
        <v>MB079BB</v>
      </c>
      <c r="B14186" s="226" t="str">
        <f>IFERROR(__xludf.DUMMYFUNCTION("""COMPUTED_VALUE"""),"8717323045268")</f>
        <v>8717323045268</v>
      </c>
      <c r="C14186" t="str">
        <f>IFERROR(__xludf.DUMMYFUNCTION("""COMPUTED_VALUE"""),"ECS")</f>
        <v>ECS</v>
      </c>
    </row>
    <row r="14187">
      <c r="A14187" t="str">
        <f>IFERROR(__xludf.DUMMYFUNCTION("""COMPUTED_VALUE"""),"MB094BL")</f>
        <v>MB094BL</v>
      </c>
      <c r="B14187" s="226" t="str">
        <f>IFERROR(__xludf.DUMMYFUNCTION("""COMPUTED_VALUE"""),"8717323069554")</f>
        <v>8717323069554</v>
      </c>
      <c r="C14187" t="str">
        <f>IFERROR(__xludf.DUMMYFUNCTION("""COMPUTED_VALUE"""),"ECS")</f>
        <v>ECS</v>
      </c>
    </row>
    <row r="14188">
      <c r="A14188" t="str">
        <f>IFERROR(__xludf.DUMMYFUNCTION("""COMPUTED_VALUE"""),"MB094DL")</f>
        <v>MB094DL</v>
      </c>
      <c r="B14188" s="226" t="str">
        <f>IFERROR(__xludf.DUMMYFUNCTION("""COMPUTED_VALUE"""),"8717323069561")</f>
        <v>8717323069561</v>
      </c>
      <c r="C14188" t="str">
        <f>IFERROR(__xludf.DUMMYFUNCTION("""COMPUTED_VALUE"""),"ECS")</f>
        <v>ECS</v>
      </c>
    </row>
    <row r="14189">
      <c r="A14189" t="str">
        <f>IFERROR(__xludf.DUMMYFUNCTION("""COMPUTED_VALUE"""),"RN123DL")</f>
        <v>RN123DL</v>
      </c>
      <c r="B14189" s="226" t="str">
        <f>IFERROR(__xludf.DUMMYFUNCTION("""COMPUTED_VALUE"""),"8717323047941")</f>
        <v>8717323047941</v>
      </c>
      <c r="C14189" t="str">
        <f>IFERROR(__xludf.DUMMYFUNCTION("""COMPUTED_VALUE"""),"ECS")</f>
        <v>ECS</v>
      </c>
    </row>
    <row r="14190">
      <c r="A14190" t="str">
        <f>IFERROR(__xludf.DUMMYFUNCTION("""COMPUTED_VALUE"""),"MB079BB")</f>
        <v>MB079BB</v>
      </c>
      <c r="B14190" s="226" t="str">
        <f>IFERROR(__xludf.DUMMYFUNCTION("""COMPUTED_VALUE"""),"8717323045268")</f>
        <v>8717323045268</v>
      </c>
      <c r="C14190" t="str">
        <f>IFERROR(__xludf.DUMMYFUNCTION("""COMPUTED_VALUE"""),"ECS")</f>
        <v>ECS</v>
      </c>
    </row>
    <row r="14191">
      <c r="A14191" t="str">
        <f>IFERROR(__xludf.DUMMYFUNCTION("""COMPUTED_VALUE"""),"MB094BL")</f>
        <v>MB094BL</v>
      </c>
      <c r="B14191" s="226" t="str">
        <f>IFERROR(__xludf.DUMMYFUNCTION("""COMPUTED_VALUE"""),"8717323069554")</f>
        <v>8717323069554</v>
      </c>
      <c r="C14191" t="str">
        <f>IFERROR(__xludf.DUMMYFUNCTION("""COMPUTED_VALUE"""),"ECS")</f>
        <v>ECS</v>
      </c>
    </row>
    <row r="14192">
      <c r="A14192" t="str">
        <f>IFERROR(__xludf.DUMMYFUNCTION("""COMPUTED_VALUE"""),"MB094DL")</f>
        <v>MB094DL</v>
      </c>
      <c r="B14192" s="226" t="str">
        <f>IFERROR(__xludf.DUMMYFUNCTION("""COMPUTED_VALUE"""),"8717323069561")</f>
        <v>8717323069561</v>
      </c>
      <c r="C14192" t="str">
        <f>IFERROR(__xludf.DUMMYFUNCTION("""COMPUTED_VALUE"""),"ECS")</f>
        <v>ECS</v>
      </c>
    </row>
    <row r="14193">
      <c r="A14193" t="str">
        <f>IFERROR(__xludf.DUMMYFUNCTION("""COMPUTED_VALUE"""),"RN123DL")</f>
        <v>RN123DL</v>
      </c>
      <c r="B14193" s="226" t="str">
        <f>IFERROR(__xludf.DUMMYFUNCTION("""COMPUTED_VALUE"""),"8717323047941")</f>
        <v>8717323047941</v>
      </c>
      <c r="C14193" t="str">
        <f>IFERROR(__xludf.DUMMYFUNCTION("""COMPUTED_VALUE"""),"ECS")</f>
        <v>ECS</v>
      </c>
    </row>
    <row r="14194">
      <c r="A14194" t="str">
        <f>IFERROR(__xludf.DUMMYFUNCTION("""COMPUTED_VALUE"""),"MB079BB")</f>
        <v>MB079BB</v>
      </c>
      <c r="B14194" s="226" t="str">
        <f>IFERROR(__xludf.DUMMYFUNCTION("""COMPUTED_VALUE"""),"8717323045268")</f>
        <v>8717323045268</v>
      </c>
      <c r="C14194" t="str">
        <f>IFERROR(__xludf.DUMMYFUNCTION("""COMPUTED_VALUE"""),"ECS")</f>
        <v>ECS</v>
      </c>
    </row>
    <row r="14195">
      <c r="A14195" t="str">
        <f>IFERROR(__xludf.DUMMYFUNCTION("""COMPUTED_VALUE"""),"MB094BL")</f>
        <v>MB094BL</v>
      </c>
      <c r="B14195" s="226" t="str">
        <f>IFERROR(__xludf.DUMMYFUNCTION("""COMPUTED_VALUE"""),"8717323069554")</f>
        <v>8717323069554</v>
      </c>
      <c r="C14195" t="str">
        <f>IFERROR(__xludf.DUMMYFUNCTION("""COMPUTED_VALUE"""),"ECS")</f>
        <v>ECS</v>
      </c>
    </row>
    <row r="14196">
      <c r="A14196" t="str">
        <f>IFERROR(__xludf.DUMMYFUNCTION("""COMPUTED_VALUE"""),"MB094DL")</f>
        <v>MB094DL</v>
      </c>
      <c r="B14196" s="226" t="str">
        <f>IFERROR(__xludf.DUMMYFUNCTION("""COMPUTED_VALUE"""),"8717323069561")</f>
        <v>8717323069561</v>
      </c>
      <c r="C14196" t="str">
        <f>IFERROR(__xludf.DUMMYFUNCTION("""COMPUTED_VALUE"""),"ECS")</f>
        <v>ECS</v>
      </c>
    </row>
    <row r="14197">
      <c r="A14197" t="str">
        <f>IFERROR(__xludf.DUMMYFUNCTION("""COMPUTED_VALUE"""),"RN123DL")</f>
        <v>RN123DL</v>
      </c>
      <c r="B14197" s="226" t="str">
        <f>IFERROR(__xludf.DUMMYFUNCTION("""COMPUTED_VALUE"""),"8717323047941")</f>
        <v>8717323047941</v>
      </c>
      <c r="C14197" t="str">
        <f>IFERROR(__xludf.DUMMYFUNCTION("""COMPUTED_VALUE"""),"ECS")</f>
        <v>ECS</v>
      </c>
    </row>
    <row r="14198">
      <c r="A14198" t="str">
        <f>IFERROR(__xludf.DUMMYFUNCTION("""COMPUTED_VALUE"""),"RN082BB")</f>
        <v>RN082BB</v>
      </c>
      <c r="B14198" s="226" t="str">
        <f>IFERROR(__xludf.DUMMYFUNCTION("""COMPUTED_VALUE"""),"8717323029558")</f>
        <v>8717323029558</v>
      </c>
      <c r="C14198" t="str">
        <f>IFERROR(__xludf.DUMMYFUNCTION("""COMPUTED_VALUE"""),"ECS")</f>
        <v>ECS</v>
      </c>
    </row>
    <row r="14199">
      <c r="A14199" t="str">
        <f>IFERROR(__xludf.DUMMYFUNCTION("""COMPUTED_VALUE"""),"RN082DH")</f>
        <v>RN082DH</v>
      </c>
      <c r="B14199" s="226" t="str">
        <f>IFERROR(__xludf.DUMMYFUNCTION("""COMPUTED_VALUE"""),"8717323024515")</f>
        <v>8717323024515</v>
      </c>
      <c r="C14199" t="str">
        <f>IFERROR(__xludf.DUMMYFUNCTION("""COMPUTED_VALUE"""),"ECS")</f>
        <v>ECS</v>
      </c>
    </row>
    <row r="14200">
      <c r="A14200" t="str">
        <f>IFERROR(__xludf.DUMMYFUNCTION("""COMPUTED_VALUE"""),"RN143BX")</f>
        <v>RN143BX</v>
      </c>
      <c r="B14200" s="226" t="str">
        <f>IFERROR(__xludf.DUMMYFUNCTION("""COMPUTED_VALUE"""),"8717323062715")</f>
        <v>8717323062715</v>
      </c>
      <c r="C14200" t="str">
        <f>IFERROR(__xludf.DUMMYFUNCTION("""COMPUTED_VALUE"""),"ECS")</f>
        <v>ECS</v>
      </c>
    </row>
    <row r="14201">
      <c r="A14201" t="str">
        <f>IFERROR(__xludf.DUMMYFUNCTION("""COMPUTED_VALUE"""),"RN143DX")</f>
        <v>RN143DX</v>
      </c>
      <c r="B14201" s="226" t="str">
        <f>IFERROR(__xludf.DUMMYFUNCTION("""COMPUTED_VALUE"""),"8717323062722")</f>
        <v>8717323062722</v>
      </c>
      <c r="C14201" t="str">
        <f>IFERROR(__xludf.DUMMYFUNCTION("""COMPUTED_VALUE"""),"ECS")</f>
        <v>ECS</v>
      </c>
    </row>
    <row r="14202">
      <c r="A14202" t="str">
        <f>IFERROR(__xludf.DUMMYFUNCTION("""COMPUTED_VALUE"""),"REN023B")</f>
        <v>REN023B</v>
      </c>
      <c r="B14202" s="226" t="str">
        <f>IFERROR(__xludf.DUMMYFUNCTION("""COMPUTED_VALUE"""),"8717323006122")</f>
        <v>8717323006122</v>
      </c>
      <c r="C14202" t="str">
        <f>IFERROR(__xludf.DUMMYFUNCTION("""COMPUTED_VALUE"""),"ECS")</f>
        <v>ECS</v>
      </c>
    </row>
    <row r="14203">
      <c r="A14203" t="str">
        <f>IFERROR(__xludf.DUMMYFUNCTION("""COMPUTED_VALUE"""),"RN077BB")</f>
        <v>RN077BB</v>
      </c>
      <c r="B14203" s="226" t="str">
        <f>IFERROR(__xludf.DUMMYFUNCTION("""COMPUTED_VALUE"""),"8717323022955")</f>
        <v>8717323022955</v>
      </c>
      <c r="C14203" t="str">
        <f>IFERROR(__xludf.DUMMYFUNCTION("""COMPUTED_VALUE"""),"ECS")</f>
        <v>ECS</v>
      </c>
    </row>
    <row r="14204">
      <c r="A14204" t="str">
        <f>IFERROR(__xludf.DUMMYFUNCTION("""COMPUTED_VALUE"""),"RN077DH")</f>
        <v>RN077DH</v>
      </c>
      <c r="B14204" s="226" t="str">
        <f>IFERROR(__xludf.DUMMYFUNCTION("""COMPUTED_VALUE"""),"8717323022962")</f>
        <v>8717323022962</v>
      </c>
      <c r="C14204" t="str">
        <f>IFERROR(__xludf.DUMMYFUNCTION("""COMPUTED_VALUE"""),"ECS")</f>
        <v>ECS</v>
      </c>
    </row>
    <row r="14205">
      <c r="A14205" t="str">
        <f>IFERROR(__xludf.DUMMYFUNCTION("""COMPUTED_VALUE"""),"RN060BB")</f>
        <v>RN060BB</v>
      </c>
      <c r="B14205" s="226" t="str">
        <f>IFERROR(__xludf.DUMMYFUNCTION("""COMPUTED_VALUE"""),"8717323011812")</f>
        <v>8717323011812</v>
      </c>
      <c r="C14205" t="str">
        <f>IFERROR(__xludf.DUMMYFUNCTION("""COMPUTED_VALUE"""),"ECS")</f>
        <v>ECS</v>
      </c>
    </row>
    <row r="14206">
      <c r="A14206" t="str">
        <f>IFERROR(__xludf.DUMMYFUNCTION("""COMPUTED_VALUE"""),"RN031BB")</f>
        <v>RN031BB</v>
      </c>
      <c r="B14206" s="226" t="str">
        <f>IFERROR(__xludf.DUMMYFUNCTION("""COMPUTED_VALUE"""),"8717323006498")</f>
        <v>8717323006498</v>
      </c>
      <c r="C14206" t="str">
        <f>IFERROR(__xludf.DUMMYFUNCTION("""COMPUTED_VALUE"""),"ECS")</f>
        <v>ECS</v>
      </c>
    </row>
    <row r="14207">
      <c r="A14207" t="str">
        <f>IFERROR(__xludf.DUMMYFUNCTION("""COMPUTED_VALUE"""),"RN031DB")</f>
        <v>RN031DB</v>
      </c>
      <c r="B14207" s="226" t="str">
        <f>IFERROR(__xludf.DUMMYFUNCTION("""COMPUTED_VALUE"""),"8717323006504")</f>
        <v>8717323006504</v>
      </c>
      <c r="C14207" t="str">
        <f>IFERROR(__xludf.DUMMYFUNCTION("""COMPUTED_VALUE"""),"ECS")</f>
        <v>ECS</v>
      </c>
    </row>
    <row r="14208">
      <c r="A14208" t="str">
        <f>IFERROR(__xludf.DUMMYFUNCTION("""COMPUTED_VALUE"""),"RN071BL")</f>
        <v>RN071BL</v>
      </c>
      <c r="B14208" s="226" t="str">
        <f>IFERROR(__xludf.DUMMYFUNCTION("""COMPUTED_VALUE"""),"8717323016169")</f>
        <v>8717323016169</v>
      </c>
      <c r="C14208" t="str">
        <f>IFERROR(__xludf.DUMMYFUNCTION("""COMPUTED_VALUE"""),"ECS")</f>
        <v>ECS</v>
      </c>
    </row>
    <row r="14209">
      <c r="A14209" t="str">
        <f>IFERROR(__xludf.DUMMYFUNCTION("""COMPUTED_VALUE"""),"RN071DL")</f>
        <v>RN071DL</v>
      </c>
      <c r="B14209" s="226" t="str">
        <f>IFERROR(__xludf.DUMMYFUNCTION("""COMPUTED_VALUE"""),"8717323016176")</f>
        <v>8717323016176</v>
      </c>
      <c r="C14209" t="str">
        <f>IFERROR(__xludf.DUMMYFUNCTION("""COMPUTED_VALUE"""),"ECS")</f>
        <v>ECS</v>
      </c>
    </row>
    <row r="14210">
      <c r="A14210" t="str">
        <f>IFERROR(__xludf.DUMMYFUNCTION("""COMPUTED_VALUE"""),"RN076BH")</f>
        <v>RN076BH</v>
      </c>
      <c r="B14210" s="226" t="str">
        <f>IFERROR(__xludf.DUMMYFUNCTION("""COMPUTED_VALUE"""),"8717323015858")</f>
        <v>8717323015858</v>
      </c>
      <c r="C14210" t="str">
        <f>IFERROR(__xludf.DUMMYFUNCTION("""COMPUTED_VALUE"""),"ECS")</f>
        <v>ECS</v>
      </c>
    </row>
    <row r="14211">
      <c r="A14211" t="str">
        <f>IFERROR(__xludf.DUMMYFUNCTION("""COMPUTED_VALUE"""),"RN076DH")</f>
        <v>RN076DH</v>
      </c>
      <c r="B14211" s="226" t="str">
        <f>IFERROR(__xludf.DUMMYFUNCTION("""COMPUTED_VALUE"""),"8717323015841")</f>
        <v>8717323015841</v>
      </c>
      <c r="C14211" t="str">
        <f>IFERROR(__xludf.DUMMYFUNCTION("""COMPUTED_VALUE"""),"ECS")</f>
        <v>ECS</v>
      </c>
    </row>
    <row r="14212">
      <c r="A14212" t="str">
        <f>IFERROR(__xludf.DUMMYFUNCTION("""COMPUTED_VALUE"""),"RN002BB")</f>
        <v>RN002BB</v>
      </c>
      <c r="B14212" s="226" t="str">
        <f>IFERROR(__xludf.DUMMYFUNCTION("""COMPUTED_VALUE"""),"8717323006313")</f>
        <v>8717323006313</v>
      </c>
      <c r="C14212" t="str">
        <f>IFERROR(__xludf.DUMMYFUNCTION("""COMPUTED_VALUE"""),"ECS")</f>
        <v>ECS</v>
      </c>
    </row>
    <row r="14213">
      <c r="A14213" t="str">
        <f>IFERROR(__xludf.DUMMYFUNCTION("""COMPUTED_VALUE"""),"RN057BB")</f>
        <v>RN057BB</v>
      </c>
      <c r="B14213" s="226" t="str">
        <f>IFERROR(__xludf.DUMMYFUNCTION("""COMPUTED_VALUE"""),"8717323010556")</f>
        <v>8717323010556</v>
      </c>
      <c r="C14213" t="str">
        <f>IFERROR(__xludf.DUMMYFUNCTION("""COMPUTED_VALUE"""),"ECS")</f>
        <v>ECS</v>
      </c>
    </row>
    <row r="14214">
      <c r="A14214" t="str">
        <f>IFERROR(__xludf.DUMMYFUNCTION("""COMPUTED_VALUE"""),"OP054BB")</f>
        <v>OP054BB</v>
      </c>
      <c r="B14214" s="226" t="str">
        <f>IFERROR(__xludf.DUMMYFUNCTION("""COMPUTED_VALUE"""),"8717323026403")</f>
        <v>8717323026403</v>
      </c>
      <c r="C14214" t="str">
        <f>IFERROR(__xludf.DUMMYFUNCTION("""COMPUTED_VALUE"""),"ECS")</f>
        <v>ECS</v>
      </c>
    </row>
    <row r="14215">
      <c r="A14215" t="str">
        <f>IFERROR(__xludf.DUMMYFUNCTION("""COMPUTED_VALUE"""),"OP054DB")</f>
        <v>OP054DB</v>
      </c>
      <c r="B14215" s="226" t="str">
        <f>IFERROR(__xludf.DUMMYFUNCTION("""COMPUTED_VALUE"""),"8717323056219")</f>
        <v>8717323056219</v>
      </c>
      <c r="C14215" t="str">
        <f>IFERROR(__xludf.DUMMYFUNCTION("""COMPUTED_VALUE"""),"ECS")</f>
        <v>ECS</v>
      </c>
    </row>
    <row r="14216">
      <c r="A14216" t="str">
        <f>IFERROR(__xludf.DUMMYFUNCTION("""COMPUTED_VALUE"""),"OP054DL")</f>
        <v>OP054DL</v>
      </c>
      <c r="B14216" s="226" t="str">
        <f>IFERROR(__xludf.DUMMYFUNCTION("""COMPUTED_VALUE"""),"8717323026267")</f>
        <v>8717323026267</v>
      </c>
      <c r="C14216" t="str">
        <f>IFERROR(__xludf.DUMMYFUNCTION("""COMPUTED_VALUE"""),"ECS")</f>
        <v>ECS</v>
      </c>
    </row>
    <row r="14217">
      <c r="A14217" t="str">
        <f>IFERROR(__xludf.DUMMYFUNCTION("""COMPUTED_VALUE"""),"OP056BB")</f>
        <v>OP056BB</v>
      </c>
      <c r="B14217" s="226" t="str">
        <f>IFERROR(__xludf.DUMMYFUNCTION("""COMPUTED_VALUE"""),"8717323024447")</f>
        <v>8717323024447</v>
      </c>
      <c r="C14217" t="str">
        <f>IFERROR(__xludf.DUMMYFUNCTION("""COMPUTED_VALUE"""),"ECS")</f>
        <v>ECS</v>
      </c>
    </row>
    <row r="14218">
      <c r="A14218" t="str">
        <f>IFERROR(__xludf.DUMMYFUNCTION("""COMPUTED_VALUE"""),"OP056BB")</f>
        <v>OP056BB</v>
      </c>
      <c r="B14218" s="226" t="str">
        <f>IFERROR(__xludf.DUMMYFUNCTION("""COMPUTED_VALUE"""),"8717323024447")</f>
        <v>8717323024447</v>
      </c>
      <c r="C14218" t="str">
        <f>IFERROR(__xludf.DUMMYFUNCTION("""COMPUTED_VALUE"""),"ECS")</f>
        <v>ECS</v>
      </c>
    </row>
    <row r="14219">
      <c r="A14219" t="str">
        <f>IFERROR(__xludf.DUMMYFUNCTION("""COMPUTED_VALUE"""),"OP056BL")</f>
        <v>OP056BL</v>
      </c>
      <c r="B14219" s="226" t="str">
        <f>IFERROR(__xludf.DUMMYFUNCTION("""COMPUTED_VALUE"""),"8717323023938")</f>
        <v>8717323023938</v>
      </c>
      <c r="C14219" t="str">
        <f>IFERROR(__xludf.DUMMYFUNCTION("""COMPUTED_VALUE"""),"ECS")</f>
        <v>ECS</v>
      </c>
    </row>
    <row r="14220">
      <c r="A14220" t="str">
        <f>IFERROR(__xludf.DUMMYFUNCTION("""COMPUTED_VALUE"""),"OP056BL")</f>
        <v>OP056BL</v>
      </c>
      <c r="B14220" s="226" t="str">
        <f>IFERROR(__xludf.DUMMYFUNCTION("""COMPUTED_VALUE"""),"8717323023938")</f>
        <v>8717323023938</v>
      </c>
      <c r="C14220" t="str">
        <f>IFERROR(__xludf.DUMMYFUNCTION("""COMPUTED_VALUE"""),"ECS")</f>
        <v>ECS</v>
      </c>
    </row>
    <row r="14221">
      <c r="A14221" t="str">
        <f>IFERROR(__xludf.DUMMYFUNCTION("""COMPUTED_VALUE"""),"OP056DL")</f>
        <v>OP056DL</v>
      </c>
      <c r="B14221" s="226" t="str">
        <f>IFERROR(__xludf.DUMMYFUNCTION("""COMPUTED_VALUE"""),"8717323024454")</f>
        <v>8717323024454</v>
      </c>
      <c r="C14221" t="str">
        <f>IFERROR(__xludf.DUMMYFUNCTION("""COMPUTED_VALUE"""),"ECS")</f>
        <v>ECS</v>
      </c>
    </row>
    <row r="14222">
      <c r="A14222" t="str">
        <f>IFERROR(__xludf.DUMMYFUNCTION("""COMPUTED_VALUE"""),"OP056DL")</f>
        <v>OP056DL</v>
      </c>
      <c r="B14222" s="226" t="str">
        <f>IFERROR(__xludf.DUMMYFUNCTION("""COMPUTED_VALUE"""),"8717323024454")</f>
        <v>8717323024454</v>
      </c>
      <c r="C14222" t="str">
        <f>IFERROR(__xludf.DUMMYFUNCTION("""COMPUTED_VALUE"""),"ECS")</f>
        <v>ECS</v>
      </c>
    </row>
    <row r="14223">
      <c r="A14223" t="str">
        <f>IFERROR(__xludf.DUMMYFUNCTION("""COMPUTED_VALUE"""),"RN009BB")</f>
        <v>RN009BB</v>
      </c>
      <c r="B14223" s="226" t="str">
        <f>IFERROR(__xludf.DUMMYFUNCTION("""COMPUTED_VALUE"""),"8717323006399")</f>
        <v>8717323006399</v>
      </c>
      <c r="C14223" t="str">
        <f>IFERROR(__xludf.DUMMYFUNCTION("""COMPUTED_VALUE"""),"ECS")</f>
        <v>ECS</v>
      </c>
    </row>
    <row r="14224">
      <c r="A14224" t="str">
        <f>IFERROR(__xludf.DUMMYFUNCTION("""COMPUTED_VALUE"""),"RN008BB")</f>
        <v>RN008BB</v>
      </c>
      <c r="B14224" s="226" t="str">
        <f>IFERROR(__xludf.DUMMYFUNCTION("""COMPUTED_VALUE"""),"8717323006375")</f>
        <v>8717323006375</v>
      </c>
      <c r="C14224" t="str">
        <f>IFERROR(__xludf.DUMMYFUNCTION("""COMPUTED_VALUE"""),"ECS")</f>
        <v>ECS</v>
      </c>
    </row>
    <row r="14225">
      <c r="A14225" t="str">
        <f>IFERROR(__xludf.DUMMYFUNCTION("""COMPUTED_VALUE"""),"RN066BB")</f>
        <v>RN066BB</v>
      </c>
      <c r="B14225" s="226" t="str">
        <f>IFERROR(__xludf.DUMMYFUNCTION("""COMPUTED_VALUE"""),"8717323013564")</f>
        <v>8717323013564</v>
      </c>
      <c r="C14225" t="str">
        <f>IFERROR(__xludf.DUMMYFUNCTION("""COMPUTED_VALUE"""),"ECS")</f>
        <v>ECS</v>
      </c>
    </row>
    <row r="14226">
      <c r="A14226" t="str">
        <f>IFERROR(__xludf.DUMMYFUNCTION("""COMPUTED_VALUE"""),"RN069BB")</f>
        <v>RN069BB</v>
      </c>
      <c r="B14226" s="226" t="str">
        <f>IFERROR(__xludf.DUMMYFUNCTION("""COMPUTED_VALUE"""),"8717323023143")</f>
        <v>8717323023143</v>
      </c>
      <c r="C14226" t="str">
        <f>IFERROR(__xludf.DUMMYFUNCTION("""COMPUTED_VALUE"""),"ECS")</f>
        <v>ECS</v>
      </c>
    </row>
    <row r="14227">
      <c r="A14227" t="str">
        <f>IFERROR(__xludf.DUMMYFUNCTION("""COMPUTED_VALUE"""),"RN069DL")</f>
        <v>RN069DL</v>
      </c>
      <c r="B14227" s="226" t="str">
        <f>IFERROR(__xludf.DUMMYFUNCTION("""COMPUTED_VALUE"""),"8717323020999")</f>
        <v>8717323020999</v>
      </c>
      <c r="C14227" t="str">
        <f>IFERROR(__xludf.DUMMYFUNCTION("""COMPUTED_VALUE"""),"ECS")</f>
        <v>ECS</v>
      </c>
    </row>
    <row r="14228">
      <c r="A14228" t="str">
        <f>IFERROR(__xludf.DUMMYFUNCTION("""COMPUTED_VALUE"""),"RN066BB")</f>
        <v>RN066BB</v>
      </c>
      <c r="B14228" s="226" t="str">
        <f>IFERROR(__xludf.DUMMYFUNCTION("""COMPUTED_VALUE"""),"8717323013564")</f>
        <v>8717323013564</v>
      </c>
      <c r="C14228" t="str">
        <f>IFERROR(__xludf.DUMMYFUNCTION("""COMPUTED_VALUE"""),"ECS")</f>
        <v>ECS</v>
      </c>
    </row>
    <row r="14229">
      <c r="A14229" t="str">
        <f>IFERROR(__xludf.DUMMYFUNCTION("""COMPUTED_VALUE"""),"RN069BB")</f>
        <v>RN069BB</v>
      </c>
      <c r="B14229" s="226" t="str">
        <f>IFERROR(__xludf.DUMMYFUNCTION("""COMPUTED_VALUE"""),"8717323023143")</f>
        <v>8717323023143</v>
      </c>
      <c r="C14229" t="str">
        <f>IFERROR(__xludf.DUMMYFUNCTION("""COMPUTED_VALUE"""),"ECS")</f>
        <v>ECS</v>
      </c>
    </row>
    <row r="14230">
      <c r="A14230" t="str">
        <f>IFERROR(__xludf.DUMMYFUNCTION("""COMPUTED_VALUE"""),"RN069DL")</f>
        <v>RN069DL</v>
      </c>
      <c r="B14230" s="226" t="str">
        <f>IFERROR(__xludf.DUMMYFUNCTION("""COMPUTED_VALUE"""),"8717323020999")</f>
        <v>8717323020999</v>
      </c>
      <c r="C14230" t="str">
        <f>IFERROR(__xludf.DUMMYFUNCTION("""COMPUTED_VALUE"""),"ECS")</f>
        <v>ECS</v>
      </c>
    </row>
    <row r="14231">
      <c r="A14231" t="str">
        <f>IFERROR(__xludf.DUMMYFUNCTION("""COMPUTED_VALUE"""),"RN046BB")</f>
        <v>RN046BB</v>
      </c>
      <c r="B14231" s="226" t="str">
        <f>IFERROR(__xludf.DUMMYFUNCTION("""COMPUTED_VALUE"""),"8717323011515")</f>
        <v>8717323011515</v>
      </c>
      <c r="C14231" t="str">
        <f>IFERROR(__xludf.DUMMYFUNCTION("""COMPUTED_VALUE"""),"ECS")</f>
        <v>ECS</v>
      </c>
    </row>
    <row r="14232">
      <c r="A14232" t="str">
        <f>IFERROR(__xludf.DUMMYFUNCTION("""COMPUTED_VALUE"""),"RN046DL")</f>
        <v>RN046DL</v>
      </c>
      <c r="B14232" s="226" t="str">
        <f>IFERROR(__xludf.DUMMYFUNCTION("""COMPUTED_VALUE"""),"8717323011539")</f>
        <v>8717323011539</v>
      </c>
      <c r="C14232" t="str">
        <f>IFERROR(__xludf.DUMMYFUNCTION("""COMPUTED_VALUE"""),"ECS")</f>
        <v>ECS</v>
      </c>
    </row>
    <row r="14233">
      <c r="A14233" t="str">
        <f>IFERROR(__xludf.DUMMYFUNCTION("""COMPUTED_VALUE"""),"RN049BB")</f>
        <v>RN049BB</v>
      </c>
      <c r="B14233" s="226" t="str">
        <f>IFERROR(__xludf.DUMMYFUNCTION("""COMPUTED_VALUE"""),"8717323010167")</f>
        <v>8717323010167</v>
      </c>
      <c r="C14233" t="str">
        <f>IFERROR(__xludf.DUMMYFUNCTION("""COMPUTED_VALUE"""),"ECS")</f>
        <v>ECS</v>
      </c>
    </row>
    <row r="14234">
      <c r="A14234" t="str">
        <f>IFERROR(__xludf.DUMMYFUNCTION("""COMPUTED_VALUE"""),"RN049DB")</f>
        <v>RN049DB</v>
      </c>
      <c r="B14234" s="226" t="str">
        <f>IFERROR(__xludf.DUMMYFUNCTION("""COMPUTED_VALUE"""),"8717323010174")</f>
        <v>8717323010174</v>
      </c>
      <c r="C14234" t="str">
        <f>IFERROR(__xludf.DUMMYFUNCTION("""COMPUTED_VALUE"""),"ECS")</f>
        <v>ECS</v>
      </c>
    </row>
    <row r="14235">
      <c r="A14235" t="str">
        <f>IFERROR(__xludf.DUMMYFUNCTION("""COMPUTED_VALUE"""),"RN050BB")</f>
        <v>RN050BB</v>
      </c>
      <c r="B14235" s="226" t="str">
        <f>IFERROR(__xludf.DUMMYFUNCTION("""COMPUTED_VALUE"""),"8717323009840")</f>
        <v>8717323009840</v>
      </c>
      <c r="C14235" t="str">
        <f>IFERROR(__xludf.DUMMYFUNCTION("""COMPUTED_VALUE"""),"ECS")</f>
        <v>ECS</v>
      </c>
    </row>
    <row r="14236">
      <c r="A14236" t="str">
        <f>IFERROR(__xludf.DUMMYFUNCTION("""COMPUTED_VALUE"""),"RN050BL")</f>
        <v>RN050BL</v>
      </c>
      <c r="B14236" s="226" t="str">
        <f>IFERROR(__xludf.DUMMYFUNCTION("""COMPUTED_VALUE"""),"8717323020968")</f>
        <v>8717323020968</v>
      </c>
      <c r="C14236" t="str">
        <f>IFERROR(__xludf.DUMMYFUNCTION("""COMPUTED_VALUE"""),"ECS")</f>
        <v>ECS</v>
      </c>
    </row>
    <row r="14237">
      <c r="A14237" t="str">
        <f>IFERROR(__xludf.DUMMYFUNCTION("""COMPUTED_VALUE"""),"RN050DL")</f>
        <v>RN050DL</v>
      </c>
      <c r="B14237" s="226" t="str">
        <f>IFERROR(__xludf.DUMMYFUNCTION("""COMPUTED_VALUE"""),"8717323023556")</f>
        <v>8717323023556</v>
      </c>
      <c r="C14237" t="str">
        <f>IFERROR(__xludf.DUMMYFUNCTION("""COMPUTED_VALUE"""),"ECS")</f>
        <v>ECS</v>
      </c>
    </row>
    <row r="14238">
      <c r="A14238" t="str">
        <f>IFERROR(__xludf.DUMMYFUNCTION("""COMPUTED_VALUE"""),"RN078BB")</f>
        <v>RN078BB</v>
      </c>
      <c r="B14238" s="226" t="str">
        <f>IFERROR(__xludf.DUMMYFUNCTION("""COMPUTED_VALUE"""),"8717323017586")</f>
        <v>8717323017586</v>
      </c>
      <c r="C14238" t="str">
        <f>IFERROR(__xludf.DUMMYFUNCTION("""COMPUTED_VALUE"""),"ECS")</f>
        <v>ECS</v>
      </c>
    </row>
    <row r="14239">
      <c r="A14239" t="str">
        <f>IFERROR(__xludf.DUMMYFUNCTION("""COMPUTED_VALUE"""),"RN078BH")</f>
        <v>RN078BH</v>
      </c>
      <c r="B14239" s="226" t="str">
        <f>IFERROR(__xludf.DUMMYFUNCTION("""COMPUTED_VALUE"""),"8717323029053")</f>
        <v>8717323029053</v>
      </c>
      <c r="C14239" t="str">
        <f>IFERROR(__xludf.DUMMYFUNCTION("""COMPUTED_VALUE"""),"ECS")</f>
        <v>ECS</v>
      </c>
    </row>
    <row r="14240">
      <c r="A14240" t="str">
        <f>IFERROR(__xludf.DUMMYFUNCTION("""COMPUTED_VALUE"""),"RN078DH")</f>
        <v>RN078DH</v>
      </c>
      <c r="B14240" s="226" t="str">
        <f>IFERROR(__xludf.DUMMYFUNCTION("""COMPUTED_VALUE"""),"8717323017593")</f>
        <v>8717323017593</v>
      </c>
      <c r="C14240" t="str">
        <f>IFERROR(__xludf.DUMMYFUNCTION("""COMPUTED_VALUE"""),"ECS")</f>
        <v>ECS</v>
      </c>
    </row>
    <row r="14241">
      <c r="A14241" t="str">
        <f>IFERROR(__xludf.DUMMYFUNCTION("""COMPUTED_VALUE"""),"RN079BB")</f>
        <v>RN079BB</v>
      </c>
      <c r="B14241" s="226" t="str">
        <f>IFERROR(__xludf.DUMMYFUNCTION("""COMPUTED_VALUE"""),"8717323022801")</f>
        <v>8717323022801</v>
      </c>
      <c r="C14241" t="str">
        <f>IFERROR(__xludf.DUMMYFUNCTION("""COMPUTED_VALUE"""),"ECS")</f>
        <v>ECS</v>
      </c>
    </row>
    <row r="14242">
      <c r="A14242" t="str">
        <f>IFERROR(__xludf.DUMMYFUNCTION("""COMPUTED_VALUE"""),"RN079BH")</f>
        <v>RN079BH</v>
      </c>
      <c r="B14242" s="226" t="str">
        <f>IFERROR(__xludf.DUMMYFUNCTION("""COMPUTED_VALUE"""),"8717323029718")</f>
        <v>8717323029718</v>
      </c>
      <c r="C14242" t="str">
        <f>IFERROR(__xludf.DUMMYFUNCTION("""COMPUTED_VALUE"""),"ECS")</f>
        <v>ECS</v>
      </c>
    </row>
    <row r="14243">
      <c r="A14243" t="str">
        <f>IFERROR(__xludf.DUMMYFUNCTION("""COMPUTED_VALUE"""),"RN079DH")</f>
        <v>RN079DH</v>
      </c>
      <c r="B14243" s="226" t="str">
        <f>IFERROR(__xludf.DUMMYFUNCTION("""COMPUTED_VALUE"""),"8717323022818")</f>
        <v>8717323022818</v>
      </c>
      <c r="C14243" t="str">
        <f>IFERROR(__xludf.DUMMYFUNCTION("""COMPUTED_VALUE"""),"ECS")</f>
        <v>ECS</v>
      </c>
    </row>
    <row r="14244">
      <c r="A14244" t="str">
        <f>IFERROR(__xludf.DUMMYFUNCTION("""COMPUTED_VALUE"""),"RN086BH")</f>
        <v>RN086BH</v>
      </c>
      <c r="B14244" s="226" t="str">
        <f>IFERROR(__xludf.DUMMYFUNCTION("""COMPUTED_VALUE"""),"8717323027066")</f>
        <v>8717323027066</v>
      </c>
      <c r="C14244" t="str">
        <f>IFERROR(__xludf.DUMMYFUNCTION("""COMPUTED_VALUE"""),"ECS")</f>
        <v>ECS</v>
      </c>
    </row>
    <row r="14245">
      <c r="A14245" t="str">
        <f>IFERROR(__xludf.DUMMYFUNCTION("""COMPUTED_VALUE"""),"RN086DH")</f>
        <v>RN086DH</v>
      </c>
      <c r="B14245" s="226" t="str">
        <f>IFERROR(__xludf.DUMMYFUNCTION("""COMPUTED_VALUE"""),"8717323022795")</f>
        <v>8717323022795</v>
      </c>
      <c r="C14245" t="str">
        <f>IFERROR(__xludf.DUMMYFUNCTION("""COMPUTED_VALUE"""),"ECS")</f>
        <v>ECS</v>
      </c>
    </row>
    <row r="14246">
      <c r="A14246" t="str">
        <f>IFERROR(__xludf.DUMMYFUNCTION("""COMPUTED_VALUE"""),"RN143BX")</f>
        <v>RN143BX</v>
      </c>
      <c r="B14246" s="226" t="str">
        <f>IFERROR(__xludf.DUMMYFUNCTION("""COMPUTED_VALUE"""),"8717323062715")</f>
        <v>8717323062715</v>
      </c>
      <c r="C14246" t="str">
        <f>IFERROR(__xludf.DUMMYFUNCTION("""COMPUTED_VALUE"""),"ECS")</f>
        <v>ECS</v>
      </c>
    </row>
    <row r="14247">
      <c r="A14247" t="str">
        <f>IFERROR(__xludf.DUMMYFUNCTION("""COMPUTED_VALUE"""),"RN143DX")</f>
        <v>RN143DX</v>
      </c>
      <c r="B14247" s="226" t="str">
        <f>IFERROR(__xludf.DUMMYFUNCTION("""COMPUTED_VALUE"""),"8717323062722")</f>
        <v>8717323062722</v>
      </c>
      <c r="C14247" t="str">
        <f>IFERROR(__xludf.DUMMYFUNCTION("""COMPUTED_VALUE"""),"ECS")</f>
        <v>ECS</v>
      </c>
    </row>
    <row r="14248">
      <c r="A14248" t="str">
        <f>IFERROR(__xludf.DUMMYFUNCTION("""COMPUTED_VALUE"""),"RN143BX")</f>
        <v>RN143BX</v>
      </c>
      <c r="B14248" s="226" t="str">
        <f>IFERROR(__xludf.DUMMYFUNCTION("""COMPUTED_VALUE"""),"8717323062715")</f>
        <v>8717323062715</v>
      </c>
      <c r="C14248" t="str">
        <f>IFERROR(__xludf.DUMMYFUNCTION("""COMPUTED_VALUE"""),"ECS")</f>
        <v>ECS</v>
      </c>
    </row>
    <row r="14249">
      <c r="A14249" t="str">
        <f>IFERROR(__xludf.DUMMYFUNCTION("""COMPUTED_VALUE"""),"RN143DX")</f>
        <v>RN143DX</v>
      </c>
      <c r="B14249" s="226" t="str">
        <f>IFERROR(__xludf.DUMMYFUNCTION("""COMPUTED_VALUE"""),"8717323062722")</f>
        <v>8717323062722</v>
      </c>
      <c r="C14249" t="str">
        <f>IFERROR(__xludf.DUMMYFUNCTION("""COMPUTED_VALUE"""),"ECS")</f>
        <v>ECS</v>
      </c>
    </row>
    <row r="14250">
      <c r="A14250" t="str">
        <f>IFERROR(__xludf.DUMMYFUNCTION("""COMPUTED_VALUE"""),"RN143BX")</f>
        <v>RN143BX</v>
      </c>
      <c r="B14250" s="226" t="str">
        <f>IFERROR(__xludf.DUMMYFUNCTION("""COMPUTED_VALUE"""),"8717323062715")</f>
        <v>8717323062715</v>
      </c>
      <c r="C14250" t="str">
        <f>IFERROR(__xludf.DUMMYFUNCTION("""COMPUTED_VALUE"""),"ECS")</f>
        <v>ECS</v>
      </c>
    </row>
    <row r="14251">
      <c r="A14251" t="str">
        <f>IFERROR(__xludf.DUMMYFUNCTION("""COMPUTED_VALUE"""),"RN143DX")</f>
        <v>RN143DX</v>
      </c>
      <c r="B14251" s="226" t="str">
        <f>IFERROR(__xludf.DUMMYFUNCTION("""COMPUTED_VALUE"""),"8717323062722")</f>
        <v>8717323062722</v>
      </c>
      <c r="C14251" t="str">
        <f>IFERROR(__xludf.DUMMYFUNCTION("""COMPUTED_VALUE"""),"ECS")</f>
        <v>ECS</v>
      </c>
    </row>
    <row r="14252">
      <c r="A14252" t="str">
        <f>IFERROR(__xludf.DUMMYFUNCTION("""COMPUTED_VALUE"""),"RN143BX")</f>
        <v>RN143BX</v>
      </c>
      <c r="B14252" s="226" t="str">
        <f>IFERROR(__xludf.DUMMYFUNCTION("""COMPUTED_VALUE"""),"8717323062715")</f>
        <v>8717323062715</v>
      </c>
      <c r="C14252" t="str">
        <f>IFERROR(__xludf.DUMMYFUNCTION("""COMPUTED_VALUE"""),"ECS")</f>
        <v>ECS</v>
      </c>
    </row>
    <row r="14253">
      <c r="A14253" t="str">
        <f>IFERROR(__xludf.DUMMYFUNCTION("""COMPUTED_VALUE"""),"RN143DX")</f>
        <v>RN143DX</v>
      </c>
      <c r="B14253" s="226" t="str">
        <f>IFERROR(__xludf.DUMMYFUNCTION("""COMPUTED_VALUE"""),"8717323062722")</f>
        <v>8717323062722</v>
      </c>
      <c r="C14253" t="str">
        <f>IFERROR(__xludf.DUMMYFUNCTION("""COMPUTED_VALUE"""),"ECS")</f>
        <v>ECS</v>
      </c>
    </row>
    <row r="14254">
      <c r="A14254" t="str">
        <f>IFERROR(__xludf.DUMMYFUNCTION("""COMPUTED_VALUE"""),"RN064BB")</f>
        <v>RN064BB</v>
      </c>
      <c r="B14254" s="226" t="str">
        <f>IFERROR(__xludf.DUMMYFUNCTION("""COMPUTED_VALUE"""),"8717323049921")</f>
        <v>8717323049921</v>
      </c>
      <c r="C14254" t="str">
        <f>IFERROR(__xludf.DUMMYFUNCTION("""COMPUTED_VALUE"""),"ECS")</f>
        <v>ECS</v>
      </c>
    </row>
    <row r="14255">
      <c r="A14255" t="str">
        <f>IFERROR(__xludf.DUMMYFUNCTION("""COMPUTED_VALUE"""),"RN064DB")</f>
        <v>RN064DB</v>
      </c>
      <c r="B14255" s="226" t="str">
        <f>IFERROR(__xludf.DUMMYFUNCTION("""COMPUTED_VALUE"""),"8717323023136")</f>
        <v>8717323023136</v>
      </c>
      <c r="C14255" t="str">
        <f>IFERROR(__xludf.DUMMYFUNCTION("""COMPUTED_VALUE"""),"ECS")</f>
        <v>ECS</v>
      </c>
    </row>
    <row r="14256">
      <c r="A14256" t="str">
        <f>IFERROR(__xludf.DUMMYFUNCTION("""COMPUTED_VALUE"""),"RN059BB")</f>
        <v>RN059BB</v>
      </c>
      <c r="B14256" s="226" t="str">
        <f>IFERROR(__xludf.DUMMYFUNCTION("""COMPUTED_VALUE"""),"8717323010990")</f>
        <v>8717323010990</v>
      </c>
      <c r="C14256" t="str">
        <f>IFERROR(__xludf.DUMMYFUNCTION("""COMPUTED_VALUE"""),"ECS")</f>
        <v>ECS</v>
      </c>
    </row>
    <row r="14257">
      <c r="A14257" t="str">
        <f>IFERROR(__xludf.DUMMYFUNCTION("""COMPUTED_VALUE"""),"RN059DL")</f>
        <v>RN059DL</v>
      </c>
      <c r="B14257" s="226" t="str">
        <f>IFERROR(__xludf.DUMMYFUNCTION("""COMPUTED_VALUE"""),"8717323011140")</f>
        <v>8717323011140</v>
      </c>
      <c r="C14257" t="str">
        <f>IFERROR(__xludf.DUMMYFUNCTION("""COMPUTED_VALUE"""),"ECS")</f>
        <v>ECS</v>
      </c>
    </row>
    <row r="14258">
      <c r="A14258" t="str">
        <f>IFERROR(__xludf.DUMMYFUNCTION("""COMPUTED_VALUE"""),"RN072BQ")</f>
        <v>RN072BQ</v>
      </c>
      <c r="B14258" s="226" t="str">
        <f>IFERROR(__xludf.DUMMYFUNCTION("""COMPUTED_VALUE"""),"8717323023167")</f>
        <v>8717323023167</v>
      </c>
      <c r="C14258" t="str">
        <f>IFERROR(__xludf.DUMMYFUNCTION("""COMPUTED_VALUE"""),"ECS")</f>
        <v>ECS</v>
      </c>
    </row>
    <row r="14259">
      <c r="A14259" t="str">
        <f>IFERROR(__xludf.DUMMYFUNCTION("""COMPUTED_VALUE"""),"RN072DB")</f>
        <v>RN072DB</v>
      </c>
      <c r="B14259" s="226" t="str">
        <f>IFERROR(__xludf.DUMMYFUNCTION("""COMPUTED_VALUE"""),"8717323021019")</f>
        <v>8717323021019</v>
      </c>
      <c r="C14259" t="str">
        <f>IFERROR(__xludf.DUMMYFUNCTION("""COMPUTED_VALUE"""),"ECS")</f>
        <v>ECS</v>
      </c>
    </row>
    <row r="14260">
      <c r="A14260" t="str">
        <f>IFERROR(__xludf.DUMMYFUNCTION("""COMPUTED_VALUE"""),"RN072DL")</f>
        <v>RN072DL</v>
      </c>
      <c r="B14260" s="226" t="str">
        <f>IFERROR(__xludf.DUMMYFUNCTION("""COMPUTED_VALUE"""),"8717323021026")</f>
        <v>8717323021026</v>
      </c>
      <c r="C14260" t="str">
        <f>IFERROR(__xludf.DUMMYFUNCTION("""COMPUTED_VALUE"""),"ECS")</f>
        <v>ECS</v>
      </c>
    </row>
    <row r="14261">
      <c r="A14261" t="str">
        <f>IFERROR(__xludf.DUMMYFUNCTION("""COMPUTED_VALUE"""),"RN011BB")</f>
        <v>RN011BB</v>
      </c>
      <c r="B14261" s="226" t="str">
        <f>IFERROR(__xludf.DUMMYFUNCTION("""COMPUTED_VALUE"""),"8717323006436")</f>
        <v>8717323006436</v>
      </c>
      <c r="C14261" t="str">
        <f>IFERROR(__xludf.DUMMYFUNCTION("""COMPUTED_VALUE"""),"ECS")</f>
        <v>ECS</v>
      </c>
    </row>
    <row r="14262">
      <c r="A14262" t="str">
        <f>IFERROR(__xludf.DUMMYFUNCTION("""COMPUTED_VALUE"""),"RN044BB")</f>
        <v>RN044BB</v>
      </c>
      <c r="B14262" s="226" t="str">
        <f>IFERROR(__xludf.DUMMYFUNCTION("""COMPUTED_VALUE"""),"8717323009864")</f>
        <v>8717323009864</v>
      </c>
      <c r="C14262" t="str">
        <f>IFERROR(__xludf.DUMMYFUNCTION("""COMPUTED_VALUE"""),"ECS")</f>
        <v>ECS</v>
      </c>
    </row>
    <row r="14263">
      <c r="A14263" t="str">
        <f>IFERROR(__xludf.DUMMYFUNCTION("""COMPUTED_VALUE"""),"RN044BL")</f>
        <v>RN044BL</v>
      </c>
      <c r="B14263" s="226" t="str">
        <f>IFERROR(__xludf.DUMMYFUNCTION("""COMPUTED_VALUE"""),"8717323020920")</f>
        <v>8717323020920</v>
      </c>
      <c r="C14263" t="str">
        <f>IFERROR(__xludf.DUMMYFUNCTION("""COMPUTED_VALUE"""),"ECS")</f>
        <v>ECS</v>
      </c>
    </row>
    <row r="14264">
      <c r="A14264" t="str">
        <f>IFERROR(__xludf.DUMMYFUNCTION("""COMPUTED_VALUE"""),"RN044DB")</f>
        <v>RN044DB</v>
      </c>
      <c r="B14264" s="226" t="str">
        <f>IFERROR(__xludf.DUMMYFUNCTION("""COMPUTED_VALUE"""),"8717323009871")</f>
        <v>8717323009871</v>
      </c>
      <c r="C14264" t="str">
        <f>IFERROR(__xludf.DUMMYFUNCTION("""COMPUTED_VALUE"""),"ECS")</f>
        <v>ECS</v>
      </c>
    </row>
    <row r="14265">
      <c r="A14265" t="str">
        <f>IFERROR(__xludf.DUMMYFUNCTION("""COMPUTED_VALUE"""),"RN044DL")</f>
        <v>RN044DL</v>
      </c>
      <c r="B14265" s="226" t="str">
        <f>IFERROR(__xludf.DUMMYFUNCTION("""COMPUTED_VALUE"""),"8717323020937")</f>
        <v>8717323020937</v>
      </c>
      <c r="C14265" t="str">
        <f>IFERROR(__xludf.DUMMYFUNCTION("""COMPUTED_VALUE"""),"ECS")</f>
        <v>ECS</v>
      </c>
    </row>
    <row r="14266">
      <c r="A14266" t="str">
        <f>IFERROR(__xludf.DUMMYFUNCTION("""COMPUTED_VALUE"""),"RN085BB")</f>
        <v>RN085BB</v>
      </c>
      <c r="B14266" s="226" t="str">
        <f>IFERROR(__xludf.DUMMYFUNCTION("""COMPUTED_VALUE"""),"8717323023297")</f>
        <v>8717323023297</v>
      </c>
      <c r="C14266" t="str">
        <f>IFERROR(__xludf.DUMMYFUNCTION("""COMPUTED_VALUE"""),"ECS")</f>
        <v>ECS</v>
      </c>
    </row>
    <row r="14267">
      <c r="A14267" t="str">
        <f>IFERROR(__xludf.DUMMYFUNCTION("""COMPUTED_VALUE"""),"RN085BH")</f>
        <v>RN085BH</v>
      </c>
      <c r="B14267" s="226" t="str">
        <f>IFERROR(__xludf.DUMMYFUNCTION("""COMPUTED_VALUE"""),"8717323027042")</f>
        <v>8717323027042</v>
      </c>
      <c r="C14267" t="str">
        <f>IFERROR(__xludf.DUMMYFUNCTION("""COMPUTED_VALUE"""),"ECS")</f>
        <v>ECS</v>
      </c>
    </row>
    <row r="14268">
      <c r="A14268" t="str">
        <f>IFERROR(__xludf.DUMMYFUNCTION("""COMPUTED_VALUE"""),"RN085DH")</f>
        <v>RN085DH</v>
      </c>
      <c r="B14268" s="226" t="str">
        <f>IFERROR(__xludf.DUMMYFUNCTION("""COMPUTED_VALUE"""),"8717323023303")</f>
        <v>8717323023303</v>
      </c>
      <c r="C14268" t="str">
        <f>IFERROR(__xludf.DUMMYFUNCTION("""COMPUTED_VALUE"""),"ECS")</f>
        <v>ECS</v>
      </c>
    </row>
    <row r="14269">
      <c r="A14269" t="str">
        <f>IFERROR(__xludf.DUMMYFUNCTION("""COMPUTED_VALUE"""),"RN124BB")</f>
        <v>RN124BB</v>
      </c>
      <c r="B14269" s="226" t="str">
        <f>IFERROR(__xludf.DUMMYFUNCTION("""COMPUTED_VALUE"""),"8717323048993")</f>
        <v>8717323048993</v>
      </c>
      <c r="C14269" t="str">
        <f>IFERROR(__xludf.DUMMYFUNCTION("""COMPUTED_VALUE"""),"ECS")</f>
        <v>ECS</v>
      </c>
    </row>
    <row r="14270">
      <c r="A14270" t="str">
        <f>IFERROR(__xludf.DUMMYFUNCTION("""COMPUTED_VALUE"""),"RN124DH")</f>
        <v>RN124DH</v>
      </c>
      <c r="B14270" s="226" t="str">
        <f>IFERROR(__xludf.DUMMYFUNCTION("""COMPUTED_VALUE"""),"8717323049006")</f>
        <v>8717323049006</v>
      </c>
      <c r="C14270" t="str">
        <f>IFERROR(__xludf.DUMMYFUNCTION("""COMPUTED_VALUE"""),"ECS")</f>
        <v>ECS</v>
      </c>
    </row>
    <row r="14271">
      <c r="A14271" t="str">
        <f>IFERROR(__xludf.DUMMYFUNCTION("""COMPUTED_VALUE"""),"RN143BX")</f>
        <v>RN143BX</v>
      </c>
      <c r="B14271" s="226" t="str">
        <f>IFERROR(__xludf.DUMMYFUNCTION("""COMPUTED_VALUE"""),"8717323062715")</f>
        <v>8717323062715</v>
      </c>
      <c r="C14271" t="str">
        <f>IFERROR(__xludf.DUMMYFUNCTION("""COMPUTED_VALUE"""),"ECS")</f>
        <v>ECS</v>
      </c>
    </row>
    <row r="14272">
      <c r="A14272" t="str">
        <f>IFERROR(__xludf.DUMMYFUNCTION("""COMPUTED_VALUE"""),"RN143DX")</f>
        <v>RN143DX</v>
      </c>
      <c r="B14272" s="226" t="str">
        <f>IFERROR(__xludf.DUMMYFUNCTION("""COMPUTED_VALUE"""),"8717323062722")</f>
        <v>8717323062722</v>
      </c>
      <c r="C14272" t="str">
        <f>IFERROR(__xludf.DUMMYFUNCTION("""COMPUTED_VALUE"""),"ECS")</f>
        <v>ECS</v>
      </c>
    </row>
    <row r="14273">
      <c r="A14273" t="str">
        <f>IFERROR(__xludf.DUMMYFUNCTION("""COMPUTED_VALUE"""),"RN124BB")</f>
        <v>RN124BB</v>
      </c>
      <c r="B14273" s="226" t="str">
        <f>IFERROR(__xludf.DUMMYFUNCTION("""COMPUTED_VALUE"""),"8717323048993")</f>
        <v>8717323048993</v>
      </c>
      <c r="C14273" t="str">
        <f>IFERROR(__xludf.DUMMYFUNCTION("""COMPUTED_VALUE"""),"ECS")</f>
        <v>ECS</v>
      </c>
    </row>
    <row r="14274">
      <c r="A14274" t="str">
        <f>IFERROR(__xludf.DUMMYFUNCTION("""COMPUTED_VALUE"""),"RN124DH")</f>
        <v>RN124DH</v>
      </c>
      <c r="B14274" s="226" t="str">
        <f>IFERROR(__xludf.DUMMYFUNCTION("""COMPUTED_VALUE"""),"8717323049006")</f>
        <v>8717323049006</v>
      </c>
      <c r="C14274" t="str">
        <f>IFERROR(__xludf.DUMMYFUNCTION("""COMPUTED_VALUE"""),"ECS")</f>
        <v>ECS</v>
      </c>
    </row>
    <row r="14275">
      <c r="A14275" t="str">
        <f>IFERROR(__xludf.DUMMYFUNCTION("""COMPUTED_VALUE"""),"RN131BH")</f>
        <v>RN131BH</v>
      </c>
      <c r="B14275" s="226" t="str">
        <f>IFERROR(__xludf.DUMMYFUNCTION("""COMPUTED_VALUE"""),"8717323056431")</f>
        <v>8717323056431</v>
      </c>
      <c r="C14275" t="str">
        <f>IFERROR(__xludf.DUMMYFUNCTION("""COMPUTED_VALUE"""),"ECS")</f>
        <v>ECS</v>
      </c>
    </row>
    <row r="14276">
      <c r="A14276" t="str">
        <f>IFERROR(__xludf.DUMMYFUNCTION("""COMPUTED_VALUE"""),"RN131DH")</f>
        <v>RN131DH</v>
      </c>
      <c r="B14276" s="226" t="str">
        <f>IFERROR(__xludf.DUMMYFUNCTION("""COMPUTED_VALUE"""),"8717323056448")</f>
        <v>8717323056448</v>
      </c>
      <c r="C14276" t="str">
        <f>IFERROR(__xludf.DUMMYFUNCTION("""COMPUTED_VALUE"""),"ECS")</f>
        <v>ECS</v>
      </c>
    </row>
    <row r="14277">
      <c r="A14277" t="str">
        <f>IFERROR(__xludf.DUMMYFUNCTION("""COMPUTED_VALUE"""),"RN131BH")</f>
        <v>RN131BH</v>
      </c>
      <c r="B14277" s="226" t="str">
        <f>IFERROR(__xludf.DUMMYFUNCTION("""COMPUTED_VALUE"""),"8717323056431")</f>
        <v>8717323056431</v>
      </c>
      <c r="C14277" t="str">
        <f>IFERROR(__xludf.DUMMYFUNCTION("""COMPUTED_VALUE"""),"ECS")</f>
        <v>ECS</v>
      </c>
    </row>
    <row r="14278">
      <c r="A14278" t="str">
        <f>IFERROR(__xludf.DUMMYFUNCTION("""COMPUTED_VALUE"""),"RN131DH")</f>
        <v>RN131DH</v>
      </c>
      <c r="B14278" s="226" t="str">
        <f>IFERROR(__xludf.DUMMYFUNCTION("""COMPUTED_VALUE"""),"8717323056448")</f>
        <v>8717323056448</v>
      </c>
      <c r="C14278" t="str">
        <f>IFERROR(__xludf.DUMMYFUNCTION("""COMPUTED_VALUE"""),"ECS")</f>
        <v>ECS</v>
      </c>
    </row>
    <row r="14279">
      <c r="A14279" t="str">
        <f>IFERROR(__xludf.DUMMYFUNCTION("""COMPUTED_VALUE"""),"OP031BL")</f>
        <v>OP031BL</v>
      </c>
      <c r="B14279" s="226" t="str">
        <f>IFERROR(__xludf.DUMMYFUNCTION("""COMPUTED_VALUE"""),"8717323005118")</f>
        <v>8717323005118</v>
      </c>
      <c r="C14279" t="str">
        <f>IFERROR(__xludf.DUMMYFUNCTION("""COMPUTED_VALUE"""),"ECS")</f>
        <v>ECS</v>
      </c>
    </row>
    <row r="14280">
      <c r="A14280" t="str">
        <f>IFERROR(__xludf.DUMMYFUNCTION("""COMPUTED_VALUE"""),"OP031DL")</f>
        <v>OP031DL</v>
      </c>
      <c r="B14280" s="226" t="str">
        <f>IFERROR(__xludf.DUMMYFUNCTION("""COMPUTED_VALUE"""),"8717323005125")</f>
        <v>8717323005125</v>
      </c>
      <c r="C14280" t="str">
        <f>IFERROR(__xludf.DUMMYFUNCTION("""COMPUTED_VALUE"""),"ECS")</f>
        <v>ECS</v>
      </c>
    </row>
    <row r="14281">
      <c r="A14281" t="str">
        <f>IFERROR(__xludf.DUMMYFUNCTION("""COMPUTED_VALUE"""),"OP057BB")</f>
        <v>OP057BB</v>
      </c>
      <c r="B14281" s="226" t="str">
        <f>IFERROR(__xludf.DUMMYFUNCTION("""COMPUTED_VALUE"""),"8717323024638")</f>
        <v>8717323024638</v>
      </c>
      <c r="C14281" t="str">
        <f>IFERROR(__xludf.DUMMYFUNCTION("""COMPUTED_VALUE"""),"ECS")</f>
        <v>ECS</v>
      </c>
    </row>
    <row r="14282">
      <c r="A14282" t="str">
        <f>IFERROR(__xludf.DUMMYFUNCTION("""COMPUTED_VALUE"""),"OP057BL")</f>
        <v>OP057BL</v>
      </c>
      <c r="B14282" s="226" t="str">
        <f>IFERROR(__xludf.DUMMYFUNCTION("""COMPUTED_VALUE"""),"8717323026410")</f>
        <v>8717323026410</v>
      </c>
      <c r="C14282" t="str">
        <f>IFERROR(__xludf.DUMMYFUNCTION("""COMPUTED_VALUE"""),"ECS")</f>
        <v>ECS</v>
      </c>
    </row>
    <row r="14283">
      <c r="A14283" t="str">
        <f>IFERROR(__xludf.DUMMYFUNCTION("""COMPUTED_VALUE"""),"OP057DL")</f>
        <v>OP057DL</v>
      </c>
      <c r="B14283" s="226" t="str">
        <f>IFERROR(__xludf.DUMMYFUNCTION("""COMPUTED_VALUE"""),"8717323024508")</f>
        <v>8717323024508</v>
      </c>
      <c r="C14283" t="str">
        <f>IFERROR(__xludf.DUMMYFUNCTION("""COMPUTED_VALUE"""),"ECS")</f>
        <v>ECS</v>
      </c>
    </row>
    <row r="14284">
      <c r="A14284" t="str">
        <f>IFERROR(__xludf.DUMMYFUNCTION("""COMPUTED_VALUE"""),"OP057BB")</f>
        <v>OP057BB</v>
      </c>
      <c r="B14284" s="226" t="str">
        <f>IFERROR(__xludf.DUMMYFUNCTION("""COMPUTED_VALUE"""),"8717323024638")</f>
        <v>8717323024638</v>
      </c>
      <c r="C14284" t="str">
        <f>IFERROR(__xludf.DUMMYFUNCTION("""COMPUTED_VALUE"""),"ECS")</f>
        <v>ECS</v>
      </c>
    </row>
    <row r="14285">
      <c r="A14285" t="str">
        <f>IFERROR(__xludf.DUMMYFUNCTION("""COMPUTED_VALUE"""),"OP057BL")</f>
        <v>OP057BL</v>
      </c>
      <c r="B14285" s="226" t="str">
        <f>IFERROR(__xludf.DUMMYFUNCTION("""COMPUTED_VALUE"""),"8717323026410")</f>
        <v>8717323026410</v>
      </c>
      <c r="C14285" t="str">
        <f>IFERROR(__xludf.DUMMYFUNCTION("""COMPUTED_VALUE"""),"ECS")</f>
        <v>ECS</v>
      </c>
    </row>
    <row r="14286">
      <c r="A14286" t="str">
        <f>IFERROR(__xludf.DUMMYFUNCTION("""COMPUTED_VALUE"""),"OP057DL")</f>
        <v>OP057DL</v>
      </c>
      <c r="B14286" s="226" t="str">
        <f>IFERROR(__xludf.DUMMYFUNCTION("""COMPUTED_VALUE"""),"8717323024508")</f>
        <v>8717323024508</v>
      </c>
      <c r="C14286" t="str">
        <f>IFERROR(__xludf.DUMMYFUNCTION("""COMPUTED_VALUE"""),"ECS")</f>
        <v>ECS</v>
      </c>
    </row>
    <row r="14287">
      <c r="A14287" t="str">
        <f>IFERROR(__xludf.DUMMYFUNCTION("""COMPUTED_VALUE"""),"OP069BH")</f>
        <v>OP069BH</v>
      </c>
      <c r="B14287" s="226" t="str">
        <f>IFERROR(__xludf.DUMMYFUNCTION("""COMPUTED_VALUE"""),"8717323050446")</f>
        <v>8717323050446</v>
      </c>
      <c r="C14287" t="str">
        <f>IFERROR(__xludf.DUMMYFUNCTION("""COMPUTED_VALUE"""),"ECS")</f>
        <v>ECS</v>
      </c>
    </row>
    <row r="14288">
      <c r="A14288" t="str">
        <f>IFERROR(__xludf.DUMMYFUNCTION("""COMPUTED_VALUE"""),"OP069DH")</f>
        <v>OP069DH</v>
      </c>
      <c r="B14288" s="226" t="str">
        <f>IFERROR(__xludf.DUMMYFUNCTION("""COMPUTED_VALUE"""),"8717323050583")</f>
        <v>8717323050583</v>
      </c>
      <c r="C14288" t="str">
        <f>IFERROR(__xludf.DUMMYFUNCTION("""COMPUTED_VALUE"""),"ECS")</f>
        <v>ECS</v>
      </c>
    </row>
    <row r="14289">
      <c r="A14289" t="str">
        <f>IFERROR(__xludf.DUMMYFUNCTION("""COMPUTED_VALUE"""),"OP069BH")</f>
        <v>OP069BH</v>
      </c>
      <c r="B14289" s="226" t="str">
        <f>IFERROR(__xludf.DUMMYFUNCTION("""COMPUTED_VALUE"""),"8717323050446")</f>
        <v>8717323050446</v>
      </c>
      <c r="C14289" t="str">
        <f>IFERROR(__xludf.DUMMYFUNCTION("""COMPUTED_VALUE"""),"ECS")</f>
        <v>ECS</v>
      </c>
    </row>
    <row r="14290">
      <c r="A14290" t="str">
        <f>IFERROR(__xludf.DUMMYFUNCTION("""COMPUTED_VALUE"""),"OP069DH")</f>
        <v>OP069DH</v>
      </c>
      <c r="B14290" s="226" t="str">
        <f>IFERROR(__xludf.DUMMYFUNCTION("""COMPUTED_VALUE"""),"8717323050583")</f>
        <v>8717323050583</v>
      </c>
      <c r="C14290" t="str">
        <f>IFERROR(__xludf.DUMMYFUNCTION("""COMPUTED_VALUE"""),"ECS")</f>
        <v>ECS</v>
      </c>
    </row>
    <row r="14291">
      <c r="A14291" t="str">
        <f>IFERROR(__xludf.DUMMYFUNCTION("""COMPUTED_VALUE"""),"REN009B")</f>
        <v>REN009B</v>
      </c>
      <c r="B14291" s="226" t="str">
        <f>IFERROR(__xludf.DUMMYFUNCTION("""COMPUTED_VALUE"""),"8717323006085")</f>
        <v>8717323006085</v>
      </c>
      <c r="C14291" t="str">
        <f>IFERROR(__xludf.DUMMYFUNCTION("""COMPUTED_VALUE"""),"ECS")</f>
        <v>ECS</v>
      </c>
    </row>
    <row r="14292">
      <c r="A14292" t="str">
        <f>IFERROR(__xludf.DUMMYFUNCTION("""COMPUTED_VALUE"""),"RN070BB")</f>
        <v>RN070BB</v>
      </c>
      <c r="B14292" s="226" t="str">
        <f>IFERROR(__xludf.DUMMYFUNCTION("""COMPUTED_VALUE"""),"8717323015377")</f>
        <v>8717323015377</v>
      </c>
      <c r="C14292" t="str">
        <f>IFERROR(__xludf.DUMMYFUNCTION("""COMPUTED_VALUE"""),"ECS")</f>
        <v>ECS</v>
      </c>
    </row>
    <row r="14293">
      <c r="A14293" t="str">
        <f>IFERROR(__xludf.DUMMYFUNCTION("""COMPUTED_VALUE"""),"RN070DL")</f>
        <v>RN070DL</v>
      </c>
      <c r="B14293" s="226" t="str">
        <f>IFERROR(__xludf.DUMMYFUNCTION("""COMPUTED_VALUE"""),"8717323015384")</f>
        <v>8717323015384</v>
      </c>
      <c r="C14293" t="str">
        <f>IFERROR(__xludf.DUMMYFUNCTION("""COMPUTED_VALUE"""),"ECS")</f>
        <v>ECS</v>
      </c>
    </row>
    <row r="14294">
      <c r="A14294" t="str">
        <f>IFERROR(__xludf.DUMMYFUNCTION("""COMPUTED_VALUE"""),"RN117BB")</f>
        <v>RN117BB</v>
      </c>
      <c r="B14294" s="226" t="str">
        <f>IFERROR(__xludf.DUMMYFUNCTION("""COMPUTED_VALUE"""),"8717323027073")</f>
        <v>8717323027073</v>
      </c>
      <c r="C14294" t="str">
        <f>IFERROR(__xludf.DUMMYFUNCTION("""COMPUTED_VALUE"""),"ECS")</f>
        <v>ECS</v>
      </c>
    </row>
    <row r="14295">
      <c r="A14295" t="str">
        <f>IFERROR(__xludf.DUMMYFUNCTION("""COMPUTED_VALUE"""),"RN125BB")</f>
        <v>RN125BB</v>
      </c>
      <c r="B14295" s="226" t="str">
        <f>IFERROR(__xludf.DUMMYFUNCTION("""COMPUTED_VALUE"""),"8717323050798")</f>
        <v>8717323050798</v>
      </c>
      <c r="C14295" t="str">
        <f>IFERROR(__xludf.DUMMYFUNCTION("""COMPUTED_VALUE"""),"ECS")</f>
        <v>ECS</v>
      </c>
    </row>
    <row r="14296">
      <c r="A14296" t="str">
        <f>IFERROR(__xludf.DUMMYFUNCTION("""COMPUTED_VALUE"""),"RN067BB")</f>
        <v>RN067BB</v>
      </c>
      <c r="B14296" s="226" t="str">
        <f>IFERROR(__xludf.DUMMYFUNCTION("""COMPUTED_VALUE"""),"8717323013335")</f>
        <v>8717323013335</v>
      </c>
      <c r="C14296" t="str">
        <f>IFERROR(__xludf.DUMMYFUNCTION("""COMPUTED_VALUE"""),"ECS")</f>
        <v>ECS</v>
      </c>
    </row>
    <row r="14297">
      <c r="A14297" t="str">
        <f>IFERROR(__xludf.DUMMYFUNCTION("""COMPUTED_VALUE"""),"RN067BB")</f>
        <v>RN067BB</v>
      </c>
      <c r="B14297" s="226" t="str">
        <f>IFERROR(__xludf.DUMMYFUNCTION("""COMPUTED_VALUE"""),"8717323013335")</f>
        <v>8717323013335</v>
      </c>
      <c r="C14297" t="str">
        <f>IFERROR(__xludf.DUMMYFUNCTION("""COMPUTED_VALUE"""),"ECS")</f>
        <v>ECS</v>
      </c>
    </row>
    <row r="14298">
      <c r="A14298" t="str">
        <f>IFERROR(__xludf.DUMMYFUNCTION("""COMPUTED_VALUE"""),"SA002BB")</f>
        <v>SA002BB</v>
      </c>
      <c r="B14298" s="226" t="str">
        <f>IFERROR(__xludf.DUMMYFUNCTION("""COMPUTED_VALUE"""),"8717323010006")</f>
        <v>8717323010006</v>
      </c>
      <c r="C14298" t="str">
        <f>IFERROR(__xludf.DUMMYFUNCTION("""COMPUTED_VALUE"""),"ECS")</f>
        <v>ECS</v>
      </c>
    </row>
    <row r="14299">
      <c r="A14299" t="str">
        <f>IFERROR(__xludf.DUMMYFUNCTION("""COMPUTED_VALUE"""),"SA002DB")</f>
        <v>SA002DB</v>
      </c>
      <c r="B14299" s="226" t="str">
        <f>IFERROR(__xludf.DUMMYFUNCTION("""COMPUTED_VALUE"""),"8717323010013")</f>
        <v>8717323010013</v>
      </c>
      <c r="C14299" t="str">
        <f>IFERROR(__xludf.DUMMYFUNCTION("""COMPUTED_VALUE"""),"ECS")</f>
        <v>ECS</v>
      </c>
    </row>
    <row r="14300">
      <c r="A14300" t="str">
        <f>IFERROR(__xludf.DUMMYFUNCTION("""COMPUTED_VALUE"""),"SA002BB")</f>
        <v>SA002BB</v>
      </c>
      <c r="B14300" s="226" t="str">
        <f>IFERROR(__xludf.DUMMYFUNCTION("""COMPUTED_VALUE"""),"8717323010006")</f>
        <v>8717323010006</v>
      </c>
      <c r="C14300" t="str">
        <f>IFERROR(__xludf.DUMMYFUNCTION("""COMPUTED_VALUE"""),"ECS")</f>
        <v>ECS</v>
      </c>
    </row>
    <row r="14301">
      <c r="A14301" t="str">
        <f>IFERROR(__xludf.DUMMYFUNCTION("""COMPUTED_VALUE"""),"SA002DB")</f>
        <v>SA002DB</v>
      </c>
      <c r="B14301" s="226" t="str">
        <f>IFERROR(__xludf.DUMMYFUNCTION("""COMPUTED_VALUE"""),"8717323010013")</f>
        <v>8717323010013</v>
      </c>
      <c r="C14301" t="str">
        <f>IFERROR(__xludf.DUMMYFUNCTION("""COMPUTED_VALUE"""),"ECS")</f>
        <v>ECS</v>
      </c>
    </row>
    <row r="14302">
      <c r="A14302" t="str">
        <f>IFERROR(__xludf.DUMMYFUNCTION("""COMPUTED_VALUE"""),"OP052B1")</f>
        <v>OP052B1</v>
      </c>
      <c r="B14302" s="226" t="str">
        <f>IFERROR(__xludf.DUMMYFUNCTION("""COMPUTED_VALUE"""),"8717323024652")</f>
        <v>8717323024652</v>
      </c>
      <c r="C14302" t="str">
        <f>IFERROR(__xludf.DUMMYFUNCTION("""COMPUTED_VALUE"""),"ECS")</f>
        <v>ECS</v>
      </c>
    </row>
    <row r="14303">
      <c r="A14303" t="str">
        <f>IFERROR(__xludf.DUMMYFUNCTION("""COMPUTED_VALUE"""),"OP052D1")</f>
        <v>OP052D1</v>
      </c>
      <c r="B14303" s="226" t="str">
        <f>IFERROR(__xludf.DUMMYFUNCTION("""COMPUTED_VALUE"""),"8717323024492")</f>
        <v>8717323024492</v>
      </c>
      <c r="C14303" t="str">
        <f>IFERROR(__xludf.DUMMYFUNCTION("""COMPUTED_VALUE"""),"ECS")</f>
        <v>ECS</v>
      </c>
    </row>
    <row r="14304">
      <c r="A14304" t="str">
        <f>IFERROR(__xludf.DUMMYFUNCTION("""COMPUTED_VALUE"""),"VW011BB")</f>
        <v>VW011BB</v>
      </c>
      <c r="B14304" s="226" t="str">
        <f>IFERROR(__xludf.DUMMYFUNCTION("""COMPUTED_VALUE"""),"8717323009093")</f>
        <v>8717323009093</v>
      </c>
      <c r="C14304" t="str">
        <f>IFERROR(__xludf.DUMMYFUNCTION("""COMPUTED_VALUE"""),"ECS")</f>
        <v>ECS</v>
      </c>
    </row>
    <row r="14305">
      <c r="A14305" t="str">
        <f>IFERROR(__xludf.DUMMYFUNCTION("""COMPUTED_VALUE"""),"VW011BL")</f>
        <v>VW011BL</v>
      </c>
      <c r="B14305" s="226" t="str">
        <f>IFERROR(__xludf.DUMMYFUNCTION("""COMPUTED_VALUE"""),"8717323022443")</f>
        <v>8717323022443</v>
      </c>
      <c r="C14305" t="str">
        <f>IFERROR(__xludf.DUMMYFUNCTION("""COMPUTED_VALUE"""),"ECS")</f>
        <v>ECS</v>
      </c>
    </row>
    <row r="14306">
      <c r="A14306" t="str">
        <f>IFERROR(__xludf.DUMMYFUNCTION("""COMPUTED_VALUE"""),"VW011HB")</f>
        <v>VW011HB</v>
      </c>
      <c r="B14306" s="226" t="str">
        <f>IFERROR(__xludf.DUMMYFUNCTION("""COMPUTED_VALUE"""),"8717323009109")</f>
        <v>8717323009109</v>
      </c>
      <c r="C14306" t="str">
        <f>IFERROR(__xludf.DUMMYFUNCTION("""COMPUTED_VALUE"""),"ECS")</f>
        <v>ECS</v>
      </c>
    </row>
    <row r="14307">
      <c r="A14307" t="str">
        <f>IFERROR(__xludf.DUMMYFUNCTION("""COMPUTED_VALUE"""),"SE037B1")</f>
        <v>SE037B1</v>
      </c>
      <c r="B14307" s="226" t="str">
        <f>IFERROR(__xludf.DUMMYFUNCTION("""COMPUTED_VALUE"""),"8717323047255")</f>
        <v>8717323047255</v>
      </c>
      <c r="C14307" t="str">
        <f>IFERROR(__xludf.DUMMYFUNCTION("""COMPUTED_VALUE"""),"ECS")</f>
        <v>ECS</v>
      </c>
    </row>
    <row r="14308">
      <c r="A14308" t="str">
        <f>IFERROR(__xludf.DUMMYFUNCTION("""COMPUTED_VALUE"""),"SE037D1")</f>
        <v>SE037D1</v>
      </c>
      <c r="B14308" s="226" t="str">
        <f>IFERROR(__xludf.DUMMYFUNCTION("""COMPUTED_VALUE"""),"8717323047262")</f>
        <v>8717323047262</v>
      </c>
      <c r="C14308" t="str">
        <f>IFERROR(__xludf.DUMMYFUNCTION("""COMPUTED_VALUE"""),"ECS")</f>
        <v>ECS</v>
      </c>
    </row>
    <row r="14309">
      <c r="A14309" t="str">
        <f>IFERROR(__xludf.DUMMYFUNCTION("""COMPUTED_VALUE"""),"VW116B1")</f>
        <v>VW116B1</v>
      </c>
      <c r="B14309" s="226" t="str">
        <f>IFERROR(__xludf.DUMMYFUNCTION("""COMPUTED_VALUE"""),"8717323025918")</f>
        <v>8717323025918</v>
      </c>
      <c r="C14309" t="str">
        <f>IFERROR(__xludf.DUMMYFUNCTION("""COMPUTED_VALUE"""),"ECS")</f>
        <v>ECS</v>
      </c>
    </row>
    <row r="14310">
      <c r="A14310" t="str">
        <f>IFERROR(__xludf.DUMMYFUNCTION("""COMPUTED_VALUE"""),"VW116D1")</f>
        <v>VW116D1</v>
      </c>
      <c r="B14310" s="226" t="str">
        <f>IFERROR(__xludf.DUMMYFUNCTION("""COMPUTED_VALUE"""),"8717323024751")</f>
        <v>8717323024751</v>
      </c>
      <c r="C14310" t="str">
        <f>IFERROR(__xludf.DUMMYFUNCTION("""COMPUTED_VALUE"""),"ECS")</f>
        <v>ECS</v>
      </c>
    </row>
    <row r="14311">
      <c r="A14311" t="str">
        <f>IFERROR(__xludf.DUMMYFUNCTION("""COMPUTED_VALUE"""),"VW116B1")</f>
        <v>VW116B1</v>
      </c>
      <c r="B14311" s="226" t="str">
        <f>IFERROR(__xludf.DUMMYFUNCTION("""COMPUTED_VALUE"""),"8717323025918")</f>
        <v>8717323025918</v>
      </c>
      <c r="C14311" t="str">
        <f>IFERROR(__xludf.DUMMYFUNCTION("""COMPUTED_VALUE"""),"ECS")</f>
        <v>ECS</v>
      </c>
    </row>
    <row r="14312">
      <c r="A14312" t="str">
        <f>IFERROR(__xludf.DUMMYFUNCTION("""COMPUTED_VALUE"""),"VW116D1")</f>
        <v>VW116D1</v>
      </c>
      <c r="B14312" s="226" t="str">
        <f>IFERROR(__xludf.DUMMYFUNCTION("""COMPUTED_VALUE"""),"8717323024751")</f>
        <v>8717323024751</v>
      </c>
      <c r="C14312" t="str">
        <f>IFERROR(__xludf.DUMMYFUNCTION("""COMPUTED_VALUE"""),"ECS")</f>
        <v>ECS</v>
      </c>
    </row>
    <row r="14313">
      <c r="A14313" t="str">
        <f>IFERROR(__xludf.DUMMYFUNCTION("""COMPUTED_VALUE"""),"VW116B1")</f>
        <v>VW116B1</v>
      </c>
      <c r="B14313" s="226" t="str">
        <f>IFERROR(__xludf.DUMMYFUNCTION("""COMPUTED_VALUE"""),"8717323025918")</f>
        <v>8717323025918</v>
      </c>
      <c r="C14313" t="str">
        <f>IFERROR(__xludf.DUMMYFUNCTION("""COMPUTED_VALUE"""),"ECS")</f>
        <v>ECS</v>
      </c>
    </row>
    <row r="14314">
      <c r="A14314" t="str">
        <f>IFERROR(__xludf.DUMMYFUNCTION("""COMPUTED_VALUE"""),"VW116D1")</f>
        <v>VW116D1</v>
      </c>
      <c r="B14314" s="226" t="str">
        <f>IFERROR(__xludf.DUMMYFUNCTION("""COMPUTED_VALUE"""),"8717323024751")</f>
        <v>8717323024751</v>
      </c>
      <c r="C14314" t="str">
        <f>IFERROR(__xludf.DUMMYFUNCTION("""COMPUTED_VALUE"""),"ECS")</f>
        <v>ECS</v>
      </c>
    </row>
    <row r="14315">
      <c r="A14315" t="str">
        <f>IFERROR(__xludf.DUMMYFUNCTION("""COMPUTED_VALUE"""),"SE045B1")</f>
        <v>SE045B1</v>
      </c>
      <c r="B14315" s="226" t="str">
        <f>IFERROR(__xludf.DUMMYFUNCTION("""COMPUTED_VALUE"""),"8717323050187")</f>
        <v>8717323050187</v>
      </c>
      <c r="C14315" t="str">
        <f>IFERROR(__xludf.DUMMYFUNCTION("""COMPUTED_VALUE"""),"ECS")</f>
        <v>ECS</v>
      </c>
    </row>
    <row r="14316">
      <c r="A14316" t="str">
        <f>IFERROR(__xludf.DUMMYFUNCTION("""COMPUTED_VALUE"""),"SE045D1")</f>
        <v>SE045D1</v>
      </c>
      <c r="B14316" s="226" t="str">
        <f>IFERROR(__xludf.DUMMYFUNCTION("""COMPUTED_VALUE"""),"8717323050194")</f>
        <v>8717323050194</v>
      </c>
      <c r="C14316" t="str">
        <f>IFERROR(__xludf.DUMMYFUNCTION("""COMPUTED_VALUE"""),"ECS")</f>
        <v>ECS</v>
      </c>
    </row>
    <row r="14317">
      <c r="A14317" t="str">
        <f>IFERROR(__xludf.DUMMYFUNCTION("""COMPUTED_VALUE"""),"VW146B1")</f>
        <v>VW146B1</v>
      </c>
      <c r="B14317" s="226" t="str">
        <f>IFERROR(__xludf.DUMMYFUNCTION("""COMPUTED_VALUE"""),"8717323050644")</f>
        <v>8717323050644</v>
      </c>
      <c r="C14317" t="str">
        <f>IFERROR(__xludf.DUMMYFUNCTION("""COMPUTED_VALUE"""),"ECS")</f>
        <v>ECS</v>
      </c>
    </row>
    <row r="14318">
      <c r="A14318" t="str">
        <f>IFERROR(__xludf.DUMMYFUNCTION("""COMPUTED_VALUE"""),"VW146D1")</f>
        <v>VW146D1</v>
      </c>
      <c r="B14318" s="226" t="str">
        <f>IFERROR(__xludf.DUMMYFUNCTION("""COMPUTED_VALUE"""),"8717323050651")</f>
        <v>8717323050651</v>
      </c>
      <c r="C14318" t="str">
        <f>IFERROR(__xludf.DUMMYFUNCTION("""COMPUTED_VALUE"""),"ECS")</f>
        <v>ECS</v>
      </c>
    </row>
    <row r="14319">
      <c r="A14319" t="str">
        <f>IFERROR(__xludf.DUMMYFUNCTION("""COMPUTED_VALUE"""),"VW190B1")</f>
        <v>VW190B1</v>
      </c>
      <c r="B14319" s="226" t="str">
        <f>IFERROR(__xludf.DUMMYFUNCTION("""COMPUTED_VALUE"""),"8717323061039")</f>
        <v>8717323061039</v>
      </c>
      <c r="C14319" t="str">
        <f>IFERROR(__xludf.DUMMYFUNCTION("""COMPUTED_VALUE"""),"ECS")</f>
        <v>ECS</v>
      </c>
    </row>
    <row r="14320">
      <c r="A14320" t="str">
        <f>IFERROR(__xludf.DUMMYFUNCTION("""COMPUTED_VALUE"""),"VW190H1")</f>
        <v>VW190H1</v>
      </c>
      <c r="B14320" s="226" t="str">
        <f>IFERROR(__xludf.DUMMYFUNCTION("""COMPUTED_VALUE"""),"8717323060957")</f>
        <v>8717323060957</v>
      </c>
      <c r="C14320" t="str">
        <f>IFERROR(__xludf.DUMMYFUNCTION("""COMPUTED_VALUE"""),"ECS")</f>
        <v>ECS</v>
      </c>
    </row>
    <row r="14321">
      <c r="A14321" t="str">
        <f>IFERROR(__xludf.DUMMYFUNCTION("""COMPUTED_VALUE"""),"SE001BB")</f>
        <v>SE001BB</v>
      </c>
      <c r="B14321" s="226" t="str">
        <f>IFERROR(__xludf.DUMMYFUNCTION("""COMPUTED_VALUE"""),"8717323006788")</f>
        <v>8717323006788</v>
      </c>
      <c r="C14321" t="str">
        <f>IFERROR(__xludf.DUMMYFUNCTION("""COMPUTED_VALUE"""),"ECS")</f>
        <v>ECS</v>
      </c>
    </row>
    <row r="14322">
      <c r="A14322" t="str">
        <f>IFERROR(__xludf.DUMMYFUNCTION("""COMPUTED_VALUE"""),"SE045B1")</f>
        <v>SE045B1</v>
      </c>
      <c r="B14322" s="226" t="str">
        <f>IFERROR(__xludf.DUMMYFUNCTION("""COMPUTED_VALUE"""),"8717323050187")</f>
        <v>8717323050187</v>
      </c>
      <c r="C14322" t="str">
        <f>IFERROR(__xludf.DUMMYFUNCTION("""COMPUTED_VALUE"""),"ECS")</f>
        <v>ECS</v>
      </c>
    </row>
    <row r="14323">
      <c r="A14323" t="str">
        <f>IFERROR(__xludf.DUMMYFUNCTION("""COMPUTED_VALUE"""),"SE045D1")</f>
        <v>SE045D1</v>
      </c>
      <c r="B14323" s="226" t="str">
        <f>IFERROR(__xludf.DUMMYFUNCTION("""COMPUTED_VALUE"""),"8717323050194")</f>
        <v>8717323050194</v>
      </c>
      <c r="C14323" t="str">
        <f>IFERROR(__xludf.DUMMYFUNCTION("""COMPUTED_VALUE"""),"ECS")</f>
        <v>ECS</v>
      </c>
    </row>
    <row r="14324">
      <c r="A14324" t="str">
        <f>IFERROR(__xludf.DUMMYFUNCTION("""COMPUTED_VALUE"""),"SE057BX")</f>
        <v>SE057BX</v>
      </c>
      <c r="B14324" s="226" t="str">
        <f>IFERROR(__xludf.DUMMYFUNCTION("""COMPUTED_VALUE"""),"8717323059371")</f>
        <v>8717323059371</v>
      </c>
      <c r="C14324" t="str">
        <f>IFERROR(__xludf.DUMMYFUNCTION("""COMPUTED_VALUE"""),"ECS")</f>
        <v>ECS</v>
      </c>
    </row>
    <row r="14325">
      <c r="A14325" t="str">
        <f>IFERROR(__xludf.DUMMYFUNCTION("""COMPUTED_VALUE"""),"SE057DX")</f>
        <v>SE057DX</v>
      </c>
      <c r="B14325" s="226" t="str">
        <f>IFERROR(__xludf.DUMMYFUNCTION("""COMPUTED_VALUE"""),"8717323059388")</f>
        <v>8717323059388</v>
      </c>
      <c r="C14325" t="str">
        <f>IFERROR(__xludf.DUMMYFUNCTION("""COMPUTED_VALUE"""),"ECS")</f>
        <v>ECS</v>
      </c>
    </row>
    <row r="14326">
      <c r="A14326" t="str">
        <f>IFERROR(__xludf.DUMMYFUNCTION("""COMPUTED_VALUE"""),"VW146B1")</f>
        <v>VW146B1</v>
      </c>
      <c r="B14326" s="226" t="str">
        <f>IFERROR(__xludf.DUMMYFUNCTION("""COMPUTED_VALUE"""),"8717323050644")</f>
        <v>8717323050644</v>
      </c>
      <c r="C14326" t="str">
        <f>IFERROR(__xludf.DUMMYFUNCTION("""COMPUTED_VALUE"""),"ECS")</f>
        <v>ECS</v>
      </c>
    </row>
    <row r="14327">
      <c r="A14327" t="str">
        <f>IFERROR(__xludf.DUMMYFUNCTION("""COMPUTED_VALUE"""),"VW146D1")</f>
        <v>VW146D1</v>
      </c>
      <c r="B14327" s="226" t="str">
        <f>IFERROR(__xludf.DUMMYFUNCTION("""COMPUTED_VALUE"""),"8717323050651")</f>
        <v>8717323050651</v>
      </c>
      <c r="C14327" t="str">
        <f>IFERROR(__xludf.DUMMYFUNCTION("""COMPUTED_VALUE"""),"ECS")</f>
        <v>ECS</v>
      </c>
    </row>
    <row r="14328">
      <c r="A14328" t="str">
        <f>IFERROR(__xludf.DUMMYFUNCTION("""COMPUTED_VALUE"""),"VW190B1")</f>
        <v>VW190B1</v>
      </c>
      <c r="B14328" s="226" t="str">
        <f>IFERROR(__xludf.DUMMYFUNCTION("""COMPUTED_VALUE"""),"8717323061039")</f>
        <v>8717323061039</v>
      </c>
      <c r="C14328" t="str">
        <f>IFERROR(__xludf.DUMMYFUNCTION("""COMPUTED_VALUE"""),"ECS")</f>
        <v>ECS</v>
      </c>
    </row>
    <row r="14329">
      <c r="A14329" t="str">
        <f>IFERROR(__xludf.DUMMYFUNCTION("""COMPUTED_VALUE"""),"VW190H1")</f>
        <v>VW190H1</v>
      </c>
      <c r="B14329" s="226" t="str">
        <f>IFERROR(__xludf.DUMMYFUNCTION("""COMPUTED_VALUE"""),"8717323060957")</f>
        <v>8717323060957</v>
      </c>
      <c r="C14329" t="str">
        <f>IFERROR(__xludf.DUMMYFUNCTION("""COMPUTED_VALUE"""),"ECS")</f>
        <v>ECS</v>
      </c>
    </row>
    <row r="14330">
      <c r="A14330" t="str">
        <f>IFERROR(__xludf.DUMMYFUNCTION("""COMPUTED_VALUE"""),"SE016BB")</f>
        <v>SE016BB</v>
      </c>
      <c r="B14330" s="226" t="str">
        <f>IFERROR(__xludf.DUMMYFUNCTION("""COMPUTED_VALUE"""),"8717323009291")</f>
        <v>8717323009291</v>
      </c>
      <c r="C14330" t="str">
        <f>IFERROR(__xludf.DUMMYFUNCTION("""COMPUTED_VALUE"""),"ECS")</f>
        <v>ECS</v>
      </c>
    </row>
    <row r="14331">
      <c r="A14331" t="str">
        <f>IFERROR(__xludf.DUMMYFUNCTION("""COMPUTED_VALUE"""),"SE016DL")</f>
        <v>SE016DL</v>
      </c>
      <c r="B14331" s="226" t="str">
        <f>IFERROR(__xludf.DUMMYFUNCTION("""COMPUTED_VALUE"""),"8717323016077")</f>
        <v>8717323016077</v>
      </c>
      <c r="C14331" t="str">
        <f>IFERROR(__xludf.DUMMYFUNCTION("""COMPUTED_VALUE"""),"ECS")</f>
        <v>ECS</v>
      </c>
    </row>
    <row r="14332">
      <c r="A14332" t="str">
        <f>IFERROR(__xludf.DUMMYFUNCTION("""COMPUTED_VALUE"""),"AU037B1")</f>
        <v>AU037B1</v>
      </c>
      <c r="B14332" s="226" t="str">
        <f>IFERROR(__xludf.DUMMYFUNCTION("""COMPUTED_VALUE"""),"8717323025185")</f>
        <v>8717323025185</v>
      </c>
      <c r="C14332" t="str">
        <f>IFERROR(__xludf.DUMMYFUNCTION("""COMPUTED_VALUE"""),"ECS")</f>
        <v>ECS</v>
      </c>
    </row>
    <row r="14333">
      <c r="A14333" t="str">
        <f>IFERROR(__xludf.DUMMYFUNCTION("""COMPUTED_VALUE"""),"AU037D1")</f>
        <v>AU037D1</v>
      </c>
      <c r="B14333" s="226" t="str">
        <f>IFERROR(__xludf.DUMMYFUNCTION("""COMPUTED_VALUE"""),"8717323024669")</f>
        <v>8717323024669</v>
      </c>
      <c r="C14333" t="str">
        <f>IFERROR(__xludf.DUMMYFUNCTION("""COMPUTED_VALUE"""),"ECS")</f>
        <v>ECS</v>
      </c>
    </row>
    <row r="14334">
      <c r="A14334" t="str">
        <f>IFERROR(__xludf.DUMMYFUNCTION("""COMPUTED_VALUE"""),"AU037B1")</f>
        <v>AU037B1</v>
      </c>
      <c r="B14334" s="226" t="str">
        <f>IFERROR(__xludf.DUMMYFUNCTION("""COMPUTED_VALUE"""),"8717323025185")</f>
        <v>8717323025185</v>
      </c>
      <c r="C14334" t="str">
        <f>IFERROR(__xludf.DUMMYFUNCTION("""COMPUTED_VALUE"""),"ECS")</f>
        <v>ECS</v>
      </c>
    </row>
    <row r="14335">
      <c r="A14335" t="str">
        <f>IFERROR(__xludf.DUMMYFUNCTION("""COMPUTED_VALUE"""),"AU037D1")</f>
        <v>AU037D1</v>
      </c>
      <c r="B14335" s="226" t="str">
        <f>IFERROR(__xludf.DUMMYFUNCTION("""COMPUTED_VALUE"""),"8717323024669")</f>
        <v>8717323024669</v>
      </c>
      <c r="C14335" t="str">
        <f>IFERROR(__xludf.DUMMYFUNCTION("""COMPUTED_VALUE"""),"ECS")</f>
        <v>ECS</v>
      </c>
    </row>
    <row r="14336">
      <c r="A14336" t="str">
        <f>IFERROR(__xludf.DUMMYFUNCTION("""COMPUTED_VALUE"""),"SE015BB")</f>
        <v>SE015BB</v>
      </c>
      <c r="B14336" s="226" t="str">
        <f>IFERROR(__xludf.DUMMYFUNCTION("""COMPUTED_VALUE"""),"8717323006931")</f>
        <v>8717323006931</v>
      </c>
      <c r="C14336" t="str">
        <f>IFERROR(__xludf.DUMMYFUNCTION("""COMPUTED_VALUE"""),"ECS")</f>
        <v>ECS</v>
      </c>
    </row>
    <row r="14337">
      <c r="A14337" t="str">
        <f>IFERROR(__xludf.DUMMYFUNCTION("""COMPUTED_VALUE"""),"SE026B1")</f>
        <v>SE026B1</v>
      </c>
      <c r="B14337" s="226" t="str">
        <f>IFERROR(__xludf.DUMMYFUNCTION("""COMPUTED_VALUE"""),"8717323024409")</f>
        <v>8717323024409</v>
      </c>
      <c r="C14337" t="str">
        <f>IFERROR(__xludf.DUMMYFUNCTION("""COMPUTED_VALUE"""),"ECS")</f>
        <v>ECS</v>
      </c>
    </row>
    <row r="14338">
      <c r="A14338" t="str">
        <f>IFERROR(__xludf.DUMMYFUNCTION("""COMPUTED_VALUE"""),"SE026D1")</f>
        <v>SE026D1</v>
      </c>
      <c r="B14338" s="226" t="str">
        <f>IFERROR(__xludf.DUMMYFUNCTION("""COMPUTED_VALUE"""),"8717323024416")</f>
        <v>8717323024416</v>
      </c>
      <c r="C14338" t="str">
        <f>IFERROR(__xludf.DUMMYFUNCTION("""COMPUTED_VALUE"""),"ECS")</f>
        <v>ECS</v>
      </c>
    </row>
    <row r="14339">
      <c r="A14339" t="str">
        <f>IFERROR(__xludf.DUMMYFUNCTION("""COMPUTED_VALUE"""),"SE048B1")</f>
        <v>SE048B1</v>
      </c>
      <c r="B14339" s="226" t="str">
        <f>IFERROR(__xludf.DUMMYFUNCTION("""COMPUTED_VALUE"""),"8717323054147")</f>
        <v>8717323054147</v>
      </c>
      <c r="C14339" t="str">
        <f>IFERROR(__xludf.DUMMYFUNCTION("""COMPUTED_VALUE"""),"ECS")</f>
        <v>ECS</v>
      </c>
    </row>
    <row r="14340">
      <c r="A14340" t="str">
        <f>IFERROR(__xludf.DUMMYFUNCTION("""COMPUTED_VALUE"""),"SE048BX")</f>
        <v>SE048BX</v>
      </c>
      <c r="B14340" s="226" t="str">
        <f>IFERROR(__xludf.DUMMYFUNCTION("""COMPUTED_VALUE"""),"8717323053003")</f>
        <v>8717323053003</v>
      </c>
      <c r="C14340" t="str">
        <f>IFERROR(__xludf.DUMMYFUNCTION("""COMPUTED_VALUE"""),"ECS")</f>
        <v>ECS</v>
      </c>
    </row>
    <row r="14341">
      <c r="A14341" t="str">
        <f>IFERROR(__xludf.DUMMYFUNCTION("""COMPUTED_VALUE"""),"SE048D1")</f>
        <v>SE048D1</v>
      </c>
      <c r="B14341" s="226" t="str">
        <f>IFERROR(__xludf.DUMMYFUNCTION("""COMPUTED_VALUE"""),"8717323054154")</f>
        <v>8717323054154</v>
      </c>
      <c r="C14341" t="str">
        <f>IFERROR(__xludf.DUMMYFUNCTION("""COMPUTED_VALUE"""),"ECS")</f>
        <v>ECS</v>
      </c>
    </row>
    <row r="14342">
      <c r="A14342" t="str">
        <f>IFERROR(__xludf.DUMMYFUNCTION("""COMPUTED_VALUE"""),"SE048DX")</f>
        <v>SE048DX</v>
      </c>
      <c r="B14342" s="226" t="str">
        <f>IFERROR(__xludf.DUMMYFUNCTION("""COMPUTED_VALUE"""),"8717323053010")</f>
        <v>8717323053010</v>
      </c>
      <c r="C14342" t="str">
        <f>IFERROR(__xludf.DUMMYFUNCTION("""COMPUTED_VALUE"""),"ECS")</f>
        <v>ECS</v>
      </c>
    </row>
    <row r="14343">
      <c r="A14343" t="str">
        <f>IFERROR(__xludf.DUMMYFUNCTION("""COMPUTED_VALUE"""),"SE026B1")</f>
        <v>SE026B1</v>
      </c>
      <c r="B14343" s="226" t="str">
        <f>IFERROR(__xludf.DUMMYFUNCTION("""COMPUTED_VALUE"""),"8717323024409")</f>
        <v>8717323024409</v>
      </c>
      <c r="C14343" t="str">
        <f>IFERROR(__xludf.DUMMYFUNCTION("""COMPUTED_VALUE"""),"ECS")</f>
        <v>ECS</v>
      </c>
    </row>
    <row r="14344">
      <c r="A14344" t="str">
        <f>IFERROR(__xludf.DUMMYFUNCTION("""COMPUTED_VALUE"""),"SE026D1")</f>
        <v>SE026D1</v>
      </c>
      <c r="B14344" s="226" t="str">
        <f>IFERROR(__xludf.DUMMYFUNCTION("""COMPUTED_VALUE"""),"8717323024416")</f>
        <v>8717323024416</v>
      </c>
      <c r="C14344" t="str">
        <f>IFERROR(__xludf.DUMMYFUNCTION("""COMPUTED_VALUE"""),"ECS")</f>
        <v>ECS</v>
      </c>
    </row>
    <row r="14345">
      <c r="A14345" t="str">
        <f>IFERROR(__xludf.DUMMYFUNCTION("""COMPUTED_VALUE"""),"SE048B1")</f>
        <v>SE048B1</v>
      </c>
      <c r="B14345" s="226" t="str">
        <f>IFERROR(__xludf.DUMMYFUNCTION("""COMPUTED_VALUE"""),"8717323054147")</f>
        <v>8717323054147</v>
      </c>
      <c r="C14345" t="str">
        <f>IFERROR(__xludf.DUMMYFUNCTION("""COMPUTED_VALUE"""),"ECS")</f>
        <v>ECS</v>
      </c>
    </row>
    <row r="14346">
      <c r="A14346" t="str">
        <f>IFERROR(__xludf.DUMMYFUNCTION("""COMPUTED_VALUE"""),"SE048BX")</f>
        <v>SE048BX</v>
      </c>
      <c r="B14346" s="226" t="str">
        <f>IFERROR(__xludf.DUMMYFUNCTION("""COMPUTED_VALUE"""),"8717323053003")</f>
        <v>8717323053003</v>
      </c>
      <c r="C14346" t="str">
        <f>IFERROR(__xludf.DUMMYFUNCTION("""COMPUTED_VALUE"""),"ECS")</f>
        <v>ECS</v>
      </c>
    </row>
    <row r="14347">
      <c r="A14347" t="str">
        <f>IFERROR(__xludf.DUMMYFUNCTION("""COMPUTED_VALUE"""),"SE048D1")</f>
        <v>SE048D1</v>
      </c>
      <c r="B14347" s="226" t="str">
        <f>IFERROR(__xludf.DUMMYFUNCTION("""COMPUTED_VALUE"""),"8717323054154")</f>
        <v>8717323054154</v>
      </c>
      <c r="C14347" t="str">
        <f>IFERROR(__xludf.DUMMYFUNCTION("""COMPUTED_VALUE"""),"ECS")</f>
        <v>ECS</v>
      </c>
    </row>
    <row r="14348">
      <c r="A14348" t="str">
        <f>IFERROR(__xludf.DUMMYFUNCTION("""COMPUTED_VALUE"""),"SE048DX")</f>
        <v>SE048DX</v>
      </c>
      <c r="B14348" s="226" t="str">
        <f>IFERROR(__xludf.DUMMYFUNCTION("""COMPUTED_VALUE"""),"8717323053010")</f>
        <v>8717323053010</v>
      </c>
      <c r="C14348" t="str">
        <f>IFERROR(__xludf.DUMMYFUNCTION("""COMPUTED_VALUE"""),"ECS")</f>
        <v>ECS</v>
      </c>
    </row>
    <row r="14349">
      <c r="A14349" t="str">
        <f>IFERROR(__xludf.DUMMYFUNCTION("""COMPUTED_VALUE"""),"SE026B1")</f>
        <v>SE026B1</v>
      </c>
      <c r="B14349" s="226" t="str">
        <f>IFERROR(__xludf.DUMMYFUNCTION("""COMPUTED_VALUE"""),"8717323024409")</f>
        <v>8717323024409</v>
      </c>
      <c r="C14349" t="str">
        <f>IFERROR(__xludf.DUMMYFUNCTION("""COMPUTED_VALUE"""),"ECS")</f>
        <v>ECS</v>
      </c>
    </row>
    <row r="14350">
      <c r="A14350" t="str">
        <f>IFERROR(__xludf.DUMMYFUNCTION("""COMPUTED_VALUE"""),"SE026D1")</f>
        <v>SE026D1</v>
      </c>
      <c r="B14350" s="226" t="str">
        <f>IFERROR(__xludf.DUMMYFUNCTION("""COMPUTED_VALUE"""),"8717323024416")</f>
        <v>8717323024416</v>
      </c>
      <c r="C14350" t="str">
        <f>IFERROR(__xludf.DUMMYFUNCTION("""COMPUTED_VALUE"""),"ECS")</f>
        <v>ECS</v>
      </c>
    </row>
    <row r="14351">
      <c r="A14351" t="str">
        <f>IFERROR(__xludf.DUMMYFUNCTION("""COMPUTED_VALUE"""),"SE048B1")</f>
        <v>SE048B1</v>
      </c>
      <c r="B14351" s="226" t="str">
        <f>IFERROR(__xludf.DUMMYFUNCTION("""COMPUTED_VALUE"""),"8717323054147")</f>
        <v>8717323054147</v>
      </c>
      <c r="C14351" t="str">
        <f>IFERROR(__xludf.DUMMYFUNCTION("""COMPUTED_VALUE"""),"ECS")</f>
        <v>ECS</v>
      </c>
    </row>
    <row r="14352">
      <c r="A14352" t="str">
        <f>IFERROR(__xludf.DUMMYFUNCTION("""COMPUTED_VALUE"""),"SE048BX")</f>
        <v>SE048BX</v>
      </c>
      <c r="B14352" s="226" t="str">
        <f>IFERROR(__xludf.DUMMYFUNCTION("""COMPUTED_VALUE"""),"8717323053003")</f>
        <v>8717323053003</v>
      </c>
      <c r="C14352" t="str">
        <f>IFERROR(__xludf.DUMMYFUNCTION("""COMPUTED_VALUE"""),"ECS")</f>
        <v>ECS</v>
      </c>
    </row>
    <row r="14353">
      <c r="A14353" t="str">
        <f>IFERROR(__xludf.DUMMYFUNCTION("""COMPUTED_VALUE"""),"SE048D1")</f>
        <v>SE048D1</v>
      </c>
      <c r="B14353" s="226" t="str">
        <f>IFERROR(__xludf.DUMMYFUNCTION("""COMPUTED_VALUE"""),"8717323054154")</f>
        <v>8717323054154</v>
      </c>
      <c r="C14353" t="str">
        <f>IFERROR(__xludf.DUMMYFUNCTION("""COMPUTED_VALUE"""),"ECS")</f>
        <v>ECS</v>
      </c>
    </row>
    <row r="14354">
      <c r="A14354" t="str">
        <f>IFERROR(__xludf.DUMMYFUNCTION("""COMPUTED_VALUE"""),"SE048DX")</f>
        <v>SE048DX</v>
      </c>
      <c r="B14354" s="226" t="str">
        <f>IFERROR(__xludf.DUMMYFUNCTION("""COMPUTED_VALUE"""),"8717323053010")</f>
        <v>8717323053010</v>
      </c>
      <c r="C14354" t="str">
        <f>IFERROR(__xludf.DUMMYFUNCTION("""COMPUTED_VALUE"""),"ECS")</f>
        <v>ECS</v>
      </c>
    </row>
    <row r="14355">
      <c r="A14355" t="str">
        <f>IFERROR(__xludf.DUMMYFUNCTION("""COMPUTED_VALUE"""),"SE045B1")</f>
        <v>SE045B1</v>
      </c>
      <c r="B14355" s="226" t="str">
        <f>IFERROR(__xludf.DUMMYFUNCTION("""COMPUTED_VALUE"""),"8717323050187")</f>
        <v>8717323050187</v>
      </c>
      <c r="C14355" t="str">
        <f>IFERROR(__xludf.DUMMYFUNCTION("""COMPUTED_VALUE"""),"ECS")</f>
        <v>ECS</v>
      </c>
    </row>
    <row r="14356">
      <c r="A14356" t="str">
        <f>IFERROR(__xludf.DUMMYFUNCTION("""COMPUTED_VALUE"""),"SE045D1")</f>
        <v>SE045D1</v>
      </c>
      <c r="B14356" s="226" t="str">
        <f>IFERROR(__xludf.DUMMYFUNCTION("""COMPUTED_VALUE"""),"8717323050194")</f>
        <v>8717323050194</v>
      </c>
      <c r="C14356" t="str">
        <f>IFERROR(__xludf.DUMMYFUNCTION("""COMPUTED_VALUE"""),"ECS")</f>
        <v>ECS</v>
      </c>
    </row>
    <row r="14357">
      <c r="A14357" t="str">
        <f>IFERROR(__xludf.DUMMYFUNCTION("""COMPUTED_VALUE"""),"VW146B1")</f>
        <v>VW146B1</v>
      </c>
      <c r="B14357" s="226" t="str">
        <f>IFERROR(__xludf.DUMMYFUNCTION("""COMPUTED_VALUE"""),"8717323050644")</f>
        <v>8717323050644</v>
      </c>
      <c r="C14357" t="str">
        <f>IFERROR(__xludf.DUMMYFUNCTION("""COMPUTED_VALUE"""),"ECS")</f>
        <v>ECS</v>
      </c>
    </row>
    <row r="14358">
      <c r="A14358" t="str">
        <f>IFERROR(__xludf.DUMMYFUNCTION("""COMPUTED_VALUE"""),"VW146D1")</f>
        <v>VW146D1</v>
      </c>
      <c r="B14358" s="226" t="str">
        <f>IFERROR(__xludf.DUMMYFUNCTION("""COMPUTED_VALUE"""),"8717323050651")</f>
        <v>8717323050651</v>
      </c>
      <c r="C14358" t="str">
        <f>IFERROR(__xludf.DUMMYFUNCTION("""COMPUTED_VALUE"""),"ECS")</f>
        <v>ECS</v>
      </c>
    </row>
    <row r="14359">
      <c r="A14359" t="str">
        <f>IFERROR(__xludf.DUMMYFUNCTION("""COMPUTED_VALUE"""),"VW190B1")</f>
        <v>VW190B1</v>
      </c>
      <c r="B14359" s="226" t="str">
        <f>IFERROR(__xludf.DUMMYFUNCTION("""COMPUTED_VALUE"""),"8717323061039")</f>
        <v>8717323061039</v>
      </c>
      <c r="C14359" t="str">
        <f>IFERROR(__xludf.DUMMYFUNCTION("""COMPUTED_VALUE"""),"ECS")</f>
        <v>ECS</v>
      </c>
    </row>
    <row r="14360">
      <c r="A14360" t="str">
        <f>IFERROR(__xludf.DUMMYFUNCTION("""COMPUTED_VALUE"""),"VW190H1")</f>
        <v>VW190H1</v>
      </c>
      <c r="B14360" s="226" t="str">
        <f>IFERROR(__xludf.DUMMYFUNCTION("""COMPUTED_VALUE"""),"8717323060957")</f>
        <v>8717323060957</v>
      </c>
      <c r="C14360" t="str">
        <f>IFERROR(__xludf.DUMMYFUNCTION("""COMPUTED_VALUE"""),"ECS")</f>
        <v>ECS</v>
      </c>
    </row>
    <row r="14361">
      <c r="A14361" t="str">
        <f>IFERROR(__xludf.DUMMYFUNCTION("""COMPUTED_VALUE"""),"VAG038B")</f>
        <v>VAG038B</v>
      </c>
      <c r="B14361" s="226" t="str">
        <f>IFERROR(__xludf.DUMMYFUNCTION("""COMPUTED_VALUE"""),"8717323008522")</f>
        <v>8717323008522</v>
      </c>
      <c r="C14361" t="str">
        <f>IFERROR(__xludf.DUMMYFUNCTION("""COMPUTED_VALUE"""),"ECS")</f>
        <v>ECS</v>
      </c>
    </row>
    <row r="14362">
      <c r="A14362" t="str">
        <f>IFERROR(__xludf.DUMMYFUNCTION("""COMPUTED_VALUE"""),"VW116B1")</f>
        <v>VW116B1</v>
      </c>
      <c r="B14362" s="226" t="str">
        <f>IFERROR(__xludf.DUMMYFUNCTION("""COMPUTED_VALUE"""),"8717323025918")</f>
        <v>8717323025918</v>
      </c>
      <c r="C14362" t="str">
        <f>IFERROR(__xludf.DUMMYFUNCTION("""COMPUTED_VALUE"""),"ECS")</f>
        <v>ECS</v>
      </c>
    </row>
    <row r="14363">
      <c r="A14363" t="str">
        <f>IFERROR(__xludf.DUMMYFUNCTION("""COMPUTED_VALUE"""),"VW116D1")</f>
        <v>VW116D1</v>
      </c>
      <c r="B14363" s="226" t="str">
        <f>IFERROR(__xludf.DUMMYFUNCTION("""COMPUTED_VALUE"""),"8717323024751")</f>
        <v>8717323024751</v>
      </c>
      <c r="C14363" t="str">
        <f>IFERROR(__xludf.DUMMYFUNCTION("""COMPUTED_VALUE"""),"ECS")</f>
        <v>ECS</v>
      </c>
    </row>
    <row r="14364">
      <c r="A14364" t="str">
        <f>IFERROR(__xludf.DUMMYFUNCTION("""COMPUTED_VALUE"""),"VW131B1")</f>
        <v>VW131B1</v>
      </c>
      <c r="B14364" s="226" t="str">
        <f>IFERROR(__xludf.DUMMYFUNCTION("""COMPUTED_VALUE"""),"8717323046296")</f>
        <v>8717323046296</v>
      </c>
      <c r="C14364" t="str">
        <f>IFERROR(__xludf.DUMMYFUNCTION("""COMPUTED_VALUE"""),"ECS")</f>
        <v>ECS</v>
      </c>
    </row>
    <row r="14365">
      <c r="A14365" t="str">
        <f>IFERROR(__xludf.DUMMYFUNCTION("""COMPUTED_VALUE"""),"VW116B1")</f>
        <v>VW116B1</v>
      </c>
      <c r="B14365" s="226" t="str">
        <f>IFERROR(__xludf.DUMMYFUNCTION("""COMPUTED_VALUE"""),"8717323025918")</f>
        <v>8717323025918</v>
      </c>
      <c r="C14365" t="str">
        <f>IFERROR(__xludf.DUMMYFUNCTION("""COMPUTED_VALUE"""),"ECS")</f>
        <v>ECS</v>
      </c>
    </row>
    <row r="14366">
      <c r="A14366" t="str">
        <f>IFERROR(__xludf.DUMMYFUNCTION("""COMPUTED_VALUE"""),"VW116D1")</f>
        <v>VW116D1</v>
      </c>
      <c r="B14366" s="226" t="str">
        <f>IFERROR(__xludf.DUMMYFUNCTION("""COMPUTED_VALUE"""),"8717323024751")</f>
        <v>8717323024751</v>
      </c>
      <c r="C14366" t="str">
        <f>IFERROR(__xludf.DUMMYFUNCTION("""COMPUTED_VALUE"""),"ECS")</f>
        <v>ECS</v>
      </c>
    </row>
    <row r="14367">
      <c r="A14367" t="str">
        <f>IFERROR(__xludf.DUMMYFUNCTION("""COMPUTED_VALUE"""),"VW131B1")</f>
        <v>VW131B1</v>
      </c>
      <c r="B14367" s="226" t="str">
        <f>IFERROR(__xludf.DUMMYFUNCTION("""COMPUTED_VALUE"""),"8717323046296")</f>
        <v>8717323046296</v>
      </c>
      <c r="C14367" t="str">
        <f>IFERROR(__xludf.DUMMYFUNCTION("""COMPUTED_VALUE"""),"ECS")</f>
        <v>ECS</v>
      </c>
    </row>
    <row r="14368">
      <c r="A14368" t="str">
        <f>IFERROR(__xludf.DUMMYFUNCTION("""COMPUTED_VALUE"""),"VW146B1")</f>
        <v>VW146B1</v>
      </c>
      <c r="B14368" s="226" t="str">
        <f>IFERROR(__xludf.DUMMYFUNCTION("""COMPUTED_VALUE"""),"8717323050644")</f>
        <v>8717323050644</v>
      </c>
      <c r="C14368" t="str">
        <f>IFERROR(__xludf.DUMMYFUNCTION("""COMPUTED_VALUE"""),"ECS")</f>
        <v>ECS</v>
      </c>
    </row>
    <row r="14369">
      <c r="A14369" t="str">
        <f>IFERROR(__xludf.DUMMYFUNCTION("""COMPUTED_VALUE"""),"VW146D1")</f>
        <v>VW146D1</v>
      </c>
      <c r="B14369" s="226" t="str">
        <f>IFERROR(__xludf.DUMMYFUNCTION("""COMPUTED_VALUE"""),"8717323050651")</f>
        <v>8717323050651</v>
      </c>
      <c r="C14369" t="str">
        <f>IFERROR(__xludf.DUMMYFUNCTION("""COMPUTED_VALUE"""),"ECS")</f>
        <v>ECS</v>
      </c>
    </row>
    <row r="14370">
      <c r="A14370" t="str">
        <f>IFERROR(__xludf.DUMMYFUNCTION("""COMPUTED_VALUE"""),"VW190B1")</f>
        <v>VW190B1</v>
      </c>
      <c r="B14370" s="226" t="str">
        <f>IFERROR(__xludf.DUMMYFUNCTION("""COMPUTED_VALUE"""),"8717323061039")</f>
        <v>8717323061039</v>
      </c>
      <c r="C14370" t="str">
        <f>IFERROR(__xludf.DUMMYFUNCTION("""COMPUTED_VALUE"""),"ECS")</f>
        <v>ECS</v>
      </c>
    </row>
    <row r="14371">
      <c r="A14371" t="str">
        <f>IFERROR(__xludf.DUMMYFUNCTION("""COMPUTED_VALUE"""),"VW190H1")</f>
        <v>VW190H1</v>
      </c>
      <c r="B14371" s="226" t="str">
        <f>IFERROR(__xludf.DUMMYFUNCTION("""COMPUTED_VALUE"""),"8717323060957")</f>
        <v>8717323060957</v>
      </c>
      <c r="C14371" t="str">
        <f>IFERROR(__xludf.DUMMYFUNCTION("""COMPUTED_VALUE"""),"ECS")</f>
        <v>ECS</v>
      </c>
    </row>
    <row r="14372">
      <c r="A14372" t="str">
        <f>IFERROR(__xludf.DUMMYFUNCTION("""COMPUTED_VALUE"""),"AU057B1")</f>
        <v>AU057B1</v>
      </c>
      <c r="B14372" s="226" t="str">
        <f>IFERROR(__xludf.DUMMYFUNCTION("""COMPUTED_VALUE"""),"8717323050088")</f>
        <v>8717323050088</v>
      </c>
      <c r="C14372" t="str">
        <f>IFERROR(__xludf.DUMMYFUNCTION("""COMPUTED_VALUE"""),"ECS")</f>
        <v>ECS</v>
      </c>
    </row>
    <row r="14373">
      <c r="A14373" t="str">
        <f>IFERROR(__xludf.DUMMYFUNCTION("""COMPUTED_VALUE"""),"AU057H1")</f>
        <v>AU057H1</v>
      </c>
      <c r="B14373" s="226" t="str">
        <f>IFERROR(__xludf.DUMMYFUNCTION("""COMPUTED_VALUE"""),"8717323050101")</f>
        <v>8717323050101</v>
      </c>
      <c r="C14373" t="str">
        <f>IFERROR(__xludf.DUMMYFUNCTION("""COMPUTED_VALUE"""),"ECS")</f>
        <v>ECS</v>
      </c>
    </row>
    <row r="14374">
      <c r="A14374" t="str">
        <f>IFERROR(__xludf.DUMMYFUNCTION("""COMPUTED_VALUE"""),"SE006BB")</f>
        <v>SE006BB</v>
      </c>
      <c r="B14374" s="226" t="str">
        <f>IFERROR(__xludf.DUMMYFUNCTION("""COMPUTED_VALUE"""),"8717323006863")</f>
        <v>8717323006863</v>
      </c>
      <c r="C14374" t="str">
        <f>IFERROR(__xludf.DUMMYFUNCTION("""COMPUTED_VALUE"""),"ECS")</f>
        <v>ECS</v>
      </c>
    </row>
    <row r="14375">
      <c r="A14375" t="str">
        <f>IFERROR(__xludf.DUMMYFUNCTION("""COMPUTED_VALUE"""),"VW190B1")</f>
        <v>VW190B1</v>
      </c>
      <c r="B14375" s="226" t="str">
        <f>IFERROR(__xludf.DUMMYFUNCTION("""COMPUTED_VALUE"""),"8717323061039")</f>
        <v>8717323061039</v>
      </c>
      <c r="C14375" t="str">
        <f>IFERROR(__xludf.DUMMYFUNCTION("""COMPUTED_VALUE"""),"ECS")</f>
        <v>ECS</v>
      </c>
    </row>
    <row r="14376">
      <c r="A14376" t="str">
        <f>IFERROR(__xludf.DUMMYFUNCTION("""COMPUTED_VALUE"""),"VW190H1")</f>
        <v>VW190H1</v>
      </c>
      <c r="B14376" s="226" t="str">
        <f>IFERROR(__xludf.DUMMYFUNCTION("""COMPUTED_VALUE"""),"8717323060957")</f>
        <v>8717323060957</v>
      </c>
      <c r="C14376" t="str">
        <f>IFERROR(__xludf.DUMMYFUNCTION("""COMPUTED_VALUE"""),"ECS")</f>
        <v>ECS</v>
      </c>
    </row>
    <row r="14377">
      <c r="A14377" t="str">
        <f>IFERROR(__xludf.DUMMYFUNCTION("""COMPUTED_VALUE"""),"AU057B1")</f>
        <v>AU057B1</v>
      </c>
      <c r="B14377" s="226" t="str">
        <f>IFERROR(__xludf.DUMMYFUNCTION("""COMPUTED_VALUE"""),"8717323050088")</f>
        <v>8717323050088</v>
      </c>
      <c r="C14377" t="str">
        <f>IFERROR(__xludf.DUMMYFUNCTION("""COMPUTED_VALUE"""),"ECS")</f>
        <v>ECS</v>
      </c>
    </row>
    <row r="14378">
      <c r="A14378" t="str">
        <f>IFERROR(__xludf.DUMMYFUNCTION("""COMPUTED_VALUE"""),"AU057H1")</f>
        <v>AU057H1</v>
      </c>
      <c r="B14378" s="226" t="str">
        <f>IFERROR(__xludf.DUMMYFUNCTION("""COMPUTED_VALUE"""),"8717323050101")</f>
        <v>8717323050101</v>
      </c>
      <c r="C14378" t="str">
        <f>IFERROR(__xludf.DUMMYFUNCTION("""COMPUTED_VALUE"""),"ECS")</f>
        <v>ECS</v>
      </c>
    </row>
    <row r="14379">
      <c r="A14379" t="str">
        <f>IFERROR(__xludf.DUMMYFUNCTION("""COMPUTED_VALUE"""),"SE042B1")</f>
        <v>SE042B1</v>
      </c>
      <c r="B14379" s="226" t="str">
        <f>IFERROR(__xludf.DUMMYFUNCTION("""COMPUTED_VALUE"""),"8717323048764")</f>
        <v>8717323048764</v>
      </c>
      <c r="C14379" t="str">
        <f>IFERROR(__xludf.DUMMYFUNCTION("""COMPUTED_VALUE"""),"ECS")</f>
        <v>ECS</v>
      </c>
    </row>
    <row r="14380">
      <c r="A14380" t="str">
        <f>IFERROR(__xludf.DUMMYFUNCTION("""COMPUTED_VALUE"""),"SE042D1")</f>
        <v>SE042D1</v>
      </c>
      <c r="B14380" s="226" t="str">
        <f>IFERROR(__xludf.DUMMYFUNCTION("""COMPUTED_VALUE"""),"8717323048771")</f>
        <v>8717323048771</v>
      </c>
      <c r="C14380" t="str">
        <f>IFERROR(__xludf.DUMMYFUNCTION("""COMPUTED_VALUE"""),"ECS")</f>
        <v>ECS</v>
      </c>
    </row>
    <row r="14381">
      <c r="A14381" t="str">
        <f>IFERROR(__xludf.DUMMYFUNCTION("""COMPUTED_VALUE"""),"VW146B1")</f>
        <v>VW146B1</v>
      </c>
      <c r="B14381" s="226" t="str">
        <f>IFERROR(__xludf.DUMMYFUNCTION("""COMPUTED_VALUE"""),"8717323050644")</f>
        <v>8717323050644</v>
      </c>
      <c r="C14381" t="str">
        <f>IFERROR(__xludf.DUMMYFUNCTION("""COMPUTED_VALUE"""),"ECS")</f>
        <v>ECS</v>
      </c>
    </row>
    <row r="14382">
      <c r="A14382" t="str">
        <f>IFERROR(__xludf.DUMMYFUNCTION("""COMPUTED_VALUE"""),"VW146D1")</f>
        <v>VW146D1</v>
      </c>
      <c r="B14382" s="226" t="str">
        <f>IFERROR(__xludf.DUMMYFUNCTION("""COMPUTED_VALUE"""),"8717323050651")</f>
        <v>8717323050651</v>
      </c>
      <c r="C14382" t="str">
        <f>IFERROR(__xludf.DUMMYFUNCTION("""COMPUTED_VALUE"""),"ECS")</f>
        <v>ECS</v>
      </c>
    </row>
    <row r="14383">
      <c r="A14383" t="str">
        <f>IFERROR(__xludf.DUMMYFUNCTION("""COMPUTED_VALUE"""),"VW190B1")</f>
        <v>VW190B1</v>
      </c>
      <c r="B14383" s="226" t="str">
        <f>IFERROR(__xludf.DUMMYFUNCTION("""COMPUTED_VALUE"""),"8717323061039")</f>
        <v>8717323061039</v>
      </c>
      <c r="C14383" t="str">
        <f>IFERROR(__xludf.DUMMYFUNCTION("""COMPUTED_VALUE"""),"ECS")</f>
        <v>ECS</v>
      </c>
    </row>
    <row r="14384">
      <c r="A14384" t="str">
        <f>IFERROR(__xludf.DUMMYFUNCTION("""COMPUTED_VALUE"""),"VW190H1")</f>
        <v>VW190H1</v>
      </c>
      <c r="B14384" s="226" t="str">
        <f>IFERROR(__xludf.DUMMYFUNCTION("""COMPUTED_VALUE"""),"8717323060957")</f>
        <v>8717323060957</v>
      </c>
      <c r="C14384" t="str">
        <f>IFERROR(__xludf.DUMMYFUNCTION("""COMPUTED_VALUE"""),"ECS")</f>
        <v>ECS</v>
      </c>
    </row>
    <row r="14385">
      <c r="A14385" t="str">
        <f>IFERROR(__xludf.DUMMYFUNCTION("""COMPUTED_VALUE"""),"AU057B1")</f>
        <v>AU057B1</v>
      </c>
      <c r="B14385" s="226" t="str">
        <f>IFERROR(__xludf.DUMMYFUNCTION("""COMPUTED_VALUE"""),"8717323050088")</f>
        <v>8717323050088</v>
      </c>
      <c r="C14385" t="str">
        <f>IFERROR(__xludf.DUMMYFUNCTION("""COMPUTED_VALUE"""),"ECS")</f>
        <v>ECS</v>
      </c>
    </row>
    <row r="14386">
      <c r="A14386" t="str">
        <f>IFERROR(__xludf.DUMMYFUNCTION("""COMPUTED_VALUE"""),"AU057H1")</f>
        <v>AU057H1</v>
      </c>
      <c r="B14386" s="226" t="str">
        <f>IFERROR(__xludf.DUMMYFUNCTION("""COMPUTED_VALUE"""),"8717323050101")</f>
        <v>8717323050101</v>
      </c>
      <c r="C14386" t="str">
        <f>IFERROR(__xludf.DUMMYFUNCTION("""COMPUTED_VALUE"""),"ECS")</f>
        <v>ECS</v>
      </c>
    </row>
    <row r="14387">
      <c r="A14387" t="str">
        <f>IFERROR(__xludf.DUMMYFUNCTION("""COMPUTED_VALUE"""),"SE045B1")</f>
        <v>SE045B1</v>
      </c>
      <c r="B14387" s="226" t="str">
        <f>IFERROR(__xludf.DUMMYFUNCTION("""COMPUTED_VALUE"""),"8717323050187")</f>
        <v>8717323050187</v>
      </c>
      <c r="C14387" t="str">
        <f>IFERROR(__xludf.DUMMYFUNCTION("""COMPUTED_VALUE"""),"ECS")</f>
        <v>ECS</v>
      </c>
    </row>
    <row r="14388">
      <c r="A14388" t="str">
        <f>IFERROR(__xludf.DUMMYFUNCTION("""COMPUTED_VALUE"""),"SE045D1")</f>
        <v>SE045D1</v>
      </c>
      <c r="B14388" s="226" t="str">
        <f>IFERROR(__xludf.DUMMYFUNCTION("""COMPUTED_VALUE"""),"8717323050194")</f>
        <v>8717323050194</v>
      </c>
      <c r="C14388" t="str">
        <f>IFERROR(__xludf.DUMMYFUNCTION("""COMPUTED_VALUE"""),"ECS")</f>
        <v>ECS</v>
      </c>
    </row>
    <row r="14389">
      <c r="A14389" t="str">
        <f>IFERROR(__xludf.DUMMYFUNCTION("""COMPUTED_VALUE"""),"SE045B1")</f>
        <v>SE045B1</v>
      </c>
      <c r="B14389" s="226" t="str">
        <f>IFERROR(__xludf.DUMMYFUNCTION("""COMPUTED_VALUE"""),"8717323050187")</f>
        <v>8717323050187</v>
      </c>
      <c r="C14389" t="str">
        <f>IFERROR(__xludf.DUMMYFUNCTION("""COMPUTED_VALUE"""),"ECS")</f>
        <v>ECS</v>
      </c>
    </row>
    <row r="14390">
      <c r="A14390" t="str">
        <f>IFERROR(__xludf.DUMMYFUNCTION("""COMPUTED_VALUE"""),"SE045D1")</f>
        <v>SE045D1</v>
      </c>
      <c r="B14390" s="226" t="str">
        <f>IFERROR(__xludf.DUMMYFUNCTION("""COMPUTED_VALUE"""),"8717323050194")</f>
        <v>8717323050194</v>
      </c>
      <c r="C14390" t="str">
        <f>IFERROR(__xludf.DUMMYFUNCTION("""COMPUTED_VALUE"""),"ECS")</f>
        <v>ECS</v>
      </c>
    </row>
    <row r="14391">
      <c r="A14391" t="str">
        <f>IFERROR(__xludf.DUMMYFUNCTION("""COMPUTED_VALUE"""),"VW146B1")</f>
        <v>VW146B1</v>
      </c>
      <c r="B14391" s="226" t="str">
        <f>IFERROR(__xludf.DUMMYFUNCTION("""COMPUTED_VALUE"""),"8717323050644")</f>
        <v>8717323050644</v>
      </c>
      <c r="C14391" t="str">
        <f>IFERROR(__xludf.DUMMYFUNCTION("""COMPUTED_VALUE"""),"ECS")</f>
        <v>ECS</v>
      </c>
    </row>
    <row r="14392">
      <c r="A14392" t="str">
        <f>IFERROR(__xludf.DUMMYFUNCTION("""COMPUTED_VALUE"""),"VW146D1")</f>
        <v>VW146D1</v>
      </c>
      <c r="B14392" s="226" t="str">
        <f>IFERROR(__xludf.DUMMYFUNCTION("""COMPUTED_VALUE"""),"8717323050651")</f>
        <v>8717323050651</v>
      </c>
      <c r="C14392" t="str">
        <f>IFERROR(__xludf.DUMMYFUNCTION("""COMPUTED_VALUE"""),"ECS")</f>
        <v>ECS</v>
      </c>
    </row>
    <row r="14393">
      <c r="A14393" t="str">
        <f>IFERROR(__xludf.DUMMYFUNCTION("""COMPUTED_VALUE"""),"VW190B1")</f>
        <v>VW190B1</v>
      </c>
      <c r="B14393" s="226" t="str">
        <f>IFERROR(__xludf.DUMMYFUNCTION("""COMPUTED_VALUE"""),"8717323061039")</f>
        <v>8717323061039</v>
      </c>
      <c r="C14393" t="str">
        <f>IFERROR(__xludf.DUMMYFUNCTION("""COMPUTED_VALUE"""),"ECS")</f>
        <v>ECS</v>
      </c>
    </row>
    <row r="14394">
      <c r="A14394" t="str">
        <f>IFERROR(__xludf.DUMMYFUNCTION("""COMPUTED_VALUE"""),"VW190H1")</f>
        <v>VW190H1</v>
      </c>
      <c r="B14394" s="226" t="str">
        <f>IFERROR(__xludf.DUMMYFUNCTION("""COMPUTED_VALUE"""),"8717323060957")</f>
        <v>8717323060957</v>
      </c>
      <c r="C14394" t="str">
        <f>IFERROR(__xludf.DUMMYFUNCTION("""COMPUTED_VALUE"""),"ECS")</f>
        <v>ECS</v>
      </c>
    </row>
    <row r="14395">
      <c r="A14395" t="str">
        <f>IFERROR(__xludf.DUMMYFUNCTION("""COMPUTED_VALUE"""),"VW121DH")</f>
        <v>VW121DH</v>
      </c>
      <c r="B14395" s="226" t="str">
        <f>IFERROR(__xludf.DUMMYFUNCTION("""COMPUTED_VALUE"""),"8717323030646")</f>
        <v>8717323030646</v>
      </c>
      <c r="C14395" t="str">
        <f>IFERROR(__xludf.DUMMYFUNCTION("""COMPUTED_VALUE"""),"ECS")</f>
        <v>ECS</v>
      </c>
    </row>
    <row r="14396">
      <c r="A14396" t="str">
        <f>IFERROR(__xludf.DUMMYFUNCTION("""COMPUTED_VALUE"""),"VW121DH")</f>
        <v>VW121DH</v>
      </c>
      <c r="B14396" s="226" t="str">
        <f>IFERROR(__xludf.DUMMYFUNCTION("""COMPUTED_VALUE"""),"8717323030646")</f>
        <v>8717323030646</v>
      </c>
      <c r="C14396" t="str">
        <f>IFERROR(__xludf.DUMMYFUNCTION("""COMPUTED_VALUE"""),"ECS")</f>
        <v>ECS</v>
      </c>
    </row>
    <row r="14397">
      <c r="A14397" t="str">
        <f>IFERROR(__xludf.DUMMYFUNCTION("""COMPUTED_VALUE"""),"SE045B1")</f>
        <v>SE045B1</v>
      </c>
      <c r="B14397" s="226" t="str">
        <f>IFERROR(__xludf.DUMMYFUNCTION("""COMPUTED_VALUE"""),"8717323050187")</f>
        <v>8717323050187</v>
      </c>
      <c r="C14397" t="str">
        <f>IFERROR(__xludf.DUMMYFUNCTION("""COMPUTED_VALUE"""),"ECS")</f>
        <v>ECS</v>
      </c>
    </row>
    <row r="14398">
      <c r="A14398" t="str">
        <f>IFERROR(__xludf.DUMMYFUNCTION("""COMPUTED_VALUE"""),"SE045D1")</f>
        <v>SE045D1</v>
      </c>
      <c r="B14398" s="226" t="str">
        <f>IFERROR(__xludf.DUMMYFUNCTION("""COMPUTED_VALUE"""),"8717323050194")</f>
        <v>8717323050194</v>
      </c>
      <c r="C14398" t="str">
        <f>IFERROR(__xludf.DUMMYFUNCTION("""COMPUTED_VALUE"""),"ECS")</f>
        <v>ECS</v>
      </c>
    </row>
    <row r="14399">
      <c r="A14399" t="str">
        <f>IFERROR(__xludf.DUMMYFUNCTION("""COMPUTED_VALUE"""),"VW146B1")</f>
        <v>VW146B1</v>
      </c>
      <c r="B14399" s="226" t="str">
        <f>IFERROR(__xludf.DUMMYFUNCTION("""COMPUTED_VALUE"""),"8717323050644")</f>
        <v>8717323050644</v>
      </c>
      <c r="C14399" t="str">
        <f>IFERROR(__xludf.DUMMYFUNCTION("""COMPUTED_VALUE"""),"ECS")</f>
        <v>ECS</v>
      </c>
    </row>
    <row r="14400">
      <c r="A14400" t="str">
        <f>IFERROR(__xludf.DUMMYFUNCTION("""COMPUTED_VALUE"""),"VW146D1")</f>
        <v>VW146D1</v>
      </c>
      <c r="B14400" s="226" t="str">
        <f>IFERROR(__xludf.DUMMYFUNCTION("""COMPUTED_VALUE"""),"8717323050651")</f>
        <v>8717323050651</v>
      </c>
      <c r="C14400" t="str">
        <f>IFERROR(__xludf.DUMMYFUNCTION("""COMPUTED_VALUE"""),"ECS")</f>
        <v>ECS</v>
      </c>
    </row>
    <row r="14401">
      <c r="A14401" t="str">
        <f>IFERROR(__xludf.DUMMYFUNCTION("""COMPUTED_VALUE"""),"VW190B1")</f>
        <v>VW190B1</v>
      </c>
      <c r="B14401" s="226" t="str">
        <f>IFERROR(__xludf.DUMMYFUNCTION("""COMPUTED_VALUE"""),"8717323061039")</f>
        <v>8717323061039</v>
      </c>
      <c r="C14401" t="str">
        <f>IFERROR(__xludf.DUMMYFUNCTION("""COMPUTED_VALUE"""),"ECS")</f>
        <v>ECS</v>
      </c>
    </row>
    <row r="14402">
      <c r="A14402" t="str">
        <f>IFERROR(__xludf.DUMMYFUNCTION("""COMPUTED_VALUE"""),"VW190H1")</f>
        <v>VW190H1</v>
      </c>
      <c r="B14402" s="226" t="str">
        <f>IFERROR(__xludf.DUMMYFUNCTION("""COMPUTED_VALUE"""),"8717323060957")</f>
        <v>8717323060957</v>
      </c>
      <c r="C14402" t="str">
        <f>IFERROR(__xludf.DUMMYFUNCTION("""COMPUTED_VALUE"""),"ECS")</f>
        <v>ECS</v>
      </c>
    </row>
    <row r="14403">
      <c r="A14403" t="str">
        <f>IFERROR(__xludf.DUMMYFUNCTION("""COMPUTED_VALUE"""),"VW116B1")</f>
        <v>VW116B1</v>
      </c>
      <c r="B14403" s="226" t="str">
        <f>IFERROR(__xludf.DUMMYFUNCTION("""COMPUTED_VALUE"""),"8717323025918")</f>
        <v>8717323025918</v>
      </c>
      <c r="C14403" t="str">
        <f>IFERROR(__xludf.DUMMYFUNCTION("""COMPUTED_VALUE"""),"ECS")</f>
        <v>ECS</v>
      </c>
    </row>
    <row r="14404">
      <c r="A14404" t="str">
        <f>IFERROR(__xludf.DUMMYFUNCTION("""COMPUTED_VALUE"""),"VW116D1")</f>
        <v>VW116D1</v>
      </c>
      <c r="B14404" s="226" t="str">
        <f>IFERROR(__xludf.DUMMYFUNCTION("""COMPUTED_VALUE"""),"8717323024751")</f>
        <v>8717323024751</v>
      </c>
      <c r="C14404" t="str">
        <f>IFERROR(__xludf.DUMMYFUNCTION("""COMPUTED_VALUE"""),"ECS")</f>
        <v>ECS</v>
      </c>
    </row>
    <row r="14405">
      <c r="A14405" t="str">
        <f>IFERROR(__xludf.DUMMYFUNCTION("""COMPUTED_VALUE"""),"SK018B1")</f>
        <v>SK018B1</v>
      </c>
      <c r="B14405" s="226" t="str">
        <f>IFERROR(__xludf.DUMMYFUNCTION("""COMPUTED_VALUE"""),"8717323045565")</f>
        <v>8717323045565</v>
      </c>
      <c r="C14405" t="str">
        <f>IFERROR(__xludf.DUMMYFUNCTION("""COMPUTED_VALUE"""),"ECS")</f>
        <v>ECS</v>
      </c>
    </row>
    <row r="14406">
      <c r="A14406" t="str">
        <f>IFERROR(__xludf.DUMMYFUNCTION("""COMPUTED_VALUE"""),"SK018D1")</f>
        <v>SK018D1</v>
      </c>
      <c r="B14406" s="226" t="str">
        <f>IFERROR(__xludf.DUMMYFUNCTION("""COMPUTED_VALUE"""),"8717323045572")</f>
        <v>8717323045572</v>
      </c>
      <c r="C14406" t="str">
        <f>IFERROR(__xludf.DUMMYFUNCTION("""COMPUTED_VALUE"""),"ECS")</f>
        <v>ECS</v>
      </c>
    </row>
    <row r="14407">
      <c r="A14407" t="str">
        <f>IFERROR(__xludf.DUMMYFUNCTION("""COMPUTED_VALUE"""),"SE048B1")</f>
        <v>SE048B1</v>
      </c>
      <c r="B14407" s="226" t="str">
        <f>IFERROR(__xludf.DUMMYFUNCTION("""COMPUTED_VALUE"""),"8717323054147")</f>
        <v>8717323054147</v>
      </c>
      <c r="C14407" t="str">
        <f>IFERROR(__xludf.DUMMYFUNCTION("""COMPUTED_VALUE"""),"ECS")</f>
        <v>ECS</v>
      </c>
    </row>
    <row r="14408">
      <c r="A14408" t="str">
        <f>IFERROR(__xludf.DUMMYFUNCTION("""COMPUTED_VALUE"""),"SE048BX")</f>
        <v>SE048BX</v>
      </c>
      <c r="B14408" s="226" t="str">
        <f>IFERROR(__xludf.DUMMYFUNCTION("""COMPUTED_VALUE"""),"8717323053003")</f>
        <v>8717323053003</v>
      </c>
      <c r="C14408" t="str">
        <f>IFERROR(__xludf.DUMMYFUNCTION("""COMPUTED_VALUE"""),"ECS")</f>
        <v>ECS</v>
      </c>
    </row>
    <row r="14409">
      <c r="A14409" t="str">
        <f>IFERROR(__xludf.DUMMYFUNCTION("""COMPUTED_VALUE"""),"SE048D1")</f>
        <v>SE048D1</v>
      </c>
      <c r="B14409" s="226" t="str">
        <f>IFERROR(__xludf.DUMMYFUNCTION("""COMPUTED_VALUE"""),"8717323054154")</f>
        <v>8717323054154</v>
      </c>
      <c r="C14409" t="str">
        <f>IFERROR(__xludf.DUMMYFUNCTION("""COMPUTED_VALUE"""),"ECS")</f>
        <v>ECS</v>
      </c>
    </row>
    <row r="14410">
      <c r="A14410" t="str">
        <f>IFERROR(__xludf.DUMMYFUNCTION("""COMPUTED_VALUE"""),"SE048DX")</f>
        <v>SE048DX</v>
      </c>
      <c r="B14410" s="226" t="str">
        <f>IFERROR(__xludf.DUMMYFUNCTION("""COMPUTED_VALUE"""),"8717323053010")</f>
        <v>8717323053010</v>
      </c>
      <c r="C14410" t="str">
        <f>IFERROR(__xludf.DUMMYFUNCTION("""COMPUTED_VALUE"""),"ECS")</f>
        <v>ECS</v>
      </c>
    </row>
    <row r="14411">
      <c r="A14411" t="str">
        <f>IFERROR(__xludf.DUMMYFUNCTION("""COMPUTED_VALUE"""),"VW121DH")</f>
        <v>VW121DH</v>
      </c>
      <c r="B14411" s="226" t="str">
        <f>IFERROR(__xludf.DUMMYFUNCTION("""COMPUTED_VALUE"""),"8717323030646")</f>
        <v>8717323030646</v>
      </c>
      <c r="C14411" t="str">
        <f>IFERROR(__xludf.DUMMYFUNCTION("""COMPUTED_VALUE"""),"ECS")</f>
        <v>ECS</v>
      </c>
    </row>
    <row r="14412">
      <c r="A14412" t="str">
        <f>IFERROR(__xludf.DUMMYFUNCTION("""COMPUTED_VALUE"""),"VW121DH")</f>
        <v>VW121DH</v>
      </c>
      <c r="B14412" s="226" t="str">
        <f>IFERROR(__xludf.DUMMYFUNCTION("""COMPUTED_VALUE"""),"8717323030646")</f>
        <v>8717323030646</v>
      </c>
      <c r="C14412" t="str">
        <f>IFERROR(__xludf.DUMMYFUNCTION("""COMPUTED_VALUE"""),"ECS")</f>
        <v>ECS</v>
      </c>
    </row>
    <row r="14413">
      <c r="A14413" t="str">
        <f>IFERROR(__xludf.DUMMYFUNCTION("""COMPUTED_VALUE"""),"SK001BB")</f>
        <v>SK001BB</v>
      </c>
      <c r="B14413" s="226" t="str">
        <f>IFERROR(__xludf.DUMMYFUNCTION("""COMPUTED_VALUE"""),"8717323011737")</f>
        <v>8717323011737</v>
      </c>
      <c r="C14413" t="str">
        <f>IFERROR(__xludf.DUMMYFUNCTION("""COMPUTED_VALUE"""),"ECS")</f>
        <v>ECS</v>
      </c>
    </row>
    <row r="14414">
      <c r="A14414" t="str">
        <f>IFERROR(__xludf.DUMMYFUNCTION("""COMPUTED_VALUE"""),"SK001BB")</f>
        <v>SK001BB</v>
      </c>
      <c r="B14414" s="226" t="str">
        <f>IFERROR(__xludf.DUMMYFUNCTION("""COMPUTED_VALUE"""),"8717323011737")</f>
        <v>8717323011737</v>
      </c>
      <c r="C14414" t="str">
        <f>IFERROR(__xludf.DUMMYFUNCTION("""COMPUTED_VALUE"""),"ECS")</f>
        <v>ECS</v>
      </c>
    </row>
    <row r="14415">
      <c r="A14415" t="str">
        <f>IFERROR(__xludf.DUMMYFUNCTION("""COMPUTED_VALUE"""),"SK010BB")</f>
        <v>SK010BB</v>
      </c>
      <c r="B14415" s="226" t="str">
        <f>IFERROR(__xludf.DUMMYFUNCTION("""COMPUTED_VALUE"""),"8717323015889")</f>
        <v>8717323015889</v>
      </c>
      <c r="C14415" t="str">
        <f>IFERROR(__xludf.DUMMYFUNCTION("""COMPUTED_VALUE"""),"ECS")</f>
        <v>ECS</v>
      </c>
    </row>
    <row r="14416">
      <c r="A14416" t="str">
        <f>IFERROR(__xludf.DUMMYFUNCTION("""COMPUTED_VALUE"""),"SK010BG")</f>
        <v>SK010BG</v>
      </c>
      <c r="B14416" s="226" t="str">
        <f>IFERROR(__xludf.DUMMYFUNCTION("""COMPUTED_VALUE"""),"8717323015896")</f>
        <v>8717323015896</v>
      </c>
      <c r="C14416" t="str">
        <f>IFERROR(__xludf.DUMMYFUNCTION("""COMPUTED_VALUE"""),"ECS")</f>
        <v>ECS</v>
      </c>
    </row>
    <row r="14417">
      <c r="A14417" t="str">
        <f>IFERROR(__xludf.DUMMYFUNCTION("""COMPUTED_VALUE"""),"SK010DG")</f>
        <v>SK010DG</v>
      </c>
      <c r="B14417" s="226" t="str">
        <f>IFERROR(__xludf.DUMMYFUNCTION("""COMPUTED_VALUE"""),"8717323015902")</f>
        <v>8717323015902</v>
      </c>
      <c r="C14417" t="str">
        <f>IFERROR(__xludf.DUMMYFUNCTION("""COMPUTED_VALUE"""),"ECS")</f>
        <v>ECS</v>
      </c>
    </row>
    <row r="14418">
      <c r="A14418" t="str">
        <f>IFERROR(__xludf.DUMMYFUNCTION("""COMPUTED_VALUE"""),"SK010DH")</f>
        <v>SK010DH</v>
      </c>
      <c r="B14418" s="226" t="str">
        <f>IFERROR(__xludf.DUMMYFUNCTION("""COMPUTED_VALUE"""),"8717323015919")</f>
        <v>8717323015919</v>
      </c>
      <c r="C14418" t="str">
        <f>IFERROR(__xludf.DUMMYFUNCTION("""COMPUTED_VALUE"""),"ECS")</f>
        <v>ECS</v>
      </c>
    </row>
    <row r="14419">
      <c r="A14419" t="str">
        <f>IFERROR(__xludf.DUMMYFUNCTION("""COMPUTED_VALUE"""),"SE026B1")</f>
        <v>SE026B1</v>
      </c>
      <c r="B14419" s="226" t="str">
        <f>IFERROR(__xludf.DUMMYFUNCTION("""COMPUTED_VALUE"""),"8717323024409")</f>
        <v>8717323024409</v>
      </c>
      <c r="C14419" t="str">
        <f>IFERROR(__xludf.DUMMYFUNCTION("""COMPUTED_VALUE"""),"ECS")</f>
        <v>ECS</v>
      </c>
    </row>
    <row r="14420">
      <c r="A14420" t="str">
        <f>IFERROR(__xludf.DUMMYFUNCTION("""COMPUTED_VALUE"""),"SE026D1")</f>
        <v>SE026D1</v>
      </c>
      <c r="B14420" s="226" t="str">
        <f>IFERROR(__xludf.DUMMYFUNCTION("""COMPUTED_VALUE"""),"8717323024416")</f>
        <v>8717323024416</v>
      </c>
      <c r="C14420" t="str">
        <f>IFERROR(__xludf.DUMMYFUNCTION("""COMPUTED_VALUE"""),"ECS")</f>
        <v>ECS</v>
      </c>
    </row>
    <row r="14421">
      <c r="A14421" t="str">
        <f>IFERROR(__xludf.DUMMYFUNCTION("""COMPUTED_VALUE"""),"SK010BB")</f>
        <v>SK010BB</v>
      </c>
      <c r="B14421" s="226" t="str">
        <f>IFERROR(__xludf.DUMMYFUNCTION("""COMPUTED_VALUE"""),"8717323015889")</f>
        <v>8717323015889</v>
      </c>
      <c r="C14421" t="str">
        <f>IFERROR(__xludf.DUMMYFUNCTION("""COMPUTED_VALUE"""),"ECS")</f>
        <v>ECS</v>
      </c>
    </row>
    <row r="14422">
      <c r="A14422" t="str">
        <f>IFERROR(__xludf.DUMMYFUNCTION("""COMPUTED_VALUE"""),"SK010BG")</f>
        <v>SK010BG</v>
      </c>
      <c r="B14422" s="226" t="str">
        <f>IFERROR(__xludf.DUMMYFUNCTION("""COMPUTED_VALUE"""),"8717323015896")</f>
        <v>8717323015896</v>
      </c>
      <c r="C14422" t="str">
        <f>IFERROR(__xludf.DUMMYFUNCTION("""COMPUTED_VALUE"""),"ECS")</f>
        <v>ECS</v>
      </c>
    </row>
    <row r="14423">
      <c r="A14423" t="str">
        <f>IFERROR(__xludf.DUMMYFUNCTION("""COMPUTED_VALUE"""),"SK010DG")</f>
        <v>SK010DG</v>
      </c>
      <c r="B14423" s="226" t="str">
        <f>IFERROR(__xludf.DUMMYFUNCTION("""COMPUTED_VALUE"""),"8717323015902")</f>
        <v>8717323015902</v>
      </c>
      <c r="C14423" t="str">
        <f>IFERROR(__xludf.DUMMYFUNCTION("""COMPUTED_VALUE"""),"ECS")</f>
        <v>ECS</v>
      </c>
    </row>
    <row r="14424">
      <c r="A14424" t="str">
        <f>IFERROR(__xludf.DUMMYFUNCTION("""COMPUTED_VALUE"""),"SK010DH")</f>
        <v>SK010DH</v>
      </c>
      <c r="B14424" s="226" t="str">
        <f>IFERROR(__xludf.DUMMYFUNCTION("""COMPUTED_VALUE"""),"8717323015919")</f>
        <v>8717323015919</v>
      </c>
      <c r="C14424" t="str">
        <f>IFERROR(__xludf.DUMMYFUNCTION("""COMPUTED_VALUE"""),"ECS")</f>
        <v>ECS</v>
      </c>
    </row>
    <row r="14425">
      <c r="A14425" t="str">
        <f>IFERROR(__xludf.DUMMYFUNCTION("""COMPUTED_VALUE"""),"SE026B1")</f>
        <v>SE026B1</v>
      </c>
      <c r="B14425" s="226" t="str">
        <f>IFERROR(__xludf.DUMMYFUNCTION("""COMPUTED_VALUE"""),"8717323024409")</f>
        <v>8717323024409</v>
      </c>
      <c r="C14425" t="str">
        <f>IFERROR(__xludf.DUMMYFUNCTION("""COMPUTED_VALUE"""),"ECS")</f>
        <v>ECS</v>
      </c>
    </row>
    <row r="14426">
      <c r="A14426" t="str">
        <f>IFERROR(__xludf.DUMMYFUNCTION("""COMPUTED_VALUE"""),"SE026D1")</f>
        <v>SE026D1</v>
      </c>
      <c r="B14426" s="226" t="str">
        <f>IFERROR(__xludf.DUMMYFUNCTION("""COMPUTED_VALUE"""),"8717323024416")</f>
        <v>8717323024416</v>
      </c>
      <c r="C14426" t="str">
        <f>IFERROR(__xludf.DUMMYFUNCTION("""COMPUTED_VALUE"""),"ECS")</f>
        <v>ECS</v>
      </c>
    </row>
    <row r="14427">
      <c r="A14427" t="str">
        <f>IFERROR(__xludf.DUMMYFUNCTION("""COMPUTED_VALUE"""),"SK023B1")</f>
        <v>SK023B1</v>
      </c>
      <c r="B14427" s="226" t="str">
        <f>IFERROR(__xludf.DUMMYFUNCTION("""COMPUTED_VALUE"""),"8717323051382")</f>
        <v>8717323051382</v>
      </c>
      <c r="C14427" t="str">
        <f>IFERROR(__xludf.DUMMYFUNCTION("""COMPUTED_VALUE"""),"ECS")</f>
        <v>ECS</v>
      </c>
    </row>
    <row r="14428">
      <c r="A14428" t="str">
        <f>IFERROR(__xludf.DUMMYFUNCTION("""COMPUTED_VALUE"""),"SK023D1")</f>
        <v>SK023D1</v>
      </c>
      <c r="B14428" s="226" t="str">
        <f>IFERROR(__xludf.DUMMYFUNCTION("""COMPUTED_VALUE"""),"8717323051399")</f>
        <v>8717323051399</v>
      </c>
      <c r="C14428" t="str">
        <f>IFERROR(__xludf.DUMMYFUNCTION("""COMPUTED_VALUE"""),"ECS")</f>
        <v>ECS</v>
      </c>
    </row>
    <row r="14429">
      <c r="A14429" t="str">
        <f>IFERROR(__xludf.DUMMYFUNCTION("""COMPUTED_VALUE"""),"SK023B1")</f>
        <v>SK023B1</v>
      </c>
      <c r="B14429" s="226" t="str">
        <f>IFERROR(__xludf.DUMMYFUNCTION("""COMPUTED_VALUE"""),"8717323051382")</f>
        <v>8717323051382</v>
      </c>
      <c r="C14429" t="str">
        <f>IFERROR(__xludf.DUMMYFUNCTION("""COMPUTED_VALUE"""),"ECS")</f>
        <v>ECS</v>
      </c>
    </row>
    <row r="14430">
      <c r="A14430" t="str">
        <f>IFERROR(__xludf.DUMMYFUNCTION("""COMPUTED_VALUE"""),"SK023D1")</f>
        <v>SK023D1</v>
      </c>
      <c r="B14430" s="226" t="str">
        <f>IFERROR(__xludf.DUMMYFUNCTION("""COMPUTED_VALUE"""),"8717323051399")</f>
        <v>8717323051399</v>
      </c>
      <c r="C14430" t="str">
        <f>IFERROR(__xludf.DUMMYFUNCTION("""COMPUTED_VALUE"""),"ECS")</f>
        <v>ECS</v>
      </c>
    </row>
    <row r="14431">
      <c r="A14431" t="str">
        <f>IFERROR(__xludf.DUMMYFUNCTION("""COMPUTED_VALUE"""),"VW146B1")</f>
        <v>VW146B1</v>
      </c>
      <c r="B14431" s="226" t="str">
        <f>IFERROR(__xludf.DUMMYFUNCTION("""COMPUTED_VALUE"""),"8717323050644")</f>
        <v>8717323050644</v>
      </c>
      <c r="C14431" t="str">
        <f>IFERROR(__xludf.DUMMYFUNCTION("""COMPUTED_VALUE"""),"ECS")</f>
        <v>ECS</v>
      </c>
    </row>
    <row r="14432">
      <c r="A14432" t="str">
        <f>IFERROR(__xludf.DUMMYFUNCTION("""COMPUTED_VALUE"""),"VW146D1")</f>
        <v>VW146D1</v>
      </c>
      <c r="B14432" s="226" t="str">
        <f>IFERROR(__xludf.DUMMYFUNCTION("""COMPUTED_VALUE"""),"8717323050651")</f>
        <v>8717323050651</v>
      </c>
      <c r="C14432" t="str">
        <f>IFERROR(__xludf.DUMMYFUNCTION("""COMPUTED_VALUE"""),"ECS")</f>
        <v>ECS</v>
      </c>
    </row>
    <row r="14433">
      <c r="A14433" t="str">
        <f>IFERROR(__xludf.DUMMYFUNCTION("""COMPUTED_VALUE"""),"VW190B1")</f>
        <v>VW190B1</v>
      </c>
      <c r="B14433" s="226" t="str">
        <f>IFERROR(__xludf.DUMMYFUNCTION("""COMPUTED_VALUE"""),"8717323061039")</f>
        <v>8717323061039</v>
      </c>
      <c r="C14433" t="str">
        <f>IFERROR(__xludf.DUMMYFUNCTION("""COMPUTED_VALUE"""),"ECS")</f>
        <v>ECS</v>
      </c>
    </row>
    <row r="14434">
      <c r="A14434" t="str">
        <f>IFERROR(__xludf.DUMMYFUNCTION("""COMPUTED_VALUE"""),"VW190H1")</f>
        <v>VW190H1</v>
      </c>
      <c r="B14434" s="226" t="str">
        <f>IFERROR(__xludf.DUMMYFUNCTION("""COMPUTED_VALUE"""),"8717323060957")</f>
        <v>8717323060957</v>
      </c>
      <c r="C14434" t="str">
        <f>IFERROR(__xludf.DUMMYFUNCTION("""COMPUTED_VALUE"""),"ECS")</f>
        <v>ECS</v>
      </c>
    </row>
    <row r="14435">
      <c r="A14435" t="str">
        <f>IFERROR(__xludf.DUMMYFUNCTION("""COMPUTED_VALUE"""),"VW146B1")</f>
        <v>VW146B1</v>
      </c>
      <c r="B14435" s="226" t="str">
        <f>IFERROR(__xludf.DUMMYFUNCTION("""COMPUTED_VALUE"""),"8717323050644")</f>
        <v>8717323050644</v>
      </c>
      <c r="C14435" t="str">
        <f>IFERROR(__xludf.DUMMYFUNCTION("""COMPUTED_VALUE"""),"ECS")</f>
        <v>ECS</v>
      </c>
    </row>
    <row r="14436">
      <c r="A14436" t="str">
        <f>IFERROR(__xludf.DUMMYFUNCTION("""COMPUTED_VALUE"""),"VW146D1")</f>
        <v>VW146D1</v>
      </c>
      <c r="B14436" s="226" t="str">
        <f>IFERROR(__xludf.DUMMYFUNCTION("""COMPUTED_VALUE"""),"8717323050651")</f>
        <v>8717323050651</v>
      </c>
      <c r="C14436" t="str">
        <f>IFERROR(__xludf.DUMMYFUNCTION("""COMPUTED_VALUE"""),"ECS")</f>
        <v>ECS</v>
      </c>
    </row>
    <row r="14437">
      <c r="A14437" t="str">
        <f>IFERROR(__xludf.DUMMYFUNCTION("""COMPUTED_VALUE"""),"VW190B1")</f>
        <v>VW190B1</v>
      </c>
      <c r="B14437" s="226" t="str">
        <f>IFERROR(__xludf.DUMMYFUNCTION("""COMPUTED_VALUE"""),"8717323061039")</f>
        <v>8717323061039</v>
      </c>
      <c r="C14437" t="str">
        <f>IFERROR(__xludf.DUMMYFUNCTION("""COMPUTED_VALUE"""),"ECS")</f>
        <v>ECS</v>
      </c>
    </row>
    <row r="14438">
      <c r="A14438" t="str">
        <f>IFERROR(__xludf.DUMMYFUNCTION("""COMPUTED_VALUE"""),"VW190H1")</f>
        <v>VW190H1</v>
      </c>
      <c r="B14438" s="226" t="str">
        <f>IFERROR(__xludf.DUMMYFUNCTION("""COMPUTED_VALUE"""),"8717323060957")</f>
        <v>8717323060957</v>
      </c>
      <c r="C14438" t="str">
        <f>IFERROR(__xludf.DUMMYFUNCTION("""COMPUTED_VALUE"""),"ECS")</f>
        <v>ECS</v>
      </c>
    </row>
    <row r="14439">
      <c r="A14439" t="str">
        <f>IFERROR(__xludf.DUMMYFUNCTION("""COMPUTED_VALUE"""),"VW146B1")</f>
        <v>VW146B1</v>
      </c>
      <c r="B14439" s="226" t="str">
        <f>IFERROR(__xludf.DUMMYFUNCTION("""COMPUTED_VALUE"""),"8717323050644")</f>
        <v>8717323050644</v>
      </c>
      <c r="C14439" t="str">
        <f>IFERROR(__xludf.DUMMYFUNCTION("""COMPUTED_VALUE"""),"ECS")</f>
        <v>ECS</v>
      </c>
    </row>
    <row r="14440">
      <c r="A14440" t="str">
        <f>IFERROR(__xludf.DUMMYFUNCTION("""COMPUTED_VALUE"""),"VW146D1")</f>
        <v>VW146D1</v>
      </c>
      <c r="B14440" s="226" t="str">
        <f>IFERROR(__xludf.DUMMYFUNCTION("""COMPUTED_VALUE"""),"8717323050651")</f>
        <v>8717323050651</v>
      </c>
      <c r="C14440" t="str">
        <f>IFERROR(__xludf.DUMMYFUNCTION("""COMPUTED_VALUE"""),"ECS")</f>
        <v>ECS</v>
      </c>
    </row>
    <row r="14441">
      <c r="A14441" t="str">
        <f>IFERROR(__xludf.DUMMYFUNCTION("""COMPUTED_VALUE"""),"VW190B1")</f>
        <v>VW190B1</v>
      </c>
      <c r="B14441" s="226" t="str">
        <f>IFERROR(__xludf.DUMMYFUNCTION("""COMPUTED_VALUE"""),"8717323061039")</f>
        <v>8717323061039</v>
      </c>
      <c r="C14441" t="str">
        <f>IFERROR(__xludf.DUMMYFUNCTION("""COMPUTED_VALUE"""),"ECS")</f>
        <v>ECS</v>
      </c>
    </row>
    <row r="14442">
      <c r="A14442" t="str">
        <f>IFERROR(__xludf.DUMMYFUNCTION("""COMPUTED_VALUE"""),"VW190H1")</f>
        <v>VW190H1</v>
      </c>
      <c r="B14442" s="226" t="str">
        <f>IFERROR(__xludf.DUMMYFUNCTION("""COMPUTED_VALUE"""),"8717323060957")</f>
        <v>8717323060957</v>
      </c>
      <c r="C14442" t="str">
        <f>IFERROR(__xludf.DUMMYFUNCTION("""COMPUTED_VALUE"""),"ECS")</f>
        <v>ECS</v>
      </c>
    </row>
    <row r="14443">
      <c r="A14443" t="str">
        <f>IFERROR(__xludf.DUMMYFUNCTION("""COMPUTED_VALUE"""),"VW146B1")</f>
        <v>VW146B1</v>
      </c>
      <c r="B14443" s="226" t="str">
        <f>IFERROR(__xludf.DUMMYFUNCTION("""COMPUTED_VALUE"""),"8717323050644")</f>
        <v>8717323050644</v>
      </c>
      <c r="C14443" t="str">
        <f>IFERROR(__xludf.DUMMYFUNCTION("""COMPUTED_VALUE"""),"ECS")</f>
        <v>ECS</v>
      </c>
    </row>
    <row r="14444">
      <c r="A14444" t="str">
        <f>IFERROR(__xludf.DUMMYFUNCTION("""COMPUTED_VALUE"""),"VW146D1")</f>
        <v>VW146D1</v>
      </c>
      <c r="B14444" s="226" t="str">
        <f>IFERROR(__xludf.DUMMYFUNCTION("""COMPUTED_VALUE"""),"8717323050651")</f>
        <v>8717323050651</v>
      </c>
      <c r="C14444" t="str">
        <f>IFERROR(__xludf.DUMMYFUNCTION("""COMPUTED_VALUE"""),"ECS")</f>
        <v>ECS</v>
      </c>
    </row>
    <row r="14445">
      <c r="A14445" t="str">
        <f>IFERROR(__xludf.DUMMYFUNCTION("""COMPUTED_VALUE"""),"VW190B1")</f>
        <v>VW190B1</v>
      </c>
      <c r="B14445" s="226" t="str">
        <f>IFERROR(__xludf.DUMMYFUNCTION("""COMPUTED_VALUE"""),"8717323061039")</f>
        <v>8717323061039</v>
      </c>
      <c r="C14445" t="str">
        <f>IFERROR(__xludf.DUMMYFUNCTION("""COMPUTED_VALUE"""),"ECS")</f>
        <v>ECS</v>
      </c>
    </row>
    <row r="14446">
      <c r="A14446" t="str">
        <f>IFERROR(__xludf.DUMMYFUNCTION("""COMPUTED_VALUE"""),"VW190H1")</f>
        <v>VW190H1</v>
      </c>
      <c r="B14446" s="226" t="str">
        <f>IFERROR(__xludf.DUMMYFUNCTION("""COMPUTED_VALUE"""),"8717323060957")</f>
        <v>8717323060957</v>
      </c>
      <c r="C14446" t="str">
        <f>IFERROR(__xludf.DUMMYFUNCTION("""COMPUTED_VALUE"""),"ECS")</f>
        <v>ECS</v>
      </c>
    </row>
    <row r="14447">
      <c r="A14447" t="str">
        <f>IFERROR(__xludf.DUMMYFUNCTION("""COMPUTED_VALUE"""),"VW146B1")</f>
        <v>VW146B1</v>
      </c>
      <c r="B14447" s="226" t="str">
        <f>IFERROR(__xludf.DUMMYFUNCTION("""COMPUTED_VALUE"""),"8717323050644")</f>
        <v>8717323050644</v>
      </c>
      <c r="C14447" t="str">
        <f>IFERROR(__xludf.DUMMYFUNCTION("""COMPUTED_VALUE"""),"ECS")</f>
        <v>ECS</v>
      </c>
    </row>
    <row r="14448">
      <c r="A14448" t="str">
        <f>IFERROR(__xludf.DUMMYFUNCTION("""COMPUTED_VALUE"""),"VW146D1")</f>
        <v>VW146D1</v>
      </c>
      <c r="B14448" s="226" t="str">
        <f>IFERROR(__xludf.DUMMYFUNCTION("""COMPUTED_VALUE"""),"8717323050651")</f>
        <v>8717323050651</v>
      </c>
      <c r="C14448" t="str">
        <f>IFERROR(__xludf.DUMMYFUNCTION("""COMPUTED_VALUE"""),"ECS")</f>
        <v>ECS</v>
      </c>
    </row>
    <row r="14449">
      <c r="A14449" t="str">
        <f>IFERROR(__xludf.DUMMYFUNCTION("""COMPUTED_VALUE"""),"VW190B1")</f>
        <v>VW190B1</v>
      </c>
      <c r="B14449" s="226" t="str">
        <f>IFERROR(__xludf.DUMMYFUNCTION("""COMPUTED_VALUE"""),"8717323061039")</f>
        <v>8717323061039</v>
      </c>
      <c r="C14449" t="str">
        <f>IFERROR(__xludf.DUMMYFUNCTION("""COMPUTED_VALUE"""),"ECS")</f>
        <v>ECS</v>
      </c>
    </row>
    <row r="14450">
      <c r="A14450" t="str">
        <f>IFERROR(__xludf.DUMMYFUNCTION("""COMPUTED_VALUE"""),"VW190H1")</f>
        <v>VW190H1</v>
      </c>
      <c r="B14450" s="226" t="str">
        <f>IFERROR(__xludf.DUMMYFUNCTION("""COMPUTED_VALUE"""),"8717323060957")</f>
        <v>8717323060957</v>
      </c>
      <c r="C14450" t="str">
        <f>IFERROR(__xludf.DUMMYFUNCTION("""COMPUTED_VALUE"""),"ECS")</f>
        <v>ECS</v>
      </c>
    </row>
    <row r="14451">
      <c r="A14451" t="str">
        <f>IFERROR(__xludf.DUMMYFUNCTION("""COMPUTED_VALUE"""),"VW146B1")</f>
        <v>VW146B1</v>
      </c>
      <c r="B14451" s="226" t="str">
        <f>IFERROR(__xludf.DUMMYFUNCTION("""COMPUTED_VALUE"""),"8717323050644")</f>
        <v>8717323050644</v>
      </c>
      <c r="C14451" t="str">
        <f>IFERROR(__xludf.DUMMYFUNCTION("""COMPUTED_VALUE"""),"ECS")</f>
        <v>ECS</v>
      </c>
    </row>
    <row r="14452">
      <c r="A14452" t="str">
        <f>IFERROR(__xludf.DUMMYFUNCTION("""COMPUTED_VALUE"""),"VW146D1")</f>
        <v>VW146D1</v>
      </c>
      <c r="B14452" s="226" t="str">
        <f>IFERROR(__xludf.DUMMYFUNCTION("""COMPUTED_VALUE"""),"8717323050651")</f>
        <v>8717323050651</v>
      </c>
      <c r="C14452" t="str">
        <f>IFERROR(__xludf.DUMMYFUNCTION("""COMPUTED_VALUE"""),"ECS")</f>
        <v>ECS</v>
      </c>
    </row>
    <row r="14453">
      <c r="A14453" t="str">
        <f>IFERROR(__xludf.DUMMYFUNCTION("""COMPUTED_VALUE"""),"VW190B1")</f>
        <v>VW190B1</v>
      </c>
      <c r="B14453" s="226" t="str">
        <f>IFERROR(__xludf.DUMMYFUNCTION("""COMPUTED_VALUE"""),"8717323061039")</f>
        <v>8717323061039</v>
      </c>
      <c r="C14453" t="str">
        <f>IFERROR(__xludf.DUMMYFUNCTION("""COMPUTED_VALUE"""),"ECS")</f>
        <v>ECS</v>
      </c>
    </row>
    <row r="14454">
      <c r="A14454" t="str">
        <f>IFERROR(__xludf.DUMMYFUNCTION("""COMPUTED_VALUE"""),"VW190H1")</f>
        <v>VW190H1</v>
      </c>
      <c r="B14454" s="226" t="str">
        <f>IFERROR(__xludf.DUMMYFUNCTION("""COMPUTED_VALUE"""),"8717323060957")</f>
        <v>8717323060957</v>
      </c>
      <c r="C14454" t="str">
        <f>IFERROR(__xludf.DUMMYFUNCTION("""COMPUTED_VALUE"""),"ECS")</f>
        <v>ECS</v>
      </c>
    </row>
    <row r="14455">
      <c r="A14455" t="str">
        <f>IFERROR(__xludf.DUMMYFUNCTION("""COMPUTED_VALUE"""),"SKO006L")</f>
        <v>SKO006L</v>
      </c>
      <c r="B14455" s="226" t="str">
        <f>IFERROR(__xludf.DUMMYFUNCTION("""COMPUTED_VALUE"""),"8717323021255")</f>
        <v>8717323021255</v>
      </c>
      <c r="C14455" t="str">
        <f>IFERROR(__xludf.DUMMYFUNCTION("""COMPUTED_VALUE"""),"ECS")</f>
        <v>ECS</v>
      </c>
    </row>
    <row r="14456">
      <c r="A14456" t="str">
        <f>IFERROR(__xludf.DUMMYFUNCTION("""COMPUTED_VALUE"""),"SK002DL")</f>
        <v>SK002DL</v>
      </c>
      <c r="B14456" s="226" t="str">
        <f>IFERROR(__xludf.DUMMYFUNCTION("""COMPUTED_VALUE"""),"8717323021217")</f>
        <v>8717323021217</v>
      </c>
      <c r="C14456" t="str">
        <f>IFERROR(__xludf.DUMMYFUNCTION("""COMPUTED_VALUE"""),"ECS")</f>
        <v>ECS</v>
      </c>
    </row>
    <row r="14457">
      <c r="A14457" t="str">
        <f>IFERROR(__xludf.DUMMYFUNCTION("""COMPUTED_VALUE"""),"SKO006L")</f>
        <v>SKO006L</v>
      </c>
      <c r="B14457" s="226" t="str">
        <f>IFERROR(__xludf.DUMMYFUNCTION("""COMPUTED_VALUE"""),"8717323021255")</f>
        <v>8717323021255</v>
      </c>
      <c r="C14457" t="str">
        <f>IFERROR(__xludf.DUMMYFUNCTION("""COMPUTED_VALUE"""),"ECS")</f>
        <v>ECS</v>
      </c>
    </row>
    <row r="14458">
      <c r="A14458" t="str">
        <f>IFERROR(__xludf.DUMMYFUNCTION("""COMPUTED_VALUE"""),"SK002DL")</f>
        <v>SK002DL</v>
      </c>
      <c r="B14458" s="226" t="str">
        <f>IFERROR(__xludf.DUMMYFUNCTION("""COMPUTED_VALUE"""),"8717323021217")</f>
        <v>8717323021217</v>
      </c>
      <c r="C14458" t="str">
        <f>IFERROR(__xludf.DUMMYFUNCTION("""COMPUTED_VALUE"""),"ECS")</f>
        <v>ECS</v>
      </c>
    </row>
    <row r="14459">
      <c r="A14459" t="str">
        <f>IFERROR(__xludf.DUMMYFUNCTION("""COMPUTED_VALUE"""),"SK017B1")</f>
        <v>SK017B1</v>
      </c>
      <c r="B14459" s="226" t="str">
        <f>IFERROR(__xludf.DUMMYFUNCTION("""COMPUTED_VALUE"""),"8717323025772")</f>
        <v>8717323025772</v>
      </c>
      <c r="C14459" t="str">
        <f>IFERROR(__xludf.DUMMYFUNCTION("""COMPUTED_VALUE"""),"ECS")</f>
        <v>ECS</v>
      </c>
    </row>
    <row r="14460">
      <c r="A14460" t="str">
        <f>IFERROR(__xludf.DUMMYFUNCTION("""COMPUTED_VALUE"""),"SK017D1")</f>
        <v>SK017D1</v>
      </c>
      <c r="B14460" s="226" t="str">
        <f>IFERROR(__xludf.DUMMYFUNCTION("""COMPUTED_VALUE"""),"8717323025475")</f>
        <v>8717323025475</v>
      </c>
      <c r="C14460" t="str">
        <f>IFERROR(__xludf.DUMMYFUNCTION("""COMPUTED_VALUE"""),"ECS")</f>
        <v>ECS</v>
      </c>
    </row>
    <row r="14461">
      <c r="A14461" t="str">
        <f>IFERROR(__xludf.DUMMYFUNCTION("""COMPUTED_VALUE"""),"SK017B1")</f>
        <v>SK017B1</v>
      </c>
      <c r="B14461" s="226" t="str">
        <f>IFERROR(__xludf.DUMMYFUNCTION("""COMPUTED_VALUE"""),"8717323025772")</f>
        <v>8717323025772</v>
      </c>
      <c r="C14461" t="str">
        <f>IFERROR(__xludf.DUMMYFUNCTION("""COMPUTED_VALUE"""),"ECS")</f>
        <v>ECS</v>
      </c>
    </row>
    <row r="14462">
      <c r="A14462" t="str">
        <f>IFERROR(__xludf.DUMMYFUNCTION("""COMPUTED_VALUE"""),"SK017D1")</f>
        <v>SK017D1</v>
      </c>
      <c r="B14462" s="226" t="str">
        <f>IFERROR(__xludf.DUMMYFUNCTION("""COMPUTED_VALUE"""),"8717323025475")</f>
        <v>8717323025475</v>
      </c>
      <c r="C14462" t="str">
        <f>IFERROR(__xludf.DUMMYFUNCTION("""COMPUTED_VALUE"""),"ECS")</f>
        <v>ECS</v>
      </c>
    </row>
    <row r="14463">
      <c r="A14463" t="str">
        <f>IFERROR(__xludf.DUMMYFUNCTION("""COMPUTED_VALUE"""),"VW131B1")</f>
        <v>VW131B1</v>
      </c>
      <c r="B14463" s="226" t="str">
        <f>IFERROR(__xludf.DUMMYFUNCTION("""COMPUTED_VALUE"""),"8717323046296")</f>
        <v>8717323046296</v>
      </c>
      <c r="C14463" t="str">
        <f>IFERROR(__xludf.DUMMYFUNCTION("""COMPUTED_VALUE"""),"ECS")</f>
        <v>ECS</v>
      </c>
    </row>
    <row r="14464">
      <c r="A14464" t="str">
        <f>IFERROR(__xludf.DUMMYFUNCTION("""COMPUTED_VALUE"""),"VW146B1")</f>
        <v>VW146B1</v>
      </c>
      <c r="B14464" s="226" t="str">
        <f>IFERROR(__xludf.DUMMYFUNCTION("""COMPUTED_VALUE"""),"8717323050644")</f>
        <v>8717323050644</v>
      </c>
      <c r="C14464" t="str">
        <f>IFERROR(__xludf.DUMMYFUNCTION("""COMPUTED_VALUE"""),"ECS")</f>
        <v>ECS</v>
      </c>
    </row>
    <row r="14465">
      <c r="A14465" t="str">
        <f>IFERROR(__xludf.DUMMYFUNCTION("""COMPUTED_VALUE"""),"VW146D1")</f>
        <v>VW146D1</v>
      </c>
      <c r="B14465" s="226" t="str">
        <f>IFERROR(__xludf.DUMMYFUNCTION("""COMPUTED_VALUE"""),"8717323050651")</f>
        <v>8717323050651</v>
      </c>
      <c r="C14465" t="str">
        <f>IFERROR(__xludf.DUMMYFUNCTION("""COMPUTED_VALUE"""),"ECS")</f>
        <v>ECS</v>
      </c>
    </row>
    <row r="14466">
      <c r="A14466" t="str">
        <f>IFERROR(__xludf.DUMMYFUNCTION("""COMPUTED_VALUE"""),"VW190B1")</f>
        <v>VW190B1</v>
      </c>
      <c r="B14466" s="226" t="str">
        <f>IFERROR(__xludf.DUMMYFUNCTION("""COMPUTED_VALUE"""),"8717323061039")</f>
        <v>8717323061039</v>
      </c>
      <c r="C14466" t="str">
        <f>IFERROR(__xludf.DUMMYFUNCTION("""COMPUTED_VALUE"""),"ECS")</f>
        <v>ECS</v>
      </c>
    </row>
    <row r="14467">
      <c r="A14467" t="str">
        <f>IFERROR(__xludf.DUMMYFUNCTION("""COMPUTED_VALUE"""),"VW190H1")</f>
        <v>VW190H1</v>
      </c>
      <c r="B14467" s="226" t="str">
        <f>IFERROR(__xludf.DUMMYFUNCTION("""COMPUTED_VALUE"""),"8717323060957")</f>
        <v>8717323060957</v>
      </c>
      <c r="C14467" t="str">
        <f>IFERROR(__xludf.DUMMYFUNCTION("""COMPUTED_VALUE"""),"ECS")</f>
        <v>ECS</v>
      </c>
    </row>
    <row r="14468">
      <c r="A14468" t="str">
        <f>IFERROR(__xludf.DUMMYFUNCTION("""COMPUTED_VALUE"""),"AU057B1")</f>
        <v>AU057B1</v>
      </c>
      <c r="B14468" s="226" t="str">
        <f>IFERROR(__xludf.DUMMYFUNCTION("""COMPUTED_VALUE"""),"8717323050088")</f>
        <v>8717323050088</v>
      </c>
      <c r="C14468" t="str">
        <f>IFERROR(__xludf.DUMMYFUNCTION("""COMPUTED_VALUE"""),"ECS")</f>
        <v>ECS</v>
      </c>
    </row>
    <row r="14469">
      <c r="A14469" t="str">
        <f>IFERROR(__xludf.DUMMYFUNCTION("""COMPUTED_VALUE"""),"AU057H1")</f>
        <v>AU057H1</v>
      </c>
      <c r="B14469" s="226" t="str">
        <f>IFERROR(__xludf.DUMMYFUNCTION("""COMPUTED_VALUE"""),"8717323050101")</f>
        <v>8717323050101</v>
      </c>
      <c r="C14469" t="str">
        <f>IFERROR(__xludf.DUMMYFUNCTION("""COMPUTED_VALUE"""),"ECS")</f>
        <v>ECS</v>
      </c>
    </row>
    <row r="14470">
      <c r="A14470" t="str">
        <f>IFERROR(__xludf.DUMMYFUNCTION("""COMPUTED_VALUE"""),"VW131B1")</f>
        <v>VW131B1</v>
      </c>
      <c r="B14470" s="226" t="str">
        <f>IFERROR(__xludf.DUMMYFUNCTION("""COMPUTED_VALUE"""),"8717323046296")</f>
        <v>8717323046296</v>
      </c>
      <c r="C14470" t="str">
        <f>IFERROR(__xludf.DUMMYFUNCTION("""COMPUTED_VALUE"""),"ECS")</f>
        <v>ECS</v>
      </c>
    </row>
    <row r="14471">
      <c r="A14471" t="str">
        <f>IFERROR(__xludf.DUMMYFUNCTION("""COMPUTED_VALUE"""),"VW146B1")</f>
        <v>VW146B1</v>
      </c>
      <c r="B14471" s="226" t="str">
        <f>IFERROR(__xludf.DUMMYFUNCTION("""COMPUTED_VALUE"""),"8717323050644")</f>
        <v>8717323050644</v>
      </c>
      <c r="C14471" t="str">
        <f>IFERROR(__xludf.DUMMYFUNCTION("""COMPUTED_VALUE"""),"ECS")</f>
        <v>ECS</v>
      </c>
    </row>
    <row r="14472">
      <c r="A14472" t="str">
        <f>IFERROR(__xludf.DUMMYFUNCTION("""COMPUTED_VALUE"""),"VW146D1")</f>
        <v>VW146D1</v>
      </c>
      <c r="B14472" s="226" t="str">
        <f>IFERROR(__xludf.DUMMYFUNCTION("""COMPUTED_VALUE"""),"8717323050651")</f>
        <v>8717323050651</v>
      </c>
      <c r="C14472" t="str">
        <f>IFERROR(__xludf.DUMMYFUNCTION("""COMPUTED_VALUE"""),"ECS")</f>
        <v>ECS</v>
      </c>
    </row>
    <row r="14473">
      <c r="A14473" t="str">
        <f>IFERROR(__xludf.DUMMYFUNCTION("""COMPUTED_VALUE"""),"VW190B1")</f>
        <v>VW190B1</v>
      </c>
      <c r="B14473" s="226" t="str">
        <f>IFERROR(__xludf.DUMMYFUNCTION("""COMPUTED_VALUE"""),"8717323061039")</f>
        <v>8717323061039</v>
      </c>
      <c r="C14473" t="str">
        <f>IFERROR(__xludf.DUMMYFUNCTION("""COMPUTED_VALUE"""),"ECS")</f>
        <v>ECS</v>
      </c>
    </row>
    <row r="14474">
      <c r="A14474" t="str">
        <f>IFERROR(__xludf.DUMMYFUNCTION("""COMPUTED_VALUE"""),"VW190H1")</f>
        <v>VW190H1</v>
      </c>
      <c r="B14474" s="226" t="str">
        <f>IFERROR(__xludf.DUMMYFUNCTION("""COMPUTED_VALUE"""),"8717323060957")</f>
        <v>8717323060957</v>
      </c>
      <c r="C14474" t="str">
        <f>IFERROR(__xludf.DUMMYFUNCTION("""COMPUTED_VALUE"""),"ECS")</f>
        <v>ECS</v>
      </c>
    </row>
    <row r="14475">
      <c r="A14475" t="str">
        <f>IFERROR(__xludf.DUMMYFUNCTION("""COMPUTED_VALUE"""),"AU057B1")</f>
        <v>AU057B1</v>
      </c>
      <c r="B14475" s="226" t="str">
        <f>IFERROR(__xludf.DUMMYFUNCTION("""COMPUTED_VALUE"""),"8717323050088")</f>
        <v>8717323050088</v>
      </c>
      <c r="C14475" t="str">
        <f>IFERROR(__xludf.DUMMYFUNCTION("""COMPUTED_VALUE"""),"ECS")</f>
        <v>ECS</v>
      </c>
    </row>
    <row r="14476">
      <c r="A14476" t="str">
        <f>IFERROR(__xludf.DUMMYFUNCTION("""COMPUTED_VALUE"""),"AU057H1")</f>
        <v>AU057H1</v>
      </c>
      <c r="B14476" s="226" t="str">
        <f>IFERROR(__xludf.DUMMYFUNCTION("""COMPUTED_VALUE"""),"8717323050101")</f>
        <v>8717323050101</v>
      </c>
      <c r="C14476" t="str">
        <f>IFERROR(__xludf.DUMMYFUNCTION("""COMPUTED_VALUE"""),"ECS")</f>
        <v>ECS</v>
      </c>
    </row>
    <row r="14477">
      <c r="A14477" t="str">
        <f>IFERROR(__xludf.DUMMYFUNCTION("""COMPUTED_VALUE"""),"VW146B1")</f>
        <v>VW146B1</v>
      </c>
      <c r="B14477" s="226" t="str">
        <f>IFERROR(__xludf.DUMMYFUNCTION("""COMPUTED_VALUE"""),"8717323050644")</f>
        <v>8717323050644</v>
      </c>
      <c r="C14477" t="str">
        <f>IFERROR(__xludf.DUMMYFUNCTION("""COMPUTED_VALUE"""),"ECS")</f>
        <v>ECS</v>
      </c>
    </row>
    <row r="14478">
      <c r="A14478" t="str">
        <f>IFERROR(__xludf.DUMMYFUNCTION("""COMPUTED_VALUE"""),"VW146D1")</f>
        <v>VW146D1</v>
      </c>
      <c r="B14478" s="226" t="str">
        <f>IFERROR(__xludf.DUMMYFUNCTION("""COMPUTED_VALUE"""),"8717323050651")</f>
        <v>8717323050651</v>
      </c>
      <c r="C14478" t="str">
        <f>IFERROR(__xludf.DUMMYFUNCTION("""COMPUTED_VALUE"""),"ECS")</f>
        <v>ECS</v>
      </c>
    </row>
    <row r="14479">
      <c r="A14479" t="str">
        <f>IFERROR(__xludf.DUMMYFUNCTION("""COMPUTED_VALUE"""),"VW190B1")</f>
        <v>VW190B1</v>
      </c>
      <c r="B14479" s="226" t="str">
        <f>IFERROR(__xludf.DUMMYFUNCTION("""COMPUTED_VALUE"""),"8717323061039")</f>
        <v>8717323061039</v>
      </c>
      <c r="C14479" t="str">
        <f>IFERROR(__xludf.DUMMYFUNCTION("""COMPUTED_VALUE"""),"ECS")</f>
        <v>ECS</v>
      </c>
    </row>
    <row r="14480">
      <c r="A14480" t="str">
        <f>IFERROR(__xludf.DUMMYFUNCTION("""COMPUTED_VALUE"""),"VW190H1")</f>
        <v>VW190H1</v>
      </c>
      <c r="B14480" s="226" t="str">
        <f>IFERROR(__xludf.DUMMYFUNCTION("""COMPUTED_VALUE"""),"8717323060957")</f>
        <v>8717323060957</v>
      </c>
      <c r="C14480" t="str">
        <f>IFERROR(__xludf.DUMMYFUNCTION("""COMPUTED_VALUE"""),"ECS")</f>
        <v>ECS</v>
      </c>
    </row>
    <row r="14481">
      <c r="A14481" t="str">
        <f>IFERROR(__xludf.DUMMYFUNCTION("""COMPUTED_VALUE"""),"SK018B1")</f>
        <v>SK018B1</v>
      </c>
      <c r="B14481" s="226" t="str">
        <f>IFERROR(__xludf.DUMMYFUNCTION("""COMPUTED_VALUE"""),"8717323045565")</f>
        <v>8717323045565</v>
      </c>
      <c r="C14481" t="str">
        <f>IFERROR(__xludf.DUMMYFUNCTION("""COMPUTED_VALUE"""),"ECS")</f>
        <v>ECS</v>
      </c>
    </row>
    <row r="14482">
      <c r="A14482" t="str">
        <f>IFERROR(__xludf.DUMMYFUNCTION("""COMPUTED_VALUE"""),"SK018D1")</f>
        <v>SK018D1</v>
      </c>
      <c r="B14482" s="226" t="str">
        <f>IFERROR(__xludf.DUMMYFUNCTION("""COMPUTED_VALUE"""),"8717323045572")</f>
        <v>8717323045572</v>
      </c>
      <c r="C14482" t="str">
        <f>IFERROR(__xludf.DUMMYFUNCTION("""COMPUTED_VALUE"""),"ECS")</f>
        <v>ECS</v>
      </c>
    </row>
    <row r="14483">
      <c r="A14483" t="str">
        <f>IFERROR(__xludf.DUMMYFUNCTION("""COMPUTED_VALUE"""),"SK025B1")</f>
        <v>SK025B1</v>
      </c>
      <c r="B14483" s="226" t="str">
        <f>IFERROR(__xludf.DUMMYFUNCTION("""COMPUTED_VALUE"""),"8717323057766")</f>
        <v>8717323057766</v>
      </c>
      <c r="C14483" t="str">
        <f>IFERROR(__xludf.DUMMYFUNCTION("""COMPUTED_VALUE"""),"ECS")</f>
        <v>ECS</v>
      </c>
    </row>
    <row r="14484">
      <c r="A14484" t="str">
        <f>IFERROR(__xludf.DUMMYFUNCTION("""COMPUTED_VALUE"""),"SK025BX")</f>
        <v>SK025BX</v>
      </c>
      <c r="B14484" s="226" t="str">
        <f>IFERROR(__xludf.DUMMYFUNCTION("""COMPUTED_VALUE"""),"8717323054765")</f>
        <v>8717323054765</v>
      </c>
      <c r="C14484" t="str">
        <f>IFERROR(__xludf.DUMMYFUNCTION("""COMPUTED_VALUE"""),"ECS")</f>
        <v>ECS</v>
      </c>
    </row>
    <row r="14485">
      <c r="A14485" t="str">
        <f>IFERROR(__xludf.DUMMYFUNCTION("""COMPUTED_VALUE"""),"SK025DX")</f>
        <v>SK025DX</v>
      </c>
      <c r="B14485" s="226" t="str">
        <f>IFERROR(__xludf.DUMMYFUNCTION("""COMPUTED_VALUE"""),"8717323054772")</f>
        <v>8717323054772</v>
      </c>
      <c r="C14485" t="str">
        <f>IFERROR(__xludf.DUMMYFUNCTION("""COMPUTED_VALUE"""),"ECS")</f>
        <v>ECS</v>
      </c>
    </row>
    <row r="14486">
      <c r="A14486" t="str">
        <f>IFERROR(__xludf.DUMMYFUNCTION("""COMPUTED_VALUE"""),"SK025H1")</f>
        <v>SK025H1</v>
      </c>
      <c r="B14486" s="226" t="str">
        <f>IFERROR(__xludf.DUMMYFUNCTION("""COMPUTED_VALUE"""),"8717323058251")</f>
        <v>8717323058251</v>
      </c>
      <c r="C14486" t="str">
        <f>IFERROR(__xludf.DUMMYFUNCTION("""COMPUTED_VALUE"""),"ECS")</f>
        <v>ECS</v>
      </c>
    </row>
    <row r="14487">
      <c r="A14487" t="str">
        <f>IFERROR(__xludf.DUMMYFUNCTION("""COMPUTED_VALUE"""),"SK018B1")</f>
        <v>SK018B1</v>
      </c>
      <c r="B14487" s="226" t="str">
        <f>IFERROR(__xludf.DUMMYFUNCTION("""COMPUTED_VALUE"""),"8717323045565")</f>
        <v>8717323045565</v>
      </c>
      <c r="C14487" t="str">
        <f>IFERROR(__xludf.DUMMYFUNCTION("""COMPUTED_VALUE"""),"ECS")</f>
        <v>ECS</v>
      </c>
    </row>
    <row r="14488">
      <c r="A14488" t="str">
        <f>IFERROR(__xludf.DUMMYFUNCTION("""COMPUTED_VALUE"""),"SK018D1")</f>
        <v>SK018D1</v>
      </c>
      <c r="B14488" s="226" t="str">
        <f>IFERROR(__xludf.DUMMYFUNCTION("""COMPUTED_VALUE"""),"8717323045572")</f>
        <v>8717323045572</v>
      </c>
      <c r="C14488" t="str">
        <f>IFERROR(__xludf.DUMMYFUNCTION("""COMPUTED_VALUE"""),"ECS")</f>
        <v>ECS</v>
      </c>
    </row>
    <row r="14489">
      <c r="A14489" t="str">
        <f>IFERROR(__xludf.DUMMYFUNCTION("""COMPUTED_VALUE"""),"SK025B1")</f>
        <v>SK025B1</v>
      </c>
      <c r="B14489" s="226" t="str">
        <f>IFERROR(__xludf.DUMMYFUNCTION("""COMPUTED_VALUE"""),"8717323057766")</f>
        <v>8717323057766</v>
      </c>
      <c r="C14489" t="str">
        <f>IFERROR(__xludf.DUMMYFUNCTION("""COMPUTED_VALUE"""),"ECS")</f>
        <v>ECS</v>
      </c>
    </row>
    <row r="14490">
      <c r="A14490" t="str">
        <f>IFERROR(__xludf.DUMMYFUNCTION("""COMPUTED_VALUE"""),"SK025BX")</f>
        <v>SK025BX</v>
      </c>
      <c r="B14490" s="226" t="str">
        <f>IFERROR(__xludf.DUMMYFUNCTION("""COMPUTED_VALUE"""),"8717323054765")</f>
        <v>8717323054765</v>
      </c>
      <c r="C14490" t="str">
        <f>IFERROR(__xludf.DUMMYFUNCTION("""COMPUTED_VALUE"""),"ECS")</f>
        <v>ECS</v>
      </c>
    </row>
    <row r="14491">
      <c r="A14491" t="str">
        <f>IFERROR(__xludf.DUMMYFUNCTION("""COMPUTED_VALUE"""),"SK025DX")</f>
        <v>SK025DX</v>
      </c>
      <c r="B14491" s="226" t="str">
        <f>IFERROR(__xludf.DUMMYFUNCTION("""COMPUTED_VALUE"""),"8717323054772")</f>
        <v>8717323054772</v>
      </c>
      <c r="C14491" t="str">
        <f>IFERROR(__xludf.DUMMYFUNCTION("""COMPUTED_VALUE"""),"ECS")</f>
        <v>ECS</v>
      </c>
    </row>
    <row r="14492">
      <c r="A14492" t="str">
        <f>IFERROR(__xludf.DUMMYFUNCTION("""COMPUTED_VALUE"""),"SK025H1")</f>
        <v>SK025H1</v>
      </c>
      <c r="B14492" s="226" t="str">
        <f>IFERROR(__xludf.DUMMYFUNCTION("""COMPUTED_VALUE"""),"8717323058251")</f>
        <v>8717323058251</v>
      </c>
      <c r="C14492" t="str">
        <f>IFERROR(__xludf.DUMMYFUNCTION("""COMPUTED_VALUE"""),"ECS")</f>
        <v>ECS</v>
      </c>
    </row>
    <row r="14493">
      <c r="A14493" t="str">
        <f>IFERROR(__xludf.DUMMYFUNCTION("""COMPUTED_VALUE"""),"SK010BB")</f>
        <v>SK010BB</v>
      </c>
      <c r="B14493" s="226" t="str">
        <f>IFERROR(__xludf.DUMMYFUNCTION("""COMPUTED_VALUE"""),"8717323015889")</f>
        <v>8717323015889</v>
      </c>
      <c r="C14493" t="str">
        <f>IFERROR(__xludf.DUMMYFUNCTION("""COMPUTED_VALUE"""),"ECS")</f>
        <v>ECS</v>
      </c>
    </row>
    <row r="14494">
      <c r="A14494" t="str">
        <f>IFERROR(__xludf.DUMMYFUNCTION("""COMPUTED_VALUE"""),"SK010BG")</f>
        <v>SK010BG</v>
      </c>
      <c r="B14494" s="226" t="str">
        <f>IFERROR(__xludf.DUMMYFUNCTION("""COMPUTED_VALUE"""),"8717323015896")</f>
        <v>8717323015896</v>
      </c>
      <c r="C14494" t="str">
        <f>IFERROR(__xludf.DUMMYFUNCTION("""COMPUTED_VALUE"""),"ECS")</f>
        <v>ECS</v>
      </c>
    </row>
    <row r="14495">
      <c r="A14495" t="str">
        <f>IFERROR(__xludf.DUMMYFUNCTION("""COMPUTED_VALUE"""),"SK010DG")</f>
        <v>SK010DG</v>
      </c>
      <c r="B14495" s="226" t="str">
        <f>IFERROR(__xludf.DUMMYFUNCTION("""COMPUTED_VALUE"""),"8717323015902")</f>
        <v>8717323015902</v>
      </c>
      <c r="C14495" t="str">
        <f>IFERROR(__xludf.DUMMYFUNCTION("""COMPUTED_VALUE"""),"ECS")</f>
        <v>ECS</v>
      </c>
    </row>
    <row r="14496">
      <c r="A14496" t="str">
        <f>IFERROR(__xludf.DUMMYFUNCTION("""COMPUTED_VALUE"""),"SK010DH")</f>
        <v>SK010DH</v>
      </c>
      <c r="B14496" s="226" t="str">
        <f>IFERROR(__xludf.DUMMYFUNCTION("""COMPUTED_VALUE"""),"8717323015919")</f>
        <v>8717323015919</v>
      </c>
      <c r="C14496" t="str">
        <f>IFERROR(__xludf.DUMMYFUNCTION("""COMPUTED_VALUE"""),"ECS")</f>
        <v>ECS</v>
      </c>
    </row>
    <row r="14497">
      <c r="A14497" t="str">
        <f>IFERROR(__xludf.DUMMYFUNCTION("""COMPUTED_VALUE"""),"SE026B1")</f>
        <v>SE026B1</v>
      </c>
      <c r="B14497" s="226" t="str">
        <f>IFERROR(__xludf.DUMMYFUNCTION("""COMPUTED_VALUE"""),"8717323024409")</f>
        <v>8717323024409</v>
      </c>
      <c r="C14497" t="str">
        <f>IFERROR(__xludf.DUMMYFUNCTION("""COMPUTED_VALUE"""),"ECS")</f>
        <v>ECS</v>
      </c>
    </row>
    <row r="14498">
      <c r="A14498" t="str">
        <f>IFERROR(__xludf.DUMMYFUNCTION("""COMPUTED_VALUE"""),"SE026D1")</f>
        <v>SE026D1</v>
      </c>
      <c r="B14498" s="226" t="str">
        <f>IFERROR(__xludf.DUMMYFUNCTION("""COMPUTED_VALUE"""),"8717323024416")</f>
        <v>8717323024416</v>
      </c>
      <c r="C14498" t="str">
        <f>IFERROR(__xludf.DUMMYFUNCTION("""COMPUTED_VALUE"""),"ECS")</f>
        <v>ECS</v>
      </c>
    </row>
    <row r="14499">
      <c r="A14499" t="str">
        <f>IFERROR(__xludf.DUMMYFUNCTION("""COMPUTED_VALUE"""),"VW146B1")</f>
        <v>VW146B1</v>
      </c>
      <c r="B14499" s="226" t="str">
        <f>IFERROR(__xludf.DUMMYFUNCTION("""COMPUTED_VALUE"""),"8717323050644")</f>
        <v>8717323050644</v>
      </c>
      <c r="C14499" t="str">
        <f>IFERROR(__xludf.DUMMYFUNCTION("""COMPUTED_VALUE"""),"ECS")</f>
        <v>ECS</v>
      </c>
    </row>
    <row r="14500">
      <c r="A14500" t="str">
        <f>IFERROR(__xludf.DUMMYFUNCTION("""COMPUTED_VALUE"""),"VW146D1")</f>
        <v>VW146D1</v>
      </c>
      <c r="B14500" s="226" t="str">
        <f>IFERROR(__xludf.DUMMYFUNCTION("""COMPUTED_VALUE"""),"8717323050651")</f>
        <v>8717323050651</v>
      </c>
      <c r="C14500" t="str">
        <f>IFERROR(__xludf.DUMMYFUNCTION("""COMPUTED_VALUE"""),"ECS")</f>
        <v>ECS</v>
      </c>
    </row>
    <row r="14501">
      <c r="A14501" t="str">
        <f>IFERROR(__xludf.DUMMYFUNCTION("""COMPUTED_VALUE"""),"VW190B1")</f>
        <v>VW190B1</v>
      </c>
      <c r="B14501" s="226" t="str">
        <f>IFERROR(__xludf.DUMMYFUNCTION("""COMPUTED_VALUE"""),"8717323061039")</f>
        <v>8717323061039</v>
      </c>
      <c r="C14501" t="str">
        <f>IFERROR(__xludf.DUMMYFUNCTION("""COMPUTED_VALUE"""),"ECS")</f>
        <v>ECS</v>
      </c>
    </row>
    <row r="14502">
      <c r="A14502" t="str">
        <f>IFERROR(__xludf.DUMMYFUNCTION("""COMPUTED_VALUE"""),"VW190H1")</f>
        <v>VW190H1</v>
      </c>
      <c r="B14502" s="226" t="str">
        <f>IFERROR(__xludf.DUMMYFUNCTION("""COMPUTED_VALUE"""),"8717323060957")</f>
        <v>8717323060957</v>
      </c>
      <c r="C14502" t="str">
        <f>IFERROR(__xludf.DUMMYFUNCTION("""COMPUTED_VALUE"""),"ECS")</f>
        <v>ECS</v>
      </c>
    </row>
    <row r="14503">
      <c r="A14503" t="str">
        <f>IFERROR(__xludf.DUMMYFUNCTION("""COMPUTED_VALUE"""),"SK017B1")</f>
        <v>SK017B1</v>
      </c>
      <c r="B14503" s="226" t="str">
        <f>IFERROR(__xludf.DUMMYFUNCTION("""COMPUTED_VALUE"""),"8717323025772")</f>
        <v>8717323025772</v>
      </c>
      <c r="C14503" t="str">
        <f>IFERROR(__xludf.DUMMYFUNCTION("""COMPUTED_VALUE"""),"ECS")</f>
        <v>ECS</v>
      </c>
    </row>
    <row r="14504">
      <c r="A14504" t="str">
        <f>IFERROR(__xludf.DUMMYFUNCTION("""COMPUTED_VALUE"""),"SK017D1")</f>
        <v>SK017D1</v>
      </c>
      <c r="B14504" s="226" t="str">
        <f>IFERROR(__xludf.DUMMYFUNCTION("""COMPUTED_VALUE"""),"8717323025475")</f>
        <v>8717323025475</v>
      </c>
      <c r="C14504" t="str">
        <f>IFERROR(__xludf.DUMMYFUNCTION("""COMPUTED_VALUE"""),"ECS")</f>
        <v>ECS</v>
      </c>
    </row>
    <row r="14505">
      <c r="A14505" t="str">
        <f>IFERROR(__xludf.DUMMYFUNCTION("""COMPUTED_VALUE"""),"SK017B1")</f>
        <v>SK017B1</v>
      </c>
      <c r="B14505" s="226" t="str">
        <f>IFERROR(__xludf.DUMMYFUNCTION("""COMPUTED_VALUE"""),"8717323025772")</f>
        <v>8717323025772</v>
      </c>
      <c r="C14505" t="str">
        <f>IFERROR(__xludf.DUMMYFUNCTION("""COMPUTED_VALUE"""),"ECS")</f>
        <v>ECS</v>
      </c>
    </row>
    <row r="14506">
      <c r="A14506" t="str">
        <f>IFERROR(__xludf.DUMMYFUNCTION("""COMPUTED_VALUE"""),"SK017D1")</f>
        <v>SK017D1</v>
      </c>
      <c r="B14506" s="226" t="str">
        <f>IFERROR(__xludf.DUMMYFUNCTION("""COMPUTED_VALUE"""),"8717323025475")</f>
        <v>8717323025475</v>
      </c>
      <c r="C14506" t="str">
        <f>IFERROR(__xludf.DUMMYFUNCTION("""COMPUTED_VALUE"""),"ECS")</f>
        <v>ECS</v>
      </c>
    </row>
    <row r="14507">
      <c r="A14507" t="str">
        <f>IFERROR(__xludf.DUMMYFUNCTION("""COMPUTED_VALUE"""),"SK024B1")</f>
        <v>SK024B1</v>
      </c>
      <c r="B14507" s="226" t="str">
        <f>IFERROR(__xludf.DUMMYFUNCTION("""COMPUTED_VALUE"""),"8717323058534")</f>
        <v>8717323058534</v>
      </c>
      <c r="C14507" t="str">
        <f>IFERROR(__xludf.DUMMYFUNCTION("""COMPUTED_VALUE"""),"ECS")</f>
        <v>ECS</v>
      </c>
    </row>
    <row r="14508">
      <c r="A14508" t="str">
        <f>IFERROR(__xludf.DUMMYFUNCTION("""COMPUTED_VALUE"""),"SK024H1")</f>
        <v>SK024H1</v>
      </c>
      <c r="B14508" s="226" t="str">
        <f>IFERROR(__xludf.DUMMYFUNCTION("""COMPUTED_VALUE"""),"8717323058503")</f>
        <v>8717323058503</v>
      </c>
      <c r="C14508" t="str">
        <f>IFERROR(__xludf.DUMMYFUNCTION("""COMPUTED_VALUE"""),"ECS")</f>
        <v>ECS</v>
      </c>
    </row>
    <row r="14509">
      <c r="A14509" t="str">
        <f>IFERROR(__xludf.DUMMYFUNCTION("""COMPUTED_VALUE"""),"SK024HX")</f>
        <v>SK024HX</v>
      </c>
      <c r="B14509" s="226" t="str">
        <f>IFERROR(__xludf.DUMMYFUNCTION("""COMPUTED_VALUE"""),"8717323053034")</f>
        <v>8717323053034</v>
      </c>
      <c r="C14509" t="str">
        <f>IFERROR(__xludf.DUMMYFUNCTION("""COMPUTED_VALUE"""),"ECS")</f>
        <v>ECS</v>
      </c>
    </row>
    <row r="14510">
      <c r="A14510" t="str">
        <f>IFERROR(__xludf.DUMMYFUNCTION("""COMPUTED_VALUE"""),"VW146B1")</f>
        <v>VW146B1</v>
      </c>
      <c r="B14510" s="226" t="str">
        <f>IFERROR(__xludf.DUMMYFUNCTION("""COMPUTED_VALUE"""),"8717323050644")</f>
        <v>8717323050644</v>
      </c>
      <c r="C14510" t="str">
        <f>IFERROR(__xludf.DUMMYFUNCTION("""COMPUTED_VALUE"""),"ECS")</f>
        <v>ECS</v>
      </c>
    </row>
    <row r="14511">
      <c r="A14511" t="str">
        <f>IFERROR(__xludf.DUMMYFUNCTION("""COMPUTED_VALUE"""),"VW146D1")</f>
        <v>VW146D1</v>
      </c>
      <c r="B14511" s="226" t="str">
        <f>IFERROR(__xludf.DUMMYFUNCTION("""COMPUTED_VALUE"""),"8717323050651")</f>
        <v>8717323050651</v>
      </c>
      <c r="C14511" t="str">
        <f>IFERROR(__xludf.DUMMYFUNCTION("""COMPUTED_VALUE"""),"ECS")</f>
        <v>ECS</v>
      </c>
    </row>
    <row r="14512">
      <c r="A14512" t="str">
        <f>IFERROR(__xludf.DUMMYFUNCTION("""COMPUTED_VALUE"""),"SK024B1")</f>
        <v>SK024B1</v>
      </c>
      <c r="B14512" s="226" t="str">
        <f>IFERROR(__xludf.DUMMYFUNCTION("""COMPUTED_VALUE"""),"8717323058534")</f>
        <v>8717323058534</v>
      </c>
      <c r="C14512" t="str">
        <f>IFERROR(__xludf.DUMMYFUNCTION("""COMPUTED_VALUE"""),"ECS")</f>
        <v>ECS</v>
      </c>
    </row>
    <row r="14513">
      <c r="A14513" t="str">
        <f>IFERROR(__xludf.DUMMYFUNCTION("""COMPUTED_VALUE"""),"SK024H1")</f>
        <v>SK024H1</v>
      </c>
      <c r="B14513" s="226" t="str">
        <f>IFERROR(__xludf.DUMMYFUNCTION("""COMPUTED_VALUE"""),"8717323058503")</f>
        <v>8717323058503</v>
      </c>
      <c r="C14513" t="str">
        <f>IFERROR(__xludf.DUMMYFUNCTION("""COMPUTED_VALUE"""),"ECS")</f>
        <v>ECS</v>
      </c>
    </row>
    <row r="14514">
      <c r="A14514" t="str">
        <f>IFERROR(__xludf.DUMMYFUNCTION("""COMPUTED_VALUE"""),"SK024HX")</f>
        <v>SK024HX</v>
      </c>
      <c r="B14514" s="226" t="str">
        <f>IFERROR(__xludf.DUMMYFUNCTION("""COMPUTED_VALUE"""),"8717323053034")</f>
        <v>8717323053034</v>
      </c>
      <c r="C14514" t="str">
        <f>IFERROR(__xludf.DUMMYFUNCTION("""COMPUTED_VALUE"""),"ECS")</f>
        <v>ECS</v>
      </c>
    </row>
    <row r="14515">
      <c r="A14515" t="str">
        <f>IFERROR(__xludf.DUMMYFUNCTION("""COMPUTED_VALUE"""),"VW146B1")</f>
        <v>VW146B1</v>
      </c>
      <c r="B14515" s="226" t="str">
        <f>IFERROR(__xludf.DUMMYFUNCTION("""COMPUTED_VALUE"""),"8717323050644")</f>
        <v>8717323050644</v>
      </c>
      <c r="C14515" t="str">
        <f>IFERROR(__xludf.DUMMYFUNCTION("""COMPUTED_VALUE"""),"ECS")</f>
        <v>ECS</v>
      </c>
    </row>
    <row r="14516">
      <c r="A14516" t="str">
        <f>IFERROR(__xludf.DUMMYFUNCTION("""COMPUTED_VALUE"""),"VW146D1")</f>
        <v>VW146D1</v>
      </c>
      <c r="B14516" s="226" t="str">
        <f>IFERROR(__xludf.DUMMYFUNCTION("""COMPUTED_VALUE"""),"8717323050651")</f>
        <v>8717323050651</v>
      </c>
      <c r="C14516" t="str">
        <f>IFERROR(__xludf.DUMMYFUNCTION("""COMPUTED_VALUE"""),"ECS")</f>
        <v>ECS</v>
      </c>
    </row>
    <row r="14517">
      <c r="A14517" t="str">
        <f>IFERROR(__xludf.DUMMYFUNCTION("""COMPUTED_VALUE"""),"VW190B1")</f>
        <v>VW190B1</v>
      </c>
      <c r="B14517" s="226" t="str">
        <f>IFERROR(__xludf.DUMMYFUNCTION("""COMPUTED_VALUE"""),"8717323061039")</f>
        <v>8717323061039</v>
      </c>
      <c r="C14517" t="str">
        <f>IFERROR(__xludf.DUMMYFUNCTION("""COMPUTED_VALUE"""),"ECS")</f>
        <v>ECS</v>
      </c>
    </row>
    <row r="14518">
      <c r="A14518" t="str">
        <f>IFERROR(__xludf.DUMMYFUNCTION("""COMPUTED_VALUE"""),"VW190H1")</f>
        <v>VW190H1</v>
      </c>
      <c r="B14518" s="226" t="str">
        <f>IFERROR(__xludf.DUMMYFUNCTION("""COMPUTED_VALUE"""),"8717323060957")</f>
        <v>8717323060957</v>
      </c>
      <c r="C14518" t="str">
        <f>IFERROR(__xludf.DUMMYFUNCTION("""COMPUTED_VALUE"""),"ECS")</f>
        <v>ECS</v>
      </c>
    </row>
    <row r="14519">
      <c r="A14519" t="str">
        <f>IFERROR(__xludf.DUMMYFUNCTION("""COMPUTED_VALUE"""),"VW190B1")</f>
        <v>VW190B1</v>
      </c>
      <c r="B14519" s="226" t="str">
        <f>IFERROR(__xludf.DUMMYFUNCTION("""COMPUTED_VALUE"""),"8717323061039")</f>
        <v>8717323061039</v>
      </c>
      <c r="C14519" t="str">
        <f>IFERROR(__xludf.DUMMYFUNCTION("""COMPUTED_VALUE"""),"ECS")</f>
        <v>ECS</v>
      </c>
    </row>
    <row r="14520">
      <c r="A14520" t="str">
        <f>IFERROR(__xludf.DUMMYFUNCTION("""COMPUTED_VALUE"""),"VW190H1")</f>
        <v>VW190H1</v>
      </c>
      <c r="B14520" s="226" t="str">
        <f>IFERROR(__xludf.DUMMYFUNCTION("""COMPUTED_VALUE"""),"8717323060957")</f>
        <v>8717323060957</v>
      </c>
      <c r="C14520" t="str">
        <f>IFERROR(__xludf.DUMMYFUNCTION("""COMPUTED_VALUE"""),"ECS")</f>
        <v>ECS</v>
      </c>
    </row>
    <row r="14521">
      <c r="A14521" t="str">
        <f>IFERROR(__xludf.DUMMYFUNCTION("""COMPUTED_VALUE"""),"SK015B1")</f>
        <v>SK015B1</v>
      </c>
      <c r="B14521" s="226" t="str">
        <f>IFERROR(__xludf.DUMMYFUNCTION("""COMPUTED_VALUE"""),"8717323025970")</f>
        <v>8717323025970</v>
      </c>
      <c r="C14521" t="str">
        <f>IFERROR(__xludf.DUMMYFUNCTION("""COMPUTED_VALUE"""),"ECS")</f>
        <v>ECS</v>
      </c>
    </row>
    <row r="14522">
      <c r="A14522" t="str">
        <f>IFERROR(__xludf.DUMMYFUNCTION("""COMPUTED_VALUE"""),"SK015D1")</f>
        <v>SK015D1</v>
      </c>
      <c r="B14522" s="226" t="str">
        <f>IFERROR(__xludf.DUMMYFUNCTION("""COMPUTED_VALUE"""),"8717323026182")</f>
        <v>8717323026182</v>
      </c>
      <c r="C14522" t="str">
        <f>IFERROR(__xludf.DUMMYFUNCTION("""COMPUTED_VALUE"""),"ECS")</f>
        <v>ECS</v>
      </c>
    </row>
    <row r="14523">
      <c r="A14523" t="str">
        <f>IFERROR(__xludf.DUMMYFUNCTION("""COMPUTED_VALUE"""),"SM001DL")</f>
        <v>SM001DL</v>
      </c>
      <c r="B14523" s="226" t="str">
        <f>IFERROR(__xludf.DUMMYFUNCTION("""COMPUTED_VALUE"""),"8717323010624")</f>
        <v>8717323010624</v>
      </c>
      <c r="C14523" t="str">
        <f>IFERROR(__xludf.DUMMYFUNCTION("""COMPUTED_VALUE"""),"ECS")</f>
        <v>ECS</v>
      </c>
    </row>
    <row r="14524">
      <c r="A14524" t="str">
        <f>IFERROR(__xludf.DUMMYFUNCTION("""COMPUTED_VALUE"""),"SY006BB")</f>
        <v>SY006BB</v>
      </c>
      <c r="B14524" s="226" t="str">
        <f>IFERROR(__xludf.DUMMYFUNCTION("""COMPUTED_VALUE"""),"8717323014349")</f>
        <v>8717323014349</v>
      </c>
      <c r="C14524" t="str">
        <f>IFERROR(__xludf.DUMMYFUNCTION("""COMPUTED_VALUE"""),"ECS")</f>
        <v>ECS</v>
      </c>
    </row>
    <row r="14525">
      <c r="A14525" t="str">
        <f>IFERROR(__xludf.DUMMYFUNCTION("""COMPUTED_VALUE"""),"SY006BL")</f>
        <v>SY006BL</v>
      </c>
      <c r="B14525" s="226" t="str">
        <f>IFERROR(__xludf.DUMMYFUNCTION("""COMPUTED_VALUE"""),"8717323014356")</f>
        <v>8717323014356</v>
      </c>
      <c r="C14525" t="str">
        <f>IFERROR(__xludf.DUMMYFUNCTION("""COMPUTED_VALUE"""),"ECS")</f>
        <v>ECS</v>
      </c>
    </row>
    <row r="14526">
      <c r="A14526" t="str">
        <f>IFERROR(__xludf.DUMMYFUNCTION("""COMPUTED_VALUE"""),"SY006DL")</f>
        <v>SY006DL</v>
      </c>
      <c r="B14526" s="226" t="str">
        <f>IFERROR(__xludf.DUMMYFUNCTION("""COMPUTED_VALUE"""),"8717323014363")</f>
        <v>8717323014363</v>
      </c>
      <c r="C14526" t="str">
        <f>IFERROR(__xludf.DUMMYFUNCTION("""COMPUTED_VALUE"""),"ECS")</f>
        <v>ECS</v>
      </c>
    </row>
    <row r="14527">
      <c r="A14527" t="str">
        <f>IFERROR(__xludf.DUMMYFUNCTION("""COMPUTED_VALUE"""),"SY007BB")</f>
        <v>SY007BB</v>
      </c>
      <c r="B14527" s="226" t="str">
        <f>IFERROR(__xludf.DUMMYFUNCTION("""COMPUTED_VALUE"""),"8717323014974")</f>
        <v>8717323014974</v>
      </c>
      <c r="C14527" t="str">
        <f>IFERROR(__xludf.DUMMYFUNCTION("""COMPUTED_VALUE"""),"ECS")</f>
        <v>ECS</v>
      </c>
    </row>
    <row r="14528">
      <c r="A14528" t="str">
        <f>IFERROR(__xludf.DUMMYFUNCTION("""COMPUTED_VALUE"""),"SY007BL")</f>
        <v>SY007BL</v>
      </c>
      <c r="B14528" s="226" t="str">
        <f>IFERROR(__xludf.DUMMYFUNCTION("""COMPUTED_VALUE"""),"8717323014981")</f>
        <v>8717323014981</v>
      </c>
      <c r="C14528" t="str">
        <f>IFERROR(__xludf.DUMMYFUNCTION("""COMPUTED_VALUE"""),"ECS")</f>
        <v>ECS</v>
      </c>
    </row>
    <row r="14529">
      <c r="A14529" t="str">
        <f>IFERROR(__xludf.DUMMYFUNCTION("""COMPUTED_VALUE"""),"SY007DL")</f>
        <v>SY007DL</v>
      </c>
      <c r="B14529" s="226" t="str">
        <f>IFERROR(__xludf.DUMMYFUNCTION("""COMPUTED_VALUE"""),"8717323014998")</f>
        <v>8717323014998</v>
      </c>
      <c r="C14529" t="str">
        <f>IFERROR(__xludf.DUMMYFUNCTION("""COMPUTED_VALUE"""),"ECS")</f>
        <v>ECS</v>
      </c>
    </row>
    <row r="14530">
      <c r="A14530" t="str">
        <f>IFERROR(__xludf.DUMMYFUNCTION("""COMPUTED_VALUE"""),"SY008BB")</f>
        <v>SY008BB</v>
      </c>
      <c r="B14530" s="226" t="str">
        <f>IFERROR(__xludf.DUMMYFUNCTION("""COMPUTED_VALUE"""),"8717323026045")</f>
        <v>8717323026045</v>
      </c>
      <c r="C14530" t="str">
        <f>IFERROR(__xludf.DUMMYFUNCTION("""COMPUTED_VALUE"""),"ECS")</f>
        <v>ECS</v>
      </c>
    </row>
    <row r="14531">
      <c r="A14531" t="str">
        <f>IFERROR(__xludf.DUMMYFUNCTION("""COMPUTED_VALUE"""),"SY008DH")</f>
        <v>SY008DH</v>
      </c>
      <c r="B14531" s="226" t="str">
        <f>IFERROR(__xludf.DUMMYFUNCTION("""COMPUTED_VALUE"""),"8717323035474")</f>
        <v>8717323035474</v>
      </c>
      <c r="C14531" t="str">
        <f>IFERROR(__xludf.DUMMYFUNCTION("""COMPUTED_VALUE"""),"ECS")</f>
        <v>ECS</v>
      </c>
    </row>
    <row r="14532">
      <c r="A14532" t="str">
        <f>IFERROR(__xludf.DUMMYFUNCTION("""COMPUTED_VALUE"""),"SY010BH")</f>
        <v>SY010BH</v>
      </c>
      <c r="B14532" s="226" t="str">
        <f>IFERROR(__xludf.DUMMYFUNCTION("""COMPUTED_VALUE"""),"8717323049594")</f>
        <v>8717323049594</v>
      </c>
      <c r="C14532" t="str">
        <f>IFERROR(__xludf.DUMMYFUNCTION("""COMPUTED_VALUE"""),"ECS")</f>
        <v>ECS</v>
      </c>
    </row>
    <row r="14533">
      <c r="A14533" t="str">
        <f>IFERROR(__xludf.DUMMYFUNCTION("""COMPUTED_VALUE"""),"SY010DH")</f>
        <v>SY010DH</v>
      </c>
      <c r="B14533" s="226" t="str">
        <f>IFERROR(__xludf.DUMMYFUNCTION("""COMPUTED_VALUE"""),"8717323049600")</f>
        <v>8717323049600</v>
      </c>
      <c r="C14533" t="str">
        <f>IFERROR(__xludf.DUMMYFUNCTION("""COMPUTED_VALUE"""),"ECS")</f>
        <v>ECS</v>
      </c>
    </row>
    <row r="14534">
      <c r="A14534" t="str">
        <f>IFERROR(__xludf.DUMMYFUNCTION("""COMPUTED_VALUE"""),"SY022B1")</f>
        <v>SY022B1</v>
      </c>
      <c r="B14534" s="226" t="str">
        <f>IFERROR(__xludf.DUMMYFUNCTION("""COMPUTED_VALUE"""),"8717323071045")</f>
        <v>8717323071045</v>
      </c>
      <c r="C14534" t="str">
        <f>IFERROR(__xludf.DUMMYFUNCTION("""COMPUTED_VALUE"""),"ECS")</f>
        <v>ECS</v>
      </c>
    </row>
    <row r="14535">
      <c r="A14535" t="str">
        <f>IFERROR(__xludf.DUMMYFUNCTION("""COMPUTED_VALUE"""),"SY022D1")</f>
        <v>SY022D1</v>
      </c>
      <c r="B14535" s="226" t="str">
        <f>IFERROR(__xludf.DUMMYFUNCTION("""COMPUTED_VALUE"""),"8717323071052")</f>
        <v>8717323071052</v>
      </c>
      <c r="C14535" t="str">
        <f>IFERROR(__xludf.DUMMYFUNCTION("""COMPUTED_VALUE"""),"ECS")</f>
        <v>ECS</v>
      </c>
    </row>
    <row r="14536">
      <c r="A14536" t="str">
        <f>IFERROR(__xludf.DUMMYFUNCTION("""COMPUTED_VALUE"""),"SY005BB")</f>
        <v>SY005BB</v>
      </c>
      <c r="B14536" s="226" t="str">
        <f>IFERROR(__xludf.DUMMYFUNCTION("""COMPUTED_VALUE"""),"8717323012864")</f>
        <v>8717323012864</v>
      </c>
      <c r="C14536" t="str">
        <f>IFERROR(__xludf.DUMMYFUNCTION("""COMPUTED_VALUE"""),"ECS")</f>
        <v>ECS</v>
      </c>
    </row>
    <row r="14537">
      <c r="A14537" t="str">
        <f>IFERROR(__xludf.DUMMYFUNCTION("""COMPUTED_VALUE"""),"SY021BX")</f>
        <v>SY021BX</v>
      </c>
      <c r="B14537" s="226" t="str">
        <f>IFERROR(__xludf.DUMMYFUNCTION("""COMPUTED_VALUE"""),"8717323067376")</f>
        <v>8717323067376</v>
      </c>
      <c r="C14537" t="str">
        <f>IFERROR(__xludf.DUMMYFUNCTION("""COMPUTED_VALUE"""),"ECS")</f>
        <v>ECS</v>
      </c>
    </row>
    <row r="14538">
      <c r="A14538" t="str">
        <f>IFERROR(__xludf.DUMMYFUNCTION("""COMPUTED_VALUE"""),"SY021DX")</f>
        <v>SY021DX</v>
      </c>
      <c r="B14538" s="226" t="str">
        <f>IFERROR(__xludf.DUMMYFUNCTION("""COMPUTED_VALUE"""),"8717323067383")</f>
        <v>8717323067383</v>
      </c>
      <c r="C14538" t="str">
        <f>IFERROR(__xludf.DUMMYFUNCTION("""COMPUTED_VALUE"""),"ECS")</f>
        <v>ECS</v>
      </c>
    </row>
    <row r="14539">
      <c r="A14539" t="str">
        <f>IFERROR(__xludf.DUMMYFUNCTION("""COMPUTED_VALUE"""),"SY021BX")</f>
        <v>SY021BX</v>
      </c>
      <c r="B14539" s="226" t="str">
        <f>IFERROR(__xludf.DUMMYFUNCTION("""COMPUTED_VALUE"""),"8717323067376")</f>
        <v>8717323067376</v>
      </c>
      <c r="C14539" t="str">
        <f>IFERROR(__xludf.DUMMYFUNCTION("""COMPUTED_VALUE"""),"ECS")</f>
        <v>ECS</v>
      </c>
    </row>
    <row r="14540">
      <c r="A14540" t="str">
        <f>IFERROR(__xludf.DUMMYFUNCTION("""COMPUTED_VALUE"""),"SY021DX")</f>
        <v>SY021DX</v>
      </c>
      <c r="B14540" s="226" t="str">
        <f>IFERROR(__xludf.DUMMYFUNCTION("""COMPUTED_VALUE"""),"8717323067383")</f>
        <v>8717323067383</v>
      </c>
      <c r="C14540" t="str">
        <f>IFERROR(__xludf.DUMMYFUNCTION("""COMPUTED_VALUE"""),"ECS")</f>
        <v>ECS</v>
      </c>
    </row>
    <row r="14541">
      <c r="A14541" t="str">
        <f>IFERROR(__xludf.DUMMYFUNCTION("""COMPUTED_VALUE"""),"SY003BB")</f>
        <v>SY003BB</v>
      </c>
      <c r="B14541" s="226" t="str">
        <f>IFERROR(__xludf.DUMMYFUNCTION("""COMPUTED_VALUE"""),"8717323007341")</f>
        <v>8717323007341</v>
      </c>
      <c r="C14541" t="str">
        <f>IFERROR(__xludf.DUMMYFUNCTION("""COMPUTED_VALUE"""),"ECS")</f>
        <v>ECS</v>
      </c>
    </row>
    <row r="14542">
      <c r="A14542" t="str">
        <f>IFERROR(__xludf.DUMMYFUNCTION("""COMPUTED_VALUE"""),"SY003BL")</f>
        <v>SY003BL</v>
      </c>
      <c r="B14542" s="226" t="str">
        <f>IFERROR(__xludf.DUMMYFUNCTION("""COMPUTED_VALUE"""),"8717323021460")</f>
        <v>8717323021460</v>
      </c>
      <c r="C14542" t="str">
        <f>IFERROR(__xludf.DUMMYFUNCTION("""COMPUTED_VALUE"""),"ECS")</f>
        <v>ECS</v>
      </c>
    </row>
    <row r="14543">
      <c r="A14543" t="str">
        <f>IFERROR(__xludf.DUMMYFUNCTION("""COMPUTED_VALUE"""),"SY003DB")</f>
        <v>SY003DB</v>
      </c>
      <c r="B14543" s="226" t="str">
        <f>IFERROR(__xludf.DUMMYFUNCTION("""COMPUTED_VALUE"""),"8717323007358")</f>
        <v>8717323007358</v>
      </c>
      <c r="C14543" t="str">
        <f>IFERROR(__xludf.DUMMYFUNCTION("""COMPUTED_VALUE"""),"ECS")</f>
        <v>ECS</v>
      </c>
    </row>
    <row r="14544">
      <c r="A14544" t="str">
        <f>IFERROR(__xludf.DUMMYFUNCTION("""COMPUTED_VALUE"""),"SY003DL")</f>
        <v>SY003DL</v>
      </c>
      <c r="B14544" s="226" t="str">
        <f>IFERROR(__xludf.DUMMYFUNCTION("""COMPUTED_VALUE"""),"8717323021477")</f>
        <v>8717323021477</v>
      </c>
      <c r="C14544" t="str">
        <f>IFERROR(__xludf.DUMMYFUNCTION("""COMPUTED_VALUE"""),"ECS")</f>
        <v>ECS</v>
      </c>
    </row>
    <row r="14545">
      <c r="A14545" t="str">
        <f>IFERROR(__xludf.DUMMYFUNCTION("""COMPUTED_VALUE"""),"SY020BX")</f>
        <v>SY020BX</v>
      </c>
      <c r="B14545" s="226" t="str">
        <f>IFERROR(__xludf.DUMMYFUNCTION("""COMPUTED_VALUE"""),"8717323065990")</f>
        <v>8717323065990</v>
      </c>
      <c r="C14545" t="str">
        <f>IFERROR(__xludf.DUMMYFUNCTION("""COMPUTED_VALUE"""),"ECS")</f>
        <v>ECS</v>
      </c>
    </row>
    <row r="14546">
      <c r="A14546" t="str">
        <f>IFERROR(__xludf.DUMMYFUNCTION("""COMPUTED_VALUE"""),"SY020DX")</f>
        <v>SY020DX</v>
      </c>
      <c r="B14546" s="226" t="str">
        <f>IFERROR(__xludf.DUMMYFUNCTION("""COMPUTED_VALUE"""),"8717323066003")</f>
        <v>8717323066003</v>
      </c>
      <c r="C14546" t="str">
        <f>IFERROR(__xludf.DUMMYFUNCTION("""COMPUTED_VALUE"""),"ECS")</f>
        <v>ECS</v>
      </c>
    </row>
    <row r="14547">
      <c r="A14547" t="str">
        <f>IFERROR(__xludf.DUMMYFUNCTION("""COMPUTED_VALUE"""),"SY004BL")</f>
        <v>SY004BL</v>
      </c>
      <c r="B14547" s="226" t="str">
        <f>IFERROR(__xludf.DUMMYFUNCTION("""COMPUTED_VALUE"""),"8717323015520")</f>
        <v>8717323015520</v>
      </c>
      <c r="C14547" t="str">
        <f>IFERROR(__xludf.DUMMYFUNCTION("""COMPUTED_VALUE"""),"ECS")</f>
        <v>ECS</v>
      </c>
    </row>
    <row r="14548">
      <c r="A14548" t="str">
        <f>IFERROR(__xludf.DUMMYFUNCTION("""COMPUTED_VALUE"""),"SY004DH")</f>
        <v>SY004DH</v>
      </c>
      <c r="B14548" s="226" t="str">
        <f>IFERROR(__xludf.DUMMYFUNCTION("""COMPUTED_VALUE"""),"8717323023198")</f>
        <v>8717323023198</v>
      </c>
      <c r="C14548" t="str">
        <f>IFERROR(__xludf.DUMMYFUNCTION("""COMPUTED_VALUE"""),"ECS")</f>
        <v>ECS</v>
      </c>
    </row>
    <row r="14549">
      <c r="A14549" t="str">
        <f>IFERROR(__xludf.DUMMYFUNCTION("""COMPUTED_VALUE"""),"SY009BH")</f>
        <v>SY009BH</v>
      </c>
      <c r="B14549" s="226" t="str">
        <f>IFERROR(__xludf.DUMMYFUNCTION("""COMPUTED_VALUE"""),"8717323049570")</f>
        <v>8717323049570</v>
      </c>
      <c r="C14549" t="str">
        <f>IFERROR(__xludf.DUMMYFUNCTION("""COMPUTED_VALUE"""),"ECS")</f>
        <v>ECS</v>
      </c>
    </row>
    <row r="14550">
      <c r="A14550" t="str">
        <f>IFERROR(__xludf.DUMMYFUNCTION("""COMPUTED_VALUE"""),"SY009DH")</f>
        <v>SY009DH</v>
      </c>
      <c r="B14550" s="226" t="str">
        <f>IFERROR(__xludf.DUMMYFUNCTION("""COMPUTED_VALUE"""),"8717323049587")</f>
        <v>8717323049587</v>
      </c>
      <c r="C14550" t="str">
        <f>IFERROR(__xludf.DUMMYFUNCTION("""COMPUTED_VALUE"""),"ECS")</f>
        <v>ECS</v>
      </c>
    </row>
    <row r="14551">
      <c r="A14551" t="str">
        <f>IFERROR(__xludf.DUMMYFUNCTION("""COMPUTED_VALUE"""),"SY011BB")</f>
        <v>SY011BB</v>
      </c>
      <c r="B14551" s="226" t="str">
        <f>IFERROR(__xludf.DUMMYFUNCTION("""COMPUTED_VALUE"""),"8717323053850")</f>
        <v>8717323053850</v>
      </c>
      <c r="C14551" t="str">
        <f>IFERROR(__xludf.DUMMYFUNCTION("""COMPUTED_VALUE"""),"ECS")</f>
        <v>ECS</v>
      </c>
    </row>
    <row r="14552">
      <c r="A14552" t="str">
        <f>IFERROR(__xludf.DUMMYFUNCTION("""COMPUTED_VALUE"""),"SY011DL")</f>
        <v>SY011DL</v>
      </c>
      <c r="B14552" s="226" t="str">
        <f>IFERROR(__xludf.DUMMYFUNCTION("""COMPUTED_VALUE"""),"8717323053867")</f>
        <v>8717323053867</v>
      </c>
      <c r="C14552" t="str">
        <f>IFERROR(__xludf.DUMMYFUNCTION("""COMPUTED_VALUE"""),"ECS")</f>
        <v>ECS</v>
      </c>
    </row>
    <row r="14553">
      <c r="A14553" t="str">
        <f>IFERROR(__xludf.DUMMYFUNCTION("""COMPUTED_VALUE"""),"SY022B1")</f>
        <v>SY022B1</v>
      </c>
      <c r="B14553" s="226" t="str">
        <f>IFERROR(__xludf.DUMMYFUNCTION("""COMPUTED_VALUE"""),"8717323071045")</f>
        <v>8717323071045</v>
      </c>
      <c r="C14553" t="str">
        <f>IFERROR(__xludf.DUMMYFUNCTION("""COMPUTED_VALUE"""),"ECS")</f>
        <v>ECS</v>
      </c>
    </row>
    <row r="14554">
      <c r="A14554" t="str">
        <f>IFERROR(__xludf.DUMMYFUNCTION("""COMPUTED_VALUE"""),"SY022D1")</f>
        <v>SY022D1</v>
      </c>
      <c r="B14554" s="226" t="str">
        <f>IFERROR(__xludf.DUMMYFUNCTION("""COMPUTED_VALUE"""),"8717323071052")</f>
        <v>8717323071052</v>
      </c>
      <c r="C14554" t="str">
        <f>IFERROR(__xludf.DUMMYFUNCTION("""COMPUTED_VALUE"""),"ECS")</f>
        <v>ECS</v>
      </c>
    </row>
    <row r="14555">
      <c r="A14555" t="str">
        <f>IFERROR(__xludf.DUMMYFUNCTION("""COMPUTED_VALUE"""),"SY012BH")</f>
        <v>SY012BH</v>
      </c>
      <c r="B14555" s="226" t="str">
        <f>IFERROR(__xludf.DUMMYFUNCTION("""COMPUTED_VALUE"""),"8717323058015")</f>
        <v>8717323058015</v>
      </c>
      <c r="C14555" t="str">
        <f>IFERROR(__xludf.DUMMYFUNCTION("""COMPUTED_VALUE"""),"ECS")</f>
        <v>ECS</v>
      </c>
    </row>
    <row r="14556">
      <c r="A14556" t="str">
        <f>IFERROR(__xludf.DUMMYFUNCTION("""COMPUTED_VALUE"""),"SY012HH")</f>
        <v>SY012HH</v>
      </c>
      <c r="B14556" s="226" t="str">
        <f>IFERROR(__xludf.DUMMYFUNCTION("""COMPUTED_VALUE"""),"8717323058190")</f>
        <v>8717323058190</v>
      </c>
      <c r="C14556" t="str">
        <f>IFERROR(__xludf.DUMMYFUNCTION("""COMPUTED_VALUE"""),"ECS")</f>
        <v>ECS</v>
      </c>
    </row>
    <row r="14557">
      <c r="A14557" t="str">
        <f>IFERROR(__xludf.DUMMYFUNCTION("""COMPUTED_VALUE"""),"SB002BB")</f>
        <v>SB002BB</v>
      </c>
      <c r="B14557" s="226" t="str">
        <f>IFERROR(__xludf.DUMMYFUNCTION("""COMPUTED_VALUE"""),"8717323006740")</f>
        <v>8717323006740</v>
      </c>
      <c r="C14557" t="str">
        <f>IFERROR(__xludf.DUMMYFUNCTION("""COMPUTED_VALUE"""),"ECS")</f>
        <v>ECS</v>
      </c>
    </row>
    <row r="14558">
      <c r="A14558" t="str">
        <f>IFERROR(__xludf.DUMMYFUNCTION("""COMPUTED_VALUE"""),"SB006DB")</f>
        <v>SB006DB</v>
      </c>
      <c r="B14558" s="226" t="str">
        <f>IFERROR(__xludf.DUMMYFUNCTION("""COMPUTED_VALUE"""),"8717323012529")</f>
        <v>8717323012529</v>
      </c>
      <c r="C14558" t="str">
        <f>IFERROR(__xludf.DUMMYFUNCTION("""COMPUTED_VALUE"""),"ECS")</f>
        <v>ECS</v>
      </c>
    </row>
    <row r="14559">
      <c r="A14559" t="str">
        <f>IFERROR(__xludf.DUMMYFUNCTION("""COMPUTED_VALUE"""),"SB006DL")</f>
        <v>SB006DL</v>
      </c>
      <c r="B14559" s="226" t="str">
        <f>IFERROR(__xludf.DUMMYFUNCTION("""COMPUTED_VALUE"""),"8717323012536")</f>
        <v>8717323012536</v>
      </c>
      <c r="C14559" t="str">
        <f>IFERROR(__xludf.DUMMYFUNCTION("""COMPUTED_VALUE"""),"ECS")</f>
        <v>ECS</v>
      </c>
    </row>
    <row r="14560">
      <c r="A14560" t="str">
        <f>IFERROR(__xludf.DUMMYFUNCTION("""COMPUTED_VALUE"""),"SB007BB")</f>
        <v>SB007BB</v>
      </c>
      <c r="B14560" s="226" t="str">
        <f>IFERROR(__xludf.DUMMYFUNCTION("""COMPUTED_VALUE"""),"8717323012468")</f>
        <v>8717323012468</v>
      </c>
      <c r="C14560" t="str">
        <f>IFERROR(__xludf.DUMMYFUNCTION("""COMPUTED_VALUE"""),"ECS")</f>
        <v>ECS</v>
      </c>
    </row>
    <row r="14561">
      <c r="A14561" t="str">
        <f>IFERROR(__xludf.DUMMYFUNCTION("""COMPUTED_VALUE"""),"SB007BL")</f>
        <v>SB007BL</v>
      </c>
      <c r="B14561" s="226" t="str">
        <f>IFERROR(__xludf.DUMMYFUNCTION("""COMPUTED_VALUE"""),"8717323012475")</f>
        <v>8717323012475</v>
      </c>
      <c r="C14561" t="str">
        <f>IFERROR(__xludf.DUMMYFUNCTION("""COMPUTED_VALUE"""),"ECS")</f>
        <v>ECS</v>
      </c>
    </row>
    <row r="14562">
      <c r="A14562" t="str">
        <f>IFERROR(__xludf.DUMMYFUNCTION("""COMPUTED_VALUE"""),"SB007DB")</f>
        <v>SB007DB</v>
      </c>
      <c r="B14562" s="226" t="str">
        <f>IFERROR(__xludf.DUMMYFUNCTION("""COMPUTED_VALUE"""),"8717323012482")</f>
        <v>8717323012482</v>
      </c>
      <c r="C14562" t="str">
        <f>IFERROR(__xludf.DUMMYFUNCTION("""COMPUTED_VALUE"""),"ECS")</f>
        <v>ECS</v>
      </c>
    </row>
    <row r="14563">
      <c r="A14563" t="str">
        <f>IFERROR(__xludf.DUMMYFUNCTION("""COMPUTED_VALUE"""),"SB012BB")</f>
        <v>SB012BB</v>
      </c>
      <c r="B14563" s="226" t="str">
        <f>IFERROR(__xludf.DUMMYFUNCTION("""COMPUTED_VALUE"""),"8717323016398")</f>
        <v>8717323016398</v>
      </c>
      <c r="C14563" t="str">
        <f>IFERROR(__xludf.DUMMYFUNCTION("""COMPUTED_VALUE"""),"ECS")</f>
        <v>ECS</v>
      </c>
    </row>
    <row r="14564">
      <c r="A14564" t="str">
        <f>IFERROR(__xludf.DUMMYFUNCTION("""COMPUTED_VALUE"""),"SB012DL")</f>
        <v>SB012DL</v>
      </c>
      <c r="B14564" s="226" t="str">
        <f>IFERROR(__xludf.DUMMYFUNCTION("""COMPUTED_VALUE"""),"8717323016404")</f>
        <v>8717323016404</v>
      </c>
      <c r="C14564" t="str">
        <f>IFERROR(__xludf.DUMMYFUNCTION("""COMPUTED_VALUE"""),"ECS")</f>
        <v>ECS</v>
      </c>
    </row>
    <row r="14565">
      <c r="A14565" t="str">
        <f>IFERROR(__xludf.DUMMYFUNCTION("""COMPUTED_VALUE"""),"SB023DH")</f>
        <v>SB023DH</v>
      </c>
      <c r="B14565" s="226" t="str">
        <f>IFERROR(__xludf.DUMMYFUNCTION("""COMPUTED_VALUE"""),"8717323047330")</f>
        <v>8717323047330</v>
      </c>
      <c r="C14565" t="str">
        <f>IFERROR(__xludf.DUMMYFUNCTION("""COMPUTED_VALUE"""),"ECS")</f>
        <v>ECS</v>
      </c>
    </row>
    <row r="14566">
      <c r="A14566" t="str">
        <f>IFERROR(__xludf.DUMMYFUNCTION("""COMPUTED_VALUE"""),"SB036BH")</f>
        <v>SB036BH</v>
      </c>
      <c r="B14566" s="226" t="str">
        <f>IFERROR(__xludf.DUMMYFUNCTION("""COMPUTED_VALUE"""),"8717323051641")</f>
        <v>8717323051641</v>
      </c>
      <c r="C14566" t="str">
        <f>IFERROR(__xludf.DUMMYFUNCTION("""COMPUTED_VALUE"""),"ECS")</f>
        <v>ECS</v>
      </c>
    </row>
    <row r="14567">
      <c r="A14567" t="str">
        <f>IFERROR(__xludf.DUMMYFUNCTION("""COMPUTED_VALUE"""),"SB036DH")</f>
        <v>SB036DH</v>
      </c>
      <c r="B14567" s="226" t="str">
        <f>IFERROR(__xludf.DUMMYFUNCTION("""COMPUTED_VALUE"""),"8717323051658")</f>
        <v>8717323051658</v>
      </c>
      <c r="C14567" t="str">
        <f>IFERROR(__xludf.DUMMYFUNCTION("""COMPUTED_VALUE"""),"ECS")</f>
        <v>ECS</v>
      </c>
    </row>
    <row r="14568">
      <c r="A14568" t="str">
        <f>IFERROR(__xludf.DUMMYFUNCTION("""COMPUTED_VALUE"""),"SB002BB")</f>
        <v>SB002BB</v>
      </c>
      <c r="B14568" s="226" t="str">
        <f>IFERROR(__xludf.DUMMYFUNCTION("""COMPUTED_VALUE"""),"8717323006740")</f>
        <v>8717323006740</v>
      </c>
      <c r="C14568" t="str">
        <f>IFERROR(__xludf.DUMMYFUNCTION("""COMPUTED_VALUE"""),"ECS")</f>
        <v>ECS</v>
      </c>
    </row>
    <row r="14569">
      <c r="A14569" t="str">
        <f>IFERROR(__xludf.DUMMYFUNCTION("""COMPUTED_VALUE"""),"SB010BB")</f>
        <v>SB010BB</v>
      </c>
      <c r="B14569" s="226" t="str">
        <f>IFERROR(__xludf.DUMMYFUNCTION("""COMPUTED_VALUE"""),"8717323015537")</f>
        <v>8717323015537</v>
      </c>
      <c r="C14569" t="str">
        <f>IFERROR(__xludf.DUMMYFUNCTION("""COMPUTED_VALUE"""),"ECS")</f>
        <v>ECS</v>
      </c>
    </row>
    <row r="14570">
      <c r="A14570" t="str">
        <f>IFERROR(__xludf.DUMMYFUNCTION("""COMPUTED_VALUE"""),"SB036BH")</f>
        <v>SB036BH</v>
      </c>
      <c r="B14570" s="226" t="str">
        <f>IFERROR(__xludf.DUMMYFUNCTION("""COMPUTED_VALUE"""),"8717323051641")</f>
        <v>8717323051641</v>
      </c>
      <c r="C14570" t="str">
        <f>IFERROR(__xludf.DUMMYFUNCTION("""COMPUTED_VALUE"""),"ECS")</f>
        <v>ECS</v>
      </c>
    </row>
    <row r="14571">
      <c r="A14571" t="str">
        <f>IFERROR(__xludf.DUMMYFUNCTION("""COMPUTED_VALUE"""),"SB036DH")</f>
        <v>SB036DH</v>
      </c>
      <c r="B14571" s="226" t="str">
        <f>IFERROR(__xludf.DUMMYFUNCTION("""COMPUTED_VALUE"""),"8717323051658")</f>
        <v>8717323051658</v>
      </c>
      <c r="C14571" t="str">
        <f>IFERROR(__xludf.DUMMYFUNCTION("""COMPUTED_VALUE"""),"ECS")</f>
        <v>ECS</v>
      </c>
    </row>
    <row r="14572">
      <c r="A14572" t="str">
        <f>IFERROR(__xludf.DUMMYFUNCTION("""COMPUTED_VALUE"""),"SB002BB")</f>
        <v>SB002BB</v>
      </c>
      <c r="B14572" s="226" t="str">
        <f>IFERROR(__xludf.DUMMYFUNCTION("""COMPUTED_VALUE"""),"8717323006740")</f>
        <v>8717323006740</v>
      </c>
      <c r="C14572" t="str">
        <f>IFERROR(__xludf.DUMMYFUNCTION("""COMPUTED_VALUE"""),"ECS")</f>
        <v>ECS</v>
      </c>
    </row>
    <row r="14573">
      <c r="A14573" t="str">
        <f>IFERROR(__xludf.DUMMYFUNCTION("""COMPUTED_VALUE"""),"SB013BB")</f>
        <v>SB013BB</v>
      </c>
      <c r="B14573" s="226" t="str">
        <f>IFERROR(__xludf.DUMMYFUNCTION("""COMPUTED_VALUE"""),"8717323016633")</f>
        <v>8717323016633</v>
      </c>
      <c r="C14573" t="str">
        <f>IFERROR(__xludf.DUMMYFUNCTION("""COMPUTED_VALUE"""),"ECS")</f>
        <v>ECS</v>
      </c>
    </row>
    <row r="14574">
      <c r="A14574" t="str">
        <f>IFERROR(__xludf.DUMMYFUNCTION("""COMPUTED_VALUE"""),"SB013DL")</f>
        <v>SB013DL</v>
      </c>
      <c r="B14574" s="226" t="str">
        <f>IFERROR(__xludf.DUMMYFUNCTION("""COMPUTED_VALUE"""),"8717323016640")</f>
        <v>8717323016640</v>
      </c>
      <c r="C14574" t="str">
        <f>IFERROR(__xludf.DUMMYFUNCTION("""COMPUTED_VALUE"""),"ECS")</f>
        <v>ECS</v>
      </c>
    </row>
    <row r="14575">
      <c r="A14575" t="str">
        <f>IFERROR(__xludf.DUMMYFUNCTION("""COMPUTED_VALUE"""),"SB008DB")</f>
        <v>SB008DB</v>
      </c>
      <c r="B14575" s="226" t="str">
        <f>IFERROR(__xludf.DUMMYFUNCTION("""COMPUTED_VALUE"""),"8717323012581")</f>
        <v>8717323012581</v>
      </c>
      <c r="C14575" t="str">
        <f>IFERROR(__xludf.DUMMYFUNCTION("""COMPUTED_VALUE"""),"ECS")</f>
        <v>ECS</v>
      </c>
    </row>
    <row r="14576">
      <c r="A14576" t="str">
        <f>IFERROR(__xludf.DUMMYFUNCTION("""COMPUTED_VALUE"""),"SZ016BB")</f>
        <v>SZ016BB</v>
      </c>
      <c r="B14576" s="226" t="str">
        <f>IFERROR(__xludf.DUMMYFUNCTION("""COMPUTED_VALUE"""),"8717323009437")</f>
        <v>8717323009437</v>
      </c>
      <c r="C14576" t="str">
        <f>IFERROR(__xludf.DUMMYFUNCTION("""COMPUTED_VALUE"""),"ECS")</f>
        <v>ECS</v>
      </c>
    </row>
    <row r="14577">
      <c r="A14577" t="str">
        <f>IFERROR(__xludf.DUMMYFUNCTION("""COMPUTED_VALUE"""),"SZ016BL")</f>
        <v>SZ016BL</v>
      </c>
      <c r="B14577" s="226" t="str">
        <f>IFERROR(__xludf.DUMMYFUNCTION("""COMPUTED_VALUE"""),"8717323021569")</f>
        <v>8717323021569</v>
      </c>
      <c r="C14577" t="str">
        <f>IFERROR(__xludf.DUMMYFUNCTION("""COMPUTED_VALUE"""),"ECS")</f>
        <v>ECS</v>
      </c>
    </row>
    <row r="14578">
      <c r="A14578" t="str">
        <f>IFERROR(__xludf.DUMMYFUNCTION("""COMPUTED_VALUE"""),"SZ016DL")</f>
        <v>SZ016DL</v>
      </c>
      <c r="B14578" s="226" t="str">
        <f>IFERROR(__xludf.DUMMYFUNCTION("""COMPUTED_VALUE"""),"8717323021576")</f>
        <v>8717323021576</v>
      </c>
      <c r="C14578" t="str">
        <f>IFERROR(__xludf.DUMMYFUNCTION("""COMPUTED_VALUE"""),"ECS")</f>
        <v>ECS</v>
      </c>
    </row>
    <row r="14579">
      <c r="A14579" t="str">
        <f>IFERROR(__xludf.DUMMYFUNCTION("""COMPUTED_VALUE"""),"DU010BB")</f>
        <v>DU010BB</v>
      </c>
      <c r="B14579" s="226" t="str">
        <f>IFERROR(__xludf.DUMMYFUNCTION("""COMPUTED_VALUE"""),"8717323010785")</f>
        <v>8717323010785</v>
      </c>
      <c r="C14579" t="str">
        <f>IFERROR(__xludf.DUMMYFUNCTION("""COMPUTED_VALUE"""),"ECS")</f>
        <v>ECS</v>
      </c>
    </row>
    <row r="14580">
      <c r="A14580" t="str">
        <f>IFERROR(__xludf.DUMMYFUNCTION("""COMPUTED_VALUE"""),"DU010DL")</f>
        <v>DU010DL</v>
      </c>
      <c r="B14580" s="226" t="str">
        <f>IFERROR(__xludf.DUMMYFUNCTION("""COMPUTED_VALUE"""),"8717323010792")</f>
        <v>8717323010792</v>
      </c>
      <c r="C14580" t="str">
        <f>IFERROR(__xludf.DUMMYFUNCTION("""COMPUTED_VALUE"""),"ECS")</f>
        <v>ECS</v>
      </c>
    </row>
    <row r="14581">
      <c r="A14581" t="str">
        <f>IFERROR(__xludf.DUMMYFUNCTION("""COMPUTED_VALUE"""),"SB002BB")</f>
        <v>SB002BB</v>
      </c>
      <c r="B14581" s="226" t="str">
        <f>IFERROR(__xludf.DUMMYFUNCTION("""COMPUTED_VALUE"""),"8717323006740")</f>
        <v>8717323006740</v>
      </c>
      <c r="C14581" t="str">
        <f>IFERROR(__xludf.DUMMYFUNCTION("""COMPUTED_VALUE"""),"ECS")</f>
        <v>ECS</v>
      </c>
    </row>
    <row r="14582">
      <c r="A14582" t="str">
        <f>IFERROR(__xludf.DUMMYFUNCTION("""COMPUTED_VALUE"""),"SB002BB")</f>
        <v>SB002BB</v>
      </c>
      <c r="B14582" s="226" t="str">
        <f>IFERROR(__xludf.DUMMYFUNCTION("""COMPUTED_VALUE"""),"8717323006740")</f>
        <v>8717323006740</v>
      </c>
      <c r="C14582" t="str">
        <f>IFERROR(__xludf.DUMMYFUNCTION("""COMPUTED_VALUE"""),"ECS")</f>
        <v>ECS</v>
      </c>
    </row>
    <row r="14583">
      <c r="A14583" t="str">
        <f>IFERROR(__xludf.DUMMYFUNCTION("""COMPUTED_VALUE"""),"SB004BB")</f>
        <v>SB004BB</v>
      </c>
      <c r="B14583" s="226" t="str">
        <f>IFERROR(__xludf.DUMMYFUNCTION("""COMPUTED_VALUE"""),"8717323010419")</f>
        <v>8717323010419</v>
      </c>
      <c r="C14583" t="str">
        <f>IFERROR(__xludf.DUMMYFUNCTION("""COMPUTED_VALUE"""),"ECS")</f>
        <v>ECS</v>
      </c>
    </row>
    <row r="14584">
      <c r="A14584" t="str">
        <f>IFERROR(__xludf.DUMMYFUNCTION("""COMPUTED_VALUE"""),"SB004DL")</f>
        <v>SB004DL</v>
      </c>
      <c r="B14584" s="226" t="str">
        <f>IFERROR(__xludf.DUMMYFUNCTION("""COMPUTED_VALUE"""),"8717323010426")</f>
        <v>8717323010426</v>
      </c>
      <c r="C14584" t="str">
        <f>IFERROR(__xludf.DUMMYFUNCTION("""COMPUTED_VALUE"""),"ECS")</f>
        <v>ECS</v>
      </c>
    </row>
    <row r="14585">
      <c r="A14585" t="str">
        <f>IFERROR(__xludf.DUMMYFUNCTION("""COMPUTED_VALUE"""),"SB015BB")</f>
        <v>SB015BB</v>
      </c>
      <c r="B14585" s="226" t="str">
        <f>IFERROR(__xludf.DUMMYFUNCTION("""COMPUTED_VALUE"""),"8717323022825")</f>
        <v>8717323022825</v>
      </c>
      <c r="C14585" t="str">
        <f>IFERROR(__xludf.DUMMYFUNCTION("""COMPUTED_VALUE"""),"ECS")</f>
        <v>ECS</v>
      </c>
    </row>
    <row r="14586">
      <c r="A14586" t="str">
        <f>IFERROR(__xludf.DUMMYFUNCTION("""COMPUTED_VALUE"""),"SB015DL")</f>
        <v>SB015DL</v>
      </c>
      <c r="B14586" s="226" t="str">
        <f>IFERROR(__xludf.DUMMYFUNCTION("""COMPUTED_VALUE"""),"8717323022832")</f>
        <v>8717323022832</v>
      </c>
      <c r="C14586" t="str">
        <f>IFERROR(__xludf.DUMMYFUNCTION("""COMPUTED_VALUE"""),"ECS")</f>
        <v>ECS</v>
      </c>
    </row>
    <row r="14587">
      <c r="A14587" t="str">
        <f>IFERROR(__xludf.DUMMYFUNCTION("""COMPUTED_VALUE"""),"SB014BB")</f>
        <v>SB014BB</v>
      </c>
      <c r="B14587" s="226" t="str">
        <f>IFERROR(__xludf.DUMMYFUNCTION("""COMPUTED_VALUE"""),"8717323022863")</f>
        <v>8717323022863</v>
      </c>
      <c r="C14587" t="str">
        <f>IFERROR(__xludf.DUMMYFUNCTION("""COMPUTED_VALUE"""),"ECS")</f>
        <v>ECS</v>
      </c>
    </row>
    <row r="14588">
      <c r="A14588" t="str">
        <f>IFERROR(__xludf.DUMMYFUNCTION("""COMPUTED_VALUE"""),"SB014DL")</f>
        <v>SB014DL</v>
      </c>
      <c r="B14588" s="226" t="str">
        <f>IFERROR(__xludf.DUMMYFUNCTION("""COMPUTED_VALUE"""),"8717323022870")</f>
        <v>8717323022870</v>
      </c>
      <c r="C14588" t="str">
        <f>IFERROR(__xludf.DUMMYFUNCTION("""COMPUTED_VALUE"""),"ECS")</f>
        <v>ECS</v>
      </c>
    </row>
    <row r="14589">
      <c r="A14589" t="str">
        <f>IFERROR(__xludf.DUMMYFUNCTION("""COMPUTED_VALUE"""),"SB036BH")</f>
        <v>SB036BH</v>
      </c>
      <c r="B14589" s="226" t="str">
        <f>IFERROR(__xludf.DUMMYFUNCTION("""COMPUTED_VALUE"""),"8717323051641")</f>
        <v>8717323051641</v>
      </c>
      <c r="C14589" t="str">
        <f>IFERROR(__xludf.DUMMYFUNCTION("""COMPUTED_VALUE"""),"ECS")</f>
        <v>ECS</v>
      </c>
    </row>
    <row r="14590">
      <c r="A14590" t="str">
        <f>IFERROR(__xludf.DUMMYFUNCTION("""COMPUTED_VALUE"""),"SB036DH")</f>
        <v>SB036DH</v>
      </c>
      <c r="B14590" s="226" t="str">
        <f>IFERROR(__xludf.DUMMYFUNCTION("""COMPUTED_VALUE"""),"8717323051658")</f>
        <v>8717323051658</v>
      </c>
      <c r="C14590" t="str">
        <f>IFERROR(__xludf.DUMMYFUNCTION("""COMPUTED_VALUE"""),"ECS")</f>
        <v>ECS</v>
      </c>
    </row>
    <row r="14591">
      <c r="A14591" t="str">
        <f>IFERROR(__xludf.DUMMYFUNCTION("""COMPUTED_VALUE"""),"SB016BB")</f>
        <v>SB016BB</v>
      </c>
      <c r="B14591" s="226" t="str">
        <f>IFERROR(__xludf.DUMMYFUNCTION("""COMPUTED_VALUE"""),"8717323022887")</f>
        <v>8717323022887</v>
      </c>
      <c r="C14591" t="str">
        <f>IFERROR(__xludf.DUMMYFUNCTION("""COMPUTED_VALUE"""),"ECS")</f>
        <v>ECS</v>
      </c>
    </row>
    <row r="14592">
      <c r="A14592" t="str">
        <f>IFERROR(__xludf.DUMMYFUNCTION("""COMPUTED_VALUE"""),"SB016DL")</f>
        <v>SB016DL</v>
      </c>
      <c r="B14592" s="226" t="str">
        <f>IFERROR(__xludf.DUMMYFUNCTION("""COMPUTED_VALUE"""),"8717323022894")</f>
        <v>8717323022894</v>
      </c>
      <c r="C14592" t="str">
        <f>IFERROR(__xludf.DUMMYFUNCTION("""COMPUTED_VALUE"""),"ECS")</f>
        <v>ECS</v>
      </c>
    </row>
    <row r="14593">
      <c r="A14593" t="str">
        <f>IFERROR(__xludf.DUMMYFUNCTION("""COMPUTED_VALUE"""),"SB036BH")</f>
        <v>SB036BH</v>
      </c>
      <c r="B14593" s="226" t="str">
        <f>IFERROR(__xludf.DUMMYFUNCTION("""COMPUTED_VALUE"""),"8717323051641")</f>
        <v>8717323051641</v>
      </c>
      <c r="C14593" t="str">
        <f>IFERROR(__xludf.DUMMYFUNCTION("""COMPUTED_VALUE"""),"ECS")</f>
        <v>ECS</v>
      </c>
    </row>
    <row r="14594">
      <c r="A14594" t="str">
        <f>IFERROR(__xludf.DUMMYFUNCTION("""COMPUTED_VALUE"""),"SB036DH")</f>
        <v>SB036DH</v>
      </c>
      <c r="B14594" s="226" t="str">
        <f>IFERROR(__xludf.DUMMYFUNCTION("""COMPUTED_VALUE"""),"8717323051658")</f>
        <v>8717323051658</v>
      </c>
      <c r="C14594" t="str">
        <f>IFERROR(__xludf.DUMMYFUNCTION("""COMPUTED_VALUE"""),"ECS")</f>
        <v>ECS</v>
      </c>
    </row>
    <row r="14595">
      <c r="A14595" t="str">
        <f>IFERROR(__xludf.DUMMYFUNCTION("""COMPUTED_VALUE"""),"TO192BB")</f>
        <v>TO192BB</v>
      </c>
      <c r="B14595" s="226" t="str">
        <f>IFERROR(__xludf.DUMMYFUNCTION("""COMPUTED_VALUE"""),"8717323024843")</f>
        <v>8717323024843</v>
      </c>
      <c r="C14595" t="str">
        <f>IFERROR(__xludf.DUMMYFUNCTION("""COMPUTED_VALUE"""),"ECS")</f>
        <v>ECS</v>
      </c>
    </row>
    <row r="14596">
      <c r="A14596" t="str">
        <f>IFERROR(__xludf.DUMMYFUNCTION("""COMPUTED_VALUE"""),"TO192DH")</f>
        <v>TO192DH</v>
      </c>
      <c r="B14596" s="226" t="str">
        <f>IFERROR(__xludf.DUMMYFUNCTION("""COMPUTED_VALUE"""),"8717323032787")</f>
        <v>8717323032787</v>
      </c>
      <c r="C14596" t="str">
        <f>IFERROR(__xludf.DUMMYFUNCTION("""COMPUTED_VALUE"""),"ECS")</f>
        <v>ECS</v>
      </c>
    </row>
    <row r="14597">
      <c r="A14597" t="str">
        <f>IFERROR(__xludf.DUMMYFUNCTION("""COMPUTED_VALUE"""),"SB009BB")</f>
        <v>SB009BB</v>
      </c>
      <c r="B14597" s="226" t="str">
        <f>IFERROR(__xludf.DUMMYFUNCTION("""COMPUTED_VALUE"""),"8717323014035")</f>
        <v>8717323014035</v>
      </c>
      <c r="C14597" t="str">
        <f>IFERROR(__xludf.DUMMYFUNCTION("""COMPUTED_VALUE"""),"ECS")</f>
        <v>ECS</v>
      </c>
    </row>
    <row r="14598">
      <c r="A14598" t="str">
        <f>IFERROR(__xludf.DUMMYFUNCTION("""COMPUTED_VALUE"""),"SB009DL")</f>
        <v>SB009DL</v>
      </c>
      <c r="B14598" s="226" t="str">
        <f>IFERROR(__xludf.DUMMYFUNCTION("""COMPUTED_VALUE"""),"8717323014042")</f>
        <v>8717323014042</v>
      </c>
      <c r="C14598" t="str">
        <f>IFERROR(__xludf.DUMMYFUNCTION("""COMPUTED_VALUE"""),"ECS")</f>
        <v>ECS</v>
      </c>
    </row>
    <row r="14599">
      <c r="A14599" t="str">
        <f>IFERROR(__xludf.DUMMYFUNCTION("""COMPUTED_VALUE"""),"SB036BH")</f>
        <v>SB036BH</v>
      </c>
      <c r="B14599" s="226" t="str">
        <f>IFERROR(__xludf.DUMMYFUNCTION("""COMPUTED_VALUE"""),"8717323051641")</f>
        <v>8717323051641</v>
      </c>
      <c r="C14599" t="str">
        <f>IFERROR(__xludf.DUMMYFUNCTION("""COMPUTED_VALUE"""),"ECS")</f>
        <v>ECS</v>
      </c>
    </row>
    <row r="14600">
      <c r="A14600" t="str">
        <f>IFERROR(__xludf.DUMMYFUNCTION("""COMPUTED_VALUE"""),"SB036DH")</f>
        <v>SB036DH</v>
      </c>
      <c r="B14600" s="226" t="str">
        <f>IFERROR(__xludf.DUMMYFUNCTION("""COMPUTED_VALUE"""),"8717323051658")</f>
        <v>8717323051658</v>
      </c>
      <c r="C14600" t="str">
        <f>IFERROR(__xludf.DUMMYFUNCTION("""COMPUTED_VALUE"""),"ECS")</f>
        <v>ECS</v>
      </c>
    </row>
    <row r="14601">
      <c r="A14601" t="str">
        <f>IFERROR(__xludf.DUMMYFUNCTION("""COMPUTED_VALUE"""),"OP049BB")</f>
        <v>OP049BB</v>
      </c>
      <c r="B14601" s="226" t="str">
        <f>IFERROR(__xludf.DUMMYFUNCTION("""COMPUTED_VALUE"""),"8717323016343")</f>
        <v>8717323016343</v>
      </c>
      <c r="C14601" t="str">
        <f>IFERROR(__xludf.DUMMYFUNCTION("""COMPUTED_VALUE"""),"ECS")</f>
        <v>ECS</v>
      </c>
    </row>
    <row r="14602">
      <c r="A14602" t="str">
        <f>IFERROR(__xludf.DUMMYFUNCTION("""COMPUTED_VALUE"""),"OP049DH")</f>
        <v>OP049DH</v>
      </c>
      <c r="B14602" s="226" t="str">
        <f>IFERROR(__xludf.DUMMYFUNCTION("""COMPUTED_VALUE"""),"8717323016350")</f>
        <v>8717323016350</v>
      </c>
      <c r="C14602" t="str">
        <f>IFERROR(__xludf.DUMMYFUNCTION("""COMPUTED_VALUE"""),"ECS")</f>
        <v>ECS</v>
      </c>
    </row>
    <row r="14603">
      <c r="A14603" t="str">
        <f>IFERROR(__xludf.DUMMYFUNCTION("""COMPUTED_VALUE"""),"SZ044BH")</f>
        <v>SZ044BH</v>
      </c>
      <c r="B14603" s="226" t="str">
        <f>IFERROR(__xludf.DUMMYFUNCTION("""COMPUTED_VALUE"""),"8717323056783")</f>
        <v>8717323056783</v>
      </c>
      <c r="C14603" t="str">
        <f>IFERROR(__xludf.DUMMYFUNCTION("""COMPUTED_VALUE"""),"ECS")</f>
        <v>ECS</v>
      </c>
    </row>
    <row r="14604">
      <c r="A14604" t="str">
        <f>IFERROR(__xludf.DUMMYFUNCTION("""COMPUTED_VALUE"""),"SZ044DH")</f>
        <v>SZ044DH</v>
      </c>
      <c r="B14604" s="226" t="str">
        <f>IFERROR(__xludf.DUMMYFUNCTION("""COMPUTED_VALUE"""),"8717323056790")</f>
        <v>8717323056790</v>
      </c>
      <c r="C14604" t="str">
        <f>IFERROR(__xludf.DUMMYFUNCTION("""COMPUTED_VALUE"""),"ECS")</f>
        <v>ECS</v>
      </c>
    </row>
    <row r="14605">
      <c r="A14605" t="str">
        <f>IFERROR(__xludf.DUMMYFUNCTION("""COMPUTED_VALUE"""),"OP049BB")</f>
        <v>OP049BB</v>
      </c>
      <c r="B14605" s="226" t="str">
        <f>IFERROR(__xludf.DUMMYFUNCTION("""COMPUTED_VALUE"""),"8717323016343")</f>
        <v>8717323016343</v>
      </c>
      <c r="C14605" t="str">
        <f>IFERROR(__xludf.DUMMYFUNCTION("""COMPUTED_VALUE"""),"ECS")</f>
        <v>ECS</v>
      </c>
    </row>
    <row r="14606">
      <c r="A14606" t="str">
        <f>IFERROR(__xludf.DUMMYFUNCTION("""COMPUTED_VALUE"""),"OP049DH")</f>
        <v>OP049DH</v>
      </c>
      <c r="B14606" s="226" t="str">
        <f>IFERROR(__xludf.DUMMYFUNCTION("""COMPUTED_VALUE"""),"8717323016350")</f>
        <v>8717323016350</v>
      </c>
      <c r="C14606" t="str">
        <f>IFERROR(__xludf.DUMMYFUNCTION("""COMPUTED_VALUE"""),"ECS")</f>
        <v>ECS</v>
      </c>
    </row>
    <row r="14607">
      <c r="A14607" t="str">
        <f>IFERROR(__xludf.DUMMYFUNCTION("""COMPUTED_VALUE"""),"SZ002BB")</f>
        <v>SZ002BB</v>
      </c>
      <c r="B14607" s="226" t="str">
        <f>IFERROR(__xludf.DUMMYFUNCTION("""COMPUTED_VALUE"""),"8717323007372")</f>
        <v>8717323007372</v>
      </c>
      <c r="C14607" t="str">
        <f>IFERROR(__xludf.DUMMYFUNCTION("""COMPUTED_VALUE"""),"ECS")</f>
        <v>ECS</v>
      </c>
    </row>
    <row r="14608">
      <c r="A14608" t="str">
        <f>IFERROR(__xludf.DUMMYFUNCTION("""COMPUTED_VALUE"""),"SZ018BB")</f>
        <v>SZ018BB</v>
      </c>
      <c r="B14608" s="226" t="str">
        <f>IFERROR(__xludf.DUMMYFUNCTION("""COMPUTED_VALUE"""),"8717323012710")</f>
        <v>8717323012710</v>
      </c>
      <c r="C14608" t="str">
        <f>IFERROR(__xludf.DUMMYFUNCTION("""COMPUTED_VALUE"""),"ECS")</f>
        <v>ECS</v>
      </c>
    </row>
    <row r="14609">
      <c r="A14609" t="str">
        <f>IFERROR(__xludf.DUMMYFUNCTION("""COMPUTED_VALUE"""),"SZ018BL")</f>
        <v>SZ018BL</v>
      </c>
      <c r="B14609" s="226" t="str">
        <f>IFERROR(__xludf.DUMMYFUNCTION("""COMPUTED_VALUE"""),"8717323012727")</f>
        <v>8717323012727</v>
      </c>
      <c r="C14609" t="str">
        <f>IFERROR(__xludf.DUMMYFUNCTION("""COMPUTED_VALUE"""),"ECS")</f>
        <v>ECS</v>
      </c>
    </row>
    <row r="14610">
      <c r="A14610" t="str">
        <f>IFERROR(__xludf.DUMMYFUNCTION("""COMPUTED_VALUE"""),"SZ018DB")</f>
        <v>SZ018DB</v>
      </c>
      <c r="B14610" s="226" t="str">
        <f>IFERROR(__xludf.DUMMYFUNCTION("""COMPUTED_VALUE"""),"8717323012734")</f>
        <v>8717323012734</v>
      </c>
      <c r="C14610" t="str">
        <f>IFERROR(__xludf.DUMMYFUNCTION("""COMPUTED_VALUE"""),"ECS")</f>
        <v>ECS</v>
      </c>
    </row>
    <row r="14611">
      <c r="A14611" t="str">
        <f>IFERROR(__xludf.DUMMYFUNCTION("""COMPUTED_VALUE"""),"SZ046BH")</f>
        <v>SZ046BH</v>
      </c>
      <c r="B14611" s="226" t="str">
        <f>IFERROR(__xludf.DUMMYFUNCTION("""COMPUTED_VALUE"""),"8717323062692")</f>
        <v>8717323062692</v>
      </c>
      <c r="C14611" t="str">
        <f>IFERROR(__xludf.DUMMYFUNCTION("""COMPUTED_VALUE"""),"ECS")</f>
        <v>ECS</v>
      </c>
    </row>
    <row r="14612">
      <c r="A14612" t="str">
        <f>IFERROR(__xludf.DUMMYFUNCTION("""COMPUTED_VALUE"""),"SZ009BB")</f>
        <v>SZ009BB</v>
      </c>
      <c r="B14612" s="226" t="str">
        <f>IFERROR(__xludf.DUMMYFUNCTION("""COMPUTED_VALUE"""),"8717323007440")</f>
        <v>8717323007440</v>
      </c>
      <c r="C14612" t="str">
        <f>IFERROR(__xludf.DUMMYFUNCTION("""COMPUTED_VALUE"""),"ECS")</f>
        <v>ECS</v>
      </c>
    </row>
    <row r="14613">
      <c r="A14613" t="str">
        <f>IFERROR(__xludf.DUMMYFUNCTION("""COMPUTED_VALUE"""),"SZ009DL")</f>
        <v>SZ009DL</v>
      </c>
      <c r="B14613" s="226" t="str">
        <f>IFERROR(__xludf.DUMMYFUNCTION("""COMPUTED_VALUE"""),"8717323016091")</f>
        <v>8717323016091</v>
      </c>
      <c r="C14613" t="str">
        <f>IFERROR(__xludf.DUMMYFUNCTION("""COMPUTED_VALUE"""),"ECS")</f>
        <v>ECS</v>
      </c>
    </row>
    <row r="14614">
      <c r="A14614" t="str">
        <f>IFERROR(__xludf.DUMMYFUNCTION("""COMPUTED_VALUE"""),"SZ016BB")</f>
        <v>SZ016BB</v>
      </c>
      <c r="B14614" s="226" t="str">
        <f>IFERROR(__xludf.DUMMYFUNCTION("""COMPUTED_VALUE"""),"8717323009437")</f>
        <v>8717323009437</v>
      </c>
      <c r="C14614" t="str">
        <f>IFERROR(__xludf.DUMMYFUNCTION("""COMPUTED_VALUE"""),"ECS")</f>
        <v>ECS</v>
      </c>
    </row>
    <row r="14615">
      <c r="A14615" t="str">
        <f>IFERROR(__xludf.DUMMYFUNCTION("""COMPUTED_VALUE"""),"SZ016BL")</f>
        <v>SZ016BL</v>
      </c>
      <c r="B14615" s="226" t="str">
        <f>IFERROR(__xludf.DUMMYFUNCTION("""COMPUTED_VALUE"""),"8717323021569")</f>
        <v>8717323021569</v>
      </c>
      <c r="C14615" t="str">
        <f>IFERROR(__xludf.DUMMYFUNCTION("""COMPUTED_VALUE"""),"ECS")</f>
        <v>ECS</v>
      </c>
    </row>
    <row r="14616">
      <c r="A14616" t="str">
        <f>IFERROR(__xludf.DUMMYFUNCTION("""COMPUTED_VALUE"""),"SZ016DL")</f>
        <v>SZ016DL</v>
      </c>
      <c r="B14616" s="226" t="str">
        <f>IFERROR(__xludf.DUMMYFUNCTION("""COMPUTED_VALUE"""),"8717323021576")</f>
        <v>8717323021576</v>
      </c>
      <c r="C14616" t="str">
        <f>IFERROR(__xludf.DUMMYFUNCTION("""COMPUTED_VALUE"""),"ECS")</f>
        <v>ECS</v>
      </c>
    </row>
    <row r="14617">
      <c r="A14617" t="str">
        <f>IFERROR(__xludf.DUMMYFUNCTION("""COMPUTED_VALUE"""),"SZ003BB")</f>
        <v>SZ003BB</v>
      </c>
      <c r="B14617" s="226" t="str">
        <f>IFERROR(__xludf.DUMMYFUNCTION("""COMPUTED_VALUE"""),"8717323007396")</f>
        <v>8717323007396</v>
      </c>
      <c r="C14617" t="str">
        <f>IFERROR(__xludf.DUMMYFUNCTION("""COMPUTED_VALUE"""),"ECS")</f>
        <v>ECS</v>
      </c>
    </row>
    <row r="14618">
      <c r="A14618" t="str">
        <f>IFERROR(__xludf.DUMMYFUNCTION("""COMPUTED_VALUE"""),"SZ015BH")</f>
        <v>SZ015BH</v>
      </c>
      <c r="B14618" s="226" t="str">
        <f>IFERROR(__xludf.DUMMYFUNCTION("""COMPUTED_VALUE"""),"8717323027301")</f>
        <v>8717323027301</v>
      </c>
      <c r="C14618" t="str">
        <f>IFERROR(__xludf.DUMMYFUNCTION("""COMPUTED_VALUE"""),"ECS")</f>
        <v>ECS</v>
      </c>
    </row>
    <row r="14619">
      <c r="A14619" t="str">
        <f>IFERROR(__xludf.DUMMYFUNCTION("""COMPUTED_VALUE"""),"SZ015DH")</f>
        <v>SZ015DH</v>
      </c>
      <c r="B14619" s="226" t="str">
        <f>IFERROR(__xludf.DUMMYFUNCTION("""COMPUTED_VALUE"""),"8717323043806")</f>
        <v>8717323043806</v>
      </c>
      <c r="C14619" t="str">
        <f>IFERROR(__xludf.DUMMYFUNCTION("""COMPUTED_VALUE"""),"ECS")</f>
        <v>ECS</v>
      </c>
    </row>
    <row r="14620">
      <c r="A14620" t="str">
        <f>IFERROR(__xludf.DUMMYFUNCTION("""COMPUTED_VALUE"""),"SZ045BH")</f>
        <v>SZ045BH</v>
      </c>
      <c r="B14620" s="226" t="str">
        <f>IFERROR(__xludf.DUMMYFUNCTION("""COMPUTED_VALUE"""),"8717323057193")</f>
        <v>8717323057193</v>
      </c>
      <c r="C14620" t="str">
        <f>IFERROR(__xludf.DUMMYFUNCTION("""COMPUTED_VALUE"""),"ECS")</f>
        <v>ECS</v>
      </c>
    </row>
    <row r="14621">
      <c r="A14621" t="str">
        <f>IFERROR(__xludf.DUMMYFUNCTION("""COMPUTED_VALUE"""),"SZ045DH")</f>
        <v>SZ045DH</v>
      </c>
      <c r="B14621" s="226" t="str">
        <f>IFERROR(__xludf.DUMMYFUNCTION("""COMPUTED_VALUE"""),"8717323057209")</f>
        <v>8717323057209</v>
      </c>
      <c r="C14621" t="str">
        <f>IFERROR(__xludf.DUMMYFUNCTION("""COMPUTED_VALUE"""),"ECS")</f>
        <v>ECS</v>
      </c>
    </row>
    <row r="14622">
      <c r="A14622" t="str">
        <f>IFERROR(__xludf.DUMMYFUNCTION("""COMPUTED_VALUE"""),"SZ048FH")</f>
        <v>SZ048FH</v>
      </c>
      <c r="B14622" s="226" t="str">
        <f>IFERROR(__xludf.DUMMYFUNCTION("""COMPUTED_VALUE"""),"8717323068144")</f>
        <v>8717323068144</v>
      </c>
      <c r="C14622" t="str">
        <f>IFERROR(__xludf.DUMMYFUNCTION("""COMPUTED_VALUE"""),"ECS")</f>
        <v>ECS</v>
      </c>
    </row>
    <row r="14623">
      <c r="A14623" t="str">
        <f>IFERROR(__xludf.DUMMYFUNCTION("""COMPUTED_VALUE"""),"SZ048HH")</f>
        <v>SZ048HH</v>
      </c>
      <c r="B14623" s="226" t="str">
        <f>IFERROR(__xludf.DUMMYFUNCTION("""COMPUTED_VALUE"""),"8717323068151")</f>
        <v>8717323068151</v>
      </c>
      <c r="C14623" t="str">
        <f>IFERROR(__xludf.DUMMYFUNCTION("""COMPUTED_VALUE"""),"ECS")</f>
        <v>ECS</v>
      </c>
    </row>
    <row r="14624">
      <c r="A14624" t="str">
        <f>IFERROR(__xludf.DUMMYFUNCTION("""COMPUTED_VALUE"""),"SZ013BB")</f>
        <v>SZ013BB</v>
      </c>
      <c r="B14624" s="226" t="str">
        <f>IFERROR(__xludf.DUMMYFUNCTION("""COMPUTED_VALUE"""),"8717323007471")</f>
        <v>8717323007471</v>
      </c>
      <c r="C14624" t="str">
        <f>IFERROR(__xludf.DUMMYFUNCTION("""COMPUTED_VALUE"""),"ECS")</f>
        <v>ECS</v>
      </c>
    </row>
    <row r="14625">
      <c r="A14625" t="str">
        <f>IFERROR(__xludf.DUMMYFUNCTION("""COMPUTED_VALUE"""),"SUZ024L")</f>
        <v>SUZ024L</v>
      </c>
      <c r="B14625" s="226" t="str">
        <f>IFERROR(__xludf.DUMMYFUNCTION("""COMPUTED_VALUE"""),"8717323021439")</f>
        <v>8717323021439</v>
      </c>
      <c r="C14625" t="str">
        <f>IFERROR(__xludf.DUMMYFUNCTION("""COMPUTED_VALUE"""),"ECS")</f>
        <v>ECS</v>
      </c>
    </row>
    <row r="14626">
      <c r="A14626" t="str">
        <f>IFERROR(__xludf.DUMMYFUNCTION("""COMPUTED_VALUE"""),"OP049BB")</f>
        <v>OP049BB</v>
      </c>
      <c r="B14626" s="226" t="str">
        <f>IFERROR(__xludf.DUMMYFUNCTION("""COMPUTED_VALUE"""),"8717323016343")</f>
        <v>8717323016343</v>
      </c>
      <c r="C14626" t="str">
        <f>IFERROR(__xludf.DUMMYFUNCTION("""COMPUTED_VALUE"""),"ECS")</f>
        <v>ECS</v>
      </c>
    </row>
    <row r="14627">
      <c r="A14627" t="str">
        <f>IFERROR(__xludf.DUMMYFUNCTION("""COMPUTED_VALUE"""),"OP049DH")</f>
        <v>OP049DH</v>
      </c>
      <c r="B14627" s="226" t="str">
        <f>IFERROR(__xludf.DUMMYFUNCTION("""COMPUTED_VALUE"""),"8717323016350")</f>
        <v>8717323016350</v>
      </c>
      <c r="C14627" t="str">
        <f>IFERROR(__xludf.DUMMYFUNCTION("""COMPUTED_VALUE"""),"ECS")</f>
        <v>ECS</v>
      </c>
    </row>
    <row r="14628">
      <c r="A14628" t="str">
        <f>IFERROR(__xludf.DUMMYFUNCTION("""COMPUTED_VALUE"""),"OP049BB")</f>
        <v>OP049BB</v>
      </c>
      <c r="B14628" s="226" t="str">
        <f>IFERROR(__xludf.DUMMYFUNCTION("""COMPUTED_VALUE"""),"8717323016343")</f>
        <v>8717323016343</v>
      </c>
      <c r="C14628" t="str">
        <f>IFERROR(__xludf.DUMMYFUNCTION("""COMPUTED_VALUE"""),"ECS")</f>
        <v>ECS</v>
      </c>
    </row>
    <row r="14629">
      <c r="A14629" t="str">
        <f>IFERROR(__xludf.DUMMYFUNCTION("""COMPUTED_VALUE"""),"OP049DH")</f>
        <v>OP049DH</v>
      </c>
      <c r="B14629" s="226" t="str">
        <f>IFERROR(__xludf.DUMMYFUNCTION("""COMPUTED_VALUE"""),"8717323016350")</f>
        <v>8717323016350</v>
      </c>
      <c r="C14629" t="str">
        <f>IFERROR(__xludf.DUMMYFUNCTION("""COMPUTED_VALUE"""),"ECS")</f>
        <v>ECS</v>
      </c>
    </row>
    <row r="14630">
      <c r="A14630" t="str">
        <f>IFERROR(__xludf.DUMMYFUNCTION("""COMPUTED_VALUE"""),"SZ017BB")</f>
        <v>SZ017BB</v>
      </c>
      <c r="B14630" s="226" t="str">
        <f>IFERROR(__xludf.DUMMYFUNCTION("""COMPUTED_VALUE"""),"8717323012048")</f>
        <v>8717323012048</v>
      </c>
      <c r="C14630" t="str">
        <f>IFERROR(__xludf.DUMMYFUNCTION("""COMPUTED_VALUE"""),"ECS")</f>
        <v>ECS</v>
      </c>
    </row>
    <row r="14631">
      <c r="A14631" t="str">
        <f>IFERROR(__xludf.DUMMYFUNCTION("""COMPUTED_VALUE"""),"SZ017DB")</f>
        <v>SZ017DB</v>
      </c>
      <c r="B14631" s="226" t="str">
        <f>IFERROR(__xludf.DUMMYFUNCTION("""COMPUTED_VALUE"""),"8717323012055")</f>
        <v>8717323012055</v>
      </c>
      <c r="C14631" t="str">
        <f>IFERROR(__xludf.DUMMYFUNCTION("""COMPUTED_VALUE"""),"ECS")</f>
        <v>ECS</v>
      </c>
    </row>
    <row r="14632">
      <c r="A14632" t="str">
        <f>IFERROR(__xludf.DUMMYFUNCTION("""COMPUTED_VALUE"""),"SZ017DL")</f>
        <v>SZ017DL</v>
      </c>
      <c r="B14632" s="226" t="str">
        <f>IFERROR(__xludf.DUMMYFUNCTION("""COMPUTED_VALUE"""),"8717323011508")</f>
        <v>8717323011508</v>
      </c>
      <c r="C14632" t="str">
        <f>IFERROR(__xludf.DUMMYFUNCTION("""COMPUTED_VALUE"""),"ECS")</f>
        <v>ECS</v>
      </c>
    </row>
    <row r="14633">
      <c r="A14633" t="str">
        <f>IFERROR(__xludf.DUMMYFUNCTION("""COMPUTED_VALUE"""),"SZ017BB")</f>
        <v>SZ017BB</v>
      </c>
      <c r="B14633" s="226" t="str">
        <f>IFERROR(__xludf.DUMMYFUNCTION("""COMPUTED_VALUE"""),"8717323012048")</f>
        <v>8717323012048</v>
      </c>
      <c r="C14633" t="str">
        <f>IFERROR(__xludf.DUMMYFUNCTION("""COMPUTED_VALUE"""),"ECS")</f>
        <v>ECS</v>
      </c>
    </row>
    <row r="14634">
      <c r="A14634" t="str">
        <f>IFERROR(__xludf.DUMMYFUNCTION("""COMPUTED_VALUE"""),"SZ017DB")</f>
        <v>SZ017DB</v>
      </c>
      <c r="B14634" s="226" t="str">
        <f>IFERROR(__xludf.DUMMYFUNCTION("""COMPUTED_VALUE"""),"8717323012055")</f>
        <v>8717323012055</v>
      </c>
      <c r="C14634" t="str">
        <f>IFERROR(__xludf.DUMMYFUNCTION("""COMPUTED_VALUE"""),"ECS")</f>
        <v>ECS</v>
      </c>
    </row>
    <row r="14635">
      <c r="A14635" t="str">
        <f>IFERROR(__xludf.DUMMYFUNCTION("""COMPUTED_VALUE"""),"SZ017DL")</f>
        <v>SZ017DL</v>
      </c>
      <c r="B14635" s="226" t="str">
        <f>IFERROR(__xludf.DUMMYFUNCTION("""COMPUTED_VALUE"""),"8717323011508")</f>
        <v>8717323011508</v>
      </c>
      <c r="C14635" t="str">
        <f>IFERROR(__xludf.DUMMYFUNCTION("""COMPUTED_VALUE"""),"ECS")</f>
        <v>ECS</v>
      </c>
    </row>
    <row r="14636">
      <c r="A14636" t="str">
        <f>IFERROR(__xludf.DUMMYFUNCTION("""COMPUTED_VALUE"""),"SZ034BB")</f>
        <v>SZ034BB</v>
      </c>
      <c r="B14636" s="226" t="str">
        <f>IFERROR(__xludf.DUMMYFUNCTION("""COMPUTED_VALUE"""),"8717323024171")</f>
        <v>8717323024171</v>
      </c>
      <c r="C14636" t="str">
        <f>IFERROR(__xludf.DUMMYFUNCTION("""COMPUTED_VALUE"""),"ECS")</f>
        <v>ECS</v>
      </c>
    </row>
    <row r="14637">
      <c r="A14637" t="str">
        <f>IFERROR(__xludf.DUMMYFUNCTION("""COMPUTED_VALUE"""),"SZ034DH")</f>
        <v>SZ034DH</v>
      </c>
      <c r="B14637" s="226" t="str">
        <f>IFERROR(__xludf.DUMMYFUNCTION("""COMPUTED_VALUE"""),"8717323024188")</f>
        <v>8717323024188</v>
      </c>
      <c r="C14637" t="str">
        <f>IFERROR(__xludf.DUMMYFUNCTION("""COMPUTED_VALUE"""),"ECS")</f>
        <v>ECS</v>
      </c>
    </row>
    <row r="14638">
      <c r="A14638" t="str">
        <f>IFERROR(__xludf.DUMMYFUNCTION("""COMPUTED_VALUE"""),"SZ034BB")</f>
        <v>SZ034BB</v>
      </c>
      <c r="B14638" s="226" t="str">
        <f>IFERROR(__xludf.DUMMYFUNCTION("""COMPUTED_VALUE"""),"8717323024171")</f>
        <v>8717323024171</v>
      </c>
      <c r="C14638" t="str">
        <f>IFERROR(__xludf.DUMMYFUNCTION("""COMPUTED_VALUE"""),"ECS")</f>
        <v>ECS</v>
      </c>
    </row>
    <row r="14639">
      <c r="A14639" t="str">
        <f>IFERROR(__xludf.DUMMYFUNCTION("""COMPUTED_VALUE"""),"SZ034DH")</f>
        <v>SZ034DH</v>
      </c>
      <c r="B14639" s="226" t="str">
        <f>IFERROR(__xludf.DUMMYFUNCTION("""COMPUTED_VALUE"""),"8717323024188")</f>
        <v>8717323024188</v>
      </c>
      <c r="C14639" t="str">
        <f>IFERROR(__xludf.DUMMYFUNCTION("""COMPUTED_VALUE"""),"ECS")</f>
        <v>ECS</v>
      </c>
    </row>
    <row r="14640">
      <c r="A14640" t="str">
        <f>IFERROR(__xludf.DUMMYFUNCTION("""COMPUTED_VALUE"""),"SZ047BH")</f>
        <v>SZ047BH</v>
      </c>
      <c r="B14640" s="226" t="str">
        <f>IFERROR(__xludf.DUMMYFUNCTION("""COMPUTED_VALUE"""),"8717323062678")</f>
        <v>8717323062678</v>
      </c>
      <c r="C14640" t="str">
        <f>IFERROR(__xludf.DUMMYFUNCTION("""COMPUTED_VALUE"""),"ECS")</f>
        <v>ECS</v>
      </c>
    </row>
    <row r="14641">
      <c r="A14641" t="str">
        <f>IFERROR(__xludf.DUMMYFUNCTION("""COMPUTED_VALUE"""),"SZ047DH")</f>
        <v>SZ047DH</v>
      </c>
      <c r="B14641" s="226" t="str">
        <f>IFERROR(__xludf.DUMMYFUNCTION("""COMPUTED_VALUE"""),"8717323062685")</f>
        <v>8717323062685</v>
      </c>
      <c r="C14641" t="str">
        <f>IFERROR(__xludf.DUMMYFUNCTION("""COMPUTED_VALUE"""),"ECS")</f>
        <v>ECS</v>
      </c>
    </row>
    <row r="14642">
      <c r="A14642" t="str">
        <f>IFERROR(__xludf.DUMMYFUNCTION("""COMPUTED_VALUE"""),"SZ024BH")</f>
        <v>SZ024BH</v>
      </c>
      <c r="B14642" s="226" t="str">
        <f>IFERROR(__xludf.DUMMYFUNCTION("""COMPUTED_VALUE"""),"8717323034576")</f>
        <v>8717323034576</v>
      </c>
      <c r="C14642" t="str">
        <f>IFERROR(__xludf.DUMMYFUNCTION("""COMPUTED_VALUE"""),"ECS")</f>
        <v>ECS</v>
      </c>
    </row>
    <row r="14643">
      <c r="A14643" t="str">
        <f>IFERROR(__xludf.DUMMYFUNCTION("""COMPUTED_VALUE"""),"SZ019BB")</f>
        <v>SZ019BB</v>
      </c>
      <c r="B14643" s="226" t="str">
        <f>IFERROR(__xludf.DUMMYFUNCTION("""COMPUTED_VALUE"""),"8717323013229")</f>
        <v>8717323013229</v>
      </c>
      <c r="C14643" t="str">
        <f>IFERROR(__xludf.DUMMYFUNCTION("""COMPUTED_VALUE"""),"ECS")</f>
        <v>ECS</v>
      </c>
    </row>
    <row r="14644">
      <c r="A14644" t="str">
        <f>IFERROR(__xludf.DUMMYFUNCTION("""COMPUTED_VALUE"""),"SZ019DB")</f>
        <v>SZ019DB</v>
      </c>
      <c r="B14644" s="226" t="str">
        <f>IFERROR(__xludf.DUMMYFUNCTION("""COMPUTED_VALUE"""),"8717323023204")</f>
        <v>8717323023204</v>
      </c>
      <c r="C14644" t="str">
        <f>IFERROR(__xludf.DUMMYFUNCTION("""COMPUTED_VALUE"""),"ECS")</f>
        <v>ECS</v>
      </c>
    </row>
    <row r="14645">
      <c r="A14645" t="str">
        <f>IFERROR(__xludf.DUMMYFUNCTION("""COMPUTED_VALUE"""),"SZ019DL")</f>
        <v>SZ019DL</v>
      </c>
      <c r="B14645" s="226" t="str">
        <f>IFERROR(__xludf.DUMMYFUNCTION("""COMPUTED_VALUE"""),"8717323013236")</f>
        <v>8717323013236</v>
      </c>
      <c r="C14645" t="str">
        <f>IFERROR(__xludf.DUMMYFUNCTION("""COMPUTED_VALUE"""),"ECS")</f>
        <v>ECS</v>
      </c>
    </row>
    <row r="14646">
      <c r="A14646" t="str">
        <f>IFERROR(__xludf.DUMMYFUNCTION("""COMPUTED_VALUE"""),"SZ040BB")</f>
        <v>SZ040BB</v>
      </c>
      <c r="B14646" s="226" t="str">
        <f>IFERROR(__xludf.DUMMYFUNCTION("""COMPUTED_VALUE"""),"8717323047750")</f>
        <v>8717323047750</v>
      </c>
      <c r="C14646" t="str">
        <f>IFERROR(__xludf.DUMMYFUNCTION("""COMPUTED_VALUE"""),"ECS")</f>
        <v>ECS</v>
      </c>
    </row>
    <row r="14647">
      <c r="A14647" t="str">
        <f>IFERROR(__xludf.DUMMYFUNCTION("""COMPUTED_VALUE"""),"SZ040BH")</f>
        <v>SZ040BH</v>
      </c>
      <c r="B14647" s="226" t="str">
        <f>IFERROR(__xludf.DUMMYFUNCTION("""COMPUTED_VALUE"""),"8717323047767")</f>
        <v>8717323047767</v>
      </c>
      <c r="C14647" t="str">
        <f>IFERROR(__xludf.DUMMYFUNCTION("""COMPUTED_VALUE"""),"ECS")</f>
        <v>ECS</v>
      </c>
    </row>
    <row r="14648">
      <c r="A14648" t="str">
        <f>IFERROR(__xludf.DUMMYFUNCTION("""COMPUTED_VALUE"""),"SZ040DH")</f>
        <v>SZ040DH</v>
      </c>
      <c r="B14648" s="226" t="str">
        <f>IFERROR(__xludf.DUMMYFUNCTION("""COMPUTED_VALUE"""),"8717323047774")</f>
        <v>8717323047774</v>
      </c>
      <c r="C14648" t="str">
        <f>IFERROR(__xludf.DUMMYFUNCTION("""COMPUTED_VALUE"""),"ECS")</f>
        <v>ECS</v>
      </c>
    </row>
    <row r="14649">
      <c r="A14649" t="str">
        <f>IFERROR(__xludf.DUMMYFUNCTION("""COMPUTED_VALUE"""),"SZ040BB")</f>
        <v>SZ040BB</v>
      </c>
      <c r="B14649" s="226" t="str">
        <f>IFERROR(__xludf.DUMMYFUNCTION("""COMPUTED_VALUE"""),"8717323047750")</f>
        <v>8717323047750</v>
      </c>
      <c r="C14649" t="str">
        <f>IFERROR(__xludf.DUMMYFUNCTION("""COMPUTED_VALUE"""),"ECS")</f>
        <v>ECS</v>
      </c>
    </row>
    <row r="14650">
      <c r="A14650" t="str">
        <f>IFERROR(__xludf.DUMMYFUNCTION("""COMPUTED_VALUE"""),"SZ040BH")</f>
        <v>SZ040BH</v>
      </c>
      <c r="B14650" s="226" t="str">
        <f>IFERROR(__xludf.DUMMYFUNCTION("""COMPUTED_VALUE"""),"8717323047767")</f>
        <v>8717323047767</v>
      </c>
      <c r="C14650" t="str">
        <f>IFERROR(__xludf.DUMMYFUNCTION("""COMPUTED_VALUE"""),"ECS")</f>
        <v>ECS</v>
      </c>
    </row>
    <row r="14651">
      <c r="A14651" t="str">
        <f>IFERROR(__xludf.DUMMYFUNCTION("""COMPUTED_VALUE"""),"SZ040DH")</f>
        <v>SZ040DH</v>
      </c>
      <c r="B14651" s="226" t="str">
        <f>IFERROR(__xludf.DUMMYFUNCTION("""COMPUTED_VALUE"""),"8717323047774")</f>
        <v>8717323047774</v>
      </c>
      <c r="C14651" t="str">
        <f>IFERROR(__xludf.DUMMYFUNCTION("""COMPUTED_VALUE"""),"ECS")</f>
        <v>ECS</v>
      </c>
    </row>
    <row r="14652">
      <c r="A14652" t="str">
        <f>IFERROR(__xludf.DUMMYFUNCTION("""COMPUTED_VALUE"""),"SZ008BB")</f>
        <v>SZ008BB</v>
      </c>
      <c r="B14652" s="226" t="str">
        <f>IFERROR(__xludf.DUMMYFUNCTION("""COMPUTED_VALUE"""),"8717323007433")</f>
        <v>8717323007433</v>
      </c>
      <c r="C14652" t="str">
        <f>IFERROR(__xludf.DUMMYFUNCTION("""COMPUTED_VALUE"""),"ECS")</f>
        <v>ECS</v>
      </c>
    </row>
    <row r="14653">
      <c r="A14653" t="str">
        <f>IFERROR(__xludf.DUMMYFUNCTION("""COMPUTED_VALUE"""),"SZ046DH")</f>
        <v>SZ046DH</v>
      </c>
      <c r="B14653" s="226" t="str">
        <f>IFERROR(__xludf.DUMMYFUNCTION("""COMPUTED_VALUE"""),"8717323062708")</f>
        <v>8717323062708</v>
      </c>
      <c r="C14653" t="str">
        <f>IFERROR(__xludf.DUMMYFUNCTION("""COMPUTED_VALUE"""),"ECS")</f>
        <v>ECS</v>
      </c>
    </row>
    <row r="14654">
      <c r="A14654" t="str">
        <f>IFERROR(__xludf.DUMMYFUNCTION("""COMPUTED_VALUE"""),"TO147BB")</f>
        <v>TO147BB</v>
      </c>
      <c r="B14654" s="226" t="str">
        <f>IFERROR(__xludf.DUMMYFUNCTION("""COMPUTED_VALUE"""),"8717323015025")</f>
        <v>8717323015025</v>
      </c>
      <c r="C14654" t="str">
        <f>IFERROR(__xludf.DUMMYFUNCTION("""COMPUTED_VALUE"""),"ECS")</f>
        <v>ECS</v>
      </c>
    </row>
    <row r="14655">
      <c r="A14655" t="str">
        <f>IFERROR(__xludf.DUMMYFUNCTION("""COMPUTED_VALUE"""),"TO147BH")</f>
        <v>TO147BH</v>
      </c>
      <c r="B14655" s="226" t="str">
        <f>IFERROR(__xludf.DUMMYFUNCTION("""COMPUTED_VALUE"""),"8717323015032")</f>
        <v>8717323015032</v>
      </c>
      <c r="C14655" t="str">
        <f>IFERROR(__xludf.DUMMYFUNCTION("""COMPUTED_VALUE"""),"ECS")</f>
        <v>ECS</v>
      </c>
    </row>
    <row r="14656">
      <c r="A14656" t="str">
        <f>IFERROR(__xludf.DUMMYFUNCTION("""COMPUTED_VALUE"""),"TO147DH")</f>
        <v>TO147DH</v>
      </c>
      <c r="B14656" s="226" t="str">
        <f>IFERROR(__xludf.DUMMYFUNCTION("""COMPUTED_VALUE"""),"8717323015049")</f>
        <v>8717323015049</v>
      </c>
      <c r="C14656" t="str">
        <f>IFERROR(__xludf.DUMMYFUNCTION("""COMPUTED_VALUE"""),"ECS")</f>
        <v>ECS</v>
      </c>
    </row>
    <row r="14657">
      <c r="A14657" t="str">
        <f>IFERROR(__xludf.DUMMYFUNCTION("""COMPUTED_VALUE"""),"TO147BB")</f>
        <v>TO147BB</v>
      </c>
      <c r="B14657" s="226" t="str">
        <f>IFERROR(__xludf.DUMMYFUNCTION("""COMPUTED_VALUE"""),"8717323015025")</f>
        <v>8717323015025</v>
      </c>
      <c r="C14657" t="str">
        <f>IFERROR(__xludf.DUMMYFUNCTION("""COMPUTED_VALUE"""),"ECS")</f>
        <v>ECS</v>
      </c>
    </row>
    <row r="14658">
      <c r="A14658" t="str">
        <f>IFERROR(__xludf.DUMMYFUNCTION("""COMPUTED_VALUE"""),"TO147BH")</f>
        <v>TO147BH</v>
      </c>
      <c r="B14658" s="226" t="str">
        <f>IFERROR(__xludf.DUMMYFUNCTION("""COMPUTED_VALUE"""),"8717323015032")</f>
        <v>8717323015032</v>
      </c>
      <c r="C14658" t="str">
        <f>IFERROR(__xludf.DUMMYFUNCTION("""COMPUTED_VALUE"""),"ECS")</f>
        <v>ECS</v>
      </c>
    </row>
    <row r="14659">
      <c r="A14659" t="str">
        <f>IFERROR(__xludf.DUMMYFUNCTION("""COMPUTED_VALUE"""),"TO147DH")</f>
        <v>TO147DH</v>
      </c>
      <c r="B14659" s="226" t="str">
        <f>IFERROR(__xludf.DUMMYFUNCTION("""COMPUTED_VALUE"""),"8717323015049")</f>
        <v>8717323015049</v>
      </c>
      <c r="C14659" t="str">
        <f>IFERROR(__xludf.DUMMYFUNCTION("""COMPUTED_VALUE"""),"ECS")</f>
        <v>ECS</v>
      </c>
    </row>
    <row r="14660">
      <c r="A14660" t="str">
        <f>IFERROR(__xludf.DUMMYFUNCTION("""COMPUTED_VALUE"""),"TO221BB")</f>
        <v>TO221BB</v>
      </c>
      <c r="B14660" s="226" t="str">
        <f>IFERROR(__xludf.DUMMYFUNCTION("""COMPUTED_VALUE"""),"8717323028391")</f>
        <v>8717323028391</v>
      </c>
      <c r="C14660" t="str">
        <f>IFERROR(__xludf.DUMMYFUNCTION("""COMPUTED_VALUE"""),"ECS")</f>
        <v>ECS</v>
      </c>
    </row>
    <row r="14661">
      <c r="A14661" t="str">
        <f>IFERROR(__xludf.DUMMYFUNCTION("""COMPUTED_VALUE"""),"TO296BH")</f>
        <v>TO296BH</v>
      </c>
      <c r="B14661" s="226" t="str">
        <f>IFERROR(__xludf.DUMMYFUNCTION("""COMPUTED_VALUE"""),"8717323069738")</f>
        <v>8717323069738</v>
      </c>
      <c r="C14661" t="str">
        <f>IFERROR(__xludf.DUMMYFUNCTION("""COMPUTED_VALUE"""),"ECS")</f>
        <v>ECS</v>
      </c>
    </row>
    <row r="14662">
      <c r="A14662" t="str">
        <f>IFERROR(__xludf.DUMMYFUNCTION("""COMPUTED_VALUE"""),"TO296DH")</f>
        <v>TO296DH</v>
      </c>
      <c r="B14662" s="226" t="str">
        <f>IFERROR(__xludf.DUMMYFUNCTION("""COMPUTED_VALUE"""),"8717323069745")</f>
        <v>8717323069745</v>
      </c>
      <c r="C14662" t="str">
        <f>IFERROR(__xludf.DUMMYFUNCTION("""COMPUTED_VALUE"""),"ECS")</f>
        <v>ECS</v>
      </c>
    </row>
    <row r="14663">
      <c r="A14663" t="str">
        <f>IFERROR(__xludf.DUMMYFUNCTION("""COMPUTED_VALUE"""),"TO221BB")</f>
        <v>TO221BB</v>
      </c>
      <c r="B14663" s="226" t="str">
        <f>IFERROR(__xludf.DUMMYFUNCTION("""COMPUTED_VALUE"""),"8717323028391")</f>
        <v>8717323028391</v>
      </c>
      <c r="C14663" t="str">
        <f>IFERROR(__xludf.DUMMYFUNCTION("""COMPUTED_VALUE"""),"ECS")</f>
        <v>ECS</v>
      </c>
    </row>
    <row r="14664">
      <c r="A14664" t="str">
        <f>IFERROR(__xludf.DUMMYFUNCTION("""COMPUTED_VALUE"""),"TO296BH")</f>
        <v>TO296BH</v>
      </c>
      <c r="B14664" s="226" t="str">
        <f>IFERROR(__xludf.DUMMYFUNCTION("""COMPUTED_VALUE"""),"8717323069738")</f>
        <v>8717323069738</v>
      </c>
      <c r="C14664" t="str">
        <f>IFERROR(__xludf.DUMMYFUNCTION("""COMPUTED_VALUE"""),"ECS")</f>
        <v>ECS</v>
      </c>
    </row>
    <row r="14665">
      <c r="A14665" t="str">
        <f>IFERROR(__xludf.DUMMYFUNCTION("""COMPUTED_VALUE"""),"TO296DH")</f>
        <v>TO296DH</v>
      </c>
      <c r="B14665" s="226" t="str">
        <f>IFERROR(__xludf.DUMMYFUNCTION("""COMPUTED_VALUE"""),"8717323069745")</f>
        <v>8717323069745</v>
      </c>
      <c r="C14665" t="str">
        <f>IFERROR(__xludf.DUMMYFUNCTION("""COMPUTED_VALUE"""),"ECS")</f>
        <v>ECS</v>
      </c>
    </row>
    <row r="14666">
      <c r="A14666" t="str">
        <f>IFERROR(__xludf.DUMMYFUNCTION("""COMPUTED_VALUE"""),"TO221BB")</f>
        <v>TO221BB</v>
      </c>
      <c r="B14666" s="226" t="str">
        <f>IFERROR(__xludf.DUMMYFUNCTION("""COMPUTED_VALUE"""),"8717323028391")</f>
        <v>8717323028391</v>
      </c>
      <c r="C14666" t="str">
        <f>IFERROR(__xludf.DUMMYFUNCTION("""COMPUTED_VALUE"""),"ECS")</f>
        <v>ECS</v>
      </c>
    </row>
    <row r="14667">
      <c r="A14667" t="str">
        <f>IFERROR(__xludf.DUMMYFUNCTION("""COMPUTED_VALUE"""),"TO296BH")</f>
        <v>TO296BH</v>
      </c>
      <c r="B14667" s="226" t="str">
        <f>IFERROR(__xludf.DUMMYFUNCTION("""COMPUTED_VALUE"""),"8717323069738")</f>
        <v>8717323069738</v>
      </c>
      <c r="C14667" t="str">
        <f>IFERROR(__xludf.DUMMYFUNCTION("""COMPUTED_VALUE"""),"ECS")</f>
        <v>ECS</v>
      </c>
    </row>
    <row r="14668">
      <c r="A14668" t="str">
        <f>IFERROR(__xludf.DUMMYFUNCTION("""COMPUTED_VALUE"""),"TO296DH")</f>
        <v>TO296DH</v>
      </c>
      <c r="B14668" s="226" t="str">
        <f>IFERROR(__xludf.DUMMYFUNCTION("""COMPUTED_VALUE"""),"8717323069745")</f>
        <v>8717323069745</v>
      </c>
      <c r="C14668" t="str">
        <f>IFERROR(__xludf.DUMMYFUNCTION("""COMPUTED_VALUE"""),"ECS")</f>
        <v>ECS</v>
      </c>
    </row>
    <row r="14669">
      <c r="A14669" t="str">
        <f>IFERROR(__xludf.DUMMYFUNCTION("""COMPUTED_VALUE"""),"TO221BB")</f>
        <v>TO221BB</v>
      </c>
      <c r="B14669" s="226" t="str">
        <f>IFERROR(__xludf.DUMMYFUNCTION("""COMPUTED_VALUE"""),"8717323028391")</f>
        <v>8717323028391</v>
      </c>
      <c r="C14669" t="str">
        <f>IFERROR(__xludf.DUMMYFUNCTION("""COMPUTED_VALUE"""),"ECS")</f>
        <v>ECS</v>
      </c>
    </row>
    <row r="14670">
      <c r="A14670" t="str">
        <f>IFERROR(__xludf.DUMMYFUNCTION("""COMPUTED_VALUE"""),"TO296BH")</f>
        <v>TO296BH</v>
      </c>
      <c r="B14670" s="226" t="str">
        <f>IFERROR(__xludf.DUMMYFUNCTION("""COMPUTED_VALUE"""),"8717323069738")</f>
        <v>8717323069738</v>
      </c>
      <c r="C14670" t="str">
        <f>IFERROR(__xludf.DUMMYFUNCTION("""COMPUTED_VALUE"""),"ECS")</f>
        <v>ECS</v>
      </c>
    </row>
    <row r="14671">
      <c r="A14671" t="str">
        <f>IFERROR(__xludf.DUMMYFUNCTION("""COMPUTED_VALUE"""),"TO296DH")</f>
        <v>TO296DH</v>
      </c>
      <c r="B14671" s="226" t="str">
        <f>IFERROR(__xludf.DUMMYFUNCTION("""COMPUTED_VALUE"""),"8717323069745")</f>
        <v>8717323069745</v>
      </c>
      <c r="C14671" t="str">
        <f>IFERROR(__xludf.DUMMYFUNCTION("""COMPUTED_VALUE"""),"ECS")</f>
        <v>ECS</v>
      </c>
    </row>
    <row r="14672">
      <c r="A14672" t="str">
        <f>IFERROR(__xludf.DUMMYFUNCTION("""COMPUTED_VALUE"""),"TO108BB")</f>
        <v>TO108BB</v>
      </c>
      <c r="B14672" s="226" t="str">
        <f>IFERROR(__xludf.DUMMYFUNCTION("""COMPUTED_VALUE"""),"8717323009314")</f>
        <v>8717323009314</v>
      </c>
      <c r="C14672" t="str">
        <f>IFERROR(__xludf.DUMMYFUNCTION("""COMPUTED_VALUE"""),"ECS")</f>
        <v>ECS</v>
      </c>
    </row>
    <row r="14673">
      <c r="A14673" t="str">
        <f>IFERROR(__xludf.DUMMYFUNCTION("""COMPUTED_VALUE"""),"TO109BB")</f>
        <v>TO109BB</v>
      </c>
      <c r="B14673" s="226" t="str">
        <f>IFERROR(__xludf.DUMMYFUNCTION("""COMPUTED_VALUE"""),"8717323009321")</f>
        <v>8717323009321</v>
      </c>
      <c r="C14673" t="str">
        <f>IFERROR(__xludf.DUMMYFUNCTION("""COMPUTED_VALUE"""),"ECS")</f>
        <v>ECS</v>
      </c>
    </row>
    <row r="14674">
      <c r="A14674" t="str">
        <f>IFERROR(__xludf.DUMMYFUNCTION("""COMPUTED_VALUE"""),"TO109DL")</f>
        <v>TO109DL</v>
      </c>
      <c r="B14674" s="226" t="str">
        <f>IFERROR(__xludf.DUMMYFUNCTION("""COMPUTED_VALUE"""),"8717323009918")</f>
        <v>8717323009918</v>
      </c>
      <c r="C14674" t="str">
        <f>IFERROR(__xludf.DUMMYFUNCTION("""COMPUTED_VALUE"""),"ECS")</f>
        <v>ECS</v>
      </c>
    </row>
    <row r="14675">
      <c r="A14675" t="str">
        <f>IFERROR(__xludf.DUMMYFUNCTION("""COMPUTED_VALUE"""),"TO148BB")</f>
        <v>TO148BB</v>
      </c>
      <c r="B14675" s="226" t="str">
        <f>IFERROR(__xludf.DUMMYFUNCTION("""COMPUTED_VALUE"""),"8717323017128")</f>
        <v>8717323017128</v>
      </c>
      <c r="C14675" t="str">
        <f>IFERROR(__xludf.DUMMYFUNCTION("""COMPUTED_VALUE"""),"ECS")</f>
        <v>ECS</v>
      </c>
    </row>
    <row r="14676">
      <c r="A14676" t="str">
        <f>IFERROR(__xludf.DUMMYFUNCTION("""COMPUTED_VALUE"""),"TO148DB")</f>
        <v>TO148DB</v>
      </c>
      <c r="B14676" s="226" t="str">
        <f>IFERROR(__xludf.DUMMYFUNCTION("""COMPUTED_VALUE"""),"8717323017135")</f>
        <v>8717323017135</v>
      </c>
      <c r="C14676" t="str">
        <f>IFERROR(__xludf.DUMMYFUNCTION("""COMPUTED_VALUE"""),"ECS")</f>
        <v>ECS</v>
      </c>
    </row>
    <row r="14677">
      <c r="A14677" t="str">
        <f>IFERROR(__xludf.DUMMYFUNCTION("""COMPUTED_VALUE"""),"TO148DH")</f>
        <v>TO148DH</v>
      </c>
      <c r="B14677" s="226" t="str">
        <f>IFERROR(__xludf.DUMMYFUNCTION("""COMPUTED_VALUE"""),"8717323017142")</f>
        <v>8717323017142</v>
      </c>
      <c r="C14677" t="str">
        <f>IFERROR(__xludf.DUMMYFUNCTION("""COMPUTED_VALUE"""),"ECS")</f>
        <v>ECS</v>
      </c>
    </row>
    <row r="14678">
      <c r="A14678" t="str">
        <f>IFERROR(__xludf.DUMMYFUNCTION("""COMPUTED_VALUE"""),"TO001BB")</f>
        <v>TO001BB</v>
      </c>
      <c r="B14678" s="226" t="str">
        <f>IFERROR(__xludf.DUMMYFUNCTION("""COMPUTED_VALUE"""),"8717323007501")</f>
        <v>8717323007501</v>
      </c>
      <c r="C14678" t="str">
        <f>IFERROR(__xludf.DUMMYFUNCTION("""COMPUTED_VALUE"""),"ECS")</f>
        <v>ECS</v>
      </c>
    </row>
    <row r="14679">
      <c r="A14679" t="str">
        <f>IFERROR(__xludf.DUMMYFUNCTION("""COMPUTED_VALUE"""),"TO107BB")</f>
        <v>TO107BB</v>
      </c>
      <c r="B14679" s="226" t="str">
        <f>IFERROR(__xludf.DUMMYFUNCTION("""COMPUTED_VALUE"""),"8717323009307")</f>
        <v>8717323009307</v>
      </c>
      <c r="C14679" t="str">
        <f>IFERROR(__xludf.DUMMYFUNCTION("""COMPUTED_VALUE"""),"ECS")</f>
        <v>ECS</v>
      </c>
    </row>
    <row r="14680">
      <c r="A14680" t="str">
        <f>IFERROR(__xludf.DUMMYFUNCTION("""COMPUTED_VALUE"""),"TO107DL")</f>
        <v>TO107DL</v>
      </c>
      <c r="B14680" s="226" t="str">
        <f>IFERROR(__xludf.DUMMYFUNCTION("""COMPUTED_VALUE"""),"8717323009895")</f>
        <v>8717323009895</v>
      </c>
      <c r="C14680" t="str">
        <f>IFERROR(__xludf.DUMMYFUNCTION("""COMPUTED_VALUE"""),"ECS")</f>
        <v>ECS</v>
      </c>
    </row>
    <row r="14681">
      <c r="A14681" t="str">
        <f>IFERROR(__xludf.DUMMYFUNCTION("""COMPUTED_VALUE"""),"TO148BB")</f>
        <v>TO148BB</v>
      </c>
      <c r="B14681" s="226" t="str">
        <f>IFERROR(__xludf.DUMMYFUNCTION("""COMPUTED_VALUE"""),"8717323017128")</f>
        <v>8717323017128</v>
      </c>
      <c r="C14681" t="str">
        <f>IFERROR(__xludf.DUMMYFUNCTION("""COMPUTED_VALUE"""),"ECS")</f>
        <v>ECS</v>
      </c>
    </row>
    <row r="14682">
      <c r="A14682" t="str">
        <f>IFERROR(__xludf.DUMMYFUNCTION("""COMPUTED_VALUE"""),"TO148DB")</f>
        <v>TO148DB</v>
      </c>
      <c r="B14682" s="226" t="str">
        <f>IFERROR(__xludf.DUMMYFUNCTION("""COMPUTED_VALUE"""),"8717323017135")</f>
        <v>8717323017135</v>
      </c>
      <c r="C14682" t="str">
        <f>IFERROR(__xludf.DUMMYFUNCTION("""COMPUTED_VALUE"""),"ECS")</f>
        <v>ECS</v>
      </c>
    </row>
    <row r="14683">
      <c r="A14683" t="str">
        <f>IFERROR(__xludf.DUMMYFUNCTION("""COMPUTED_VALUE"""),"TO148DH")</f>
        <v>TO148DH</v>
      </c>
      <c r="B14683" s="226" t="str">
        <f>IFERROR(__xludf.DUMMYFUNCTION("""COMPUTED_VALUE"""),"8717323017142")</f>
        <v>8717323017142</v>
      </c>
      <c r="C14683" t="str">
        <f>IFERROR(__xludf.DUMMYFUNCTION("""COMPUTED_VALUE"""),"ECS")</f>
        <v>ECS</v>
      </c>
    </row>
    <row r="14684">
      <c r="A14684" t="str">
        <f>IFERROR(__xludf.DUMMYFUNCTION("""COMPUTED_VALUE"""),"TO094DL")</f>
        <v>TO094DL</v>
      </c>
      <c r="B14684" s="226" t="str">
        <f>IFERROR(__xludf.DUMMYFUNCTION("""COMPUTED_VALUE"""),"8717323021958")</f>
        <v>8717323021958</v>
      </c>
      <c r="C14684" t="str">
        <f>IFERROR(__xludf.DUMMYFUNCTION("""COMPUTED_VALUE"""),"ECS")</f>
        <v>ECS</v>
      </c>
    </row>
    <row r="14685">
      <c r="A14685" t="str">
        <f>IFERROR(__xludf.DUMMYFUNCTION("""COMPUTED_VALUE"""),"PE045DL")</f>
        <v>PE045DL</v>
      </c>
      <c r="B14685" s="226" t="str">
        <f>IFERROR(__xludf.DUMMYFUNCTION("""COMPUTED_VALUE"""),"8717323020593")</f>
        <v>8717323020593</v>
      </c>
      <c r="C14685" t="str">
        <f>IFERROR(__xludf.DUMMYFUNCTION("""COMPUTED_VALUE"""),"ECS")</f>
        <v>ECS</v>
      </c>
    </row>
    <row r="14686">
      <c r="A14686" t="str">
        <f>IFERROR(__xludf.DUMMYFUNCTION("""COMPUTED_VALUE"""),"TO241BB")</f>
        <v>TO241BB</v>
      </c>
      <c r="B14686" s="226" t="str">
        <f>IFERROR(__xludf.DUMMYFUNCTION("""COMPUTED_VALUE"""),"8717323050903")</f>
        <v>8717323050903</v>
      </c>
      <c r="C14686" t="str">
        <f>IFERROR(__xludf.DUMMYFUNCTION("""COMPUTED_VALUE"""),"ECS")</f>
        <v>ECS</v>
      </c>
    </row>
    <row r="14687">
      <c r="A14687" t="str">
        <f>IFERROR(__xludf.DUMMYFUNCTION("""COMPUTED_VALUE"""),"TO241DL")</f>
        <v>TO241DL</v>
      </c>
      <c r="B14687" s="226" t="str">
        <f>IFERROR(__xludf.DUMMYFUNCTION("""COMPUTED_VALUE"""),"8717323050118")</f>
        <v>8717323050118</v>
      </c>
      <c r="C14687" t="str">
        <f>IFERROR(__xludf.DUMMYFUNCTION("""COMPUTED_VALUE"""),"ECS")</f>
        <v>ECS</v>
      </c>
    </row>
    <row r="14688">
      <c r="A14688" t="str">
        <f>IFERROR(__xludf.DUMMYFUNCTION("""COMPUTED_VALUE"""),"PE045DL")</f>
        <v>PE045DL</v>
      </c>
      <c r="B14688" s="226" t="str">
        <f>IFERROR(__xludf.DUMMYFUNCTION("""COMPUTED_VALUE"""),"8717323020593")</f>
        <v>8717323020593</v>
      </c>
      <c r="C14688" t="str">
        <f>IFERROR(__xludf.DUMMYFUNCTION("""COMPUTED_VALUE"""),"ECS")</f>
        <v>ECS</v>
      </c>
    </row>
    <row r="14689">
      <c r="A14689" t="str">
        <f>IFERROR(__xludf.DUMMYFUNCTION("""COMPUTED_VALUE"""),"TO241BB")</f>
        <v>TO241BB</v>
      </c>
      <c r="B14689" s="226" t="str">
        <f>IFERROR(__xludf.DUMMYFUNCTION("""COMPUTED_VALUE"""),"8717323050903")</f>
        <v>8717323050903</v>
      </c>
      <c r="C14689" t="str">
        <f>IFERROR(__xludf.DUMMYFUNCTION("""COMPUTED_VALUE"""),"ECS")</f>
        <v>ECS</v>
      </c>
    </row>
    <row r="14690">
      <c r="A14690" t="str">
        <f>IFERROR(__xludf.DUMMYFUNCTION("""COMPUTED_VALUE"""),"TO241DL")</f>
        <v>TO241DL</v>
      </c>
      <c r="B14690" s="226" t="str">
        <f>IFERROR(__xludf.DUMMYFUNCTION("""COMPUTED_VALUE"""),"8717323050118")</f>
        <v>8717323050118</v>
      </c>
      <c r="C14690" t="str">
        <f>IFERROR(__xludf.DUMMYFUNCTION("""COMPUTED_VALUE"""),"ECS")</f>
        <v>ECS</v>
      </c>
    </row>
    <row r="14691">
      <c r="A14691" t="str">
        <f>IFERROR(__xludf.DUMMYFUNCTION("""COMPUTED_VALUE"""),"TO305BH")</f>
        <v>TO305BH</v>
      </c>
      <c r="B14691" s="226" t="str">
        <f>IFERROR(__xludf.DUMMYFUNCTION("""COMPUTED_VALUE"""),"871732307102")</f>
        <v>871732307102</v>
      </c>
      <c r="C14691" t="str">
        <f>IFERROR(__xludf.DUMMYFUNCTION("""COMPUTED_VALUE"""),"ECS")</f>
        <v>ECS</v>
      </c>
    </row>
    <row r="14692">
      <c r="A14692" t="str">
        <f>IFERROR(__xludf.DUMMYFUNCTION("""COMPUTED_VALUE"""),"TO305DH")</f>
        <v>TO305DH</v>
      </c>
      <c r="B14692" s="226" t="str">
        <f>IFERROR(__xludf.DUMMYFUNCTION("""COMPUTED_VALUE"""),"8717323071038")</f>
        <v>8717323071038</v>
      </c>
      <c r="C14692" t="str">
        <f>IFERROR(__xludf.DUMMYFUNCTION("""COMPUTED_VALUE"""),"ECS")</f>
        <v>ECS</v>
      </c>
    </row>
    <row r="14693">
      <c r="A14693" t="str">
        <f>IFERROR(__xludf.DUMMYFUNCTION("""COMPUTED_VALUE"""),"TO245BH")</f>
        <v>TO245BH</v>
      </c>
      <c r="B14693" s="226" t="str">
        <f>IFERROR(__xludf.DUMMYFUNCTION("""COMPUTED_VALUE"""),"8717323058756")</f>
        <v>8717323058756</v>
      </c>
      <c r="C14693" t="str">
        <f>IFERROR(__xludf.DUMMYFUNCTION("""COMPUTED_VALUE"""),"ECS")</f>
        <v>ECS</v>
      </c>
    </row>
    <row r="14694">
      <c r="A14694" t="str">
        <f>IFERROR(__xludf.DUMMYFUNCTION("""COMPUTED_VALUE"""),"TO245HH")</f>
        <v>TO245HH</v>
      </c>
      <c r="B14694" s="226" t="str">
        <f>IFERROR(__xludf.DUMMYFUNCTION("""COMPUTED_VALUE"""),"8717323058763")</f>
        <v>8717323058763</v>
      </c>
      <c r="C14694" t="str">
        <f>IFERROR(__xludf.DUMMYFUNCTION("""COMPUTED_VALUE"""),"ECS")</f>
        <v>ECS</v>
      </c>
    </row>
    <row r="14695">
      <c r="A14695" t="str">
        <f>IFERROR(__xludf.DUMMYFUNCTION("""COMPUTED_VALUE"""),"TO245BH")</f>
        <v>TO245BH</v>
      </c>
      <c r="B14695" s="226" t="str">
        <f>IFERROR(__xludf.DUMMYFUNCTION("""COMPUTED_VALUE"""),"8717323058756")</f>
        <v>8717323058756</v>
      </c>
      <c r="C14695" t="str">
        <f>IFERROR(__xludf.DUMMYFUNCTION("""COMPUTED_VALUE"""),"ECS")</f>
        <v>ECS</v>
      </c>
    </row>
    <row r="14696">
      <c r="A14696" t="str">
        <f>IFERROR(__xludf.DUMMYFUNCTION("""COMPUTED_VALUE"""),"TO245HH")</f>
        <v>TO245HH</v>
      </c>
      <c r="B14696" s="226" t="str">
        <f>IFERROR(__xludf.DUMMYFUNCTION("""COMPUTED_VALUE"""),"8717323058763")</f>
        <v>8717323058763</v>
      </c>
      <c r="C14696" t="str">
        <f>IFERROR(__xludf.DUMMYFUNCTION("""COMPUTED_VALUE"""),"ECS")</f>
        <v>ECS</v>
      </c>
    </row>
    <row r="14697">
      <c r="A14697" t="str">
        <f>IFERROR(__xludf.DUMMYFUNCTION("""COMPUTED_VALUE"""),"TOY086B")</f>
        <v>TOY086B</v>
      </c>
      <c r="B14697" s="226" t="str">
        <f>IFERROR(__xludf.DUMMYFUNCTION("""COMPUTED_VALUE"""),"8717323008188")</f>
        <v>8717323008188</v>
      </c>
      <c r="C14697" t="str">
        <f>IFERROR(__xludf.DUMMYFUNCTION("""COMPUTED_VALUE"""),"ECS")</f>
        <v>ECS</v>
      </c>
    </row>
    <row r="14698">
      <c r="A14698" t="str">
        <f>IFERROR(__xludf.DUMMYFUNCTION("""COMPUTED_VALUE"""),"TO101BB")</f>
        <v>TO101BB</v>
      </c>
      <c r="B14698" s="226" t="str">
        <f>IFERROR(__xludf.DUMMYFUNCTION("""COMPUTED_VALUE"""),"8717323007822")</f>
        <v>8717323007822</v>
      </c>
      <c r="C14698" t="str">
        <f>IFERROR(__xludf.DUMMYFUNCTION("""COMPUTED_VALUE"""),"ECS")</f>
        <v>ECS</v>
      </c>
    </row>
    <row r="14699">
      <c r="A14699" t="str">
        <f>IFERROR(__xludf.DUMMYFUNCTION("""COMPUTED_VALUE"""),"TO101BL")</f>
        <v>TO101BL</v>
      </c>
      <c r="B14699" s="226" t="str">
        <f>IFERROR(__xludf.DUMMYFUNCTION("""COMPUTED_VALUE"""),"8717323022009")</f>
        <v>8717323022009</v>
      </c>
      <c r="C14699" t="str">
        <f>IFERROR(__xludf.DUMMYFUNCTION("""COMPUTED_VALUE"""),"ECS")</f>
        <v>ECS</v>
      </c>
    </row>
    <row r="14700">
      <c r="A14700" t="str">
        <f>IFERROR(__xludf.DUMMYFUNCTION("""COMPUTED_VALUE"""),"TO101DL")</f>
        <v>TO101DL</v>
      </c>
      <c r="B14700" s="226" t="str">
        <f>IFERROR(__xludf.DUMMYFUNCTION("""COMPUTED_VALUE"""),"8717323022016")</f>
        <v>8717323022016</v>
      </c>
      <c r="C14700" t="str">
        <f>IFERROR(__xludf.DUMMYFUNCTION("""COMPUTED_VALUE"""),"ECS")</f>
        <v>ECS</v>
      </c>
    </row>
    <row r="14701">
      <c r="A14701" t="str">
        <f>IFERROR(__xludf.DUMMYFUNCTION("""COMPUTED_VALUE"""),"TO101BB")</f>
        <v>TO101BB</v>
      </c>
      <c r="B14701" s="226" t="str">
        <f>IFERROR(__xludf.DUMMYFUNCTION("""COMPUTED_VALUE"""),"8717323007822")</f>
        <v>8717323007822</v>
      </c>
      <c r="C14701" t="str">
        <f>IFERROR(__xludf.DUMMYFUNCTION("""COMPUTED_VALUE"""),"ECS")</f>
        <v>ECS</v>
      </c>
    </row>
    <row r="14702">
      <c r="A14702" t="str">
        <f>IFERROR(__xludf.DUMMYFUNCTION("""COMPUTED_VALUE"""),"TO101BL")</f>
        <v>TO101BL</v>
      </c>
      <c r="B14702" s="226" t="str">
        <f>IFERROR(__xludf.DUMMYFUNCTION("""COMPUTED_VALUE"""),"8717323022009")</f>
        <v>8717323022009</v>
      </c>
      <c r="C14702" t="str">
        <f>IFERROR(__xludf.DUMMYFUNCTION("""COMPUTED_VALUE"""),"ECS")</f>
        <v>ECS</v>
      </c>
    </row>
    <row r="14703">
      <c r="A14703" t="str">
        <f>IFERROR(__xludf.DUMMYFUNCTION("""COMPUTED_VALUE"""),"TO101DL")</f>
        <v>TO101DL</v>
      </c>
      <c r="B14703" s="226" t="str">
        <f>IFERROR(__xludf.DUMMYFUNCTION("""COMPUTED_VALUE"""),"8717323022016")</f>
        <v>8717323022016</v>
      </c>
      <c r="C14703" t="str">
        <f>IFERROR(__xludf.DUMMYFUNCTION("""COMPUTED_VALUE"""),"ECS")</f>
        <v>ECS</v>
      </c>
    </row>
    <row r="14704">
      <c r="A14704" t="str">
        <f>IFERROR(__xludf.DUMMYFUNCTION("""COMPUTED_VALUE"""),"TO296BH")</f>
        <v>TO296BH</v>
      </c>
      <c r="B14704" s="226" t="str">
        <f>IFERROR(__xludf.DUMMYFUNCTION("""COMPUTED_VALUE"""),"8717323069738")</f>
        <v>8717323069738</v>
      </c>
      <c r="C14704" t="str">
        <f>IFERROR(__xludf.DUMMYFUNCTION("""COMPUTED_VALUE"""),"ECS")</f>
        <v>ECS</v>
      </c>
    </row>
    <row r="14705">
      <c r="A14705" t="str">
        <f>IFERROR(__xludf.DUMMYFUNCTION("""COMPUTED_VALUE"""),"TO296DH")</f>
        <v>TO296DH</v>
      </c>
      <c r="B14705" s="226" t="str">
        <f>IFERROR(__xludf.DUMMYFUNCTION("""COMPUTED_VALUE"""),"8717323069745")</f>
        <v>8717323069745</v>
      </c>
      <c r="C14705" t="str">
        <f>IFERROR(__xludf.DUMMYFUNCTION("""COMPUTED_VALUE"""),"ECS")</f>
        <v>ECS</v>
      </c>
    </row>
    <row r="14706">
      <c r="A14706" t="str">
        <f>IFERROR(__xludf.DUMMYFUNCTION("""COMPUTED_VALUE"""),"TO296BH")</f>
        <v>TO296BH</v>
      </c>
      <c r="B14706" s="226" t="str">
        <f>IFERROR(__xludf.DUMMYFUNCTION("""COMPUTED_VALUE"""),"8717323069738")</f>
        <v>8717323069738</v>
      </c>
      <c r="C14706" t="str">
        <f>IFERROR(__xludf.DUMMYFUNCTION("""COMPUTED_VALUE"""),"ECS")</f>
        <v>ECS</v>
      </c>
    </row>
    <row r="14707">
      <c r="A14707" t="str">
        <f>IFERROR(__xludf.DUMMYFUNCTION("""COMPUTED_VALUE"""),"TO296DH")</f>
        <v>TO296DH</v>
      </c>
      <c r="B14707" s="226" t="str">
        <f>IFERROR(__xludf.DUMMYFUNCTION("""COMPUTED_VALUE"""),"8717323069745")</f>
        <v>8717323069745</v>
      </c>
      <c r="C14707" t="str">
        <f>IFERROR(__xludf.DUMMYFUNCTION("""COMPUTED_VALUE"""),"ECS")</f>
        <v>ECS</v>
      </c>
    </row>
    <row r="14708">
      <c r="A14708" t="str">
        <f>IFERROR(__xludf.DUMMYFUNCTION("""COMPUTED_VALUE"""),"TO103BB")</f>
        <v>TO103BB</v>
      </c>
      <c r="B14708" s="226" t="str">
        <f>IFERROR(__xludf.DUMMYFUNCTION("""COMPUTED_VALUE"""),"8717323007860")</f>
        <v>8717323007860</v>
      </c>
      <c r="C14708" t="str">
        <f>IFERROR(__xludf.DUMMYFUNCTION("""COMPUTED_VALUE"""),"ECS")</f>
        <v>ECS</v>
      </c>
    </row>
    <row r="14709">
      <c r="A14709" t="str">
        <f>IFERROR(__xludf.DUMMYFUNCTION("""COMPUTED_VALUE"""),"TO102BB")</f>
        <v>TO102BB</v>
      </c>
      <c r="B14709" s="226" t="str">
        <f>IFERROR(__xludf.DUMMYFUNCTION("""COMPUTED_VALUE"""),"8717323007846")</f>
        <v>8717323007846</v>
      </c>
      <c r="C14709" t="str">
        <f>IFERROR(__xludf.DUMMYFUNCTION("""COMPUTED_VALUE"""),"ECS")</f>
        <v>ECS</v>
      </c>
    </row>
    <row r="14710">
      <c r="A14710" t="str">
        <f>IFERROR(__xludf.DUMMYFUNCTION("""COMPUTED_VALUE"""),"TO102DL")</f>
        <v>TO102DL</v>
      </c>
      <c r="B14710" s="226" t="str">
        <f>IFERROR(__xludf.DUMMYFUNCTION("""COMPUTED_VALUE"""),"8717323022030")</f>
        <v>8717323022030</v>
      </c>
      <c r="C14710" t="str">
        <f>IFERROR(__xludf.DUMMYFUNCTION("""COMPUTED_VALUE"""),"ECS")</f>
        <v>ECS</v>
      </c>
    </row>
    <row r="14711">
      <c r="A14711" t="str">
        <f>IFERROR(__xludf.DUMMYFUNCTION("""COMPUTED_VALUE"""),"TO149BB")</f>
        <v>TO149BB</v>
      </c>
      <c r="B14711" s="226" t="str">
        <f>IFERROR(__xludf.DUMMYFUNCTION("""COMPUTED_VALUE"""),"8717323015483")</f>
        <v>8717323015483</v>
      </c>
      <c r="C14711" t="str">
        <f>IFERROR(__xludf.DUMMYFUNCTION("""COMPUTED_VALUE"""),"ECS")</f>
        <v>ECS</v>
      </c>
    </row>
    <row r="14712">
      <c r="A14712" t="str">
        <f>IFERROR(__xludf.DUMMYFUNCTION("""COMPUTED_VALUE"""),"TO149DL")</f>
        <v>TO149DL</v>
      </c>
      <c r="B14712" s="226" t="str">
        <f>IFERROR(__xludf.DUMMYFUNCTION("""COMPUTED_VALUE"""),"8717323015490")</f>
        <v>8717323015490</v>
      </c>
      <c r="C14712" t="str">
        <f>IFERROR(__xludf.DUMMYFUNCTION("""COMPUTED_VALUE"""),"ECS")</f>
        <v>ECS</v>
      </c>
    </row>
    <row r="14713">
      <c r="A14713" t="str">
        <f>IFERROR(__xludf.DUMMYFUNCTION("""COMPUTED_VALUE"""),"TO301BH")</f>
        <v>TO301BH</v>
      </c>
      <c r="B14713" s="226" t="str">
        <f>IFERROR(__xludf.DUMMYFUNCTION("""COMPUTED_VALUE"""),"8717323070482")</f>
        <v>8717323070482</v>
      </c>
      <c r="C14713" t="str">
        <f>IFERROR(__xludf.DUMMYFUNCTION("""COMPUTED_VALUE"""),"ECS")</f>
        <v>ECS</v>
      </c>
    </row>
    <row r="14714">
      <c r="A14714" t="str">
        <f>IFERROR(__xludf.DUMMYFUNCTION("""COMPUTED_VALUE"""),"TO301DH")</f>
        <v>TO301DH</v>
      </c>
      <c r="B14714" s="226" t="str">
        <f>IFERROR(__xludf.DUMMYFUNCTION("""COMPUTED_VALUE"""),"8717323070499")</f>
        <v>8717323070499</v>
      </c>
      <c r="C14714" t="str">
        <f>IFERROR(__xludf.DUMMYFUNCTION("""COMPUTED_VALUE"""),"ECS")</f>
        <v>ECS</v>
      </c>
    </row>
    <row r="14715">
      <c r="A14715" t="str">
        <f>IFERROR(__xludf.DUMMYFUNCTION("""COMPUTED_VALUE"""),"TO296BH")</f>
        <v>TO296BH</v>
      </c>
      <c r="B14715" s="226" t="str">
        <f>IFERROR(__xludf.DUMMYFUNCTION("""COMPUTED_VALUE"""),"8717323069738")</f>
        <v>8717323069738</v>
      </c>
      <c r="C14715" t="str">
        <f>IFERROR(__xludf.DUMMYFUNCTION("""COMPUTED_VALUE"""),"ECS")</f>
        <v>ECS</v>
      </c>
    </row>
    <row r="14716">
      <c r="A14716" t="str">
        <f>IFERROR(__xludf.DUMMYFUNCTION("""COMPUTED_VALUE"""),"TO296DH")</f>
        <v>TO296DH</v>
      </c>
      <c r="B14716" s="226" t="str">
        <f>IFERROR(__xludf.DUMMYFUNCTION("""COMPUTED_VALUE"""),"8717323069745")</f>
        <v>8717323069745</v>
      </c>
      <c r="C14716" t="str">
        <f>IFERROR(__xludf.DUMMYFUNCTION("""COMPUTED_VALUE"""),"ECS")</f>
        <v>ECS</v>
      </c>
    </row>
    <row r="14717">
      <c r="A14717" t="str">
        <f>IFERROR(__xludf.DUMMYFUNCTION("""COMPUTED_VALUE"""),"TO296BH")</f>
        <v>TO296BH</v>
      </c>
      <c r="B14717" s="226" t="str">
        <f>IFERROR(__xludf.DUMMYFUNCTION("""COMPUTED_VALUE"""),"8717323069738")</f>
        <v>8717323069738</v>
      </c>
      <c r="C14717" t="str">
        <f>IFERROR(__xludf.DUMMYFUNCTION("""COMPUTED_VALUE"""),"ECS")</f>
        <v>ECS</v>
      </c>
    </row>
    <row r="14718">
      <c r="A14718" t="str">
        <f>IFERROR(__xludf.DUMMYFUNCTION("""COMPUTED_VALUE"""),"TO296DH")</f>
        <v>TO296DH</v>
      </c>
      <c r="B14718" s="226" t="str">
        <f>IFERROR(__xludf.DUMMYFUNCTION("""COMPUTED_VALUE"""),"8717323069745")</f>
        <v>8717323069745</v>
      </c>
      <c r="C14718" t="str">
        <f>IFERROR(__xludf.DUMMYFUNCTION("""COMPUTED_VALUE"""),"ECS")</f>
        <v>ECS</v>
      </c>
    </row>
    <row r="14719">
      <c r="A14719" t="str">
        <f>IFERROR(__xludf.DUMMYFUNCTION("""COMPUTED_VALUE"""),"TO098BB")</f>
        <v>TO098BB</v>
      </c>
      <c r="B14719" s="226" t="str">
        <f>IFERROR(__xludf.DUMMYFUNCTION("""COMPUTED_VALUE"""),"8717323007785")</f>
        <v>8717323007785</v>
      </c>
      <c r="C14719" t="str">
        <f>IFERROR(__xludf.DUMMYFUNCTION("""COMPUTED_VALUE"""),"ECS")</f>
        <v>ECS</v>
      </c>
    </row>
    <row r="14720">
      <c r="A14720" t="str">
        <f>IFERROR(__xludf.DUMMYFUNCTION("""COMPUTED_VALUE"""),"TO098DL")</f>
        <v>TO098DL</v>
      </c>
      <c r="B14720" s="226" t="str">
        <f>IFERROR(__xludf.DUMMYFUNCTION("""COMPUTED_VALUE"""),"8717323021972")</f>
        <v>8717323021972</v>
      </c>
      <c r="C14720" t="str">
        <f>IFERROR(__xludf.DUMMYFUNCTION("""COMPUTED_VALUE"""),"ECS")</f>
        <v>ECS</v>
      </c>
    </row>
    <row r="14721">
      <c r="A14721" t="str">
        <f>IFERROR(__xludf.DUMMYFUNCTION("""COMPUTED_VALUE"""),"TO132BB")</f>
        <v>TO132BB</v>
      </c>
      <c r="B14721" s="226" t="str">
        <f>IFERROR(__xludf.DUMMYFUNCTION("""COMPUTED_VALUE"""),"8717323012086")</f>
        <v>8717323012086</v>
      </c>
      <c r="C14721" t="str">
        <f>IFERROR(__xludf.DUMMYFUNCTION("""COMPUTED_VALUE"""),"ECS")</f>
        <v>ECS</v>
      </c>
    </row>
    <row r="14722">
      <c r="A14722" t="str">
        <f>IFERROR(__xludf.DUMMYFUNCTION("""COMPUTED_VALUE"""),"TO132BL")</f>
        <v>TO132BL</v>
      </c>
      <c r="B14722" s="226" t="str">
        <f>IFERROR(__xludf.DUMMYFUNCTION("""COMPUTED_VALUE"""),"8717323012093")</f>
        <v>8717323012093</v>
      </c>
      <c r="C14722" t="str">
        <f>IFERROR(__xludf.DUMMYFUNCTION("""COMPUTED_VALUE"""),"ECS")</f>
        <v>ECS</v>
      </c>
    </row>
    <row r="14723">
      <c r="A14723" t="str">
        <f>IFERROR(__xludf.DUMMYFUNCTION("""COMPUTED_VALUE"""),"TO132DB")</f>
        <v>TO132DB</v>
      </c>
      <c r="B14723" s="226" t="str">
        <f>IFERROR(__xludf.DUMMYFUNCTION("""COMPUTED_VALUE"""),"8717323012109")</f>
        <v>8717323012109</v>
      </c>
      <c r="C14723" t="str">
        <f>IFERROR(__xludf.DUMMYFUNCTION("""COMPUTED_VALUE"""),"ECS")</f>
        <v>ECS</v>
      </c>
    </row>
    <row r="14724">
      <c r="A14724" t="str">
        <f>IFERROR(__xludf.DUMMYFUNCTION("""COMPUTED_VALUE"""),"TO132DL")</f>
        <v>TO132DL</v>
      </c>
      <c r="B14724" s="226" t="str">
        <f>IFERROR(__xludf.DUMMYFUNCTION("""COMPUTED_VALUE"""),"8717323012116")</f>
        <v>8717323012116</v>
      </c>
      <c r="C14724" t="str">
        <f>IFERROR(__xludf.DUMMYFUNCTION("""COMPUTED_VALUE"""),"ECS")</f>
        <v>ECS</v>
      </c>
    </row>
    <row r="14725">
      <c r="A14725" t="str">
        <f>IFERROR(__xludf.DUMMYFUNCTION("""COMPUTED_VALUE"""),"TOY049B")</f>
        <v>TOY049B</v>
      </c>
      <c r="B14725" s="226" t="str">
        <f>IFERROR(__xludf.DUMMYFUNCTION("""COMPUTED_VALUE"""),"8717323008126")</f>
        <v>8717323008126</v>
      </c>
      <c r="C14725" t="str">
        <f>IFERROR(__xludf.DUMMYFUNCTION("""COMPUTED_VALUE"""),"ECS")</f>
        <v>ECS</v>
      </c>
    </row>
    <row r="14726">
      <c r="A14726" t="str">
        <f>IFERROR(__xludf.DUMMYFUNCTION("""COMPUTED_VALUE"""),"TO137BB")</f>
        <v>TO137BB</v>
      </c>
      <c r="B14726" s="226" t="str">
        <f>IFERROR(__xludf.DUMMYFUNCTION("""COMPUTED_VALUE"""),"8717323014318")</f>
        <v>8717323014318</v>
      </c>
      <c r="C14726" t="str">
        <f>IFERROR(__xludf.DUMMYFUNCTION("""COMPUTED_VALUE"""),"ECS")</f>
        <v>ECS</v>
      </c>
    </row>
    <row r="14727">
      <c r="A14727" t="str">
        <f>IFERROR(__xludf.DUMMYFUNCTION("""COMPUTED_VALUE"""),"TO137BL")</f>
        <v>TO137BL</v>
      </c>
      <c r="B14727" s="226" t="str">
        <f>IFERROR(__xludf.DUMMYFUNCTION("""COMPUTED_VALUE"""),"8717323014325")</f>
        <v>8717323014325</v>
      </c>
      <c r="C14727" t="str">
        <f>IFERROR(__xludf.DUMMYFUNCTION("""COMPUTED_VALUE"""),"ECS")</f>
        <v>ECS</v>
      </c>
    </row>
    <row r="14728">
      <c r="A14728" t="str">
        <f>IFERROR(__xludf.DUMMYFUNCTION("""COMPUTED_VALUE"""),"TO137DL")</f>
        <v>TO137DL</v>
      </c>
      <c r="B14728" s="226" t="str">
        <f>IFERROR(__xludf.DUMMYFUNCTION("""COMPUTED_VALUE"""),"8717323014332")</f>
        <v>8717323014332</v>
      </c>
      <c r="C14728" t="str">
        <f>IFERROR(__xludf.DUMMYFUNCTION("""COMPUTED_VALUE"""),"ECS")</f>
        <v>ECS</v>
      </c>
    </row>
    <row r="14729">
      <c r="A14729" t="str">
        <f>IFERROR(__xludf.DUMMYFUNCTION("""COMPUTED_VALUE"""),"TO248DL")</f>
        <v>TO248DL</v>
      </c>
      <c r="B14729" s="226" t="str">
        <f>IFERROR(__xludf.DUMMYFUNCTION("""COMPUTED_VALUE"""),"8717323057735")</f>
        <v>8717323057735</v>
      </c>
      <c r="C14729" t="str">
        <f>IFERROR(__xludf.DUMMYFUNCTION("""COMPUTED_VALUE"""),"ECS")</f>
        <v>ECS</v>
      </c>
    </row>
    <row r="14730">
      <c r="A14730" t="str">
        <f>IFERROR(__xludf.DUMMYFUNCTION("""COMPUTED_VALUE"""),"TO183BB")</f>
        <v>TO183BB</v>
      </c>
      <c r="B14730" s="226" t="str">
        <f>IFERROR(__xludf.DUMMYFUNCTION("""COMPUTED_VALUE"""),"8717323017562")</f>
        <v>8717323017562</v>
      </c>
      <c r="C14730" t="str">
        <f>IFERROR(__xludf.DUMMYFUNCTION("""COMPUTED_VALUE"""),"ECS")</f>
        <v>ECS</v>
      </c>
    </row>
    <row r="14731">
      <c r="A14731" t="str">
        <f>IFERROR(__xludf.DUMMYFUNCTION("""COMPUTED_VALUE"""),"TO183DH")</f>
        <v>TO183DH</v>
      </c>
      <c r="B14731" s="226" t="str">
        <f>IFERROR(__xludf.DUMMYFUNCTION("""COMPUTED_VALUE"""),"8717323017579")</f>
        <v>8717323017579</v>
      </c>
      <c r="C14731" t="str">
        <f>IFERROR(__xludf.DUMMYFUNCTION("""COMPUTED_VALUE"""),"ECS")</f>
        <v>ECS</v>
      </c>
    </row>
    <row r="14732">
      <c r="A14732" t="str">
        <f>IFERROR(__xludf.DUMMYFUNCTION("""COMPUTED_VALUE"""),"TO119BB")</f>
        <v>TO119BB</v>
      </c>
      <c r="B14732" s="226" t="str">
        <f>IFERROR(__xludf.DUMMYFUNCTION("""COMPUTED_VALUE"""),"8717323009925")</f>
        <v>8717323009925</v>
      </c>
      <c r="C14732" t="str">
        <f>IFERROR(__xludf.DUMMYFUNCTION("""COMPUTED_VALUE"""),"ECS")</f>
        <v>ECS</v>
      </c>
    </row>
    <row r="14733">
      <c r="A14733" t="str">
        <f>IFERROR(__xludf.DUMMYFUNCTION("""COMPUTED_VALUE"""),"TO119BL")</f>
        <v>TO119BL</v>
      </c>
      <c r="B14733" s="226" t="str">
        <f>IFERROR(__xludf.DUMMYFUNCTION("""COMPUTED_VALUE"""),"8717323022085")</f>
        <v>8717323022085</v>
      </c>
      <c r="C14733" t="str">
        <f>IFERROR(__xludf.DUMMYFUNCTION("""COMPUTED_VALUE"""),"ECS")</f>
        <v>ECS</v>
      </c>
    </row>
    <row r="14734">
      <c r="A14734" t="str">
        <f>IFERROR(__xludf.DUMMYFUNCTION("""COMPUTED_VALUE"""),"TO119DB")</f>
        <v>TO119DB</v>
      </c>
      <c r="B14734" s="226" t="str">
        <f>IFERROR(__xludf.DUMMYFUNCTION("""COMPUTED_VALUE"""),"8717323009932")</f>
        <v>8717323009932</v>
      </c>
      <c r="C14734" t="str">
        <f>IFERROR(__xludf.DUMMYFUNCTION("""COMPUTED_VALUE"""),"ECS")</f>
        <v>ECS</v>
      </c>
    </row>
    <row r="14735">
      <c r="A14735" t="str">
        <f>IFERROR(__xludf.DUMMYFUNCTION("""COMPUTED_VALUE"""),"TO119DL")</f>
        <v>TO119DL</v>
      </c>
      <c r="B14735" s="226" t="str">
        <f>IFERROR(__xludf.DUMMYFUNCTION("""COMPUTED_VALUE"""),"8717323022092")</f>
        <v>8717323022092</v>
      </c>
      <c r="C14735" t="str">
        <f>IFERROR(__xludf.DUMMYFUNCTION("""COMPUTED_VALUE"""),"ECS")</f>
        <v>ECS</v>
      </c>
    </row>
    <row r="14736">
      <c r="A14736" t="str">
        <f>IFERROR(__xludf.DUMMYFUNCTION("""COMPUTED_VALUE"""),"TO216BB")</f>
        <v>TO216BB</v>
      </c>
      <c r="B14736" s="226" t="str">
        <f>IFERROR(__xludf.DUMMYFUNCTION("""COMPUTED_VALUE"""),"8717323028261")</f>
        <v>8717323028261</v>
      </c>
      <c r="C14736" t="str">
        <f>IFERROR(__xludf.DUMMYFUNCTION("""COMPUTED_VALUE"""),"ECS")</f>
        <v>ECS</v>
      </c>
    </row>
    <row r="14737">
      <c r="A14737" t="str">
        <f>IFERROR(__xludf.DUMMYFUNCTION("""COMPUTED_VALUE"""),"TO216DH")</f>
        <v>TO216DH</v>
      </c>
      <c r="B14737" s="226" t="str">
        <f>IFERROR(__xludf.DUMMYFUNCTION("""COMPUTED_VALUE"""),"8717323027158")</f>
        <v>8717323027158</v>
      </c>
      <c r="C14737" t="str">
        <f>IFERROR(__xludf.DUMMYFUNCTION("""COMPUTED_VALUE"""),"ECS")</f>
        <v>ECS</v>
      </c>
    </row>
    <row r="14738">
      <c r="A14738" t="str">
        <f>IFERROR(__xludf.DUMMYFUNCTION("""COMPUTED_VALUE"""),"TO112DL")</f>
        <v>TO112DL</v>
      </c>
      <c r="B14738" s="226" t="str">
        <f>IFERROR(__xludf.DUMMYFUNCTION("""COMPUTED_VALUE"""),"8717323022078")</f>
        <v>8717323022078</v>
      </c>
      <c r="C14738" t="str">
        <f>IFERROR(__xludf.DUMMYFUNCTION("""COMPUTED_VALUE"""),"ECS")</f>
        <v>ECS</v>
      </c>
    </row>
    <row r="14739">
      <c r="A14739" t="str">
        <f>IFERROR(__xludf.DUMMYFUNCTION("""COMPUTED_VALUE"""),"TO186BB")</f>
        <v>TO186BB</v>
      </c>
      <c r="B14739" s="226" t="str">
        <f>IFERROR(__xludf.DUMMYFUNCTION("""COMPUTED_VALUE"""),"8717323023471")</f>
        <v>8717323023471</v>
      </c>
      <c r="C14739" t="str">
        <f>IFERROR(__xludf.DUMMYFUNCTION("""COMPUTED_VALUE"""),"ECS")</f>
        <v>ECS</v>
      </c>
    </row>
    <row r="14740">
      <c r="A14740" t="str">
        <f>IFERROR(__xludf.DUMMYFUNCTION("""COMPUTED_VALUE"""),"TO186BL")</f>
        <v>TO186BL</v>
      </c>
      <c r="B14740" s="226" t="str">
        <f>IFERROR(__xludf.DUMMYFUNCTION("""COMPUTED_VALUE"""),"8717323023464")</f>
        <v>8717323023464</v>
      </c>
      <c r="C14740" t="str">
        <f>IFERROR(__xludf.DUMMYFUNCTION("""COMPUTED_VALUE"""),"ECS")</f>
        <v>ECS</v>
      </c>
    </row>
    <row r="14741">
      <c r="A14741" t="str">
        <f>IFERROR(__xludf.DUMMYFUNCTION("""COMPUTED_VALUE"""),"TO186DH")</f>
        <v>TO186DH</v>
      </c>
      <c r="B14741" s="226" t="str">
        <f>IFERROR(__xludf.DUMMYFUNCTION("""COMPUTED_VALUE"""),"8717323023457")</f>
        <v>8717323023457</v>
      </c>
      <c r="C14741" t="str">
        <f>IFERROR(__xludf.DUMMYFUNCTION("""COMPUTED_VALUE"""),"ECS")</f>
        <v>ECS</v>
      </c>
    </row>
    <row r="14742">
      <c r="A14742" t="str">
        <f>IFERROR(__xludf.DUMMYFUNCTION("""COMPUTED_VALUE"""),"TOY083B")</f>
        <v>TOY083B</v>
      </c>
      <c r="B14742" s="226" t="str">
        <f>IFERROR(__xludf.DUMMYFUNCTION("""COMPUTED_VALUE"""),"8717323008164")</f>
        <v>8717323008164</v>
      </c>
      <c r="C14742" t="str">
        <f>IFERROR(__xludf.DUMMYFUNCTION("""COMPUTED_VALUE"""),"ECS")</f>
        <v>ECS</v>
      </c>
    </row>
    <row r="14743">
      <c r="A14743" t="str">
        <f>IFERROR(__xludf.DUMMYFUNCTION("""COMPUTED_VALUE"""),"TO062BL")</f>
        <v>TO062BL</v>
      </c>
      <c r="B14743" s="226" t="str">
        <f>IFERROR(__xludf.DUMMYFUNCTION("""COMPUTED_VALUE"""),"8717323021767")</f>
        <v>8717323021767</v>
      </c>
      <c r="C14743" t="str">
        <f>IFERROR(__xludf.DUMMYFUNCTION("""COMPUTED_VALUE"""),"ECS")</f>
        <v>ECS</v>
      </c>
    </row>
    <row r="14744">
      <c r="A14744" t="str">
        <f>IFERROR(__xludf.DUMMYFUNCTION("""COMPUTED_VALUE"""),"TO062DL")</f>
        <v>TO062DL</v>
      </c>
      <c r="B14744" s="226" t="str">
        <f>IFERROR(__xludf.DUMMYFUNCTION("""COMPUTED_VALUE"""),"8717323021774")</f>
        <v>8717323021774</v>
      </c>
      <c r="C14744" t="str">
        <f>IFERROR(__xludf.DUMMYFUNCTION("""COMPUTED_VALUE"""),"ECS")</f>
        <v>ECS</v>
      </c>
    </row>
    <row r="14745">
      <c r="A14745" t="str">
        <f>IFERROR(__xludf.DUMMYFUNCTION("""COMPUTED_VALUE"""),"TO162BB")</f>
        <v>TO162BB</v>
      </c>
      <c r="B14745" s="226" t="str">
        <f>IFERROR(__xludf.DUMMYFUNCTION("""COMPUTED_VALUE"""),"8717323023211")</f>
        <v>8717323023211</v>
      </c>
      <c r="C14745" t="str">
        <f>IFERROR(__xludf.DUMMYFUNCTION("""COMPUTED_VALUE"""),"ECS")</f>
        <v>ECS</v>
      </c>
    </row>
    <row r="14746">
      <c r="A14746" t="str">
        <f>IFERROR(__xludf.DUMMYFUNCTION("""COMPUTED_VALUE"""),"TO162DH")</f>
        <v>TO162DH</v>
      </c>
      <c r="B14746" s="226" t="str">
        <f>IFERROR(__xludf.DUMMYFUNCTION("""COMPUTED_VALUE"""),"8717323022108")</f>
        <v>8717323022108</v>
      </c>
      <c r="C14746" t="str">
        <f>IFERROR(__xludf.DUMMYFUNCTION("""COMPUTED_VALUE"""),"ECS")</f>
        <v>ECS</v>
      </c>
    </row>
    <row r="14747">
      <c r="A14747" t="str">
        <f>IFERROR(__xludf.DUMMYFUNCTION("""COMPUTED_VALUE"""),"TO163DL")</f>
        <v>TO163DL</v>
      </c>
      <c r="B14747" s="226" t="str">
        <f>IFERROR(__xludf.DUMMYFUNCTION("""COMPUTED_VALUE"""),"8717323038178")</f>
        <v>8717323038178</v>
      </c>
      <c r="C14747" t="str">
        <f>IFERROR(__xludf.DUMMYFUNCTION("""COMPUTED_VALUE"""),"ECS")</f>
        <v>ECS</v>
      </c>
    </row>
    <row r="14748">
      <c r="A14748" t="str">
        <f>IFERROR(__xludf.DUMMYFUNCTION("""COMPUTED_VALUE"""),"TO239DH")</f>
        <v>TO239DH</v>
      </c>
      <c r="B14748" s="226" t="str">
        <f>IFERROR(__xludf.DUMMYFUNCTION("""COMPUTED_VALUE"""),"8717323059746")</f>
        <v>8717323059746</v>
      </c>
      <c r="C14748" t="str">
        <f>IFERROR(__xludf.DUMMYFUNCTION("""COMPUTED_VALUE"""),"ECS")</f>
        <v>ECS</v>
      </c>
    </row>
    <row r="14749">
      <c r="A14749" t="str">
        <f>IFERROR(__xludf.DUMMYFUNCTION("""COMPUTED_VALUE"""),"TO284BH")</f>
        <v>TO284BH</v>
      </c>
      <c r="B14749" s="226" t="str">
        <f>IFERROR(__xludf.DUMMYFUNCTION("""COMPUTED_VALUE"""),"8717323070468")</f>
        <v>8717323070468</v>
      </c>
      <c r="C14749" t="str">
        <f>IFERROR(__xludf.DUMMYFUNCTION("""COMPUTED_VALUE"""),"ECS")</f>
        <v>ECS</v>
      </c>
    </row>
    <row r="14750">
      <c r="A14750" t="str">
        <f>IFERROR(__xludf.DUMMYFUNCTION("""COMPUTED_VALUE"""),"TO284DH")</f>
        <v>TO284DH</v>
      </c>
      <c r="B14750" s="226" t="str">
        <f>IFERROR(__xludf.DUMMYFUNCTION("""COMPUTED_VALUE"""),"8717323070475")</f>
        <v>8717323070475</v>
      </c>
      <c r="C14750" t="str">
        <f>IFERROR(__xludf.DUMMYFUNCTION("""COMPUTED_VALUE"""),"ECS")</f>
        <v>ECS</v>
      </c>
    </row>
    <row r="14751">
      <c r="A14751" t="str">
        <f>IFERROR(__xludf.DUMMYFUNCTION("""COMPUTED_VALUE"""),"TO163BB")</f>
        <v>TO163BB</v>
      </c>
      <c r="B14751" s="226" t="str">
        <f>IFERROR(__xludf.DUMMYFUNCTION("""COMPUTED_VALUE"""),"8717323017654")</f>
        <v>8717323017654</v>
      </c>
      <c r="C14751" t="str">
        <f>IFERROR(__xludf.DUMMYFUNCTION("""COMPUTED_VALUE"""),"ECS")</f>
        <v>ECS</v>
      </c>
    </row>
    <row r="14752">
      <c r="A14752" t="str">
        <f>IFERROR(__xludf.DUMMYFUNCTION("""COMPUTED_VALUE"""),"TO217DL")</f>
        <v>TO217DL</v>
      </c>
      <c r="B14752" s="226" t="str">
        <f>IFERROR(__xludf.DUMMYFUNCTION("""COMPUTED_VALUE"""),"8717323027165")</f>
        <v>8717323027165</v>
      </c>
      <c r="C14752" t="str">
        <f>IFERROR(__xludf.DUMMYFUNCTION("""COMPUTED_VALUE"""),"ECS")</f>
        <v>ECS</v>
      </c>
    </row>
    <row r="14753">
      <c r="A14753" t="str">
        <f>IFERROR(__xludf.DUMMYFUNCTION("""COMPUTED_VALUE"""),"TO163DL")</f>
        <v>TO163DL</v>
      </c>
      <c r="B14753" s="226" t="str">
        <f>IFERROR(__xludf.DUMMYFUNCTION("""COMPUTED_VALUE"""),"8717323038178")</f>
        <v>8717323038178</v>
      </c>
      <c r="C14753" t="str">
        <f>IFERROR(__xludf.DUMMYFUNCTION("""COMPUTED_VALUE"""),"ECS")</f>
        <v>ECS</v>
      </c>
    </row>
    <row r="14754">
      <c r="A14754" t="str">
        <f>IFERROR(__xludf.DUMMYFUNCTION("""COMPUTED_VALUE"""),"PE059B1")</f>
        <v>PE059B1</v>
      </c>
      <c r="B14754" s="226" t="str">
        <f>IFERROR(__xludf.DUMMYFUNCTION("""COMPUTED_VALUE"""),"8717323024102")</f>
        <v>8717323024102</v>
      </c>
      <c r="C14754" t="str">
        <f>IFERROR(__xludf.DUMMYFUNCTION("""COMPUTED_VALUE"""),"ECS")</f>
        <v>ECS</v>
      </c>
    </row>
    <row r="14755">
      <c r="A14755" t="str">
        <f>IFERROR(__xludf.DUMMYFUNCTION("""COMPUTED_VALUE"""),"PE059D1")</f>
        <v>PE059D1</v>
      </c>
      <c r="B14755" s="226" t="str">
        <f>IFERROR(__xludf.DUMMYFUNCTION("""COMPUTED_VALUE"""),"8717323024119")</f>
        <v>8717323024119</v>
      </c>
      <c r="C14755" t="str">
        <f>IFERROR(__xludf.DUMMYFUNCTION("""COMPUTED_VALUE"""),"ECS")</f>
        <v>ECS</v>
      </c>
    </row>
    <row r="14756">
      <c r="A14756" t="str">
        <f>IFERROR(__xludf.DUMMYFUNCTION("""COMPUTED_VALUE"""),"PE059B1")</f>
        <v>PE059B1</v>
      </c>
      <c r="B14756" s="226" t="str">
        <f>IFERROR(__xludf.DUMMYFUNCTION("""COMPUTED_VALUE"""),"8717323024102")</f>
        <v>8717323024102</v>
      </c>
      <c r="C14756" t="str">
        <f>IFERROR(__xludf.DUMMYFUNCTION("""COMPUTED_VALUE"""),"ECS")</f>
        <v>ECS</v>
      </c>
    </row>
    <row r="14757">
      <c r="A14757" t="str">
        <f>IFERROR(__xludf.DUMMYFUNCTION("""COMPUTED_VALUE"""),"PE059D1")</f>
        <v>PE059D1</v>
      </c>
      <c r="B14757" s="226" t="str">
        <f>IFERROR(__xludf.DUMMYFUNCTION("""COMPUTED_VALUE"""),"8717323024119")</f>
        <v>8717323024119</v>
      </c>
      <c r="C14757" t="str">
        <f>IFERROR(__xludf.DUMMYFUNCTION("""COMPUTED_VALUE"""),"ECS")</f>
        <v>ECS</v>
      </c>
    </row>
    <row r="14758">
      <c r="A14758" t="str">
        <f>IFERROR(__xludf.DUMMYFUNCTION("""COMPUTED_VALUE"""),"PE067B1")</f>
        <v>PE067B1</v>
      </c>
      <c r="B14758" s="226" t="str">
        <f>IFERROR(__xludf.DUMMYFUNCTION("""COMPUTED_VALUE"""),"8717323057629")</f>
        <v>8717323057629</v>
      </c>
      <c r="C14758" t="str">
        <f>IFERROR(__xludf.DUMMYFUNCTION("""COMPUTED_VALUE"""),"ECS")</f>
        <v>ECS</v>
      </c>
    </row>
    <row r="14759">
      <c r="A14759" t="str">
        <f>IFERROR(__xludf.DUMMYFUNCTION("""COMPUTED_VALUE"""),"PE067D1")</f>
        <v>PE067D1</v>
      </c>
      <c r="B14759" s="226" t="str">
        <f>IFERROR(__xludf.DUMMYFUNCTION("""COMPUTED_VALUE"""),"8717323057636")</f>
        <v>8717323057636</v>
      </c>
      <c r="C14759" t="str">
        <f>IFERROR(__xludf.DUMMYFUNCTION("""COMPUTED_VALUE"""),"ECS")</f>
        <v>ECS</v>
      </c>
    </row>
    <row r="14760">
      <c r="A14760" t="str">
        <f>IFERROR(__xludf.DUMMYFUNCTION("""COMPUTED_VALUE"""),"PE067B1")</f>
        <v>PE067B1</v>
      </c>
      <c r="B14760" s="226" t="str">
        <f>IFERROR(__xludf.DUMMYFUNCTION("""COMPUTED_VALUE"""),"8717323057629")</f>
        <v>8717323057629</v>
      </c>
      <c r="C14760" t="str">
        <f>IFERROR(__xludf.DUMMYFUNCTION("""COMPUTED_VALUE"""),"ECS")</f>
        <v>ECS</v>
      </c>
    </row>
    <row r="14761">
      <c r="A14761" t="str">
        <f>IFERROR(__xludf.DUMMYFUNCTION("""COMPUTED_VALUE"""),"PE067D1")</f>
        <v>PE067D1</v>
      </c>
      <c r="B14761" s="226" t="str">
        <f>IFERROR(__xludf.DUMMYFUNCTION("""COMPUTED_VALUE"""),"8717323057636")</f>
        <v>8717323057636</v>
      </c>
      <c r="C14761" t="str">
        <f>IFERROR(__xludf.DUMMYFUNCTION("""COMPUTED_VALUE"""),"ECS")</f>
        <v>ECS</v>
      </c>
    </row>
    <row r="14762">
      <c r="A14762" t="str">
        <f>IFERROR(__xludf.DUMMYFUNCTION("""COMPUTED_VALUE"""),"TO295BH")</f>
        <v>TO295BH</v>
      </c>
      <c r="C14762" t="str">
        <f>IFERROR(__xludf.DUMMYFUNCTION("""COMPUTED_VALUE"""),"ECS")</f>
        <v>ECS</v>
      </c>
    </row>
    <row r="14763">
      <c r="A14763" t="str">
        <f>IFERROR(__xludf.DUMMYFUNCTION("""COMPUTED_VALUE"""),"TO295DH")</f>
        <v>TO295DH</v>
      </c>
      <c r="C14763" t="str">
        <f>IFERROR(__xludf.DUMMYFUNCTION("""COMPUTED_VALUE"""),"ECS")</f>
        <v>ECS</v>
      </c>
    </row>
    <row r="14764">
      <c r="A14764" t="str">
        <f>IFERROR(__xludf.DUMMYFUNCTION("""COMPUTED_VALUE"""),"TO013BB")</f>
        <v>TO013BB</v>
      </c>
      <c r="B14764" s="226" t="str">
        <f>IFERROR(__xludf.DUMMYFUNCTION("""COMPUTED_VALUE"""),"8717323007600")</f>
        <v>8717323007600</v>
      </c>
      <c r="C14764" t="str">
        <f>IFERROR(__xludf.DUMMYFUNCTION("""COMPUTED_VALUE"""),"ECS")</f>
        <v>ECS</v>
      </c>
    </row>
    <row r="14765">
      <c r="A14765" t="str">
        <f>IFERROR(__xludf.DUMMYFUNCTION("""COMPUTED_VALUE"""),"TO072BB")</f>
        <v>TO072BB</v>
      </c>
      <c r="B14765" s="226" t="str">
        <f>IFERROR(__xludf.DUMMYFUNCTION("""COMPUTED_VALUE"""),"8717323007730")</f>
        <v>8717323007730</v>
      </c>
      <c r="C14765" t="str">
        <f>IFERROR(__xludf.DUMMYFUNCTION("""COMPUTED_VALUE"""),"ECS")</f>
        <v>ECS</v>
      </c>
    </row>
    <row r="14766">
      <c r="A14766" t="str">
        <f>IFERROR(__xludf.DUMMYFUNCTION("""COMPUTED_VALUE"""),"TO072BL")</f>
        <v>TO072BL</v>
      </c>
      <c r="B14766" s="226" t="str">
        <f>IFERROR(__xludf.DUMMYFUNCTION("""COMPUTED_VALUE"""),"8717323021781")</f>
        <v>8717323021781</v>
      </c>
      <c r="C14766" t="str">
        <f>IFERROR(__xludf.DUMMYFUNCTION("""COMPUTED_VALUE"""),"ECS")</f>
        <v>ECS</v>
      </c>
    </row>
    <row r="14767">
      <c r="A14767" t="str">
        <f>IFERROR(__xludf.DUMMYFUNCTION("""COMPUTED_VALUE"""),"TO072DL")</f>
        <v>TO072DL</v>
      </c>
      <c r="B14767" s="226" t="str">
        <f>IFERROR(__xludf.DUMMYFUNCTION("""COMPUTED_VALUE"""),"8717323021798")</f>
        <v>8717323021798</v>
      </c>
      <c r="C14767" t="str">
        <f>IFERROR(__xludf.DUMMYFUNCTION("""COMPUTED_VALUE"""),"ECS")</f>
        <v>ECS</v>
      </c>
    </row>
    <row r="14768">
      <c r="A14768" t="str">
        <f>IFERROR(__xludf.DUMMYFUNCTION("""COMPUTED_VALUE"""),"TO139BB")</f>
        <v>TO139BB</v>
      </c>
      <c r="B14768" s="226" t="str">
        <f>IFERROR(__xludf.DUMMYFUNCTION("""COMPUTED_VALUE"""),"8717323013366")</f>
        <v>8717323013366</v>
      </c>
      <c r="C14768" t="str">
        <f>IFERROR(__xludf.DUMMYFUNCTION("""COMPUTED_VALUE"""),"ECS")</f>
        <v>ECS</v>
      </c>
    </row>
    <row r="14769">
      <c r="A14769" t="str">
        <f>IFERROR(__xludf.DUMMYFUNCTION("""COMPUTED_VALUE"""),"TO139DB")</f>
        <v>TO139DB</v>
      </c>
      <c r="B14769" s="226" t="str">
        <f>IFERROR(__xludf.DUMMYFUNCTION("""COMPUTED_VALUE"""),"8717323013380")</f>
        <v>8717323013380</v>
      </c>
      <c r="C14769" t="str">
        <f>IFERROR(__xludf.DUMMYFUNCTION("""COMPUTED_VALUE"""),"ECS")</f>
        <v>ECS</v>
      </c>
    </row>
    <row r="14770">
      <c r="A14770" t="str">
        <f>IFERROR(__xludf.DUMMYFUNCTION("""COMPUTED_VALUE"""),"TO154BB")</f>
        <v>TO154BB</v>
      </c>
      <c r="B14770" s="226" t="str">
        <f>IFERROR(__xludf.DUMMYFUNCTION("""COMPUTED_VALUE"""),"8717323017371")</f>
        <v>8717323017371</v>
      </c>
      <c r="C14770" t="str">
        <f>IFERROR(__xludf.DUMMYFUNCTION("""COMPUTED_VALUE"""),"ECS")</f>
        <v>ECS</v>
      </c>
    </row>
    <row r="14771">
      <c r="A14771" t="str">
        <f>IFERROR(__xludf.DUMMYFUNCTION("""COMPUTED_VALUE"""),"TO154BL")</f>
        <v>TO154BL</v>
      </c>
      <c r="B14771" s="226" t="str">
        <f>IFERROR(__xludf.DUMMYFUNCTION("""COMPUTED_VALUE"""),"8717323049679")</f>
        <v>8717323049679</v>
      </c>
      <c r="C14771" t="str">
        <f>IFERROR(__xludf.DUMMYFUNCTION("""COMPUTED_VALUE"""),"ECS")</f>
        <v>ECS</v>
      </c>
    </row>
    <row r="14772">
      <c r="A14772" t="str">
        <f>IFERROR(__xludf.DUMMYFUNCTION("""COMPUTED_VALUE"""),"TO154DH")</f>
        <v>TO154DH</v>
      </c>
      <c r="B14772" s="226" t="str">
        <f>IFERROR(__xludf.DUMMYFUNCTION("""COMPUTED_VALUE"""),"8717323017388")</f>
        <v>8717323017388</v>
      </c>
      <c r="C14772" t="str">
        <f>IFERROR(__xludf.DUMMYFUNCTION("""COMPUTED_VALUE"""),"ECS")</f>
        <v>ECS</v>
      </c>
    </row>
    <row r="14773">
      <c r="A14773" t="str">
        <f>IFERROR(__xludf.DUMMYFUNCTION("""COMPUTED_VALUE"""),"TO223BH")</f>
        <v>TO223BH</v>
      </c>
      <c r="B14773" s="226" t="str">
        <f>IFERROR(__xludf.DUMMYFUNCTION("""COMPUTED_VALUE"""),"8717323046180")</f>
        <v>8717323046180</v>
      </c>
      <c r="C14773" t="str">
        <f>IFERROR(__xludf.DUMMYFUNCTION("""COMPUTED_VALUE"""),"ECS")</f>
        <v>ECS</v>
      </c>
    </row>
    <row r="14774">
      <c r="A14774" t="str">
        <f>IFERROR(__xludf.DUMMYFUNCTION("""COMPUTED_VALUE"""),"TO223DH")</f>
        <v>TO223DH</v>
      </c>
      <c r="B14774" s="226" t="str">
        <f>IFERROR(__xludf.DUMMYFUNCTION("""COMPUTED_VALUE"""),"8717323046197")</f>
        <v>8717323046197</v>
      </c>
      <c r="C14774" t="str">
        <f>IFERROR(__xludf.DUMMYFUNCTION("""COMPUTED_VALUE"""),"ECS")</f>
        <v>ECS</v>
      </c>
    </row>
    <row r="14775">
      <c r="A14775" t="str">
        <f>IFERROR(__xludf.DUMMYFUNCTION("""COMPUTED_VALUE"""),"TO223BH")</f>
        <v>TO223BH</v>
      </c>
      <c r="B14775" s="226" t="str">
        <f>IFERROR(__xludf.DUMMYFUNCTION("""COMPUTED_VALUE"""),"8717323046180")</f>
        <v>8717323046180</v>
      </c>
      <c r="C14775" t="str">
        <f>IFERROR(__xludf.DUMMYFUNCTION("""COMPUTED_VALUE"""),"ECS")</f>
        <v>ECS</v>
      </c>
    </row>
    <row r="14776">
      <c r="A14776" t="str">
        <f>IFERROR(__xludf.DUMMYFUNCTION("""COMPUTED_VALUE"""),"TO223DH")</f>
        <v>TO223DH</v>
      </c>
      <c r="B14776" s="226" t="str">
        <f>IFERROR(__xludf.DUMMYFUNCTION("""COMPUTED_VALUE"""),"8717323046197")</f>
        <v>8717323046197</v>
      </c>
      <c r="C14776" t="str">
        <f>IFERROR(__xludf.DUMMYFUNCTION("""COMPUTED_VALUE"""),"ECS")</f>
        <v>ECS</v>
      </c>
    </row>
    <row r="14777">
      <c r="A14777" t="str">
        <f>IFERROR(__xludf.DUMMYFUNCTION("""COMPUTED_VALUE"""),"TO295BH")</f>
        <v>TO295BH</v>
      </c>
      <c r="C14777" t="str">
        <f>IFERROR(__xludf.DUMMYFUNCTION("""COMPUTED_VALUE"""),"ECS")</f>
        <v>ECS</v>
      </c>
    </row>
    <row r="14778">
      <c r="A14778" t="str">
        <f>IFERROR(__xludf.DUMMYFUNCTION("""COMPUTED_VALUE"""),"TO295DH")</f>
        <v>TO295DH</v>
      </c>
      <c r="C14778" t="str">
        <f>IFERROR(__xludf.DUMMYFUNCTION("""COMPUTED_VALUE"""),"ECS")</f>
        <v>ECS</v>
      </c>
    </row>
    <row r="14779">
      <c r="A14779" t="str">
        <f>IFERROR(__xludf.DUMMYFUNCTION("""COMPUTED_VALUE"""),"TOY062B")</f>
        <v>TOY062B</v>
      </c>
      <c r="B14779" s="226" t="str">
        <f>IFERROR(__xludf.DUMMYFUNCTION("""COMPUTED_VALUE"""),"8717323008140")</f>
        <v>8717323008140</v>
      </c>
      <c r="C14779" t="str">
        <f>IFERROR(__xludf.DUMMYFUNCTION("""COMPUTED_VALUE"""),"ECS")</f>
        <v>ECS</v>
      </c>
    </row>
    <row r="14780">
      <c r="A14780" t="str">
        <f>IFERROR(__xludf.DUMMYFUNCTION("""COMPUTED_VALUE"""),"TO151BB")</f>
        <v>TO151BB</v>
      </c>
      <c r="B14780" s="226" t="str">
        <f>IFERROR(__xludf.DUMMYFUNCTION("""COMPUTED_VALUE"""),"8717323017272")</f>
        <v>8717323017272</v>
      </c>
      <c r="C14780" t="str">
        <f>IFERROR(__xludf.DUMMYFUNCTION("""COMPUTED_VALUE"""),"ECS")</f>
        <v>ECS</v>
      </c>
    </row>
    <row r="14781">
      <c r="A14781" t="str">
        <f>IFERROR(__xludf.DUMMYFUNCTION("""COMPUTED_VALUE"""),"TO151DH")</f>
        <v>TO151DH</v>
      </c>
      <c r="B14781" s="226" t="str">
        <f>IFERROR(__xludf.DUMMYFUNCTION("""COMPUTED_VALUE"""),"8717323017289")</f>
        <v>8717323017289</v>
      </c>
      <c r="C14781" t="str">
        <f>IFERROR(__xludf.DUMMYFUNCTION("""COMPUTED_VALUE"""),"ECS")</f>
        <v>ECS</v>
      </c>
    </row>
    <row r="14782">
      <c r="A14782" t="str">
        <f>IFERROR(__xludf.DUMMYFUNCTION("""COMPUTED_VALUE"""),"TO132BB")</f>
        <v>TO132BB</v>
      </c>
      <c r="B14782" s="226" t="str">
        <f>IFERROR(__xludf.DUMMYFUNCTION("""COMPUTED_VALUE"""),"8717323012086")</f>
        <v>8717323012086</v>
      </c>
      <c r="C14782" t="str">
        <f>IFERROR(__xludf.DUMMYFUNCTION("""COMPUTED_VALUE"""),"ECS")</f>
        <v>ECS</v>
      </c>
    </row>
    <row r="14783">
      <c r="A14783" t="str">
        <f>IFERROR(__xludf.DUMMYFUNCTION("""COMPUTED_VALUE"""),"TO132BL")</f>
        <v>TO132BL</v>
      </c>
      <c r="B14783" s="226" t="str">
        <f>IFERROR(__xludf.DUMMYFUNCTION("""COMPUTED_VALUE"""),"8717323012093")</f>
        <v>8717323012093</v>
      </c>
      <c r="C14783" t="str">
        <f>IFERROR(__xludf.DUMMYFUNCTION("""COMPUTED_VALUE"""),"ECS")</f>
        <v>ECS</v>
      </c>
    </row>
    <row r="14784">
      <c r="A14784" t="str">
        <f>IFERROR(__xludf.DUMMYFUNCTION("""COMPUTED_VALUE"""),"TO132DB")</f>
        <v>TO132DB</v>
      </c>
      <c r="B14784" s="226" t="str">
        <f>IFERROR(__xludf.DUMMYFUNCTION("""COMPUTED_VALUE"""),"8717323012109")</f>
        <v>8717323012109</v>
      </c>
      <c r="C14784" t="str">
        <f>IFERROR(__xludf.DUMMYFUNCTION("""COMPUTED_VALUE"""),"ECS")</f>
        <v>ECS</v>
      </c>
    </row>
    <row r="14785">
      <c r="A14785" t="str">
        <f>IFERROR(__xludf.DUMMYFUNCTION("""COMPUTED_VALUE"""),"TO132DL")</f>
        <v>TO132DL</v>
      </c>
      <c r="B14785" s="226" t="str">
        <f>IFERROR(__xludf.DUMMYFUNCTION("""COMPUTED_VALUE"""),"8717323012116")</f>
        <v>8717323012116</v>
      </c>
      <c r="C14785" t="str">
        <f>IFERROR(__xludf.DUMMYFUNCTION("""COMPUTED_VALUE"""),"ECS")</f>
        <v>ECS</v>
      </c>
    </row>
    <row r="14786">
      <c r="A14786" t="str">
        <f>IFERROR(__xludf.DUMMYFUNCTION("""COMPUTED_VALUE"""),"TO156DH")</f>
        <v>TO156DH</v>
      </c>
      <c r="B14786" s="226" t="str">
        <f>IFERROR(__xludf.DUMMYFUNCTION("""COMPUTED_VALUE"""),"8717323017678")</f>
        <v>8717323017678</v>
      </c>
      <c r="C14786" t="str">
        <f>IFERROR(__xludf.DUMMYFUNCTION("""COMPUTED_VALUE"""),"ECS")</f>
        <v>ECS</v>
      </c>
    </row>
    <row r="14787">
      <c r="A14787" t="str">
        <f>IFERROR(__xludf.DUMMYFUNCTION("""COMPUTED_VALUE"""),"TO192BB")</f>
        <v>TO192BB</v>
      </c>
      <c r="B14787" s="226" t="str">
        <f>IFERROR(__xludf.DUMMYFUNCTION("""COMPUTED_VALUE"""),"8717323024843")</f>
        <v>8717323024843</v>
      </c>
      <c r="C14787" t="str">
        <f>IFERROR(__xludf.DUMMYFUNCTION("""COMPUTED_VALUE"""),"ECS")</f>
        <v>ECS</v>
      </c>
    </row>
    <row r="14788">
      <c r="A14788" t="str">
        <f>IFERROR(__xludf.DUMMYFUNCTION("""COMPUTED_VALUE"""),"TO192DH")</f>
        <v>TO192DH</v>
      </c>
      <c r="B14788" s="226" t="str">
        <f>IFERROR(__xludf.DUMMYFUNCTION("""COMPUTED_VALUE"""),"8717323032787")</f>
        <v>8717323032787</v>
      </c>
      <c r="C14788" t="str">
        <f>IFERROR(__xludf.DUMMYFUNCTION("""COMPUTED_VALUE"""),"ECS")</f>
        <v>ECS</v>
      </c>
    </row>
    <row r="14789">
      <c r="A14789" t="str">
        <f>IFERROR(__xludf.DUMMYFUNCTION("""COMPUTED_VALUE"""),"TO020BB")</f>
        <v>TO020BB</v>
      </c>
      <c r="B14789" s="226" t="str">
        <f>IFERROR(__xludf.DUMMYFUNCTION("""COMPUTED_VALUE"""),"8717323007648")</f>
        <v>8717323007648</v>
      </c>
      <c r="C14789" t="str">
        <f>IFERROR(__xludf.DUMMYFUNCTION("""COMPUTED_VALUE"""),"ECS")</f>
        <v>ECS</v>
      </c>
    </row>
    <row r="14790">
      <c r="A14790" t="str">
        <f>IFERROR(__xludf.DUMMYFUNCTION("""COMPUTED_VALUE"""),"TO020DL")</f>
        <v>TO020DL</v>
      </c>
      <c r="B14790" s="226" t="str">
        <f>IFERROR(__xludf.DUMMYFUNCTION("""COMPUTED_VALUE"""),"8717323021705")</f>
        <v>8717323021705</v>
      </c>
      <c r="C14790" t="str">
        <f>IFERROR(__xludf.DUMMYFUNCTION("""COMPUTED_VALUE"""),"ECS")</f>
        <v>ECS</v>
      </c>
    </row>
    <row r="14791">
      <c r="A14791" t="str">
        <f>IFERROR(__xludf.DUMMYFUNCTION("""COMPUTED_VALUE"""),"TO088BB")</f>
        <v>TO088BB</v>
      </c>
      <c r="B14791" s="226" t="str">
        <f>IFERROR(__xludf.DUMMYFUNCTION("""COMPUTED_VALUE"""),"8717323007754")</f>
        <v>8717323007754</v>
      </c>
      <c r="C14791" t="str">
        <f>IFERROR(__xludf.DUMMYFUNCTION("""COMPUTED_VALUE"""),"ECS")</f>
        <v>ECS</v>
      </c>
    </row>
    <row r="14792">
      <c r="A14792" t="str">
        <f>IFERROR(__xludf.DUMMYFUNCTION("""COMPUTED_VALUE"""),"TO088BL")</f>
        <v>TO088BL</v>
      </c>
      <c r="B14792" s="226" t="str">
        <f>IFERROR(__xludf.DUMMYFUNCTION("""COMPUTED_VALUE"""),"8717323021873")</f>
        <v>8717323021873</v>
      </c>
      <c r="C14792" t="str">
        <f>IFERROR(__xludf.DUMMYFUNCTION("""COMPUTED_VALUE"""),"ECS")</f>
        <v>ECS</v>
      </c>
    </row>
    <row r="14793">
      <c r="A14793" t="str">
        <f>IFERROR(__xludf.DUMMYFUNCTION("""COMPUTED_VALUE"""),"TO138BB")</f>
        <v>TO138BB</v>
      </c>
      <c r="B14793" s="226" t="str">
        <f>IFERROR(__xludf.DUMMYFUNCTION("""COMPUTED_VALUE"""),"8717323013151")</f>
        <v>8717323013151</v>
      </c>
      <c r="C14793" t="str">
        <f>IFERROR(__xludf.DUMMYFUNCTION("""COMPUTED_VALUE"""),"ECS")</f>
        <v>ECS</v>
      </c>
    </row>
    <row r="14794">
      <c r="A14794" t="str">
        <f>IFERROR(__xludf.DUMMYFUNCTION("""COMPUTED_VALUE"""),"TO138DL")</f>
        <v>TO138DL</v>
      </c>
      <c r="B14794" s="226" t="str">
        <f>IFERROR(__xludf.DUMMYFUNCTION("""COMPUTED_VALUE"""),"8717323013168")</f>
        <v>8717323013168</v>
      </c>
      <c r="C14794" t="str">
        <f>IFERROR(__xludf.DUMMYFUNCTION("""COMPUTED_VALUE"""),"ECS")</f>
        <v>ECS</v>
      </c>
    </row>
    <row r="14795">
      <c r="A14795" t="str">
        <f>IFERROR(__xludf.DUMMYFUNCTION("""COMPUTED_VALUE"""),"TO214BB")</f>
        <v>TO214BB</v>
      </c>
      <c r="B14795" s="226" t="str">
        <f>IFERROR(__xludf.DUMMYFUNCTION("""COMPUTED_VALUE"""),"8717323028247")</f>
        <v>8717323028247</v>
      </c>
      <c r="C14795" t="str">
        <f>IFERROR(__xludf.DUMMYFUNCTION("""COMPUTED_VALUE"""),"ECS")</f>
        <v>ECS</v>
      </c>
    </row>
    <row r="14796">
      <c r="A14796" t="str">
        <f>IFERROR(__xludf.DUMMYFUNCTION("""COMPUTED_VALUE"""),"TO214DL")</f>
        <v>TO214DL</v>
      </c>
      <c r="B14796" s="226" t="str">
        <f>IFERROR(__xludf.DUMMYFUNCTION("""COMPUTED_VALUE"""),"8717323029732")</f>
        <v>8717323029732</v>
      </c>
      <c r="C14796" t="str">
        <f>IFERROR(__xludf.DUMMYFUNCTION("""COMPUTED_VALUE"""),"ECS")</f>
        <v>ECS</v>
      </c>
    </row>
    <row r="14797">
      <c r="A14797" t="str">
        <f>IFERROR(__xludf.DUMMYFUNCTION("""COMPUTED_VALUE"""),"TO242BB")</f>
        <v>TO242BB</v>
      </c>
      <c r="B14797" s="226" t="str">
        <f>IFERROR(__xludf.DUMMYFUNCTION("""COMPUTED_VALUE"""),"8717323050293")</f>
        <v>8717323050293</v>
      </c>
      <c r="C14797" t="str">
        <f>IFERROR(__xludf.DUMMYFUNCTION("""COMPUTED_VALUE"""),"ECS")</f>
        <v>ECS</v>
      </c>
    </row>
    <row r="14798">
      <c r="A14798" t="str">
        <f>IFERROR(__xludf.DUMMYFUNCTION("""COMPUTED_VALUE"""),"TO242DH")</f>
        <v>TO242DH</v>
      </c>
      <c r="B14798" s="226" t="str">
        <f>IFERROR(__xludf.DUMMYFUNCTION("""COMPUTED_VALUE"""),"8717323050309")</f>
        <v>8717323050309</v>
      </c>
      <c r="C14798" t="str">
        <f>IFERROR(__xludf.DUMMYFUNCTION("""COMPUTED_VALUE"""),"ECS")</f>
        <v>ECS</v>
      </c>
    </row>
    <row r="14799">
      <c r="A14799" t="str">
        <f>IFERROR(__xludf.DUMMYFUNCTION("""COMPUTED_VALUE"""),"TO278BH")</f>
        <v>TO278BH</v>
      </c>
      <c r="B14799" s="226" t="str">
        <f>IFERROR(__xludf.DUMMYFUNCTION("""COMPUTED_VALUE"""),"8717323063248")</f>
        <v>8717323063248</v>
      </c>
      <c r="C14799" t="str">
        <f>IFERROR(__xludf.DUMMYFUNCTION("""COMPUTED_VALUE"""),"ECS")</f>
        <v>ECS</v>
      </c>
    </row>
    <row r="14800">
      <c r="A14800" t="str">
        <f>IFERROR(__xludf.DUMMYFUNCTION("""COMPUTED_VALUE"""),"TO278DH")</f>
        <v>TO278DH</v>
      </c>
      <c r="B14800" s="226" t="str">
        <f>IFERROR(__xludf.DUMMYFUNCTION("""COMPUTED_VALUE"""),"8717323063255")</f>
        <v>8717323063255</v>
      </c>
      <c r="C14800" t="str">
        <f>IFERROR(__xludf.DUMMYFUNCTION("""COMPUTED_VALUE"""),"ECS")</f>
        <v>ECS</v>
      </c>
    </row>
    <row r="14801">
      <c r="A14801" t="str">
        <f>IFERROR(__xludf.DUMMYFUNCTION("""COMPUTED_VALUE"""),"TO138BB")</f>
        <v>TO138BB</v>
      </c>
      <c r="B14801" s="226" t="str">
        <f>IFERROR(__xludf.DUMMYFUNCTION("""COMPUTED_VALUE"""),"8717323013151")</f>
        <v>8717323013151</v>
      </c>
      <c r="C14801" t="str">
        <f>IFERROR(__xludf.DUMMYFUNCTION("""COMPUTED_VALUE"""),"ECS")</f>
        <v>ECS</v>
      </c>
    </row>
    <row r="14802">
      <c r="A14802" t="str">
        <f>IFERROR(__xludf.DUMMYFUNCTION("""COMPUTED_VALUE"""),"TO138DL")</f>
        <v>TO138DL</v>
      </c>
      <c r="B14802" s="226" t="str">
        <f>IFERROR(__xludf.DUMMYFUNCTION("""COMPUTED_VALUE"""),"8717323013168")</f>
        <v>8717323013168</v>
      </c>
      <c r="C14802" t="str">
        <f>IFERROR(__xludf.DUMMYFUNCTION("""COMPUTED_VALUE"""),"ECS")</f>
        <v>ECS</v>
      </c>
    </row>
    <row r="14803">
      <c r="A14803" t="str">
        <f>IFERROR(__xludf.DUMMYFUNCTION("""COMPUTED_VALUE"""),"TO214BB")</f>
        <v>TO214BB</v>
      </c>
      <c r="B14803" s="226" t="str">
        <f>IFERROR(__xludf.DUMMYFUNCTION("""COMPUTED_VALUE"""),"8717323028247")</f>
        <v>8717323028247</v>
      </c>
      <c r="C14803" t="str">
        <f>IFERROR(__xludf.DUMMYFUNCTION("""COMPUTED_VALUE"""),"ECS")</f>
        <v>ECS</v>
      </c>
    </row>
    <row r="14804">
      <c r="A14804" t="str">
        <f>IFERROR(__xludf.DUMMYFUNCTION("""COMPUTED_VALUE"""),"TO214DL")</f>
        <v>TO214DL</v>
      </c>
      <c r="B14804" s="226" t="str">
        <f>IFERROR(__xludf.DUMMYFUNCTION("""COMPUTED_VALUE"""),"8717323029732")</f>
        <v>8717323029732</v>
      </c>
      <c r="C14804" t="str">
        <f>IFERROR(__xludf.DUMMYFUNCTION("""COMPUTED_VALUE"""),"ECS")</f>
        <v>ECS</v>
      </c>
    </row>
    <row r="14805">
      <c r="A14805" t="str">
        <f>IFERROR(__xludf.DUMMYFUNCTION("""COMPUTED_VALUE"""),"TO242BB")</f>
        <v>TO242BB</v>
      </c>
      <c r="B14805" s="226" t="str">
        <f>IFERROR(__xludf.DUMMYFUNCTION("""COMPUTED_VALUE"""),"8717323050293")</f>
        <v>8717323050293</v>
      </c>
      <c r="C14805" t="str">
        <f>IFERROR(__xludf.DUMMYFUNCTION("""COMPUTED_VALUE"""),"ECS")</f>
        <v>ECS</v>
      </c>
    </row>
    <row r="14806">
      <c r="A14806" t="str">
        <f>IFERROR(__xludf.DUMMYFUNCTION("""COMPUTED_VALUE"""),"TO242DH")</f>
        <v>TO242DH</v>
      </c>
      <c r="B14806" s="226" t="str">
        <f>IFERROR(__xludf.DUMMYFUNCTION("""COMPUTED_VALUE"""),"8717323050309")</f>
        <v>8717323050309</v>
      </c>
      <c r="C14806" t="str">
        <f>IFERROR(__xludf.DUMMYFUNCTION("""COMPUTED_VALUE"""),"ECS")</f>
        <v>ECS</v>
      </c>
    </row>
    <row r="14807">
      <c r="A14807" t="str">
        <f>IFERROR(__xludf.DUMMYFUNCTION("""COMPUTED_VALUE"""),"TO278BH")</f>
        <v>TO278BH</v>
      </c>
      <c r="B14807" s="226" t="str">
        <f>IFERROR(__xludf.DUMMYFUNCTION("""COMPUTED_VALUE"""),"8717323063248")</f>
        <v>8717323063248</v>
      </c>
      <c r="C14807" t="str">
        <f>IFERROR(__xludf.DUMMYFUNCTION("""COMPUTED_VALUE"""),"ECS")</f>
        <v>ECS</v>
      </c>
    </row>
    <row r="14808">
      <c r="A14808" t="str">
        <f>IFERROR(__xludf.DUMMYFUNCTION("""COMPUTED_VALUE"""),"TO278DH")</f>
        <v>TO278DH</v>
      </c>
      <c r="B14808" s="226" t="str">
        <f>IFERROR(__xludf.DUMMYFUNCTION("""COMPUTED_VALUE"""),"8717323063255")</f>
        <v>8717323063255</v>
      </c>
      <c r="C14808" t="str">
        <f>IFERROR(__xludf.DUMMYFUNCTION("""COMPUTED_VALUE"""),"ECS")</f>
        <v>ECS</v>
      </c>
    </row>
    <row r="14809">
      <c r="A14809" t="str">
        <f>IFERROR(__xludf.DUMMYFUNCTION("""COMPUTED_VALUE"""),"VW120B1")</f>
        <v>VW120B1</v>
      </c>
      <c r="B14809" s="226" t="str">
        <f>IFERROR(__xludf.DUMMYFUNCTION("""COMPUTED_VALUE"""),"8717323035559")</f>
        <v>8717323035559</v>
      </c>
      <c r="C14809" t="str">
        <f>IFERROR(__xludf.DUMMYFUNCTION("""COMPUTED_VALUE"""),"ECS")</f>
        <v>ECS</v>
      </c>
    </row>
    <row r="14810">
      <c r="A14810" t="str">
        <f>IFERROR(__xludf.DUMMYFUNCTION("""COMPUTED_VALUE"""),"VW120D1")</f>
        <v>VW120D1</v>
      </c>
      <c r="B14810" s="226" t="str">
        <f>IFERROR(__xludf.DUMMYFUNCTION("""COMPUTED_VALUE"""),"8717323029848")</f>
        <v>8717323029848</v>
      </c>
      <c r="C14810" t="str">
        <f>IFERROR(__xludf.DUMMYFUNCTION("""COMPUTED_VALUE"""),"ECS")</f>
        <v>ECS</v>
      </c>
    </row>
    <row r="14811">
      <c r="A14811" t="str">
        <f>IFERROR(__xludf.DUMMYFUNCTION("""COMPUTED_VALUE"""),"VW146B1")</f>
        <v>VW146B1</v>
      </c>
      <c r="B14811" s="226" t="str">
        <f>IFERROR(__xludf.DUMMYFUNCTION("""COMPUTED_VALUE"""),"8717323050644")</f>
        <v>8717323050644</v>
      </c>
      <c r="C14811" t="str">
        <f>IFERROR(__xludf.DUMMYFUNCTION("""COMPUTED_VALUE"""),"ECS")</f>
        <v>ECS</v>
      </c>
    </row>
    <row r="14812">
      <c r="A14812" t="str">
        <f>IFERROR(__xludf.DUMMYFUNCTION("""COMPUTED_VALUE"""),"VW146D1")</f>
        <v>VW146D1</v>
      </c>
      <c r="B14812" s="226" t="str">
        <f>IFERROR(__xludf.DUMMYFUNCTION("""COMPUTED_VALUE"""),"8717323050651")</f>
        <v>8717323050651</v>
      </c>
      <c r="C14812" t="str">
        <f>IFERROR(__xludf.DUMMYFUNCTION("""COMPUTED_VALUE"""),"ECS")</f>
        <v>ECS</v>
      </c>
    </row>
    <row r="14813">
      <c r="A14813" t="str">
        <f>IFERROR(__xludf.DUMMYFUNCTION("""COMPUTED_VALUE"""),"VW190B1")</f>
        <v>VW190B1</v>
      </c>
      <c r="B14813" s="226" t="str">
        <f>IFERROR(__xludf.DUMMYFUNCTION("""COMPUTED_VALUE"""),"8717323061039")</f>
        <v>8717323061039</v>
      </c>
      <c r="C14813" t="str">
        <f>IFERROR(__xludf.DUMMYFUNCTION("""COMPUTED_VALUE"""),"ECS")</f>
        <v>ECS</v>
      </c>
    </row>
    <row r="14814">
      <c r="A14814" t="str">
        <f>IFERROR(__xludf.DUMMYFUNCTION("""COMPUTED_VALUE"""),"VW190H1")</f>
        <v>VW190H1</v>
      </c>
      <c r="B14814" s="226" t="str">
        <f>IFERROR(__xludf.DUMMYFUNCTION("""COMPUTED_VALUE"""),"8717323060957")</f>
        <v>8717323060957</v>
      </c>
      <c r="C14814" t="str">
        <f>IFERROR(__xludf.DUMMYFUNCTION("""COMPUTED_VALUE"""),"ECS")</f>
        <v>ECS</v>
      </c>
    </row>
    <row r="14815">
      <c r="A14815" t="str">
        <f>IFERROR(__xludf.DUMMYFUNCTION("""COMPUTED_VALUE"""),"VW004BB")</f>
        <v>VW004BB</v>
      </c>
      <c r="B14815" s="226" t="str">
        <f>IFERROR(__xludf.DUMMYFUNCTION("""COMPUTED_VALUE"""),"8717323009055")</f>
        <v>8717323009055</v>
      </c>
      <c r="C14815" t="str">
        <f>IFERROR(__xludf.DUMMYFUNCTION("""COMPUTED_VALUE"""),"ECS")</f>
        <v>ECS</v>
      </c>
    </row>
    <row r="14816">
      <c r="A14816" t="str">
        <f>IFERROR(__xludf.DUMMYFUNCTION("""COMPUTED_VALUE"""),"VW005BB")</f>
        <v>VW005BB</v>
      </c>
      <c r="B14816" s="226" t="str">
        <f>IFERROR(__xludf.DUMMYFUNCTION("""COMPUTED_VALUE"""),"8717323009079")</f>
        <v>8717323009079</v>
      </c>
      <c r="C14816" t="str">
        <f>IFERROR(__xludf.DUMMYFUNCTION("""COMPUTED_VALUE"""),"ECS")</f>
        <v>ECS</v>
      </c>
    </row>
    <row r="14817">
      <c r="A14817" t="str">
        <f>IFERROR(__xludf.DUMMYFUNCTION("""COMPUTED_VALUE"""),"VW005DL")</f>
        <v>VW005DL</v>
      </c>
      <c r="B14817" s="226" t="str">
        <f>IFERROR(__xludf.DUMMYFUNCTION("""COMPUTED_VALUE"""),"8717323027905")</f>
        <v>8717323027905</v>
      </c>
      <c r="C14817" t="str">
        <f>IFERROR(__xludf.DUMMYFUNCTION("""COMPUTED_VALUE"""),"ECS")</f>
        <v>ECS</v>
      </c>
    </row>
    <row r="14818">
      <c r="A14818" t="str">
        <f>IFERROR(__xludf.DUMMYFUNCTION("""COMPUTED_VALUE"""),"VAG038B")</f>
        <v>VAG038B</v>
      </c>
      <c r="B14818" s="226" t="str">
        <f>IFERROR(__xludf.DUMMYFUNCTION("""COMPUTED_VALUE"""),"8717323008522")</f>
        <v>8717323008522</v>
      </c>
      <c r="C14818" t="str">
        <f>IFERROR(__xludf.DUMMYFUNCTION("""COMPUTED_VALUE"""),"ECS")</f>
        <v>ECS</v>
      </c>
    </row>
    <row r="14819">
      <c r="A14819" t="str">
        <f>IFERROR(__xludf.DUMMYFUNCTION("""COMPUTED_VALUE"""),"VAG038B")</f>
        <v>VAG038B</v>
      </c>
      <c r="B14819" s="226" t="str">
        <f>IFERROR(__xludf.DUMMYFUNCTION("""COMPUTED_VALUE"""),"8717323008522")</f>
        <v>8717323008522</v>
      </c>
      <c r="C14819" t="str">
        <f>IFERROR(__xludf.DUMMYFUNCTION("""COMPUTED_VALUE"""),"ECS")</f>
        <v>ECS</v>
      </c>
    </row>
    <row r="14820">
      <c r="A14820" t="str">
        <f>IFERROR(__xludf.DUMMYFUNCTION("""COMPUTED_VALUE"""),"VW106B1")</f>
        <v>VW106B1</v>
      </c>
      <c r="B14820" s="226" t="str">
        <f>IFERROR(__xludf.DUMMYFUNCTION("""COMPUTED_VALUE"""),"8717323025239")</f>
        <v>8717323025239</v>
      </c>
      <c r="C14820" t="str">
        <f>IFERROR(__xludf.DUMMYFUNCTION("""COMPUTED_VALUE"""),"ECS")</f>
        <v>ECS</v>
      </c>
    </row>
    <row r="14821">
      <c r="A14821" t="str">
        <f>IFERROR(__xludf.DUMMYFUNCTION("""COMPUTED_VALUE"""),"VW106D1")</f>
        <v>VW106D1</v>
      </c>
      <c r="B14821" s="226" t="str">
        <f>IFERROR(__xludf.DUMMYFUNCTION("""COMPUTED_VALUE"""),"8717323024768")</f>
        <v>8717323024768</v>
      </c>
      <c r="C14821" t="str">
        <f>IFERROR(__xludf.DUMMYFUNCTION("""COMPUTED_VALUE"""),"ECS")</f>
        <v>ECS</v>
      </c>
    </row>
    <row r="14822">
      <c r="A14822" t="str">
        <f>IFERROR(__xludf.DUMMYFUNCTION("""COMPUTED_VALUE"""),"VW106B1")</f>
        <v>VW106B1</v>
      </c>
      <c r="B14822" s="226" t="str">
        <f>IFERROR(__xludf.DUMMYFUNCTION("""COMPUTED_VALUE"""),"8717323025239")</f>
        <v>8717323025239</v>
      </c>
      <c r="C14822" t="str">
        <f>IFERROR(__xludf.DUMMYFUNCTION("""COMPUTED_VALUE"""),"ECS")</f>
        <v>ECS</v>
      </c>
    </row>
    <row r="14823">
      <c r="A14823" t="str">
        <f>IFERROR(__xludf.DUMMYFUNCTION("""COMPUTED_VALUE"""),"VW106D1")</f>
        <v>VW106D1</v>
      </c>
      <c r="B14823" s="226" t="str">
        <f>IFERROR(__xludf.DUMMYFUNCTION("""COMPUTED_VALUE"""),"8717323024768")</f>
        <v>8717323024768</v>
      </c>
      <c r="C14823" t="str">
        <f>IFERROR(__xludf.DUMMYFUNCTION("""COMPUTED_VALUE"""),"ECS")</f>
        <v>ECS</v>
      </c>
    </row>
    <row r="14824">
      <c r="A14824" t="str">
        <f>IFERROR(__xludf.DUMMYFUNCTION("""COMPUTED_VALUE"""),"VW174B1")</f>
        <v>VW174B1</v>
      </c>
      <c r="B14824" s="226" t="str">
        <f>IFERROR(__xludf.DUMMYFUNCTION("""COMPUTED_VALUE"""),"8717323056172")</f>
        <v>8717323056172</v>
      </c>
      <c r="C14824" t="str">
        <f>IFERROR(__xludf.DUMMYFUNCTION("""COMPUTED_VALUE"""),"ECS")</f>
        <v>ECS</v>
      </c>
    </row>
    <row r="14825">
      <c r="A14825" t="str">
        <f>IFERROR(__xludf.DUMMYFUNCTION("""COMPUTED_VALUE"""),"VW174D1")</f>
        <v>VW174D1</v>
      </c>
      <c r="B14825" s="226" t="str">
        <f>IFERROR(__xludf.DUMMYFUNCTION("""COMPUTED_VALUE"""),"8717323056189")</f>
        <v>8717323056189</v>
      </c>
      <c r="C14825" t="str">
        <f>IFERROR(__xludf.DUMMYFUNCTION("""COMPUTED_VALUE"""),"ECS")</f>
        <v>ECS</v>
      </c>
    </row>
    <row r="14826">
      <c r="A14826" t="str">
        <f>IFERROR(__xludf.DUMMYFUNCTION("""COMPUTED_VALUE"""),"VW174B1")</f>
        <v>VW174B1</v>
      </c>
      <c r="B14826" s="226" t="str">
        <f>IFERROR(__xludf.DUMMYFUNCTION("""COMPUTED_VALUE"""),"8717323056172")</f>
        <v>8717323056172</v>
      </c>
      <c r="C14826" t="str">
        <f>IFERROR(__xludf.DUMMYFUNCTION("""COMPUTED_VALUE"""),"ECS")</f>
        <v>ECS</v>
      </c>
    </row>
    <row r="14827">
      <c r="A14827" t="str">
        <f>IFERROR(__xludf.DUMMYFUNCTION("""COMPUTED_VALUE"""),"VW174D1")</f>
        <v>VW174D1</v>
      </c>
      <c r="B14827" s="226" t="str">
        <f>IFERROR(__xludf.DUMMYFUNCTION("""COMPUTED_VALUE"""),"8717323056189")</f>
        <v>8717323056189</v>
      </c>
      <c r="C14827" t="str">
        <f>IFERROR(__xludf.DUMMYFUNCTION("""COMPUTED_VALUE"""),"ECS")</f>
        <v>ECS</v>
      </c>
    </row>
    <row r="14828">
      <c r="A14828" t="str">
        <f>IFERROR(__xludf.DUMMYFUNCTION("""COMPUTED_VALUE"""),"VW106B1")</f>
        <v>VW106B1</v>
      </c>
      <c r="B14828" s="226" t="str">
        <f>IFERROR(__xludf.DUMMYFUNCTION("""COMPUTED_VALUE"""),"8717323025239")</f>
        <v>8717323025239</v>
      </c>
      <c r="C14828" t="str">
        <f>IFERROR(__xludf.DUMMYFUNCTION("""COMPUTED_VALUE"""),"ECS")</f>
        <v>ECS</v>
      </c>
    </row>
    <row r="14829">
      <c r="A14829" t="str">
        <f>IFERROR(__xludf.DUMMYFUNCTION("""COMPUTED_VALUE"""),"VW106D1")</f>
        <v>VW106D1</v>
      </c>
      <c r="B14829" s="226" t="str">
        <f>IFERROR(__xludf.DUMMYFUNCTION("""COMPUTED_VALUE"""),"8717323024768")</f>
        <v>8717323024768</v>
      </c>
      <c r="C14829" t="str">
        <f>IFERROR(__xludf.DUMMYFUNCTION("""COMPUTED_VALUE"""),"ECS")</f>
        <v>ECS</v>
      </c>
    </row>
    <row r="14830">
      <c r="A14830" t="str">
        <f>IFERROR(__xludf.DUMMYFUNCTION("""COMPUTED_VALUE"""),"VW106B1")</f>
        <v>VW106B1</v>
      </c>
      <c r="B14830" s="226" t="str">
        <f>IFERROR(__xludf.DUMMYFUNCTION("""COMPUTED_VALUE"""),"8717323025239")</f>
        <v>8717323025239</v>
      </c>
      <c r="C14830" t="str">
        <f>IFERROR(__xludf.DUMMYFUNCTION("""COMPUTED_VALUE"""),"ECS")</f>
        <v>ECS</v>
      </c>
    </row>
    <row r="14831">
      <c r="A14831" t="str">
        <f>IFERROR(__xludf.DUMMYFUNCTION("""COMPUTED_VALUE"""),"VW106D1")</f>
        <v>VW106D1</v>
      </c>
      <c r="B14831" s="226" t="str">
        <f>IFERROR(__xludf.DUMMYFUNCTION("""COMPUTED_VALUE"""),"8717323024768")</f>
        <v>8717323024768</v>
      </c>
      <c r="C14831" t="str">
        <f>IFERROR(__xludf.DUMMYFUNCTION("""COMPUTED_VALUE"""),"ECS")</f>
        <v>ECS</v>
      </c>
    </row>
    <row r="14832">
      <c r="A14832" t="str">
        <f>IFERROR(__xludf.DUMMYFUNCTION("""COMPUTED_VALUE"""),"VW127B1")</f>
        <v>VW127B1</v>
      </c>
      <c r="B14832" s="226" t="str">
        <f>IFERROR(__xludf.DUMMYFUNCTION("""COMPUTED_VALUE"""),"8717323046456")</f>
        <v>8717323046456</v>
      </c>
      <c r="C14832" t="str">
        <f>IFERROR(__xludf.DUMMYFUNCTION("""COMPUTED_VALUE"""),"ECS")</f>
        <v>ECS</v>
      </c>
    </row>
    <row r="14833">
      <c r="A14833" t="str">
        <f>IFERROR(__xludf.DUMMYFUNCTION("""COMPUTED_VALUE"""),"VW127D1")</f>
        <v>VW127D1</v>
      </c>
      <c r="B14833" s="226" t="str">
        <f>IFERROR(__xludf.DUMMYFUNCTION("""COMPUTED_VALUE"""),"8717323046463")</f>
        <v>8717323046463</v>
      </c>
      <c r="C14833" t="str">
        <f>IFERROR(__xludf.DUMMYFUNCTION("""COMPUTED_VALUE"""),"ECS")</f>
        <v>ECS</v>
      </c>
    </row>
    <row r="14834">
      <c r="A14834" t="str">
        <f>IFERROR(__xludf.DUMMYFUNCTION("""COMPUTED_VALUE"""),"VW107B1")</f>
        <v>VW107B1</v>
      </c>
      <c r="B14834" s="226" t="str">
        <f>IFERROR(__xludf.DUMMYFUNCTION("""COMPUTED_VALUE"""),"8717323024744")</f>
        <v>8717323024744</v>
      </c>
      <c r="C14834" t="str">
        <f>IFERROR(__xludf.DUMMYFUNCTION("""COMPUTED_VALUE"""),"ECS")</f>
        <v>ECS</v>
      </c>
    </row>
    <row r="14835">
      <c r="A14835" t="str">
        <f>IFERROR(__xludf.DUMMYFUNCTION("""COMPUTED_VALUE"""),"VW107D1")</f>
        <v>VW107D1</v>
      </c>
      <c r="B14835" s="226" t="str">
        <f>IFERROR(__xludf.DUMMYFUNCTION("""COMPUTED_VALUE"""),"8717323025161")</f>
        <v>8717323025161</v>
      </c>
      <c r="C14835" t="str">
        <f>IFERROR(__xludf.DUMMYFUNCTION("""COMPUTED_VALUE"""),"ECS")</f>
        <v>ECS</v>
      </c>
    </row>
    <row r="14836">
      <c r="A14836" t="str">
        <f>IFERROR(__xludf.DUMMYFUNCTION("""COMPUTED_VALUE"""),"VW200B1")</f>
        <v>VW200B1</v>
      </c>
      <c r="B14836" s="226" t="str">
        <f>IFERROR(__xludf.DUMMYFUNCTION("""COMPUTED_VALUE"""),"8717323061121")</f>
        <v>8717323061121</v>
      </c>
      <c r="C14836" t="str">
        <f>IFERROR(__xludf.DUMMYFUNCTION("""COMPUTED_VALUE"""),"ECS")</f>
        <v>ECS</v>
      </c>
    </row>
    <row r="14837">
      <c r="A14837" t="str">
        <f>IFERROR(__xludf.DUMMYFUNCTION("""COMPUTED_VALUE"""),"VW200D1")</f>
        <v>VW200D1</v>
      </c>
      <c r="B14837" s="226" t="str">
        <f>IFERROR(__xludf.DUMMYFUNCTION("""COMPUTED_VALUE"""),"8717323061138")</f>
        <v>8717323061138</v>
      </c>
      <c r="C14837" t="str">
        <f>IFERROR(__xludf.DUMMYFUNCTION("""COMPUTED_VALUE"""),"ECS")</f>
        <v>ECS</v>
      </c>
    </row>
    <row r="14838">
      <c r="A14838" t="str">
        <f>IFERROR(__xludf.DUMMYFUNCTION("""COMPUTED_VALUE"""),"VW201B1")</f>
        <v>VW201B1</v>
      </c>
      <c r="B14838" s="226" t="str">
        <f>IFERROR(__xludf.DUMMYFUNCTION("""COMPUTED_VALUE"""),"8717323061145")</f>
        <v>8717323061145</v>
      </c>
      <c r="C14838" t="str">
        <f>IFERROR(__xludf.DUMMYFUNCTION("""COMPUTED_VALUE"""),"ECS")</f>
        <v>ECS</v>
      </c>
    </row>
    <row r="14839">
      <c r="A14839" t="str">
        <f>IFERROR(__xludf.DUMMYFUNCTION("""COMPUTED_VALUE"""),"VW201H1")</f>
        <v>VW201H1</v>
      </c>
      <c r="B14839" s="226" t="str">
        <f>IFERROR(__xludf.DUMMYFUNCTION("""COMPUTED_VALUE"""),"8717323061152")</f>
        <v>8717323061152</v>
      </c>
      <c r="C14839" t="str">
        <f>IFERROR(__xludf.DUMMYFUNCTION("""COMPUTED_VALUE"""),"ECS")</f>
        <v>ECS</v>
      </c>
    </row>
    <row r="14840">
      <c r="A14840" t="str">
        <f>IFERROR(__xludf.DUMMYFUNCTION("""COMPUTED_VALUE"""),"VW107B1")</f>
        <v>VW107B1</v>
      </c>
      <c r="B14840" s="226" t="str">
        <f>IFERROR(__xludf.DUMMYFUNCTION("""COMPUTED_VALUE"""),"8717323024744")</f>
        <v>8717323024744</v>
      </c>
      <c r="C14840" t="str">
        <f>IFERROR(__xludf.DUMMYFUNCTION("""COMPUTED_VALUE"""),"ECS")</f>
        <v>ECS</v>
      </c>
    </row>
    <row r="14841">
      <c r="A14841" t="str">
        <f>IFERROR(__xludf.DUMMYFUNCTION("""COMPUTED_VALUE"""),"VW107D1")</f>
        <v>VW107D1</v>
      </c>
      <c r="B14841" s="226" t="str">
        <f>IFERROR(__xludf.DUMMYFUNCTION("""COMPUTED_VALUE"""),"8717323025161")</f>
        <v>8717323025161</v>
      </c>
      <c r="C14841" t="str">
        <f>IFERROR(__xludf.DUMMYFUNCTION("""COMPUTED_VALUE"""),"ECS")</f>
        <v>ECS</v>
      </c>
    </row>
    <row r="14842">
      <c r="A14842" t="str">
        <f>IFERROR(__xludf.DUMMYFUNCTION("""COMPUTED_VALUE"""),"VW200B1")</f>
        <v>VW200B1</v>
      </c>
      <c r="B14842" s="226" t="str">
        <f>IFERROR(__xludf.DUMMYFUNCTION("""COMPUTED_VALUE"""),"8717323061121")</f>
        <v>8717323061121</v>
      </c>
      <c r="C14842" t="str">
        <f>IFERROR(__xludf.DUMMYFUNCTION("""COMPUTED_VALUE"""),"ECS")</f>
        <v>ECS</v>
      </c>
    </row>
    <row r="14843">
      <c r="A14843" t="str">
        <f>IFERROR(__xludf.DUMMYFUNCTION("""COMPUTED_VALUE"""),"VW200D1")</f>
        <v>VW200D1</v>
      </c>
      <c r="B14843" s="226" t="str">
        <f>IFERROR(__xludf.DUMMYFUNCTION("""COMPUTED_VALUE"""),"8717323061138")</f>
        <v>8717323061138</v>
      </c>
      <c r="C14843" t="str">
        <f>IFERROR(__xludf.DUMMYFUNCTION("""COMPUTED_VALUE"""),"ECS")</f>
        <v>ECS</v>
      </c>
    </row>
    <row r="14844">
      <c r="A14844" t="str">
        <f>IFERROR(__xludf.DUMMYFUNCTION("""COMPUTED_VALUE"""),"VW201B1")</f>
        <v>VW201B1</v>
      </c>
      <c r="B14844" s="226" t="str">
        <f>IFERROR(__xludf.DUMMYFUNCTION("""COMPUTED_VALUE"""),"8717323061145")</f>
        <v>8717323061145</v>
      </c>
      <c r="C14844" t="str">
        <f>IFERROR(__xludf.DUMMYFUNCTION("""COMPUTED_VALUE"""),"ECS")</f>
        <v>ECS</v>
      </c>
    </row>
    <row r="14845">
      <c r="A14845" t="str">
        <f>IFERROR(__xludf.DUMMYFUNCTION("""COMPUTED_VALUE"""),"VW201H1")</f>
        <v>VW201H1</v>
      </c>
      <c r="B14845" s="226" t="str">
        <f>IFERROR(__xludf.DUMMYFUNCTION("""COMPUTED_VALUE"""),"8717323061152")</f>
        <v>8717323061152</v>
      </c>
      <c r="C14845" t="str">
        <f>IFERROR(__xludf.DUMMYFUNCTION("""COMPUTED_VALUE"""),"ECS")</f>
        <v>ECS</v>
      </c>
    </row>
    <row r="14846">
      <c r="A14846" t="str">
        <f>IFERROR(__xludf.DUMMYFUNCTION("""COMPUTED_VALUE"""),"VW104B1")</f>
        <v>VW104B1</v>
      </c>
      <c r="B14846" s="226" t="str">
        <f>IFERROR(__xludf.DUMMYFUNCTION("""COMPUTED_VALUE"""),"8717323025499")</f>
        <v>8717323025499</v>
      </c>
      <c r="C14846" t="str">
        <f>IFERROR(__xludf.DUMMYFUNCTION("""COMPUTED_VALUE"""),"ECS")</f>
        <v>ECS</v>
      </c>
    </row>
    <row r="14847">
      <c r="A14847" t="str">
        <f>IFERROR(__xludf.DUMMYFUNCTION("""COMPUTED_VALUE"""),"VW104D1")</f>
        <v>VW104D1</v>
      </c>
      <c r="B14847" s="226" t="str">
        <f>IFERROR(__xludf.DUMMYFUNCTION("""COMPUTED_VALUE"""),"8717323026069")</f>
        <v>8717323026069</v>
      </c>
      <c r="C14847" t="str">
        <f>IFERROR(__xludf.DUMMYFUNCTION("""COMPUTED_VALUE"""),"ECS")</f>
        <v>ECS</v>
      </c>
    </row>
    <row r="14848">
      <c r="A14848" t="str">
        <f>IFERROR(__xludf.DUMMYFUNCTION("""COMPUTED_VALUE"""),"VW104B1")</f>
        <v>VW104B1</v>
      </c>
      <c r="B14848" s="226" t="str">
        <f>IFERROR(__xludf.DUMMYFUNCTION("""COMPUTED_VALUE"""),"8717323025499")</f>
        <v>8717323025499</v>
      </c>
      <c r="C14848" t="str">
        <f>IFERROR(__xludf.DUMMYFUNCTION("""COMPUTED_VALUE"""),"ECS")</f>
        <v>ECS</v>
      </c>
    </row>
    <row r="14849">
      <c r="A14849" t="str">
        <f>IFERROR(__xludf.DUMMYFUNCTION("""COMPUTED_VALUE"""),"VW104D1")</f>
        <v>VW104D1</v>
      </c>
      <c r="B14849" s="226" t="str">
        <f>IFERROR(__xludf.DUMMYFUNCTION("""COMPUTED_VALUE"""),"8717323026069")</f>
        <v>8717323026069</v>
      </c>
      <c r="C14849" t="str">
        <f>IFERROR(__xludf.DUMMYFUNCTION("""COMPUTED_VALUE"""),"ECS")</f>
        <v>ECS</v>
      </c>
    </row>
    <row r="14850">
      <c r="A14850" t="str">
        <f>IFERROR(__xludf.DUMMYFUNCTION("""COMPUTED_VALUE"""),"VW104B1")</f>
        <v>VW104B1</v>
      </c>
      <c r="B14850" s="226" t="str">
        <f>IFERROR(__xludf.DUMMYFUNCTION("""COMPUTED_VALUE"""),"8717323025499")</f>
        <v>8717323025499</v>
      </c>
      <c r="C14850" t="str">
        <f>IFERROR(__xludf.DUMMYFUNCTION("""COMPUTED_VALUE"""),"ECS")</f>
        <v>ECS</v>
      </c>
    </row>
    <row r="14851">
      <c r="A14851" t="str">
        <f>IFERROR(__xludf.DUMMYFUNCTION("""COMPUTED_VALUE"""),"VW104D1")</f>
        <v>VW104D1</v>
      </c>
      <c r="B14851" s="226" t="str">
        <f>IFERROR(__xludf.DUMMYFUNCTION("""COMPUTED_VALUE"""),"8717323026069")</f>
        <v>8717323026069</v>
      </c>
      <c r="C14851" t="str">
        <f>IFERROR(__xludf.DUMMYFUNCTION("""COMPUTED_VALUE"""),"ECS")</f>
        <v>ECS</v>
      </c>
    </row>
    <row r="14852">
      <c r="A14852" t="str">
        <f>IFERROR(__xludf.DUMMYFUNCTION("""COMPUTED_VALUE"""),"VW067BB")</f>
        <v>VW067BB</v>
      </c>
      <c r="B14852" s="226" t="str">
        <f>IFERROR(__xludf.DUMMYFUNCTION("""COMPUTED_VALUE"""),"8717323013243")</f>
        <v>8717323013243</v>
      </c>
      <c r="C14852" t="str">
        <f>IFERROR(__xludf.DUMMYFUNCTION("""COMPUTED_VALUE"""),"ECS")</f>
        <v>ECS</v>
      </c>
    </row>
    <row r="14853">
      <c r="A14853" t="str">
        <f>IFERROR(__xludf.DUMMYFUNCTION("""COMPUTED_VALUE"""),"VW067DL")</f>
        <v>VW067DL</v>
      </c>
      <c r="B14853" s="226" t="str">
        <f>IFERROR(__xludf.DUMMYFUNCTION("""COMPUTED_VALUE"""),"8717323013250")</f>
        <v>8717323013250</v>
      </c>
      <c r="C14853" t="str">
        <f>IFERROR(__xludf.DUMMYFUNCTION("""COMPUTED_VALUE"""),"ECS")</f>
        <v>ECS</v>
      </c>
    </row>
    <row r="14854">
      <c r="A14854" t="str">
        <f>IFERROR(__xludf.DUMMYFUNCTION("""COMPUTED_VALUE"""),"VAG014B")</f>
        <v>VAG014B</v>
      </c>
      <c r="B14854" s="226" t="str">
        <f>IFERROR(__xludf.DUMMYFUNCTION("""COMPUTED_VALUE"""),"8717323008386")</f>
        <v>8717323008386</v>
      </c>
      <c r="C14854" t="str">
        <f>IFERROR(__xludf.DUMMYFUNCTION("""COMPUTED_VALUE"""),"ECS")</f>
        <v>ECS</v>
      </c>
    </row>
    <row r="14855">
      <c r="A14855" t="str">
        <f>IFERROR(__xludf.DUMMYFUNCTION("""COMPUTED_VALUE"""),"VAG014B")</f>
        <v>VAG014B</v>
      </c>
      <c r="B14855" s="226" t="str">
        <f>IFERROR(__xludf.DUMMYFUNCTION("""COMPUTED_VALUE"""),"8717323008386")</f>
        <v>8717323008386</v>
      </c>
      <c r="C14855" t="str">
        <f>IFERROR(__xludf.DUMMYFUNCTION("""COMPUTED_VALUE"""),"ECS")</f>
        <v>ECS</v>
      </c>
    </row>
    <row r="14856">
      <c r="A14856" t="str">
        <f>IFERROR(__xludf.DUMMYFUNCTION("""COMPUTED_VALUE"""),"VW005BB")</f>
        <v>VW005BB</v>
      </c>
      <c r="B14856" s="226" t="str">
        <f>IFERROR(__xludf.DUMMYFUNCTION("""COMPUTED_VALUE"""),"8717323009079")</f>
        <v>8717323009079</v>
      </c>
      <c r="C14856" t="str">
        <f>IFERROR(__xludf.DUMMYFUNCTION("""COMPUTED_VALUE"""),"ECS")</f>
        <v>ECS</v>
      </c>
    </row>
    <row r="14857">
      <c r="A14857" t="str">
        <f>IFERROR(__xludf.DUMMYFUNCTION("""COMPUTED_VALUE"""),"VW005DL")</f>
        <v>VW005DL</v>
      </c>
      <c r="B14857" s="226" t="str">
        <f>IFERROR(__xludf.DUMMYFUNCTION("""COMPUTED_VALUE"""),"8717323027905")</f>
        <v>8717323027905</v>
      </c>
      <c r="C14857" t="str">
        <f>IFERROR(__xludf.DUMMYFUNCTION("""COMPUTED_VALUE"""),"ECS")</f>
        <v>ECS</v>
      </c>
    </row>
    <row r="14858">
      <c r="A14858" t="str">
        <f>IFERROR(__xludf.DUMMYFUNCTION("""COMPUTED_VALUE"""),"VW005BB")</f>
        <v>VW005BB</v>
      </c>
      <c r="B14858" s="226" t="str">
        <f>IFERROR(__xludf.DUMMYFUNCTION("""COMPUTED_VALUE"""),"8717323009079")</f>
        <v>8717323009079</v>
      </c>
      <c r="C14858" t="str">
        <f>IFERROR(__xludf.DUMMYFUNCTION("""COMPUTED_VALUE"""),"ECS")</f>
        <v>ECS</v>
      </c>
    </row>
    <row r="14859">
      <c r="A14859" t="str">
        <f>IFERROR(__xludf.DUMMYFUNCTION("""COMPUTED_VALUE"""),"VW005DL")</f>
        <v>VW005DL</v>
      </c>
      <c r="B14859" s="226" t="str">
        <f>IFERROR(__xludf.DUMMYFUNCTION("""COMPUTED_VALUE"""),"8717323027905")</f>
        <v>8717323027905</v>
      </c>
      <c r="C14859" t="str">
        <f>IFERROR(__xludf.DUMMYFUNCTION("""COMPUTED_VALUE"""),"ECS")</f>
        <v>ECS</v>
      </c>
    </row>
    <row r="14860">
      <c r="A14860" t="str">
        <f>IFERROR(__xludf.DUMMYFUNCTION("""COMPUTED_VALUE"""),"VW004BB")</f>
        <v>VW004BB</v>
      </c>
      <c r="B14860" s="226" t="str">
        <f>IFERROR(__xludf.DUMMYFUNCTION("""COMPUTED_VALUE"""),"8717323009055")</f>
        <v>8717323009055</v>
      </c>
      <c r="C14860" t="str">
        <f>IFERROR(__xludf.DUMMYFUNCTION("""COMPUTED_VALUE"""),"ECS")</f>
        <v>ECS</v>
      </c>
    </row>
    <row r="14861">
      <c r="A14861" t="str">
        <f>IFERROR(__xludf.DUMMYFUNCTION("""COMPUTED_VALUE"""),"VW004DL")</f>
        <v>VW004DL</v>
      </c>
      <c r="B14861" s="226" t="str">
        <f>IFERROR(__xludf.DUMMYFUNCTION("""COMPUTED_VALUE"""),"8717323028094")</f>
        <v>8717323028094</v>
      </c>
      <c r="C14861" t="str">
        <f>IFERROR(__xludf.DUMMYFUNCTION("""COMPUTED_VALUE"""),"ECS")</f>
        <v>ECS</v>
      </c>
    </row>
    <row r="14862">
      <c r="A14862" t="str">
        <f>IFERROR(__xludf.DUMMYFUNCTION("""COMPUTED_VALUE"""),"VW104B1")</f>
        <v>VW104B1</v>
      </c>
      <c r="B14862" s="226" t="str">
        <f>IFERROR(__xludf.DUMMYFUNCTION("""COMPUTED_VALUE"""),"8717323025499")</f>
        <v>8717323025499</v>
      </c>
      <c r="C14862" t="str">
        <f>IFERROR(__xludf.DUMMYFUNCTION("""COMPUTED_VALUE"""),"ECS")</f>
        <v>ECS</v>
      </c>
    </row>
    <row r="14863">
      <c r="A14863" t="str">
        <f>IFERROR(__xludf.DUMMYFUNCTION("""COMPUTED_VALUE"""),"VW104D1")</f>
        <v>VW104D1</v>
      </c>
      <c r="B14863" s="226" t="str">
        <f>IFERROR(__xludf.DUMMYFUNCTION("""COMPUTED_VALUE"""),"8717323026069")</f>
        <v>8717323026069</v>
      </c>
      <c r="C14863" t="str">
        <f>IFERROR(__xludf.DUMMYFUNCTION("""COMPUTED_VALUE"""),"ECS")</f>
        <v>ECS</v>
      </c>
    </row>
    <row r="14864">
      <c r="A14864" t="str">
        <f>IFERROR(__xludf.DUMMYFUNCTION("""COMPUTED_VALUE"""),"VW104B1")</f>
        <v>VW104B1</v>
      </c>
      <c r="B14864" s="226" t="str">
        <f>IFERROR(__xludf.DUMMYFUNCTION("""COMPUTED_VALUE"""),"8717323025499")</f>
        <v>8717323025499</v>
      </c>
      <c r="C14864" t="str">
        <f>IFERROR(__xludf.DUMMYFUNCTION("""COMPUTED_VALUE"""),"ECS")</f>
        <v>ECS</v>
      </c>
    </row>
    <row r="14865">
      <c r="A14865" t="str">
        <f>IFERROR(__xludf.DUMMYFUNCTION("""COMPUTED_VALUE"""),"VW104D1")</f>
        <v>VW104D1</v>
      </c>
      <c r="B14865" s="226" t="str">
        <f>IFERROR(__xludf.DUMMYFUNCTION("""COMPUTED_VALUE"""),"8717323026069")</f>
        <v>8717323026069</v>
      </c>
      <c r="C14865" t="str">
        <f>IFERROR(__xludf.DUMMYFUNCTION("""COMPUTED_VALUE"""),"ECS")</f>
        <v>ECS</v>
      </c>
    </row>
    <row r="14866">
      <c r="A14866" t="str">
        <f>IFERROR(__xludf.DUMMYFUNCTION("""COMPUTED_VALUE"""),"VW104B1")</f>
        <v>VW104B1</v>
      </c>
      <c r="B14866" s="226" t="str">
        <f>IFERROR(__xludf.DUMMYFUNCTION("""COMPUTED_VALUE"""),"8717323025499")</f>
        <v>8717323025499</v>
      </c>
      <c r="C14866" t="str">
        <f>IFERROR(__xludf.DUMMYFUNCTION("""COMPUTED_VALUE"""),"ECS")</f>
        <v>ECS</v>
      </c>
    </row>
    <row r="14867">
      <c r="A14867" t="str">
        <f>IFERROR(__xludf.DUMMYFUNCTION("""COMPUTED_VALUE"""),"VW104D1")</f>
        <v>VW104D1</v>
      </c>
      <c r="B14867" s="226" t="str">
        <f>IFERROR(__xludf.DUMMYFUNCTION("""COMPUTED_VALUE"""),"8717323026069")</f>
        <v>8717323026069</v>
      </c>
      <c r="C14867" t="str">
        <f>IFERROR(__xludf.DUMMYFUNCTION("""COMPUTED_VALUE"""),"ECS")</f>
        <v>ECS</v>
      </c>
    </row>
    <row r="14868">
      <c r="A14868" t="str">
        <f>IFERROR(__xludf.DUMMYFUNCTION("""COMPUTED_VALUE"""),"VW104B1")</f>
        <v>VW104B1</v>
      </c>
      <c r="B14868" s="226" t="str">
        <f>IFERROR(__xludf.DUMMYFUNCTION("""COMPUTED_VALUE"""),"8717323025499")</f>
        <v>8717323025499</v>
      </c>
      <c r="C14868" t="str">
        <f>IFERROR(__xludf.DUMMYFUNCTION("""COMPUTED_VALUE"""),"ECS")</f>
        <v>ECS</v>
      </c>
    </row>
    <row r="14869">
      <c r="A14869" t="str">
        <f>IFERROR(__xludf.DUMMYFUNCTION("""COMPUTED_VALUE"""),"VW104D1")</f>
        <v>VW104D1</v>
      </c>
      <c r="B14869" s="226" t="str">
        <f>IFERROR(__xludf.DUMMYFUNCTION("""COMPUTED_VALUE"""),"8717323026069")</f>
        <v>8717323026069</v>
      </c>
      <c r="C14869" t="str">
        <f>IFERROR(__xludf.DUMMYFUNCTION("""COMPUTED_VALUE"""),"ECS")</f>
        <v>ECS</v>
      </c>
    </row>
    <row r="14870">
      <c r="A14870" t="str">
        <f>IFERROR(__xludf.DUMMYFUNCTION("""COMPUTED_VALUE"""),"VW104B1")</f>
        <v>VW104B1</v>
      </c>
      <c r="B14870" s="226" t="str">
        <f>IFERROR(__xludf.DUMMYFUNCTION("""COMPUTED_VALUE"""),"8717323025499")</f>
        <v>8717323025499</v>
      </c>
      <c r="C14870" t="str">
        <f>IFERROR(__xludf.DUMMYFUNCTION("""COMPUTED_VALUE"""),"ECS")</f>
        <v>ECS</v>
      </c>
    </row>
    <row r="14871">
      <c r="A14871" t="str">
        <f>IFERROR(__xludf.DUMMYFUNCTION("""COMPUTED_VALUE"""),"VW104D1")</f>
        <v>VW104D1</v>
      </c>
      <c r="B14871" s="226" t="str">
        <f>IFERROR(__xludf.DUMMYFUNCTION("""COMPUTED_VALUE"""),"8717323026069")</f>
        <v>8717323026069</v>
      </c>
      <c r="C14871" t="str">
        <f>IFERROR(__xludf.DUMMYFUNCTION("""COMPUTED_VALUE"""),"ECS")</f>
        <v>ECS</v>
      </c>
    </row>
    <row r="14872">
      <c r="A14872" t="str">
        <f>IFERROR(__xludf.DUMMYFUNCTION("""COMPUTED_VALUE"""),"VW104B1")</f>
        <v>VW104B1</v>
      </c>
      <c r="B14872" s="226" t="str">
        <f>IFERROR(__xludf.DUMMYFUNCTION("""COMPUTED_VALUE"""),"8717323025499")</f>
        <v>8717323025499</v>
      </c>
      <c r="C14872" t="str">
        <f>IFERROR(__xludf.DUMMYFUNCTION("""COMPUTED_VALUE"""),"ECS")</f>
        <v>ECS</v>
      </c>
    </row>
    <row r="14873">
      <c r="A14873" t="str">
        <f>IFERROR(__xludf.DUMMYFUNCTION("""COMPUTED_VALUE"""),"VW104D1")</f>
        <v>VW104D1</v>
      </c>
      <c r="B14873" s="226" t="str">
        <f>IFERROR(__xludf.DUMMYFUNCTION("""COMPUTED_VALUE"""),"8717323026069")</f>
        <v>8717323026069</v>
      </c>
      <c r="C14873" t="str">
        <f>IFERROR(__xludf.DUMMYFUNCTION("""COMPUTED_VALUE"""),"ECS")</f>
        <v>ECS</v>
      </c>
    </row>
    <row r="14874">
      <c r="A14874" t="str">
        <f>IFERROR(__xludf.DUMMYFUNCTION("""COMPUTED_VALUE"""),"VW104B1")</f>
        <v>VW104B1</v>
      </c>
      <c r="B14874" s="226" t="str">
        <f>IFERROR(__xludf.DUMMYFUNCTION("""COMPUTED_VALUE"""),"8717323025499")</f>
        <v>8717323025499</v>
      </c>
      <c r="C14874" t="str">
        <f>IFERROR(__xludf.DUMMYFUNCTION("""COMPUTED_VALUE"""),"ECS")</f>
        <v>ECS</v>
      </c>
    </row>
    <row r="14875">
      <c r="A14875" t="str">
        <f>IFERROR(__xludf.DUMMYFUNCTION("""COMPUTED_VALUE"""),"VW104D1")</f>
        <v>VW104D1</v>
      </c>
      <c r="B14875" s="226" t="str">
        <f>IFERROR(__xludf.DUMMYFUNCTION("""COMPUTED_VALUE"""),"8717323026069")</f>
        <v>8717323026069</v>
      </c>
      <c r="C14875" t="str">
        <f>IFERROR(__xludf.DUMMYFUNCTION("""COMPUTED_VALUE"""),"ECS")</f>
        <v>ECS</v>
      </c>
    </row>
    <row r="14876">
      <c r="A14876" t="str">
        <f>IFERROR(__xludf.DUMMYFUNCTION("""COMPUTED_VALUE"""),"VW104B1")</f>
        <v>VW104B1</v>
      </c>
      <c r="B14876" s="226" t="str">
        <f>IFERROR(__xludf.DUMMYFUNCTION("""COMPUTED_VALUE"""),"8717323025499")</f>
        <v>8717323025499</v>
      </c>
      <c r="C14876" t="str">
        <f>IFERROR(__xludf.DUMMYFUNCTION("""COMPUTED_VALUE"""),"ECS")</f>
        <v>ECS</v>
      </c>
    </row>
    <row r="14877">
      <c r="A14877" t="str">
        <f>IFERROR(__xludf.DUMMYFUNCTION("""COMPUTED_VALUE"""),"VW104D1")</f>
        <v>VW104D1</v>
      </c>
      <c r="B14877" s="226" t="str">
        <f>IFERROR(__xludf.DUMMYFUNCTION("""COMPUTED_VALUE"""),"8717323026069")</f>
        <v>8717323026069</v>
      </c>
      <c r="C14877" t="str">
        <f>IFERROR(__xludf.DUMMYFUNCTION("""COMPUTED_VALUE"""),"ECS")</f>
        <v>ECS</v>
      </c>
    </row>
    <row r="14878">
      <c r="A14878" t="str">
        <f>IFERROR(__xludf.DUMMYFUNCTION("""COMPUTED_VALUE"""),"VW104B1")</f>
        <v>VW104B1</v>
      </c>
      <c r="B14878" s="226" t="str">
        <f>IFERROR(__xludf.DUMMYFUNCTION("""COMPUTED_VALUE"""),"8717323025499")</f>
        <v>8717323025499</v>
      </c>
      <c r="C14878" t="str">
        <f>IFERROR(__xludf.DUMMYFUNCTION("""COMPUTED_VALUE"""),"ECS")</f>
        <v>ECS</v>
      </c>
    </row>
    <row r="14879">
      <c r="A14879" t="str">
        <f>IFERROR(__xludf.DUMMYFUNCTION("""COMPUTED_VALUE"""),"VW104D1")</f>
        <v>VW104D1</v>
      </c>
      <c r="B14879" s="226" t="str">
        <f>IFERROR(__xludf.DUMMYFUNCTION("""COMPUTED_VALUE"""),"8717323026069")</f>
        <v>8717323026069</v>
      </c>
      <c r="C14879" t="str">
        <f>IFERROR(__xludf.DUMMYFUNCTION("""COMPUTED_VALUE"""),"ECS")</f>
        <v>ECS</v>
      </c>
    </row>
    <row r="14880">
      <c r="A14880" t="str">
        <f>IFERROR(__xludf.DUMMYFUNCTION("""COMPUTED_VALUE"""),"VW131B1")</f>
        <v>VW131B1</v>
      </c>
      <c r="B14880" s="226" t="str">
        <f>IFERROR(__xludf.DUMMYFUNCTION("""COMPUTED_VALUE"""),"8717323046296")</f>
        <v>8717323046296</v>
      </c>
      <c r="C14880" t="str">
        <f>IFERROR(__xludf.DUMMYFUNCTION("""COMPUTED_VALUE"""),"ECS")</f>
        <v>ECS</v>
      </c>
    </row>
    <row r="14881">
      <c r="A14881" t="str">
        <f>IFERROR(__xludf.DUMMYFUNCTION("""COMPUTED_VALUE"""),"VW146B1")</f>
        <v>VW146B1</v>
      </c>
      <c r="B14881" s="226" t="str">
        <f>IFERROR(__xludf.DUMMYFUNCTION("""COMPUTED_VALUE"""),"8717323050644")</f>
        <v>8717323050644</v>
      </c>
      <c r="C14881" t="str">
        <f>IFERROR(__xludf.DUMMYFUNCTION("""COMPUTED_VALUE"""),"ECS")</f>
        <v>ECS</v>
      </c>
    </row>
    <row r="14882">
      <c r="A14882" t="str">
        <f>IFERROR(__xludf.DUMMYFUNCTION("""COMPUTED_VALUE"""),"VW146D1")</f>
        <v>VW146D1</v>
      </c>
      <c r="B14882" s="226" t="str">
        <f>IFERROR(__xludf.DUMMYFUNCTION("""COMPUTED_VALUE"""),"8717323050651")</f>
        <v>8717323050651</v>
      </c>
      <c r="C14882" t="str">
        <f>IFERROR(__xludf.DUMMYFUNCTION("""COMPUTED_VALUE"""),"ECS")</f>
        <v>ECS</v>
      </c>
    </row>
    <row r="14883">
      <c r="A14883" t="str">
        <f>IFERROR(__xludf.DUMMYFUNCTION("""COMPUTED_VALUE"""),"VW190B1")</f>
        <v>VW190B1</v>
      </c>
      <c r="B14883" s="226" t="str">
        <f>IFERROR(__xludf.DUMMYFUNCTION("""COMPUTED_VALUE"""),"8717323061039")</f>
        <v>8717323061039</v>
      </c>
      <c r="C14883" t="str">
        <f>IFERROR(__xludf.DUMMYFUNCTION("""COMPUTED_VALUE"""),"ECS")</f>
        <v>ECS</v>
      </c>
    </row>
    <row r="14884">
      <c r="A14884" t="str">
        <f>IFERROR(__xludf.DUMMYFUNCTION("""COMPUTED_VALUE"""),"VW190H1")</f>
        <v>VW190H1</v>
      </c>
      <c r="B14884" s="226" t="str">
        <f>IFERROR(__xludf.DUMMYFUNCTION("""COMPUTED_VALUE"""),"8717323060957")</f>
        <v>8717323060957</v>
      </c>
      <c r="C14884" t="str">
        <f>IFERROR(__xludf.DUMMYFUNCTION("""COMPUTED_VALUE"""),"ECS")</f>
        <v>ECS</v>
      </c>
    </row>
    <row r="14885">
      <c r="A14885" t="str">
        <f>IFERROR(__xludf.DUMMYFUNCTION("""COMPUTED_VALUE"""),"AU057B1")</f>
        <v>AU057B1</v>
      </c>
      <c r="B14885" s="226" t="str">
        <f>IFERROR(__xludf.DUMMYFUNCTION("""COMPUTED_VALUE"""),"8717323050088")</f>
        <v>8717323050088</v>
      </c>
      <c r="C14885" t="str">
        <f>IFERROR(__xludf.DUMMYFUNCTION("""COMPUTED_VALUE"""),"ECS")</f>
        <v>ECS</v>
      </c>
    </row>
    <row r="14886">
      <c r="A14886" t="str">
        <f>IFERROR(__xludf.DUMMYFUNCTION("""COMPUTED_VALUE"""),"AU057H1")</f>
        <v>AU057H1</v>
      </c>
      <c r="B14886" s="226" t="str">
        <f>IFERROR(__xludf.DUMMYFUNCTION("""COMPUTED_VALUE"""),"8717323050101")</f>
        <v>8717323050101</v>
      </c>
      <c r="C14886" t="str">
        <f>IFERROR(__xludf.DUMMYFUNCTION("""COMPUTED_VALUE"""),"ECS")</f>
        <v>ECS</v>
      </c>
    </row>
    <row r="14887">
      <c r="A14887" t="str">
        <f>IFERROR(__xludf.DUMMYFUNCTION("""COMPUTED_VALUE"""),"VW131B1")</f>
        <v>VW131B1</v>
      </c>
      <c r="B14887" s="226" t="str">
        <f>IFERROR(__xludf.DUMMYFUNCTION("""COMPUTED_VALUE"""),"8717323046296")</f>
        <v>8717323046296</v>
      </c>
      <c r="C14887" t="str">
        <f>IFERROR(__xludf.DUMMYFUNCTION("""COMPUTED_VALUE"""),"ECS")</f>
        <v>ECS</v>
      </c>
    </row>
    <row r="14888">
      <c r="A14888" t="str">
        <f>IFERROR(__xludf.DUMMYFUNCTION("""COMPUTED_VALUE"""),"VW146B1")</f>
        <v>VW146B1</v>
      </c>
      <c r="B14888" s="226" t="str">
        <f>IFERROR(__xludf.DUMMYFUNCTION("""COMPUTED_VALUE"""),"8717323050644")</f>
        <v>8717323050644</v>
      </c>
      <c r="C14888" t="str">
        <f>IFERROR(__xludf.DUMMYFUNCTION("""COMPUTED_VALUE"""),"ECS")</f>
        <v>ECS</v>
      </c>
    </row>
    <row r="14889">
      <c r="A14889" t="str">
        <f>IFERROR(__xludf.DUMMYFUNCTION("""COMPUTED_VALUE"""),"VW146D1")</f>
        <v>VW146D1</v>
      </c>
      <c r="B14889" s="226" t="str">
        <f>IFERROR(__xludf.DUMMYFUNCTION("""COMPUTED_VALUE"""),"8717323050651")</f>
        <v>8717323050651</v>
      </c>
      <c r="C14889" t="str">
        <f>IFERROR(__xludf.DUMMYFUNCTION("""COMPUTED_VALUE"""),"ECS")</f>
        <v>ECS</v>
      </c>
    </row>
    <row r="14890">
      <c r="A14890" t="str">
        <f>IFERROR(__xludf.DUMMYFUNCTION("""COMPUTED_VALUE"""),"VW190B1")</f>
        <v>VW190B1</v>
      </c>
      <c r="B14890" s="226" t="str">
        <f>IFERROR(__xludf.DUMMYFUNCTION("""COMPUTED_VALUE"""),"8717323061039")</f>
        <v>8717323061039</v>
      </c>
      <c r="C14890" t="str">
        <f>IFERROR(__xludf.DUMMYFUNCTION("""COMPUTED_VALUE"""),"ECS")</f>
        <v>ECS</v>
      </c>
    </row>
    <row r="14891">
      <c r="A14891" t="str">
        <f>IFERROR(__xludf.DUMMYFUNCTION("""COMPUTED_VALUE"""),"VW190H1")</f>
        <v>VW190H1</v>
      </c>
      <c r="B14891" s="226" t="str">
        <f>IFERROR(__xludf.DUMMYFUNCTION("""COMPUTED_VALUE"""),"8717323060957")</f>
        <v>8717323060957</v>
      </c>
      <c r="C14891" t="str">
        <f>IFERROR(__xludf.DUMMYFUNCTION("""COMPUTED_VALUE"""),"ECS")</f>
        <v>ECS</v>
      </c>
    </row>
    <row r="14892">
      <c r="A14892" t="str">
        <f>IFERROR(__xludf.DUMMYFUNCTION("""COMPUTED_VALUE"""),"AU057B1")</f>
        <v>AU057B1</v>
      </c>
      <c r="B14892" s="226" t="str">
        <f>IFERROR(__xludf.DUMMYFUNCTION("""COMPUTED_VALUE"""),"8717323050088")</f>
        <v>8717323050088</v>
      </c>
      <c r="C14892" t="str">
        <f>IFERROR(__xludf.DUMMYFUNCTION("""COMPUTED_VALUE"""),"ECS")</f>
        <v>ECS</v>
      </c>
    </row>
    <row r="14893">
      <c r="A14893" t="str">
        <f>IFERROR(__xludf.DUMMYFUNCTION("""COMPUTED_VALUE"""),"AU057H1")</f>
        <v>AU057H1</v>
      </c>
      <c r="B14893" s="226" t="str">
        <f>IFERROR(__xludf.DUMMYFUNCTION("""COMPUTED_VALUE"""),"8717323050101")</f>
        <v>8717323050101</v>
      </c>
      <c r="C14893" t="str">
        <f>IFERROR(__xludf.DUMMYFUNCTION("""COMPUTED_VALUE"""),"ECS")</f>
        <v>ECS</v>
      </c>
    </row>
    <row r="14894">
      <c r="A14894" t="str">
        <f>IFERROR(__xludf.DUMMYFUNCTION("""COMPUTED_VALUE"""),"VW131B1")</f>
        <v>VW131B1</v>
      </c>
      <c r="B14894" s="226" t="str">
        <f>IFERROR(__xludf.DUMMYFUNCTION("""COMPUTED_VALUE"""),"8717323046296")</f>
        <v>8717323046296</v>
      </c>
      <c r="C14894" t="str">
        <f>IFERROR(__xludf.DUMMYFUNCTION("""COMPUTED_VALUE"""),"ECS")</f>
        <v>ECS</v>
      </c>
    </row>
    <row r="14895">
      <c r="A14895" t="str">
        <f>IFERROR(__xludf.DUMMYFUNCTION("""COMPUTED_VALUE"""),"VW146B1")</f>
        <v>VW146B1</v>
      </c>
      <c r="B14895" s="226" t="str">
        <f>IFERROR(__xludf.DUMMYFUNCTION("""COMPUTED_VALUE"""),"8717323050644")</f>
        <v>8717323050644</v>
      </c>
      <c r="C14895" t="str">
        <f>IFERROR(__xludf.DUMMYFUNCTION("""COMPUTED_VALUE"""),"ECS")</f>
        <v>ECS</v>
      </c>
    </row>
    <row r="14896">
      <c r="A14896" t="str">
        <f>IFERROR(__xludf.DUMMYFUNCTION("""COMPUTED_VALUE"""),"VW146D1")</f>
        <v>VW146D1</v>
      </c>
      <c r="B14896" s="226" t="str">
        <f>IFERROR(__xludf.DUMMYFUNCTION("""COMPUTED_VALUE"""),"8717323050651")</f>
        <v>8717323050651</v>
      </c>
      <c r="C14896" t="str">
        <f>IFERROR(__xludf.DUMMYFUNCTION("""COMPUTED_VALUE"""),"ECS")</f>
        <v>ECS</v>
      </c>
    </row>
    <row r="14897">
      <c r="A14897" t="str">
        <f>IFERROR(__xludf.DUMMYFUNCTION("""COMPUTED_VALUE"""),"VW190B1")</f>
        <v>VW190B1</v>
      </c>
      <c r="B14897" s="226" t="str">
        <f>IFERROR(__xludf.DUMMYFUNCTION("""COMPUTED_VALUE"""),"8717323061039")</f>
        <v>8717323061039</v>
      </c>
      <c r="C14897" t="str">
        <f>IFERROR(__xludf.DUMMYFUNCTION("""COMPUTED_VALUE"""),"ECS")</f>
        <v>ECS</v>
      </c>
    </row>
    <row r="14898">
      <c r="A14898" t="str">
        <f>IFERROR(__xludf.DUMMYFUNCTION("""COMPUTED_VALUE"""),"VW190H1")</f>
        <v>VW190H1</v>
      </c>
      <c r="B14898" s="226" t="str">
        <f>IFERROR(__xludf.DUMMYFUNCTION("""COMPUTED_VALUE"""),"8717323060957")</f>
        <v>8717323060957</v>
      </c>
      <c r="C14898" t="str">
        <f>IFERROR(__xludf.DUMMYFUNCTION("""COMPUTED_VALUE"""),"ECS")</f>
        <v>ECS</v>
      </c>
    </row>
    <row r="14899">
      <c r="A14899" t="str">
        <f>IFERROR(__xludf.DUMMYFUNCTION("""COMPUTED_VALUE"""),"AU057B1")</f>
        <v>AU057B1</v>
      </c>
      <c r="B14899" s="226" t="str">
        <f>IFERROR(__xludf.DUMMYFUNCTION("""COMPUTED_VALUE"""),"8717323050088")</f>
        <v>8717323050088</v>
      </c>
      <c r="C14899" t="str">
        <f>IFERROR(__xludf.DUMMYFUNCTION("""COMPUTED_VALUE"""),"ECS")</f>
        <v>ECS</v>
      </c>
    </row>
    <row r="14900">
      <c r="A14900" t="str">
        <f>IFERROR(__xludf.DUMMYFUNCTION("""COMPUTED_VALUE"""),"AU057H1")</f>
        <v>AU057H1</v>
      </c>
      <c r="B14900" s="226" t="str">
        <f>IFERROR(__xludf.DUMMYFUNCTION("""COMPUTED_VALUE"""),"8717323050101")</f>
        <v>8717323050101</v>
      </c>
      <c r="C14900" t="str">
        <f>IFERROR(__xludf.DUMMYFUNCTION("""COMPUTED_VALUE"""),"ECS")</f>
        <v>ECS</v>
      </c>
    </row>
    <row r="14901">
      <c r="A14901" t="str">
        <f>IFERROR(__xludf.DUMMYFUNCTION("""COMPUTED_VALUE"""),"VW146B1")</f>
        <v>VW146B1</v>
      </c>
      <c r="B14901" s="226" t="str">
        <f>IFERROR(__xludf.DUMMYFUNCTION("""COMPUTED_VALUE"""),"8717323050644")</f>
        <v>8717323050644</v>
      </c>
      <c r="C14901" t="str">
        <f>IFERROR(__xludf.DUMMYFUNCTION("""COMPUTED_VALUE"""),"ECS")</f>
        <v>ECS</v>
      </c>
    </row>
    <row r="14902">
      <c r="A14902" t="str">
        <f>IFERROR(__xludf.DUMMYFUNCTION("""COMPUTED_VALUE"""),"VW146D1")</f>
        <v>VW146D1</v>
      </c>
      <c r="B14902" s="226" t="str">
        <f>IFERROR(__xludf.DUMMYFUNCTION("""COMPUTED_VALUE"""),"8717323050651")</f>
        <v>8717323050651</v>
      </c>
      <c r="C14902" t="str">
        <f>IFERROR(__xludf.DUMMYFUNCTION("""COMPUTED_VALUE"""),"ECS")</f>
        <v>ECS</v>
      </c>
    </row>
    <row r="14903">
      <c r="A14903" t="str">
        <f>IFERROR(__xludf.DUMMYFUNCTION("""COMPUTED_VALUE"""),"VW190B1")</f>
        <v>VW190B1</v>
      </c>
      <c r="B14903" s="226" t="str">
        <f>IFERROR(__xludf.DUMMYFUNCTION("""COMPUTED_VALUE"""),"8717323061039")</f>
        <v>8717323061039</v>
      </c>
      <c r="C14903" t="str">
        <f>IFERROR(__xludf.DUMMYFUNCTION("""COMPUTED_VALUE"""),"ECS")</f>
        <v>ECS</v>
      </c>
    </row>
    <row r="14904">
      <c r="A14904" t="str">
        <f>IFERROR(__xludf.DUMMYFUNCTION("""COMPUTED_VALUE"""),"VW190H1")</f>
        <v>VW190H1</v>
      </c>
      <c r="B14904" s="226" t="str">
        <f>IFERROR(__xludf.DUMMYFUNCTION("""COMPUTED_VALUE"""),"8717323060957")</f>
        <v>8717323060957</v>
      </c>
      <c r="C14904" t="str">
        <f>IFERROR(__xludf.DUMMYFUNCTION("""COMPUTED_VALUE"""),"ECS")</f>
        <v>ECS</v>
      </c>
    </row>
    <row r="14905">
      <c r="A14905" t="str">
        <f>IFERROR(__xludf.DUMMYFUNCTION("""COMPUTED_VALUE"""),"VW146B1")</f>
        <v>VW146B1</v>
      </c>
      <c r="B14905" s="226" t="str">
        <f>IFERROR(__xludf.DUMMYFUNCTION("""COMPUTED_VALUE"""),"8717323050644")</f>
        <v>8717323050644</v>
      </c>
      <c r="C14905" t="str">
        <f>IFERROR(__xludf.DUMMYFUNCTION("""COMPUTED_VALUE"""),"ECS")</f>
        <v>ECS</v>
      </c>
    </row>
    <row r="14906">
      <c r="A14906" t="str">
        <f>IFERROR(__xludf.DUMMYFUNCTION("""COMPUTED_VALUE"""),"VW146D1")</f>
        <v>VW146D1</v>
      </c>
      <c r="B14906" s="226" t="str">
        <f>IFERROR(__xludf.DUMMYFUNCTION("""COMPUTED_VALUE"""),"8717323050651")</f>
        <v>8717323050651</v>
      </c>
      <c r="C14906" t="str">
        <f>IFERROR(__xludf.DUMMYFUNCTION("""COMPUTED_VALUE"""),"ECS")</f>
        <v>ECS</v>
      </c>
    </row>
    <row r="14907">
      <c r="A14907" t="str">
        <f>IFERROR(__xludf.DUMMYFUNCTION("""COMPUTED_VALUE"""),"VW190B1")</f>
        <v>VW190B1</v>
      </c>
      <c r="B14907" s="226" t="str">
        <f>IFERROR(__xludf.DUMMYFUNCTION("""COMPUTED_VALUE"""),"8717323061039")</f>
        <v>8717323061039</v>
      </c>
      <c r="C14907" t="str">
        <f>IFERROR(__xludf.DUMMYFUNCTION("""COMPUTED_VALUE"""),"ECS")</f>
        <v>ECS</v>
      </c>
    </row>
    <row r="14908">
      <c r="A14908" t="str">
        <f>IFERROR(__xludf.DUMMYFUNCTION("""COMPUTED_VALUE"""),"VW190H1")</f>
        <v>VW190H1</v>
      </c>
      <c r="B14908" s="226" t="str">
        <f>IFERROR(__xludf.DUMMYFUNCTION("""COMPUTED_VALUE"""),"8717323060957")</f>
        <v>8717323060957</v>
      </c>
      <c r="C14908" t="str">
        <f>IFERROR(__xludf.DUMMYFUNCTION("""COMPUTED_VALUE"""),"ECS")</f>
        <v>ECS</v>
      </c>
    </row>
    <row r="14909">
      <c r="A14909" t="str">
        <f>IFERROR(__xludf.DUMMYFUNCTION("""COMPUTED_VALUE"""),"AU057B1")</f>
        <v>AU057B1</v>
      </c>
      <c r="B14909" s="226" t="str">
        <f>IFERROR(__xludf.DUMMYFUNCTION("""COMPUTED_VALUE"""),"8717323050088")</f>
        <v>8717323050088</v>
      </c>
      <c r="C14909" t="str">
        <f>IFERROR(__xludf.DUMMYFUNCTION("""COMPUTED_VALUE"""),"ECS")</f>
        <v>ECS</v>
      </c>
    </row>
    <row r="14910">
      <c r="A14910" t="str">
        <f>IFERROR(__xludf.DUMMYFUNCTION("""COMPUTED_VALUE"""),"AU057H1")</f>
        <v>AU057H1</v>
      </c>
      <c r="B14910" s="226" t="str">
        <f>IFERROR(__xludf.DUMMYFUNCTION("""COMPUTED_VALUE"""),"8717323050101")</f>
        <v>8717323050101</v>
      </c>
      <c r="C14910" t="str">
        <f>IFERROR(__xludf.DUMMYFUNCTION("""COMPUTED_VALUE"""),"ECS")</f>
        <v>ECS</v>
      </c>
    </row>
    <row r="14911">
      <c r="A14911" t="str">
        <f>IFERROR(__xludf.DUMMYFUNCTION("""COMPUTED_VALUE"""),"VW146B1")</f>
        <v>VW146B1</v>
      </c>
      <c r="B14911" s="226" t="str">
        <f>IFERROR(__xludf.DUMMYFUNCTION("""COMPUTED_VALUE"""),"8717323050644")</f>
        <v>8717323050644</v>
      </c>
      <c r="C14911" t="str">
        <f>IFERROR(__xludf.DUMMYFUNCTION("""COMPUTED_VALUE"""),"ECS")</f>
        <v>ECS</v>
      </c>
    </row>
    <row r="14912">
      <c r="A14912" t="str">
        <f>IFERROR(__xludf.DUMMYFUNCTION("""COMPUTED_VALUE"""),"VW146D1")</f>
        <v>VW146D1</v>
      </c>
      <c r="B14912" s="226" t="str">
        <f>IFERROR(__xludf.DUMMYFUNCTION("""COMPUTED_VALUE"""),"8717323050651")</f>
        <v>8717323050651</v>
      </c>
      <c r="C14912" t="str">
        <f>IFERROR(__xludf.DUMMYFUNCTION("""COMPUTED_VALUE"""),"ECS")</f>
        <v>ECS</v>
      </c>
    </row>
    <row r="14913">
      <c r="A14913" t="str">
        <f>IFERROR(__xludf.DUMMYFUNCTION("""COMPUTED_VALUE"""),"VW190B1")</f>
        <v>VW190B1</v>
      </c>
      <c r="B14913" s="226" t="str">
        <f>IFERROR(__xludf.DUMMYFUNCTION("""COMPUTED_VALUE"""),"8717323061039")</f>
        <v>8717323061039</v>
      </c>
      <c r="C14913" t="str">
        <f>IFERROR(__xludf.DUMMYFUNCTION("""COMPUTED_VALUE"""),"ECS")</f>
        <v>ECS</v>
      </c>
    </row>
    <row r="14914">
      <c r="A14914" t="str">
        <f>IFERROR(__xludf.DUMMYFUNCTION("""COMPUTED_VALUE"""),"VW190H1")</f>
        <v>VW190H1</v>
      </c>
      <c r="B14914" s="226" t="str">
        <f>IFERROR(__xludf.DUMMYFUNCTION("""COMPUTED_VALUE"""),"8717323060957")</f>
        <v>8717323060957</v>
      </c>
      <c r="C14914" t="str">
        <f>IFERROR(__xludf.DUMMYFUNCTION("""COMPUTED_VALUE"""),"ECS")</f>
        <v>ECS</v>
      </c>
    </row>
    <row r="14915">
      <c r="A14915" t="str">
        <f>IFERROR(__xludf.DUMMYFUNCTION("""COMPUTED_VALUE"""),"VW104B1")</f>
        <v>VW104B1</v>
      </c>
      <c r="B14915" s="226" t="str">
        <f>IFERROR(__xludf.DUMMYFUNCTION("""COMPUTED_VALUE"""),"8717323025499")</f>
        <v>8717323025499</v>
      </c>
      <c r="C14915" t="str">
        <f>IFERROR(__xludf.DUMMYFUNCTION("""COMPUTED_VALUE"""),"ECS")</f>
        <v>ECS</v>
      </c>
    </row>
    <row r="14916">
      <c r="A14916" t="str">
        <f>IFERROR(__xludf.DUMMYFUNCTION("""COMPUTED_VALUE"""),"VW104D1")</f>
        <v>VW104D1</v>
      </c>
      <c r="B14916" s="226" t="str">
        <f>IFERROR(__xludf.DUMMYFUNCTION("""COMPUTED_VALUE"""),"8717323026069")</f>
        <v>8717323026069</v>
      </c>
      <c r="C14916" t="str">
        <f>IFERROR(__xludf.DUMMYFUNCTION("""COMPUTED_VALUE"""),"ECS")</f>
        <v>ECS</v>
      </c>
    </row>
    <row r="14917">
      <c r="A14917" t="str">
        <f>IFERROR(__xludf.DUMMYFUNCTION("""COMPUTED_VALUE"""),"VW104B1")</f>
        <v>VW104B1</v>
      </c>
      <c r="B14917" s="226" t="str">
        <f>IFERROR(__xludf.DUMMYFUNCTION("""COMPUTED_VALUE"""),"8717323025499")</f>
        <v>8717323025499</v>
      </c>
      <c r="C14917" t="str">
        <f>IFERROR(__xludf.DUMMYFUNCTION("""COMPUTED_VALUE"""),"ECS")</f>
        <v>ECS</v>
      </c>
    </row>
    <row r="14918">
      <c r="A14918" t="str">
        <f>IFERROR(__xludf.DUMMYFUNCTION("""COMPUTED_VALUE"""),"VW104D1")</f>
        <v>VW104D1</v>
      </c>
      <c r="B14918" s="226" t="str">
        <f>IFERROR(__xludf.DUMMYFUNCTION("""COMPUTED_VALUE"""),"8717323026069")</f>
        <v>8717323026069</v>
      </c>
      <c r="C14918" t="str">
        <f>IFERROR(__xludf.DUMMYFUNCTION("""COMPUTED_VALUE"""),"ECS")</f>
        <v>ECS</v>
      </c>
    </row>
    <row r="14919">
      <c r="A14919" t="str">
        <f>IFERROR(__xludf.DUMMYFUNCTION("""COMPUTED_VALUE"""),"SE001BB")</f>
        <v>SE001BB</v>
      </c>
      <c r="B14919" s="226" t="str">
        <f>IFERROR(__xludf.DUMMYFUNCTION("""COMPUTED_VALUE"""),"8717323006788")</f>
        <v>8717323006788</v>
      </c>
      <c r="C14919" t="str">
        <f>IFERROR(__xludf.DUMMYFUNCTION("""COMPUTED_VALUE"""),"ECS")</f>
        <v>ECS</v>
      </c>
    </row>
    <row r="14920">
      <c r="A14920" t="str">
        <f>IFERROR(__xludf.DUMMYFUNCTION("""COMPUTED_VALUE"""),"VW053BB")</f>
        <v>VW053BB</v>
      </c>
      <c r="B14920" s="226" t="str">
        <f>IFERROR(__xludf.DUMMYFUNCTION("""COMPUTED_VALUE"""),"8717323011096")</f>
        <v>8717323011096</v>
      </c>
      <c r="C14920" t="str">
        <f>IFERROR(__xludf.DUMMYFUNCTION("""COMPUTED_VALUE"""),"ECS")</f>
        <v>ECS</v>
      </c>
    </row>
    <row r="14921">
      <c r="A14921" t="str">
        <f>IFERROR(__xludf.DUMMYFUNCTION("""COMPUTED_VALUE"""),"VW053BB")</f>
        <v>VW053BB</v>
      </c>
      <c r="B14921" s="226" t="str">
        <f>IFERROR(__xludf.DUMMYFUNCTION("""COMPUTED_VALUE"""),"8717323011096")</f>
        <v>8717323011096</v>
      </c>
      <c r="C14921" t="str">
        <f>IFERROR(__xludf.DUMMYFUNCTION("""COMPUTED_VALUE"""),"ECS")</f>
        <v>ECS</v>
      </c>
    </row>
    <row r="14922">
      <c r="A14922" t="str">
        <f>IFERROR(__xludf.DUMMYFUNCTION("""COMPUTED_VALUE"""),"VAG043B")</f>
        <v>VAG043B</v>
      </c>
      <c r="B14922" s="226" t="str">
        <f>IFERROR(__xludf.DUMMYFUNCTION("""COMPUTED_VALUE"""),"8717323008560")</f>
        <v>8717323008560</v>
      </c>
      <c r="C14922" t="str">
        <f>IFERROR(__xludf.DUMMYFUNCTION("""COMPUTED_VALUE"""),"ECS")</f>
        <v>ECS</v>
      </c>
    </row>
    <row r="14923">
      <c r="A14923" t="str">
        <f>IFERROR(__xludf.DUMMYFUNCTION("""COMPUTED_VALUE"""),"VW039BB")</f>
        <v>VW039BB</v>
      </c>
      <c r="B14923" s="226" t="str">
        <f>IFERROR(__xludf.DUMMYFUNCTION("""COMPUTED_VALUE"""),"8717323009154")</f>
        <v>8717323009154</v>
      </c>
      <c r="C14923" t="str">
        <f>IFERROR(__xludf.DUMMYFUNCTION("""COMPUTED_VALUE"""),"ECS")</f>
        <v>ECS</v>
      </c>
    </row>
    <row r="14924">
      <c r="A14924" t="str">
        <f>IFERROR(__xludf.DUMMYFUNCTION("""COMPUTED_VALUE"""),"VW039DB")</f>
        <v>VW039DB</v>
      </c>
      <c r="B14924" s="226" t="str">
        <f>IFERROR(__xludf.DUMMYFUNCTION("""COMPUTED_VALUE"""),"8717323016497")</f>
        <v>8717323016497</v>
      </c>
      <c r="C14924" t="str">
        <f>IFERROR(__xludf.DUMMYFUNCTION("""COMPUTED_VALUE"""),"ECS")</f>
        <v>ECS</v>
      </c>
    </row>
    <row r="14925">
      <c r="A14925" t="str">
        <f>IFERROR(__xludf.DUMMYFUNCTION("""COMPUTED_VALUE"""),"VW039DL")</f>
        <v>VW039DL</v>
      </c>
      <c r="B14925" s="226" t="str">
        <f>IFERROR(__xludf.DUMMYFUNCTION("""COMPUTED_VALUE"""),"8717323028049")</f>
        <v>8717323028049</v>
      </c>
      <c r="C14925" t="str">
        <f>IFERROR(__xludf.DUMMYFUNCTION("""COMPUTED_VALUE"""),"ECS")</f>
        <v>ECS</v>
      </c>
    </row>
    <row r="14926">
      <c r="A14926" t="str">
        <f>IFERROR(__xludf.DUMMYFUNCTION("""COMPUTED_VALUE"""),"VW127B1")</f>
        <v>VW127B1</v>
      </c>
      <c r="B14926" s="226" t="str">
        <f>IFERROR(__xludf.DUMMYFUNCTION("""COMPUTED_VALUE"""),"8717323046456")</f>
        <v>8717323046456</v>
      </c>
      <c r="C14926" t="str">
        <f>IFERROR(__xludf.DUMMYFUNCTION("""COMPUTED_VALUE"""),"ECS")</f>
        <v>ECS</v>
      </c>
    </row>
    <row r="14927">
      <c r="A14927" t="str">
        <f>IFERROR(__xludf.DUMMYFUNCTION("""COMPUTED_VALUE"""),"VW127D1")</f>
        <v>VW127D1</v>
      </c>
      <c r="B14927" s="226" t="str">
        <f>IFERROR(__xludf.DUMMYFUNCTION("""COMPUTED_VALUE"""),"8717323046463")</f>
        <v>8717323046463</v>
      </c>
      <c r="C14927" t="str">
        <f>IFERROR(__xludf.DUMMYFUNCTION("""COMPUTED_VALUE"""),"ECS")</f>
        <v>ECS</v>
      </c>
    </row>
    <row r="14928">
      <c r="A14928" t="str">
        <f>IFERROR(__xludf.DUMMYFUNCTION("""COMPUTED_VALUE"""),"VW146B1")</f>
        <v>VW146B1</v>
      </c>
      <c r="B14928" s="226" t="str">
        <f>IFERROR(__xludf.DUMMYFUNCTION("""COMPUTED_VALUE"""),"8717323050644")</f>
        <v>8717323050644</v>
      </c>
      <c r="C14928" t="str">
        <f>IFERROR(__xludf.DUMMYFUNCTION("""COMPUTED_VALUE"""),"ECS")</f>
        <v>ECS</v>
      </c>
    </row>
    <row r="14929">
      <c r="A14929" t="str">
        <f>IFERROR(__xludf.DUMMYFUNCTION("""COMPUTED_VALUE"""),"VW146D1")</f>
        <v>VW146D1</v>
      </c>
      <c r="B14929" s="226" t="str">
        <f>IFERROR(__xludf.DUMMYFUNCTION("""COMPUTED_VALUE"""),"8717323050651")</f>
        <v>8717323050651</v>
      </c>
      <c r="C14929" t="str">
        <f>IFERROR(__xludf.DUMMYFUNCTION("""COMPUTED_VALUE"""),"ECS")</f>
        <v>ECS</v>
      </c>
    </row>
    <row r="14930">
      <c r="A14930" t="str">
        <f>IFERROR(__xludf.DUMMYFUNCTION("""COMPUTED_VALUE"""),"VW173HX")</f>
        <v>VW173HX</v>
      </c>
      <c r="B14930" s="226" t="str">
        <f>IFERROR(__xludf.DUMMYFUNCTION("""COMPUTED_VALUE"""),"8717323055687")</f>
        <v>8717323055687</v>
      </c>
      <c r="C14930" t="str">
        <f>IFERROR(__xludf.DUMMYFUNCTION("""COMPUTED_VALUE"""),"ECS")</f>
        <v>ECS</v>
      </c>
    </row>
    <row r="14931">
      <c r="A14931" t="str">
        <f>IFERROR(__xludf.DUMMYFUNCTION("""COMPUTED_VALUE"""),"VW190B1")</f>
        <v>VW190B1</v>
      </c>
      <c r="B14931" s="226" t="str">
        <f>IFERROR(__xludf.DUMMYFUNCTION("""COMPUTED_VALUE"""),"8717323061039")</f>
        <v>8717323061039</v>
      </c>
      <c r="C14931" t="str">
        <f>IFERROR(__xludf.DUMMYFUNCTION("""COMPUTED_VALUE"""),"ECS")</f>
        <v>ECS</v>
      </c>
    </row>
    <row r="14932">
      <c r="A14932" t="str">
        <f>IFERROR(__xludf.DUMMYFUNCTION("""COMPUTED_VALUE"""),"VW190H1")</f>
        <v>VW190H1</v>
      </c>
      <c r="B14932" s="226" t="str">
        <f>IFERROR(__xludf.DUMMYFUNCTION("""COMPUTED_VALUE"""),"8717323060957")</f>
        <v>8717323060957</v>
      </c>
      <c r="C14932" t="str">
        <f>IFERROR(__xludf.DUMMYFUNCTION("""COMPUTED_VALUE"""),"ECS")</f>
        <v>ECS</v>
      </c>
    </row>
    <row r="14933">
      <c r="A14933" t="str">
        <f>IFERROR(__xludf.DUMMYFUNCTION("""COMPUTED_VALUE"""),"VAG043B")</f>
        <v>VAG043B</v>
      </c>
      <c r="B14933" s="226" t="str">
        <f>IFERROR(__xludf.DUMMYFUNCTION("""COMPUTED_VALUE"""),"8717323008560")</f>
        <v>8717323008560</v>
      </c>
      <c r="C14933" t="str">
        <f>IFERROR(__xludf.DUMMYFUNCTION("""COMPUTED_VALUE"""),"ECS")</f>
        <v>ECS</v>
      </c>
    </row>
    <row r="14934">
      <c r="A14934" t="str">
        <f>IFERROR(__xludf.DUMMYFUNCTION("""COMPUTED_VALUE"""),"VW036BB")</f>
        <v>VW036BB</v>
      </c>
      <c r="B14934" s="226" t="str">
        <f>IFERROR(__xludf.DUMMYFUNCTION("""COMPUTED_VALUE"""),"8717323009130")</f>
        <v>8717323009130</v>
      </c>
      <c r="C14934" t="str">
        <f>IFERROR(__xludf.DUMMYFUNCTION("""COMPUTED_VALUE"""),"ECS")</f>
        <v>ECS</v>
      </c>
    </row>
    <row r="14935">
      <c r="A14935" t="str">
        <f>IFERROR(__xludf.DUMMYFUNCTION("""COMPUTED_VALUE"""),"VW036BL")</f>
        <v>VW036BL</v>
      </c>
      <c r="B14935" s="226" t="str">
        <f>IFERROR(__xludf.DUMMYFUNCTION("""COMPUTED_VALUE"""),"8717323044636")</f>
        <v>8717323044636</v>
      </c>
      <c r="C14935" t="str">
        <f>IFERROR(__xludf.DUMMYFUNCTION("""COMPUTED_VALUE"""),"ECS")</f>
        <v>ECS</v>
      </c>
    </row>
    <row r="14936">
      <c r="A14936" t="str">
        <f>IFERROR(__xludf.DUMMYFUNCTION("""COMPUTED_VALUE"""),"VW036DL")</f>
        <v>VW036DL</v>
      </c>
      <c r="B14936" s="226" t="str">
        <f>IFERROR(__xludf.DUMMYFUNCTION("""COMPUTED_VALUE"""),"8717323025987")</f>
        <v>8717323025987</v>
      </c>
      <c r="C14936" t="str">
        <f>IFERROR(__xludf.DUMMYFUNCTION("""COMPUTED_VALUE"""),"ECS")</f>
        <v>ECS</v>
      </c>
    </row>
    <row r="14937">
      <c r="A14937" t="str">
        <f>IFERROR(__xludf.DUMMYFUNCTION("""COMPUTED_VALUE"""),"VW127B1")</f>
        <v>VW127B1</v>
      </c>
      <c r="B14937" s="226" t="str">
        <f>IFERROR(__xludf.DUMMYFUNCTION("""COMPUTED_VALUE"""),"8717323046456")</f>
        <v>8717323046456</v>
      </c>
      <c r="C14937" t="str">
        <f>IFERROR(__xludf.DUMMYFUNCTION("""COMPUTED_VALUE"""),"ECS")</f>
        <v>ECS</v>
      </c>
    </row>
    <row r="14938">
      <c r="A14938" t="str">
        <f>IFERROR(__xludf.DUMMYFUNCTION("""COMPUTED_VALUE"""),"VW127D1")</f>
        <v>VW127D1</v>
      </c>
      <c r="B14938" s="226" t="str">
        <f>IFERROR(__xludf.DUMMYFUNCTION("""COMPUTED_VALUE"""),"8717323046463")</f>
        <v>8717323046463</v>
      </c>
      <c r="C14938" t="str">
        <f>IFERROR(__xludf.DUMMYFUNCTION("""COMPUTED_VALUE"""),"ECS")</f>
        <v>ECS</v>
      </c>
    </row>
    <row r="14939">
      <c r="A14939" t="str">
        <f>IFERROR(__xludf.DUMMYFUNCTION("""COMPUTED_VALUE"""),"VW146B1")</f>
        <v>VW146B1</v>
      </c>
      <c r="B14939" s="226" t="str">
        <f>IFERROR(__xludf.DUMMYFUNCTION("""COMPUTED_VALUE"""),"8717323050644")</f>
        <v>8717323050644</v>
      </c>
      <c r="C14939" t="str">
        <f>IFERROR(__xludf.DUMMYFUNCTION("""COMPUTED_VALUE"""),"ECS")</f>
        <v>ECS</v>
      </c>
    </row>
    <row r="14940">
      <c r="A14940" t="str">
        <f>IFERROR(__xludf.DUMMYFUNCTION("""COMPUTED_VALUE"""),"VW146D1")</f>
        <v>VW146D1</v>
      </c>
      <c r="B14940" s="226" t="str">
        <f>IFERROR(__xludf.DUMMYFUNCTION("""COMPUTED_VALUE"""),"8717323050651")</f>
        <v>8717323050651</v>
      </c>
      <c r="C14940" t="str">
        <f>IFERROR(__xludf.DUMMYFUNCTION("""COMPUTED_VALUE"""),"ECS")</f>
        <v>ECS</v>
      </c>
    </row>
    <row r="14941">
      <c r="A14941" t="str">
        <f>IFERROR(__xludf.DUMMYFUNCTION("""COMPUTED_VALUE"""),"VW173HX")</f>
        <v>VW173HX</v>
      </c>
      <c r="B14941" s="226" t="str">
        <f>IFERROR(__xludf.DUMMYFUNCTION("""COMPUTED_VALUE"""),"8717323055687")</f>
        <v>8717323055687</v>
      </c>
      <c r="C14941" t="str">
        <f>IFERROR(__xludf.DUMMYFUNCTION("""COMPUTED_VALUE"""),"ECS")</f>
        <v>ECS</v>
      </c>
    </row>
    <row r="14942">
      <c r="A14942" t="str">
        <f>IFERROR(__xludf.DUMMYFUNCTION("""COMPUTED_VALUE"""),"VW190B1")</f>
        <v>VW190B1</v>
      </c>
      <c r="B14942" s="226" t="str">
        <f>IFERROR(__xludf.DUMMYFUNCTION("""COMPUTED_VALUE"""),"8717323061039")</f>
        <v>8717323061039</v>
      </c>
      <c r="C14942" t="str">
        <f>IFERROR(__xludf.DUMMYFUNCTION("""COMPUTED_VALUE"""),"ECS")</f>
        <v>ECS</v>
      </c>
    </row>
    <row r="14943">
      <c r="A14943" t="str">
        <f>IFERROR(__xludf.DUMMYFUNCTION("""COMPUTED_VALUE"""),"VW190H1")</f>
        <v>VW190H1</v>
      </c>
      <c r="B14943" s="226" t="str">
        <f>IFERROR(__xludf.DUMMYFUNCTION("""COMPUTED_VALUE"""),"8717323060957")</f>
        <v>8717323060957</v>
      </c>
      <c r="C14943" t="str">
        <f>IFERROR(__xludf.DUMMYFUNCTION("""COMPUTED_VALUE"""),"ECS")</f>
        <v>ECS</v>
      </c>
    </row>
    <row r="14944">
      <c r="A14944" t="str">
        <f>IFERROR(__xludf.DUMMYFUNCTION("""COMPUTED_VALUE"""),"VW127B1")</f>
        <v>VW127B1</v>
      </c>
      <c r="B14944" s="226" t="str">
        <f>IFERROR(__xludf.DUMMYFUNCTION("""COMPUTED_VALUE"""),"8717323046456")</f>
        <v>8717323046456</v>
      </c>
      <c r="C14944" t="str">
        <f>IFERROR(__xludf.DUMMYFUNCTION("""COMPUTED_VALUE"""),"ECS")</f>
        <v>ECS</v>
      </c>
    </row>
    <row r="14945">
      <c r="A14945" t="str">
        <f>IFERROR(__xludf.DUMMYFUNCTION("""COMPUTED_VALUE"""),"VW127D1")</f>
        <v>VW127D1</v>
      </c>
      <c r="B14945" s="226" t="str">
        <f>IFERROR(__xludf.DUMMYFUNCTION("""COMPUTED_VALUE"""),"8717323046463")</f>
        <v>8717323046463</v>
      </c>
      <c r="C14945" t="str">
        <f>IFERROR(__xludf.DUMMYFUNCTION("""COMPUTED_VALUE"""),"ECS")</f>
        <v>ECS</v>
      </c>
    </row>
    <row r="14946">
      <c r="A14946" t="str">
        <f>IFERROR(__xludf.DUMMYFUNCTION("""COMPUTED_VALUE"""),"VW190B1")</f>
        <v>VW190B1</v>
      </c>
      <c r="B14946" s="226" t="str">
        <f>IFERROR(__xludf.DUMMYFUNCTION("""COMPUTED_VALUE"""),"8717323061039")</f>
        <v>8717323061039</v>
      </c>
      <c r="C14946" t="str">
        <f>IFERROR(__xludf.DUMMYFUNCTION("""COMPUTED_VALUE"""),"ECS")</f>
        <v>ECS</v>
      </c>
    </row>
    <row r="14947">
      <c r="A14947" t="str">
        <f>IFERROR(__xludf.DUMMYFUNCTION("""COMPUTED_VALUE"""),"VW190H1")</f>
        <v>VW190H1</v>
      </c>
      <c r="B14947" s="226" t="str">
        <f>IFERROR(__xludf.DUMMYFUNCTION("""COMPUTED_VALUE"""),"8717323060957")</f>
        <v>8717323060957</v>
      </c>
      <c r="C14947" t="str">
        <f>IFERROR(__xludf.DUMMYFUNCTION("""COMPUTED_VALUE"""),"ECS")</f>
        <v>ECS</v>
      </c>
    </row>
    <row r="14948">
      <c r="A14948" t="str">
        <f>IFERROR(__xludf.DUMMYFUNCTION("""COMPUTED_VALUE"""),"VW127B1")</f>
        <v>VW127B1</v>
      </c>
      <c r="B14948" s="226" t="str">
        <f>IFERROR(__xludf.DUMMYFUNCTION("""COMPUTED_VALUE"""),"8717323046456")</f>
        <v>8717323046456</v>
      </c>
      <c r="C14948" t="str">
        <f>IFERROR(__xludf.DUMMYFUNCTION("""COMPUTED_VALUE"""),"ECS")</f>
        <v>ECS</v>
      </c>
    </row>
    <row r="14949">
      <c r="A14949" t="str">
        <f>IFERROR(__xludf.DUMMYFUNCTION("""COMPUTED_VALUE"""),"VW127D1")</f>
        <v>VW127D1</v>
      </c>
      <c r="B14949" s="226" t="str">
        <f>IFERROR(__xludf.DUMMYFUNCTION("""COMPUTED_VALUE"""),"8717323046463")</f>
        <v>8717323046463</v>
      </c>
      <c r="C14949" t="str">
        <f>IFERROR(__xludf.DUMMYFUNCTION("""COMPUTED_VALUE"""),"ECS")</f>
        <v>ECS</v>
      </c>
    </row>
    <row r="14950">
      <c r="A14950" t="str">
        <f>IFERROR(__xludf.DUMMYFUNCTION("""COMPUTED_VALUE"""),"VW113D1")</f>
        <v>VW113D1</v>
      </c>
      <c r="B14950" s="226" t="str">
        <f>IFERROR(__xludf.DUMMYFUNCTION("""COMPUTED_VALUE"""),"8717323044681")</f>
        <v>8717323044681</v>
      </c>
      <c r="C14950" t="str">
        <f>IFERROR(__xludf.DUMMYFUNCTION("""COMPUTED_VALUE"""),"ECS")</f>
        <v>ECS</v>
      </c>
    </row>
    <row r="14951">
      <c r="A14951" t="str">
        <f>IFERROR(__xludf.DUMMYFUNCTION("""COMPUTED_VALUE"""),"VW013BB")</f>
        <v>VW013BB</v>
      </c>
      <c r="B14951" s="226" t="str">
        <f>IFERROR(__xludf.DUMMYFUNCTION("""COMPUTED_VALUE"""),"8717323009116")</f>
        <v>8717323009116</v>
      </c>
      <c r="C14951" t="str">
        <f>IFERROR(__xludf.DUMMYFUNCTION("""COMPUTED_VALUE"""),"ECS")</f>
        <v>ECS</v>
      </c>
    </row>
    <row r="14952">
      <c r="A14952" t="str">
        <f>IFERROR(__xludf.DUMMYFUNCTION("""COMPUTED_VALUE"""),"VW013BL")</f>
        <v>VW013BL</v>
      </c>
      <c r="B14952" s="226" t="str">
        <f>IFERROR(__xludf.DUMMYFUNCTION("""COMPUTED_VALUE"""),"8717323022467")</f>
        <v>8717323022467</v>
      </c>
      <c r="C14952" t="str">
        <f>IFERROR(__xludf.DUMMYFUNCTION("""COMPUTED_VALUE"""),"ECS")</f>
        <v>ECS</v>
      </c>
    </row>
    <row r="14953">
      <c r="A14953" t="str">
        <f>IFERROR(__xludf.DUMMYFUNCTION("""COMPUTED_VALUE"""),"VW041BB")</f>
        <v>VW041BB</v>
      </c>
      <c r="B14953" s="226" t="str">
        <f>IFERROR(__xludf.DUMMYFUNCTION("""COMPUTED_VALUE"""),"8717323009178")</f>
        <v>8717323009178</v>
      </c>
      <c r="C14953" t="str">
        <f>IFERROR(__xludf.DUMMYFUNCTION("""COMPUTED_VALUE"""),"ECS")</f>
        <v>ECS</v>
      </c>
    </row>
    <row r="14954">
      <c r="A14954" t="str">
        <f>IFERROR(__xludf.DUMMYFUNCTION("""COMPUTED_VALUE"""),"VW058BB")</f>
        <v>VW058BB</v>
      </c>
      <c r="B14954" s="226" t="str">
        <f>IFERROR(__xludf.DUMMYFUNCTION("""COMPUTED_VALUE"""),"8717323011607")</f>
        <v>8717323011607</v>
      </c>
      <c r="C14954" t="str">
        <f>IFERROR(__xludf.DUMMYFUNCTION("""COMPUTED_VALUE"""),"ECS")</f>
        <v>ECS</v>
      </c>
    </row>
    <row r="14955">
      <c r="A14955" t="str">
        <f>IFERROR(__xludf.DUMMYFUNCTION("""COMPUTED_VALUE"""),"VW058BL")</f>
        <v>VW058BL</v>
      </c>
      <c r="B14955" s="226" t="str">
        <f>IFERROR(__xludf.DUMMYFUNCTION("""COMPUTED_VALUE"""),"8717323011614")</f>
        <v>8717323011614</v>
      </c>
      <c r="C14955" t="str">
        <f>IFERROR(__xludf.DUMMYFUNCTION("""COMPUTED_VALUE"""),"ECS")</f>
        <v>ECS</v>
      </c>
    </row>
    <row r="14956">
      <c r="A14956" t="str">
        <f>IFERROR(__xludf.DUMMYFUNCTION("""COMPUTED_VALUE"""),"VW058DL")</f>
        <v>VW058DL</v>
      </c>
      <c r="B14956" s="226" t="str">
        <f>IFERROR(__xludf.DUMMYFUNCTION("""COMPUTED_VALUE"""),"8717323011621")</f>
        <v>8717323011621</v>
      </c>
      <c r="C14956" t="str">
        <f>IFERROR(__xludf.DUMMYFUNCTION("""COMPUTED_VALUE"""),"ECS")</f>
        <v>ECS</v>
      </c>
    </row>
    <row r="14957">
      <c r="A14957" t="str">
        <f>IFERROR(__xludf.DUMMYFUNCTION("""COMPUTED_VALUE"""),"SE026B1")</f>
        <v>SE026B1</v>
      </c>
      <c r="B14957" s="226" t="str">
        <f>IFERROR(__xludf.DUMMYFUNCTION("""COMPUTED_VALUE"""),"8717323024409")</f>
        <v>8717323024409</v>
      </c>
      <c r="C14957" t="str">
        <f>IFERROR(__xludf.DUMMYFUNCTION("""COMPUTED_VALUE"""),"ECS")</f>
        <v>ECS</v>
      </c>
    </row>
    <row r="14958">
      <c r="A14958" t="str">
        <f>IFERROR(__xludf.DUMMYFUNCTION("""COMPUTED_VALUE"""),"SE026D1")</f>
        <v>SE026D1</v>
      </c>
      <c r="B14958" s="226" t="str">
        <f>IFERROR(__xludf.DUMMYFUNCTION("""COMPUTED_VALUE"""),"8717323024416")</f>
        <v>8717323024416</v>
      </c>
      <c r="C14958" t="str">
        <f>IFERROR(__xludf.DUMMYFUNCTION("""COMPUTED_VALUE"""),"ECS")</f>
        <v>ECS</v>
      </c>
    </row>
    <row r="14959">
      <c r="A14959" t="str">
        <f>IFERROR(__xludf.DUMMYFUNCTION("""COMPUTED_VALUE"""),"VW138B1")</f>
        <v>VW138B1</v>
      </c>
      <c r="B14959" s="226" t="str">
        <f>IFERROR(__xludf.DUMMYFUNCTION("""COMPUTED_VALUE"""),"8717323050569")</f>
        <v>8717323050569</v>
      </c>
      <c r="C14959" t="str">
        <f>IFERROR(__xludf.DUMMYFUNCTION("""COMPUTED_VALUE"""),"ECS")</f>
        <v>ECS</v>
      </c>
    </row>
    <row r="14960">
      <c r="A14960" t="str">
        <f>IFERROR(__xludf.DUMMYFUNCTION("""COMPUTED_VALUE"""),"VW138D1")</f>
        <v>VW138D1</v>
      </c>
      <c r="B14960" s="226" t="str">
        <f>IFERROR(__xludf.DUMMYFUNCTION("""COMPUTED_VALUE"""),"8717323050576")</f>
        <v>8717323050576</v>
      </c>
      <c r="C14960" t="str">
        <f>IFERROR(__xludf.DUMMYFUNCTION("""COMPUTED_VALUE"""),"ECS")</f>
        <v>ECS</v>
      </c>
    </row>
    <row r="14961">
      <c r="A14961" t="str">
        <f>IFERROR(__xludf.DUMMYFUNCTION("""COMPUTED_VALUE"""),"VW058BB")</f>
        <v>VW058BB</v>
      </c>
      <c r="B14961" s="226" t="str">
        <f>IFERROR(__xludf.DUMMYFUNCTION("""COMPUTED_VALUE"""),"8717323011607")</f>
        <v>8717323011607</v>
      </c>
      <c r="C14961" t="str">
        <f>IFERROR(__xludf.DUMMYFUNCTION("""COMPUTED_VALUE"""),"ECS")</f>
        <v>ECS</v>
      </c>
    </row>
    <row r="14962">
      <c r="A14962" t="str">
        <f>IFERROR(__xludf.DUMMYFUNCTION("""COMPUTED_VALUE"""),"VW058BL")</f>
        <v>VW058BL</v>
      </c>
      <c r="B14962" s="226" t="str">
        <f>IFERROR(__xludf.DUMMYFUNCTION("""COMPUTED_VALUE"""),"8717323011614")</f>
        <v>8717323011614</v>
      </c>
      <c r="C14962" t="str">
        <f>IFERROR(__xludf.DUMMYFUNCTION("""COMPUTED_VALUE"""),"ECS")</f>
        <v>ECS</v>
      </c>
    </row>
    <row r="14963">
      <c r="A14963" t="str">
        <f>IFERROR(__xludf.DUMMYFUNCTION("""COMPUTED_VALUE"""),"VW058DL")</f>
        <v>VW058DL</v>
      </c>
      <c r="B14963" s="226" t="str">
        <f>IFERROR(__xludf.DUMMYFUNCTION("""COMPUTED_VALUE"""),"8717323011621")</f>
        <v>8717323011621</v>
      </c>
      <c r="C14963" t="str">
        <f>IFERROR(__xludf.DUMMYFUNCTION("""COMPUTED_VALUE"""),"ECS")</f>
        <v>ECS</v>
      </c>
    </row>
    <row r="14964">
      <c r="A14964" t="str">
        <f>IFERROR(__xludf.DUMMYFUNCTION("""COMPUTED_VALUE"""),"SE026B1")</f>
        <v>SE026B1</v>
      </c>
      <c r="B14964" s="226" t="str">
        <f>IFERROR(__xludf.DUMMYFUNCTION("""COMPUTED_VALUE"""),"8717323024409")</f>
        <v>8717323024409</v>
      </c>
      <c r="C14964" t="str">
        <f>IFERROR(__xludf.DUMMYFUNCTION("""COMPUTED_VALUE"""),"ECS")</f>
        <v>ECS</v>
      </c>
    </row>
    <row r="14965">
      <c r="A14965" t="str">
        <f>IFERROR(__xludf.DUMMYFUNCTION("""COMPUTED_VALUE"""),"SE026D1")</f>
        <v>SE026D1</v>
      </c>
      <c r="B14965" s="226" t="str">
        <f>IFERROR(__xludf.DUMMYFUNCTION("""COMPUTED_VALUE"""),"8717323024416")</f>
        <v>8717323024416</v>
      </c>
      <c r="C14965" t="str">
        <f>IFERROR(__xludf.DUMMYFUNCTION("""COMPUTED_VALUE"""),"ECS")</f>
        <v>ECS</v>
      </c>
    </row>
    <row r="14966">
      <c r="A14966" t="str">
        <f>IFERROR(__xludf.DUMMYFUNCTION("""COMPUTED_VALUE"""),"VW138B1")</f>
        <v>VW138B1</v>
      </c>
      <c r="B14966" s="226" t="str">
        <f>IFERROR(__xludf.DUMMYFUNCTION("""COMPUTED_VALUE"""),"8717323050569")</f>
        <v>8717323050569</v>
      </c>
      <c r="C14966" t="str">
        <f>IFERROR(__xludf.DUMMYFUNCTION("""COMPUTED_VALUE"""),"ECS")</f>
        <v>ECS</v>
      </c>
    </row>
    <row r="14967">
      <c r="A14967" t="str">
        <f>IFERROR(__xludf.DUMMYFUNCTION("""COMPUTED_VALUE"""),"VW138D1")</f>
        <v>VW138D1</v>
      </c>
      <c r="B14967" s="226" t="str">
        <f>IFERROR(__xludf.DUMMYFUNCTION("""COMPUTED_VALUE"""),"8717323050576")</f>
        <v>8717323050576</v>
      </c>
      <c r="C14967" t="str">
        <f>IFERROR(__xludf.DUMMYFUNCTION("""COMPUTED_VALUE"""),"ECS")</f>
        <v>ECS</v>
      </c>
    </row>
    <row r="14968">
      <c r="A14968" t="str">
        <f>IFERROR(__xludf.DUMMYFUNCTION("""COMPUTED_VALUE"""),"VW146B1")</f>
        <v>VW146B1</v>
      </c>
      <c r="B14968" s="226" t="str">
        <f>IFERROR(__xludf.DUMMYFUNCTION("""COMPUTED_VALUE"""),"8717323050644")</f>
        <v>8717323050644</v>
      </c>
      <c r="C14968" t="str">
        <f>IFERROR(__xludf.DUMMYFUNCTION("""COMPUTED_VALUE"""),"ECS")</f>
        <v>ECS</v>
      </c>
    </row>
    <row r="14969">
      <c r="A14969" t="str">
        <f>IFERROR(__xludf.DUMMYFUNCTION("""COMPUTED_VALUE"""),"VW146D1")</f>
        <v>VW146D1</v>
      </c>
      <c r="B14969" s="226" t="str">
        <f>IFERROR(__xludf.DUMMYFUNCTION("""COMPUTED_VALUE"""),"8717323050651")</f>
        <v>8717323050651</v>
      </c>
      <c r="C14969" t="str">
        <f>IFERROR(__xludf.DUMMYFUNCTION("""COMPUTED_VALUE"""),"ECS")</f>
        <v>ECS</v>
      </c>
    </row>
    <row r="14970">
      <c r="A14970" t="str">
        <f>IFERROR(__xludf.DUMMYFUNCTION("""COMPUTED_VALUE"""),"VW190B1")</f>
        <v>VW190B1</v>
      </c>
      <c r="B14970" s="226" t="str">
        <f>IFERROR(__xludf.DUMMYFUNCTION("""COMPUTED_VALUE"""),"8717323061039")</f>
        <v>8717323061039</v>
      </c>
      <c r="C14970" t="str">
        <f>IFERROR(__xludf.DUMMYFUNCTION("""COMPUTED_VALUE"""),"ECS")</f>
        <v>ECS</v>
      </c>
    </row>
    <row r="14971">
      <c r="A14971" t="str">
        <f>IFERROR(__xludf.DUMMYFUNCTION("""COMPUTED_VALUE"""),"VW190H1")</f>
        <v>VW190H1</v>
      </c>
      <c r="B14971" s="226" t="str">
        <f>IFERROR(__xludf.DUMMYFUNCTION("""COMPUTED_VALUE"""),"8717323060957")</f>
        <v>8717323060957</v>
      </c>
      <c r="C14971" t="str">
        <f>IFERROR(__xludf.DUMMYFUNCTION("""COMPUTED_VALUE"""),"ECS")</f>
        <v>ECS</v>
      </c>
    </row>
    <row r="14972">
      <c r="A14972" t="str">
        <f>IFERROR(__xludf.DUMMYFUNCTION("""COMPUTED_VALUE"""),"VW011BB")</f>
        <v>VW011BB</v>
      </c>
      <c r="B14972" s="226" t="str">
        <f>IFERROR(__xludf.DUMMYFUNCTION("""COMPUTED_VALUE"""),"8717323009093")</f>
        <v>8717323009093</v>
      </c>
      <c r="C14972" t="str">
        <f>IFERROR(__xludf.DUMMYFUNCTION("""COMPUTED_VALUE"""),"ECS")</f>
        <v>ECS</v>
      </c>
    </row>
    <row r="14973">
      <c r="A14973" t="str">
        <f>IFERROR(__xludf.DUMMYFUNCTION("""COMPUTED_VALUE"""),"VW011HB")</f>
        <v>VW011HB</v>
      </c>
      <c r="B14973" s="226" t="str">
        <f>IFERROR(__xludf.DUMMYFUNCTION("""COMPUTED_VALUE"""),"8717323009109")</f>
        <v>8717323009109</v>
      </c>
      <c r="C14973" t="str">
        <f>IFERROR(__xludf.DUMMYFUNCTION("""COMPUTED_VALUE"""),"ECS")</f>
        <v>ECS</v>
      </c>
    </row>
    <row r="14974">
      <c r="A14974" t="str">
        <f>IFERROR(__xludf.DUMMYFUNCTION("""COMPUTED_VALUE"""),"VW011BL")</f>
        <v>VW011BL</v>
      </c>
      <c r="B14974" s="226" t="str">
        <f>IFERROR(__xludf.DUMMYFUNCTION("""COMPUTED_VALUE"""),"8717323022443")</f>
        <v>8717323022443</v>
      </c>
      <c r="C14974" t="str">
        <f>IFERROR(__xludf.DUMMYFUNCTION("""COMPUTED_VALUE"""),"ECS")</f>
        <v>ECS</v>
      </c>
    </row>
    <row r="14975">
      <c r="A14975" t="str">
        <f>IFERROR(__xludf.DUMMYFUNCTION("""COMPUTED_VALUE"""),"SE037B1")</f>
        <v>SE037B1</v>
      </c>
      <c r="B14975" s="226" t="str">
        <f>IFERROR(__xludf.DUMMYFUNCTION("""COMPUTED_VALUE"""),"8717323047255")</f>
        <v>8717323047255</v>
      </c>
      <c r="C14975" t="str">
        <f>IFERROR(__xludf.DUMMYFUNCTION("""COMPUTED_VALUE"""),"ECS")</f>
        <v>ECS</v>
      </c>
    </row>
    <row r="14976">
      <c r="A14976" t="str">
        <f>IFERROR(__xludf.DUMMYFUNCTION("""COMPUTED_VALUE"""),"SE037D1")</f>
        <v>SE037D1</v>
      </c>
      <c r="B14976" s="226" t="str">
        <f>IFERROR(__xludf.DUMMYFUNCTION("""COMPUTED_VALUE"""),"8717323047262")</f>
        <v>8717323047262</v>
      </c>
      <c r="C14976" t="str">
        <f>IFERROR(__xludf.DUMMYFUNCTION("""COMPUTED_VALUE"""),"ECS")</f>
        <v>ECS</v>
      </c>
    </row>
    <row r="14977">
      <c r="A14977" t="str">
        <f>IFERROR(__xludf.DUMMYFUNCTION("""COMPUTED_VALUE"""),"VW146B1")</f>
        <v>VW146B1</v>
      </c>
      <c r="B14977" s="226" t="str">
        <f>IFERROR(__xludf.DUMMYFUNCTION("""COMPUTED_VALUE"""),"8717323050644")</f>
        <v>8717323050644</v>
      </c>
      <c r="C14977" t="str">
        <f>IFERROR(__xludf.DUMMYFUNCTION("""COMPUTED_VALUE"""),"ECS")</f>
        <v>ECS</v>
      </c>
    </row>
    <row r="14978">
      <c r="A14978" t="str">
        <f>IFERROR(__xludf.DUMMYFUNCTION("""COMPUTED_VALUE"""),"VW146D1")</f>
        <v>VW146D1</v>
      </c>
      <c r="B14978" s="226" t="str">
        <f>IFERROR(__xludf.DUMMYFUNCTION("""COMPUTED_VALUE"""),"8717323050651")</f>
        <v>8717323050651</v>
      </c>
      <c r="C14978" t="str">
        <f>IFERROR(__xludf.DUMMYFUNCTION("""COMPUTED_VALUE"""),"ECS")</f>
        <v>ECS</v>
      </c>
    </row>
    <row r="14979">
      <c r="A14979" t="str">
        <f>IFERROR(__xludf.DUMMYFUNCTION("""COMPUTED_VALUE"""),"VW190B1")</f>
        <v>VW190B1</v>
      </c>
      <c r="B14979" s="226" t="str">
        <f>IFERROR(__xludf.DUMMYFUNCTION("""COMPUTED_VALUE"""),"8717323061039")</f>
        <v>8717323061039</v>
      </c>
      <c r="C14979" t="str">
        <f>IFERROR(__xludf.DUMMYFUNCTION("""COMPUTED_VALUE"""),"ECS")</f>
        <v>ECS</v>
      </c>
    </row>
    <row r="14980">
      <c r="A14980" t="str">
        <f>IFERROR(__xludf.DUMMYFUNCTION("""COMPUTED_VALUE"""),"VW190H1")</f>
        <v>VW190H1</v>
      </c>
      <c r="B14980" s="226" t="str">
        <f>IFERROR(__xludf.DUMMYFUNCTION("""COMPUTED_VALUE"""),"8717323060957")</f>
        <v>8717323060957</v>
      </c>
      <c r="C14980" t="str">
        <f>IFERROR(__xludf.DUMMYFUNCTION("""COMPUTED_VALUE"""),"ECS")</f>
        <v>ECS</v>
      </c>
    </row>
    <row r="14981">
      <c r="A14981" t="str">
        <f>IFERROR(__xludf.DUMMYFUNCTION("""COMPUTED_VALUE"""),"VW104B1")</f>
        <v>VW104B1</v>
      </c>
      <c r="B14981" s="226" t="str">
        <f>IFERROR(__xludf.DUMMYFUNCTION("""COMPUTED_VALUE"""),"8717323025499")</f>
        <v>8717323025499</v>
      </c>
      <c r="C14981" t="str">
        <f>IFERROR(__xludf.DUMMYFUNCTION("""COMPUTED_VALUE"""),"ECS")</f>
        <v>ECS</v>
      </c>
    </row>
    <row r="14982">
      <c r="A14982" t="str">
        <f>IFERROR(__xludf.DUMMYFUNCTION("""COMPUTED_VALUE"""),"VW104D1")</f>
        <v>VW104D1</v>
      </c>
      <c r="B14982" s="226" t="str">
        <f>IFERROR(__xludf.DUMMYFUNCTION("""COMPUTED_VALUE"""),"8717323026069")</f>
        <v>8717323026069</v>
      </c>
      <c r="C14982" t="str">
        <f>IFERROR(__xludf.DUMMYFUNCTION("""COMPUTED_VALUE"""),"ECS")</f>
        <v>ECS</v>
      </c>
    </row>
    <row r="14983">
      <c r="A14983" t="str">
        <f>IFERROR(__xludf.DUMMYFUNCTION("""COMPUTED_VALUE"""),"VW146B1")</f>
        <v>VW146B1</v>
      </c>
      <c r="B14983" s="226" t="str">
        <f>IFERROR(__xludf.DUMMYFUNCTION("""COMPUTED_VALUE"""),"8717323050644")</f>
        <v>8717323050644</v>
      </c>
      <c r="C14983" t="str">
        <f>IFERROR(__xludf.DUMMYFUNCTION("""COMPUTED_VALUE"""),"ECS")</f>
        <v>ECS</v>
      </c>
    </row>
    <row r="14984">
      <c r="A14984" t="str">
        <f>IFERROR(__xludf.DUMMYFUNCTION("""COMPUTED_VALUE"""),"VW146D1")</f>
        <v>VW146D1</v>
      </c>
      <c r="B14984" s="226" t="str">
        <f>IFERROR(__xludf.DUMMYFUNCTION("""COMPUTED_VALUE"""),"8717323050651")</f>
        <v>8717323050651</v>
      </c>
      <c r="C14984" t="str">
        <f>IFERROR(__xludf.DUMMYFUNCTION("""COMPUTED_VALUE"""),"ECS")</f>
        <v>ECS</v>
      </c>
    </row>
    <row r="14985">
      <c r="A14985" t="str">
        <f>IFERROR(__xludf.DUMMYFUNCTION("""COMPUTED_VALUE"""),"VW173HX")</f>
        <v>VW173HX</v>
      </c>
      <c r="B14985" s="226" t="str">
        <f>IFERROR(__xludf.DUMMYFUNCTION("""COMPUTED_VALUE"""),"8717323055687")</f>
        <v>8717323055687</v>
      </c>
      <c r="C14985" t="str">
        <f>IFERROR(__xludf.DUMMYFUNCTION("""COMPUTED_VALUE"""),"ECS")</f>
        <v>ECS</v>
      </c>
    </row>
    <row r="14986">
      <c r="A14986" t="str">
        <f>IFERROR(__xludf.DUMMYFUNCTION("""COMPUTED_VALUE"""),"VW190B1")</f>
        <v>VW190B1</v>
      </c>
      <c r="B14986" s="226" t="str">
        <f>IFERROR(__xludf.DUMMYFUNCTION("""COMPUTED_VALUE"""),"8717323061039")</f>
        <v>8717323061039</v>
      </c>
      <c r="C14986" t="str">
        <f>IFERROR(__xludf.DUMMYFUNCTION("""COMPUTED_VALUE"""),"ECS")</f>
        <v>ECS</v>
      </c>
    </row>
    <row r="14987">
      <c r="A14987" t="str">
        <f>IFERROR(__xludf.DUMMYFUNCTION("""COMPUTED_VALUE"""),"VW190H1")</f>
        <v>VW190H1</v>
      </c>
      <c r="B14987" s="226" t="str">
        <f>IFERROR(__xludf.DUMMYFUNCTION("""COMPUTED_VALUE"""),"8717323060957")</f>
        <v>8717323060957</v>
      </c>
      <c r="C14987" t="str">
        <f>IFERROR(__xludf.DUMMYFUNCTION("""COMPUTED_VALUE"""),"ECS")</f>
        <v>ECS</v>
      </c>
    </row>
    <row r="14988">
      <c r="A14988" t="str">
        <f>IFERROR(__xludf.DUMMYFUNCTION("""COMPUTED_VALUE"""),"VW146B1")</f>
        <v>VW146B1</v>
      </c>
      <c r="B14988" s="226" t="str">
        <f>IFERROR(__xludf.DUMMYFUNCTION("""COMPUTED_VALUE"""),"8717323050644")</f>
        <v>8717323050644</v>
      </c>
      <c r="C14988" t="str">
        <f>IFERROR(__xludf.DUMMYFUNCTION("""COMPUTED_VALUE"""),"ECS")</f>
        <v>ECS</v>
      </c>
    </row>
    <row r="14989">
      <c r="A14989" t="str">
        <f>IFERROR(__xludf.DUMMYFUNCTION("""COMPUTED_VALUE"""),"VW146D1")</f>
        <v>VW146D1</v>
      </c>
      <c r="B14989" s="226" t="str">
        <f>IFERROR(__xludf.DUMMYFUNCTION("""COMPUTED_VALUE"""),"8717323050651")</f>
        <v>8717323050651</v>
      </c>
      <c r="C14989" t="str">
        <f>IFERROR(__xludf.DUMMYFUNCTION("""COMPUTED_VALUE"""),"ECS")</f>
        <v>ECS</v>
      </c>
    </row>
    <row r="14990">
      <c r="A14990" t="str">
        <f>IFERROR(__xludf.DUMMYFUNCTION("""COMPUTED_VALUE"""),"VW190B1")</f>
        <v>VW190B1</v>
      </c>
      <c r="B14990" s="226" t="str">
        <f>IFERROR(__xludf.DUMMYFUNCTION("""COMPUTED_VALUE"""),"8717323061039")</f>
        <v>8717323061039</v>
      </c>
      <c r="C14990" t="str">
        <f>IFERROR(__xludf.DUMMYFUNCTION("""COMPUTED_VALUE"""),"ECS")</f>
        <v>ECS</v>
      </c>
    </row>
    <row r="14991">
      <c r="A14991" t="str">
        <f>IFERROR(__xludf.DUMMYFUNCTION("""COMPUTED_VALUE"""),"VW190H1")</f>
        <v>VW190H1</v>
      </c>
      <c r="B14991" s="226" t="str">
        <f>IFERROR(__xludf.DUMMYFUNCTION("""COMPUTED_VALUE"""),"8717323060957")</f>
        <v>8717323060957</v>
      </c>
      <c r="C14991" t="str">
        <f>IFERROR(__xludf.DUMMYFUNCTION("""COMPUTED_VALUE"""),"ECS")</f>
        <v>ECS</v>
      </c>
    </row>
    <row r="14992">
      <c r="A14992" t="str">
        <f>IFERROR(__xludf.DUMMYFUNCTION("""COMPUTED_VALUE"""),"VW103B1")</f>
        <v>VW103B1</v>
      </c>
      <c r="B14992" s="226" t="str">
        <f>IFERROR(__xludf.DUMMYFUNCTION("""COMPUTED_VALUE"""),"8717323027509")</f>
        <v>8717323027509</v>
      </c>
      <c r="C14992" t="str">
        <f>IFERROR(__xludf.DUMMYFUNCTION("""COMPUTED_VALUE"""),"ECS")</f>
        <v>ECS</v>
      </c>
    </row>
    <row r="14993">
      <c r="A14993" t="str">
        <f>IFERROR(__xludf.DUMMYFUNCTION("""COMPUTED_VALUE"""),"VW103D1")</f>
        <v>VW103D1</v>
      </c>
      <c r="B14993" s="226" t="str">
        <f>IFERROR(__xludf.DUMMYFUNCTION("""COMPUTED_VALUE"""),"8717323025994")</f>
        <v>8717323025994</v>
      </c>
      <c r="C14993" t="str">
        <f>IFERROR(__xludf.DUMMYFUNCTION("""COMPUTED_VALUE"""),"ECS")</f>
        <v>ECS</v>
      </c>
    </row>
    <row r="14994">
      <c r="A14994" t="str">
        <f>IFERROR(__xludf.DUMMYFUNCTION("""COMPUTED_VALUE"""),"VW101D1")</f>
        <v>VW101D1</v>
      </c>
      <c r="B14994" s="226" t="str">
        <f>IFERROR(__xludf.DUMMYFUNCTION("""COMPUTED_VALUE"""),"8717323024935")</f>
        <v>8717323024935</v>
      </c>
      <c r="C14994" t="str">
        <f>IFERROR(__xludf.DUMMYFUNCTION("""COMPUTED_VALUE"""),"ECS")</f>
        <v>ECS</v>
      </c>
    </row>
    <row r="14995">
      <c r="A14995" t="str">
        <f>IFERROR(__xludf.DUMMYFUNCTION("""COMPUTED_VALUE"""),"AU068B1")</f>
        <v>AU068B1</v>
      </c>
      <c r="B14995" s="226" t="str">
        <f>IFERROR(__xludf.DUMMYFUNCTION("""COMPUTED_VALUE"""),"8717323061756")</f>
        <v>8717323061756</v>
      </c>
      <c r="C14995" t="str">
        <f>IFERROR(__xludf.DUMMYFUNCTION("""COMPUTED_VALUE"""),"ECS")</f>
        <v>ECS</v>
      </c>
    </row>
    <row r="14996">
      <c r="A14996" t="str">
        <f>IFERROR(__xludf.DUMMYFUNCTION("""COMPUTED_VALUE"""),"AU068H1")</f>
        <v>AU068H1</v>
      </c>
      <c r="B14996" s="226" t="str">
        <f>IFERROR(__xludf.DUMMYFUNCTION("""COMPUTED_VALUE"""),"8717323061763")</f>
        <v>8717323061763</v>
      </c>
      <c r="C14996" t="str">
        <f>IFERROR(__xludf.DUMMYFUNCTION("""COMPUTED_VALUE"""),"ECS")</f>
        <v>ECS</v>
      </c>
    </row>
    <row r="14997">
      <c r="A14997" t="str">
        <f>IFERROR(__xludf.DUMMYFUNCTION("""COMPUTED_VALUE"""),"VW130B1")</f>
        <v>VW130B1</v>
      </c>
      <c r="B14997" s="226" t="str">
        <f>IFERROR(__xludf.DUMMYFUNCTION("""COMPUTED_VALUE"""),"8717323047569")</f>
        <v>8717323047569</v>
      </c>
      <c r="C14997" t="str">
        <f>IFERROR(__xludf.DUMMYFUNCTION("""COMPUTED_VALUE"""),"ECS")</f>
        <v>ECS</v>
      </c>
    </row>
    <row r="14998">
      <c r="A14998" t="str">
        <f>IFERROR(__xludf.DUMMYFUNCTION("""COMPUTED_VALUE"""),"VW130D1")</f>
        <v>VW130D1</v>
      </c>
      <c r="B14998" s="226" t="str">
        <f>IFERROR(__xludf.DUMMYFUNCTION("""COMPUTED_VALUE"""),"8717323047576")</f>
        <v>8717323047576</v>
      </c>
      <c r="C14998" t="str">
        <f>IFERROR(__xludf.DUMMYFUNCTION("""COMPUTED_VALUE"""),"ECS")</f>
        <v>ECS</v>
      </c>
    </row>
    <row r="14999">
      <c r="A14999" t="str">
        <f>IFERROR(__xludf.DUMMYFUNCTION("""COMPUTED_VALUE"""),"VW146B1")</f>
        <v>VW146B1</v>
      </c>
      <c r="B14999" s="226" t="str">
        <f>IFERROR(__xludf.DUMMYFUNCTION("""COMPUTED_VALUE"""),"8717323050644")</f>
        <v>8717323050644</v>
      </c>
      <c r="C14999" t="str">
        <f>IFERROR(__xludf.DUMMYFUNCTION("""COMPUTED_VALUE"""),"ECS")</f>
        <v>ECS</v>
      </c>
    </row>
    <row r="15000">
      <c r="A15000" t="str">
        <f>IFERROR(__xludf.DUMMYFUNCTION("""COMPUTED_VALUE"""),"VW146D1")</f>
        <v>VW146D1</v>
      </c>
      <c r="B15000" s="226" t="str">
        <f>IFERROR(__xludf.DUMMYFUNCTION("""COMPUTED_VALUE"""),"8717323050651")</f>
        <v>8717323050651</v>
      </c>
      <c r="C15000" t="str">
        <f>IFERROR(__xludf.DUMMYFUNCTION("""COMPUTED_VALUE"""),"ECS")</f>
        <v>ECS</v>
      </c>
    </row>
    <row r="15001">
      <c r="A15001" t="str">
        <f>IFERROR(__xludf.DUMMYFUNCTION("""COMPUTED_VALUE"""),"VW170BX")</f>
        <v>VW170BX</v>
      </c>
      <c r="B15001" s="226" t="str">
        <f>IFERROR(__xludf.DUMMYFUNCTION("""COMPUTED_VALUE"""),"8717323054161")</f>
        <v>8717323054161</v>
      </c>
      <c r="C15001" t="str">
        <f>IFERROR(__xludf.DUMMYFUNCTION("""COMPUTED_VALUE"""),"ECS")</f>
        <v>ECS</v>
      </c>
    </row>
    <row r="15002">
      <c r="A15002" t="str">
        <f>IFERROR(__xludf.DUMMYFUNCTION("""COMPUTED_VALUE"""),"VW190B1")</f>
        <v>VW190B1</v>
      </c>
      <c r="B15002" s="226" t="str">
        <f>IFERROR(__xludf.DUMMYFUNCTION("""COMPUTED_VALUE"""),"8717323061039")</f>
        <v>8717323061039</v>
      </c>
      <c r="C15002" t="str">
        <f>IFERROR(__xludf.DUMMYFUNCTION("""COMPUTED_VALUE"""),"ECS")</f>
        <v>ECS</v>
      </c>
    </row>
    <row r="15003">
      <c r="A15003" t="str">
        <f>IFERROR(__xludf.DUMMYFUNCTION("""COMPUTED_VALUE"""),"VW190H1")</f>
        <v>VW190H1</v>
      </c>
      <c r="B15003" s="226" t="str">
        <f>IFERROR(__xludf.DUMMYFUNCTION("""COMPUTED_VALUE"""),"8717323060957")</f>
        <v>8717323060957</v>
      </c>
      <c r="C15003" t="str">
        <f>IFERROR(__xludf.DUMMYFUNCTION("""COMPUTED_VALUE"""),"ECS")</f>
        <v>ECS</v>
      </c>
    </row>
    <row r="15004">
      <c r="A15004" t="str">
        <f>IFERROR(__xludf.DUMMYFUNCTION("""COMPUTED_VALUE"""),"VAG011B")</f>
        <v>VAG011B</v>
      </c>
      <c r="B15004" s="226" t="str">
        <f>IFERROR(__xludf.DUMMYFUNCTION("""COMPUTED_VALUE"""),"8717323008379")</f>
        <v>8717323008379</v>
      </c>
      <c r="C15004" t="str">
        <f>IFERROR(__xludf.DUMMYFUNCTION("""COMPUTED_VALUE"""),"ECS")</f>
        <v>ECS</v>
      </c>
    </row>
    <row r="15005">
      <c r="A15005" t="str">
        <f>IFERROR(__xludf.DUMMYFUNCTION("""COMPUTED_VALUE"""),"VAG911B")</f>
        <v>VAG911B</v>
      </c>
      <c r="B15005" s="226" t="str">
        <f>IFERROR(__xludf.DUMMYFUNCTION("""COMPUTED_VALUE"""),"8717323008652")</f>
        <v>8717323008652</v>
      </c>
      <c r="C15005" t="str">
        <f>IFERROR(__xludf.DUMMYFUNCTION("""COMPUTED_VALUE"""),"ECS")</f>
        <v>ECS</v>
      </c>
    </row>
    <row r="15006">
      <c r="A15006" t="str">
        <f>IFERROR(__xludf.DUMMYFUNCTION("""COMPUTED_VALUE"""),"VW053BB")</f>
        <v>VW053BB</v>
      </c>
      <c r="B15006" s="226" t="str">
        <f>IFERROR(__xludf.DUMMYFUNCTION("""COMPUTED_VALUE"""),"8717323011096")</f>
        <v>8717323011096</v>
      </c>
      <c r="C15006" t="str">
        <f>IFERROR(__xludf.DUMMYFUNCTION("""COMPUTED_VALUE"""),"ECS")</f>
        <v>ECS</v>
      </c>
    </row>
    <row r="15007">
      <c r="A15007" t="str">
        <f>IFERROR(__xludf.DUMMYFUNCTION("""COMPUTED_VALUE"""),"VW053DG")</f>
        <v>VW053DG</v>
      </c>
      <c r="B15007" s="226" t="str">
        <f>IFERROR(__xludf.DUMMYFUNCTION("""COMPUTED_VALUE"""),"8717323022559")</f>
        <v>8717323022559</v>
      </c>
      <c r="C15007" t="str">
        <f>IFERROR(__xludf.DUMMYFUNCTION("""COMPUTED_VALUE"""),"ECS")</f>
        <v>ECS</v>
      </c>
    </row>
    <row r="15008">
      <c r="A15008" t="str">
        <f>IFERROR(__xludf.DUMMYFUNCTION("""COMPUTED_VALUE"""),"VW053DH")</f>
        <v>VW053DH</v>
      </c>
      <c r="B15008" s="226" t="str">
        <f>IFERROR(__xludf.DUMMYFUNCTION("""COMPUTED_VALUE"""),"8717323022566")</f>
        <v>8717323022566</v>
      </c>
      <c r="C15008" t="str">
        <f>IFERROR(__xludf.DUMMYFUNCTION("""COMPUTED_VALUE"""),"ECS")</f>
        <v>ECS</v>
      </c>
    </row>
    <row r="15009">
      <c r="A15009" t="str">
        <f>IFERROR(__xludf.DUMMYFUNCTION("""COMPUTED_VALUE"""),"VW126B1")</f>
        <v>VW126B1</v>
      </c>
      <c r="B15009" s="226" t="str">
        <f>IFERROR(__xludf.DUMMYFUNCTION("""COMPUTED_VALUE"""),"8717323048030")</f>
        <v>8717323048030</v>
      </c>
      <c r="C15009" t="str">
        <f>IFERROR(__xludf.DUMMYFUNCTION("""COMPUTED_VALUE"""),"ECS")</f>
        <v>ECS</v>
      </c>
    </row>
    <row r="15010">
      <c r="A15010" t="str">
        <f>IFERROR(__xludf.DUMMYFUNCTION("""COMPUTED_VALUE"""),"VW126D1")</f>
        <v>VW126D1</v>
      </c>
      <c r="B15010" s="226" t="str">
        <f>IFERROR(__xludf.DUMMYFUNCTION("""COMPUTED_VALUE"""),"8717323048047")</f>
        <v>8717323048047</v>
      </c>
      <c r="C15010" t="str">
        <f>IFERROR(__xludf.DUMMYFUNCTION("""COMPUTED_VALUE"""),"ECS")</f>
        <v>ECS</v>
      </c>
    </row>
    <row r="15011">
      <c r="A15011" t="str">
        <f>IFERROR(__xludf.DUMMYFUNCTION("""COMPUTED_VALUE"""),"VW048BB")</f>
        <v>VW048BB</v>
      </c>
      <c r="B15011" s="226" t="str">
        <f>IFERROR(__xludf.DUMMYFUNCTION("""COMPUTED_VALUE"""),"8717323014257")</f>
        <v>8717323014257</v>
      </c>
      <c r="C15011" t="str">
        <f>IFERROR(__xludf.DUMMYFUNCTION("""COMPUTED_VALUE"""),"ECS")</f>
        <v>ECS</v>
      </c>
    </row>
    <row r="15012">
      <c r="A15012" t="str">
        <f>IFERROR(__xludf.DUMMYFUNCTION("""COMPUTED_VALUE"""),"VW126B1")</f>
        <v>VW126B1</v>
      </c>
      <c r="B15012" s="226" t="str">
        <f>IFERROR(__xludf.DUMMYFUNCTION("""COMPUTED_VALUE"""),"8717323048030")</f>
        <v>8717323048030</v>
      </c>
      <c r="C15012" t="str">
        <f>IFERROR(__xludf.DUMMYFUNCTION("""COMPUTED_VALUE"""),"ECS")</f>
        <v>ECS</v>
      </c>
    </row>
    <row r="15013">
      <c r="A15013" t="str">
        <f>IFERROR(__xludf.DUMMYFUNCTION("""COMPUTED_VALUE"""),"VW126D1")</f>
        <v>VW126D1</v>
      </c>
      <c r="B15013" s="226" t="str">
        <f>IFERROR(__xludf.DUMMYFUNCTION("""COMPUTED_VALUE"""),"8717323048047")</f>
        <v>8717323048047</v>
      </c>
      <c r="C15013" t="str">
        <f>IFERROR(__xludf.DUMMYFUNCTION("""COMPUTED_VALUE"""),"ECS")</f>
        <v>ECS</v>
      </c>
    </row>
    <row r="15014">
      <c r="A15014" t="str">
        <f>IFERROR(__xludf.DUMMYFUNCTION("""COMPUTED_VALUE"""),"VW053BB")</f>
        <v>VW053BB</v>
      </c>
      <c r="B15014" s="226" t="str">
        <f>IFERROR(__xludf.DUMMYFUNCTION("""COMPUTED_VALUE"""),"8717323011096")</f>
        <v>8717323011096</v>
      </c>
      <c r="C15014" t="str">
        <f>IFERROR(__xludf.DUMMYFUNCTION("""COMPUTED_VALUE"""),"ECS")</f>
        <v>ECS</v>
      </c>
    </row>
    <row r="15015">
      <c r="A15015" t="str">
        <f>IFERROR(__xludf.DUMMYFUNCTION("""COMPUTED_VALUE"""),"VW053DG")</f>
        <v>VW053DG</v>
      </c>
      <c r="B15015" s="226" t="str">
        <f>IFERROR(__xludf.DUMMYFUNCTION("""COMPUTED_VALUE"""),"8717323022559")</f>
        <v>8717323022559</v>
      </c>
      <c r="C15015" t="str">
        <f>IFERROR(__xludf.DUMMYFUNCTION("""COMPUTED_VALUE"""),"ECS")</f>
        <v>ECS</v>
      </c>
    </row>
    <row r="15016">
      <c r="A15016" t="str">
        <f>IFERROR(__xludf.DUMMYFUNCTION("""COMPUTED_VALUE"""),"VW053DH")</f>
        <v>VW053DH</v>
      </c>
      <c r="B15016" s="226" t="str">
        <f>IFERROR(__xludf.DUMMYFUNCTION("""COMPUTED_VALUE"""),"8717323022566")</f>
        <v>8717323022566</v>
      </c>
      <c r="C15016" t="str">
        <f>IFERROR(__xludf.DUMMYFUNCTION("""COMPUTED_VALUE"""),"ECS")</f>
        <v>ECS</v>
      </c>
    </row>
    <row r="15017">
      <c r="A15017" t="str">
        <f>IFERROR(__xludf.DUMMYFUNCTION("""COMPUTED_VALUE"""),"VW126B1")</f>
        <v>VW126B1</v>
      </c>
      <c r="B15017" s="226" t="str">
        <f>IFERROR(__xludf.DUMMYFUNCTION("""COMPUTED_VALUE"""),"8717323048030")</f>
        <v>8717323048030</v>
      </c>
      <c r="C15017" t="str">
        <f>IFERROR(__xludf.DUMMYFUNCTION("""COMPUTED_VALUE"""),"ECS")</f>
        <v>ECS</v>
      </c>
    </row>
    <row r="15018">
      <c r="A15018" t="str">
        <f>IFERROR(__xludf.DUMMYFUNCTION("""COMPUTED_VALUE"""),"VW126D1")</f>
        <v>VW126D1</v>
      </c>
      <c r="B15018" s="226" t="str">
        <f>IFERROR(__xludf.DUMMYFUNCTION("""COMPUTED_VALUE"""),"8717323048047")</f>
        <v>8717323048047</v>
      </c>
      <c r="C15018" t="str">
        <f>IFERROR(__xludf.DUMMYFUNCTION("""COMPUTED_VALUE"""),"ECS")</f>
        <v>ECS</v>
      </c>
    </row>
    <row r="15019">
      <c r="A15019" t="str">
        <f>IFERROR(__xludf.DUMMYFUNCTION("""COMPUTED_VALUE"""),"VW126B1")</f>
        <v>VW126B1</v>
      </c>
      <c r="B15019" s="226" t="str">
        <f>IFERROR(__xludf.DUMMYFUNCTION("""COMPUTED_VALUE"""),"8717323048030")</f>
        <v>8717323048030</v>
      </c>
      <c r="C15019" t="str">
        <f>IFERROR(__xludf.DUMMYFUNCTION("""COMPUTED_VALUE"""),"ECS")</f>
        <v>ECS</v>
      </c>
    </row>
    <row r="15020">
      <c r="A15020" t="str">
        <f>IFERROR(__xludf.DUMMYFUNCTION("""COMPUTED_VALUE"""),"VW126D1")</f>
        <v>VW126D1</v>
      </c>
      <c r="B15020" s="226" t="str">
        <f>IFERROR(__xludf.DUMMYFUNCTION("""COMPUTED_VALUE"""),"8717323048047")</f>
        <v>8717323048047</v>
      </c>
      <c r="C15020" t="str">
        <f>IFERROR(__xludf.DUMMYFUNCTION("""COMPUTED_VALUE"""),"ECS")</f>
        <v>ECS</v>
      </c>
    </row>
    <row r="15021">
      <c r="A15021" t="str">
        <f>IFERROR(__xludf.DUMMYFUNCTION("""COMPUTED_VALUE"""),"VW165B1")</f>
        <v>VW165B1</v>
      </c>
      <c r="B15021" s="226" t="str">
        <f>IFERROR(__xludf.DUMMYFUNCTION("""COMPUTED_VALUE"""),"8717323056363")</f>
        <v>8717323056363</v>
      </c>
      <c r="C15021" t="str">
        <f>IFERROR(__xludf.DUMMYFUNCTION("""COMPUTED_VALUE"""),"ECS")</f>
        <v>ECS</v>
      </c>
    </row>
    <row r="15022">
      <c r="A15022" t="str">
        <f>IFERROR(__xludf.DUMMYFUNCTION("""COMPUTED_VALUE"""),"VW165D1")</f>
        <v>VW165D1</v>
      </c>
      <c r="B15022" s="226" t="str">
        <f>IFERROR(__xludf.DUMMYFUNCTION("""COMPUTED_VALUE"""),"8717323056370")</f>
        <v>8717323056370</v>
      </c>
      <c r="C15022" t="str">
        <f>IFERROR(__xludf.DUMMYFUNCTION("""COMPUTED_VALUE"""),"ECS")</f>
        <v>ECS</v>
      </c>
    </row>
    <row r="15023">
      <c r="A15023" t="str">
        <f>IFERROR(__xludf.DUMMYFUNCTION("""COMPUTED_VALUE"""),"VW126B1")</f>
        <v>VW126B1</v>
      </c>
      <c r="B15023" s="226" t="str">
        <f>IFERROR(__xludf.DUMMYFUNCTION("""COMPUTED_VALUE"""),"8717323048030")</f>
        <v>8717323048030</v>
      </c>
      <c r="C15023" t="str">
        <f>IFERROR(__xludf.DUMMYFUNCTION("""COMPUTED_VALUE"""),"ECS")</f>
        <v>ECS</v>
      </c>
    </row>
    <row r="15024">
      <c r="A15024" t="str">
        <f>IFERROR(__xludf.DUMMYFUNCTION("""COMPUTED_VALUE"""),"VW126D1")</f>
        <v>VW126D1</v>
      </c>
      <c r="B15024" s="226" t="str">
        <f>IFERROR(__xludf.DUMMYFUNCTION("""COMPUTED_VALUE"""),"8717323048047")</f>
        <v>8717323048047</v>
      </c>
      <c r="C15024" t="str">
        <f>IFERROR(__xludf.DUMMYFUNCTION("""COMPUTED_VALUE"""),"ECS")</f>
        <v>ECS</v>
      </c>
    </row>
    <row r="15025">
      <c r="A15025" t="str">
        <f>IFERROR(__xludf.DUMMYFUNCTION("""COMPUTED_VALUE"""),"VW126B1")</f>
        <v>VW126B1</v>
      </c>
      <c r="B15025" s="226" t="str">
        <f>IFERROR(__xludf.DUMMYFUNCTION("""COMPUTED_VALUE"""),"8717323048030")</f>
        <v>8717323048030</v>
      </c>
      <c r="C15025" t="str">
        <f>IFERROR(__xludf.DUMMYFUNCTION("""COMPUTED_VALUE"""),"ECS")</f>
        <v>ECS</v>
      </c>
    </row>
    <row r="15026">
      <c r="A15026" t="str">
        <f>IFERROR(__xludf.DUMMYFUNCTION("""COMPUTED_VALUE"""),"VW126D1")</f>
        <v>VW126D1</v>
      </c>
      <c r="B15026" s="226" t="str">
        <f>IFERROR(__xludf.DUMMYFUNCTION("""COMPUTED_VALUE"""),"8717323048047")</f>
        <v>8717323048047</v>
      </c>
      <c r="C15026" t="str">
        <f>IFERROR(__xludf.DUMMYFUNCTION("""COMPUTED_VALUE"""),"ECS")</f>
        <v>ECS</v>
      </c>
    </row>
    <row r="15027">
      <c r="A15027" t="str">
        <f>IFERROR(__xludf.DUMMYFUNCTION("""COMPUTED_VALUE"""),"VW165B1")</f>
        <v>VW165B1</v>
      </c>
      <c r="B15027" s="226" t="str">
        <f>IFERROR(__xludf.DUMMYFUNCTION("""COMPUTED_VALUE"""),"8717323056363")</f>
        <v>8717323056363</v>
      </c>
      <c r="C15027" t="str">
        <f>IFERROR(__xludf.DUMMYFUNCTION("""COMPUTED_VALUE"""),"ECS")</f>
        <v>ECS</v>
      </c>
    </row>
    <row r="15028">
      <c r="A15028" t="str">
        <f>IFERROR(__xludf.DUMMYFUNCTION("""COMPUTED_VALUE"""),"VW165D1")</f>
        <v>VW165D1</v>
      </c>
      <c r="B15028" s="226" t="str">
        <f>IFERROR(__xludf.DUMMYFUNCTION("""COMPUTED_VALUE"""),"8717323056370")</f>
        <v>8717323056370</v>
      </c>
      <c r="C15028" t="str">
        <f>IFERROR(__xludf.DUMMYFUNCTION("""COMPUTED_VALUE"""),"ECS")</f>
        <v>ECS</v>
      </c>
    </row>
    <row r="15029">
      <c r="A15029" t="str">
        <f>IFERROR(__xludf.DUMMYFUNCTION("""COMPUTED_VALUE"""),"VW252B1")</f>
        <v>VW252B1</v>
      </c>
      <c r="B15029" s="226" t="str">
        <f>IFERROR(__xludf.DUMMYFUNCTION("""COMPUTED_VALUE"""),"8717323071335")</f>
        <v>8717323071335</v>
      </c>
      <c r="C15029" t="str">
        <f>IFERROR(__xludf.DUMMYFUNCTION("""COMPUTED_VALUE"""),"ECS")</f>
        <v>ECS</v>
      </c>
    </row>
    <row r="15030">
      <c r="A15030" t="str">
        <f>IFERROR(__xludf.DUMMYFUNCTION("""COMPUTED_VALUE"""),"VW252D1")</f>
        <v>VW252D1</v>
      </c>
      <c r="B15030" s="226" t="str">
        <f>IFERROR(__xludf.DUMMYFUNCTION("""COMPUTED_VALUE"""),"8717323071311")</f>
        <v>8717323071311</v>
      </c>
      <c r="C15030" t="str">
        <f>IFERROR(__xludf.DUMMYFUNCTION("""COMPUTED_VALUE"""),"ECS")</f>
        <v>ECS</v>
      </c>
    </row>
    <row r="15031">
      <c r="A15031" t="str">
        <f>IFERROR(__xludf.DUMMYFUNCTION("""COMPUTED_VALUE"""),"VW252B1")</f>
        <v>VW252B1</v>
      </c>
      <c r="B15031" s="226" t="str">
        <f>IFERROR(__xludf.DUMMYFUNCTION("""COMPUTED_VALUE"""),"8717323071335")</f>
        <v>8717323071335</v>
      </c>
      <c r="C15031" t="str">
        <f>IFERROR(__xludf.DUMMYFUNCTION("""COMPUTED_VALUE"""),"ECS")</f>
        <v>ECS</v>
      </c>
    </row>
    <row r="15032">
      <c r="A15032" t="str">
        <f>IFERROR(__xludf.DUMMYFUNCTION("""COMPUTED_VALUE"""),"VW252D1")</f>
        <v>VW252D1</v>
      </c>
      <c r="B15032" s="226" t="str">
        <f>IFERROR(__xludf.DUMMYFUNCTION("""COMPUTED_VALUE"""),"8717323071311")</f>
        <v>8717323071311</v>
      </c>
      <c r="C15032" t="str">
        <f>IFERROR(__xludf.DUMMYFUNCTION("""COMPUTED_VALUE"""),"ECS")</f>
        <v>ECS</v>
      </c>
    </row>
    <row r="15033">
      <c r="A15033" t="str">
        <f>IFERROR(__xludf.DUMMYFUNCTION("""COMPUTED_VALUE"""),"VW252B1")</f>
        <v>VW252B1</v>
      </c>
      <c r="B15033" s="226" t="str">
        <f>IFERROR(__xludf.DUMMYFUNCTION("""COMPUTED_VALUE"""),"8717323071335")</f>
        <v>8717323071335</v>
      </c>
      <c r="C15033" t="str">
        <f>IFERROR(__xludf.DUMMYFUNCTION("""COMPUTED_VALUE"""),"ECS")</f>
        <v>ECS</v>
      </c>
    </row>
    <row r="15034">
      <c r="A15034" t="str">
        <f>IFERROR(__xludf.DUMMYFUNCTION("""COMPUTED_VALUE"""),"VW252D1")</f>
        <v>VW252D1</v>
      </c>
      <c r="B15034" s="226" t="str">
        <f>IFERROR(__xludf.DUMMYFUNCTION("""COMPUTED_VALUE"""),"8717323071311")</f>
        <v>8717323071311</v>
      </c>
      <c r="C15034" t="str">
        <f>IFERROR(__xludf.DUMMYFUNCTION("""COMPUTED_VALUE"""),"ECS")</f>
        <v>ECS</v>
      </c>
    </row>
    <row r="15035">
      <c r="A15035" t="str">
        <f>IFERROR(__xludf.DUMMYFUNCTION("""COMPUTED_VALUE"""),"VW146B1")</f>
        <v>VW146B1</v>
      </c>
      <c r="B15035" s="226" t="str">
        <f>IFERROR(__xludf.DUMMYFUNCTION("""COMPUTED_VALUE"""),"8717323050644")</f>
        <v>8717323050644</v>
      </c>
      <c r="C15035" t="str">
        <f>IFERROR(__xludf.DUMMYFUNCTION("""COMPUTED_VALUE"""),"ECS")</f>
        <v>ECS</v>
      </c>
    </row>
    <row r="15036">
      <c r="A15036" t="str">
        <f>IFERROR(__xludf.DUMMYFUNCTION("""COMPUTED_VALUE"""),"VW146D1")</f>
        <v>VW146D1</v>
      </c>
      <c r="B15036" s="226" t="str">
        <f>IFERROR(__xludf.DUMMYFUNCTION("""COMPUTED_VALUE"""),"8717323050651")</f>
        <v>8717323050651</v>
      </c>
      <c r="C15036" t="str">
        <f>IFERROR(__xludf.DUMMYFUNCTION("""COMPUTED_VALUE"""),"ECS")</f>
        <v>ECS</v>
      </c>
    </row>
    <row r="15037">
      <c r="A15037" t="str">
        <f>IFERROR(__xludf.DUMMYFUNCTION("""COMPUTED_VALUE"""),"VW190B1")</f>
        <v>VW190B1</v>
      </c>
      <c r="B15037" s="226" t="str">
        <f>IFERROR(__xludf.DUMMYFUNCTION("""COMPUTED_VALUE"""),"8717323061039")</f>
        <v>8717323061039</v>
      </c>
      <c r="C15037" t="str">
        <f>IFERROR(__xludf.DUMMYFUNCTION("""COMPUTED_VALUE"""),"ECS")</f>
        <v>ECS</v>
      </c>
    </row>
    <row r="15038">
      <c r="A15038" t="str">
        <f>IFERROR(__xludf.DUMMYFUNCTION("""COMPUTED_VALUE"""),"VW190H1")</f>
        <v>VW190H1</v>
      </c>
      <c r="B15038" s="226" t="str">
        <f>IFERROR(__xludf.DUMMYFUNCTION("""COMPUTED_VALUE"""),"8717323060957")</f>
        <v>8717323060957</v>
      </c>
      <c r="C15038" t="str">
        <f>IFERROR(__xludf.DUMMYFUNCTION("""COMPUTED_VALUE"""),"ECS")</f>
        <v>ECS</v>
      </c>
    </row>
    <row r="15039">
      <c r="A15039" t="str">
        <f>IFERROR(__xludf.DUMMYFUNCTION("""COMPUTED_VALUE"""),"VW121DH")</f>
        <v>VW121DH</v>
      </c>
      <c r="B15039" s="226" t="str">
        <f>IFERROR(__xludf.DUMMYFUNCTION("""COMPUTED_VALUE"""),"8717323030646")</f>
        <v>8717323030646</v>
      </c>
      <c r="C15039" t="str">
        <f>IFERROR(__xludf.DUMMYFUNCTION("""COMPUTED_VALUE"""),"ECS")</f>
        <v>ECS</v>
      </c>
    </row>
    <row r="15040">
      <c r="A15040" t="str">
        <f>IFERROR(__xludf.DUMMYFUNCTION("""COMPUTED_VALUE"""),"VW121DH")</f>
        <v>VW121DH</v>
      </c>
      <c r="B15040" s="226" t="str">
        <f>IFERROR(__xludf.DUMMYFUNCTION("""COMPUTED_VALUE"""),"8717323030646")</f>
        <v>8717323030646</v>
      </c>
      <c r="C15040" t="str">
        <f>IFERROR(__xludf.DUMMYFUNCTION("""COMPUTED_VALUE"""),"ECS")</f>
        <v>ECS</v>
      </c>
    </row>
    <row r="15041">
      <c r="A15041" t="str">
        <f>IFERROR(__xludf.DUMMYFUNCTION("""COMPUTED_VALUE"""),"VL014BX")</f>
        <v>VL014BX</v>
      </c>
      <c r="B15041" s="226" t="str">
        <f>IFERROR(__xludf.DUMMYFUNCTION("""COMPUTED_VALUE"""),"8717323025789")</f>
        <v>8717323025789</v>
      </c>
      <c r="C15041" t="str">
        <f>IFERROR(__xludf.DUMMYFUNCTION("""COMPUTED_VALUE"""),"ECS")</f>
        <v>ECS</v>
      </c>
    </row>
    <row r="15042">
      <c r="A15042" t="str">
        <f>IFERROR(__xludf.DUMMYFUNCTION("""COMPUTED_VALUE"""),"VL014DX")</f>
        <v>VL014DX</v>
      </c>
      <c r="B15042" s="226" t="str">
        <f>IFERROR(__xludf.DUMMYFUNCTION("""COMPUTED_VALUE"""),"8717323025796")</f>
        <v>8717323025796</v>
      </c>
      <c r="C15042" t="str">
        <f>IFERROR(__xludf.DUMMYFUNCTION("""COMPUTED_VALUE"""),"ECS")</f>
        <v>ECS</v>
      </c>
    </row>
    <row r="15043">
      <c r="A15043" t="str">
        <f>IFERROR(__xludf.DUMMYFUNCTION("""COMPUTED_VALUE"""),"VL003HL")</f>
        <v>VL003HL</v>
      </c>
      <c r="B15043" s="226" t="str">
        <f>IFERROR(__xludf.DUMMYFUNCTION("""COMPUTED_VALUE"""),"8717323022313")</f>
        <v>8717323022313</v>
      </c>
      <c r="C15043" t="str">
        <f>IFERROR(__xludf.DUMMYFUNCTION("""COMPUTED_VALUE"""),"ECS")</f>
        <v>ECS</v>
      </c>
    </row>
    <row r="15044">
      <c r="A15044" t="str">
        <f>IFERROR(__xludf.DUMMYFUNCTION("""COMPUTED_VALUE"""),"VL022BX")</f>
        <v>VL022BX</v>
      </c>
      <c r="B15044" s="226" t="str">
        <f>IFERROR(__xludf.DUMMYFUNCTION("""COMPUTED_VALUE"""),"8717323034606")</f>
        <v>8717323034606</v>
      </c>
      <c r="C15044" t="str">
        <f>IFERROR(__xludf.DUMMYFUNCTION("""COMPUTED_VALUE"""),"ECS")</f>
        <v>ECS</v>
      </c>
    </row>
    <row r="15045">
      <c r="A15045" t="str">
        <f>IFERROR(__xludf.DUMMYFUNCTION("""COMPUTED_VALUE"""),"VL022DX")</f>
        <v>VL022DX</v>
      </c>
      <c r="B15045" s="226" t="str">
        <f>IFERROR(__xludf.DUMMYFUNCTION("""COMPUTED_VALUE"""),"8717323034613")</f>
        <v>8717323034613</v>
      </c>
      <c r="C15045" t="str">
        <f>IFERROR(__xludf.DUMMYFUNCTION("""COMPUTED_VALUE"""),"ECS")</f>
        <v>ECS</v>
      </c>
    </row>
    <row r="15046">
      <c r="A15046" t="str">
        <f>IFERROR(__xludf.DUMMYFUNCTION("""COMPUTED_VALUE"""),"VOL016B")</f>
        <v>VOL016B</v>
      </c>
      <c r="B15046" s="226" t="str">
        <f>IFERROR(__xludf.DUMMYFUNCTION("""COMPUTED_VALUE"""),"8717323008980")</f>
        <v>8717323008980</v>
      </c>
      <c r="C15046" t="str">
        <f>IFERROR(__xludf.DUMMYFUNCTION("""COMPUTED_VALUE"""),"ECS")</f>
        <v>ECS</v>
      </c>
    </row>
    <row r="15047">
      <c r="A15047" t="str">
        <f>IFERROR(__xludf.DUMMYFUNCTION("""COMPUTED_VALUE"""),"VL002BB")</f>
        <v>VL002BB</v>
      </c>
      <c r="B15047" s="226" t="str">
        <f>IFERROR(__xludf.DUMMYFUNCTION("""COMPUTED_VALUE"""),"8717323008843")</f>
        <v>8717323008843</v>
      </c>
      <c r="C15047" t="str">
        <f>IFERROR(__xludf.DUMMYFUNCTION("""COMPUTED_VALUE"""),"ECS")</f>
        <v>ECS</v>
      </c>
    </row>
    <row r="15048">
      <c r="A15048" t="str">
        <f>IFERROR(__xludf.DUMMYFUNCTION("""COMPUTED_VALUE"""),"VL002BL")</f>
        <v>VL002BL</v>
      </c>
      <c r="B15048" s="226" t="str">
        <f>IFERROR(__xludf.DUMMYFUNCTION("""COMPUTED_VALUE"""),"8717323022290")</f>
        <v>8717323022290</v>
      </c>
      <c r="C15048" t="str">
        <f>IFERROR(__xludf.DUMMYFUNCTION("""COMPUTED_VALUE"""),"ECS")</f>
        <v>ECS</v>
      </c>
    </row>
    <row r="15049">
      <c r="A15049" t="str">
        <f>IFERROR(__xludf.DUMMYFUNCTION("""COMPUTED_VALUE"""),"VL002HB")</f>
        <v>VL002HB</v>
      </c>
      <c r="B15049" s="226" t="str">
        <f>IFERROR(__xludf.DUMMYFUNCTION("""COMPUTED_VALUE"""),"8717323008850")</f>
        <v>8717323008850</v>
      </c>
      <c r="C15049" t="str">
        <f>IFERROR(__xludf.DUMMYFUNCTION("""COMPUTED_VALUE"""),"ECS")</f>
        <v>ECS</v>
      </c>
    </row>
    <row r="15050">
      <c r="A15050" t="str">
        <f>IFERROR(__xludf.DUMMYFUNCTION("""COMPUTED_VALUE"""),"VL002HL")</f>
        <v>VL002HL</v>
      </c>
      <c r="B15050" s="226" t="str">
        <f>IFERROR(__xludf.DUMMYFUNCTION("""COMPUTED_VALUE"""),"8717323022306")</f>
        <v>8717323022306</v>
      </c>
      <c r="C15050" t="str">
        <f>IFERROR(__xludf.DUMMYFUNCTION("""COMPUTED_VALUE"""),"ECS")</f>
        <v>ECS</v>
      </c>
    </row>
    <row r="15051">
      <c r="A15051" t="str">
        <f>IFERROR(__xludf.DUMMYFUNCTION("""COMPUTED_VALUE"""),"VL007BL")</f>
        <v>VL007BL</v>
      </c>
      <c r="B15051" s="226" t="str">
        <f>IFERROR(__xludf.DUMMYFUNCTION("""COMPUTED_VALUE"""),"8717323011058")</f>
        <v>8717323011058</v>
      </c>
      <c r="C15051" t="str">
        <f>IFERROR(__xludf.DUMMYFUNCTION("""COMPUTED_VALUE"""),"ECS")</f>
        <v>ECS</v>
      </c>
    </row>
    <row r="15052">
      <c r="A15052" t="str">
        <f>IFERROR(__xludf.DUMMYFUNCTION("""COMPUTED_VALUE"""),"VL007DL")</f>
        <v>VL007DL</v>
      </c>
      <c r="B15052" s="226" t="str">
        <f>IFERROR(__xludf.DUMMYFUNCTION("""COMPUTED_VALUE"""),"8717323011065")</f>
        <v>8717323011065</v>
      </c>
      <c r="C15052" t="str">
        <f>IFERROR(__xludf.DUMMYFUNCTION("""COMPUTED_VALUE"""),"ECS")</f>
        <v>ECS</v>
      </c>
    </row>
    <row r="15053">
      <c r="A15053" t="str">
        <f>IFERROR(__xludf.DUMMYFUNCTION("""COMPUTED_VALUE"""),"VL014BX")</f>
        <v>VL014BX</v>
      </c>
      <c r="B15053" s="226" t="str">
        <f>IFERROR(__xludf.DUMMYFUNCTION("""COMPUTED_VALUE"""),"8717323025789")</f>
        <v>8717323025789</v>
      </c>
      <c r="C15053" t="str">
        <f>IFERROR(__xludf.DUMMYFUNCTION("""COMPUTED_VALUE"""),"ECS")</f>
        <v>ECS</v>
      </c>
    </row>
    <row r="15054">
      <c r="A15054" t="str">
        <f>IFERROR(__xludf.DUMMYFUNCTION("""COMPUTED_VALUE"""),"VL014DX")</f>
        <v>VL014DX</v>
      </c>
      <c r="B15054" s="226" t="str">
        <f>IFERROR(__xludf.DUMMYFUNCTION("""COMPUTED_VALUE"""),"8717323025796")</f>
        <v>8717323025796</v>
      </c>
      <c r="C15054" t="str">
        <f>IFERROR(__xludf.DUMMYFUNCTION("""COMPUTED_VALUE"""),"ECS")</f>
        <v>ECS</v>
      </c>
    </row>
    <row r="15055">
      <c r="A15055" t="str">
        <f>IFERROR(__xludf.DUMMYFUNCTION("""COMPUTED_VALUE"""),"VL001BQ")</f>
        <v>VL001BQ</v>
      </c>
      <c r="B15055" s="226" t="str">
        <f>IFERROR(__xludf.DUMMYFUNCTION("""COMPUTED_VALUE"""),"8717323008829")</f>
        <v>8717323008829</v>
      </c>
      <c r="C15055" t="str">
        <f>IFERROR(__xludf.DUMMYFUNCTION("""COMPUTED_VALUE"""),"ECS")</f>
        <v>ECS</v>
      </c>
    </row>
    <row r="15056">
      <c r="A15056" t="str">
        <f>IFERROR(__xludf.DUMMYFUNCTION("""COMPUTED_VALUE"""),"VL001DQ")</f>
        <v>VL001DQ</v>
      </c>
      <c r="B15056" s="226" t="str">
        <f>IFERROR(__xludf.DUMMYFUNCTION("""COMPUTED_VALUE"""),"8717323008836")</f>
        <v>8717323008836</v>
      </c>
      <c r="C15056" t="str">
        <f>IFERROR(__xludf.DUMMYFUNCTION("""COMPUTED_VALUE"""),"ECS")</f>
        <v>ECS</v>
      </c>
    </row>
    <row r="15057">
      <c r="A15057" t="str">
        <f>IFERROR(__xludf.DUMMYFUNCTION("""COMPUTED_VALUE"""),"VL010BL")</f>
        <v>VL010BL</v>
      </c>
      <c r="B15057" s="226" t="str">
        <f>IFERROR(__xludf.DUMMYFUNCTION("""COMPUTED_VALUE"""),"8717323012758")</f>
        <v>8717323012758</v>
      </c>
      <c r="C15057" t="str">
        <f>IFERROR(__xludf.DUMMYFUNCTION("""COMPUTED_VALUE"""),"ECS")</f>
        <v>ECS</v>
      </c>
    </row>
    <row r="15058">
      <c r="A15058" t="str">
        <f>IFERROR(__xludf.DUMMYFUNCTION("""COMPUTED_VALUE"""),"VL010DL")</f>
        <v>VL010DL</v>
      </c>
      <c r="B15058" s="226" t="str">
        <f>IFERROR(__xludf.DUMMYFUNCTION("""COMPUTED_VALUE"""),"8717323012765")</f>
        <v>8717323012765</v>
      </c>
      <c r="C15058" t="str">
        <f>IFERROR(__xludf.DUMMYFUNCTION("""COMPUTED_VALUE"""),"ECS")</f>
        <v>ECS</v>
      </c>
    </row>
    <row r="15059">
      <c r="A15059" t="str">
        <f>IFERROR(__xludf.DUMMYFUNCTION("""COMPUTED_VALUE"""),"VL026B1")</f>
        <v>VL026B1</v>
      </c>
      <c r="B15059" s="226" t="str">
        <f>IFERROR(__xludf.DUMMYFUNCTION("""COMPUTED_VALUE"""),"8717323050163")</f>
        <v>8717323050163</v>
      </c>
      <c r="C15059" t="str">
        <f>IFERROR(__xludf.DUMMYFUNCTION("""COMPUTED_VALUE"""),"ECS")</f>
        <v>ECS</v>
      </c>
    </row>
    <row r="15060">
      <c r="A15060" t="str">
        <f>IFERROR(__xludf.DUMMYFUNCTION("""COMPUTED_VALUE"""),"VL026D1")</f>
        <v>VL026D1</v>
      </c>
      <c r="B15060" s="226" t="str">
        <f>IFERROR(__xludf.DUMMYFUNCTION("""COMPUTED_VALUE"""),"8717323050149")</f>
        <v>8717323050149</v>
      </c>
      <c r="C15060" t="str">
        <f>IFERROR(__xludf.DUMMYFUNCTION("""COMPUTED_VALUE"""),"ECS")</f>
        <v>ECS</v>
      </c>
    </row>
    <row r="15061">
      <c r="A15061" t="str">
        <f>IFERROR(__xludf.DUMMYFUNCTION("""COMPUTED_VALUE"""),"VL048FX")</f>
        <v>VL048FX</v>
      </c>
      <c r="B15061" s="226" t="str">
        <f>IFERROR(__xludf.DUMMYFUNCTION("""COMPUTED_VALUE"""),"8717323065006")</f>
        <v>8717323065006</v>
      </c>
      <c r="C15061" t="str">
        <f>IFERROR(__xludf.DUMMYFUNCTION("""COMPUTED_VALUE"""),"ECS")</f>
        <v>ECS</v>
      </c>
    </row>
    <row r="15062">
      <c r="A15062" t="str">
        <f>IFERROR(__xludf.DUMMYFUNCTION("""COMPUTED_VALUE"""),"VL048HX")</f>
        <v>VL048HX</v>
      </c>
      <c r="B15062" s="226" t="str">
        <f>IFERROR(__xludf.DUMMYFUNCTION("""COMPUTED_VALUE"""),"8717323065013")</f>
        <v>8717323065013</v>
      </c>
      <c r="C15062" t="str">
        <f>IFERROR(__xludf.DUMMYFUNCTION("""COMPUTED_VALUE"""),"ECS")</f>
        <v>ECS</v>
      </c>
    </row>
    <row r="15063">
      <c r="A15063" t="str">
        <f>IFERROR(__xludf.DUMMYFUNCTION("""COMPUTED_VALUE"""),"VL001BQ")</f>
        <v>VL001BQ</v>
      </c>
      <c r="B15063" s="226" t="str">
        <f>IFERROR(__xludf.DUMMYFUNCTION("""COMPUTED_VALUE"""),"8717323008829")</f>
        <v>8717323008829</v>
      </c>
      <c r="C15063" t="str">
        <f>IFERROR(__xludf.DUMMYFUNCTION("""COMPUTED_VALUE"""),"ECS")</f>
        <v>ECS</v>
      </c>
    </row>
    <row r="15064">
      <c r="A15064" t="str">
        <f>IFERROR(__xludf.DUMMYFUNCTION("""COMPUTED_VALUE"""),"VL001DQ")</f>
        <v>VL001DQ</v>
      </c>
      <c r="B15064" s="226" t="str">
        <f>IFERROR(__xludf.DUMMYFUNCTION("""COMPUTED_VALUE"""),"8717323008836")</f>
        <v>8717323008836</v>
      </c>
      <c r="C15064" t="str">
        <f>IFERROR(__xludf.DUMMYFUNCTION("""COMPUTED_VALUE"""),"ECS")</f>
        <v>ECS</v>
      </c>
    </row>
    <row r="15065">
      <c r="A15065" t="str">
        <f>IFERROR(__xludf.DUMMYFUNCTION("""COMPUTED_VALUE"""),"VL010BL")</f>
        <v>VL010BL</v>
      </c>
      <c r="B15065" s="226" t="str">
        <f>IFERROR(__xludf.DUMMYFUNCTION("""COMPUTED_VALUE"""),"8717323012758")</f>
        <v>8717323012758</v>
      </c>
      <c r="C15065" t="str">
        <f>IFERROR(__xludf.DUMMYFUNCTION("""COMPUTED_VALUE"""),"ECS")</f>
        <v>ECS</v>
      </c>
    </row>
    <row r="15066">
      <c r="A15066" t="str">
        <f>IFERROR(__xludf.DUMMYFUNCTION("""COMPUTED_VALUE"""),"VL010DL")</f>
        <v>VL010DL</v>
      </c>
      <c r="B15066" s="226" t="str">
        <f>IFERROR(__xludf.DUMMYFUNCTION("""COMPUTED_VALUE"""),"8717323012765")</f>
        <v>8717323012765</v>
      </c>
      <c r="C15066" t="str">
        <f>IFERROR(__xludf.DUMMYFUNCTION("""COMPUTED_VALUE"""),"ECS")</f>
        <v>ECS</v>
      </c>
    </row>
    <row r="15067">
      <c r="A15067" t="str">
        <f>IFERROR(__xludf.DUMMYFUNCTION("""COMPUTED_VALUE"""),"VL026B1")</f>
        <v>VL026B1</v>
      </c>
      <c r="B15067" s="226" t="str">
        <f>IFERROR(__xludf.DUMMYFUNCTION("""COMPUTED_VALUE"""),"8717323050163")</f>
        <v>8717323050163</v>
      </c>
      <c r="C15067" t="str">
        <f>IFERROR(__xludf.DUMMYFUNCTION("""COMPUTED_VALUE"""),"ECS")</f>
        <v>ECS</v>
      </c>
    </row>
    <row r="15068">
      <c r="A15068" t="str">
        <f>IFERROR(__xludf.DUMMYFUNCTION("""COMPUTED_VALUE"""),"VL026D1")</f>
        <v>VL026D1</v>
      </c>
      <c r="B15068" s="226" t="str">
        <f>IFERROR(__xludf.DUMMYFUNCTION("""COMPUTED_VALUE"""),"8717323050149")</f>
        <v>8717323050149</v>
      </c>
      <c r="C15068" t="str">
        <f>IFERROR(__xludf.DUMMYFUNCTION("""COMPUTED_VALUE"""),"ECS")</f>
        <v>ECS</v>
      </c>
    </row>
    <row r="15069">
      <c r="A15069" t="str">
        <f>IFERROR(__xludf.DUMMYFUNCTION("""COMPUTED_VALUE"""),"VL039BX")</f>
        <v>VL039BX</v>
      </c>
      <c r="B15069" s="226" t="str">
        <f>IFERROR(__xludf.DUMMYFUNCTION("""COMPUTED_VALUE"""),"8717323059920")</f>
        <v>8717323059920</v>
      </c>
      <c r="C15069" t="str">
        <f>IFERROR(__xludf.DUMMYFUNCTION("""COMPUTED_VALUE"""),"ECS")</f>
        <v>ECS</v>
      </c>
    </row>
    <row r="15070">
      <c r="A15070" t="str">
        <f>IFERROR(__xludf.DUMMYFUNCTION("""COMPUTED_VALUE"""),"VL039DX")</f>
        <v>VL039DX</v>
      </c>
      <c r="B15070" s="226" t="str">
        <f>IFERROR(__xludf.DUMMYFUNCTION("""COMPUTED_VALUE"""),"8717323059937")</f>
        <v>8717323059937</v>
      </c>
      <c r="C15070" t="str">
        <f>IFERROR(__xludf.DUMMYFUNCTION("""COMPUTED_VALUE"""),"ECS")</f>
        <v>ECS</v>
      </c>
    </row>
    <row r="15071">
      <c r="A15071" t="str">
        <f>IFERROR(__xludf.DUMMYFUNCTION("""COMPUTED_VALUE"""),"VL048FX")</f>
        <v>VL048FX</v>
      </c>
      <c r="B15071" s="226" t="str">
        <f>IFERROR(__xludf.DUMMYFUNCTION("""COMPUTED_VALUE"""),"8717323065006")</f>
        <v>8717323065006</v>
      </c>
      <c r="C15071" t="str">
        <f>IFERROR(__xludf.DUMMYFUNCTION("""COMPUTED_VALUE"""),"ECS")</f>
        <v>ECS</v>
      </c>
    </row>
    <row r="15072">
      <c r="A15072" t="str">
        <f>IFERROR(__xludf.DUMMYFUNCTION("""COMPUTED_VALUE"""),"VL048HX")</f>
        <v>VL048HX</v>
      </c>
      <c r="B15072" s="226" t="str">
        <f>IFERROR(__xludf.DUMMYFUNCTION("""COMPUTED_VALUE"""),"8717323065013")</f>
        <v>8717323065013</v>
      </c>
      <c r="C15072" t="str">
        <f>IFERROR(__xludf.DUMMYFUNCTION("""COMPUTED_VALUE"""),"ECS")</f>
        <v>ECS</v>
      </c>
    </row>
    <row r="15073">
      <c r="A15073" t="str">
        <f>IFERROR(__xludf.DUMMYFUNCTION("""COMPUTED_VALUE"""),"VL024BX")</f>
        <v>VL024BX</v>
      </c>
      <c r="B15073" s="226" t="str">
        <f>IFERROR(__xludf.DUMMYFUNCTION("""COMPUTED_VALUE"""),"8717323027660")</f>
        <v>8717323027660</v>
      </c>
      <c r="C15073" t="str">
        <f>IFERROR(__xludf.DUMMYFUNCTION("""COMPUTED_VALUE"""),"ECS")</f>
        <v>ECS</v>
      </c>
    </row>
    <row r="15074">
      <c r="A15074" t="str">
        <f>IFERROR(__xludf.DUMMYFUNCTION("""COMPUTED_VALUE"""),"VL024DX")</f>
        <v>VL024DX</v>
      </c>
      <c r="B15074" s="226" t="str">
        <f>IFERROR(__xludf.DUMMYFUNCTION("""COMPUTED_VALUE"""),"8717323028087")</f>
        <v>8717323028087</v>
      </c>
      <c r="C15074" t="str">
        <f>IFERROR(__xludf.DUMMYFUNCTION("""COMPUTED_VALUE"""),"ECS")</f>
        <v>ECS</v>
      </c>
    </row>
    <row r="15075">
      <c r="A15075" t="str">
        <f>IFERROR(__xludf.DUMMYFUNCTION("""COMPUTED_VALUE"""),"VOL016B")</f>
        <v>VOL016B</v>
      </c>
      <c r="B15075" s="226" t="str">
        <f>IFERROR(__xludf.DUMMYFUNCTION("""COMPUTED_VALUE"""),"8717323008980")</f>
        <v>8717323008980</v>
      </c>
      <c r="C15075" t="str">
        <f>IFERROR(__xludf.DUMMYFUNCTION("""COMPUTED_VALUE"""),"ECS")</f>
        <v>ECS</v>
      </c>
    </row>
    <row r="15076">
      <c r="A15076" t="str">
        <f>IFERROR(__xludf.DUMMYFUNCTION("""COMPUTED_VALUE"""),"VL002BB")</f>
        <v>VL002BB</v>
      </c>
      <c r="B15076" s="226" t="str">
        <f>IFERROR(__xludf.DUMMYFUNCTION("""COMPUTED_VALUE"""),"8717323008843")</f>
        <v>8717323008843</v>
      </c>
      <c r="C15076" t="str">
        <f>IFERROR(__xludf.DUMMYFUNCTION("""COMPUTED_VALUE"""),"ECS")</f>
        <v>ECS</v>
      </c>
    </row>
    <row r="15077">
      <c r="A15077" t="str">
        <f>IFERROR(__xludf.DUMMYFUNCTION("""COMPUTED_VALUE"""),"VL002BL")</f>
        <v>VL002BL</v>
      </c>
      <c r="B15077" s="226" t="str">
        <f>IFERROR(__xludf.DUMMYFUNCTION("""COMPUTED_VALUE"""),"8717323022290")</f>
        <v>8717323022290</v>
      </c>
      <c r="C15077" t="str">
        <f>IFERROR(__xludf.DUMMYFUNCTION("""COMPUTED_VALUE"""),"ECS")</f>
        <v>ECS</v>
      </c>
    </row>
    <row r="15078">
      <c r="A15078" t="str">
        <f>IFERROR(__xludf.DUMMYFUNCTION("""COMPUTED_VALUE"""),"VL002HB")</f>
        <v>VL002HB</v>
      </c>
      <c r="B15078" s="226" t="str">
        <f>IFERROR(__xludf.DUMMYFUNCTION("""COMPUTED_VALUE"""),"8717323008850")</f>
        <v>8717323008850</v>
      </c>
      <c r="C15078" t="str">
        <f>IFERROR(__xludf.DUMMYFUNCTION("""COMPUTED_VALUE"""),"ECS")</f>
        <v>ECS</v>
      </c>
    </row>
    <row r="15079">
      <c r="A15079" t="str">
        <f>IFERROR(__xludf.DUMMYFUNCTION("""COMPUTED_VALUE"""),"VL002HL")</f>
        <v>VL002HL</v>
      </c>
      <c r="B15079" s="226" t="str">
        <f>IFERROR(__xludf.DUMMYFUNCTION("""COMPUTED_VALUE"""),"8717323022306")</f>
        <v>8717323022306</v>
      </c>
      <c r="C15079" t="str">
        <f>IFERROR(__xludf.DUMMYFUNCTION("""COMPUTED_VALUE"""),"ECS")</f>
        <v>ECS</v>
      </c>
    </row>
    <row r="15080">
      <c r="A15080" t="str">
        <f>IFERROR(__xludf.DUMMYFUNCTION("""COMPUTED_VALUE"""),"VL024BX")</f>
        <v>VL024BX</v>
      </c>
      <c r="B15080" s="226" t="str">
        <f>IFERROR(__xludf.DUMMYFUNCTION("""COMPUTED_VALUE"""),"8717323027660")</f>
        <v>8717323027660</v>
      </c>
      <c r="C15080" t="str">
        <f>IFERROR(__xludf.DUMMYFUNCTION("""COMPUTED_VALUE"""),"ECS")</f>
        <v>ECS</v>
      </c>
    </row>
    <row r="15081">
      <c r="A15081" t="str">
        <f>IFERROR(__xludf.DUMMYFUNCTION("""COMPUTED_VALUE"""),"VL024DX")</f>
        <v>VL024DX</v>
      </c>
      <c r="B15081" s="226" t="str">
        <f>IFERROR(__xludf.DUMMYFUNCTION("""COMPUTED_VALUE"""),"8717323028087")</f>
        <v>8717323028087</v>
      </c>
      <c r="C15081" t="str">
        <f>IFERROR(__xludf.DUMMYFUNCTION("""COMPUTED_VALUE"""),"ECS")</f>
        <v>ECS</v>
      </c>
    </row>
    <row r="15082">
      <c r="A15082" t="str">
        <f>IFERROR(__xludf.DUMMYFUNCTION("""COMPUTED_VALUE"""),"VL024BX")</f>
        <v>VL024BX</v>
      </c>
      <c r="B15082" s="226" t="str">
        <f>IFERROR(__xludf.DUMMYFUNCTION("""COMPUTED_VALUE"""),"8717323027660")</f>
        <v>8717323027660</v>
      </c>
      <c r="C15082" t="str">
        <f>IFERROR(__xludf.DUMMYFUNCTION("""COMPUTED_VALUE"""),"ECS")</f>
        <v>ECS</v>
      </c>
    </row>
    <row r="15083">
      <c r="A15083" t="str">
        <f>IFERROR(__xludf.DUMMYFUNCTION("""COMPUTED_VALUE"""),"VL024DX")</f>
        <v>VL024DX</v>
      </c>
      <c r="B15083" s="226" t="str">
        <f>IFERROR(__xludf.DUMMYFUNCTION("""COMPUTED_VALUE"""),"8717323028087")</f>
        <v>8717323028087</v>
      </c>
      <c r="C15083" t="str">
        <f>IFERROR(__xludf.DUMMYFUNCTION("""COMPUTED_VALUE"""),"ECS")</f>
        <v>ECS</v>
      </c>
    </row>
    <row r="15084">
      <c r="A15084" t="str">
        <f>IFERROR(__xludf.DUMMYFUNCTION("""COMPUTED_VALUE"""),"VL012BL")</f>
        <v>VL012BL</v>
      </c>
      <c r="B15084" s="226" t="str">
        <f>IFERROR(__xludf.DUMMYFUNCTION("""COMPUTED_VALUE"""),"8717323011072")</f>
        <v>8717323011072</v>
      </c>
      <c r="C15084" t="str">
        <f>IFERROR(__xludf.DUMMYFUNCTION("""COMPUTED_VALUE"""),"ECS")</f>
        <v>ECS</v>
      </c>
    </row>
    <row r="15085">
      <c r="A15085" t="str">
        <f>IFERROR(__xludf.DUMMYFUNCTION("""COMPUTED_VALUE"""),"VL012DL")</f>
        <v>VL012DL</v>
      </c>
      <c r="B15085" s="226" t="str">
        <f>IFERROR(__xludf.DUMMYFUNCTION("""COMPUTED_VALUE"""),"8717323011089")</f>
        <v>8717323011089</v>
      </c>
      <c r="C15085" t="str">
        <f>IFERROR(__xludf.DUMMYFUNCTION("""COMPUTED_VALUE"""),"ECS")</f>
        <v>ECS</v>
      </c>
    </row>
    <row r="15086">
      <c r="A15086" t="str">
        <f>IFERROR(__xludf.DUMMYFUNCTION("""COMPUTED_VALUE"""),"VL014BX")</f>
        <v>VL014BX</v>
      </c>
      <c r="B15086" s="226" t="str">
        <f>IFERROR(__xludf.DUMMYFUNCTION("""COMPUTED_VALUE"""),"8717323025789")</f>
        <v>8717323025789</v>
      </c>
      <c r="C15086" t="str">
        <f>IFERROR(__xludf.DUMMYFUNCTION("""COMPUTED_VALUE"""),"ECS")</f>
        <v>ECS</v>
      </c>
    </row>
    <row r="15087">
      <c r="A15087" t="str">
        <f>IFERROR(__xludf.DUMMYFUNCTION("""COMPUTED_VALUE"""),"VL014DX")</f>
        <v>VL014DX</v>
      </c>
      <c r="B15087" s="226" t="str">
        <f>IFERROR(__xludf.DUMMYFUNCTION("""COMPUTED_VALUE"""),"8717323025796")</f>
        <v>8717323025796</v>
      </c>
      <c r="C15087" t="str">
        <f>IFERROR(__xludf.DUMMYFUNCTION("""COMPUTED_VALUE"""),"ECS")</f>
        <v>ECS</v>
      </c>
    </row>
    <row r="15088">
      <c r="A15088" t="str">
        <f>IFERROR(__xludf.DUMMYFUNCTION("""COMPUTED_VALUE"""),"VL026B1")</f>
        <v>VL026B1</v>
      </c>
      <c r="B15088" s="226" t="str">
        <f>IFERROR(__xludf.DUMMYFUNCTION("""COMPUTED_VALUE"""),"8717323050163")</f>
        <v>8717323050163</v>
      </c>
      <c r="C15088" t="str">
        <f>IFERROR(__xludf.DUMMYFUNCTION("""COMPUTED_VALUE"""),"ECS")</f>
        <v>ECS</v>
      </c>
    </row>
    <row r="15089">
      <c r="A15089" t="str">
        <f>IFERROR(__xludf.DUMMYFUNCTION("""COMPUTED_VALUE"""),"VL026D1")</f>
        <v>VL026D1</v>
      </c>
      <c r="B15089" s="226" t="str">
        <f>IFERROR(__xludf.DUMMYFUNCTION("""COMPUTED_VALUE"""),"8717323050149")</f>
        <v>8717323050149</v>
      </c>
      <c r="C15089" t="str">
        <f>IFERROR(__xludf.DUMMYFUNCTION("""COMPUTED_VALUE"""),"ECS")</f>
        <v>ECS</v>
      </c>
    </row>
    <row r="15090">
      <c r="A15090" t="str">
        <f>IFERROR(__xludf.DUMMYFUNCTION("""COMPUTED_VALUE"""),"VL026B1")</f>
        <v>VL026B1</v>
      </c>
      <c r="B15090" s="226" t="str">
        <f>IFERROR(__xludf.DUMMYFUNCTION("""COMPUTED_VALUE"""),"8717323050163")</f>
        <v>8717323050163</v>
      </c>
      <c r="C15090" t="str">
        <f>IFERROR(__xludf.DUMMYFUNCTION("""COMPUTED_VALUE"""),"ECS")</f>
        <v>ECS</v>
      </c>
    </row>
    <row r="15091">
      <c r="A15091" t="str">
        <f>IFERROR(__xludf.DUMMYFUNCTION("""COMPUTED_VALUE"""),"VL026D1")</f>
        <v>VL026D1</v>
      </c>
      <c r="B15091" s="226" t="str">
        <f>IFERROR(__xludf.DUMMYFUNCTION("""COMPUTED_VALUE"""),"8717323050149")</f>
        <v>8717323050149</v>
      </c>
      <c r="C15091" t="str">
        <f>IFERROR(__xludf.DUMMYFUNCTION("""COMPUTED_VALUE"""),"ECS")</f>
        <v>ECS</v>
      </c>
    </row>
    <row r="15092">
      <c r="A15092" t="str">
        <f>IFERROR(__xludf.DUMMYFUNCTION("""COMPUTED_VALUE"""),"VL026B1")</f>
        <v>VL026B1</v>
      </c>
      <c r="B15092" s="226" t="str">
        <f>IFERROR(__xludf.DUMMYFUNCTION("""COMPUTED_VALUE"""),"8717323050163")</f>
        <v>8717323050163</v>
      </c>
      <c r="C15092" t="str">
        <f>IFERROR(__xludf.DUMMYFUNCTION("""COMPUTED_VALUE"""),"ECS")</f>
        <v>ECS</v>
      </c>
    </row>
    <row r="15093">
      <c r="A15093" t="str">
        <f>IFERROR(__xludf.DUMMYFUNCTION("""COMPUTED_VALUE"""),"VL026D1")</f>
        <v>VL026D1</v>
      </c>
      <c r="B15093" s="226" t="str">
        <f>IFERROR(__xludf.DUMMYFUNCTION("""COMPUTED_VALUE"""),"8717323050149")</f>
        <v>8717323050149</v>
      </c>
      <c r="C15093" t="str">
        <f>IFERROR(__xludf.DUMMYFUNCTION("""COMPUTED_VALUE"""),"ECS")</f>
        <v>ECS</v>
      </c>
    </row>
    <row r="15094">
      <c r="A15094" t="str">
        <f>IFERROR(__xludf.DUMMYFUNCTION("""COMPUTED_VALUE"""),"VL048FX")</f>
        <v>VL048FX</v>
      </c>
      <c r="B15094" s="226" t="str">
        <f>IFERROR(__xludf.DUMMYFUNCTION("""COMPUTED_VALUE"""),"8717323065006")</f>
        <v>8717323065006</v>
      </c>
      <c r="C15094" t="str">
        <f>IFERROR(__xludf.DUMMYFUNCTION("""COMPUTED_VALUE"""),"ECS")</f>
        <v>ECS</v>
      </c>
    </row>
    <row r="15095">
      <c r="A15095" t="str">
        <f>IFERROR(__xludf.DUMMYFUNCTION("""COMPUTED_VALUE"""),"VL048HX")</f>
        <v>VL048HX</v>
      </c>
      <c r="B15095" s="226" t="str">
        <f>IFERROR(__xludf.DUMMYFUNCTION("""COMPUTED_VALUE"""),"8717323065013")</f>
        <v>8717323065013</v>
      </c>
      <c r="C15095" t="str">
        <f>IFERROR(__xludf.DUMMYFUNCTION("""COMPUTED_VALUE"""),"ECS")</f>
        <v>ECS</v>
      </c>
    </row>
    <row r="15096">
      <c r="A15096" t="str">
        <f>IFERROR(__xludf.DUMMYFUNCTION("""COMPUTED_VALUE"""),"VL048FX")</f>
        <v>VL048FX</v>
      </c>
      <c r="B15096" s="226" t="str">
        <f>IFERROR(__xludf.DUMMYFUNCTION("""COMPUTED_VALUE"""),"8717323065006")</f>
        <v>8717323065006</v>
      </c>
      <c r="C15096" t="str">
        <f>IFERROR(__xludf.DUMMYFUNCTION("""COMPUTED_VALUE"""),"ECS")</f>
        <v>ECS</v>
      </c>
    </row>
    <row r="15097">
      <c r="A15097" t="str">
        <f>IFERROR(__xludf.DUMMYFUNCTION("""COMPUTED_VALUE"""),"VL048HX")</f>
        <v>VL048HX</v>
      </c>
      <c r="B15097" s="226" t="str">
        <f>IFERROR(__xludf.DUMMYFUNCTION("""COMPUTED_VALUE"""),"8717323065013")</f>
        <v>8717323065013</v>
      </c>
      <c r="C15097" t="str">
        <f>IFERROR(__xludf.DUMMYFUNCTION("""COMPUTED_VALUE"""),"ECS")</f>
        <v>ECS</v>
      </c>
    </row>
    <row r="15098">
      <c r="A15098" t="str">
        <f>IFERROR(__xludf.DUMMYFUNCTION("""COMPUTED_VALUE"""),"VL001BQ")</f>
        <v>VL001BQ</v>
      </c>
      <c r="B15098" s="226" t="str">
        <f>IFERROR(__xludf.DUMMYFUNCTION("""COMPUTED_VALUE"""),"8717323008829")</f>
        <v>8717323008829</v>
      </c>
      <c r="C15098" t="str">
        <f>IFERROR(__xludf.DUMMYFUNCTION("""COMPUTED_VALUE"""),"ECS")</f>
        <v>ECS</v>
      </c>
    </row>
    <row r="15099">
      <c r="A15099" t="str">
        <f>IFERROR(__xludf.DUMMYFUNCTION("""COMPUTED_VALUE"""),"VL001DQ")</f>
        <v>VL001DQ</v>
      </c>
      <c r="B15099" s="226" t="str">
        <f>IFERROR(__xludf.DUMMYFUNCTION("""COMPUTED_VALUE"""),"8717323008836")</f>
        <v>8717323008836</v>
      </c>
      <c r="C15099" t="str">
        <f>IFERROR(__xludf.DUMMYFUNCTION("""COMPUTED_VALUE"""),"ECS")</f>
        <v>ECS</v>
      </c>
    </row>
    <row r="15100">
      <c r="A15100" t="str">
        <f>IFERROR(__xludf.DUMMYFUNCTION("""COMPUTED_VALUE"""),"VL010BL")</f>
        <v>VL010BL</v>
      </c>
      <c r="B15100" s="226" t="str">
        <f>IFERROR(__xludf.DUMMYFUNCTION("""COMPUTED_VALUE"""),"8717323012758")</f>
        <v>8717323012758</v>
      </c>
      <c r="C15100" t="str">
        <f>IFERROR(__xludf.DUMMYFUNCTION("""COMPUTED_VALUE"""),"ECS")</f>
        <v>ECS</v>
      </c>
    </row>
    <row r="15101">
      <c r="A15101" t="str">
        <f>IFERROR(__xludf.DUMMYFUNCTION("""COMPUTED_VALUE"""),"VL010DL")</f>
        <v>VL010DL</v>
      </c>
      <c r="B15101" s="226" t="str">
        <f>IFERROR(__xludf.DUMMYFUNCTION("""COMPUTED_VALUE"""),"8717323012765")</f>
        <v>8717323012765</v>
      </c>
      <c r="C15101" t="str">
        <f>IFERROR(__xludf.DUMMYFUNCTION("""COMPUTED_VALUE"""),"ECS")</f>
        <v>ECS</v>
      </c>
    </row>
    <row r="15102">
      <c r="A15102" t="str">
        <f>IFERROR(__xludf.DUMMYFUNCTION("""COMPUTED_VALUE"""),"VL026B1")</f>
        <v>VL026B1</v>
      </c>
      <c r="B15102" s="226" t="str">
        <f>IFERROR(__xludf.DUMMYFUNCTION("""COMPUTED_VALUE"""),"8717323050163")</f>
        <v>8717323050163</v>
      </c>
      <c r="C15102" t="str">
        <f>IFERROR(__xludf.DUMMYFUNCTION("""COMPUTED_VALUE"""),"ECS")</f>
        <v>ECS</v>
      </c>
    </row>
    <row r="15103">
      <c r="A15103" t="str">
        <f>IFERROR(__xludf.DUMMYFUNCTION("""COMPUTED_VALUE"""),"VL026D1")</f>
        <v>VL026D1</v>
      </c>
      <c r="B15103" s="226" t="str">
        <f>IFERROR(__xludf.DUMMYFUNCTION("""COMPUTED_VALUE"""),"8717323050149")</f>
        <v>8717323050149</v>
      </c>
      <c r="C15103" t="str">
        <f>IFERROR(__xludf.DUMMYFUNCTION("""COMPUTED_VALUE"""),"ECS")</f>
        <v>ECS</v>
      </c>
    </row>
    <row r="15104">
      <c r="A15104" t="str">
        <f>IFERROR(__xludf.DUMMYFUNCTION("""COMPUTED_VALUE"""),"VL048FX")</f>
        <v>VL048FX</v>
      </c>
      <c r="B15104" s="226" t="str">
        <f>IFERROR(__xludf.DUMMYFUNCTION("""COMPUTED_VALUE"""),"8717323065006")</f>
        <v>8717323065006</v>
      </c>
      <c r="C15104" t="str">
        <f>IFERROR(__xludf.DUMMYFUNCTION("""COMPUTED_VALUE"""),"ECS")</f>
        <v>ECS</v>
      </c>
    </row>
    <row r="15105">
      <c r="A15105" t="str">
        <f>IFERROR(__xludf.DUMMYFUNCTION("""COMPUTED_VALUE"""),"VL048HX")</f>
        <v>VL048HX</v>
      </c>
      <c r="B15105" s="226" t="str">
        <f>IFERROR(__xludf.DUMMYFUNCTION("""COMPUTED_VALUE"""),"8717323065013")</f>
        <v>8717323065013</v>
      </c>
      <c r="C15105" t="str">
        <f>IFERROR(__xludf.DUMMYFUNCTION("""COMPUTED_VALUE"""),"ECS")</f>
        <v>ECS</v>
      </c>
    </row>
    <row r="15106">
      <c r="A15106" t="str">
        <f>IFERROR(__xludf.DUMMYFUNCTION("""COMPUTED_VALUE"""),"VL039BX")</f>
        <v>VL039BX</v>
      </c>
      <c r="B15106" s="226" t="str">
        <f>IFERROR(__xludf.DUMMYFUNCTION("""COMPUTED_VALUE"""),"8717323059920")</f>
        <v>8717323059920</v>
      </c>
      <c r="C15106" t="str">
        <f>IFERROR(__xludf.DUMMYFUNCTION("""COMPUTED_VALUE"""),"ECS")</f>
        <v>ECS</v>
      </c>
    </row>
    <row r="15107">
      <c r="A15107" t="str">
        <f>IFERROR(__xludf.DUMMYFUNCTION("""COMPUTED_VALUE"""),"VL039DX")</f>
        <v>VL039DX</v>
      </c>
      <c r="B15107" s="226" t="str">
        <f>IFERROR(__xludf.DUMMYFUNCTION("""COMPUTED_VALUE"""),"8717323059937")</f>
        <v>8717323059937</v>
      </c>
      <c r="C15107" t="str">
        <f>IFERROR(__xludf.DUMMYFUNCTION("""COMPUTED_VALUE"""),"ECS")</f>
        <v>ECS</v>
      </c>
    </row>
    <row r="15108">
      <c r="A15108" t="str">
        <f>IFERROR(__xludf.DUMMYFUNCTION("""COMPUTED_VALUE"""),"VL048FX")</f>
        <v>VL048FX</v>
      </c>
      <c r="B15108" s="226" t="str">
        <f>IFERROR(__xludf.DUMMYFUNCTION("""COMPUTED_VALUE"""),"8717323065006")</f>
        <v>8717323065006</v>
      </c>
      <c r="C15108" t="str">
        <f>IFERROR(__xludf.DUMMYFUNCTION("""COMPUTED_VALUE"""),"ECS")</f>
        <v>ECS</v>
      </c>
    </row>
    <row r="15109">
      <c r="A15109" t="str">
        <f>IFERROR(__xludf.DUMMYFUNCTION("""COMPUTED_VALUE"""),"VL048HX")</f>
        <v>VL048HX</v>
      </c>
      <c r="B15109" s="226" t="str">
        <f>IFERROR(__xludf.DUMMYFUNCTION("""COMPUTED_VALUE"""),"8717323065013")</f>
        <v>8717323065013</v>
      </c>
      <c r="C15109" t="str">
        <f>IFERROR(__xludf.DUMMYFUNCTION("""COMPUTED_VALUE"""),"ECS")</f>
        <v>ECS</v>
      </c>
    </row>
    <row r="15110">
      <c r="A15110" t="str">
        <f>IFERROR(__xludf.DUMMYFUNCTION("""COMPUTED_VALUE"""),"VL048FX")</f>
        <v>VL048FX</v>
      </c>
      <c r="B15110" s="226" t="str">
        <f>IFERROR(__xludf.DUMMYFUNCTION("""COMPUTED_VALUE"""),"8717323065006")</f>
        <v>8717323065006</v>
      </c>
      <c r="C15110" t="str">
        <f>IFERROR(__xludf.DUMMYFUNCTION("""COMPUTED_VALUE"""),"ECS")</f>
        <v>ECS</v>
      </c>
    </row>
    <row r="15111">
      <c r="A15111" t="str">
        <f>IFERROR(__xludf.DUMMYFUNCTION("""COMPUTED_VALUE"""),"VL048HX")</f>
        <v>VL048HX</v>
      </c>
      <c r="B15111" s="226" t="str">
        <f>IFERROR(__xludf.DUMMYFUNCTION("""COMPUTED_VALUE"""),"8717323065013")</f>
        <v>8717323065013</v>
      </c>
      <c r="C15111" t="str">
        <f>IFERROR(__xludf.DUMMYFUNCTION("""COMPUTED_VALUE"""),"ECS")</f>
        <v>ECS</v>
      </c>
    </row>
    <row r="15112">
      <c r="A15112" t="str">
        <f>IFERROR(__xludf.DUMMYFUNCTION("""COMPUTED_VALUE"""),"VL026B1")</f>
        <v>VL026B1</v>
      </c>
      <c r="B15112" s="226" t="str">
        <f>IFERROR(__xludf.DUMMYFUNCTION("""COMPUTED_VALUE"""),"8717323050163")</f>
        <v>8717323050163</v>
      </c>
      <c r="C15112" t="str">
        <f>IFERROR(__xludf.DUMMYFUNCTION("""COMPUTED_VALUE"""),"ECS")</f>
        <v>ECS</v>
      </c>
    </row>
    <row r="15113">
      <c r="A15113" t="str">
        <f>IFERROR(__xludf.DUMMYFUNCTION("""COMPUTED_VALUE"""),"VL026D1")</f>
        <v>VL026D1</v>
      </c>
      <c r="B15113" s="226" t="str">
        <f>IFERROR(__xludf.DUMMYFUNCTION("""COMPUTED_VALUE"""),"8717323050149")</f>
        <v>8717323050149</v>
      </c>
      <c r="C15113" t="str">
        <f>IFERROR(__xludf.DUMMYFUNCTION("""COMPUTED_VALUE"""),"ECS")</f>
        <v>ECS</v>
      </c>
    </row>
    <row r="15114">
      <c r="A15114" t="str">
        <f>IFERROR(__xludf.DUMMYFUNCTION("""COMPUTED_VALUE"""),"VL048FX")</f>
        <v>VL048FX</v>
      </c>
      <c r="B15114" s="226" t="str">
        <f>IFERROR(__xludf.DUMMYFUNCTION("""COMPUTED_VALUE"""),"8717323065006")</f>
        <v>8717323065006</v>
      </c>
      <c r="C15114" t="str">
        <f>IFERROR(__xludf.DUMMYFUNCTION("""COMPUTED_VALUE"""),"ECS")</f>
        <v>ECS</v>
      </c>
    </row>
    <row r="15115">
      <c r="A15115" t="str">
        <f>IFERROR(__xludf.DUMMYFUNCTION("""COMPUTED_VALUE"""),"VL048HX")</f>
        <v>VL048HX</v>
      </c>
      <c r="B15115" s="226" t="str">
        <f>IFERROR(__xludf.DUMMYFUNCTION("""COMPUTED_VALUE"""),"8717323065013")</f>
        <v>8717323065013</v>
      </c>
      <c r="C15115" t="str">
        <f>IFERROR(__xludf.DUMMYFUNCTION("""COMPUTED_VALUE"""),"ECS")</f>
        <v>ECS</v>
      </c>
    </row>
    <row r="15116">
      <c r="A15116" t="str">
        <f>IFERROR(__xludf.DUMMYFUNCTION("""COMPUTED_VALUE"""),"VL010BL")</f>
        <v>VL010BL</v>
      </c>
      <c r="B15116" s="226" t="str">
        <f>IFERROR(__xludf.DUMMYFUNCTION("""COMPUTED_VALUE"""),"8717323012758")</f>
        <v>8717323012758</v>
      </c>
      <c r="C15116" t="str">
        <f>IFERROR(__xludf.DUMMYFUNCTION("""COMPUTED_VALUE"""),"ECS")</f>
        <v>ECS</v>
      </c>
    </row>
    <row r="15117">
      <c r="A15117" t="str">
        <f>IFERROR(__xludf.DUMMYFUNCTION("""COMPUTED_VALUE"""),"VL010DL")</f>
        <v>VL010DL</v>
      </c>
      <c r="B15117" s="226" t="str">
        <f>IFERROR(__xludf.DUMMYFUNCTION("""COMPUTED_VALUE"""),"8717323012765")</f>
        <v>8717323012765</v>
      </c>
      <c r="C15117" t="str">
        <f>IFERROR(__xludf.DUMMYFUNCTION("""COMPUTED_VALUE"""),"ECS")</f>
        <v>ECS</v>
      </c>
    </row>
    <row r="15118">
      <c r="A15118" t="str">
        <f>IFERROR(__xludf.DUMMYFUNCTION("""COMPUTED_VALUE"""),"VL026B1")</f>
        <v>VL026B1</v>
      </c>
      <c r="B15118" s="226" t="str">
        <f>IFERROR(__xludf.DUMMYFUNCTION("""COMPUTED_VALUE"""),"8717323050163")</f>
        <v>8717323050163</v>
      </c>
      <c r="C15118" t="str">
        <f>IFERROR(__xludf.DUMMYFUNCTION("""COMPUTED_VALUE"""),"ECS")</f>
        <v>ECS</v>
      </c>
    </row>
    <row r="15119">
      <c r="A15119" t="str">
        <f>IFERROR(__xludf.DUMMYFUNCTION("""COMPUTED_VALUE"""),"VL026D1")</f>
        <v>VL026D1</v>
      </c>
      <c r="B15119" s="226" t="str">
        <f>IFERROR(__xludf.DUMMYFUNCTION("""COMPUTED_VALUE"""),"8717323050149")</f>
        <v>8717323050149</v>
      </c>
      <c r="C15119" t="str">
        <f>IFERROR(__xludf.DUMMYFUNCTION("""COMPUTED_VALUE"""),"ECS")</f>
        <v>ECS</v>
      </c>
    </row>
    <row r="15120">
      <c r="A15120" t="str">
        <f>IFERROR(__xludf.DUMMYFUNCTION("""COMPUTED_VALUE"""),"VL001BQ")</f>
        <v>VL001BQ</v>
      </c>
      <c r="B15120" s="226" t="str">
        <f>IFERROR(__xludf.DUMMYFUNCTION("""COMPUTED_VALUE"""),"8717323008829")</f>
        <v>8717323008829</v>
      </c>
      <c r="C15120" t="str">
        <f>IFERROR(__xludf.DUMMYFUNCTION("""COMPUTED_VALUE"""),"ECS")</f>
        <v>ECS</v>
      </c>
    </row>
    <row r="15121">
      <c r="A15121" t="str">
        <f>IFERROR(__xludf.DUMMYFUNCTION("""COMPUTED_VALUE"""),"VL001DQ")</f>
        <v>VL001DQ</v>
      </c>
      <c r="B15121" s="226" t="str">
        <f>IFERROR(__xludf.DUMMYFUNCTION("""COMPUTED_VALUE"""),"8717323008836")</f>
        <v>8717323008836</v>
      </c>
      <c r="C15121" t="str">
        <f>IFERROR(__xludf.DUMMYFUNCTION("""COMPUTED_VALUE"""),"ECS")</f>
        <v>ECS</v>
      </c>
    </row>
    <row r="15122">
      <c r="A15122" t="str">
        <f>IFERROR(__xludf.DUMMYFUNCTION("""COMPUTED_VALUE"""),"VL010BL")</f>
        <v>VL010BL</v>
      </c>
      <c r="B15122" s="226" t="str">
        <f>IFERROR(__xludf.DUMMYFUNCTION("""COMPUTED_VALUE"""),"8717323012758")</f>
        <v>8717323012758</v>
      </c>
      <c r="C15122" t="str">
        <f>IFERROR(__xludf.DUMMYFUNCTION("""COMPUTED_VALUE"""),"ECS")</f>
        <v>ECS</v>
      </c>
    </row>
    <row r="15123">
      <c r="A15123" t="str">
        <f>IFERROR(__xludf.DUMMYFUNCTION("""COMPUTED_VALUE"""),"VL010DL")</f>
        <v>VL010DL</v>
      </c>
      <c r="B15123" s="226" t="str">
        <f>IFERROR(__xludf.DUMMYFUNCTION("""COMPUTED_VALUE"""),"8717323012765")</f>
        <v>8717323012765</v>
      </c>
      <c r="C15123" t="str">
        <f>IFERROR(__xludf.DUMMYFUNCTION("""COMPUTED_VALUE"""),"ECS")</f>
        <v>ECS</v>
      </c>
    </row>
    <row r="15124">
      <c r="A15124" t="str">
        <f>IFERROR(__xludf.DUMMYFUNCTION("""COMPUTED_VALUE"""),"VL048FX")</f>
        <v>VL048FX</v>
      </c>
      <c r="B15124" s="226" t="str">
        <f>IFERROR(__xludf.DUMMYFUNCTION("""COMPUTED_VALUE"""),"8717323065006")</f>
        <v>8717323065006</v>
      </c>
      <c r="C15124" t="str">
        <f>IFERROR(__xludf.DUMMYFUNCTION("""COMPUTED_VALUE"""),"ECS")</f>
        <v>ECS</v>
      </c>
    </row>
    <row r="15125">
      <c r="A15125" t="str">
        <f>IFERROR(__xludf.DUMMYFUNCTION("""COMPUTED_VALUE"""),"VL048HX")</f>
        <v>VL048HX</v>
      </c>
      <c r="B15125" s="226" t="str">
        <f>IFERROR(__xludf.DUMMYFUNCTION("""COMPUTED_VALUE"""),"8717323065013")</f>
        <v>8717323065013</v>
      </c>
      <c r="C15125" t="str">
        <f>IFERROR(__xludf.DUMMYFUNCTION("""COMPUTED_VALUE"""),"ECS")</f>
        <v>ECS</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2.38"/>
    <col customWidth="1" min="3" max="3" width="9.0"/>
    <col customWidth="1" min="4" max="4" width="37.38"/>
    <col customWidth="1" min="5" max="5" width="42.5"/>
  </cols>
  <sheetData>
    <row r="1">
      <c r="A1" s="3" t="s">
        <v>4714</v>
      </c>
      <c r="B1" s="3" t="s">
        <v>4715</v>
      </c>
      <c r="C1" s="3" t="s">
        <v>86</v>
      </c>
      <c r="D1" s="7" t="s">
        <v>4716</v>
      </c>
      <c r="E1" s="3" t="s">
        <v>4717</v>
      </c>
      <c r="F1" s="4"/>
      <c r="G1" s="4"/>
      <c r="H1" s="4"/>
      <c r="I1" s="4"/>
      <c r="J1" s="4"/>
      <c r="K1" s="4"/>
      <c r="L1" s="4"/>
      <c r="M1" s="4"/>
      <c r="N1" s="4"/>
      <c r="O1" s="4"/>
      <c r="P1" s="4"/>
      <c r="Q1" s="4"/>
      <c r="R1" s="4"/>
      <c r="S1" s="4"/>
      <c r="T1" s="4"/>
      <c r="U1" s="4"/>
      <c r="V1" s="4"/>
      <c r="W1" s="4"/>
      <c r="X1" s="4"/>
      <c r="Y1" s="4"/>
      <c r="Z1" s="4"/>
    </row>
    <row r="2">
      <c r="A2" s="6" t="s">
        <v>4720</v>
      </c>
      <c r="B2" s="6" t="s">
        <v>4721</v>
      </c>
      <c r="C2" s="6" t="s">
        <v>4722</v>
      </c>
      <c r="D2" s="70" t="s">
        <v>4723</v>
      </c>
    </row>
    <row r="3">
      <c r="A3" s="6" t="s">
        <v>4720</v>
      </c>
      <c r="B3" s="6" t="s">
        <v>4724</v>
      </c>
      <c r="C3" s="6" t="s">
        <v>4722</v>
      </c>
      <c r="D3" s="70" t="s">
        <v>4723</v>
      </c>
    </row>
    <row r="4">
      <c r="A4" s="6" t="s">
        <v>4725</v>
      </c>
      <c r="B4" s="6" t="s">
        <v>4726</v>
      </c>
      <c r="C4" s="6" t="s">
        <v>4727</v>
      </c>
      <c r="D4" s="70" t="s">
        <v>4723</v>
      </c>
    </row>
    <row r="5">
      <c r="A5" s="6" t="s">
        <v>4725</v>
      </c>
      <c r="B5" s="6" t="s">
        <v>4728</v>
      </c>
      <c r="C5" s="6" t="s">
        <v>4727</v>
      </c>
      <c r="D5" s="70" t="s">
        <v>4723</v>
      </c>
    </row>
    <row r="6">
      <c r="A6" s="6" t="s">
        <v>4730</v>
      </c>
      <c r="B6" s="6" t="s">
        <v>4731</v>
      </c>
      <c r="C6" s="6" t="s">
        <v>1769</v>
      </c>
      <c r="D6" s="70" t="s">
        <v>4732</v>
      </c>
      <c r="E6" s="6" t="s">
        <v>4733</v>
      </c>
    </row>
    <row r="7">
      <c r="A7" s="6" t="s">
        <v>4714</v>
      </c>
      <c r="B7" s="6" t="s">
        <v>4734</v>
      </c>
      <c r="D7" s="70" t="s">
        <v>4736</v>
      </c>
    </row>
    <row r="8">
      <c r="A8" s="6" t="s">
        <v>4739</v>
      </c>
      <c r="B8" s="6" t="s">
        <v>4740</v>
      </c>
      <c r="D8" s="89"/>
    </row>
    <row r="9">
      <c r="A9" s="6" t="s">
        <v>4741</v>
      </c>
      <c r="B9" s="6" t="s">
        <v>4742</v>
      </c>
      <c r="C9" s="6" t="s">
        <v>3887</v>
      </c>
      <c r="D9" s="70" t="s">
        <v>4743</v>
      </c>
    </row>
    <row r="10">
      <c r="A10" s="6"/>
      <c r="B10" s="6"/>
      <c r="C10" s="6"/>
      <c r="D10" s="70"/>
    </row>
    <row r="11">
      <c r="D11" s="89"/>
    </row>
    <row r="12">
      <c r="D12" s="89"/>
    </row>
    <row r="13">
      <c r="D13" s="89"/>
    </row>
    <row r="14">
      <c r="D14" s="89"/>
    </row>
    <row r="15">
      <c r="D15" s="89"/>
    </row>
    <row r="16">
      <c r="D16" s="89"/>
    </row>
    <row r="17">
      <c r="D17" s="89"/>
    </row>
    <row r="18">
      <c r="D18" s="89"/>
    </row>
    <row r="19">
      <c r="D19" s="89"/>
    </row>
    <row r="20">
      <c r="D20" s="89"/>
    </row>
    <row r="21">
      <c r="D21" s="89"/>
    </row>
    <row r="22">
      <c r="D22" s="89"/>
    </row>
    <row r="23">
      <c r="D23" s="89"/>
    </row>
    <row r="24">
      <c r="D24" s="89"/>
    </row>
    <row r="25">
      <c r="D25" s="89"/>
    </row>
    <row r="26">
      <c r="D26" s="89"/>
    </row>
    <row r="27">
      <c r="D27" s="89"/>
    </row>
    <row r="28">
      <c r="D28" s="89"/>
    </row>
    <row r="29">
      <c r="D29" s="89"/>
    </row>
    <row r="30">
      <c r="D30" s="89"/>
    </row>
    <row r="31">
      <c r="D31" s="89"/>
    </row>
    <row r="32">
      <c r="D32" s="89"/>
    </row>
    <row r="33">
      <c r="D33" s="89"/>
    </row>
    <row r="34">
      <c r="D34" s="89"/>
    </row>
    <row r="35">
      <c r="D35" s="89"/>
    </row>
    <row r="36">
      <c r="D36" s="89"/>
    </row>
    <row r="37">
      <c r="D37" s="89"/>
    </row>
    <row r="38">
      <c r="D38" s="89"/>
    </row>
    <row r="39">
      <c r="D39" s="89"/>
    </row>
    <row r="40">
      <c r="D40" s="89"/>
    </row>
    <row r="41">
      <c r="D41" s="89"/>
    </row>
    <row r="42">
      <c r="D42" s="89"/>
    </row>
    <row r="43">
      <c r="D43" s="89"/>
    </row>
    <row r="44">
      <c r="D44" s="89"/>
    </row>
    <row r="45">
      <c r="D45" s="89"/>
    </row>
    <row r="46">
      <c r="D46" s="89"/>
    </row>
    <row r="47">
      <c r="D47" s="89"/>
    </row>
    <row r="48">
      <c r="D48" s="89"/>
    </row>
    <row r="49">
      <c r="D49" s="89"/>
    </row>
    <row r="50">
      <c r="D50" s="89"/>
    </row>
    <row r="51">
      <c r="D51" s="89"/>
    </row>
    <row r="52">
      <c r="D52" s="89"/>
    </row>
    <row r="53">
      <c r="D53" s="89"/>
    </row>
    <row r="54">
      <c r="D54" s="89"/>
    </row>
    <row r="55">
      <c r="D55" s="89"/>
    </row>
    <row r="56">
      <c r="D56" s="89"/>
    </row>
    <row r="57">
      <c r="D57" s="89"/>
    </row>
    <row r="58">
      <c r="D58" s="89"/>
    </row>
    <row r="59">
      <c r="D59" s="89"/>
    </row>
    <row r="60">
      <c r="D60" s="89"/>
    </row>
    <row r="61">
      <c r="D61" s="89"/>
    </row>
    <row r="62">
      <c r="D62" s="89"/>
    </row>
    <row r="63">
      <c r="D63" s="89"/>
    </row>
    <row r="64">
      <c r="D64" s="89"/>
    </row>
    <row r="65">
      <c r="D65" s="89"/>
    </row>
    <row r="66">
      <c r="D66" s="89"/>
    </row>
    <row r="67">
      <c r="D67" s="89"/>
    </row>
    <row r="68">
      <c r="D68" s="89"/>
    </row>
    <row r="69">
      <c r="D69" s="89"/>
    </row>
    <row r="70">
      <c r="D70" s="89"/>
    </row>
    <row r="71">
      <c r="D71" s="89"/>
    </row>
    <row r="72">
      <c r="D72" s="89"/>
    </row>
    <row r="73">
      <c r="D73" s="89"/>
    </row>
    <row r="74">
      <c r="D74" s="89"/>
    </row>
    <row r="75">
      <c r="D75" s="89"/>
    </row>
    <row r="76">
      <c r="D76" s="89"/>
    </row>
    <row r="77">
      <c r="D77" s="89"/>
    </row>
    <row r="78">
      <c r="D78" s="89"/>
    </row>
    <row r="79">
      <c r="D79" s="89"/>
    </row>
    <row r="80">
      <c r="D80" s="89"/>
    </row>
    <row r="81">
      <c r="D81" s="89"/>
    </row>
    <row r="82">
      <c r="D82" s="89"/>
    </row>
    <row r="83">
      <c r="D83" s="89"/>
    </row>
    <row r="84">
      <c r="D84" s="89"/>
    </row>
    <row r="85">
      <c r="D85" s="89"/>
    </row>
    <row r="86">
      <c r="D86" s="89"/>
    </row>
    <row r="87">
      <c r="D87" s="89"/>
    </row>
    <row r="88">
      <c r="D88" s="89"/>
    </row>
    <row r="89">
      <c r="D89" s="89"/>
    </row>
    <row r="90">
      <c r="D90" s="89"/>
    </row>
    <row r="91">
      <c r="D91" s="89"/>
    </row>
    <row r="92">
      <c r="D92" s="89"/>
    </row>
    <row r="93">
      <c r="D93" s="89"/>
    </row>
    <row r="94">
      <c r="D94" s="89"/>
    </row>
    <row r="95">
      <c r="D95" s="89"/>
    </row>
    <row r="96">
      <c r="D96" s="89"/>
    </row>
    <row r="97">
      <c r="D97" s="89"/>
    </row>
    <row r="98">
      <c r="D98" s="89"/>
    </row>
    <row r="99">
      <c r="D99" s="89"/>
    </row>
    <row r="100">
      <c r="D100" s="89"/>
    </row>
    <row r="101">
      <c r="D101" s="89"/>
    </row>
    <row r="102">
      <c r="D102" s="89"/>
    </row>
    <row r="103">
      <c r="D103" s="89"/>
    </row>
    <row r="104">
      <c r="D104" s="89"/>
    </row>
    <row r="105">
      <c r="D105" s="89"/>
    </row>
    <row r="106">
      <c r="D106" s="89"/>
    </row>
    <row r="107">
      <c r="D107" s="89"/>
    </row>
    <row r="108">
      <c r="D108" s="89"/>
    </row>
    <row r="109">
      <c r="D109" s="89"/>
    </row>
    <row r="110">
      <c r="D110" s="89"/>
    </row>
    <row r="111">
      <c r="D111" s="89"/>
    </row>
    <row r="112">
      <c r="D112" s="89"/>
    </row>
    <row r="113">
      <c r="D113" s="89"/>
    </row>
    <row r="114">
      <c r="D114" s="89"/>
    </row>
    <row r="115">
      <c r="D115" s="89"/>
    </row>
    <row r="116">
      <c r="D116" s="89"/>
    </row>
    <row r="117">
      <c r="D117" s="89"/>
    </row>
    <row r="118">
      <c r="D118" s="89"/>
    </row>
    <row r="119">
      <c r="D119" s="89"/>
    </row>
    <row r="120">
      <c r="D120" s="89"/>
    </row>
    <row r="121">
      <c r="D121" s="89"/>
    </row>
    <row r="122">
      <c r="D122" s="89"/>
    </row>
    <row r="123">
      <c r="D123" s="89"/>
    </row>
    <row r="124">
      <c r="D124" s="89"/>
    </row>
    <row r="125">
      <c r="D125" s="89"/>
    </row>
    <row r="126">
      <c r="D126" s="89"/>
    </row>
    <row r="127">
      <c r="D127" s="89"/>
    </row>
    <row r="128">
      <c r="D128" s="89"/>
    </row>
    <row r="129">
      <c r="D129" s="89"/>
    </row>
    <row r="130">
      <c r="D130" s="89"/>
    </row>
    <row r="131">
      <c r="D131" s="89"/>
    </row>
    <row r="132">
      <c r="D132" s="89"/>
    </row>
    <row r="133">
      <c r="D133" s="89"/>
    </row>
    <row r="134">
      <c r="D134" s="89"/>
    </row>
    <row r="135">
      <c r="D135" s="89"/>
    </row>
    <row r="136">
      <c r="D136" s="89"/>
    </row>
    <row r="137">
      <c r="D137" s="89"/>
    </row>
    <row r="138">
      <c r="D138" s="89"/>
    </row>
    <row r="139">
      <c r="D139" s="89"/>
    </row>
    <row r="140">
      <c r="D140" s="89"/>
    </row>
    <row r="141">
      <c r="D141" s="89"/>
    </row>
    <row r="142">
      <c r="D142" s="89"/>
    </row>
    <row r="143">
      <c r="D143" s="89"/>
    </row>
    <row r="144">
      <c r="D144" s="89"/>
    </row>
    <row r="145">
      <c r="D145" s="89"/>
    </row>
    <row r="146">
      <c r="D146" s="89"/>
    </row>
    <row r="147">
      <c r="D147" s="89"/>
    </row>
    <row r="148">
      <c r="D148" s="89"/>
    </row>
    <row r="149">
      <c r="D149" s="89"/>
    </row>
    <row r="150">
      <c r="D150" s="89"/>
    </row>
    <row r="151">
      <c r="D151" s="89"/>
    </row>
    <row r="152">
      <c r="D152" s="89"/>
    </row>
    <row r="153">
      <c r="D153" s="89"/>
    </row>
    <row r="154">
      <c r="D154" s="89"/>
    </row>
    <row r="155">
      <c r="D155" s="89"/>
    </row>
    <row r="156">
      <c r="D156" s="89"/>
    </row>
    <row r="157">
      <c r="D157" s="89"/>
    </row>
    <row r="158">
      <c r="D158" s="89"/>
    </row>
    <row r="159">
      <c r="D159" s="89"/>
    </row>
    <row r="160">
      <c r="D160" s="89"/>
    </row>
    <row r="161">
      <c r="D161" s="89"/>
    </row>
    <row r="162">
      <c r="D162" s="89"/>
    </row>
    <row r="163">
      <c r="D163" s="89"/>
    </row>
    <row r="164">
      <c r="D164" s="89"/>
    </row>
    <row r="165">
      <c r="D165" s="89"/>
    </row>
    <row r="166">
      <c r="D166" s="89"/>
    </row>
    <row r="167">
      <c r="D167" s="89"/>
    </row>
    <row r="168">
      <c r="D168" s="89"/>
    </row>
    <row r="169">
      <c r="D169" s="89"/>
    </row>
    <row r="170">
      <c r="D170" s="89"/>
    </row>
    <row r="171">
      <c r="D171" s="89"/>
    </row>
    <row r="172">
      <c r="D172" s="89"/>
    </row>
    <row r="173">
      <c r="D173" s="89"/>
    </row>
    <row r="174">
      <c r="D174" s="89"/>
    </row>
    <row r="175">
      <c r="D175" s="89"/>
    </row>
    <row r="176">
      <c r="D176" s="89"/>
    </row>
    <row r="177">
      <c r="D177" s="89"/>
    </row>
    <row r="178">
      <c r="D178" s="89"/>
    </row>
    <row r="179">
      <c r="D179" s="89"/>
    </row>
    <row r="180">
      <c r="D180" s="89"/>
    </row>
    <row r="181">
      <c r="D181" s="89"/>
    </row>
    <row r="182">
      <c r="D182" s="89"/>
    </row>
    <row r="183">
      <c r="D183" s="89"/>
    </row>
    <row r="184">
      <c r="D184" s="89"/>
    </row>
    <row r="185">
      <c r="D185" s="89"/>
    </row>
    <row r="186">
      <c r="D186" s="89"/>
    </row>
    <row r="187">
      <c r="D187" s="89"/>
    </row>
    <row r="188">
      <c r="D188" s="89"/>
    </row>
    <row r="189">
      <c r="D189" s="89"/>
    </row>
    <row r="190">
      <c r="D190" s="89"/>
    </row>
    <row r="191">
      <c r="D191" s="89"/>
    </row>
    <row r="192">
      <c r="D192" s="89"/>
    </row>
    <row r="193">
      <c r="D193" s="89"/>
    </row>
    <row r="194">
      <c r="D194" s="89"/>
    </row>
    <row r="195">
      <c r="D195" s="89"/>
    </row>
    <row r="196">
      <c r="D196" s="89"/>
    </row>
    <row r="197">
      <c r="D197" s="89"/>
    </row>
    <row r="198">
      <c r="D198" s="89"/>
    </row>
    <row r="199">
      <c r="D199" s="89"/>
    </row>
    <row r="200">
      <c r="D200" s="89"/>
    </row>
    <row r="201">
      <c r="D201" s="89"/>
    </row>
    <row r="202">
      <c r="D202" s="89"/>
    </row>
    <row r="203">
      <c r="D203" s="89"/>
    </row>
    <row r="204">
      <c r="D204" s="89"/>
    </row>
    <row r="205">
      <c r="D205" s="89"/>
    </row>
    <row r="206">
      <c r="D206" s="89"/>
    </row>
    <row r="207">
      <c r="D207" s="89"/>
    </row>
    <row r="208">
      <c r="D208" s="89"/>
    </row>
    <row r="209">
      <c r="D209" s="89"/>
    </row>
    <row r="210">
      <c r="D210" s="89"/>
    </row>
    <row r="211">
      <c r="D211" s="89"/>
    </row>
    <row r="212">
      <c r="D212" s="89"/>
    </row>
    <row r="213">
      <c r="D213" s="89"/>
    </row>
    <row r="214">
      <c r="D214" s="89"/>
    </row>
    <row r="215">
      <c r="D215" s="89"/>
    </row>
    <row r="216">
      <c r="D216" s="89"/>
    </row>
    <row r="217">
      <c r="D217" s="89"/>
    </row>
    <row r="218">
      <c r="D218" s="89"/>
    </row>
    <row r="219">
      <c r="D219" s="89"/>
    </row>
    <row r="220">
      <c r="D220" s="89"/>
    </row>
    <row r="221">
      <c r="D221" s="89"/>
    </row>
    <row r="222">
      <c r="D222" s="89"/>
    </row>
    <row r="223">
      <c r="D223" s="89"/>
    </row>
    <row r="224">
      <c r="D224" s="89"/>
    </row>
    <row r="225">
      <c r="D225" s="89"/>
    </row>
    <row r="226">
      <c r="D226" s="89"/>
    </row>
    <row r="227">
      <c r="D227" s="89"/>
    </row>
    <row r="228">
      <c r="D228" s="89"/>
    </row>
    <row r="229">
      <c r="D229" s="89"/>
    </row>
    <row r="230">
      <c r="D230" s="89"/>
    </row>
    <row r="231">
      <c r="D231" s="89"/>
    </row>
    <row r="232">
      <c r="D232" s="89"/>
    </row>
    <row r="233">
      <c r="D233" s="89"/>
    </row>
    <row r="234">
      <c r="D234" s="89"/>
    </row>
    <row r="235">
      <c r="D235" s="89"/>
    </row>
    <row r="236">
      <c r="D236" s="89"/>
    </row>
    <row r="237">
      <c r="D237" s="89"/>
    </row>
    <row r="238">
      <c r="D238" s="89"/>
    </row>
    <row r="239">
      <c r="D239" s="89"/>
    </row>
    <row r="240">
      <c r="D240" s="89"/>
    </row>
    <row r="241">
      <c r="D241" s="89"/>
    </row>
    <row r="242">
      <c r="D242" s="89"/>
    </row>
    <row r="243">
      <c r="D243" s="89"/>
    </row>
    <row r="244">
      <c r="D244" s="89"/>
    </row>
    <row r="245">
      <c r="D245" s="89"/>
    </row>
    <row r="246">
      <c r="D246" s="89"/>
    </row>
    <row r="247">
      <c r="D247" s="89"/>
    </row>
    <row r="248">
      <c r="D248" s="89"/>
    </row>
    <row r="249">
      <c r="D249" s="89"/>
    </row>
    <row r="250">
      <c r="D250" s="89"/>
    </row>
    <row r="251">
      <c r="D251" s="89"/>
    </row>
    <row r="252">
      <c r="D252" s="89"/>
    </row>
    <row r="253">
      <c r="D253" s="89"/>
    </row>
    <row r="254">
      <c r="D254" s="89"/>
    </row>
    <row r="255">
      <c r="D255" s="89"/>
    </row>
    <row r="256">
      <c r="D256" s="89"/>
    </row>
    <row r="257">
      <c r="D257" s="89"/>
    </row>
    <row r="258">
      <c r="D258" s="89"/>
    </row>
    <row r="259">
      <c r="D259" s="89"/>
    </row>
    <row r="260">
      <c r="D260" s="89"/>
    </row>
    <row r="261">
      <c r="D261" s="89"/>
    </row>
    <row r="262">
      <c r="D262" s="89"/>
    </row>
    <row r="263">
      <c r="D263" s="89"/>
    </row>
    <row r="264">
      <c r="D264" s="89"/>
    </row>
    <row r="265">
      <c r="D265" s="89"/>
    </row>
    <row r="266">
      <c r="D266" s="89"/>
    </row>
    <row r="267">
      <c r="D267" s="89"/>
    </row>
    <row r="268">
      <c r="D268" s="89"/>
    </row>
    <row r="269">
      <c r="D269" s="89"/>
    </row>
    <row r="270">
      <c r="D270" s="89"/>
    </row>
    <row r="271">
      <c r="D271" s="89"/>
    </row>
    <row r="272">
      <c r="D272" s="89"/>
    </row>
    <row r="273">
      <c r="D273" s="89"/>
    </row>
    <row r="274">
      <c r="D274" s="89"/>
    </row>
    <row r="275">
      <c r="D275" s="89"/>
    </row>
    <row r="276">
      <c r="D276" s="89"/>
    </row>
    <row r="277">
      <c r="D277" s="89"/>
    </row>
    <row r="278">
      <c r="D278" s="89"/>
    </row>
    <row r="279">
      <c r="D279" s="89"/>
    </row>
    <row r="280">
      <c r="D280" s="89"/>
    </row>
    <row r="281">
      <c r="D281" s="89"/>
    </row>
    <row r="282">
      <c r="D282" s="89"/>
    </row>
    <row r="283">
      <c r="D283" s="89"/>
    </row>
    <row r="284">
      <c r="D284" s="89"/>
    </row>
    <row r="285">
      <c r="D285" s="89"/>
    </row>
    <row r="286">
      <c r="D286" s="89"/>
    </row>
    <row r="287">
      <c r="D287" s="89"/>
    </row>
    <row r="288">
      <c r="D288" s="89"/>
    </row>
    <row r="289">
      <c r="D289" s="89"/>
    </row>
    <row r="290">
      <c r="D290" s="89"/>
    </row>
    <row r="291">
      <c r="D291" s="89"/>
    </row>
    <row r="292">
      <c r="D292" s="89"/>
    </row>
    <row r="293">
      <c r="D293" s="89"/>
    </row>
    <row r="294">
      <c r="D294" s="89"/>
    </row>
    <row r="295">
      <c r="D295" s="89"/>
    </row>
    <row r="296">
      <c r="D296" s="89"/>
    </row>
    <row r="297">
      <c r="D297" s="89"/>
    </row>
    <row r="298">
      <c r="D298" s="89"/>
    </row>
    <row r="299">
      <c r="D299" s="89"/>
    </row>
    <row r="300">
      <c r="D300" s="89"/>
    </row>
    <row r="301">
      <c r="D301" s="89"/>
    </row>
    <row r="302">
      <c r="D302" s="89"/>
    </row>
    <row r="303">
      <c r="D303" s="89"/>
    </row>
    <row r="304">
      <c r="D304" s="89"/>
    </row>
    <row r="305">
      <c r="D305" s="89"/>
    </row>
    <row r="306">
      <c r="D306" s="89"/>
    </row>
    <row r="307">
      <c r="D307" s="89"/>
    </row>
    <row r="308">
      <c r="D308" s="89"/>
    </row>
    <row r="309">
      <c r="D309" s="89"/>
    </row>
    <row r="310">
      <c r="D310" s="89"/>
    </row>
    <row r="311">
      <c r="D311" s="89"/>
    </row>
    <row r="312">
      <c r="D312" s="89"/>
    </row>
    <row r="313">
      <c r="D313" s="89"/>
    </row>
    <row r="314">
      <c r="D314" s="89"/>
    </row>
    <row r="315">
      <c r="D315" s="89"/>
    </row>
    <row r="316">
      <c r="D316" s="89"/>
    </row>
    <row r="317">
      <c r="D317" s="89"/>
    </row>
    <row r="318">
      <c r="D318" s="89"/>
    </row>
    <row r="319">
      <c r="D319" s="89"/>
    </row>
    <row r="320">
      <c r="D320" s="89"/>
    </row>
    <row r="321">
      <c r="D321" s="89"/>
    </row>
    <row r="322">
      <c r="D322" s="89"/>
    </row>
    <row r="323">
      <c r="D323" s="89"/>
    </row>
    <row r="324">
      <c r="D324" s="89"/>
    </row>
    <row r="325">
      <c r="D325" s="89"/>
    </row>
    <row r="326">
      <c r="D326" s="89"/>
    </row>
    <row r="327">
      <c r="D327" s="89"/>
    </row>
    <row r="328">
      <c r="D328" s="89"/>
    </row>
    <row r="329">
      <c r="D329" s="89"/>
    </row>
    <row r="330">
      <c r="D330" s="89"/>
    </row>
    <row r="331">
      <c r="D331" s="89"/>
    </row>
    <row r="332">
      <c r="D332" s="89"/>
    </row>
    <row r="333">
      <c r="D333" s="89"/>
    </row>
    <row r="334">
      <c r="D334" s="89"/>
    </row>
    <row r="335">
      <c r="D335" s="89"/>
    </row>
    <row r="336">
      <c r="D336" s="89"/>
    </row>
    <row r="337">
      <c r="D337" s="89"/>
    </row>
    <row r="338">
      <c r="D338" s="89"/>
    </row>
    <row r="339">
      <c r="D339" s="89"/>
    </row>
    <row r="340">
      <c r="D340" s="89"/>
    </row>
    <row r="341">
      <c r="D341" s="89"/>
    </row>
    <row r="342">
      <c r="D342" s="89"/>
    </row>
    <row r="343">
      <c r="D343" s="89"/>
    </row>
    <row r="344">
      <c r="D344" s="89"/>
    </row>
    <row r="345">
      <c r="D345" s="89"/>
    </row>
    <row r="346">
      <c r="D346" s="89"/>
    </row>
    <row r="347">
      <c r="D347" s="89"/>
    </row>
    <row r="348">
      <c r="D348" s="89"/>
    </row>
    <row r="349">
      <c r="D349" s="89"/>
    </row>
    <row r="350">
      <c r="D350" s="89"/>
    </row>
    <row r="351">
      <c r="D351" s="89"/>
    </row>
    <row r="352">
      <c r="D352" s="89"/>
    </row>
    <row r="353">
      <c r="D353" s="89"/>
    </row>
    <row r="354">
      <c r="D354" s="89"/>
    </row>
    <row r="355">
      <c r="D355" s="89"/>
    </row>
    <row r="356">
      <c r="D356" s="89"/>
    </row>
    <row r="357">
      <c r="D357" s="89"/>
    </row>
    <row r="358">
      <c r="D358" s="89"/>
    </row>
    <row r="359">
      <c r="D359" s="89"/>
    </row>
    <row r="360">
      <c r="D360" s="89"/>
    </row>
    <row r="361">
      <c r="D361" s="89"/>
    </row>
    <row r="362">
      <c r="D362" s="89"/>
    </row>
    <row r="363">
      <c r="D363" s="89"/>
    </row>
    <row r="364">
      <c r="D364" s="89"/>
    </row>
    <row r="365">
      <c r="D365" s="89"/>
    </row>
    <row r="366">
      <c r="D366" s="89"/>
    </row>
    <row r="367">
      <c r="D367" s="89"/>
    </row>
    <row r="368">
      <c r="D368" s="89"/>
    </row>
    <row r="369">
      <c r="D369" s="89"/>
    </row>
    <row r="370">
      <c r="D370" s="89"/>
    </row>
    <row r="371">
      <c r="D371" s="89"/>
    </row>
    <row r="372">
      <c r="D372" s="89"/>
    </row>
    <row r="373">
      <c r="D373" s="89"/>
    </row>
    <row r="374">
      <c r="D374" s="89"/>
    </row>
    <row r="375">
      <c r="D375" s="89"/>
    </row>
    <row r="376">
      <c r="D376" s="89"/>
    </row>
    <row r="377">
      <c r="D377" s="89"/>
    </row>
    <row r="378">
      <c r="D378" s="89"/>
    </row>
    <row r="379">
      <c r="D379" s="89"/>
    </row>
    <row r="380">
      <c r="D380" s="89"/>
    </row>
    <row r="381">
      <c r="D381" s="89"/>
    </row>
    <row r="382">
      <c r="D382" s="89"/>
    </row>
    <row r="383">
      <c r="D383" s="89"/>
    </row>
    <row r="384">
      <c r="D384" s="89"/>
    </row>
    <row r="385">
      <c r="D385" s="89"/>
    </row>
    <row r="386">
      <c r="D386" s="89"/>
    </row>
    <row r="387">
      <c r="D387" s="89"/>
    </row>
    <row r="388">
      <c r="D388" s="89"/>
    </row>
    <row r="389">
      <c r="D389" s="89"/>
    </row>
    <row r="390">
      <c r="D390" s="89"/>
    </row>
    <row r="391">
      <c r="D391" s="89"/>
    </row>
    <row r="392">
      <c r="D392" s="89"/>
    </row>
    <row r="393">
      <c r="D393" s="89"/>
    </row>
    <row r="394">
      <c r="D394" s="89"/>
    </row>
    <row r="395">
      <c r="D395" s="89"/>
    </row>
    <row r="396">
      <c r="D396" s="89"/>
    </row>
    <row r="397">
      <c r="D397" s="89"/>
    </row>
    <row r="398">
      <c r="D398" s="89"/>
    </row>
    <row r="399">
      <c r="D399" s="89"/>
    </row>
    <row r="400">
      <c r="D400" s="89"/>
    </row>
    <row r="401">
      <c r="D401" s="89"/>
    </row>
    <row r="402">
      <c r="D402" s="89"/>
    </row>
    <row r="403">
      <c r="D403" s="89"/>
    </row>
    <row r="404">
      <c r="D404" s="89"/>
    </row>
    <row r="405">
      <c r="D405" s="89"/>
    </row>
    <row r="406">
      <c r="D406" s="89"/>
    </row>
    <row r="407">
      <c r="D407" s="89"/>
    </row>
    <row r="408">
      <c r="D408" s="89"/>
    </row>
    <row r="409">
      <c r="D409" s="89"/>
    </row>
    <row r="410">
      <c r="D410" s="89"/>
    </row>
    <row r="411">
      <c r="D411" s="89"/>
    </row>
    <row r="412">
      <c r="D412" s="89"/>
    </row>
    <row r="413">
      <c r="D413" s="89"/>
    </row>
    <row r="414">
      <c r="D414" s="89"/>
    </row>
    <row r="415">
      <c r="D415" s="89"/>
    </row>
    <row r="416">
      <c r="D416" s="89"/>
    </row>
    <row r="417">
      <c r="D417" s="89"/>
    </row>
    <row r="418">
      <c r="D418" s="89"/>
    </row>
    <row r="419">
      <c r="D419" s="89"/>
    </row>
    <row r="420">
      <c r="D420" s="89"/>
    </row>
    <row r="421">
      <c r="D421" s="89"/>
    </row>
    <row r="422">
      <c r="D422" s="89"/>
    </row>
    <row r="423">
      <c r="D423" s="89"/>
    </row>
    <row r="424">
      <c r="D424" s="89"/>
    </row>
    <row r="425">
      <c r="D425" s="89"/>
    </row>
    <row r="426">
      <c r="D426" s="89"/>
    </row>
    <row r="427">
      <c r="D427" s="89"/>
    </row>
    <row r="428">
      <c r="D428" s="89"/>
    </row>
    <row r="429">
      <c r="D429" s="89"/>
    </row>
    <row r="430">
      <c r="D430" s="89"/>
    </row>
    <row r="431">
      <c r="D431" s="89"/>
    </row>
    <row r="432">
      <c r="D432" s="89"/>
    </row>
    <row r="433">
      <c r="D433" s="89"/>
    </row>
    <row r="434">
      <c r="D434" s="89"/>
    </row>
    <row r="435">
      <c r="D435" s="89"/>
    </row>
    <row r="436">
      <c r="D436" s="89"/>
    </row>
    <row r="437">
      <c r="D437" s="89"/>
    </row>
    <row r="438">
      <c r="D438" s="89"/>
    </row>
    <row r="439">
      <c r="D439" s="89"/>
    </row>
    <row r="440">
      <c r="D440" s="89"/>
    </row>
    <row r="441">
      <c r="D441" s="89"/>
    </row>
    <row r="442">
      <c r="D442" s="89"/>
    </row>
    <row r="443">
      <c r="D443" s="89"/>
    </row>
    <row r="444">
      <c r="D444" s="89"/>
    </row>
    <row r="445">
      <c r="D445" s="89"/>
    </row>
    <row r="446">
      <c r="D446" s="89"/>
    </row>
    <row r="447">
      <c r="D447" s="89"/>
    </row>
    <row r="448">
      <c r="D448" s="89"/>
    </row>
    <row r="449">
      <c r="D449" s="89"/>
    </row>
    <row r="450">
      <c r="D450" s="89"/>
    </row>
    <row r="451">
      <c r="D451" s="89"/>
    </row>
    <row r="452">
      <c r="D452" s="89"/>
    </row>
    <row r="453">
      <c r="D453" s="89"/>
    </row>
    <row r="454">
      <c r="D454" s="89"/>
    </row>
    <row r="455">
      <c r="D455" s="89"/>
    </row>
    <row r="456">
      <c r="D456" s="89"/>
    </row>
    <row r="457">
      <c r="D457" s="89"/>
    </row>
    <row r="458">
      <c r="D458" s="89"/>
    </row>
    <row r="459">
      <c r="D459" s="89"/>
    </row>
    <row r="460">
      <c r="D460" s="89"/>
    </row>
    <row r="461">
      <c r="D461" s="89"/>
    </row>
    <row r="462">
      <c r="D462" s="89"/>
    </row>
    <row r="463">
      <c r="D463" s="89"/>
    </row>
    <row r="464">
      <c r="D464" s="89"/>
    </row>
    <row r="465">
      <c r="D465" s="89"/>
    </row>
    <row r="466">
      <c r="D466" s="89"/>
    </row>
    <row r="467">
      <c r="D467" s="89"/>
    </row>
    <row r="468">
      <c r="D468" s="89"/>
    </row>
    <row r="469">
      <c r="D469" s="89"/>
    </row>
    <row r="470">
      <c r="D470" s="89"/>
    </row>
    <row r="471">
      <c r="D471" s="89"/>
    </row>
    <row r="472">
      <c r="D472" s="89"/>
    </row>
    <row r="473">
      <c r="D473" s="89"/>
    </row>
    <row r="474">
      <c r="D474" s="89"/>
    </row>
    <row r="475">
      <c r="D475" s="89"/>
    </row>
    <row r="476">
      <c r="D476" s="89"/>
    </row>
    <row r="477">
      <c r="D477" s="89"/>
    </row>
    <row r="478">
      <c r="D478" s="89"/>
    </row>
    <row r="479">
      <c r="D479" s="89"/>
    </row>
    <row r="480">
      <c r="D480" s="89"/>
    </row>
    <row r="481">
      <c r="D481" s="89"/>
    </row>
    <row r="482">
      <c r="D482" s="89"/>
    </row>
    <row r="483">
      <c r="D483" s="89"/>
    </row>
    <row r="484">
      <c r="D484" s="89"/>
    </row>
    <row r="485">
      <c r="D485" s="89"/>
    </row>
    <row r="486">
      <c r="D486" s="89"/>
    </row>
    <row r="487">
      <c r="D487" s="89"/>
    </row>
    <row r="488">
      <c r="D488" s="89"/>
    </row>
    <row r="489">
      <c r="D489" s="89"/>
    </row>
    <row r="490">
      <c r="D490" s="89"/>
    </row>
    <row r="491">
      <c r="D491" s="89"/>
    </row>
    <row r="492">
      <c r="D492" s="89"/>
    </row>
    <row r="493">
      <c r="D493" s="89"/>
    </row>
    <row r="494">
      <c r="D494" s="89"/>
    </row>
    <row r="495">
      <c r="D495" s="89"/>
    </row>
    <row r="496">
      <c r="D496" s="89"/>
    </row>
    <row r="497">
      <c r="D497" s="89"/>
    </row>
    <row r="498">
      <c r="D498" s="89"/>
    </row>
    <row r="499">
      <c r="D499" s="89"/>
    </row>
    <row r="500">
      <c r="D500" s="89"/>
    </row>
    <row r="501">
      <c r="D501" s="89"/>
    </row>
    <row r="502">
      <c r="D502" s="89"/>
    </row>
    <row r="503">
      <c r="D503" s="89"/>
    </row>
    <row r="504">
      <c r="D504" s="89"/>
    </row>
    <row r="505">
      <c r="D505" s="89"/>
    </row>
    <row r="506">
      <c r="D506" s="89"/>
    </row>
    <row r="507">
      <c r="D507" s="89"/>
    </row>
    <row r="508">
      <c r="D508" s="89"/>
    </row>
    <row r="509">
      <c r="D509" s="89"/>
    </row>
    <row r="510">
      <c r="D510" s="89"/>
    </row>
    <row r="511">
      <c r="D511" s="89"/>
    </row>
    <row r="512">
      <c r="D512" s="89"/>
    </row>
    <row r="513">
      <c r="D513" s="89"/>
    </row>
    <row r="514">
      <c r="D514" s="89"/>
    </row>
    <row r="515">
      <c r="D515" s="89"/>
    </row>
    <row r="516">
      <c r="D516" s="89"/>
    </row>
    <row r="517">
      <c r="D517" s="89"/>
    </row>
    <row r="518">
      <c r="D518" s="89"/>
    </row>
    <row r="519">
      <c r="D519" s="89"/>
    </row>
    <row r="520">
      <c r="D520" s="89"/>
    </row>
    <row r="521">
      <c r="D521" s="89"/>
    </row>
    <row r="522">
      <c r="D522" s="89"/>
    </row>
    <row r="523">
      <c r="D523" s="89"/>
    </row>
    <row r="524">
      <c r="D524" s="89"/>
    </row>
    <row r="525">
      <c r="D525" s="89"/>
    </row>
    <row r="526">
      <c r="D526" s="89"/>
    </row>
    <row r="527">
      <c r="D527" s="89"/>
    </row>
    <row r="528">
      <c r="D528" s="89"/>
    </row>
    <row r="529">
      <c r="D529" s="89"/>
    </row>
    <row r="530">
      <c r="D530" s="89"/>
    </row>
    <row r="531">
      <c r="D531" s="89"/>
    </row>
    <row r="532">
      <c r="D532" s="89"/>
    </row>
    <row r="533">
      <c r="D533" s="89"/>
    </row>
    <row r="534">
      <c r="D534" s="89"/>
    </row>
    <row r="535">
      <c r="D535" s="89"/>
    </row>
    <row r="536">
      <c r="D536" s="89"/>
    </row>
    <row r="537">
      <c r="D537" s="89"/>
    </row>
    <row r="538">
      <c r="D538" s="89"/>
    </row>
    <row r="539">
      <c r="D539" s="89"/>
    </row>
    <row r="540">
      <c r="D540" s="89"/>
    </row>
    <row r="541">
      <c r="D541" s="89"/>
    </row>
    <row r="542">
      <c r="D542" s="89"/>
    </row>
    <row r="543">
      <c r="D543" s="89"/>
    </row>
    <row r="544">
      <c r="D544" s="89"/>
    </row>
    <row r="545">
      <c r="D545" s="89"/>
    </row>
    <row r="546">
      <c r="D546" s="89"/>
    </row>
    <row r="547">
      <c r="D547" s="89"/>
    </row>
    <row r="548">
      <c r="D548" s="89"/>
    </row>
    <row r="549">
      <c r="D549" s="89"/>
    </row>
    <row r="550">
      <c r="D550" s="89"/>
    </row>
    <row r="551">
      <c r="D551" s="89"/>
    </row>
    <row r="552">
      <c r="D552" s="89"/>
    </row>
    <row r="553">
      <c r="D553" s="89"/>
    </row>
    <row r="554">
      <c r="D554" s="89"/>
    </row>
    <row r="555">
      <c r="D555" s="89"/>
    </row>
    <row r="556">
      <c r="D556" s="89"/>
    </row>
    <row r="557">
      <c r="D557" s="89"/>
    </row>
    <row r="558">
      <c r="D558" s="89"/>
    </row>
    <row r="559">
      <c r="D559" s="89"/>
    </row>
    <row r="560">
      <c r="D560" s="89"/>
    </row>
    <row r="561">
      <c r="D561" s="89"/>
    </row>
    <row r="562">
      <c r="D562" s="89"/>
    </row>
    <row r="563">
      <c r="D563" s="89"/>
    </row>
    <row r="564">
      <c r="D564" s="89"/>
    </row>
    <row r="565">
      <c r="D565" s="89"/>
    </row>
    <row r="566">
      <c r="D566" s="89"/>
    </row>
    <row r="567">
      <c r="D567" s="89"/>
    </row>
    <row r="568">
      <c r="D568" s="89"/>
    </row>
    <row r="569">
      <c r="D569" s="89"/>
    </row>
    <row r="570">
      <c r="D570" s="89"/>
    </row>
    <row r="571">
      <c r="D571" s="89"/>
    </row>
    <row r="572">
      <c r="D572" s="89"/>
    </row>
    <row r="573">
      <c r="D573" s="89"/>
    </row>
    <row r="574">
      <c r="D574" s="89"/>
    </row>
    <row r="575">
      <c r="D575" s="89"/>
    </row>
    <row r="576">
      <c r="D576" s="89"/>
    </row>
    <row r="577">
      <c r="D577" s="89"/>
    </row>
    <row r="578">
      <c r="D578" s="89"/>
    </row>
    <row r="579">
      <c r="D579" s="89"/>
    </row>
    <row r="580">
      <c r="D580" s="89"/>
    </row>
    <row r="581">
      <c r="D581" s="89"/>
    </row>
    <row r="582">
      <c r="D582" s="89"/>
    </row>
    <row r="583">
      <c r="D583" s="89"/>
    </row>
    <row r="584">
      <c r="D584" s="89"/>
    </row>
    <row r="585">
      <c r="D585" s="89"/>
    </row>
    <row r="586">
      <c r="D586" s="89"/>
    </row>
    <row r="587">
      <c r="D587" s="89"/>
    </row>
    <row r="588">
      <c r="D588" s="89"/>
    </row>
    <row r="589">
      <c r="D589" s="89"/>
    </row>
    <row r="590">
      <c r="D590" s="89"/>
    </row>
    <row r="591">
      <c r="D591" s="89"/>
    </row>
    <row r="592">
      <c r="D592" s="89"/>
    </row>
    <row r="593">
      <c r="D593" s="89"/>
    </row>
    <row r="594">
      <c r="D594" s="89"/>
    </row>
    <row r="595">
      <c r="D595" s="89"/>
    </row>
    <row r="596">
      <c r="D596" s="89"/>
    </row>
    <row r="597">
      <c r="D597" s="89"/>
    </row>
    <row r="598">
      <c r="D598" s="89"/>
    </row>
    <row r="599">
      <c r="D599" s="89"/>
    </row>
    <row r="600">
      <c r="D600" s="89"/>
    </row>
    <row r="601">
      <c r="D601" s="89"/>
    </row>
    <row r="602">
      <c r="D602" s="89"/>
    </row>
    <row r="603">
      <c r="D603" s="89"/>
    </row>
    <row r="604">
      <c r="D604" s="89"/>
    </row>
    <row r="605">
      <c r="D605" s="89"/>
    </row>
    <row r="606">
      <c r="D606" s="89"/>
    </row>
    <row r="607">
      <c r="D607" s="89"/>
    </row>
    <row r="608">
      <c r="D608" s="89"/>
    </row>
    <row r="609">
      <c r="D609" s="89"/>
    </row>
    <row r="610">
      <c r="D610" s="89"/>
    </row>
    <row r="611">
      <c r="D611" s="89"/>
    </row>
    <row r="612">
      <c r="D612" s="89"/>
    </row>
    <row r="613">
      <c r="D613" s="89"/>
    </row>
    <row r="614">
      <c r="D614" s="89"/>
    </row>
    <row r="615">
      <c r="D615" s="89"/>
    </row>
    <row r="616">
      <c r="D616" s="89"/>
    </row>
    <row r="617">
      <c r="D617" s="89"/>
    </row>
    <row r="618">
      <c r="D618" s="89"/>
    </row>
    <row r="619">
      <c r="D619" s="89"/>
    </row>
    <row r="620">
      <c r="D620" s="89"/>
    </row>
    <row r="621">
      <c r="D621" s="89"/>
    </row>
    <row r="622">
      <c r="D622" s="89"/>
    </row>
    <row r="623">
      <c r="D623" s="89"/>
    </row>
    <row r="624">
      <c r="D624" s="89"/>
    </row>
    <row r="625">
      <c r="D625" s="89"/>
    </row>
    <row r="626">
      <c r="D626" s="89"/>
    </row>
    <row r="627">
      <c r="D627" s="89"/>
    </row>
    <row r="628">
      <c r="D628" s="89"/>
    </row>
    <row r="629">
      <c r="D629" s="89"/>
    </row>
    <row r="630">
      <c r="D630" s="89"/>
    </row>
    <row r="631">
      <c r="D631" s="89"/>
    </row>
    <row r="632">
      <c r="D632" s="89"/>
    </row>
    <row r="633">
      <c r="D633" s="89"/>
    </row>
    <row r="634">
      <c r="D634" s="89"/>
    </row>
    <row r="635">
      <c r="D635" s="89"/>
    </row>
    <row r="636">
      <c r="D636" s="89"/>
    </row>
    <row r="637">
      <c r="D637" s="89"/>
    </row>
    <row r="638">
      <c r="D638" s="89"/>
    </row>
    <row r="639">
      <c r="D639" s="89"/>
    </row>
    <row r="640">
      <c r="D640" s="89"/>
    </row>
    <row r="641">
      <c r="D641" s="89"/>
    </row>
    <row r="642">
      <c r="D642" s="89"/>
    </row>
    <row r="643">
      <c r="D643" s="89"/>
    </row>
    <row r="644">
      <c r="D644" s="89"/>
    </row>
    <row r="645">
      <c r="D645" s="89"/>
    </row>
    <row r="646">
      <c r="D646" s="89"/>
    </row>
    <row r="647">
      <c r="D647" s="89"/>
    </row>
    <row r="648">
      <c r="D648" s="89"/>
    </row>
    <row r="649">
      <c r="D649" s="89"/>
    </row>
    <row r="650">
      <c r="D650" s="89"/>
    </row>
    <row r="651">
      <c r="D651" s="89"/>
    </row>
    <row r="652">
      <c r="D652" s="89"/>
    </row>
    <row r="653">
      <c r="D653" s="89"/>
    </row>
    <row r="654">
      <c r="D654" s="89"/>
    </row>
    <row r="655">
      <c r="D655" s="89"/>
    </row>
    <row r="656">
      <c r="D656" s="89"/>
    </row>
    <row r="657">
      <c r="D657" s="89"/>
    </row>
    <row r="658">
      <c r="D658" s="89"/>
    </row>
    <row r="659">
      <c r="D659" s="89"/>
    </row>
    <row r="660">
      <c r="D660" s="89"/>
    </row>
    <row r="661">
      <c r="D661" s="89"/>
    </row>
    <row r="662">
      <c r="D662" s="89"/>
    </row>
    <row r="663">
      <c r="D663" s="89"/>
    </row>
    <row r="664">
      <c r="D664" s="89"/>
    </row>
    <row r="665">
      <c r="D665" s="89"/>
    </row>
    <row r="666">
      <c r="D666" s="89"/>
    </row>
    <row r="667">
      <c r="D667" s="89"/>
    </row>
    <row r="668">
      <c r="D668" s="89"/>
    </row>
    <row r="669">
      <c r="D669" s="89"/>
    </row>
    <row r="670">
      <c r="D670" s="89"/>
    </row>
    <row r="671">
      <c r="D671" s="89"/>
    </row>
    <row r="672">
      <c r="D672" s="89"/>
    </row>
    <row r="673">
      <c r="D673" s="89"/>
    </row>
    <row r="674">
      <c r="D674" s="89"/>
    </row>
    <row r="675">
      <c r="D675" s="89"/>
    </row>
    <row r="676">
      <c r="D676" s="89"/>
    </row>
    <row r="677">
      <c r="D677" s="89"/>
    </row>
    <row r="678">
      <c r="D678" s="89"/>
    </row>
    <row r="679">
      <c r="D679" s="89"/>
    </row>
    <row r="680">
      <c r="D680" s="89"/>
    </row>
    <row r="681">
      <c r="D681" s="89"/>
    </row>
    <row r="682">
      <c r="D682" s="89"/>
    </row>
    <row r="683">
      <c r="D683" s="89"/>
    </row>
    <row r="684">
      <c r="D684" s="89"/>
    </row>
    <row r="685">
      <c r="D685" s="89"/>
    </row>
    <row r="686">
      <c r="D686" s="89"/>
    </row>
    <row r="687">
      <c r="D687" s="89"/>
    </row>
    <row r="688">
      <c r="D688" s="89"/>
    </row>
    <row r="689">
      <c r="D689" s="89"/>
    </row>
    <row r="690">
      <c r="D690" s="89"/>
    </row>
    <row r="691">
      <c r="D691" s="89"/>
    </row>
    <row r="692">
      <c r="D692" s="89"/>
    </row>
    <row r="693">
      <c r="D693" s="89"/>
    </row>
    <row r="694">
      <c r="D694" s="89"/>
    </row>
    <row r="695">
      <c r="D695" s="89"/>
    </row>
    <row r="696">
      <c r="D696" s="89"/>
    </row>
    <row r="697">
      <c r="D697" s="89"/>
    </row>
    <row r="698">
      <c r="D698" s="89"/>
    </row>
    <row r="699">
      <c r="D699" s="89"/>
    </row>
    <row r="700">
      <c r="D700" s="89"/>
    </row>
    <row r="701">
      <c r="D701" s="89"/>
    </row>
    <row r="702">
      <c r="D702" s="89"/>
    </row>
    <row r="703">
      <c r="D703" s="89"/>
    </row>
    <row r="704">
      <c r="D704" s="89"/>
    </row>
    <row r="705">
      <c r="D705" s="89"/>
    </row>
    <row r="706">
      <c r="D706" s="89"/>
    </row>
    <row r="707">
      <c r="D707" s="89"/>
    </row>
    <row r="708">
      <c r="D708" s="89"/>
    </row>
    <row r="709">
      <c r="D709" s="89"/>
    </row>
    <row r="710">
      <c r="D710" s="89"/>
    </row>
    <row r="711">
      <c r="D711" s="89"/>
    </row>
    <row r="712">
      <c r="D712" s="89"/>
    </row>
    <row r="713">
      <c r="D713" s="89"/>
    </row>
    <row r="714">
      <c r="D714" s="89"/>
    </row>
    <row r="715">
      <c r="D715" s="89"/>
    </row>
    <row r="716">
      <c r="D716" s="89"/>
    </row>
    <row r="717">
      <c r="D717" s="89"/>
    </row>
    <row r="718">
      <c r="D718" s="89"/>
    </row>
    <row r="719">
      <c r="D719" s="89"/>
    </row>
    <row r="720">
      <c r="D720" s="89"/>
    </row>
    <row r="721">
      <c r="D721" s="89"/>
    </row>
    <row r="722">
      <c r="D722" s="89"/>
    </row>
    <row r="723">
      <c r="D723" s="89"/>
    </row>
    <row r="724">
      <c r="D724" s="89"/>
    </row>
    <row r="725">
      <c r="D725" s="89"/>
    </row>
    <row r="726">
      <c r="D726" s="89"/>
    </row>
    <row r="727">
      <c r="D727" s="89"/>
    </row>
    <row r="728">
      <c r="D728" s="89"/>
    </row>
    <row r="729">
      <c r="D729" s="89"/>
    </row>
    <row r="730">
      <c r="D730" s="89"/>
    </row>
    <row r="731">
      <c r="D731" s="89"/>
    </row>
    <row r="732">
      <c r="D732" s="89"/>
    </row>
    <row r="733">
      <c r="D733" s="89"/>
    </row>
    <row r="734">
      <c r="D734" s="89"/>
    </row>
    <row r="735">
      <c r="D735" s="89"/>
    </row>
    <row r="736">
      <c r="D736" s="89"/>
    </row>
    <row r="737">
      <c r="D737" s="89"/>
    </row>
    <row r="738">
      <c r="D738" s="89"/>
    </row>
    <row r="739">
      <c r="D739" s="89"/>
    </row>
    <row r="740">
      <c r="D740" s="89"/>
    </row>
    <row r="741">
      <c r="D741" s="89"/>
    </row>
    <row r="742">
      <c r="D742" s="89"/>
    </row>
    <row r="743">
      <c r="D743" s="89"/>
    </row>
    <row r="744">
      <c r="D744" s="89"/>
    </row>
    <row r="745">
      <c r="D745" s="89"/>
    </row>
    <row r="746">
      <c r="D746" s="89"/>
    </row>
    <row r="747">
      <c r="D747" s="89"/>
    </row>
    <row r="748">
      <c r="D748" s="89"/>
    </row>
    <row r="749">
      <c r="D749" s="89"/>
    </row>
    <row r="750">
      <c r="D750" s="89"/>
    </row>
    <row r="751">
      <c r="D751" s="89"/>
    </row>
    <row r="752">
      <c r="D752" s="89"/>
    </row>
    <row r="753">
      <c r="D753" s="89"/>
    </row>
    <row r="754">
      <c r="D754" s="89"/>
    </row>
    <row r="755">
      <c r="D755" s="89"/>
    </row>
    <row r="756">
      <c r="D756" s="89"/>
    </row>
    <row r="757">
      <c r="D757" s="89"/>
    </row>
    <row r="758">
      <c r="D758" s="89"/>
    </row>
    <row r="759">
      <c r="D759" s="89"/>
    </row>
    <row r="760">
      <c r="D760" s="89"/>
    </row>
    <row r="761">
      <c r="D761" s="89"/>
    </row>
    <row r="762">
      <c r="D762" s="89"/>
    </row>
    <row r="763">
      <c r="D763" s="89"/>
    </row>
    <row r="764">
      <c r="D764" s="89"/>
    </row>
    <row r="765">
      <c r="D765" s="89"/>
    </row>
    <row r="766">
      <c r="D766" s="89"/>
    </row>
    <row r="767">
      <c r="D767" s="89"/>
    </row>
    <row r="768">
      <c r="D768" s="89"/>
    </row>
    <row r="769">
      <c r="D769" s="89"/>
    </row>
    <row r="770">
      <c r="D770" s="89"/>
    </row>
    <row r="771">
      <c r="D771" s="89"/>
    </row>
    <row r="772">
      <c r="D772" s="89"/>
    </row>
    <row r="773">
      <c r="D773" s="89"/>
    </row>
    <row r="774">
      <c r="D774" s="89"/>
    </row>
    <row r="775">
      <c r="D775" s="89"/>
    </row>
    <row r="776">
      <c r="D776" s="89"/>
    </row>
    <row r="777">
      <c r="D777" s="89"/>
    </row>
    <row r="778">
      <c r="D778" s="89"/>
    </row>
    <row r="779">
      <c r="D779" s="89"/>
    </row>
    <row r="780">
      <c r="D780" s="89"/>
    </row>
    <row r="781">
      <c r="D781" s="89"/>
    </row>
    <row r="782">
      <c r="D782" s="89"/>
    </row>
    <row r="783">
      <c r="D783" s="89"/>
    </row>
    <row r="784">
      <c r="D784" s="89"/>
    </row>
    <row r="785">
      <c r="D785" s="89"/>
    </row>
    <row r="786">
      <c r="D786" s="89"/>
    </row>
    <row r="787">
      <c r="D787" s="89"/>
    </row>
    <row r="788">
      <c r="D788" s="89"/>
    </row>
    <row r="789">
      <c r="D789" s="89"/>
    </row>
    <row r="790">
      <c r="D790" s="89"/>
    </row>
    <row r="791">
      <c r="D791" s="89"/>
    </row>
    <row r="792">
      <c r="D792" s="89"/>
    </row>
    <row r="793">
      <c r="D793" s="89"/>
    </row>
    <row r="794">
      <c r="D794" s="89"/>
    </row>
    <row r="795">
      <c r="D795" s="89"/>
    </row>
    <row r="796">
      <c r="D796" s="89"/>
    </row>
    <row r="797">
      <c r="D797" s="89"/>
    </row>
    <row r="798">
      <c r="D798" s="89"/>
    </row>
    <row r="799">
      <c r="D799" s="89"/>
    </row>
    <row r="800">
      <c r="D800" s="89"/>
    </row>
    <row r="801">
      <c r="D801" s="89"/>
    </row>
    <row r="802">
      <c r="D802" s="89"/>
    </row>
    <row r="803">
      <c r="D803" s="89"/>
    </row>
    <row r="804">
      <c r="D804" s="89"/>
    </row>
    <row r="805">
      <c r="D805" s="89"/>
    </row>
    <row r="806">
      <c r="D806" s="89"/>
    </row>
    <row r="807">
      <c r="D807" s="89"/>
    </row>
    <row r="808">
      <c r="D808" s="89"/>
    </row>
    <row r="809">
      <c r="D809" s="89"/>
    </row>
    <row r="810">
      <c r="D810" s="89"/>
    </row>
    <row r="811">
      <c r="D811" s="89"/>
    </row>
    <row r="812">
      <c r="D812" s="89"/>
    </row>
    <row r="813">
      <c r="D813" s="89"/>
    </row>
    <row r="814">
      <c r="D814" s="89"/>
    </row>
    <row r="815">
      <c r="D815" s="89"/>
    </row>
    <row r="816">
      <c r="D816" s="89"/>
    </row>
    <row r="817">
      <c r="D817" s="89"/>
    </row>
    <row r="818">
      <c r="D818" s="89"/>
    </row>
    <row r="819">
      <c r="D819" s="89"/>
    </row>
    <row r="820">
      <c r="D820" s="89"/>
    </row>
    <row r="821">
      <c r="D821" s="89"/>
    </row>
    <row r="822">
      <c r="D822" s="89"/>
    </row>
    <row r="823">
      <c r="D823" s="89"/>
    </row>
    <row r="824">
      <c r="D824" s="89"/>
    </row>
    <row r="825">
      <c r="D825" s="89"/>
    </row>
    <row r="826">
      <c r="D826" s="89"/>
    </row>
    <row r="827">
      <c r="D827" s="89"/>
    </row>
    <row r="828">
      <c r="D828" s="89"/>
    </row>
    <row r="829">
      <c r="D829" s="89"/>
    </row>
    <row r="830">
      <c r="D830" s="89"/>
    </row>
    <row r="831">
      <c r="D831" s="89"/>
    </row>
    <row r="832">
      <c r="D832" s="89"/>
    </row>
    <row r="833">
      <c r="D833" s="89"/>
    </row>
    <row r="834">
      <c r="D834" s="89"/>
    </row>
    <row r="835">
      <c r="D835" s="89"/>
    </row>
    <row r="836">
      <c r="D836" s="89"/>
    </row>
    <row r="837">
      <c r="D837" s="89"/>
    </row>
    <row r="838">
      <c r="D838" s="89"/>
    </row>
    <row r="839">
      <c r="D839" s="89"/>
    </row>
    <row r="840">
      <c r="D840" s="89"/>
    </row>
    <row r="841">
      <c r="D841" s="89"/>
    </row>
    <row r="842">
      <c r="D842" s="89"/>
    </row>
    <row r="843">
      <c r="D843" s="89"/>
    </row>
    <row r="844">
      <c r="D844" s="89"/>
    </row>
    <row r="845">
      <c r="D845" s="89"/>
    </row>
    <row r="846">
      <c r="D846" s="89"/>
    </row>
    <row r="847">
      <c r="D847" s="89"/>
    </row>
    <row r="848">
      <c r="D848" s="89"/>
    </row>
    <row r="849">
      <c r="D849" s="89"/>
    </row>
    <row r="850">
      <c r="D850" s="89"/>
    </row>
    <row r="851">
      <c r="D851" s="89"/>
    </row>
    <row r="852">
      <c r="D852" s="89"/>
    </row>
    <row r="853">
      <c r="D853" s="89"/>
    </row>
    <row r="854">
      <c r="D854" s="89"/>
    </row>
    <row r="855">
      <c r="D855" s="89"/>
    </row>
    <row r="856">
      <c r="D856" s="89"/>
    </row>
    <row r="857">
      <c r="D857" s="89"/>
    </row>
    <row r="858">
      <c r="D858" s="89"/>
    </row>
    <row r="859">
      <c r="D859" s="89"/>
    </row>
    <row r="860">
      <c r="D860" s="89"/>
    </row>
    <row r="861">
      <c r="D861" s="89"/>
    </row>
    <row r="862">
      <c r="D862" s="89"/>
    </row>
    <row r="863">
      <c r="D863" s="89"/>
    </row>
    <row r="864">
      <c r="D864" s="89"/>
    </row>
    <row r="865">
      <c r="D865" s="89"/>
    </row>
    <row r="866">
      <c r="D866" s="89"/>
    </row>
    <row r="867">
      <c r="D867" s="89"/>
    </row>
    <row r="868">
      <c r="D868" s="89"/>
    </row>
    <row r="869">
      <c r="D869" s="89"/>
    </row>
    <row r="870">
      <c r="D870" s="89"/>
    </row>
    <row r="871">
      <c r="D871" s="89"/>
    </row>
    <row r="872">
      <c r="D872" s="89"/>
    </row>
    <row r="873">
      <c r="D873" s="89"/>
    </row>
    <row r="874">
      <c r="D874" s="89"/>
    </row>
    <row r="875">
      <c r="D875" s="89"/>
    </row>
    <row r="876">
      <c r="D876" s="89"/>
    </row>
    <row r="877">
      <c r="D877" s="89"/>
    </row>
    <row r="878">
      <c r="D878" s="89"/>
    </row>
    <row r="879">
      <c r="D879" s="89"/>
    </row>
    <row r="880">
      <c r="D880" s="89"/>
    </row>
    <row r="881">
      <c r="D881" s="89"/>
    </row>
    <row r="882">
      <c r="D882" s="89"/>
    </row>
    <row r="883">
      <c r="D883" s="89"/>
    </row>
    <row r="884">
      <c r="D884" s="89"/>
    </row>
    <row r="885">
      <c r="D885" s="89"/>
    </row>
    <row r="886">
      <c r="D886" s="89"/>
    </row>
    <row r="887">
      <c r="D887" s="89"/>
    </row>
    <row r="888">
      <c r="D888" s="89"/>
    </row>
    <row r="889">
      <c r="D889" s="89"/>
    </row>
    <row r="890">
      <c r="D890" s="89"/>
    </row>
    <row r="891">
      <c r="D891" s="89"/>
    </row>
    <row r="892">
      <c r="D892" s="89"/>
    </row>
    <row r="893">
      <c r="D893" s="89"/>
    </row>
    <row r="894">
      <c r="D894" s="89"/>
    </row>
    <row r="895">
      <c r="D895" s="89"/>
    </row>
    <row r="896">
      <c r="D896" s="89"/>
    </row>
    <row r="897">
      <c r="D897" s="89"/>
    </row>
    <row r="898">
      <c r="D898" s="89"/>
    </row>
    <row r="899">
      <c r="D899" s="89"/>
    </row>
    <row r="900">
      <c r="D900" s="89"/>
    </row>
    <row r="901">
      <c r="D901" s="89"/>
    </row>
    <row r="902">
      <c r="D902" s="89"/>
    </row>
    <row r="903">
      <c r="D903" s="89"/>
    </row>
    <row r="904">
      <c r="D904" s="89"/>
    </row>
    <row r="905">
      <c r="D905" s="89"/>
    </row>
    <row r="906">
      <c r="D906" s="89"/>
    </row>
    <row r="907">
      <c r="D907" s="89"/>
    </row>
    <row r="908">
      <c r="D908" s="89"/>
    </row>
    <row r="909">
      <c r="D909" s="89"/>
    </row>
    <row r="910">
      <c r="D910" s="89"/>
    </row>
    <row r="911">
      <c r="D911" s="89"/>
    </row>
    <row r="912">
      <c r="D912" s="89"/>
    </row>
    <row r="913">
      <c r="D913" s="89"/>
    </row>
    <row r="914">
      <c r="D914" s="89"/>
    </row>
    <row r="915">
      <c r="D915" s="89"/>
    </row>
    <row r="916">
      <c r="D916" s="89"/>
    </row>
    <row r="917">
      <c r="D917" s="89"/>
    </row>
    <row r="918">
      <c r="D918" s="89"/>
    </row>
    <row r="919">
      <c r="D919" s="89"/>
    </row>
    <row r="920">
      <c r="D920" s="89"/>
    </row>
    <row r="921">
      <c r="D921" s="89"/>
    </row>
    <row r="922">
      <c r="D922" s="89"/>
    </row>
    <row r="923">
      <c r="D923" s="89"/>
    </row>
    <row r="924">
      <c r="D924" s="89"/>
    </row>
    <row r="925">
      <c r="D925" s="89"/>
    </row>
    <row r="926">
      <c r="D926" s="89"/>
    </row>
    <row r="927">
      <c r="D927" s="89"/>
    </row>
    <row r="928">
      <c r="D928" s="89"/>
    </row>
    <row r="929">
      <c r="D929" s="89"/>
    </row>
    <row r="930">
      <c r="D930" s="89"/>
    </row>
    <row r="931">
      <c r="D931" s="89"/>
    </row>
    <row r="932">
      <c r="D932" s="89"/>
    </row>
    <row r="933">
      <c r="D933" s="89"/>
    </row>
    <row r="934">
      <c r="D934" s="89"/>
    </row>
    <row r="935">
      <c r="D935" s="89"/>
    </row>
    <row r="936">
      <c r="D936" s="89"/>
    </row>
    <row r="937">
      <c r="D937" s="89"/>
    </row>
    <row r="938">
      <c r="D938" s="89"/>
    </row>
    <row r="939">
      <c r="D939" s="89"/>
    </row>
    <row r="940">
      <c r="D940" s="89"/>
    </row>
    <row r="941">
      <c r="D941" s="89"/>
    </row>
    <row r="942">
      <c r="D942" s="89"/>
    </row>
    <row r="943">
      <c r="D943" s="89"/>
    </row>
    <row r="944">
      <c r="D944" s="89"/>
    </row>
    <row r="945">
      <c r="D945" s="89"/>
    </row>
    <row r="946">
      <c r="D946" s="89"/>
    </row>
    <row r="947">
      <c r="D947" s="89"/>
    </row>
    <row r="948">
      <c r="D948" s="89"/>
    </row>
    <row r="949">
      <c r="D949" s="89"/>
    </row>
    <row r="950">
      <c r="D950" s="89"/>
    </row>
    <row r="951">
      <c r="D951" s="89"/>
    </row>
    <row r="952">
      <c r="D952" s="89"/>
    </row>
    <row r="953">
      <c r="D953" s="89"/>
    </row>
    <row r="954">
      <c r="D954" s="89"/>
    </row>
    <row r="955">
      <c r="D955" s="89"/>
    </row>
    <row r="956">
      <c r="D956" s="89"/>
    </row>
    <row r="957">
      <c r="D957" s="89"/>
    </row>
    <row r="958">
      <c r="D958" s="89"/>
    </row>
    <row r="959">
      <c r="D959" s="89"/>
    </row>
    <row r="960">
      <c r="D960" s="89"/>
    </row>
    <row r="961">
      <c r="D961" s="89"/>
    </row>
    <row r="962">
      <c r="D962" s="89"/>
    </row>
    <row r="963">
      <c r="D963" s="89"/>
    </row>
    <row r="964">
      <c r="D964" s="89"/>
    </row>
    <row r="965">
      <c r="D965" s="89"/>
    </row>
    <row r="966">
      <c r="D966" s="89"/>
    </row>
    <row r="967">
      <c r="D967" s="89"/>
    </row>
    <row r="968">
      <c r="D968" s="89"/>
    </row>
    <row r="969">
      <c r="D969" s="89"/>
    </row>
    <row r="970">
      <c r="D970" s="89"/>
    </row>
    <row r="971">
      <c r="D971" s="89"/>
    </row>
    <row r="972">
      <c r="D972" s="89"/>
    </row>
    <row r="973">
      <c r="D973" s="89"/>
    </row>
    <row r="974">
      <c r="D974" s="89"/>
    </row>
    <row r="975">
      <c r="D975" s="89"/>
    </row>
    <row r="976">
      <c r="D976" s="89"/>
    </row>
    <row r="977">
      <c r="D977" s="89"/>
    </row>
    <row r="978">
      <c r="D978" s="89"/>
    </row>
    <row r="979">
      <c r="D979" s="89"/>
    </row>
    <row r="980">
      <c r="D980" s="89"/>
    </row>
    <row r="981">
      <c r="D981" s="89"/>
    </row>
    <row r="982">
      <c r="D982" s="89"/>
    </row>
    <row r="983">
      <c r="D983" s="89"/>
    </row>
    <row r="984">
      <c r="D984" s="89"/>
    </row>
    <row r="985">
      <c r="D985" s="89"/>
    </row>
    <row r="986">
      <c r="D986" s="89"/>
    </row>
    <row r="987">
      <c r="D987" s="89"/>
    </row>
    <row r="988">
      <c r="D988" s="89"/>
    </row>
    <row r="989">
      <c r="D989" s="89"/>
    </row>
    <row r="990">
      <c r="D990" s="89"/>
    </row>
    <row r="991">
      <c r="D991" s="89"/>
    </row>
    <row r="992">
      <c r="D992" s="89"/>
    </row>
    <row r="993">
      <c r="D993" s="89"/>
    </row>
    <row r="994">
      <c r="D994" s="89"/>
    </row>
    <row r="995">
      <c r="D995" s="89"/>
    </row>
    <row r="996">
      <c r="D996" s="89"/>
    </row>
    <row r="997">
      <c r="D997" s="89"/>
    </row>
    <row r="998">
      <c r="D998" s="89"/>
    </row>
    <row r="999">
      <c r="D999" s="89"/>
    </row>
    <row r="1000">
      <c r="D1000" s="89"/>
    </row>
    <row r="1001">
      <c r="D1001" s="89"/>
    </row>
    <row r="1002">
      <c r="D1002" s="89"/>
    </row>
    <row r="1003">
      <c r="D1003" s="89"/>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88"/>
    <col customWidth="1" min="2" max="2" width="5.88"/>
    <col customWidth="1" min="3" max="3" width="17.0"/>
    <col customWidth="1" min="4" max="4" width="11.25"/>
    <col customWidth="1" min="5" max="5" width="8.38"/>
    <col customWidth="1" min="6" max="6" width="15.5"/>
    <col customWidth="1" min="7" max="7" width="24.13"/>
    <col customWidth="1" min="8" max="8" width="11.63"/>
    <col customWidth="1" min="9" max="9" width="17.63"/>
    <col customWidth="1" min="10" max="10" width="8.75"/>
    <col customWidth="1" min="11" max="11" width="24.38"/>
    <col customWidth="1" min="12" max="12" width="22.25"/>
    <col customWidth="1" min="13" max="13" width="24.38"/>
    <col customWidth="1" min="14" max="14" width="28.38"/>
    <col customWidth="1" min="15" max="15" width="29.0"/>
    <col customWidth="1" min="16" max="16" width="24.63"/>
    <col customWidth="1" min="17" max="17" width="24.88"/>
    <col customWidth="1" min="18" max="18" width="23.63"/>
    <col customWidth="1" min="19" max="19" width="21.5"/>
    <col customWidth="1" min="20" max="20" width="24.63"/>
    <col customWidth="1" min="21" max="21" width="20.88"/>
    <col customWidth="1" min="22" max="22" width="21.75"/>
    <col customWidth="1" min="23" max="23" width="22.63"/>
    <col customWidth="1" min="24" max="24" width="19.88"/>
  </cols>
  <sheetData>
    <row r="1">
      <c r="A1" s="415" t="s">
        <v>7</v>
      </c>
      <c r="B1" s="416" t="s">
        <v>4938</v>
      </c>
      <c r="C1" s="416" t="s">
        <v>15</v>
      </c>
      <c r="D1" s="416" t="s">
        <v>4940</v>
      </c>
      <c r="E1" s="417" t="s">
        <v>4941</v>
      </c>
      <c r="F1" s="416" t="s">
        <v>931</v>
      </c>
      <c r="G1" s="416" t="s">
        <v>4942</v>
      </c>
      <c r="H1" s="416" t="s">
        <v>4943</v>
      </c>
      <c r="I1" s="7" t="s">
        <v>4944</v>
      </c>
      <c r="J1" s="7" t="s">
        <v>4945</v>
      </c>
      <c r="K1" s="7">
        <v>1.0</v>
      </c>
      <c r="L1" s="7">
        <v>2.0</v>
      </c>
      <c r="M1" s="7">
        <v>3.0</v>
      </c>
      <c r="N1" s="7">
        <v>4.0</v>
      </c>
      <c r="O1" s="7">
        <v>5.0</v>
      </c>
      <c r="P1" s="7">
        <v>6.0</v>
      </c>
      <c r="Q1" s="7">
        <v>7.0</v>
      </c>
      <c r="R1" s="7">
        <v>8.0</v>
      </c>
      <c r="S1" s="7">
        <v>9.0</v>
      </c>
      <c r="T1" s="64"/>
      <c r="U1" s="64"/>
      <c r="V1" s="64"/>
      <c r="W1" s="64"/>
      <c r="X1" s="64"/>
      <c r="Y1" s="64"/>
      <c r="Z1" s="64"/>
      <c r="AA1" s="64"/>
      <c r="AB1" s="64"/>
      <c r="AC1" s="64"/>
      <c r="AD1" s="64"/>
      <c r="AE1" s="64"/>
    </row>
    <row r="2">
      <c r="A2" s="418">
        <v>42419.0</v>
      </c>
      <c r="B2" s="419"/>
      <c r="C2" s="419" t="s">
        <v>4947</v>
      </c>
      <c r="D2" s="418">
        <v>42389.0</v>
      </c>
      <c r="E2" s="419" t="s">
        <v>4948</v>
      </c>
      <c r="F2" s="419" t="s">
        <v>4950</v>
      </c>
      <c r="G2" s="419" t="s">
        <v>4951</v>
      </c>
      <c r="H2" s="420"/>
      <c r="I2" s="421" t="s">
        <v>4952</v>
      </c>
      <c r="J2" s="421" t="s">
        <v>269</v>
      </c>
      <c r="K2" s="421" t="s">
        <v>4954</v>
      </c>
      <c r="L2" s="421" t="s">
        <v>4954</v>
      </c>
      <c r="M2" s="421" t="s">
        <v>4954</v>
      </c>
      <c r="N2" s="421" t="s">
        <v>4955</v>
      </c>
      <c r="O2" s="421" t="s">
        <v>4956</v>
      </c>
      <c r="P2" s="421" t="s">
        <v>4957</v>
      </c>
      <c r="Q2" s="421" t="s">
        <v>4958</v>
      </c>
      <c r="R2" s="89"/>
      <c r="S2" s="89"/>
      <c r="T2" s="89"/>
      <c r="U2" s="89"/>
      <c r="V2" s="89"/>
      <c r="W2" s="89"/>
      <c r="X2" s="89"/>
      <c r="Y2" s="89"/>
      <c r="Z2" s="89"/>
      <c r="AA2" s="89"/>
      <c r="AB2" s="89"/>
      <c r="AC2" s="89"/>
      <c r="AD2" s="89"/>
      <c r="AE2" s="89"/>
    </row>
    <row r="3">
      <c r="A3" s="422">
        <v>42458.0</v>
      </c>
      <c r="B3" s="419" t="s">
        <v>551</v>
      </c>
      <c r="C3" s="419" t="s">
        <v>4960</v>
      </c>
      <c r="D3" s="422">
        <v>42458.0</v>
      </c>
      <c r="E3" s="419" t="s">
        <v>4962</v>
      </c>
      <c r="F3" s="419" t="s">
        <v>4963</v>
      </c>
      <c r="G3" s="419" t="s">
        <v>4964</v>
      </c>
      <c r="H3" s="419" t="s">
        <v>4965</v>
      </c>
      <c r="I3" s="421" t="s">
        <v>4966</v>
      </c>
      <c r="J3" s="421" t="s">
        <v>269</v>
      </c>
      <c r="K3" s="421" t="s">
        <v>4968</v>
      </c>
      <c r="L3" s="421" t="s">
        <v>4969</v>
      </c>
      <c r="M3" s="421" t="s">
        <v>4970</v>
      </c>
      <c r="N3" s="423" t="s">
        <v>4971</v>
      </c>
      <c r="O3" s="421" t="s">
        <v>4973</v>
      </c>
      <c r="P3" s="89"/>
      <c r="Q3" s="89"/>
      <c r="R3" s="89"/>
      <c r="S3" s="89"/>
      <c r="T3" s="89"/>
      <c r="U3" s="89"/>
      <c r="V3" s="89"/>
      <c r="W3" s="89"/>
      <c r="X3" s="89"/>
      <c r="Y3" s="89"/>
      <c r="Z3" s="89"/>
      <c r="AA3" s="89"/>
      <c r="AB3" s="89"/>
      <c r="AC3" s="89"/>
      <c r="AD3" s="89"/>
      <c r="AE3" s="89"/>
    </row>
    <row r="4">
      <c r="A4" s="422">
        <v>42475.0</v>
      </c>
      <c r="B4" s="419" t="s">
        <v>551</v>
      </c>
      <c r="C4" s="419" t="s">
        <v>4974</v>
      </c>
      <c r="D4" s="422">
        <v>42468.0</v>
      </c>
      <c r="E4" s="419" t="s">
        <v>4975</v>
      </c>
      <c r="F4" s="419" t="s">
        <v>4976</v>
      </c>
      <c r="G4" s="419" t="s">
        <v>4977</v>
      </c>
      <c r="H4" s="419" t="s">
        <v>4978</v>
      </c>
      <c r="I4" s="421" t="s">
        <v>4493</v>
      </c>
      <c r="J4" s="421" t="s">
        <v>269</v>
      </c>
      <c r="K4" s="421" t="s">
        <v>4979</v>
      </c>
      <c r="L4" s="421" t="s">
        <v>4980</v>
      </c>
      <c r="M4" s="421" t="s">
        <v>4981</v>
      </c>
      <c r="N4" s="421" t="s">
        <v>4982</v>
      </c>
      <c r="O4" s="421" t="s">
        <v>4983</v>
      </c>
      <c r="P4" s="421" t="s">
        <v>4984</v>
      </c>
      <c r="Q4" s="424" t="s">
        <v>4986</v>
      </c>
      <c r="R4" s="421" t="s">
        <v>4987</v>
      </c>
      <c r="S4" s="89"/>
      <c r="T4" s="89"/>
      <c r="U4" s="89"/>
      <c r="V4" s="89"/>
      <c r="W4" s="89"/>
      <c r="X4" s="89"/>
      <c r="Y4" s="89"/>
      <c r="Z4" s="89"/>
      <c r="AA4" s="89"/>
      <c r="AB4" s="89"/>
      <c r="AC4" s="89"/>
      <c r="AD4" s="89"/>
      <c r="AE4" s="89"/>
    </row>
    <row r="5">
      <c r="A5" s="425">
        <v>42487.0</v>
      </c>
      <c r="B5" s="419"/>
      <c r="C5" s="419" t="s">
        <v>4988</v>
      </c>
      <c r="D5" s="425">
        <v>42478.0</v>
      </c>
      <c r="E5" s="419" t="s">
        <v>4989</v>
      </c>
      <c r="F5" s="419" t="s">
        <v>4266</v>
      </c>
      <c r="G5" s="419" t="s">
        <v>4991</v>
      </c>
      <c r="H5" s="419" t="s">
        <v>4978</v>
      </c>
      <c r="I5" s="426"/>
      <c r="J5" s="421" t="s">
        <v>269</v>
      </c>
      <c r="K5" s="421" t="s">
        <v>4992</v>
      </c>
      <c r="L5" s="421" t="s">
        <v>4993</v>
      </c>
      <c r="M5" s="421" t="s">
        <v>4994</v>
      </c>
      <c r="N5" s="427" t="s">
        <v>4995</v>
      </c>
      <c r="O5" s="421" t="s">
        <v>4996</v>
      </c>
      <c r="P5" s="421" t="s">
        <v>4997</v>
      </c>
      <c r="Q5" s="421" t="s">
        <v>4998</v>
      </c>
      <c r="R5" s="421" t="s">
        <v>5000</v>
      </c>
      <c r="S5" s="89"/>
      <c r="T5" s="89"/>
      <c r="U5" s="89"/>
      <c r="V5" s="89"/>
      <c r="W5" s="89"/>
      <c r="X5" s="89"/>
      <c r="Y5" s="89"/>
      <c r="Z5" s="89"/>
      <c r="AA5" s="89"/>
      <c r="AB5" s="89"/>
      <c r="AC5" s="89"/>
      <c r="AD5" s="89"/>
      <c r="AE5" s="89"/>
    </row>
    <row r="6">
      <c r="A6" s="418">
        <v>42503.0</v>
      </c>
      <c r="B6" s="419"/>
      <c r="C6" s="419" t="s">
        <v>5003</v>
      </c>
      <c r="D6" s="418">
        <v>42485.0</v>
      </c>
      <c r="E6" s="420"/>
      <c r="F6" s="419"/>
      <c r="G6" s="419" t="s">
        <v>5004</v>
      </c>
      <c r="H6" s="420"/>
      <c r="I6" s="421" t="s">
        <v>5005</v>
      </c>
      <c r="J6" s="421" t="s">
        <v>269</v>
      </c>
      <c r="K6" s="421" t="s">
        <v>5006</v>
      </c>
      <c r="L6" s="423" t="s">
        <v>5007</v>
      </c>
      <c r="M6" s="428"/>
      <c r="N6" s="428"/>
      <c r="O6" s="428"/>
      <c r="P6" s="428"/>
      <c r="Q6" s="428"/>
      <c r="R6" s="428"/>
      <c r="S6" s="428"/>
      <c r="T6" s="428"/>
      <c r="U6" s="428"/>
      <c r="V6" s="428"/>
      <c r="W6" s="428"/>
      <c r="X6" s="428"/>
      <c r="Y6" s="428"/>
      <c r="Z6" s="428"/>
      <c r="AA6" s="428"/>
      <c r="AB6" s="428"/>
      <c r="AC6" s="428"/>
      <c r="AD6" s="428"/>
      <c r="AE6" s="428"/>
    </row>
    <row r="7">
      <c r="A7" s="418">
        <v>42506.0</v>
      </c>
      <c r="B7" s="419"/>
      <c r="C7" s="419" t="s">
        <v>5009</v>
      </c>
      <c r="D7" s="418">
        <v>42506.0</v>
      </c>
      <c r="E7" s="419" t="s">
        <v>5010</v>
      </c>
      <c r="F7" s="419" t="s">
        <v>5012</v>
      </c>
      <c r="G7" s="419" t="s">
        <v>5013</v>
      </c>
      <c r="H7" s="419" t="s">
        <v>271</v>
      </c>
      <c r="I7" s="421" t="s">
        <v>5014</v>
      </c>
      <c r="J7" s="421" t="s">
        <v>269</v>
      </c>
      <c r="K7" s="421" t="s">
        <v>5015</v>
      </c>
      <c r="L7" s="421" t="s">
        <v>5016</v>
      </c>
      <c r="M7" s="421" t="s">
        <v>5017</v>
      </c>
      <c r="N7" s="421" t="s">
        <v>5018</v>
      </c>
      <c r="O7" s="421" t="s">
        <v>5019</v>
      </c>
      <c r="P7" s="421" t="s">
        <v>5020</v>
      </c>
      <c r="Q7" s="421" t="s">
        <v>5021</v>
      </c>
      <c r="R7" s="427" t="s">
        <v>5022</v>
      </c>
      <c r="S7" s="427" t="s">
        <v>5023</v>
      </c>
      <c r="T7" s="421" t="s">
        <v>5024</v>
      </c>
      <c r="U7" s="89"/>
      <c r="V7" s="89"/>
      <c r="W7" s="89"/>
      <c r="X7" s="89"/>
      <c r="Y7" s="89"/>
      <c r="Z7" s="89"/>
      <c r="AA7" s="89"/>
      <c r="AB7" s="89"/>
      <c r="AC7" s="89"/>
      <c r="AD7" s="89"/>
      <c r="AE7" s="89"/>
    </row>
    <row r="8">
      <c r="A8" s="418">
        <v>42507.0</v>
      </c>
      <c r="B8" s="419"/>
      <c r="C8" s="419" t="s">
        <v>5026</v>
      </c>
      <c r="D8" s="418">
        <v>42475.0</v>
      </c>
      <c r="E8" s="419" t="s">
        <v>5027</v>
      </c>
      <c r="F8" s="419" t="s">
        <v>5028</v>
      </c>
      <c r="G8" s="419" t="s">
        <v>5029</v>
      </c>
      <c r="H8" s="419" t="s">
        <v>271</v>
      </c>
      <c r="I8" s="421" t="s">
        <v>5030</v>
      </c>
      <c r="J8" s="421" t="s">
        <v>269</v>
      </c>
      <c r="K8" s="421" t="s">
        <v>5031</v>
      </c>
      <c r="L8" s="421" t="s">
        <v>5032</v>
      </c>
      <c r="M8" s="421" t="s">
        <v>5033</v>
      </c>
      <c r="N8" s="421" t="s">
        <v>5034</v>
      </c>
      <c r="O8" s="421" t="s">
        <v>5035</v>
      </c>
      <c r="P8" s="89"/>
      <c r="Q8" s="89"/>
      <c r="R8" s="89"/>
      <c r="S8" s="89"/>
      <c r="T8" s="89"/>
      <c r="U8" s="89"/>
      <c r="V8" s="89"/>
      <c r="W8" s="89"/>
      <c r="X8" s="89"/>
      <c r="Y8" s="89"/>
      <c r="Z8" s="89"/>
      <c r="AA8" s="89"/>
      <c r="AB8" s="89"/>
      <c r="AC8" s="89"/>
      <c r="AD8" s="89"/>
      <c r="AE8" s="89"/>
    </row>
    <row r="9">
      <c r="A9" s="422">
        <v>42507.0</v>
      </c>
      <c r="B9" s="419"/>
      <c r="C9" s="419" t="s">
        <v>5036</v>
      </c>
      <c r="D9" s="418">
        <v>42467.0</v>
      </c>
      <c r="E9" s="419" t="s">
        <v>5037</v>
      </c>
      <c r="F9" s="419" t="s">
        <v>5038</v>
      </c>
      <c r="G9" s="419" t="s">
        <v>5039</v>
      </c>
      <c r="H9" s="420"/>
      <c r="I9" s="421" t="s">
        <v>5040</v>
      </c>
      <c r="J9" s="421" t="s">
        <v>269</v>
      </c>
      <c r="K9" s="421" t="s">
        <v>5042</v>
      </c>
      <c r="L9" s="421" t="s">
        <v>5043</v>
      </c>
      <c r="M9" s="427" t="s">
        <v>5044</v>
      </c>
      <c r="N9" s="421" t="s">
        <v>5045</v>
      </c>
      <c r="O9" s="423" t="s">
        <v>5046</v>
      </c>
      <c r="P9" s="428"/>
      <c r="Q9" s="428"/>
      <c r="R9" s="428"/>
      <c r="S9" s="428"/>
      <c r="T9" s="428"/>
      <c r="U9" s="428"/>
      <c r="V9" s="428"/>
      <c r="W9" s="428"/>
      <c r="X9" s="428"/>
      <c r="Y9" s="428"/>
      <c r="Z9" s="428"/>
      <c r="AA9" s="428"/>
      <c r="AB9" s="428"/>
      <c r="AC9" s="428"/>
      <c r="AD9" s="428"/>
      <c r="AE9" s="428"/>
    </row>
    <row r="10">
      <c r="A10" s="418">
        <v>42514.0</v>
      </c>
      <c r="B10" s="419"/>
      <c r="C10" s="419" t="s">
        <v>5047</v>
      </c>
      <c r="D10" s="418">
        <v>42474.0</v>
      </c>
      <c r="E10" s="419" t="s">
        <v>5048</v>
      </c>
      <c r="F10" s="429" t="s">
        <v>5049</v>
      </c>
      <c r="G10" s="429" t="s">
        <v>5050</v>
      </c>
      <c r="H10" s="429" t="s">
        <v>763</v>
      </c>
      <c r="I10" s="421" t="s">
        <v>5051</v>
      </c>
      <c r="J10" s="421" t="s">
        <v>269</v>
      </c>
      <c r="K10" s="421" t="s">
        <v>5052</v>
      </c>
      <c r="L10" s="421" t="s">
        <v>5053</v>
      </c>
      <c r="M10" s="421" t="s">
        <v>5054</v>
      </c>
      <c r="N10" s="421" t="s">
        <v>5056</v>
      </c>
      <c r="O10" s="423" t="s">
        <v>5057</v>
      </c>
      <c r="P10" s="427" t="s">
        <v>5058</v>
      </c>
      <c r="Q10" s="423" t="s">
        <v>5059</v>
      </c>
      <c r="R10" s="428"/>
      <c r="S10" s="428"/>
      <c r="T10" s="428"/>
      <c r="U10" s="428"/>
      <c r="V10" s="428"/>
      <c r="W10" s="428"/>
      <c r="X10" s="428"/>
      <c r="Y10" s="428"/>
      <c r="Z10" s="428"/>
      <c r="AA10" s="428"/>
      <c r="AB10" s="428"/>
      <c r="AC10" s="428"/>
      <c r="AD10" s="428"/>
      <c r="AE10" s="428"/>
    </row>
    <row r="11">
      <c r="A11" s="418">
        <v>42514.0</v>
      </c>
      <c r="B11" s="419"/>
      <c r="C11" s="419" t="s">
        <v>5060</v>
      </c>
      <c r="D11" s="430">
        <v>42502.0</v>
      </c>
      <c r="E11" s="431" t="s">
        <v>5061</v>
      </c>
      <c r="F11" s="419" t="s">
        <v>5062</v>
      </c>
      <c r="G11" s="419" t="s">
        <v>5063</v>
      </c>
      <c r="H11" s="419" t="s">
        <v>4978</v>
      </c>
      <c r="I11" s="427"/>
      <c r="J11" s="421" t="s">
        <v>269</v>
      </c>
      <c r="K11" s="421" t="s">
        <v>5064</v>
      </c>
      <c r="L11" s="421" t="s">
        <v>5065</v>
      </c>
      <c r="M11" s="423" t="s">
        <v>5066</v>
      </c>
      <c r="N11" s="421" t="s">
        <v>5067</v>
      </c>
      <c r="O11" s="423" t="s">
        <v>5068</v>
      </c>
      <c r="P11" s="428"/>
      <c r="Q11" s="428"/>
      <c r="R11" s="428"/>
      <c r="S11" s="428"/>
      <c r="T11" s="428"/>
      <c r="U11" s="428"/>
      <c r="V11" s="428"/>
      <c r="W11" s="428"/>
      <c r="X11" s="428"/>
      <c r="Y11" s="428"/>
      <c r="Z11" s="428"/>
      <c r="AA11" s="428"/>
      <c r="AB11" s="428"/>
      <c r="AC11" s="428"/>
      <c r="AD11" s="428"/>
      <c r="AE11" s="428"/>
    </row>
    <row r="12">
      <c r="A12" s="418">
        <v>42514.0</v>
      </c>
      <c r="B12" s="419"/>
      <c r="C12" s="419" t="s">
        <v>5069</v>
      </c>
      <c r="D12" s="418">
        <v>41695.0</v>
      </c>
      <c r="E12" s="418"/>
      <c r="F12" s="419"/>
      <c r="G12" s="419" t="s">
        <v>5070</v>
      </c>
      <c r="H12" s="419"/>
      <c r="I12" s="421" t="s">
        <v>5071</v>
      </c>
      <c r="J12" s="421" t="s">
        <v>269</v>
      </c>
      <c r="K12" s="421" t="s">
        <v>5072</v>
      </c>
      <c r="L12" s="421" t="s">
        <v>5073</v>
      </c>
      <c r="M12" s="421" t="s">
        <v>5074</v>
      </c>
      <c r="N12" s="421" t="s">
        <v>5075</v>
      </c>
      <c r="O12" s="421" t="s">
        <v>5076</v>
      </c>
      <c r="P12" s="89"/>
      <c r="Q12" s="89"/>
      <c r="R12" s="89"/>
      <c r="S12" s="89"/>
      <c r="T12" s="89"/>
      <c r="U12" s="89"/>
      <c r="V12" s="89"/>
      <c r="W12" s="89"/>
      <c r="X12" s="89"/>
      <c r="Y12" s="89"/>
      <c r="Z12" s="89"/>
      <c r="AA12" s="89"/>
      <c r="AB12" s="89"/>
      <c r="AC12" s="89"/>
      <c r="AD12" s="89"/>
      <c r="AE12" s="89"/>
    </row>
    <row r="13">
      <c r="A13" s="418">
        <v>42514.0</v>
      </c>
      <c r="B13" s="419"/>
      <c r="C13" s="419" t="s">
        <v>5077</v>
      </c>
      <c r="D13" s="430">
        <v>42502.0</v>
      </c>
      <c r="E13" s="430"/>
      <c r="F13" s="419"/>
      <c r="G13" s="419" t="s">
        <v>5078</v>
      </c>
      <c r="H13" s="419"/>
      <c r="I13" s="421" t="s">
        <v>5079</v>
      </c>
      <c r="J13" s="421" t="s">
        <v>269</v>
      </c>
      <c r="K13" s="421" t="s">
        <v>5080</v>
      </c>
      <c r="L13" s="421" t="s">
        <v>5081</v>
      </c>
      <c r="M13" s="428"/>
      <c r="N13" s="428"/>
      <c r="O13" s="428"/>
      <c r="P13" s="428"/>
      <c r="Q13" s="428"/>
      <c r="R13" s="428"/>
      <c r="S13" s="428"/>
      <c r="T13" s="428"/>
      <c r="U13" s="428"/>
      <c r="V13" s="428"/>
      <c r="W13" s="428"/>
      <c r="X13" s="428"/>
      <c r="Y13" s="428"/>
      <c r="Z13" s="428"/>
      <c r="AA13" s="428"/>
      <c r="AB13" s="428"/>
      <c r="AC13" s="428"/>
      <c r="AD13" s="428"/>
      <c r="AE13" s="428"/>
    </row>
    <row r="14">
      <c r="A14" s="418">
        <v>42515.0</v>
      </c>
      <c r="B14" s="419"/>
      <c r="C14" s="419" t="s">
        <v>5083</v>
      </c>
      <c r="D14" s="418">
        <v>42503.0</v>
      </c>
      <c r="E14" s="418"/>
      <c r="F14" s="419"/>
      <c r="G14" s="419" t="s">
        <v>5084</v>
      </c>
      <c r="H14" s="419" t="s">
        <v>5085</v>
      </c>
      <c r="I14" s="426"/>
      <c r="J14" s="421" t="s">
        <v>269</v>
      </c>
      <c r="K14" s="421" t="s">
        <v>5086</v>
      </c>
      <c r="L14" s="421" t="s">
        <v>5087</v>
      </c>
      <c r="M14" s="421" t="s">
        <v>5088</v>
      </c>
      <c r="N14" s="421" t="s">
        <v>5089</v>
      </c>
      <c r="O14" s="427" t="s">
        <v>5090</v>
      </c>
      <c r="P14" s="427" t="s">
        <v>5091</v>
      </c>
      <c r="Q14" s="423" t="s">
        <v>5092</v>
      </c>
      <c r="R14" s="89"/>
      <c r="S14" s="89"/>
      <c r="T14" s="89"/>
      <c r="U14" s="89"/>
      <c r="V14" s="89"/>
      <c r="W14" s="89"/>
      <c r="X14" s="89"/>
      <c r="Y14" s="89"/>
      <c r="Z14" s="89"/>
      <c r="AA14" s="89"/>
      <c r="AB14" s="89"/>
      <c r="AC14" s="89"/>
      <c r="AD14" s="89"/>
      <c r="AE14" s="89"/>
    </row>
    <row r="15">
      <c r="A15" s="418">
        <v>42515.0</v>
      </c>
      <c r="B15" s="419"/>
      <c r="C15" s="419" t="s">
        <v>5093</v>
      </c>
      <c r="D15" s="430">
        <v>42502.0</v>
      </c>
      <c r="E15" s="430"/>
      <c r="F15" s="419"/>
      <c r="G15" s="419" t="s">
        <v>5094</v>
      </c>
      <c r="H15" s="419" t="s">
        <v>4124</v>
      </c>
      <c r="I15" s="421" t="s">
        <v>5095</v>
      </c>
      <c r="J15" s="421" t="s">
        <v>269</v>
      </c>
      <c r="K15" s="421" t="s">
        <v>5096</v>
      </c>
      <c r="L15" s="421" t="s">
        <v>5097</v>
      </c>
      <c r="M15" s="423" t="s">
        <v>5098</v>
      </c>
      <c r="N15" s="423" t="s">
        <v>5099</v>
      </c>
      <c r="O15" s="428"/>
      <c r="P15" s="428"/>
      <c r="Q15" s="428"/>
      <c r="R15" s="428"/>
      <c r="S15" s="428"/>
      <c r="T15" s="428"/>
      <c r="U15" s="428"/>
      <c r="V15" s="428"/>
      <c r="W15" s="428"/>
      <c r="X15" s="428"/>
      <c r="Y15" s="428"/>
      <c r="Z15" s="428"/>
      <c r="AA15" s="428"/>
      <c r="AB15" s="428"/>
      <c r="AC15" s="428"/>
      <c r="AD15" s="428"/>
      <c r="AE15" s="428"/>
    </row>
    <row r="16">
      <c r="A16" s="418">
        <v>42516.0</v>
      </c>
      <c r="B16" s="419"/>
      <c r="C16" s="419" t="s">
        <v>5100</v>
      </c>
      <c r="D16" s="418">
        <v>42516.0</v>
      </c>
      <c r="E16" s="419" t="s">
        <v>5101</v>
      </c>
      <c r="F16" s="419" t="s">
        <v>2444</v>
      </c>
      <c r="G16" s="419" t="s">
        <v>5102</v>
      </c>
      <c r="H16" s="419" t="s">
        <v>5103</v>
      </c>
      <c r="I16" s="421" t="s">
        <v>5104</v>
      </c>
      <c r="J16" s="421" t="s">
        <v>269</v>
      </c>
      <c r="K16" s="424" t="s">
        <v>5105</v>
      </c>
      <c r="L16" s="421" t="s">
        <v>5106</v>
      </c>
      <c r="M16" s="428"/>
      <c r="N16" s="428"/>
      <c r="O16" s="428"/>
      <c r="P16" s="428"/>
      <c r="Q16" s="428"/>
      <c r="R16" s="428"/>
      <c r="S16" s="428"/>
      <c r="T16" s="428"/>
      <c r="U16" s="428"/>
      <c r="V16" s="428"/>
      <c r="W16" s="428"/>
      <c r="X16" s="428"/>
      <c r="Y16" s="428"/>
      <c r="Z16" s="428"/>
      <c r="AA16" s="428"/>
      <c r="AB16" s="428"/>
      <c r="AC16" s="428"/>
      <c r="AD16" s="428"/>
      <c r="AE16" s="428"/>
    </row>
    <row r="17">
      <c r="A17" s="418">
        <v>42516.0</v>
      </c>
      <c r="B17" s="419"/>
      <c r="C17" s="419" t="s">
        <v>5107</v>
      </c>
      <c r="D17" s="418">
        <v>42131.0</v>
      </c>
      <c r="E17" s="418"/>
      <c r="F17" s="419"/>
      <c r="G17" s="419" t="s">
        <v>5108</v>
      </c>
      <c r="H17" s="419" t="s">
        <v>763</v>
      </c>
      <c r="I17" s="421" t="s">
        <v>5109</v>
      </c>
      <c r="J17" s="421" t="s">
        <v>269</v>
      </c>
      <c r="K17" s="421" t="s">
        <v>5110</v>
      </c>
      <c r="L17" s="421" t="s">
        <v>5111</v>
      </c>
      <c r="M17" s="428"/>
      <c r="N17" s="428"/>
      <c r="O17" s="428"/>
      <c r="P17" s="428"/>
      <c r="Q17" s="428"/>
      <c r="R17" s="428"/>
      <c r="S17" s="428"/>
      <c r="T17" s="428"/>
      <c r="U17" s="428"/>
      <c r="V17" s="428"/>
      <c r="W17" s="428"/>
      <c r="X17" s="428"/>
      <c r="Y17" s="428"/>
      <c r="Z17" s="428"/>
      <c r="AA17" s="428"/>
      <c r="AB17" s="428"/>
      <c r="AC17" s="428"/>
      <c r="AD17" s="428"/>
      <c r="AE17" s="428"/>
    </row>
    <row r="18">
      <c r="A18" s="418">
        <v>42520.0</v>
      </c>
      <c r="B18" s="419"/>
      <c r="C18" s="419" t="s">
        <v>5112</v>
      </c>
      <c r="D18" s="418">
        <v>42198.0</v>
      </c>
      <c r="E18" s="419" t="s">
        <v>5113</v>
      </c>
      <c r="F18" s="419" t="s">
        <v>5114</v>
      </c>
      <c r="G18" s="419" t="s">
        <v>5115</v>
      </c>
      <c r="H18" s="420"/>
      <c r="I18" s="421" t="s">
        <v>5005</v>
      </c>
      <c r="J18" s="421" t="s">
        <v>269</v>
      </c>
      <c r="K18" s="421" t="s">
        <v>5116</v>
      </c>
      <c r="L18" s="421" t="s">
        <v>5117</v>
      </c>
      <c r="M18" s="421" t="s">
        <v>5118</v>
      </c>
      <c r="N18" s="423" t="s">
        <v>5119</v>
      </c>
      <c r="O18" s="89"/>
      <c r="P18" s="89"/>
      <c r="Q18" s="89"/>
      <c r="R18" s="89"/>
      <c r="S18" s="89"/>
      <c r="T18" s="89"/>
      <c r="U18" s="89"/>
      <c r="V18" s="89"/>
      <c r="W18" s="89"/>
      <c r="X18" s="89"/>
      <c r="Y18" s="89"/>
      <c r="Z18" s="89"/>
      <c r="AA18" s="89"/>
      <c r="AB18" s="89"/>
      <c r="AC18" s="89"/>
      <c r="AD18" s="89"/>
      <c r="AE18" s="89"/>
    </row>
    <row r="19">
      <c r="A19" s="422">
        <v>42520.0</v>
      </c>
      <c r="B19" s="419"/>
      <c r="C19" s="419" t="s">
        <v>5121</v>
      </c>
      <c r="D19" s="418">
        <v>42268.0</v>
      </c>
      <c r="E19" s="419" t="s">
        <v>5122</v>
      </c>
      <c r="F19" s="419" t="s">
        <v>5123</v>
      </c>
      <c r="G19" s="419" t="s">
        <v>5124</v>
      </c>
      <c r="H19" s="419" t="s">
        <v>763</v>
      </c>
      <c r="I19" s="421" t="s">
        <v>5125</v>
      </c>
      <c r="J19" s="421" t="s">
        <v>269</v>
      </c>
      <c r="K19" s="421" t="s">
        <v>5126</v>
      </c>
      <c r="L19" s="428"/>
      <c r="M19" s="428"/>
      <c r="N19" s="428"/>
      <c r="O19" s="428"/>
      <c r="P19" s="428"/>
      <c r="Q19" s="428"/>
      <c r="R19" s="428"/>
      <c r="S19" s="428"/>
      <c r="T19" s="428"/>
      <c r="U19" s="428"/>
      <c r="V19" s="428"/>
      <c r="W19" s="428"/>
      <c r="X19" s="428"/>
      <c r="Y19" s="428"/>
      <c r="Z19" s="428"/>
      <c r="AA19" s="428"/>
      <c r="AB19" s="428"/>
      <c r="AC19" s="428"/>
      <c r="AD19" s="428"/>
      <c r="AE19" s="428"/>
    </row>
    <row r="20">
      <c r="A20" s="418">
        <v>42520.0</v>
      </c>
      <c r="B20" s="419"/>
      <c r="C20" s="419" t="s">
        <v>5127</v>
      </c>
      <c r="D20" s="418">
        <v>42489.0</v>
      </c>
      <c r="E20" s="419" t="s">
        <v>5128</v>
      </c>
      <c r="F20" s="419" t="s">
        <v>5129</v>
      </c>
      <c r="G20" s="419" t="s">
        <v>5130</v>
      </c>
      <c r="H20" s="420"/>
      <c r="I20" s="421" t="s">
        <v>5132</v>
      </c>
      <c r="J20" s="421" t="s">
        <v>269</v>
      </c>
      <c r="K20" s="421" t="s">
        <v>5133</v>
      </c>
      <c r="L20" s="421" t="s">
        <v>5134</v>
      </c>
      <c r="M20" s="427" t="s">
        <v>5135</v>
      </c>
      <c r="N20" s="421" t="s">
        <v>5136</v>
      </c>
      <c r="O20" s="421" t="s">
        <v>5138</v>
      </c>
      <c r="P20" s="423" t="s">
        <v>5139</v>
      </c>
      <c r="Q20" s="421" t="s">
        <v>5140</v>
      </c>
      <c r="R20" s="89"/>
      <c r="S20" s="89"/>
      <c r="T20" s="89"/>
      <c r="U20" s="89"/>
      <c r="V20" s="89"/>
      <c r="W20" s="89"/>
      <c r="X20" s="89"/>
      <c r="Y20" s="89"/>
      <c r="Z20" s="89"/>
      <c r="AA20" s="89"/>
      <c r="AB20" s="89"/>
      <c r="AC20" s="89"/>
      <c r="AD20" s="89"/>
      <c r="AE20" s="89"/>
    </row>
    <row r="21">
      <c r="A21" s="418">
        <v>42520.0</v>
      </c>
      <c r="B21" s="419"/>
      <c r="C21" s="419" t="s">
        <v>5141</v>
      </c>
      <c r="D21" s="418">
        <v>42450.0</v>
      </c>
      <c r="E21" s="419" t="s">
        <v>5142</v>
      </c>
      <c r="F21" s="419" t="s">
        <v>5143</v>
      </c>
      <c r="G21" s="419" t="s">
        <v>5144</v>
      </c>
      <c r="H21" s="419" t="s">
        <v>763</v>
      </c>
      <c r="I21" s="426"/>
      <c r="J21" s="421" t="s">
        <v>269</v>
      </c>
      <c r="K21" s="421" t="s">
        <v>5145</v>
      </c>
      <c r="L21" s="421" t="s">
        <v>5146</v>
      </c>
      <c r="M21" s="89"/>
      <c r="N21" s="89"/>
      <c r="O21" s="89"/>
      <c r="P21" s="89"/>
      <c r="Q21" s="89"/>
      <c r="R21" s="89"/>
      <c r="S21" s="89"/>
      <c r="T21" s="89"/>
      <c r="U21" s="89"/>
      <c r="V21" s="89"/>
      <c r="W21" s="89"/>
      <c r="X21" s="89"/>
      <c r="Y21" s="89"/>
      <c r="Z21" s="89"/>
      <c r="AA21" s="89"/>
      <c r="AB21" s="89"/>
      <c r="AC21" s="89"/>
      <c r="AD21" s="89"/>
      <c r="AE21" s="89"/>
    </row>
    <row r="22">
      <c r="A22" s="418">
        <v>42520.0</v>
      </c>
      <c r="B22" s="419"/>
      <c r="C22" s="419" t="s">
        <v>5150</v>
      </c>
      <c r="D22" s="418">
        <v>42517.0</v>
      </c>
      <c r="E22" s="419" t="s">
        <v>5151</v>
      </c>
      <c r="F22" s="419" t="s">
        <v>5152</v>
      </c>
      <c r="G22" s="419" t="s">
        <v>5153</v>
      </c>
      <c r="H22" s="419" t="s">
        <v>5154</v>
      </c>
      <c r="I22" s="421" t="s">
        <v>5155</v>
      </c>
      <c r="J22" s="421" t="s">
        <v>269</v>
      </c>
      <c r="K22" s="421" t="s">
        <v>5156</v>
      </c>
      <c r="L22" s="421" t="s">
        <v>5157</v>
      </c>
      <c r="M22" s="421" t="s">
        <v>5158</v>
      </c>
      <c r="N22" s="421" t="s">
        <v>5159</v>
      </c>
      <c r="O22" s="428"/>
      <c r="P22" s="428"/>
      <c r="Q22" s="428"/>
      <c r="R22" s="428"/>
      <c r="S22" s="428"/>
      <c r="T22" s="428"/>
      <c r="U22" s="428"/>
      <c r="V22" s="428"/>
      <c r="W22" s="428"/>
      <c r="X22" s="428"/>
      <c r="Y22" s="428"/>
      <c r="Z22" s="428"/>
      <c r="AA22" s="428"/>
      <c r="AB22" s="428"/>
      <c r="AC22" s="428"/>
      <c r="AD22" s="428"/>
      <c r="AE22" s="428"/>
    </row>
    <row r="23">
      <c r="A23" s="418">
        <v>42522.0</v>
      </c>
      <c r="B23" s="419"/>
      <c r="C23" s="419" t="s">
        <v>5160</v>
      </c>
      <c r="D23" s="418">
        <v>42474.0</v>
      </c>
      <c r="E23" s="419" t="s">
        <v>5161</v>
      </c>
      <c r="F23" s="419" t="s">
        <v>5162</v>
      </c>
      <c r="G23" s="419" t="s">
        <v>5163</v>
      </c>
      <c r="H23" s="420"/>
      <c r="I23" s="427" t="s">
        <v>5165</v>
      </c>
      <c r="J23" s="421" t="s">
        <v>269</v>
      </c>
      <c r="K23" s="421" t="s">
        <v>5166</v>
      </c>
      <c r="L23" s="428"/>
      <c r="M23" s="428"/>
      <c r="N23" s="428"/>
      <c r="O23" s="428"/>
      <c r="P23" s="428"/>
      <c r="Q23" s="428"/>
      <c r="R23" s="428"/>
      <c r="S23" s="428"/>
      <c r="T23" s="428"/>
      <c r="U23" s="428"/>
      <c r="V23" s="428"/>
      <c r="W23" s="428"/>
      <c r="X23" s="428"/>
      <c r="Y23" s="428"/>
      <c r="Z23" s="428"/>
      <c r="AA23" s="428"/>
      <c r="AB23" s="428"/>
      <c r="AC23" s="428"/>
      <c r="AD23" s="428"/>
      <c r="AE23" s="428"/>
    </row>
    <row r="24">
      <c r="A24" s="425">
        <v>42531.0</v>
      </c>
      <c r="B24" s="419"/>
      <c r="C24" s="419" t="s">
        <v>5169</v>
      </c>
      <c r="D24" s="425">
        <v>42520.0</v>
      </c>
      <c r="E24" s="419" t="s">
        <v>5170</v>
      </c>
      <c r="F24" s="419" t="s">
        <v>5171</v>
      </c>
      <c r="G24" s="419" t="s">
        <v>5172</v>
      </c>
      <c r="H24" s="420"/>
      <c r="I24" s="421" t="s">
        <v>5173</v>
      </c>
      <c r="J24" s="421" t="s">
        <v>269</v>
      </c>
      <c r="K24" s="421" t="s">
        <v>5174</v>
      </c>
      <c r="L24" s="421" t="s">
        <v>5175</v>
      </c>
      <c r="M24" s="421" t="s">
        <v>5176</v>
      </c>
      <c r="N24" s="423" t="s">
        <v>5177</v>
      </c>
      <c r="O24" s="421" t="s">
        <v>5178</v>
      </c>
      <c r="P24" s="89"/>
      <c r="Q24" s="89"/>
      <c r="R24" s="89"/>
      <c r="S24" s="89"/>
      <c r="T24" s="89"/>
      <c r="U24" s="89"/>
      <c r="V24" s="89"/>
      <c r="W24" s="89"/>
      <c r="X24" s="89"/>
      <c r="Y24" s="89"/>
      <c r="Z24" s="89"/>
      <c r="AA24" s="89"/>
      <c r="AB24" s="89"/>
      <c r="AC24" s="89"/>
      <c r="AD24" s="89"/>
      <c r="AE24" s="89"/>
    </row>
    <row r="25">
      <c r="A25" s="422">
        <v>42531.0</v>
      </c>
      <c r="B25" s="419"/>
      <c r="C25" s="419" t="s">
        <v>5179</v>
      </c>
      <c r="D25" s="425">
        <v>42544.0</v>
      </c>
      <c r="E25" s="419" t="s">
        <v>5180</v>
      </c>
      <c r="F25" s="419" t="s">
        <v>5182</v>
      </c>
      <c r="G25" s="419" t="s">
        <v>5183</v>
      </c>
      <c r="H25" s="420"/>
      <c r="I25" s="426"/>
      <c r="J25" s="421" t="s">
        <v>269</v>
      </c>
      <c r="K25" s="421" t="s">
        <v>5184</v>
      </c>
      <c r="L25" s="421" t="s">
        <v>5185</v>
      </c>
      <c r="M25" s="89"/>
      <c r="N25" s="89"/>
      <c r="O25" s="89"/>
      <c r="P25" s="89"/>
      <c r="Q25" s="89"/>
      <c r="R25" s="89"/>
      <c r="S25" s="89"/>
      <c r="T25" s="89"/>
      <c r="U25" s="89"/>
      <c r="V25" s="89"/>
      <c r="W25" s="89"/>
      <c r="X25" s="89"/>
      <c r="Y25" s="89"/>
      <c r="Z25" s="89"/>
      <c r="AA25" s="89"/>
      <c r="AB25" s="89"/>
      <c r="AC25" s="89"/>
      <c r="AD25" s="89"/>
      <c r="AE25" s="89"/>
    </row>
    <row r="26">
      <c r="A26" s="425">
        <v>42535.0</v>
      </c>
      <c r="B26" s="419"/>
      <c r="C26" s="419" t="s">
        <v>5186</v>
      </c>
      <c r="D26" s="425">
        <v>42515.0</v>
      </c>
      <c r="E26" s="419" t="s">
        <v>5187</v>
      </c>
      <c r="F26" s="419" t="s">
        <v>5188</v>
      </c>
      <c r="G26" s="419" t="s">
        <v>5190</v>
      </c>
      <c r="H26" s="420"/>
      <c r="I26" s="421" t="s">
        <v>5191</v>
      </c>
      <c r="J26" s="421" t="s">
        <v>269</v>
      </c>
      <c r="K26" s="421" t="s">
        <v>5192</v>
      </c>
      <c r="L26" s="421" t="s">
        <v>5193</v>
      </c>
      <c r="M26" s="89"/>
      <c r="N26" s="89"/>
      <c r="O26" s="89"/>
      <c r="P26" s="89"/>
      <c r="Q26" s="89"/>
      <c r="R26" s="89"/>
      <c r="S26" s="89"/>
      <c r="T26" s="89"/>
      <c r="U26" s="89"/>
      <c r="V26" s="89"/>
      <c r="W26" s="89"/>
      <c r="X26" s="89"/>
      <c r="Y26" s="89"/>
      <c r="Z26" s="89"/>
      <c r="AA26" s="89"/>
      <c r="AB26" s="89"/>
      <c r="AC26" s="89"/>
      <c r="AD26" s="89"/>
      <c r="AE26" s="89"/>
    </row>
    <row r="27">
      <c r="A27" s="422">
        <v>42538.0</v>
      </c>
      <c r="B27" s="419" t="s">
        <v>551</v>
      </c>
      <c r="C27" s="419" t="s">
        <v>5194</v>
      </c>
      <c r="D27" s="422">
        <v>42531.0</v>
      </c>
      <c r="E27" s="419" t="s">
        <v>5195</v>
      </c>
      <c r="F27" s="419" t="s">
        <v>5196</v>
      </c>
      <c r="G27" s="419" t="s">
        <v>5197</v>
      </c>
      <c r="H27" s="419" t="s">
        <v>376</v>
      </c>
      <c r="I27" s="426"/>
      <c r="J27" s="421" t="s">
        <v>269</v>
      </c>
      <c r="K27" s="421" t="s">
        <v>5199</v>
      </c>
      <c r="L27" s="421" t="s">
        <v>5200</v>
      </c>
      <c r="M27" s="427" t="s">
        <v>5201</v>
      </c>
      <c r="N27" s="421" t="s">
        <v>5202</v>
      </c>
      <c r="O27" s="89"/>
      <c r="P27" s="89"/>
      <c r="Q27" s="89"/>
      <c r="R27" s="89"/>
      <c r="S27" s="89"/>
      <c r="T27" s="89"/>
      <c r="U27" s="89"/>
      <c r="V27" s="89"/>
      <c r="W27" s="89"/>
      <c r="X27" s="89"/>
      <c r="Y27" s="89"/>
      <c r="Z27" s="89"/>
      <c r="AA27" s="89"/>
      <c r="AB27" s="89"/>
      <c r="AC27" s="89"/>
      <c r="AD27" s="89"/>
      <c r="AE27" s="89"/>
    </row>
    <row r="28">
      <c r="A28" s="425">
        <v>42542.0</v>
      </c>
      <c r="B28" s="419"/>
      <c r="C28" s="419" t="s">
        <v>5203</v>
      </c>
      <c r="D28" s="425">
        <v>42534.0</v>
      </c>
      <c r="E28" s="419" t="s">
        <v>5204</v>
      </c>
      <c r="F28" s="419" t="s">
        <v>5205</v>
      </c>
      <c r="G28" s="419" t="s">
        <v>5206</v>
      </c>
      <c r="H28" s="420"/>
      <c r="I28" s="421" t="s">
        <v>5207</v>
      </c>
      <c r="J28" s="421" t="s">
        <v>269</v>
      </c>
      <c r="K28" s="421" t="s">
        <v>5208</v>
      </c>
      <c r="L28" s="423" t="s">
        <v>5209</v>
      </c>
      <c r="M28" s="89"/>
      <c r="N28" s="89"/>
      <c r="O28" s="89"/>
      <c r="P28" s="89"/>
      <c r="Q28" s="89"/>
      <c r="R28" s="89"/>
      <c r="S28" s="89"/>
      <c r="T28" s="89"/>
      <c r="U28" s="89"/>
      <c r="V28" s="89"/>
      <c r="W28" s="89"/>
      <c r="X28" s="89"/>
      <c r="Y28" s="89"/>
      <c r="Z28" s="89"/>
      <c r="AA28" s="89"/>
      <c r="AB28" s="89"/>
      <c r="AC28" s="89"/>
      <c r="AD28" s="89"/>
      <c r="AE28" s="89"/>
    </row>
    <row r="29">
      <c r="A29" s="422">
        <v>42562.0</v>
      </c>
      <c r="B29" s="419"/>
      <c r="C29" s="419" t="s">
        <v>5211</v>
      </c>
      <c r="D29" s="425">
        <v>42471.0</v>
      </c>
      <c r="E29" s="419" t="s">
        <v>5212</v>
      </c>
      <c r="F29" s="419" t="s">
        <v>5213</v>
      </c>
      <c r="G29" s="419" t="s">
        <v>5214</v>
      </c>
      <c r="H29" s="419" t="s">
        <v>4978</v>
      </c>
      <c r="I29" s="421" t="s">
        <v>5215</v>
      </c>
      <c r="J29" s="421" t="s">
        <v>269</v>
      </c>
      <c r="K29" s="421" t="s">
        <v>5216</v>
      </c>
      <c r="L29" s="421" t="s">
        <v>5217</v>
      </c>
      <c r="M29" s="427" t="s">
        <v>5218</v>
      </c>
      <c r="N29" s="427" t="s">
        <v>5219</v>
      </c>
      <c r="O29" s="421" t="s">
        <v>5220</v>
      </c>
      <c r="P29" s="89"/>
      <c r="Q29" s="89"/>
      <c r="R29" s="89"/>
      <c r="S29" s="89"/>
      <c r="T29" s="89"/>
      <c r="U29" s="89"/>
      <c r="V29" s="89"/>
      <c r="W29" s="89"/>
      <c r="X29" s="89"/>
      <c r="Y29" s="89"/>
      <c r="Z29" s="89"/>
      <c r="AA29" s="89"/>
      <c r="AB29" s="89"/>
      <c r="AC29" s="89"/>
      <c r="AD29" s="89"/>
      <c r="AE29" s="89"/>
    </row>
    <row r="30">
      <c r="A30" s="422">
        <v>42565.0</v>
      </c>
      <c r="B30" s="419"/>
      <c r="C30" s="419" t="s">
        <v>5222</v>
      </c>
      <c r="D30" s="425">
        <v>42555.0</v>
      </c>
      <c r="E30" s="419" t="s">
        <v>5223</v>
      </c>
      <c r="F30" s="419" t="s">
        <v>5224</v>
      </c>
      <c r="G30" s="419" t="s">
        <v>5225</v>
      </c>
      <c r="H30" s="419" t="s">
        <v>271</v>
      </c>
      <c r="I30" s="426"/>
      <c r="J30" s="421" t="s">
        <v>269</v>
      </c>
      <c r="K30" s="421" t="s">
        <v>5226</v>
      </c>
      <c r="L30" s="421" t="s">
        <v>5227</v>
      </c>
      <c r="M30" s="421" t="s">
        <v>5228</v>
      </c>
      <c r="N30" s="89"/>
      <c r="O30" s="89"/>
      <c r="P30" s="89"/>
      <c r="Q30" s="89"/>
      <c r="R30" s="89"/>
      <c r="S30" s="89"/>
      <c r="T30" s="89"/>
      <c r="U30" s="89"/>
      <c r="V30" s="89"/>
      <c r="W30" s="89"/>
      <c r="X30" s="89"/>
      <c r="Y30" s="89"/>
      <c r="Z30" s="89"/>
      <c r="AA30" s="89"/>
      <c r="AB30" s="89"/>
      <c r="AC30" s="89"/>
      <c r="AD30" s="89"/>
      <c r="AE30" s="89"/>
    </row>
    <row r="31">
      <c r="A31" s="422">
        <v>42566.0</v>
      </c>
      <c r="B31" s="419"/>
      <c r="C31" s="419" t="s">
        <v>5229</v>
      </c>
      <c r="D31" s="422">
        <v>42566.0</v>
      </c>
      <c r="E31" s="419" t="s">
        <v>5230</v>
      </c>
      <c r="F31" s="419" t="s">
        <v>5231</v>
      </c>
      <c r="G31" s="419" t="s">
        <v>5232</v>
      </c>
      <c r="H31" s="419" t="s">
        <v>271</v>
      </c>
      <c r="I31" s="421" t="s">
        <v>5234</v>
      </c>
      <c r="J31" s="421" t="s">
        <v>269</v>
      </c>
      <c r="K31" s="421" t="s">
        <v>5235</v>
      </c>
      <c r="L31" s="421" t="s">
        <v>5236</v>
      </c>
      <c r="M31" s="421" t="s">
        <v>5237</v>
      </c>
      <c r="N31" s="89"/>
      <c r="O31" s="89"/>
      <c r="P31" s="89"/>
      <c r="Q31" s="89"/>
      <c r="R31" s="89"/>
      <c r="S31" s="89"/>
      <c r="T31" s="89"/>
      <c r="U31" s="89"/>
      <c r="V31" s="89"/>
      <c r="W31" s="89"/>
      <c r="X31" s="89"/>
      <c r="Y31" s="89"/>
      <c r="Z31" s="89"/>
      <c r="AA31" s="89"/>
      <c r="AB31" s="89"/>
      <c r="AC31" s="89"/>
      <c r="AD31" s="89"/>
      <c r="AE31" s="89"/>
    </row>
    <row r="32">
      <c r="A32" s="422">
        <v>42566.0</v>
      </c>
      <c r="B32" s="419"/>
      <c r="C32" s="419" t="s">
        <v>5238</v>
      </c>
      <c r="D32" s="422">
        <v>42565.0</v>
      </c>
      <c r="E32" s="419" t="s">
        <v>5239</v>
      </c>
      <c r="F32" s="419" t="s">
        <v>5038</v>
      </c>
      <c r="G32" s="419" t="s">
        <v>5240</v>
      </c>
      <c r="H32" s="419" t="s">
        <v>271</v>
      </c>
      <c r="I32" s="421" t="s">
        <v>5241</v>
      </c>
      <c r="J32" s="421" t="s">
        <v>269</v>
      </c>
      <c r="K32" s="421" t="s">
        <v>5242</v>
      </c>
      <c r="L32" s="421" t="s">
        <v>5243</v>
      </c>
      <c r="M32" s="89"/>
      <c r="N32" s="89"/>
      <c r="O32" s="89"/>
      <c r="P32" s="89"/>
      <c r="Q32" s="89"/>
      <c r="R32" s="89"/>
      <c r="S32" s="89"/>
      <c r="T32" s="89"/>
      <c r="U32" s="89"/>
      <c r="V32" s="89"/>
      <c r="W32" s="89"/>
      <c r="X32" s="89"/>
      <c r="Y32" s="89"/>
      <c r="Z32" s="89"/>
      <c r="AA32" s="89"/>
      <c r="AB32" s="89"/>
      <c r="AC32" s="89"/>
      <c r="AD32" s="89"/>
      <c r="AE32" s="89"/>
    </row>
    <row r="33">
      <c r="A33" s="422">
        <v>42569.0</v>
      </c>
      <c r="B33" s="419"/>
      <c r="C33" s="419" t="s">
        <v>5245</v>
      </c>
      <c r="D33" s="425">
        <v>42555.0</v>
      </c>
      <c r="E33" s="419" t="s">
        <v>5247</v>
      </c>
      <c r="F33" s="419" t="s">
        <v>5248</v>
      </c>
      <c r="G33" s="419" t="s">
        <v>5250</v>
      </c>
      <c r="H33" s="420"/>
      <c r="I33" s="421" t="s">
        <v>5252</v>
      </c>
      <c r="J33" s="421" t="s">
        <v>269</v>
      </c>
      <c r="K33" s="427" t="s">
        <v>5253</v>
      </c>
      <c r="L33" s="421" t="s">
        <v>5254</v>
      </c>
      <c r="M33" s="89"/>
      <c r="N33" s="89"/>
      <c r="O33" s="89"/>
      <c r="P33" s="89"/>
      <c r="Q33" s="89"/>
      <c r="R33" s="89"/>
      <c r="S33" s="89"/>
      <c r="T33" s="89"/>
      <c r="U33" s="89"/>
      <c r="V33" s="89"/>
      <c r="W33" s="89"/>
      <c r="X33" s="89"/>
      <c r="Y33" s="89"/>
      <c r="Z33" s="89"/>
      <c r="AA33" s="89"/>
      <c r="AB33" s="89"/>
      <c r="AC33" s="89"/>
      <c r="AD33" s="89"/>
      <c r="AE33" s="89"/>
    </row>
    <row r="34">
      <c r="A34" s="422">
        <v>42569.0</v>
      </c>
      <c r="B34" s="419"/>
      <c r="C34" s="419" t="s">
        <v>5255</v>
      </c>
      <c r="D34" s="425">
        <v>42562.0</v>
      </c>
      <c r="E34" s="419" t="s">
        <v>5256</v>
      </c>
      <c r="F34" s="419" t="s">
        <v>5257</v>
      </c>
      <c r="G34" s="419" t="s">
        <v>5258</v>
      </c>
      <c r="H34" s="420"/>
      <c r="I34" s="427" t="s">
        <v>5260</v>
      </c>
      <c r="J34" s="421" t="s">
        <v>269</v>
      </c>
      <c r="K34" s="421" t="s">
        <v>5261</v>
      </c>
      <c r="L34" s="421" t="s">
        <v>5262</v>
      </c>
      <c r="M34" s="421" t="s">
        <v>5263</v>
      </c>
      <c r="N34" s="89"/>
      <c r="O34" s="89"/>
      <c r="P34" s="89"/>
      <c r="Q34" s="89"/>
      <c r="R34" s="89"/>
      <c r="S34" s="89"/>
      <c r="T34" s="89"/>
      <c r="U34" s="89"/>
      <c r="V34" s="89"/>
      <c r="W34" s="89"/>
      <c r="X34" s="89"/>
      <c r="Y34" s="89"/>
      <c r="Z34" s="89"/>
      <c r="AA34" s="89"/>
      <c r="AB34" s="89"/>
      <c r="AC34" s="89"/>
      <c r="AD34" s="89"/>
      <c r="AE34" s="89"/>
    </row>
    <row r="35">
      <c r="A35" s="422">
        <v>42570.0</v>
      </c>
      <c r="B35" s="419"/>
      <c r="C35" s="419" t="s">
        <v>5265</v>
      </c>
      <c r="D35" s="425">
        <v>42556.0</v>
      </c>
      <c r="E35" s="419" t="s">
        <v>5266</v>
      </c>
      <c r="F35" s="419" t="s">
        <v>5267</v>
      </c>
      <c r="G35" s="419" t="s">
        <v>5268</v>
      </c>
      <c r="H35" s="420"/>
      <c r="I35" s="421" t="s">
        <v>5269</v>
      </c>
      <c r="J35" s="421" t="s">
        <v>269</v>
      </c>
      <c r="K35" s="427" t="s">
        <v>5270</v>
      </c>
      <c r="L35" s="89"/>
      <c r="M35" s="89"/>
      <c r="N35" s="89"/>
      <c r="O35" s="89"/>
      <c r="P35" s="89"/>
      <c r="Q35" s="89"/>
      <c r="R35" s="89"/>
      <c r="S35" s="89"/>
      <c r="T35" s="89"/>
      <c r="U35" s="89"/>
      <c r="V35" s="89"/>
      <c r="W35" s="89"/>
      <c r="X35" s="89"/>
      <c r="Y35" s="89"/>
      <c r="Z35" s="89"/>
      <c r="AA35" s="89"/>
      <c r="AB35" s="89"/>
      <c r="AC35" s="89"/>
      <c r="AD35" s="89"/>
      <c r="AE35" s="89"/>
    </row>
    <row r="36">
      <c r="A36" s="422">
        <v>42570.0</v>
      </c>
      <c r="B36" s="419"/>
      <c r="C36" s="419" t="s">
        <v>5272</v>
      </c>
      <c r="D36" s="425">
        <v>42516.0</v>
      </c>
      <c r="E36" s="419" t="s">
        <v>5274</v>
      </c>
      <c r="F36" s="419" t="s">
        <v>5275</v>
      </c>
      <c r="G36" s="419" t="s">
        <v>5276</v>
      </c>
      <c r="H36" s="420"/>
      <c r="I36" s="427" t="s">
        <v>5277</v>
      </c>
      <c r="J36" s="421" t="s">
        <v>269</v>
      </c>
      <c r="K36" s="421" t="s">
        <v>5278</v>
      </c>
      <c r="L36" s="421" t="s">
        <v>5279</v>
      </c>
      <c r="M36" s="421" t="s">
        <v>5280</v>
      </c>
      <c r="N36" s="421" t="s">
        <v>5281</v>
      </c>
      <c r="O36" s="89"/>
      <c r="P36" s="89"/>
      <c r="Q36" s="89"/>
      <c r="R36" s="89"/>
      <c r="S36" s="89"/>
      <c r="T36" s="89"/>
      <c r="U36" s="89"/>
      <c r="V36" s="89"/>
      <c r="W36" s="89"/>
      <c r="X36" s="89"/>
      <c r="Y36" s="89"/>
      <c r="Z36" s="89"/>
      <c r="AA36" s="89"/>
      <c r="AB36" s="89"/>
      <c r="AC36" s="89"/>
      <c r="AD36" s="89"/>
      <c r="AE36" s="89"/>
    </row>
    <row r="37">
      <c r="A37" s="422">
        <v>42571.0</v>
      </c>
      <c r="B37" s="419"/>
      <c r="C37" s="419" t="s">
        <v>5282</v>
      </c>
      <c r="D37" s="425">
        <v>42255.0</v>
      </c>
      <c r="E37" s="419" t="s">
        <v>5283</v>
      </c>
      <c r="F37" s="419" t="s">
        <v>5284</v>
      </c>
      <c r="G37" s="419" t="s">
        <v>5286</v>
      </c>
      <c r="H37" s="420"/>
      <c r="I37" s="427" t="s">
        <v>5287</v>
      </c>
      <c r="J37" s="421" t="s">
        <v>269</v>
      </c>
      <c r="K37" s="421" t="s">
        <v>5288</v>
      </c>
      <c r="L37" s="427" t="s">
        <v>5289</v>
      </c>
      <c r="M37" s="432" t="s">
        <v>5290</v>
      </c>
      <c r="N37" s="89"/>
      <c r="O37" s="89"/>
      <c r="P37" s="89"/>
      <c r="Q37" s="89"/>
      <c r="R37" s="89"/>
      <c r="S37" s="89"/>
      <c r="T37" s="89"/>
      <c r="U37" s="89"/>
      <c r="V37" s="89"/>
      <c r="W37" s="89"/>
      <c r="X37" s="89"/>
      <c r="Y37" s="89"/>
      <c r="Z37" s="89"/>
      <c r="AA37" s="89"/>
      <c r="AB37" s="89"/>
      <c r="AC37" s="89"/>
      <c r="AD37" s="89"/>
      <c r="AE37" s="89"/>
    </row>
    <row r="38">
      <c r="A38" s="422">
        <v>42571.0</v>
      </c>
      <c r="B38" s="419"/>
      <c r="C38" s="419" t="s">
        <v>5291</v>
      </c>
      <c r="D38" s="422">
        <v>42571.0</v>
      </c>
      <c r="E38" s="419" t="s">
        <v>5292</v>
      </c>
      <c r="F38" s="419"/>
      <c r="G38" s="419" t="s">
        <v>5293</v>
      </c>
      <c r="H38" s="419" t="s">
        <v>271</v>
      </c>
      <c r="I38" s="421" t="s">
        <v>5294</v>
      </c>
      <c r="J38" s="421" t="s">
        <v>269</v>
      </c>
      <c r="K38" s="421" t="s">
        <v>5296</v>
      </c>
      <c r="L38" s="421" t="s">
        <v>5297</v>
      </c>
      <c r="M38" s="89"/>
      <c r="N38" s="89"/>
      <c r="O38" s="89"/>
      <c r="P38" s="89"/>
      <c r="Q38" s="89"/>
      <c r="R38" s="89"/>
      <c r="S38" s="89"/>
      <c r="T38" s="89"/>
      <c r="U38" s="89"/>
      <c r="V38" s="89"/>
      <c r="W38" s="89"/>
      <c r="X38" s="89"/>
      <c r="Y38" s="89"/>
      <c r="Z38" s="89"/>
      <c r="AA38" s="89"/>
      <c r="AB38" s="89"/>
      <c r="AC38" s="89"/>
      <c r="AD38" s="89"/>
      <c r="AE38" s="89"/>
    </row>
    <row r="39">
      <c r="A39" s="422">
        <v>42572.0</v>
      </c>
      <c r="B39" s="419"/>
      <c r="C39" s="419" t="s">
        <v>5300</v>
      </c>
      <c r="D39" s="425">
        <v>42542.0</v>
      </c>
      <c r="E39" s="419" t="s">
        <v>5301</v>
      </c>
      <c r="F39" s="419" t="s">
        <v>5302</v>
      </c>
      <c r="G39" s="419" t="s">
        <v>5303</v>
      </c>
      <c r="H39" s="420"/>
      <c r="I39" s="421" t="s">
        <v>5304</v>
      </c>
      <c r="J39" s="421" t="s">
        <v>269</v>
      </c>
      <c r="K39" s="427" t="s">
        <v>5305</v>
      </c>
      <c r="L39" s="421" t="s">
        <v>5306</v>
      </c>
      <c r="M39" s="89"/>
      <c r="N39" s="89"/>
      <c r="O39" s="89"/>
      <c r="P39" s="89"/>
      <c r="Q39" s="89"/>
      <c r="R39" s="89"/>
      <c r="S39" s="89"/>
      <c r="T39" s="89"/>
      <c r="U39" s="89"/>
      <c r="V39" s="89"/>
      <c r="W39" s="89"/>
      <c r="X39" s="89"/>
      <c r="Y39" s="89"/>
      <c r="Z39" s="89"/>
      <c r="AA39" s="89"/>
      <c r="AB39" s="89"/>
      <c r="AC39" s="89"/>
      <c r="AD39" s="89"/>
      <c r="AE39" s="89"/>
    </row>
    <row r="40">
      <c r="A40" s="422">
        <v>42572.0</v>
      </c>
      <c r="B40" s="419"/>
      <c r="C40" s="419" t="s">
        <v>5307</v>
      </c>
      <c r="D40" s="425">
        <v>42549.0</v>
      </c>
      <c r="E40" s="419" t="s">
        <v>5308</v>
      </c>
      <c r="F40" s="419" t="s">
        <v>5309</v>
      </c>
      <c r="G40" s="419" t="s">
        <v>5310</v>
      </c>
      <c r="H40" s="419" t="s">
        <v>271</v>
      </c>
      <c r="I40" s="421" t="s">
        <v>5311</v>
      </c>
      <c r="J40" s="421" t="s">
        <v>269</v>
      </c>
      <c r="K40" s="421" t="s">
        <v>5312</v>
      </c>
      <c r="L40" s="421" t="s">
        <v>5313</v>
      </c>
      <c r="M40" s="89"/>
      <c r="N40" s="89"/>
      <c r="O40" s="89"/>
      <c r="P40" s="89"/>
      <c r="Q40" s="89"/>
      <c r="R40" s="89"/>
      <c r="S40" s="89"/>
      <c r="T40" s="89"/>
      <c r="U40" s="89"/>
      <c r="V40" s="89"/>
      <c r="W40" s="89"/>
      <c r="X40" s="89"/>
      <c r="Y40" s="89"/>
      <c r="Z40" s="89"/>
      <c r="AA40" s="89"/>
      <c r="AB40" s="89"/>
      <c r="AC40" s="89"/>
      <c r="AD40" s="89"/>
      <c r="AE40" s="89"/>
    </row>
    <row r="41">
      <c r="A41" s="422">
        <v>42576.0</v>
      </c>
      <c r="B41" s="419"/>
      <c r="C41" s="419" t="s">
        <v>5315</v>
      </c>
      <c r="D41" s="425">
        <v>42570.0</v>
      </c>
      <c r="E41" s="419" t="s">
        <v>5316</v>
      </c>
      <c r="F41" s="419" t="s">
        <v>5317</v>
      </c>
      <c r="G41" s="419" t="s">
        <v>5318</v>
      </c>
      <c r="H41" s="419" t="s">
        <v>763</v>
      </c>
      <c r="I41" s="421" t="s">
        <v>5319</v>
      </c>
      <c r="J41" s="421" t="s">
        <v>269</v>
      </c>
      <c r="K41" s="423" t="s">
        <v>5320</v>
      </c>
      <c r="L41" s="89"/>
      <c r="M41" s="89"/>
      <c r="N41" s="89"/>
      <c r="O41" s="89"/>
      <c r="P41" s="89"/>
      <c r="Q41" s="89"/>
      <c r="R41" s="89"/>
      <c r="S41" s="89"/>
      <c r="T41" s="89"/>
      <c r="U41" s="89"/>
      <c r="V41" s="89"/>
      <c r="W41" s="89"/>
      <c r="X41" s="89"/>
      <c r="Y41" s="89"/>
      <c r="Z41" s="89"/>
      <c r="AA41" s="89"/>
      <c r="AB41" s="89"/>
      <c r="AC41" s="89"/>
      <c r="AD41" s="89"/>
      <c r="AE41" s="89"/>
    </row>
    <row r="42">
      <c r="A42" s="422">
        <v>42577.0</v>
      </c>
      <c r="B42" s="419"/>
      <c r="C42" s="419" t="s">
        <v>5321</v>
      </c>
      <c r="D42" s="425">
        <v>42563.0</v>
      </c>
      <c r="E42" s="419" t="s">
        <v>5322</v>
      </c>
      <c r="F42" s="419"/>
      <c r="G42" s="419" t="s">
        <v>5323</v>
      </c>
      <c r="H42" s="420"/>
      <c r="I42" s="421" t="s">
        <v>5165</v>
      </c>
      <c r="J42" s="421" t="s">
        <v>269</v>
      </c>
      <c r="K42" s="421" t="s">
        <v>5325</v>
      </c>
      <c r="L42" s="421" t="s">
        <v>5237</v>
      </c>
      <c r="M42" s="89"/>
      <c r="N42" s="89"/>
      <c r="O42" s="89"/>
      <c r="P42" s="89"/>
      <c r="Q42" s="89"/>
      <c r="R42" s="89"/>
      <c r="S42" s="89"/>
      <c r="T42" s="89"/>
      <c r="U42" s="89"/>
      <c r="V42" s="89"/>
      <c r="W42" s="89"/>
      <c r="X42" s="89"/>
      <c r="Y42" s="89"/>
      <c r="Z42" s="89"/>
      <c r="AA42" s="89"/>
      <c r="AB42" s="89"/>
      <c r="AC42" s="89"/>
      <c r="AD42" s="89"/>
      <c r="AE42" s="89"/>
    </row>
    <row r="43">
      <c r="A43" s="422">
        <v>42579.0</v>
      </c>
      <c r="B43" s="419"/>
      <c r="C43" s="419" t="s">
        <v>5326</v>
      </c>
      <c r="D43" s="422">
        <v>42557.0</v>
      </c>
      <c r="E43" s="419" t="s">
        <v>5327</v>
      </c>
      <c r="F43" s="419" t="s">
        <v>5328</v>
      </c>
      <c r="G43" s="419" t="s">
        <v>5329</v>
      </c>
      <c r="H43" s="419" t="s">
        <v>271</v>
      </c>
      <c r="I43" s="426"/>
      <c r="J43" s="421" t="s">
        <v>269</v>
      </c>
      <c r="K43" s="421" t="s">
        <v>5330</v>
      </c>
      <c r="L43" s="421" t="s">
        <v>5331</v>
      </c>
      <c r="M43" s="421" t="s">
        <v>5333</v>
      </c>
      <c r="N43" s="421" t="s">
        <v>5334</v>
      </c>
      <c r="O43" s="421" t="s">
        <v>5335</v>
      </c>
      <c r="P43" s="421" t="s">
        <v>5336</v>
      </c>
      <c r="Q43" s="421" t="s">
        <v>5337</v>
      </c>
      <c r="R43" s="421" t="s">
        <v>5338</v>
      </c>
      <c r="S43" s="427" t="s">
        <v>5339</v>
      </c>
      <c r="T43" s="421" t="s">
        <v>5340</v>
      </c>
      <c r="U43" s="421" t="s">
        <v>5341</v>
      </c>
      <c r="V43" s="421" t="s">
        <v>5342</v>
      </c>
      <c r="W43" s="433" t="s">
        <v>5343</v>
      </c>
      <c r="X43" s="421" t="s">
        <v>5344</v>
      </c>
      <c r="Y43" s="89"/>
      <c r="Z43" s="89"/>
      <c r="AA43" s="89"/>
      <c r="AB43" s="89"/>
      <c r="AC43" s="89"/>
      <c r="AD43" s="89"/>
      <c r="AE43" s="89"/>
    </row>
    <row r="44">
      <c r="A44" s="422">
        <v>42579.0</v>
      </c>
      <c r="B44" s="419"/>
      <c r="C44" s="419" t="s">
        <v>5346</v>
      </c>
      <c r="D44" s="425">
        <v>42557.0</v>
      </c>
      <c r="E44" s="419" t="s">
        <v>5347</v>
      </c>
      <c r="F44" s="419" t="s">
        <v>5152</v>
      </c>
      <c r="G44" s="419" t="s">
        <v>5348</v>
      </c>
      <c r="H44" s="419" t="s">
        <v>5154</v>
      </c>
      <c r="I44" s="426"/>
      <c r="J44" s="421" t="s">
        <v>269</v>
      </c>
      <c r="K44" s="421" t="s">
        <v>5349</v>
      </c>
      <c r="L44" s="89"/>
      <c r="M44" s="89"/>
      <c r="N44" s="89"/>
      <c r="O44" s="89"/>
      <c r="P44" s="89"/>
      <c r="Q44" s="89"/>
      <c r="R44" s="89"/>
      <c r="S44" s="89"/>
      <c r="T44" s="89"/>
      <c r="U44" s="89"/>
      <c r="V44" s="89"/>
      <c r="W44" s="89"/>
      <c r="X44" s="89"/>
      <c r="Y44" s="89"/>
      <c r="Z44" s="89"/>
      <c r="AA44" s="89"/>
      <c r="AB44" s="89"/>
      <c r="AC44" s="89"/>
      <c r="AD44" s="89"/>
      <c r="AE44" s="89"/>
    </row>
    <row r="45">
      <c r="A45" s="422">
        <v>42580.0</v>
      </c>
      <c r="B45" s="419"/>
      <c r="C45" s="419" t="s">
        <v>5350</v>
      </c>
      <c r="D45" s="422">
        <v>42579.0</v>
      </c>
      <c r="E45" s="419" t="s">
        <v>5351</v>
      </c>
      <c r="F45" s="419" t="s">
        <v>5352</v>
      </c>
      <c r="G45" s="419" t="s">
        <v>5353</v>
      </c>
      <c r="H45" s="419" t="s">
        <v>763</v>
      </c>
      <c r="I45" s="426"/>
      <c r="J45" s="421" t="s">
        <v>269</v>
      </c>
      <c r="K45" s="421" t="s">
        <v>5354</v>
      </c>
      <c r="L45" s="427" t="s">
        <v>5355</v>
      </c>
      <c r="M45" s="423" t="s">
        <v>5356</v>
      </c>
      <c r="N45" s="421" t="s">
        <v>5357</v>
      </c>
      <c r="O45" s="89"/>
      <c r="P45" s="89"/>
      <c r="Q45" s="89"/>
      <c r="R45" s="89"/>
      <c r="S45" s="89"/>
      <c r="T45" s="89"/>
      <c r="U45" s="89"/>
      <c r="V45" s="89"/>
      <c r="W45" s="89"/>
      <c r="X45" s="89"/>
      <c r="Y45" s="89"/>
      <c r="Z45" s="89"/>
      <c r="AA45" s="89"/>
      <c r="AB45" s="89"/>
      <c r="AC45" s="89"/>
      <c r="AD45" s="89"/>
      <c r="AE45" s="89"/>
    </row>
    <row r="46">
      <c r="A46" s="422">
        <v>42583.0</v>
      </c>
      <c r="B46" s="419"/>
      <c r="C46" s="419" t="s">
        <v>5359</v>
      </c>
      <c r="D46" s="425">
        <v>42580.0</v>
      </c>
      <c r="E46" s="419" t="s">
        <v>5360</v>
      </c>
      <c r="F46" s="419" t="s">
        <v>5361</v>
      </c>
      <c r="G46" s="419" t="s">
        <v>5362</v>
      </c>
      <c r="H46" s="419" t="s">
        <v>5363</v>
      </c>
      <c r="I46" s="421" t="s">
        <v>5364</v>
      </c>
      <c r="J46" s="421" t="s">
        <v>269</v>
      </c>
      <c r="K46" s="427" t="s">
        <v>5365</v>
      </c>
      <c r="L46" s="421" t="s">
        <v>5366</v>
      </c>
      <c r="M46" s="421" t="s">
        <v>5367</v>
      </c>
      <c r="N46" s="89"/>
      <c r="O46" s="89"/>
      <c r="P46" s="89"/>
      <c r="Q46" s="89"/>
      <c r="R46" s="89"/>
      <c r="S46" s="89"/>
      <c r="T46" s="89"/>
      <c r="U46" s="89"/>
      <c r="V46" s="89"/>
      <c r="W46" s="89"/>
      <c r="X46" s="89"/>
      <c r="Y46" s="89"/>
      <c r="Z46" s="89"/>
      <c r="AA46" s="89"/>
      <c r="AB46" s="89"/>
      <c r="AC46" s="89"/>
      <c r="AD46" s="89"/>
      <c r="AE46" s="89"/>
    </row>
    <row r="47">
      <c r="A47" s="422">
        <v>42583.0</v>
      </c>
      <c r="B47" s="419"/>
      <c r="C47" s="419" t="s">
        <v>5369</v>
      </c>
      <c r="D47" s="425">
        <v>42563.0</v>
      </c>
      <c r="E47" s="419" t="s">
        <v>5370</v>
      </c>
      <c r="F47" s="419" t="s">
        <v>5371</v>
      </c>
      <c r="G47" s="419" t="s">
        <v>5373</v>
      </c>
      <c r="H47" s="420"/>
      <c r="I47" s="421" t="s">
        <v>5374</v>
      </c>
      <c r="J47" s="421" t="s">
        <v>269</v>
      </c>
      <c r="K47" s="427" t="s">
        <v>5376</v>
      </c>
      <c r="L47" s="421" t="s">
        <v>5377</v>
      </c>
      <c r="M47" s="421" t="s">
        <v>5378</v>
      </c>
      <c r="N47" s="427" t="s">
        <v>5379</v>
      </c>
      <c r="O47" s="421" t="s">
        <v>5380</v>
      </c>
      <c r="P47" s="421" t="s">
        <v>5381</v>
      </c>
      <c r="Q47" s="421" t="s">
        <v>5237</v>
      </c>
      <c r="R47" s="421" t="s">
        <v>5382</v>
      </c>
      <c r="S47" s="89"/>
      <c r="T47" s="89"/>
      <c r="U47" s="89"/>
      <c r="V47" s="89"/>
      <c r="W47" s="89"/>
      <c r="X47" s="89"/>
      <c r="Y47" s="89"/>
      <c r="Z47" s="89"/>
      <c r="AA47" s="89"/>
      <c r="AB47" s="89"/>
      <c r="AC47" s="89"/>
      <c r="AD47" s="89"/>
      <c r="AE47" s="89"/>
    </row>
    <row r="48">
      <c r="A48" s="422">
        <v>42583.0</v>
      </c>
      <c r="B48" s="419"/>
      <c r="C48" s="419" t="s">
        <v>5383</v>
      </c>
      <c r="D48" s="425">
        <v>42501.0</v>
      </c>
      <c r="E48" s="419" t="s">
        <v>5384</v>
      </c>
      <c r="F48" s="419" t="s">
        <v>5385</v>
      </c>
      <c r="G48" s="419" t="s">
        <v>5386</v>
      </c>
      <c r="H48" s="420"/>
      <c r="I48" s="421" t="s">
        <v>5387</v>
      </c>
      <c r="J48" s="421" t="s">
        <v>269</v>
      </c>
      <c r="K48" s="421" t="s">
        <v>5389</v>
      </c>
      <c r="L48" s="421" t="s">
        <v>5390</v>
      </c>
      <c r="M48" s="423" t="s">
        <v>5391</v>
      </c>
      <c r="N48" s="89"/>
      <c r="O48" s="89"/>
      <c r="P48" s="89"/>
      <c r="Q48" s="89"/>
      <c r="R48" s="89"/>
      <c r="S48" s="89"/>
      <c r="T48" s="89"/>
      <c r="U48" s="89"/>
      <c r="V48" s="89"/>
      <c r="W48" s="89"/>
      <c r="X48" s="89"/>
      <c r="Y48" s="89"/>
      <c r="Z48" s="89"/>
      <c r="AA48" s="89"/>
      <c r="AB48" s="89"/>
      <c r="AC48" s="89"/>
      <c r="AD48" s="89"/>
      <c r="AE48" s="89"/>
    </row>
    <row r="49">
      <c r="A49" s="422">
        <v>42583.0</v>
      </c>
      <c r="B49" s="419"/>
      <c r="C49" s="419" t="s">
        <v>5394</v>
      </c>
      <c r="D49" s="422">
        <v>42485.0</v>
      </c>
      <c r="E49" s="419" t="s">
        <v>5395</v>
      </c>
      <c r="F49" s="419" t="s">
        <v>5396</v>
      </c>
      <c r="G49" s="419" t="s">
        <v>5397</v>
      </c>
      <c r="H49" s="419" t="s">
        <v>5154</v>
      </c>
      <c r="I49" s="421" t="s">
        <v>5398</v>
      </c>
      <c r="J49" s="421" t="s">
        <v>269</v>
      </c>
      <c r="K49" s="421" t="s">
        <v>5399</v>
      </c>
      <c r="L49" s="89"/>
      <c r="M49" s="89"/>
      <c r="N49" s="89"/>
      <c r="O49" s="89"/>
      <c r="P49" s="89"/>
      <c r="Q49" s="89"/>
      <c r="R49" s="89"/>
      <c r="S49" s="89"/>
      <c r="T49" s="89"/>
      <c r="U49" s="89"/>
      <c r="V49" s="89"/>
      <c r="W49" s="89"/>
      <c r="X49" s="89"/>
      <c r="Y49" s="89"/>
      <c r="Z49" s="89"/>
      <c r="AA49" s="89"/>
      <c r="AB49" s="89"/>
      <c r="AC49" s="89"/>
      <c r="AD49" s="89"/>
      <c r="AE49" s="89"/>
    </row>
    <row r="50">
      <c r="A50" s="422">
        <v>42583.0</v>
      </c>
      <c r="B50" s="419"/>
      <c r="C50" s="419" t="s">
        <v>5401</v>
      </c>
      <c r="D50" s="422">
        <v>42579.0</v>
      </c>
      <c r="E50" s="419" t="s">
        <v>5403</v>
      </c>
      <c r="F50" s="419"/>
      <c r="G50" s="419" t="s">
        <v>5405</v>
      </c>
      <c r="H50" s="419" t="s">
        <v>4124</v>
      </c>
      <c r="I50" s="434"/>
      <c r="J50" s="421" t="s">
        <v>269</v>
      </c>
      <c r="K50" s="427" t="s">
        <v>5406</v>
      </c>
      <c r="L50" s="427" t="s">
        <v>5407</v>
      </c>
      <c r="M50" s="89"/>
      <c r="N50" s="89"/>
      <c r="O50" s="89"/>
      <c r="P50" s="89"/>
      <c r="Q50" s="89"/>
      <c r="R50" s="89"/>
      <c r="S50" s="89"/>
      <c r="T50" s="89"/>
      <c r="U50" s="89"/>
      <c r="V50" s="89"/>
      <c r="W50" s="89"/>
      <c r="X50" s="89"/>
      <c r="Y50" s="89"/>
      <c r="Z50" s="89"/>
      <c r="AA50" s="89"/>
      <c r="AB50" s="89"/>
      <c r="AC50" s="89"/>
      <c r="AD50" s="89"/>
      <c r="AE50" s="89"/>
    </row>
    <row r="51">
      <c r="A51" s="422">
        <v>42585.0</v>
      </c>
      <c r="B51" s="419"/>
      <c r="C51" s="419" t="s">
        <v>5408</v>
      </c>
      <c r="D51" s="425">
        <v>42583.0</v>
      </c>
      <c r="E51" s="419" t="s">
        <v>5409</v>
      </c>
      <c r="F51" s="419" t="s">
        <v>5410</v>
      </c>
      <c r="G51" s="419" t="s">
        <v>5412</v>
      </c>
      <c r="H51" s="419" t="s">
        <v>271</v>
      </c>
      <c r="I51" s="421" t="s">
        <v>5413</v>
      </c>
      <c r="J51" s="421" t="s">
        <v>269</v>
      </c>
      <c r="K51" s="421" t="s">
        <v>5414</v>
      </c>
      <c r="L51" s="421" t="s">
        <v>5415</v>
      </c>
      <c r="M51" s="89"/>
      <c r="N51" s="89"/>
      <c r="O51" s="89"/>
      <c r="P51" s="89"/>
      <c r="Q51" s="89"/>
      <c r="R51" s="89"/>
      <c r="S51" s="89"/>
      <c r="T51" s="89"/>
      <c r="U51" s="89"/>
      <c r="V51" s="89"/>
      <c r="W51" s="89"/>
      <c r="X51" s="89"/>
      <c r="Y51" s="89"/>
      <c r="Z51" s="89"/>
      <c r="AA51" s="89"/>
      <c r="AB51" s="89"/>
      <c r="AC51" s="89"/>
      <c r="AD51" s="89"/>
      <c r="AE51" s="89"/>
    </row>
    <row r="52">
      <c r="A52" s="422">
        <v>42600.0</v>
      </c>
      <c r="B52" s="419"/>
      <c r="C52" s="419" t="s">
        <v>5416</v>
      </c>
      <c r="D52" s="425">
        <v>42564.0</v>
      </c>
      <c r="E52" s="419" t="s">
        <v>5417</v>
      </c>
      <c r="F52" s="419" t="s">
        <v>5419</v>
      </c>
      <c r="G52" s="419" t="s">
        <v>5421</v>
      </c>
      <c r="H52" s="419" t="s">
        <v>5423</v>
      </c>
      <c r="I52" s="421" t="s">
        <v>5424</v>
      </c>
      <c r="J52" s="421" t="s">
        <v>269</v>
      </c>
      <c r="K52" s="421" t="s">
        <v>5425</v>
      </c>
      <c r="L52" s="421" t="s">
        <v>5426</v>
      </c>
      <c r="M52" s="427" t="s">
        <v>5427</v>
      </c>
      <c r="N52" s="421" t="s">
        <v>5428</v>
      </c>
      <c r="O52" s="421" t="s">
        <v>5429</v>
      </c>
      <c r="P52" s="421" t="s">
        <v>5430</v>
      </c>
      <c r="Q52" s="89"/>
      <c r="R52" s="89"/>
      <c r="S52" s="89"/>
      <c r="T52" s="89"/>
      <c r="U52" s="89"/>
      <c r="V52" s="89"/>
      <c r="W52" s="89"/>
      <c r="X52" s="89"/>
      <c r="Y52" s="89"/>
      <c r="Z52" s="89"/>
      <c r="AA52" s="89"/>
      <c r="AB52" s="89"/>
      <c r="AC52" s="89"/>
      <c r="AD52" s="89"/>
      <c r="AE52" s="89"/>
    </row>
    <row r="53">
      <c r="A53" s="422">
        <v>42606.0</v>
      </c>
      <c r="B53" s="419"/>
      <c r="C53" s="419" t="s">
        <v>5431</v>
      </c>
      <c r="D53" s="422">
        <v>42605.0</v>
      </c>
      <c r="E53" s="419" t="s">
        <v>5432</v>
      </c>
      <c r="F53" s="419" t="s">
        <v>5433</v>
      </c>
      <c r="G53" s="419" t="s">
        <v>5434</v>
      </c>
      <c r="H53" s="419" t="s">
        <v>5423</v>
      </c>
      <c r="I53" s="426"/>
      <c r="J53" s="421" t="s">
        <v>269</v>
      </c>
      <c r="K53" s="421" t="s">
        <v>5435</v>
      </c>
      <c r="L53" s="421" t="s">
        <v>5436</v>
      </c>
      <c r="M53" s="89"/>
      <c r="N53" s="89"/>
      <c r="O53" s="89"/>
      <c r="P53" s="89"/>
      <c r="Q53" s="89"/>
      <c r="R53" s="89"/>
      <c r="S53" s="89"/>
      <c r="T53" s="89"/>
      <c r="U53" s="89"/>
      <c r="V53" s="89"/>
      <c r="W53" s="89"/>
      <c r="X53" s="89"/>
      <c r="Y53" s="89"/>
      <c r="Z53" s="89"/>
      <c r="AA53" s="89"/>
      <c r="AB53" s="89"/>
      <c r="AC53" s="89"/>
      <c r="AD53" s="89"/>
      <c r="AE53" s="89"/>
    </row>
    <row r="54">
      <c r="A54" s="422">
        <v>42608.0</v>
      </c>
      <c r="B54" s="419"/>
      <c r="C54" s="419" t="s">
        <v>5438</v>
      </c>
      <c r="D54" s="425">
        <v>42605.0</v>
      </c>
      <c r="E54" s="419" t="s">
        <v>5439</v>
      </c>
      <c r="F54" s="419" t="s">
        <v>5440</v>
      </c>
      <c r="G54" s="419" t="s">
        <v>5441</v>
      </c>
      <c r="H54" s="419" t="s">
        <v>5363</v>
      </c>
      <c r="I54" s="426"/>
      <c r="J54" s="421" t="s">
        <v>269</v>
      </c>
      <c r="K54" s="421" t="s">
        <v>5442</v>
      </c>
      <c r="L54" s="421" t="s">
        <v>5443</v>
      </c>
      <c r="M54" s="89"/>
      <c r="N54" s="89"/>
      <c r="O54" s="89"/>
      <c r="P54" s="89"/>
      <c r="Q54" s="89"/>
      <c r="R54" s="89"/>
      <c r="S54" s="89"/>
      <c r="T54" s="89"/>
      <c r="U54" s="89"/>
      <c r="V54" s="89"/>
      <c r="W54" s="89"/>
      <c r="X54" s="89"/>
      <c r="Y54" s="89"/>
      <c r="Z54" s="89"/>
      <c r="AA54" s="89"/>
      <c r="AB54" s="89"/>
      <c r="AC54" s="89"/>
      <c r="AD54" s="89"/>
      <c r="AE54" s="89"/>
    </row>
    <row r="55">
      <c r="A55" s="422">
        <v>42611.0</v>
      </c>
      <c r="B55" s="419"/>
      <c r="C55" s="419" t="s">
        <v>5444</v>
      </c>
      <c r="D55" s="425">
        <v>42597.0</v>
      </c>
      <c r="E55" s="419" t="s">
        <v>5445</v>
      </c>
      <c r="F55" s="419" t="s">
        <v>5446</v>
      </c>
      <c r="G55" s="419" t="s">
        <v>5303</v>
      </c>
      <c r="H55" s="420"/>
      <c r="I55" s="421" t="s">
        <v>5447</v>
      </c>
      <c r="J55" s="421" t="s">
        <v>269</v>
      </c>
      <c r="K55" s="427" t="s">
        <v>5448</v>
      </c>
      <c r="L55" s="424" t="s">
        <v>5449</v>
      </c>
      <c r="M55" s="89"/>
      <c r="N55" s="89"/>
      <c r="O55" s="89"/>
      <c r="P55" s="89"/>
      <c r="Q55" s="89"/>
      <c r="R55" s="89"/>
      <c r="S55" s="89"/>
      <c r="T55" s="89"/>
      <c r="U55" s="89"/>
      <c r="V55" s="89"/>
      <c r="W55" s="89"/>
      <c r="X55" s="89"/>
      <c r="Y55" s="89"/>
      <c r="Z55" s="89"/>
      <c r="AA55" s="89"/>
      <c r="AB55" s="89"/>
      <c r="AC55" s="89"/>
      <c r="AD55" s="89"/>
      <c r="AE55" s="89"/>
    </row>
    <row r="56">
      <c r="A56" s="422">
        <v>42611.0</v>
      </c>
      <c r="B56" s="419"/>
      <c r="C56" s="419" t="s">
        <v>5450</v>
      </c>
      <c r="D56" s="422">
        <v>42611.0</v>
      </c>
      <c r="E56" s="419" t="s">
        <v>5451</v>
      </c>
      <c r="F56" s="419" t="s">
        <v>5452</v>
      </c>
      <c r="G56" s="419" t="s">
        <v>5453</v>
      </c>
      <c r="H56" s="419" t="s">
        <v>4965</v>
      </c>
      <c r="I56" s="421" t="s">
        <v>5454</v>
      </c>
      <c r="J56" s="421" t="s">
        <v>269</v>
      </c>
      <c r="K56" s="421" t="s">
        <v>5455</v>
      </c>
      <c r="L56" s="421" t="s">
        <v>5456</v>
      </c>
      <c r="M56" s="421" t="s">
        <v>5457</v>
      </c>
      <c r="N56" s="427" t="s">
        <v>5458</v>
      </c>
      <c r="O56" s="70"/>
      <c r="P56" s="89"/>
      <c r="Q56" s="89"/>
      <c r="R56" s="89"/>
      <c r="S56" s="89"/>
      <c r="T56" s="89"/>
      <c r="U56" s="89"/>
      <c r="V56" s="89"/>
      <c r="W56" s="89"/>
      <c r="X56" s="89"/>
      <c r="Y56" s="89"/>
      <c r="Z56" s="89"/>
      <c r="AA56" s="89"/>
      <c r="AB56" s="89"/>
      <c r="AC56" s="89"/>
      <c r="AD56" s="89"/>
      <c r="AE56" s="89"/>
    </row>
    <row r="57">
      <c r="A57" s="422">
        <v>42618.0</v>
      </c>
      <c r="B57" s="419" t="s">
        <v>551</v>
      </c>
      <c r="C57" s="419" t="s">
        <v>5459</v>
      </c>
      <c r="D57" s="425">
        <v>42597.0</v>
      </c>
      <c r="E57" s="419" t="s">
        <v>5460</v>
      </c>
      <c r="F57" s="419" t="s">
        <v>5461</v>
      </c>
      <c r="G57" s="419" t="s">
        <v>5303</v>
      </c>
      <c r="H57" s="420"/>
      <c r="I57" s="421" t="s">
        <v>5462</v>
      </c>
      <c r="J57" s="421" t="s">
        <v>269</v>
      </c>
      <c r="K57" s="421" t="s">
        <v>5463</v>
      </c>
      <c r="L57" s="421" t="s">
        <v>5464</v>
      </c>
      <c r="M57" s="427" t="s">
        <v>5465</v>
      </c>
      <c r="N57" s="421" t="s">
        <v>5466</v>
      </c>
      <c r="O57" s="427" t="s">
        <v>5467</v>
      </c>
      <c r="P57" s="427" t="s">
        <v>5468</v>
      </c>
      <c r="Q57" s="89"/>
      <c r="R57" s="89"/>
      <c r="S57" s="89"/>
      <c r="T57" s="89"/>
      <c r="U57" s="89"/>
      <c r="V57" s="89"/>
      <c r="W57" s="89"/>
      <c r="X57" s="89"/>
      <c r="Y57" s="89"/>
      <c r="Z57" s="89"/>
      <c r="AA57" s="89"/>
      <c r="AB57" s="89"/>
      <c r="AC57" s="89"/>
      <c r="AD57" s="89"/>
      <c r="AE57" s="89"/>
    </row>
    <row r="58">
      <c r="A58" s="422">
        <v>42618.0</v>
      </c>
      <c r="B58" s="419"/>
      <c r="C58" s="419" t="s">
        <v>5469</v>
      </c>
      <c r="D58" s="425">
        <v>42593.0</v>
      </c>
      <c r="E58" s="419" t="s">
        <v>5470</v>
      </c>
      <c r="F58" s="419" t="s">
        <v>5471</v>
      </c>
      <c r="G58" s="419" t="s">
        <v>5472</v>
      </c>
      <c r="H58" s="419" t="s">
        <v>5473</v>
      </c>
      <c r="I58" s="421" t="s">
        <v>5474</v>
      </c>
      <c r="J58" s="421" t="s">
        <v>269</v>
      </c>
      <c r="K58" s="421" t="s">
        <v>5475</v>
      </c>
      <c r="L58" s="89"/>
      <c r="M58" s="89"/>
      <c r="N58" s="89"/>
      <c r="O58" s="89"/>
      <c r="P58" s="89"/>
      <c r="Q58" s="89"/>
      <c r="R58" s="89"/>
      <c r="S58" s="89"/>
      <c r="T58" s="89"/>
      <c r="U58" s="89"/>
      <c r="V58" s="89"/>
      <c r="W58" s="89"/>
      <c r="X58" s="89"/>
      <c r="Y58" s="89"/>
      <c r="Z58" s="89"/>
      <c r="AA58" s="89"/>
      <c r="AB58" s="89"/>
      <c r="AC58" s="89"/>
      <c r="AD58" s="89"/>
      <c r="AE58" s="89"/>
    </row>
    <row r="59">
      <c r="A59" s="422">
        <v>42619.0</v>
      </c>
      <c r="B59" s="419" t="s">
        <v>3076</v>
      </c>
      <c r="C59" s="419" t="s">
        <v>1623</v>
      </c>
      <c r="D59" s="425">
        <v>42522.0</v>
      </c>
      <c r="E59" s="419" t="s">
        <v>5476</v>
      </c>
      <c r="F59" s="419" t="s">
        <v>5477</v>
      </c>
      <c r="G59" s="419" t="s">
        <v>5478</v>
      </c>
      <c r="H59" s="420"/>
      <c r="I59" s="421" t="s">
        <v>5479</v>
      </c>
      <c r="J59" s="421" t="s">
        <v>269</v>
      </c>
      <c r="K59" s="421" t="s">
        <v>5480</v>
      </c>
      <c r="L59" s="427" t="s">
        <v>5481</v>
      </c>
      <c r="M59" s="427" t="s">
        <v>5483</v>
      </c>
      <c r="N59" s="89"/>
      <c r="O59" s="89"/>
      <c r="P59" s="89"/>
      <c r="Q59" s="89"/>
      <c r="R59" s="89"/>
      <c r="S59" s="89"/>
      <c r="T59" s="89"/>
      <c r="U59" s="89"/>
      <c r="V59" s="89"/>
      <c r="W59" s="89"/>
      <c r="X59" s="89"/>
      <c r="Y59" s="89"/>
      <c r="Z59" s="89"/>
      <c r="AA59" s="89"/>
      <c r="AB59" s="89"/>
      <c r="AC59" s="89"/>
      <c r="AD59" s="89"/>
      <c r="AE59" s="89"/>
    </row>
    <row r="60">
      <c r="A60" s="422">
        <v>42619.0</v>
      </c>
      <c r="B60" s="419" t="s">
        <v>3076</v>
      </c>
      <c r="C60" s="419" t="s">
        <v>5484</v>
      </c>
      <c r="D60" s="425">
        <v>42573.0</v>
      </c>
      <c r="E60" s="419" t="s">
        <v>5485</v>
      </c>
      <c r="F60" s="419" t="s">
        <v>5486</v>
      </c>
      <c r="G60" s="419" t="s">
        <v>5487</v>
      </c>
      <c r="H60" s="419" t="s">
        <v>5488</v>
      </c>
      <c r="I60" s="421" t="s">
        <v>5413</v>
      </c>
      <c r="J60" s="421" t="s">
        <v>269</v>
      </c>
      <c r="K60" s="421" t="s">
        <v>5489</v>
      </c>
      <c r="L60" s="421" t="s">
        <v>5490</v>
      </c>
      <c r="M60" s="421" t="s">
        <v>5491</v>
      </c>
      <c r="N60" s="89"/>
      <c r="O60" s="89"/>
      <c r="P60" s="89"/>
      <c r="Q60" s="89"/>
      <c r="R60" s="89"/>
      <c r="S60" s="89"/>
      <c r="T60" s="89"/>
      <c r="U60" s="89"/>
      <c r="V60" s="89"/>
      <c r="W60" s="89"/>
      <c r="X60" s="89"/>
      <c r="Y60" s="89"/>
      <c r="Z60" s="89"/>
      <c r="AA60" s="89"/>
      <c r="AB60" s="89"/>
      <c r="AC60" s="89"/>
      <c r="AD60" s="89"/>
      <c r="AE60" s="89"/>
    </row>
    <row r="61">
      <c r="A61" s="422">
        <v>42620.0</v>
      </c>
      <c r="B61" s="419" t="s">
        <v>2569</v>
      </c>
      <c r="C61" s="419" t="s">
        <v>5494</v>
      </c>
      <c r="D61" s="425">
        <v>42579.0</v>
      </c>
      <c r="E61" s="419" t="s">
        <v>5495</v>
      </c>
      <c r="F61" s="419" t="s">
        <v>5496</v>
      </c>
      <c r="G61" s="419" t="s">
        <v>5497</v>
      </c>
      <c r="H61" s="420"/>
      <c r="I61" s="421" t="s">
        <v>5498</v>
      </c>
      <c r="J61" s="421" t="s">
        <v>269</v>
      </c>
      <c r="K61" s="421" t="s">
        <v>5499</v>
      </c>
      <c r="L61" s="89"/>
      <c r="M61" s="89"/>
      <c r="N61" s="89"/>
      <c r="O61" s="89"/>
      <c r="P61" s="89"/>
      <c r="Q61" s="89"/>
      <c r="R61" s="89"/>
      <c r="S61" s="89"/>
      <c r="T61" s="89"/>
      <c r="U61" s="89"/>
      <c r="V61" s="89"/>
      <c r="W61" s="89"/>
      <c r="X61" s="89"/>
      <c r="Y61" s="89"/>
      <c r="Z61" s="89"/>
      <c r="AA61" s="89"/>
      <c r="AB61" s="89"/>
      <c r="AC61" s="89"/>
      <c r="AD61" s="89"/>
      <c r="AE61" s="89"/>
    </row>
    <row r="62">
      <c r="A62" s="422">
        <v>42620.0</v>
      </c>
      <c r="B62" s="419" t="s">
        <v>551</v>
      </c>
      <c r="C62" s="419" t="s">
        <v>5500</v>
      </c>
      <c r="D62" s="422">
        <v>42620.0</v>
      </c>
      <c r="E62" s="419" t="s">
        <v>5501</v>
      </c>
      <c r="F62" s="419" t="s">
        <v>5502</v>
      </c>
      <c r="G62" s="419" t="s">
        <v>5503</v>
      </c>
      <c r="H62" s="419" t="s">
        <v>2158</v>
      </c>
      <c r="I62" s="421" t="s">
        <v>5504</v>
      </c>
      <c r="J62" s="421" t="s">
        <v>269</v>
      </c>
      <c r="K62" s="421" t="s">
        <v>5505</v>
      </c>
      <c r="L62" s="421" t="s">
        <v>5506</v>
      </c>
      <c r="M62" s="421">
        <v>1.3399600042822E13</v>
      </c>
      <c r="N62" s="89"/>
      <c r="O62" s="89"/>
      <c r="P62" s="89"/>
      <c r="Q62" s="89"/>
      <c r="R62" s="89"/>
      <c r="S62" s="89"/>
      <c r="T62" s="89"/>
      <c r="U62" s="89"/>
      <c r="V62" s="89"/>
      <c r="W62" s="89"/>
      <c r="X62" s="89"/>
      <c r="Y62" s="89"/>
      <c r="Z62" s="89"/>
      <c r="AA62" s="89"/>
      <c r="AB62" s="89"/>
      <c r="AC62" s="89"/>
      <c r="AD62" s="89"/>
      <c r="AE62" s="89"/>
    </row>
    <row r="63">
      <c r="A63" s="422">
        <v>42620.0</v>
      </c>
      <c r="B63" s="419" t="s">
        <v>3076</v>
      </c>
      <c r="C63" s="419" t="s">
        <v>5508</v>
      </c>
      <c r="D63" s="425">
        <v>42608.0</v>
      </c>
      <c r="E63" s="419" t="s">
        <v>5509</v>
      </c>
      <c r="F63" s="419" t="s">
        <v>5171</v>
      </c>
      <c r="G63" s="419" t="s">
        <v>5510</v>
      </c>
      <c r="H63" s="420"/>
      <c r="I63" s="421" t="s">
        <v>5511</v>
      </c>
      <c r="J63" s="421" t="s">
        <v>269</v>
      </c>
      <c r="K63" s="421" t="s">
        <v>5512</v>
      </c>
      <c r="L63" s="421" t="s">
        <v>5513</v>
      </c>
      <c r="M63" s="89"/>
      <c r="N63" s="89"/>
      <c r="O63" s="89"/>
      <c r="P63" s="89"/>
      <c r="Q63" s="89"/>
      <c r="R63" s="89"/>
      <c r="S63" s="89"/>
      <c r="T63" s="89"/>
      <c r="U63" s="89"/>
      <c r="V63" s="89"/>
      <c r="W63" s="89"/>
      <c r="X63" s="89"/>
      <c r="Y63" s="89"/>
      <c r="Z63" s="89"/>
      <c r="AA63" s="89"/>
      <c r="AB63" s="89"/>
      <c r="AC63" s="89"/>
      <c r="AD63" s="89"/>
      <c r="AE63" s="89"/>
    </row>
    <row r="64">
      <c r="A64" s="422">
        <v>42620.0</v>
      </c>
      <c r="B64" s="419" t="s">
        <v>551</v>
      </c>
      <c r="C64" s="419" t="s">
        <v>5514</v>
      </c>
      <c r="D64" s="425">
        <v>42611.0</v>
      </c>
      <c r="E64" s="419" t="s">
        <v>5515</v>
      </c>
      <c r="F64" s="419" t="s">
        <v>5446</v>
      </c>
      <c r="G64" s="419" t="s">
        <v>5516</v>
      </c>
      <c r="H64" s="420"/>
      <c r="I64" s="421" t="s">
        <v>5517</v>
      </c>
      <c r="J64" s="421" t="s">
        <v>269</v>
      </c>
      <c r="K64" s="427" t="s">
        <v>5518</v>
      </c>
      <c r="L64" s="421" t="s">
        <v>5519</v>
      </c>
      <c r="M64" s="432"/>
      <c r="N64" s="89"/>
      <c r="O64" s="89"/>
      <c r="P64" s="89"/>
      <c r="Q64" s="89"/>
      <c r="R64" s="89"/>
      <c r="S64" s="89"/>
      <c r="T64" s="89"/>
      <c r="U64" s="89"/>
      <c r="V64" s="89"/>
      <c r="W64" s="89"/>
      <c r="X64" s="89"/>
      <c r="Y64" s="89"/>
      <c r="Z64" s="89"/>
      <c r="AA64" s="89"/>
      <c r="AB64" s="89"/>
      <c r="AC64" s="89"/>
      <c r="AD64" s="89"/>
      <c r="AE64" s="89"/>
    </row>
    <row r="65">
      <c r="A65" s="422">
        <v>42620.0</v>
      </c>
      <c r="B65" s="419" t="s">
        <v>551</v>
      </c>
      <c r="C65" s="419" t="s">
        <v>5521</v>
      </c>
      <c r="D65" s="425">
        <v>42614.0</v>
      </c>
      <c r="E65" s="419" t="s">
        <v>5522</v>
      </c>
      <c r="F65" s="419" t="s">
        <v>5523</v>
      </c>
      <c r="G65" s="419" t="s">
        <v>5524</v>
      </c>
      <c r="H65" s="419" t="s">
        <v>4965</v>
      </c>
      <c r="I65" s="426"/>
      <c r="J65" s="421" t="s">
        <v>269</v>
      </c>
      <c r="K65" s="421" t="s">
        <v>5525</v>
      </c>
      <c r="L65" s="421" t="s">
        <v>5526</v>
      </c>
      <c r="M65" s="427" t="s">
        <v>5527</v>
      </c>
      <c r="N65" s="421" t="s">
        <v>5528</v>
      </c>
      <c r="O65" s="421" t="s">
        <v>5529</v>
      </c>
      <c r="P65" s="421" t="s">
        <v>5530</v>
      </c>
      <c r="Q65" s="421" t="s">
        <v>5531</v>
      </c>
      <c r="R65" s="89"/>
      <c r="S65" s="89"/>
      <c r="T65" s="89"/>
      <c r="U65" s="89"/>
      <c r="V65" s="89"/>
      <c r="W65" s="89"/>
      <c r="X65" s="89"/>
      <c r="Y65" s="89"/>
      <c r="Z65" s="89"/>
      <c r="AA65" s="89"/>
      <c r="AB65" s="89"/>
      <c r="AC65" s="89"/>
      <c r="AD65" s="89"/>
      <c r="AE65" s="89"/>
    </row>
    <row r="66">
      <c r="A66" s="422">
        <v>42622.0</v>
      </c>
      <c r="B66" s="419" t="s">
        <v>3076</v>
      </c>
      <c r="C66" s="419" t="s">
        <v>5533</v>
      </c>
      <c r="D66" s="425">
        <v>42566.0</v>
      </c>
      <c r="E66" s="419" t="s">
        <v>5534</v>
      </c>
      <c r="F66" s="419" t="s">
        <v>5535</v>
      </c>
      <c r="G66" s="419" t="s">
        <v>5536</v>
      </c>
      <c r="H66" s="420"/>
      <c r="I66" s="421" t="s">
        <v>5537</v>
      </c>
      <c r="J66" s="421" t="s">
        <v>269</v>
      </c>
      <c r="K66" s="421" t="s">
        <v>5538</v>
      </c>
      <c r="L66" s="89"/>
      <c r="M66" s="89"/>
      <c r="N66" s="89"/>
      <c r="O66" s="89"/>
      <c r="P66" s="89"/>
      <c r="Q66" s="89"/>
      <c r="R66" s="89"/>
      <c r="S66" s="89"/>
      <c r="T66" s="89"/>
      <c r="U66" s="89"/>
      <c r="V66" s="89"/>
      <c r="W66" s="89"/>
      <c r="X66" s="89"/>
      <c r="Y66" s="89"/>
      <c r="Z66" s="89"/>
      <c r="AA66" s="89"/>
      <c r="AB66" s="89"/>
      <c r="AC66" s="89"/>
      <c r="AD66" s="89"/>
      <c r="AE66" s="89"/>
    </row>
    <row r="67">
      <c r="A67" s="422">
        <v>42627.0</v>
      </c>
      <c r="B67" s="419" t="s">
        <v>551</v>
      </c>
      <c r="C67" s="419" t="s">
        <v>5540</v>
      </c>
      <c r="D67" s="425">
        <v>42616.0</v>
      </c>
      <c r="E67" s="419" t="s">
        <v>5541</v>
      </c>
      <c r="F67" s="419" t="s">
        <v>5542</v>
      </c>
      <c r="G67" s="419" t="s">
        <v>5543</v>
      </c>
      <c r="H67" s="419" t="s">
        <v>5363</v>
      </c>
      <c r="I67" s="426"/>
      <c r="J67" s="421" t="s">
        <v>269</v>
      </c>
      <c r="K67" s="421" t="s">
        <v>5544</v>
      </c>
      <c r="L67" s="421" t="s">
        <v>5237</v>
      </c>
      <c r="M67" s="89"/>
      <c r="N67" s="89"/>
      <c r="O67" s="89"/>
      <c r="P67" s="89"/>
      <c r="Q67" s="89"/>
      <c r="R67" s="89"/>
      <c r="S67" s="89"/>
      <c r="T67" s="89"/>
      <c r="U67" s="89"/>
      <c r="V67" s="89"/>
      <c r="W67" s="89"/>
      <c r="X67" s="89"/>
      <c r="Y67" s="89"/>
      <c r="Z67" s="89"/>
      <c r="AA67" s="89"/>
      <c r="AB67" s="89"/>
      <c r="AC67" s="89"/>
      <c r="AD67" s="89"/>
      <c r="AE67" s="89"/>
    </row>
    <row r="68">
      <c r="A68" s="422">
        <v>42627.0</v>
      </c>
      <c r="B68" s="419" t="s">
        <v>3076</v>
      </c>
      <c r="C68" s="419" t="s">
        <v>5546</v>
      </c>
      <c r="D68" s="425">
        <v>42619.0</v>
      </c>
      <c r="E68" s="419" t="s">
        <v>5547</v>
      </c>
      <c r="F68" s="419" t="s">
        <v>5123</v>
      </c>
      <c r="G68" s="419" t="s">
        <v>5548</v>
      </c>
      <c r="H68" s="419" t="s">
        <v>2434</v>
      </c>
      <c r="I68" s="421" t="s">
        <v>5549</v>
      </c>
      <c r="J68" s="421" t="s">
        <v>269</v>
      </c>
      <c r="K68" s="421" t="s">
        <v>5550</v>
      </c>
      <c r="L68" s="89"/>
      <c r="M68" s="89"/>
      <c r="N68" s="89"/>
      <c r="O68" s="89"/>
      <c r="P68" s="89"/>
      <c r="Q68" s="89"/>
      <c r="R68" s="89"/>
      <c r="S68" s="89"/>
      <c r="T68" s="89"/>
      <c r="U68" s="89"/>
      <c r="V68" s="89"/>
      <c r="W68" s="89"/>
      <c r="X68" s="89"/>
      <c r="Y68" s="89"/>
      <c r="Z68" s="89"/>
      <c r="AA68" s="89"/>
      <c r="AB68" s="89"/>
      <c r="AC68" s="89"/>
      <c r="AD68" s="89"/>
      <c r="AE68" s="89"/>
    </row>
    <row r="69">
      <c r="A69" s="422">
        <v>42632.0</v>
      </c>
      <c r="B69" s="419" t="s">
        <v>551</v>
      </c>
      <c r="C69" s="419" t="s">
        <v>5551</v>
      </c>
      <c r="D69" s="422">
        <v>42528.0</v>
      </c>
      <c r="E69" s="419" t="s">
        <v>5553</v>
      </c>
      <c r="F69" s="419" t="s">
        <v>5554</v>
      </c>
      <c r="G69" s="419" t="s">
        <v>5555</v>
      </c>
      <c r="H69" s="419" t="s">
        <v>5154</v>
      </c>
      <c r="I69" s="426"/>
      <c r="J69" s="421" t="s">
        <v>269</v>
      </c>
      <c r="K69" s="421" t="s">
        <v>5556</v>
      </c>
      <c r="L69" s="421" t="s">
        <v>5557</v>
      </c>
      <c r="M69" s="421" t="s">
        <v>5558</v>
      </c>
      <c r="N69" s="421" t="s">
        <v>5559</v>
      </c>
      <c r="O69" s="89"/>
      <c r="P69" s="89"/>
      <c r="Q69" s="89"/>
      <c r="R69" s="89"/>
      <c r="S69" s="89"/>
      <c r="T69" s="89"/>
      <c r="U69" s="89"/>
      <c r="V69" s="89"/>
      <c r="W69" s="89"/>
      <c r="X69" s="89"/>
      <c r="Y69" s="89"/>
      <c r="Z69" s="89"/>
      <c r="AA69" s="89"/>
      <c r="AB69" s="89"/>
      <c r="AC69" s="89"/>
      <c r="AD69" s="89"/>
      <c r="AE69" s="89"/>
    </row>
    <row r="70">
      <c r="A70" s="422">
        <v>42639.0</v>
      </c>
      <c r="B70" s="419" t="s">
        <v>3076</v>
      </c>
      <c r="C70" s="419" t="s">
        <v>5560</v>
      </c>
      <c r="D70" s="422">
        <v>42626.0</v>
      </c>
      <c r="E70" s="419" t="s">
        <v>5561</v>
      </c>
      <c r="F70" s="419" t="s">
        <v>5562</v>
      </c>
      <c r="G70" s="419" t="s">
        <v>5563</v>
      </c>
      <c r="H70" s="420"/>
      <c r="I70" s="426"/>
      <c r="J70" s="421" t="s">
        <v>269</v>
      </c>
      <c r="K70" s="421" t="s">
        <v>5564</v>
      </c>
      <c r="L70" s="421" t="s">
        <v>5565</v>
      </c>
      <c r="M70" s="421" t="s">
        <v>5566</v>
      </c>
      <c r="N70" s="421" t="s">
        <v>5567</v>
      </c>
      <c r="O70" s="89"/>
      <c r="P70" s="89"/>
      <c r="Q70" s="89"/>
      <c r="R70" s="89"/>
      <c r="S70" s="89"/>
      <c r="T70" s="89"/>
      <c r="U70" s="89"/>
      <c r="V70" s="89"/>
      <c r="W70" s="89"/>
      <c r="X70" s="89"/>
      <c r="Y70" s="89"/>
      <c r="Z70" s="89"/>
      <c r="AA70" s="89"/>
      <c r="AB70" s="89"/>
      <c r="AC70" s="89"/>
      <c r="AD70" s="89"/>
      <c r="AE70" s="89"/>
    </row>
    <row r="71">
      <c r="A71" s="422">
        <v>42642.0</v>
      </c>
      <c r="B71" s="419" t="s">
        <v>551</v>
      </c>
      <c r="C71" s="419" t="s">
        <v>5569</v>
      </c>
      <c r="D71" s="425">
        <v>41939.0</v>
      </c>
      <c r="E71" s="419" t="s">
        <v>5570</v>
      </c>
      <c r="F71" s="419" t="s">
        <v>5571</v>
      </c>
      <c r="G71" s="419" t="s">
        <v>5572</v>
      </c>
      <c r="H71" s="419" t="s">
        <v>5573</v>
      </c>
      <c r="I71" s="426"/>
      <c r="J71" s="421" t="s">
        <v>269</v>
      </c>
      <c r="K71" s="421" t="s">
        <v>5574</v>
      </c>
      <c r="L71" s="427" t="s">
        <v>5575</v>
      </c>
      <c r="M71" s="421" t="s">
        <v>5576</v>
      </c>
      <c r="N71" s="421" t="s">
        <v>5577</v>
      </c>
      <c r="O71" s="427" t="s">
        <v>5578</v>
      </c>
      <c r="P71" s="421" t="s">
        <v>5579</v>
      </c>
      <c r="Q71" s="421" t="s">
        <v>5580</v>
      </c>
      <c r="R71" s="421" t="s">
        <v>5581</v>
      </c>
      <c r="S71" s="421" t="s">
        <v>5582</v>
      </c>
      <c r="T71" s="427" t="s">
        <v>5583</v>
      </c>
      <c r="U71" s="89"/>
      <c r="V71" s="89"/>
      <c r="W71" s="89"/>
      <c r="X71" s="89"/>
      <c r="Y71" s="89"/>
      <c r="Z71" s="89"/>
      <c r="AA71" s="89"/>
      <c r="AB71" s="89"/>
      <c r="AC71" s="89"/>
      <c r="AD71" s="89"/>
      <c r="AE71" s="89"/>
    </row>
    <row r="72">
      <c r="A72" s="422">
        <v>42642.0</v>
      </c>
      <c r="B72" s="419" t="s">
        <v>551</v>
      </c>
      <c r="C72" s="419" t="s">
        <v>5584</v>
      </c>
      <c r="D72" s="425">
        <v>42625.0</v>
      </c>
      <c r="E72" s="419"/>
      <c r="F72" s="419" t="s">
        <v>5585</v>
      </c>
      <c r="G72" s="419" t="s">
        <v>5586</v>
      </c>
      <c r="H72" s="420"/>
      <c r="I72" s="421" t="s">
        <v>5587</v>
      </c>
      <c r="J72" s="421" t="s">
        <v>269</v>
      </c>
      <c r="K72" s="421" t="s">
        <v>5588</v>
      </c>
      <c r="L72" s="421" t="s">
        <v>5589</v>
      </c>
      <c r="M72" s="89"/>
      <c r="N72" s="89"/>
      <c r="O72" s="89"/>
      <c r="P72" s="89"/>
      <c r="Q72" s="89"/>
      <c r="R72" s="89"/>
      <c r="S72" s="89"/>
      <c r="T72" s="89"/>
      <c r="U72" s="89"/>
      <c r="V72" s="89"/>
      <c r="W72" s="89"/>
      <c r="X72" s="89"/>
      <c r="Y72" s="89"/>
      <c r="Z72" s="89"/>
      <c r="AA72" s="89"/>
      <c r="AB72" s="89"/>
      <c r="AC72" s="89"/>
      <c r="AD72" s="89"/>
      <c r="AE72" s="89"/>
    </row>
    <row r="73">
      <c r="A73" s="422">
        <v>42643.0</v>
      </c>
      <c r="B73" s="419" t="s">
        <v>3076</v>
      </c>
      <c r="C73" s="419" t="s">
        <v>5590</v>
      </c>
      <c r="D73" s="425">
        <v>42528.0</v>
      </c>
      <c r="E73" s="419" t="s">
        <v>5591</v>
      </c>
      <c r="F73" s="419" t="s">
        <v>5592</v>
      </c>
      <c r="G73" s="419" t="s">
        <v>5593</v>
      </c>
      <c r="H73" s="419" t="s">
        <v>271</v>
      </c>
      <c r="I73" s="421" t="s">
        <v>5594</v>
      </c>
      <c r="J73" s="421" t="s">
        <v>269</v>
      </c>
      <c r="K73" s="89"/>
      <c r="L73" s="89"/>
      <c r="M73" s="89"/>
      <c r="N73" s="89"/>
      <c r="O73" s="89"/>
      <c r="P73" s="89"/>
      <c r="Q73" s="89"/>
      <c r="R73" s="89"/>
      <c r="S73" s="89"/>
      <c r="T73" s="89"/>
      <c r="U73" s="89"/>
      <c r="V73" s="89"/>
      <c r="W73" s="89"/>
      <c r="X73" s="89"/>
      <c r="Y73" s="89"/>
      <c r="Z73" s="89"/>
      <c r="AA73" s="89"/>
      <c r="AB73" s="89"/>
      <c r="AC73" s="89"/>
      <c r="AD73" s="89"/>
      <c r="AE73" s="89"/>
    </row>
    <row r="74">
      <c r="A74" s="422">
        <v>42649.0</v>
      </c>
      <c r="B74" s="419" t="s">
        <v>551</v>
      </c>
      <c r="C74" s="419" t="s">
        <v>5596</v>
      </c>
      <c r="D74" s="422">
        <v>42636.0</v>
      </c>
      <c r="E74" s="419" t="s">
        <v>5597</v>
      </c>
      <c r="F74" s="419" t="s">
        <v>5598</v>
      </c>
      <c r="G74" s="419" t="s">
        <v>5599</v>
      </c>
      <c r="H74" s="419" t="s">
        <v>5600</v>
      </c>
      <c r="I74" s="426"/>
      <c r="J74" s="421" t="s">
        <v>269</v>
      </c>
      <c r="K74" s="421" t="s">
        <v>5601</v>
      </c>
      <c r="L74" s="421" t="s">
        <v>5602</v>
      </c>
      <c r="M74" s="427" t="s">
        <v>5603</v>
      </c>
      <c r="N74" s="427" t="s">
        <v>5604</v>
      </c>
      <c r="O74" s="421" t="s">
        <v>5605</v>
      </c>
      <c r="P74" s="421" t="s">
        <v>5606</v>
      </c>
      <c r="Q74" s="89"/>
      <c r="R74" s="89"/>
      <c r="S74" s="89"/>
      <c r="T74" s="89"/>
      <c r="U74" s="89"/>
      <c r="V74" s="89"/>
      <c r="W74" s="89"/>
      <c r="X74" s="89"/>
      <c r="Y74" s="89"/>
      <c r="Z74" s="89"/>
      <c r="AA74" s="89"/>
      <c r="AB74" s="89"/>
      <c r="AC74" s="89"/>
      <c r="AD74" s="89"/>
      <c r="AE74" s="89"/>
    </row>
    <row r="75">
      <c r="A75" s="422">
        <v>42653.0</v>
      </c>
      <c r="B75" s="419" t="s">
        <v>551</v>
      </c>
      <c r="C75" s="419" t="s">
        <v>5608</v>
      </c>
      <c r="D75" s="422">
        <v>42651.0</v>
      </c>
      <c r="E75" s="419" t="s">
        <v>5609</v>
      </c>
      <c r="F75" s="419" t="s">
        <v>5610</v>
      </c>
      <c r="G75" s="419" t="s">
        <v>5611</v>
      </c>
      <c r="H75" s="419" t="s">
        <v>4965</v>
      </c>
      <c r="I75" s="426"/>
      <c r="J75" s="421" t="s">
        <v>269</v>
      </c>
      <c r="K75" s="421" t="s">
        <v>5612</v>
      </c>
      <c r="L75" s="421" t="s">
        <v>5613</v>
      </c>
      <c r="M75" s="421" t="s">
        <v>5614</v>
      </c>
      <c r="N75" s="421" t="s">
        <v>5615</v>
      </c>
      <c r="O75" s="427" t="s">
        <v>5616</v>
      </c>
      <c r="P75" s="421" t="s">
        <v>5617</v>
      </c>
      <c r="Q75" s="421" t="s">
        <v>5618</v>
      </c>
      <c r="R75" s="421" t="s">
        <v>5619</v>
      </c>
      <c r="S75" s="421" t="s">
        <v>5620</v>
      </c>
      <c r="T75" s="427" t="s">
        <v>5621</v>
      </c>
      <c r="U75" s="70" t="s">
        <v>5622</v>
      </c>
      <c r="V75" s="89"/>
      <c r="W75" s="89"/>
      <c r="X75" s="89"/>
      <c r="Y75" s="89"/>
      <c r="Z75" s="89"/>
      <c r="AA75" s="89"/>
      <c r="AB75" s="89"/>
      <c r="AC75" s="89"/>
      <c r="AD75" s="89"/>
      <c r="AE75" s="89"/>
    </row>
    <row r="76">
      <c r="A76" s="422">
        <v>42653.0</v>
      </c>
      <c r="B76" s="419" t="s">
        <v>3076</v>
      </c>
      <c r="C76" s="419" t="s">
        <v>5623</v>
      </c>
      <c r="D76" s="422">
        <v>42328.0</v>
      </c>
      <c r="E76" s="419" t="s">
        <v>5624</v>
      </c>
      <c r="F76" s="420"/>
      <c r="G76" s="419" t="s">
        <v>5572</v>
      </c>
      <c r="H76" s="419" t="s">
        <v>5625</v>
      </c>
      <c r="I76" s="426"/>
      <c r="J76" s="421" t="s">
        <v>269</v>
      </c>
      <c r="K76" s="421" t="s">
        <v>5626</v>
      </c>
      <c r="L76" s="421" t="s">
        <v>5627</v>
      </c>
      <c r="M76" s="89"/>
      <c r="N76" s="89"/>
      <c r="O76" s="89"/>
      <c r="P76" s="89"/>
      <c r="Q76" s="89"/>
      <c r="R76" s="89"/>
      <c r="S76" s="89"/>
      <c r="T76" s="89"/>
      <c r="U76" s="89"/>
      <c r="V76" s="89"/>
      <c r="W76" s="89"/>
      <c r="X76" s="89"/>
      <c r="Y76" s="89"/>
      <c r="Z76" s="89"/>
      <c r="AA76" s="89"/>
      <c r="AB76" s="89"/>
      <c r="AC76" s="89"/>
      <c r="AD76" s="89"/>
      <c r="AE76" s="89"/>
    </row>
    <row r="77">
      <c r="A77" s="422">
        <v>42655.0</v>
      </c>
      <c r="B77" s="419" t="s">
        <v>551</v>
      </c>
      <c r="C77" s="419" t="s">
        <v>5628</v>
      </c>
      <c r="D77" s="422">
        <v>42629.0</v>
      </c>
      <c r="E77" s="419" t="s">
        <v>5629</v>
      </c>
      <c r="F77" s="419" t="s">
        <v>5630</v>
      </c>
      <c r="G77" s="419" t="s">
        <v>5631</v>
      </c>
      <c r="H77" s="420"/>
      <c r="I77" s="421" t="s">
        <v>5632</v>
      </c>
      <c r="J77" s="421" t="s">
        <v>269</v>
      </c>
      <c r="K77" s="435" t="s">
        <v>5633</v>
      </c>
      <c r="L77" s="421" t="s">
        <v>5634</v>
      </c>
      <c r="M77" s="427" t="s">
        <v>5636</v>
      </c>
      <c r="N77" s="421" t="s">
        <v>5637</v>
      </c>
      <c r="O77" s="421" t="s">
        <v>5638</v>
      </c>
      <c r="P77" s="89"/>
      <c r="Q77" s="89"/>
      <c r="R77" s="89"/>
      <c r="S77" s="89"/>
      <c r="T77" s="89"/>
      <c r="U77" s="89"/>
      <c r="V77" s="89"/>
      <c r="W77" s="89"/>
      <c r="X77" s="89"/>
      <c r="Y77" s="89"/>
      <c r="Z77" s="89"/>
      <c r="AA77" s="89"/>
      <c r="AB77" s="89"/>
      <c r="AC77" s="89"/>
      <c r="AD77" s="89"/>
      <c r="AE77" s="89"/>
    </row>
    <row r="78">
      <c r="A78" s="422">
        <v>42657.0</v>
      </c>
      <c r="B78" s="419" t="s">
        <v>3076</v>
      </c>
      <c r="C78" s="419" t="s">
        <v>5642</v>
      </c>
      <c r="D78" s="425">
        <v>42548.0</v>
      </c>
      <c r="E78" s="419" t="s">
        <v>5643</v>
      </c>
      <c r="F78" s="419" t="s">
        <v>5644</v>
      </c>
      <c r="G78" s="419" t="s">
        <v>5645</v>
      </c>
      <c r="H78" s="420"/>
      <c r="I78" s="426"/>
      <c r="J78" s="421" t="s">
        <v>269</v>
      </c>
      <c r="K78" s="421" t="s">
        <v>5646</v>
      </c>
      <c r="L78" s="421" t="s">
        <v>5648</v>
      </c>
      <c r="M78" s="421" t="s">
        <v>5649</v>
      </c>
      <c r="N78" s="421" t="s">
        <v>5650</v>
      </c>
      <c r="O78" s="421" t="s">
        <v>5651</v>
      </c>
      <c r="P78" s="89"/>
      <c r="Q78" s="89"/>
      <c r="R78" s="89"/>
      <c r="S78" s="89"/>
      <c r="T78" s="89"/>
      <c r="U78" s="89"/>
      <c r="V78" s="89"/>
      <c r="W78" s="89"/>
      <c r="X78" s="89"/>
      <c r="Y78" s="89"/>
      <c r="Z78" s="89"/>
      <c r="AA78" s="89"/>
      <c r="AB78" s="89"/>
      <c r="AC78" s="89"/>
      <c r="AD78" s="89"/>
      <c r="AE78" s="89"/>
    </row>
    <row r="79">
      <c r="A79" s="422">
        <v>42660.0</v>
      </c>
      <c r="B79" s="419" t="s">
        <v>551</v>
      </c>
      <c r="C79" s="419" t="s">
        <v>5652</v>
      </c>
      <c r="D79" s="422">
        <v>42653.0</v>
      </c>
      <c r="E79" s="419" t="s">
        <v>5653</v>
      </c>
      <c r="F79" s="419" t="s">
        <v>5654</v>
      </c>
      <c r="G79" s="419" t="s">
        <v>5655</v>
      </c>
      <c r="H79" s="419" t="s">
        <v>5656</v>
      </c>
      <c r="I79" s="426"/>
      <c r="J79" s="421" t="s">
        <v>269</v>
      </c>
      <c r="K79" s="421" t="s">
        <v>5657</v>
      </c>
      <c r="L79" s="421" t="s">
        <v>5658</v>
      </c>
      <c r="M79" s="89"/>
      <c r="N79" s="89"/>
      <c r="O79" s="89"/>
      <c r="P79" s="89"/>
      <c r="Q79" s="89"/>
      <c r="R79" s="89"/>
      <c r="S79" s="89"/>
      <c r="T79" s="89"/>
      <c r="U79" s="89"/>
      <c r="V79" s="89"/>
      <c r="W79" s="89"/>
      <c r="X79" s="89"/>
      <c r="Y79" s="89"/>
      <c r="Z79" s="89"/>
      <c r="AA79" s="89"/>
      <c r="AB79" s="89"/>
      <c r="AC79" s="89"/>
      <c r="AD79" s="89"/>
      <c r="AE79" s="89"/>
    </row>
    <row r="80">
      <c r="A80" s="422">
        <v>42660.0</v>
      </c>
      <c r="B80" s="419" t="s">
        <v>3076</v>
      </c>
      <c r="C80" s="419" t="s">
        <v>5659</v>
      </c>
      <c r="D80" s="422">
        <v>42653.0</v>
      </c>
      <c r="E80" s="419" t="s">
        <v>5660</v>
      </c>
      <c r="F80" s="419" t="s">
        <v>5661</v>
      </c>
      <c r="G80" s="419" t="s">
        <v>5662</v>
      </c>
      <c r="H80" s="420"/>
      <c r="I80" s="421" t="s">
        <v>5663</v>
      </c>
      <c r="J80" s="421" t="s">
        <v>269</v>
      </c>
      <c r="K80" s="89"/>
      <c r="L80" s="89"/>
      <c r="M80" s="89"/>
      <c r="N80" s="89"/>
      <c r="O80" s="89"/>
      <c r="P80" s="89"/>
      <c r="Q80" s="89"/>
      <c r="R80" s="89"/>
      <c r="S80" s="89"/>
      <c r="T80" s="89"/>
      <c r="U80" s="89"/>
      <c r="V80" s="89"/>
      <c r="W80" s="89"/>
      <c r="X80" s="89"/>
      <c r="Y80" s="89"/>
      <c r="Z80" s="89"/>
      <c r="AA80" s="89"/>
      <c r="AB80" s="89"/>
      <c r="AC80" s="89"/>
      <c r="AD80" s="89"/>
      <c r="AE80" s="89"/>
    </row>
    <row r="81">
      <c r="A81" s="422">
        <v>42661.0</v>
      </c>
      <c r="B81" s="419" t="s">
        <v>3076</v>
      </c>
      <c r="C81" s="419" t="s">
        <v>5666</v>
      </c>
      <c r="D81" s="422">
        <v>42621.0</v>
      </c>
      <c r="E81" s="419" t="s">
        <v>5667</v>
      </c>
      <c r="F81" s="419" t="s">
        <v>5668</v>
      </c>
      <c r="G81" s="419" t="s">
        <v>5669</v>
      </c>
      <c r="H81" s="419" t="s">
        <v>271</v>
      </c>
      <c r="I81" s="421" t="s">
        <v>5670</v>
      </c>
      <c r="J81" s="421" t="s">
        <v>269</v>
      </c>
      <c r="K81" s="89"/>
      <c r="L81" s="89"/>
      <c r="M81" s="89"/>
      <c r="N81" s="89"/>
      <c r="O81" s="89"/>
      <c r="P81" s="89"/>
      <c r="Q81" s="89"/>
      <c r="R81" s="89"/>
      <c r="S81" s="89"/>
      <c r="T81" s="89"/>
      <c r="U81" s="89"/>
      <c r="V81" s="89"/>
      <c r="W81" s="89"/>
      <c r="X81" s="89"/>
      <c r="Y81" s="89"/>
      <c r="Z81" s="89"/>
      <c r="AA81" s="89"/>
      <c r="AB81" s="89"/>
      <c r="AC81" s="89"/>
      <c r="AD81" s="89"/>
      <c r="AE81" s="89"/>
    </row>
    <row r="82">
      <c r="A82" s="422">
        <v>42663.0</v>
      </c>
      <c r="B82" s="419" t="s">
        <v>3076</v>
      </c>
      <c r="C82" s="419" t="s">
        <v>5673</v>
      </c>
      <c r="D82" s="425">
        <v>42534.0</v>
      </c>
      <c r="E82" s="419" t="s">
        <v>5674</v>
      </c>
      <c r="F82" s="419" t="s">
        <v>5675</v>
      </c>
      <c r="G82" s="419" t="s">
        <v>5676</v>
      </c>
      <c r="H82" s="420"/>
      <c r="I82" s="421" t="s">
        <v>5677</v>
      </c>
      <c r="J82" s="421" t="s">
        <v>269</v>
      </c>
      <c r="K82" s="421" t="s">
        <v>5678</v>
      </c>
      <c r="L82" s="421" t="s">
        <v>5679</v>
      </c>
      <c r="M82" s="421" t="s">
        <v>5680</v>
      </c>
      <c r="N82" s="421" t="s">
        <v>5681</v>
      </c>
      <c r="O82" s="421" t="s">
        <v>5682</v>
      </c>
      <c r="P82" s="421" t="s">
        <v>5683</v>
      </c>
      <c r="Q82" s="89"/>
      <c r="R82" s="89"/>
      <c r="S82" s="89"/>
      <c r="T82" s="89"/>
      <c r="U82" s="89"/>
      <c r="V82" s="89"/>
      <c r="W82" s="89"/>
      <c r="X82" s="89"/>
      <c r="Y82" s="89"/>
      <c r="Z82" s="89"/>
      <c r="AA82" s="89"/>
      <c r="AB82" s="89"/>
      <c r="AC82" s="89"/>
      <c r="AD82" s="89"/>
      <c r="AE82" s="89"/>
    </row>
    <row r="83">
      <c r="A83" s="422">
        <v>42663.0</v>
      </c>
      <c r="B83" s="419" t="s">
        <v>3076</v>
      </c>
      <c r="C83" s="419" t="s">
        <v>5685</v>
      </c>
      <c r="D83" s="425">
        <v>42657.0</v>
      </c>
      <c r="E83" s="419" t="s">
        <v>5686</v>
      </c>
      <c r="F83" s="419" t="s">
        <v>5687</v>
      </c>
      <c r="G83" s="419" t="s">
        <v>5688</v>
      </c>
      <c r="H83" s="420"/>
      <c r="I83" s="421" t="s">
        <v>5689</v>
      </c>
      <c r="J83" s="421" t="s">
        <v>269</v>
      </c>
      <c r="K83" s="421" t="s">
        <v>5690</v>
      </c>
      <c r="L83" s="89"/>
      <c r="M83" s="89"/>
      <c r="N83" s="89"/>
      <c r="O83" s="89"/>
      <c r="P83" s="89"/>
      <c r="Q83" s="89"/>
      <c r="R83" s="89"/>
      <c r="S83" s="89"/>
      <c r="T83" s="89"/>
      <c r="U83" s="89"/>
      <c r="V83" s="89"/>
      <c r="W83" s="89"/>
      <c r="X83" s="89"/>
      <c r="Y83" s="89"/>
      <c r="Z83" s="89"/>
      <c r="AA83" s="89"/>
      <c r="AB83" s="89"/>
      <c r="AC83" s="89"/>
      <c r="AD83" s="89"/>
      <c r="AE83" s="89"/>
    </row>
    <row r="84">
      <c r="A84" s="422">
        <v>42667.0</v>
      </c>
      <c r="B84" s="419" t="s">
        <v>3076</v>
      </c>
      <c r="C84" s="419" t="s">
        <v>5692</v>
      </c>
      <c r="D84" s="425">
        <v>42647.0</v>
      </c>
      <c r="E84" s="419" t="s">
        <v>5693</v>
      </c>
      <c r="F84" s="419" t="s">
        <v>5694</v>
      </c>
      <c r="G84" s="419" t="s">
        <v>5696</v>
      </c>
      <c r="H84" s="420"/>
      <c r="I84" s="421" t="s">
        <v>5697</v>
      </c>
      <c r="J84" s="421" t="s">
        <v>269</v>
      </c>
      <c r="K84" s="421" t="s">
        <v>5698</v>
      </c>
      <c r="L84" s="89"/>
      <c r="M84" s="89"/>
      <c r="N84" s="89"/>
      <c r="O84" s="89"/>
      <c r="P84" s="89"/>
      <c r="Q84" s="89"/>
      <c r="R84" s="89"/>
      <c r="S84" s="89"/>
      <c r="T84" s="89"/>
      <c r="U84" s="89"/>
      <c r="V84" s="89"/>
      <c r="W84" s="89"/>
      <c r="X84" s="89"/>
      <c r="Y84" s="89"/>
      <c r="Z84" s="89"/>
      <c r="AA84" s="89"/>
      <c r="AB84" s="89"/>
      <c r="AC84" s="89"/>
      <c r="AD84" s="89"/>
      <c r="AE84" s="89"/>
    </row>
    <row r="85">
      <c r="A85" s="422">
        <v>42667.0</v>
      </c>
      <c r="B85" s="419" t="s">
        <v>551</v>
      </c>
      <c r="C85" s="419" t="s">
        <v>5700</v>
      </c>
      <c r="D85" s="422">
        <v>42667.0</v>
      </c>
      <c r="E85" s="420"/>
      <c r="F85" s="419" t="s">
        <v>5701</v>
      </c>
      <c r="G85" s="419" t="s">
        <v>5702</v>
      </c>
      <c r="H85" s="420"/>
      <c r="I85" s="426"/>
      <c r="J85" s="421" t="s">
        <v>269</v>
      </c>
      <c r="K85" s="421" t="s">
        <v>5704</v>
      </c>
      <c r="L85" s="421" t="s">
        <v>5705</v>
      </c>
      <c r="M85" s="89"/>
      <c r="N85" s="89"/>
      <c r="O85" s="89"/>
      <c r="P85" s="89"/>
      <c r="Q85" s="89"/>
      <c r="R85" s="89"/>
      <c r="S85" s="89"/>
      <c r="T85" s="89"/>
      <c r="U85" s="89"/>
      <c r="V85" s="89"/>
      <c r="W85" s="89"/>
      <c r="X85" s="89"/>
      <c r="Y85" s="89"/>
      <c r="Z85" s="89"/>
      <c r="AA85" s="89"/>
      <c r="AB85" s="89"/>
      <c r="AC85" s="89"/>
      <c r="AD85" s="89"/>
      <c r="AE85" s="89"/>
    </row>
    <row r="86">
      <c r="A86" s="422">
        <v>42669.0</v>
      </c>
      <c r="B86" s="419" t="s">
        <v>3076</v>
      </c>
      <c r="C86" s="419" t="s">
        <v>5706</v>
      </c>
      <c r="D86" s="425">
        <v>42621.0</v>
      </c>
      <c r="E86" s="419" t="s">
        <v>5707</v>
      </c>
      <c r="F86" s="419" t="s">
        <v>5708</v>
      </c>
      <c r="G86" s="419" t="s">
        <v>5709</v>
      </c>
      <c r="H86" s="419" t="s">
        <v>5710</v>
      </c>
      <c r="I86" s="421" t="s">
        <v>5711</v>
      </c>
      <c r="J86" s="421" t="s">
        <v>269</v>
      </c>
      <c r="K86" s="421" t="s">
        <v>5713</v>
      </c>
      <c r="L86" s="421" t="s">
        <v>5714</v>
      </c>
      <c r="M86" s="421" t="s">
        <v>5715</v>
      </c>
      <c r="N86" s="421" t="s">
        <v>5716</v>
      </c>
      <c r="O86" s="421" t="s">
        <v>5717</v>
      </c>
      <c r="P86" s="421" t="s">
        <v>5718</v>
      </c>
      <c r="Q86" s="421" t="s">
        <v>5719</v>
      </c>
      <c r="R86" s="421" t="s">
        <v>5720</v>
      </c>
      <c r="S86" s="421" t="s">
        <v>5721</v>
      </c>
      <c r="T86" s="421" t="s">
        <v>5722</v>
      </c>
      <c r="U86" s="421" t="s">
        <v>5723</v>
      </c>
      <c r="V86" s="421" t="s">
        <v>5724</v>
      </c>
      <c r="W86" s="371" t="s">
        <v>5725</v>
      </c>
      <c r="X86" s="89"/>
      <c r="Y86" s="89"/>
      <c r="Z86" s="89"/>
      <c r="AA86" s="89"/>
      <c r="AB86" s="89"/>
      <c r="AC86" s="89"/>
      <c r="AD86" s="89"/>
      <c r="AE86" s="89"/>
    </row>
    <row r="87">
      <c r="A87" s="422">
        <v>42671.0</v>
      </c>
      <c r="B87" s="419" t="s">
        <v>3076</v>
      </c>
      <c r="C87" s="419" t="s">
        <v>5726</v>
      </c>
      <c r="D87" s="425">
        <v>42502.0</v>
      </c>
      <c r="E87" s="419" t="s">
        <v>5727</v>
      </c>
      <c r="F87" s="419" t="s">
        <v>5728</v>
      </c>
      <c r="G87" s="419" t="s">
        <v>5729</v>
      </c>
      <c r="H87" s="419" t="s">
        <v>5730</v>
      </c>
      <c r="I87" s="421" t="s">
        <v>5731</v>
      </c>
      <c r="J87" s="421" t="s">
        <v>269</v>
      </c>
      <c r="K87" s="421" t="s">
        <v>5732</v>
      </c>
      <c r="L87" s="89"/>
      <c r="M87" s="89"/>
      <c r="N87" s="89"/>
      <c r="O87" s="89"/>
      <c r="P87" s="89"/>
      <c r="Q87" s="89"/>
      <c r="R87" s="89"/>
      <c r="S87" s="89"/>
      <c r="T87" s="89"/>
      <c r="U87" s="89"/>
      <c r="V87" s="89"/>
      <c r="W87" s="89"/>
      <c r="X87" s="89"/>
      <c r="Y87" s="89"/>
      <c r="Z87" s="89"/>
      <c r="AA87" s="89"/>
      <c r="AB87" s="89"/>
      <c r="AC87" s="89"/>
      <c r="AD87" s="89"/>
      <c r="AE87" s="89"/>
    </row>
    <row r="88">
      <c r="A88" s="422">
        <v>42674.0</v>
      </c>
      <c r="B88" s="419" t="s">
        <v>3076</v>
      </c>
      <c r="C88" s="419" t="s">
        <v>5736</v>
      </c>
      <c r="D88" s="425">
        <v>42668.0</v>
      </c>
      <c r="E88" s="419" t="s">
        <v>5737</v>
      </c>
      <c r="F88" s="419" t="s">
        <v>5738</v>
      </c>
      <c r="G88" s="419" t="s">
        <v>5739</v>
      </c>
      <c r="H88" s="420"/>
      <c r="I88" s="426"/>
      <c r="J88" s="421" t="s">
        <v>269</v>
      </c>
      <c r="K88" s="421" t="s">
        <v>5740</v>
      </c>
      <c r="L88" s="89"/>
      <c r="M88" s="89"/>
      <c r="N88" s="89"/>
      <c r="O88" s="89"/>
      <c r="P88" s="89"/>
      <c r="Q88" s="89"/>
      <c r="R88" s="89"/>
      <c r="S88" s="89"/>
      <c r="T88" s="89"/>
      <c r="U88" s="89"/>
      <c r="V88" s="89"/>
      <c r="W88" s="89"/>
      <c r="X88" s="89"/>
      <c r="Y88" s="89"/>
      <c r="Z88" s="89"/>
      <c r="AA88" s="89"/>
      <c r="AB88" s="89"/>
      <c r="AC88" s="89"/>
      <c r="AD88" s="89"/>
      <c r="AE88" s="89"/>
    </row>
    <row r="89">
      <c r="A89" s="422">
        <v>42675.0</v>
      </c>
      <c r="B89" s="419" t="s">
        <v>3076</v>
      </c>
      <c r="C89" s="419" t="s">
        <v>5742</v>
      </c>
      <c r="D89" s="419" t="s">
        <v>5743</v>
      </c>
      <c r="E89" s="419" t="s">
        <v>5744</v>
      </c>
      <c r="F89" s="419" t="s">
        <v>5745</v>
      </c>
      <c r="G89" s="419" t="s">
        <v>5746</v>
      </c>
      <c r="H89" s="419" t="s">
        <v>255</v>
      </c>
      <c r="I89" s="371" t="s">
        <v>5747</v>
      </c>
      <c r="J89" s="421" t="s">
        <v>269</v>
      </c>
      <c r="K89" s="421" t="s">
        <v>5748</v>
      </c>
      <c r="L89" s="421" t="s">
        <v>5749</v>
      </c>
      <c r="M89" s="89"/>
      <c r="N89" s="89"/>
      <c r="O89" s="89"/>
      <c r="P89" s="89"/>
      <c r="Q89" s="89"/>
      <c r="R89" s="89"/>
      <c r="S89" s="89"/>
      <c r="T89" s="89"/>
      <c r="U89" s="89"/>
      <c r="V89" s="89"/>
      <c r="W89" s="89"/>
      <c r="X89" s="89"/>
      <c r="Y89" s="89"/>
      <c r="Z89" s="89"/>
      <c r="AA89" s="89"/>
      <c r="AB89" s="89"/>
      <c r="AC89" s="89"/>
      <c r="AD89" s="89"/>
      <c r="AE89" s="89"/>
    </row>
    <row r="90">
      <c r="A90" s="422">
        <v>42678.0</v>
      </c>
      <c r="B90" s="419" t="s">
        <v>551</v>
      </c>
      <c r="C90" s="419" t="s">
        <v>5750</v>
      </c>
      <c r="D90" s="422">
        <v>42677.0</v>
      </c>
      <c r="E90" s="419" t="s">
        <v>5751</v>
      </c>
      <c r="F90" s="419" t="s">
        <v>5752</v>
      </c>
      <c r="G90" s="419" t="s">
        <v>5753</v>
      </c>
      <c r="H90" s="419" t="s">
        <v>5754</v>
      </c>
      <c r="I90" s="426"/>
      <c r="J90" s="421" t="s">
        <v>269</v>
      </c>
      <c r="K90" s="421" t="s">
        <v>5755</v>
      </c>
      <c r="L90" s="421" t="s">
        <v>5756</v>
      </c>
      <c r="M90" s="421" t="s">
        <v>5757</v>
      </c>
      <c r="N90" s="421" t="s">
        <v>5758</v>
      </c>
      <c r="O90" s="89"/>
      <c r="P90" s="89"/>
      <c r="Q90" s="89"/>
      <c r="R90" s="89"/>
      <c r="S90" s="89"/>
      <c r="T90" s="89"/>
      <c r="U90" s="89"/>
      <c r="V90" s="89"/>
      <c r="W90" s="89"/>
      <c r="X90" s="89"/>
      <c r="Y90" s="89"/>
      <c r="Z90" s="89"/>
      <c r="AA90" s="89"/>
      <c r="AB90" s="89"/>
      <c r="AC90" s="89"/>
      <c r="AD90" s="89"/>
      <c r="AE90" s="89"/>
    </row>
    <row r="91">
      <c r="A91" s="422">
        <v>42678.0</v>
      </c>
      <c r="B91" s="419" t="s">
        <v>3076</v>
      </c>
      <c r="C91" s="419" t="s">
        <v>5760</v>
      </c>
      <c r="D91" s="425">
        <v>42520.0</v>
      </c>
      <c r="E91" s="419" t="s">
        <v>5761</v>
      </c>
      <c r="F91" s="419" t="s">
        <v>5762</v>
      </c>
      <c r="G91" s="419" t="s">
        <v>5763</v>
      </c>
      <c r="H91" s="419" t="s">
        <v>4978</v>
      </c>
      <c r="I91" s="421" t="s">
        <v>5764</v>
      </c>
      <c r="J91" s="421" t="s">
        <v>269</v>
      </c>
      <c r="K91" s="421" t="s">
        <v>5765</v>
      </c>
      <c r="L91" s="421" t="s">
        <v>5766</v>
      </c>
      <c r="M91" s="89"/>
      <c r="N91" s="89"/>
      <c r="O91" s="89"/>
      <c r="P91" s="89"/>
      <c r="Q91" s="89"/>
      <c r="R91" s="89"/>
      <c r="S91" s="89"/>
      <c r="T91" s="89"/>
      <c r="U91" s="89"/>
      <c r="V91" s="89"/>
      <c r="W91" s="89"/>
      <c r="X91" s="89"/>
      <c r="Y91" s="89"/>
      <c r="Z91" s="89"/>
      <c r="AA91" s="89"/>
      <c r="AB91" s="89"/>
      <c r="AC91" s="89"/>
      <c r="AD91" s="89"/>
      <c r="AE91" s="89"/>
    </row>
    <row r="92">
      <c r="A92" s="422">
        <v>42688.0</v>
      </c>
      <c r="B92" s="419" t="s">
        <v>551</v>
      </c>
      <c r="C92" s="419" t="s">
        <v>5768</v>
      </c>
      <c r="D92" s="425">
        <v>42682.0</v>
      </c>
      <c r="E92" s="420"/>
      <c r="F92" s="419" t="s">
        <v>5769</v>
      </c>
      <c r="G92" s="419" t="s">
        <v>5770</v>
      </c>
      <c r="H92" s="420"/>
      <c r="I92" s="426"/>
      <c r="J92" s="421" t="s">
        <v>269</v>
      </c>
      <c r="K92" s="421" t="s">
        <v>5773</v>
      </c>
      <c r="L92" s="421" t="s">
        <v>5774</v>
      </c>
      <c r="M92" s="89"/>
      <c r="N92" s="89"/>
      <c r="O92" s="89"/>
      <c r="P92" s="89"/>
      <c r="Q92" s="89"/>
      <c r="R92" s="89"/>
      <c r="S92" s="89"/>
      <c r="T92" s="89"/>
      <c r="U92" s="89"/>
      <c r="V92" s="89"/>
      <c r="W92" s="89"/>
      <c r="X92" s="89"/>
      <c r="Y92" s="89"/>
      <c r="Z92" s="89"/>
      <c r="AA92" s="89"/>
      <c r="AB92" s="89"/>
      <c r="AC92" s="89"/>
      <c r="AD92" s="89"/>
      <c r="AE92" s="89"/>
    </row>
    <row r="93">
      <c r="A93" s="422">
        <v>42704.0</v>
      </c>
      <c r="B93" s="419" t="s">
        <v>551</v>
      </c>
      <c r="C93" s="419" t="s">
        <v>5775</v>
      </c>
      <c r="D93" s="422">
        <v>42697.0</v>
      </c>
      <c r="E93" s="419" t="s">
        <v>5776</v>
      </c>
      <c r="F93" s="419" t="s">
        <v>5777</v>
      </c>
      <c r="G93" s="419" t="s">
        <v>5778</v>
      </c>
      <c r="H93" s="419" t="s">
        <v>64</v>
      </c>
      <c r="I93" s="421" t="s">
        <v>5413</v>
      </c>
      <c r="J93" s="421" t="s">
        <v>269</v>
      </c>
      <c r="K93" s="421" t="s">
        <v>5780</v>
      </c>
      <c r="L93" s="421" t="s">
        <v>5781</v>
      </c>
      <c r="M93" s="427" t="s">
        <v>5782</v>
      </c>
      <c r="N93" s="427" t="s">
        <v>5783</v>
      </c>
      <c r="O93" s="421" t="s">
        <v>5784</v>
      </c>
      <c r="P93" s="421" t="s">
        <v>5786</v>
      </c>
      <c r="Q93" s="89"/>
      <c r="R93" s="89"/>
      <c r="S93" s="89"/>
      <c r="T93" s="89"/>
      <c r="U93" s="89"/>
      <c r="V93" s="89"/>
      <c r="W93" s="89"/>
      <c r="X93" s="89"/>
      <c r="Y93" s="89"/>
      <c r="Z93" s="89"/>
      <c r="AA93" s="89"/>
      <c r="AB93" s="89"/>
      <c r="AC93" s="89"/>
      <c r="AD93" s="89"/>
      <c r="AE93" s="89"/>
    </row>
    <row r="94">
      <c r="A94" s="422">
        <v>42704.0</v>
      </c>
      <c r="B94" s="419" t="s">
        <v>551</v>
      </c>
      <c r="C94" s="419" t="s">
        <v>5787</v>
      </c>
      <c r="D94" s="425">
        <v>42487.0</v>
      </c>
      <c r="E94" s="419" t="s">
        <v>5788</v>
      </c>
      <c r="F94" s="419" t="s">
        <v>5789</v>
      </c>
      <c r="G94" s="419" t="s">
        <v>5790</v>
      </c>
      <c r="H94" s="420"/>
      <c r="I94" s="421" t="s">
        <v>5277</v>
      </c>
      <c r="J94" s="421" t="s">
        <v>269</v>
      </c>
      <c r="K94" s="421" t="s">
        <v>5791</v>
      </c>
      <c r="L94" s="89"/>
      <c r="M94" s="89"/>
      <c r="N94" s="89"/>
      <c r="O94" s="89"/>
      <c r="P94" s="89"/>
      <c r="Q94" s="89"/>
      <c r="R94" s="89"/>
      <c r="S94" s="89"/>
      <c r="T94" s="89"/>
      <c r="U94" s="89"/>
      <c r="V94" s="89"/>
      <c r="W94" s="89"/>
      <c r="X94" s="89"/>
      <c r="Y94" s="89"/>
      <c r="Z94" s="89"/>
      <c r="AA94" s="89"/>
      <c r="AB94" s="89"/>
      <c r="AC94" s="89"/>
      <c r="AD94" s="89"/>
      <c r="AE94" s="89"/>
    </row>
    <row r="95">
      <c r="A95" s="422">
        <v>42709.0</v>
      </c>
      <c r="B95" s="419" t="s">
        <v>551</v>
      </c>
      <c r="C95" s="419" t="s">
        <v>5793</v>
      </c>
      <c r="D95" s="425">
        <v>42607.0</v>
      </c>
      <c r="E95" s="419" t="s">
        <v>5794</v>
      </c>
      <c r="F95" s="419" t="s">
        <v>5795</v>
      </c>
      <c r="G95" s="419" t="s">
        <v>5796</v>
      </c>
      <c r="H95" s="419" t="s">
        <v>4965</v>
      </c>
      <c r="I95" s="426"/>
      <c r="J95" s="421" t="s">
        <v>269</v>
      </c>
      <c r="K95" s="421" t="s">
        <v>5797</v>
      </c>
      <c r="L95" s="421" t="s">
        <v>5798</v>
      </c>
      <c r="M95" s="421" t="s">
        <v>5800</v>
      </c>
      <c r="N95" s="89"/>
      <c r="O95" s="89"/>
      <c r="P95" s="89"/>
      <c r="Q95" s="89"/>
      <c r="R95" s="89"/>
      <c r="S95" s="89"/>
      <c r="T95" s="89"/>
      <c r="U95" s="89"/>
      <c r="V95" s="89"/>
      <c r="W95" s="89"/>
      <c r="X95" s="89"/>
      <c r="Y95" s="89"/>
      <c r="Z95" s="89"/>
      <c r="AA95" s="89"/>
      <c r="AB95" s="89"/>
      <c r="AC95" s="89"/>
      <c r="AD95" s="89"/>
      <c r="AE95" s="89"/>
    </row>
    <row r="96">
      <c r="A96" s="422">
        <v>42716.0</v>
      </c>
      <c r="B96" s="419" t="s">
        <v>551</v>
      </c>
      <c r="C96" s="419" t="s">
        <v>5802</v>
      </c>
      <c r="D96" s="422">
        <v>42706.0</v>
      </c>
      <c r="E96" s="419" t="s">
        <v>5803</v>
      </c>
      <c r="F96" s="419" t="s">
        <v>5804</v>
      </c>
      <c r="G96" s="419" t="s">
        <v>5805</v>
      </c>
      <c r="H96" s="419" t="s">
        <v>5154</v>
      </c>
      <c r="I96" s="421" t="s">
        <v>5413</v>
      </c>
      <c r="J96" s="421" t="s">
        <v>269</v>
      </c>
      <c r="K96" s="421" t="s">
        <v>5806</v>
      </c>
      <c r="L96" s="421" t="s">
        <v>5807</v>
      </c>
      <c r="M96" s="421" t="s">
        <v>5808</v>
      </c>
      <c r="N96" s="421" t="s">
        <v>5810</v>
      </c>
      <c r="O96" s="421" t="s">
        <v>5811</v>
      </c>
      <c r="P96" s="421" t="s">
        <v>5812</v>
      </c>
      <c r="Q96" s="421" t="s">
        <v>5813</v>
      </c>
      <c r="R96" s="89"/>
      <c r="S96" s="89"/>
      <c r="T96" s="89"/>
      <c r="U96" s="89"/>
      <c r="V96" s="89"/>
      <c r="W96" s="89"/>
      <c r="X96" s="89"/>
      <c r="Y96" s="89"/>
      <c r="Z96" s="89"/>
      <c r="AA96" s="89"/>
      <c r="AB96" s="89"/>
      <c r="AC96" s="89"/>
      <c r="AD96" s="89"/>
      <c r="AE96" s="89"/>
    </row>
    <row r="97">
      <c r="A97" s="422">
        <v>42732.0</v>
      </c>
      <c r="B97" s="419" t="s">
        <v>551</v>
      </c>
      <c r="C97" s="419" t="s">
        <v>5814</v>
      </c>
      <c r="D97" s="425">
        <v>42720.0</v>
      </c>
      <c r="E97" s="419" t="s">
        <v>5815</v>
      </c>
      <c r="F97" s="419" t="s">
        <v>5816</v>
      </c>
      <c r="G97" s="419" t="s">
        <v>5817</v>
      </c>
      <c r="H97" s="420"/>
      <c r="I97" s="421" t="s">
        <v>5818</v>
      </c>
      <c r="J97" s="421" t="s">
        <v>269</v>
      </c>
      <c r="K97" s="421" t="s">
        <v>5819</v>
      </c>
      <c r="L97" s="421" t="s">
        <v>5820</v>
      </c>
      <c r="M97" s="89"/>
      <c r="N97" s="89"/>
      <c r="O97" s="89"/>
      <c r="P97" s="89"/>
      <c r="Q97" s="89"/>
      <c r="R97" s="89"/>
      <c r="S97" s="89"/>
      <c r="T97" s="89"/>
      <c r="U97" s="89"/>
      <c r="V97" s="89"/>
      <c r="W97" s="89"/>
      <c r="X97" s="89"/>
      <c r="Y97" s="89"/>
      <c r="Z97" s="89"/>
      <c r="AA97" s="89"/>
      <c r="AB97" s="89"/>
      <c r="AC97" s="89"/>
      <c r="AD97" s="89"/>
      <c r="AE97" s="89"/>
    </row>
    <row r="98">
      <c r="A98" s="422">
        <v>42765.0</v>
      </c>
      <c r="B98" s="419" t="s">
        <v>551</v>
      </c>
      <c r="C98" s="419" t="s">
        <v>5823</v>
      </c>
      <c r="D98" s="422">
        <v>42762.0</v>
      </c>
      <c r="E98" s="419" t="s">
        <v>5824</v>
      </c>
      <c r="F98" s="419" t="s">
        <v>5789</v>
      </c>
      <c r="G98" s="419" t="s">
        <v>5825</v>
      </c>
      <c r="H98" s="419" t="s">
        <v>421</v>
      </c>
      <c r="I98" s="426"/>
      <c r="J98" s="421" t="s">
        <v>269</v>
      </c>
      <c r="K98" s="421" t="s">
        <v>5826</v>
      </c>
      <c r="L98" s="427" t="s">
        <v>5827</v>
      </c>
      <c r="M98" s="421" t="s">
        <v>5828</v>
      </c>
      <c r="N98" s="421" t="s">
        <v>5829</v>
      </c>
      <c r="O98" s="89"/>
      <c r="P98" s="89"/>
      <c r="Q98" s="89"/>
      <c r="R98" s="89"/>
      <c r="S98" s="89"/>
      <c r="T98" s="89"/>
      <c r="U98" s="89"/>
      <c r="V98" s="89"/>
      <c r="W98" s="89"/>
      <c r="X98" s="89"/>
      <c r="Y98" s="89"/>
      <c r="Z98" s="89"/>
      <c r="AA98" s="89"/>
      <c r="AB98" s="89"/>
      <c r="AC98" s="89"/>
      <c r="AD98" s="89"/>
      <c r="AE98" s="89"/>
    </row>
    <row r="99">
      <c r="A99" s="422">
        <v>42766.0</v>
      </c>
      <c r="B99" s="419" t="s">
        <v>551</v>
      </c>
      <c r="C99" s="419" t="s">
        <v>5831</v>
      </c>
      <c r="D99" s="425">
        <v>42725.0</v>
      </c>
      <c r="E99" s="419" t="s">
        <v>5832</v>
      </c>
      <c r="F99" s="419" t="s">
        <v>5833</v>
      </c>
      <c r="G99" s="419" t="s">
        <v>5834</v>
      </c>
      <c r="H99" s="419" t="s">
        <v>5154</v>
      </c>
      <c r="I99" s="426"/>
      <c r="J99" s="421" t="s">
        <v>269</v>
      </c>
      <c r="K99" s="421" t="s">
        <v>5835</v>
      </c>
      <c r="L99" s="427" t="s">
        <v>5836</v>
      </c>
      <c r="M99" s="421" t="s">
        <v>5837</v>
      </c>
      <c r="N99" s="89"/>
      <c r="O99" s="89"/>
      <c r="P99" s="89"/>
      <c r="Q99" s="89"/>
      <c r="R99" s="89"/>
      <c r="S99" s="89"/>
      <c r="T99" s="89"/>
      <c r="U99" s="89"/>
      <c r="V99" s="89"/>
      <c r="W99" s="89"/>
      <c r="X99" s="89"/>
      <c r="Y99" s="89"/>
      <c r="Z99" s="89"/>
      <c r="AA99" s="89"/>
      <c r="AB99" s="89"/>
      <c r="AC99" s="89"/>
      <c r="AD99" s="89"/>
      <c r="AE99" s="89"/>
    </row>
    <row r="100">
      <c r="A100" s="422">
        <v>42775.0</v>
      </c>
      <c r="B100" s="419" t="s">
        <v>551</v>
      </c>
      <c r="C100" s="419" t="s">
        <v>5839</v>
      </c>
      <c r="D100" s="425">
        <v>42761.0</v>
      </c>
      <c r="E100" s="419" t="s">
        <v>5840</v>
      </c>
      <c r="F100" s="419" t="s">
        <v>5841</v>
      </c>
      <c r="G100" s="419" t="s">
        <v>5842</v>
      </c>
      <c r="H100" s="420"/>
      <c r="I100" s="89"/>
      <c r="J100" s="70" t="s">
        <v>269</v>
      </c>
      <c r="K100" s="70" t="s">
        <v>5843</v>
      </c>
      <c r="L100" s="70" t="s">
        <v>5844</v>
      </c>
      <c r="M100" s="70" t="s">
        <v>5845</v>
      </c>
      <c r="N100" s="70" t="s">
        <v>5846</v>
      </c>
      <c r="O100" s="432" t="s">
        <v>5847</v>
      </c>
      <c r="P100" s="89"/>
      <c r="Q100" s="89"/>
      <c r="R100" s="89"/>
      <c r="S100" s="89"/>
      <c r="T100" s="89"/>
      <c r="U100" s="89"/>
      <c r="V100" s="89"/>
      <c r="W100" s="89"/>
      <c r="X100" s="89"/>
      <c r="Y100" s="89"/>
      <c r="Z100" s="89"/>
      <c r="AA100" s="89"/>
      <c r="AB100" s="89"/>
      <c r="AC100" s="89"/>
      <c r="AD100" s="89"/>
      <c r="AE100" s="89"/>
    </row>
    <row r="101">
      <c r="A101" s="422">
        <v>42779.0</v>
      </c>
      <c r="B101" s="419" t="s">
        <v>551</v>
      </c>
      <c r="C101" s="419" t="s">
        <v>5849</v>
      </c>
      <c r="D101" s="425">
        <v>42762.0</v>
      </c>
      <c r="E101" s="419" t="s">
        <v>5850</v>
      </c>
      <c r="F101" s="420"/>
      <c r="G101" s="419" t="s">
        <v>5851</v>
      </c>
      <c r="H101" s="420"/>
      <c r="I101" s="421" t="s">
        <v>5852</v>
      </c>
      <c r="J101" s="421" t="s">
        <v>269</v>
      </c>
      <c r="K101" s="427" t="s">
        <v>5853</v>
      </c>
      <c r="L101" s="427" t="s">
        <v>5854</v>
      </c>
      <c r="M101" s="432" t="s">
        <v>5855</v>
      </c>
      <c r="N101" s="89"/>
      <c r="O101" s="89"/>
      <c r="P101" s="89"/>
      <c r="Q101" s="89"/>
      <c r="R101" s="89"/>
      <c r="S101" s="89"/>
      <c r="T101" s="89"/>
      <c r="U101" s="89"/>
      <c r="V101" s="89"/>
      <c r="W101" s="89"/>
      <c r="X101" s="89"/>
      <c r="Y101" s="89"/>
      <c r="Z101" s="89"/>
      <c r="AA101" s="89"/>
      <c r="AB101" s="89"/>
      <c r="AC101" s="89"/>
      <c r="AD101" s="89"/>
      <c r="AE101" s="89"/>
    </row>
    <row r="102">
      <c r="A102" s="422">
        <v>42780.0</v>
      </c>
      <c r="B102" s="419" t="s">
        <v>2569</v>
      </c>
      <c r="C102" s="419" t="s">
        <v>5857</v>
      </c>
      <c r="D102" s="422">
        <v>42774.0</v>
      </c>
      <c r="E102" s="419" t="s">
        <v>5858</v>
      </c>
      <c r="F102" s="419" t="s">
        <v>5859</v>
      </c>
      <c r="G102" s="419" t="s">
        <v>5860</v>
      </c>
      <c r="H102" s="420"/>
      <c r="I102" s="426"/>
      <c r="J102" s="421" t="s">
        <v>269</v>
      </c>
      <c r="K102" s="421" t="s">
        <v>5861</v>
      </c>
      <c r="L102" s="427" t="s">
        <v>5862</v>
      </c>
      <c r="M102" s="421" t="s">
        <v>5863</v>
      </c>
      <c r="N102" s="421" t="s">
        <v>5864</v>
      </c>
      <c r="O102" s="421" t="s">
        <v>5865</v>
      </c>
      <c r="P102" s="89"/>
      <c r="Q102" s="89"/>
      <c r="R102" s="89"/>
      <c r="S102" s="89"/>
      <c r="T102" s="89"/>
      <c r="U102" s="89"/>
      <c r="V102" s="89"/>
      <c r="W102" s="89"/>
      <c r="X102" s="89"/>
      <c r="Y102" s="89"/>
      <c r="Z102" s="89"/>
      <c r="AA102" s="89"/>
      <c r="AB102" s="89"/>
      <c r="AC102" s="89"/>
      <c r="AD102" s="89"/>
      <c r="AE102" s="89"/>
    </row>
    <row r="103">
      <c r="A103" s="422">
        <v>42782.0</v>
      </c>
      <c r="B103" s="419" t="s">
        <v>3076</v>
      </c>
      <c r="C103" s="419" t="s">
        <v>5867</v>
      </c>
      <c r="D103" s="425">
        <v>42773.0</v>
      </c>
      <c r="E103" s="419" t="s">
        <v>5868</v>
      </c>
      <c r="F103" s="419" t="s">
        <v>5869</v>
      </c>
      <c r="G103" s="419" t="s">
        <v>5870</v>
      </c>
      <c r="H103" s="420"/>
      <c r="I103" s="421" t="s">
        <v>5871</v>
      </c>
      <c r="J103" s="421" t="s">
        <v>269</v>
      </c>
      <c r="K103" s="421" t="s">
        <v>5872</v>
      </c>
      <c r="L103" s="89"/>
      <c r="M103" s="89"/>
      <c r="N103" s="89"/>
      <c r="O103" s="89"/>
      <c r="P103" s="89"/>
      <c r="Q103" s="89"/>
      <c r="R103" s="89"/>
      <c r="S103" s="89"/>
      <c r="T103" s="89"/>
      <c r="U103" s="89"/>
      <c r="V103" s="89"/>
      <c r="W103" s="89"/>
      <c r="X103" s="89"/>
      <c r="Y103" s="89"/>
      <c r="Z103" s="89"/>
      <c r="AA103" s="89"/>
      <c r="AB103" s="89"/>
      <c r="AC103" s="89"/>
      <c r="AD103" s="89"/>
      <c r="AE103" s="89"/>
    </row>
    <row r="104">
      <c r="A104" s="422">
        <v>42783.0</v>
      </c>
      <c r="B104" s="419" t="s">
        <v>551</v>
      </c>
      <c r="C104" s="419" t="s">
        <v>5873</v>
      </c>
      <c r="D104" s="425">
        <v>42725.0</v>
      </c>
      <c r="E104" s="419" t="s">
        <v>5874</v>
      </c>
      <c r="F104" s="419" t="s">
        <v>5875</v>
      </c>
      <c r="G104" s="419" t="s">
        <v>5876</v>
      </c>
      <c r="H104" s="420"/>
      <c r="I104" s="426"/>
      <c r="J104" s="421" t="s">
        <v>269</v>
      </c>
      <c r="K104" s="427" t="s">
        <v>5877</v>
      </c>
      <c r="L104" s="421" t="s">
        <v>5878</v>
      </c>
      <c r="M104" s="421" t="s">
        <v>5879</v>
      </c>
      <c r="N104" s="421" t="s">
        <v>5880</v>
      </c>
      <c r="O104" s="421" t="s">
        <v>5881</v>
      </c>
      <c r="P104" s="421" t="s">
        <v>5882</v>
      </c>
      <c r="Q104" s="89"/>
      <c r="R104" s="89"/>
      <c r="S104" s="89"/>
      <c r="T104" s="89"/>
      <c r="U104" s="89"/>
      <c r="V104" s="89"/>
      <c r="W104" s="89"/>
      <c r="X104" s="89"/>
      <c r="Y104" s="89"/>
      <c r="Z104" s="89"/>
      <c r="AA104" s="89"/>
      <c r="AB104" s="89"/>
      <c r="AC104" s="89"/>
      <c r="AD104" s="89"/>
      <c r="AE104" s="89"/>
    </row>
    <row r="105">
      <c r="A105" s="422">
        <v>42796.0</v>
      </c>
      <c r="B105" s="419" t="s">
        <v>3076</v>
      </c>
      <c r="C105" s="419" t="s">
        <v>5883</v>
      </c>
      <c r="D105" s="425">
        <v>42661.0</v>
      </c>
      <c r="E105" s="419" t="s">
        <v>5884</v>
      </c>
      <c r="F105" s="419" t="s">
        <v>5885</v>
      </c>
      <c r="G105" s="419" t="s">
        <v>5887</v>
      </c>
      <c r="H105" s="420"/>
      <c r="I105" s="421" t="s">
        <v>5888</v>
      </c>
      <c r="J105" s="421" t="s">
        <v>269</v>
      </c>
      <c r="K105" s="421" t="s">
        <v>5889</v>
      </c>
      <c r="L105" s="421" t="s">
        <v>5890</v>
      </c>
      <c r="M105" s="89"/>
      <c r="N105" s="89"/>
      <c r="O105" s="89"/>
      <c r="P105" s="89"/>
      <c r="Q105" s="89"/>
      <c r="R105" s="89"/>
      <c r="S105" s="89"/>
      <c r="T105" s="89"/>
      <c r="U105" s="89"/>
      <c r="V105" s="89"/>
      <c r="W105" s="89"/>
      <c r="X105" s="89"/>
      <c r="Y105" s="89"/>
      <c r="Z105" s="89"/>
      <c r="AA105" s="89"/>
      <c r="AB105" s="89"/>
      <c r="AC105" s="89"/>
      <c r="AD105" s="89"/>
      <c r="AE105" s="89"/>
    </row>
    <row r="106">
      <c r="A106" s="422">
        <v>42810.0</v>
      </c>
      <c r="B106" s="419" t="s">
        <v>3076</v>
      </c>
      <c r="C106" s="419" t="s">
        <v>5891</v>
      </c>
      <c r="D106" s="425">
        <v>42801.0</v>
      </c>
      <c r="E106" s="419" t="s">
        <v>5892</v>
      </c>
      <c r="F106" s="419" t="s">
        <v>5893</v>
      </c>
      <c r="G106" s="419" t="s">
        <v>5894</v>
      </c>
      <c r="H106" s="419" t="s">
        <v>427</v>
      </c>
      <c r="I106" s="421" t="s">
        <v>5895</v>
      </c>
      <c r="J106" s="421" t="s">
        <v>269</v>
      </c>
      <c r="K106" s="427" t="s">
        <v>5896</v>
      </c>
      <c r="L106" s="421" t="s">
        <v>5897</v>
      </c>
      <c r="M106" s="421" t="s">
        <v>5898</v>
      </c>
      <c r="N106" s="421" t="s">
        <v>5899</v>
      </c>
      <c r="O106" s="421" t="s">
        <v>5900</v>
      </c>
      <c r="P106" s="421" t="s">
        <v>5901</v>
      </c>
      <c r="Q106" s="421" t="s">
        <v>5902</v>
      </c>
      <c r="R106" s="89"/>
      <c r="S106" s="89"/>
      <c r="T106" s="89"/>
      <c r="U106" s="89"/>
      <c r="V106" s="89"/>
      <c r="W106" s="89"/>
      <c r="X106" s="89"/>
      <c r="Y106" s="89"/>
      <c r="Z106" s="89"/>
      <c r="AA106" s="89"/>
      <c r="AB106" s="89"/>
      <c r="AC106" s="89"/>
      <c r="AD106" s="89"/>
      <c r="AE106" s="89"/>
    </row>
    <row r="107">
      <c r="A107" s="422">
        <v>42814.0</v>
      </c>
      <c r="B107" s="419" t="s">
        <v>551</v>
      </c>
      <c r="C107" s="419" t="s">
        <v>5903</v>
      </c>
      <c r="D107" s="425">
        <v>42804.0</v>
      </c>
      <c r="E107" s="419" t="s">
        <v>5904</v>
      </c>
      <c r="F107" s="419" t="s">
        <v>5905</v>
      </c>
      <c r="G107" s="419" t="s">
        <v>5906</v>
      </c>
      <c r="H107" s="420"/>
      <c r="I107" s="426"/>
      <c r="J107" s="421" t="s">
        <v>269</v>
      </c>
      <c r="K107" s="421" t="s">
        <v>5907</v>
      </c>
      <c r="L107" s="421" t="s">
        <v>5908</v>
      </c>
      <c r="M107" s="89"/>
      <c r="N107" s="89"/>
      <c r="O107" s="89"/>
      <c r="P107" s="89"/>
      <c r="Q107" s="89"/>
      <c r="R107" s="89"/>
      <c r="S107" s="89"/>
      <c r="T107" s="89"/>
      <c r="U107" s="89"/>
      <c r="V107" s="89"/>
      <c r="W107" s="89"/>
      <c r="X107" s="89"/>
      <c r="Y107" s="89"/>
      <c r="Z107" s="89"/>
      <c r="AA107" s="89"/>
      <c r="AB107" s="89"/>
      <c r="AC107" s="89"/>
      <c r="AD107" s="89"/>
      <c r="AE107" s="89"/>
    </row>
    <row r="108">
      <c r="A108" s="422">
        <v>42814.0</v>
      </c>
      <c r="B108" s="419" t="s">
        <v>551</v>
      </c>
      <c r="C108" s="419" t="s">
        <v>5911</v>
      </c>
      <c r="D108" s="422">
        <v>42814.0</v>
      </c>
      <c r="E108" s="419" t="s">
        <v>5912</v>
      </c>
      <c r="F108" s="419" t="s">
        <v>5913</v>
      </c>
      <c r="G108" s="419" t="s">
        <v>5906</v>
      </c>
      <c r="H108" s="419" t="s">
        <v>2158</v>
      </c>
      <c r="I108" s="421" t="s">
        <v>5914</v>
      </c>
      <c r="J108" s="421" t="s">
        <v>269</v>
      </c>
      <c r="K108" s="421" t="s">
        <v>5915</v>
      </c>
      <c r="L108" s="89"/>
      <c r="M108" s="89"/>
      <c r="N108" s="89"/>
      <c r="O108" s="89"/>
      <c r="P108" s="89"/>
      <c r="Q108" s="89"/>
      <c r="R108" s="89"/>
      <c r="S108" s="89"/>
      <c r="T108" s="89"/>
      <c r="U108" s="89"/>
      <c r="V108" s="89"/>
      <c r="W108" s="89"/>
      <c r="X108" s="89"/>
      <c r="Y108" s="89"/>
      <c r="Z108" s="89"/>
      <c r="AA108" s="89"/>
      <c r="AB108" s="89"/>
      <c r="AC108" s="89"/>
      <c r="AD108" s="89"/>
      <c r="AE108" s="89"/>
    </row>
    <row r="109">
      <c r="A109" s="422">
        <v>42821.0</v>
      </c>
      <c r="B109" s="419" t="s">
        <v>551</v>
      </c>
      <c r="C109" s="419" t="s">
        <v>5916</v>
      </c>
      <c r="D109" s="425">
        <v>42769.0</v>
      </c>
      <c r="E109" s="419" t="s">
        <v>5917</v>
      </c>
      <c r="F109" s="419" t="s">
        <v>5918</v>
      </c>
      <c r="G109" s="419" t="s">
        <v>5906</v>
      </c>
      <c r="H109" s="420"/>
      <c r="I109" s="421" t="s">
        <v>5919</v>
      </c>
      <c r="J109" s="421" t="s">
        <v>269</v>
      </c>
      <c r="K109" s="421" t="s">
        <v>5920</v>
      </c>
      <c r="L109" s="421" t="s">
        <v>5921</v>
      </c>
      <c r="M109" s="89"/>
      <c r="N109" s="89"/>
      <c r="O109" s="89"/>
      <c r="P109" s="89"/>
      <c r="Q109" s="89"/>
      <c r="R109" s="89"/>
      <c r="S109" s="89"/>
      <c r="T109" s="89"/>
      <c r="U109" s="89"/>
      <c r="V109" s="89"/>
      <c r="W109" s="89"/>
      <c r="X109" s="89"/>
      <c r="Y109" s="89"/>
      <c r="Z109" s="89"/>
      <c r="AA109" s="89"/>
      <c r="AB109" s="89"/>
      <c r="AC109" s="89"/>
      <c r="AD109" s="89"/>
      <c r="AE109" s="89"/>
    </row>
    <row r="110">
      <c r="A110" s="422">
        <v>42821.0</v>
      </c>
      <c r="B110" s="419" t="s">
        <v>551</v>
      </c>
      <c r="C110" s="419" t="s">
        <v>5922</v>
      </c>
      <c r="D110" s="425">
        <v>42781.0</v>
      </c>
      <c r="E110" s="420"/>
      <c r="F110" s="419" t="s">
        <v>5923</v>
      </c>
      <c r="G110" s="419" t="s">
        <v>5924</v>
      </c>
      <c r="H110" s="420"/>
      <c r="I110" s="421" t="s">
        <v>5925</v>
      </c>
      <c r="J110" s="421" t="s">
        <v>269</v>
      </c>
      <c r="K110" s="427" t="s">
        <v>5926</v>
      </c>
      <c r="L110" s="421" t="s">
        <v>5927</v>
      </c>
      <c r="M110" s="89"/>
      <c r="N110" s="89"/>
      <c r="O110" s="89"/>
      <c r="P110" s="89"/>
      <c r="Q110" s="89"/>
      <c r="R110" s="89"/>
      <c r="S110" s="89"/>
      <c r="T110" s="89"/>
      <c r="U110" s="89"/>
      <c r="V110" s="89"/>
      <c r="W110" s="89"/>
      <c r="X110" s="89"/>
      <c r="Y110" s="89"/>
      <c r="Z110" s="89"/>
      <c r="AA110" s="89"/>
      <c r="AB110" s="89"/>
      <c r="AC110" s="89"/>
      <c r="AD110" s="89"/>
      <c r="AE110" s="89"/>
    </row>
    <row r="111">
      <c r="A111" s="422">
        <v>42822.0</v>
      </c>
      <c r="B111" s="419" t="s">
        <v>551</v>
      </c>
      <c r="C111" s="419" t="s">
        <v>5560</v>
      </c>
      <c r="D111" s="425">
        <v>42626.0</v>
      </c>
      <c r="E111" s="419" t="s">
        <v>5561</v>
      </c>
      <c r="F111" s="419" t="s">
        <v>5928</v>
      </c>
      <c r="G111" s="419" t="s">
        <v>5929</v>
      </c>
      <c r="H111" s="420"/>
      <c r="I111" s="421" t="s">
        <v>5930</v>
      </c>
      <c r="J111" s="421" t="s">
        <v>269</v>
      </c>
      <c r="K111" s="421" t="s">
        <v>5931</v>
      </c>
      <c r="L111" s="70" t="s">
        <v>5932</v>
      </c>
      <c r="M111" s="89"/>
      <c r="N111" s="89"/>
      <c r="O111" s="89"/>
      <c r="P111" s="89"/>
      <c r="Q111" s="89"/>
      <c r="R111" s="89"/>
      <c r="S111" s="89"/>
      <c r="T111" s="89"/>
      <c r="U111" s="89"/>
      <c r="V111" s="89"/>
      <c r="W111" s="89"/>
      <c r="X111" s="89"/>
      <c r="Y111" s="89"/>
      <c r="Z111" s="89"/>
      <c r="AA111" s="89"/>
      <c r="AB111" s="89"/>
      <c r="AC111" s="89"/>
      <c r="AD111" s="89"/>
      <c r="AE111" s="89"/>
    </row>
    <row r="112">
      <c r="A112" s="422">
        <v>42822.0</v>
      </c>
      <c r="B112" s="419" t="s">
        <v>551</v>
      </c>
      <c r="C112" s="419" t="s">
        <v>5934</v>
      </c>
      <c r="D112" s="422">
        <v>42809.0</v>
      </c>
      <c r="E112" s="419" t="s">
        <v>5935</v>
      </c>
      <c r="F112" s="419" t="s">
        <v>5936</v>
      </c>
      <c r="G112" s="419" t="s">
        <v>5937</v>
      </c>
      <c r="H112" s="420"/>
      <c r="I112" s="434"/>
      <c r="J112" s="421" t="s">
        <v>269</v>
      </c>
      <c r="K112" s="427" t="s">
        <v>5939</v>
      </c>
      <c r="L112" s="427" t="s">
        <v>5940</v>
      </c>
      <c r="M112" s="427" t="s">
        <v>5941</v>
      </c>
      <c r="N112" s="427" t="s">
        <v>5943</v>
      </c>
      <c r="O112" s="427" t="s">
        <v>5944</v>
      </c>
      <c r="P112" s="89"/>
      <c r="Q112" s="89"/>
      <c r="R112" s="89"/>
      <c r="S112" s="89"/>
      <c r="T112" s="89"/>
      <c r="U112" s="89"/>
      <c r="V112" s="89"/>
      <c r="W112" s="89"/>
      <c r="X112" s="89"/>
      <c r="Y112" s="89"/>
      <c r="Z112" s="89"/>
      <c r="AA112" s="89"/>
      <c r="AB112" s="89"/>
      <c r="AC112" s="89"/>
      <c r="AD112" s="89"/>
      <c r="AE112" s="89"/>
    </row>
    <row r="113">
      <c r="A113" s="422">
        <v>42828.0</v>
      </c>
      <c r="B113" s="419" t="s">
        <v>551</v>
      </c>
      <c r="C113" s="419" t="s">
        <v>5945</v>
      </c>
      <c r="D113" s="425">
        <v>42809.0</v>
      </c>
      <c r="E113" s="419" t="s">
        <v>5946</v>
      </c>
      <c r="F113" s="419" t="s">
        <v>5947</v>
      </c>
      <c r="G113" s="419" t="s">
        <v>5948</v>
      </c>
      <c r="H113" s="420"/>
      <c r="I113" s="426"/>
      <c r="J113" s="421" t="s">
        <v>269</v>
      </c>
      <c r="K113" s="421" t="s">
        <v>5949</v>
      </c>
      <c r="L113" s="421" t="s">
        <v>5950</v>
      </c>
      <c r="M113" s="89"/>
      <c r="N113" s="89"/>
      <c r="O113" s="89"/>
      <c r="P113" s="89"/>
      <c r="Q113" s="89"/>
      <c r="R113" s="89"/>
      <c r="S113" s="89"/>
      <c r="T113" s="89"/>
      <c r="U113" s="89"/>
      <c r="V113" s="89"/>
      <c r="W113" s="89"/>
      <c r="X113" s="89"/>
      <c r="Y113" s="89"/>
      <c r="Z113" s="89"/>
      <c r="AA113" s="89"/>
      <c r="AB113" s="89"/>
      <c r="AC113" s="89"/>
      <c r="AD113" s="89"/>
      <c r="AE113" s="89"/>
    </row>
    <row r="114">
      <c r="A114" s="422">
        <v>42828.0</v>
      </c>
      <c r="B114" s="419" t="s">
        <v>551</v>
      </c>
      <c r="C114" s="419" t="s">
        <v>5952</v>
      </c>
      <c r="D114" s="425">
        <v>42193.0</v>
      </c>
      <c r="E114" s="419" t="s">
        <v>5953</v>
      </c>
      <c r="F114" s="419" t="s">
        <v>5954</v>
      </c>
      <c r="G114" s="419" t="s">
        <v>5955</v>
      </c>
      <c r="H114" s="420"/>
      <c r="I114" s="421" t="s">
        <v>5956</v>
      </c>
      <c r="J114" s="421" t="s">
        <v>269</v>
      </c>
      <c r="K114" s="421" t="s">
        <v>5957</v>
      </c>
      <c r="L114" s="421" t="s">
        <v>5959</v>
      </c>
      <c r="M114" s="421" t="s">
        <v>5960</v>
      </c>
      <c r="N114" s="89"/>
      <c r="O114" s="89"/>
      <c r="P114" s="89"/>
      <c r="Q114" s="89"/>
      <c r="R114" s="89"/>
      <c r="S114" s="89"/>
      <c r="T114" s="89"/>
      <c r="U114" s="89"/>
      <c r="V114" s="89"/>
      <c r="W114" s="89"/>
      <c r="X114" s="89"/>
      <c r="Y114" s="89"/>
      <c r="Z114" s="89"/>
      <c r="AA114" s="89"/>
      <c r="AB114" s="89"/>
      <c r="AC114" s="89"/>
      <c r="AD114" s="89"/>
      <c r="AE114" s="89"/>
    </row>
    <row r="115">
      <c r="A115" s="422">
        <v>42830.0</v>
      </c>
      <c r="B115" s="419" t="s">
        <v>551</v>
      </c>
      <c r="C115" s="419" t="s">
        <v>5961</v>
      </c>
      <c r="D115" s="425">
        <v>42823.0</v>
      </c>
      <c r="E115" s="419" t="s">
        <v>5962</v>
      </c>
      <c r="F115" s="419" t="s">
        <v>5963</v>
      </c>
      <c r="G115" s="419" t="s">
        <v>5964</v>
      </c>
      <c r="H115" s="419" t="s">
        <v>271</v>
      </c>
      <c r="I115" s="421" t="s">
        <v>5965</v>
      </c>
      <c r="J115" s="421" t="s">
        <v>269</v>
      </c>
      <c r="K115" s="421" t="s">
        <v>5966</v>
      </c>
      <c r="L115" s="421" t="s">
        <v>5967</v>
      </c>
      <c r="M115" s="421" t="s">
        <v>5968</v>
      </c>
      <c r="N115" s="421" t="s">
        <v>5970</v>
      </c>
      <c r="O115" s="421" t="s">
        <v>5971</v>
      </c>
      <c r="P115" s="89"/>
      <c r="Q115" s="89"/>
      <c r="R115" s="89"/>
      <c r="S115" s="89"/>
      <c r="T115" s="89"/>
      <c r="U115" s="89"/>
      <c r="V115" s="89"/>
      <c r="W115" s="89"/>
      <c r="X115" s="89"/>
      <c r="Y115" s="89"/>
      <c r="Z115" s="89"/>
      <c r="AA115" s="89"/>
      <c r="AB115" s="89"/>
      <c r="AC115" s="89"/>
      <c r="AD115" s="89"/>
      <c r="AE115" s="89"/>
    </row>
    <row r="116">
      <c r="A116" s="422">
        <v>42835.0</v>
      </c>
      <c r="B116" s="419" t="s">
        <v>551</v>
      </c>
      <c r="C116" s="419" t="s">
        <v>5972</v>
      </c>
      <c r="D116" s="425">
        <v>42488.0</v>
      </c>
      <c r="E116" s="419" t="s">
        <v>5973</v>
      </c>
      <c r="F116" s="419" t="s">
        <v>5974</v>
      </c>
      <c r="G116" s="419" t="s">
        <v>5975</v>
      </c>
      <c r="H116" s="420"/>
      <c r="I116" s="426"/>
      <c r="J116" s="421" t="s">
        <v>269</v>
      </c>
      <c r="K116" s="421" t="s">
        <v>5976</v>
      </c>
      <c r="L116" s="421" t="s">
        <v>5977</v>
      </c>
      <c r="M116" s="89"/>
      <c r="N116" s="89"/>
      <c r="O116" s="89"/>
      <c r="P116" s="89"/>
      <c r="Q116" s="89"/>
      <c r="R116" s="89"/>
      <c r="S116" s="89"/>
      <c r="T116" s="89"/>
      <c r="U116" s="89"/>
      <c r="V116" s="89"/>
      <c r="W116" s="89"/>
      <c r="X116" s="89"/>
      <c r="Y116" s="89"/>
      <c r="Z116" s="89"/>
      <c r="AA116" s="89"/>
      <c r="AB116" s="89"/>
      <c r="AC116" s="89"/>
      <c r="AD116" s="89"/>
      <c r="AE116" s="89"/>
    </row>
    <row r="117">
      <c r="A117" s="422">
        <v>42836.0</v>
      </c>
      <c r="B117" s="419" t="s">
        <v>551</v>
      </c>
      <c r="C117" s="419" t="s">
        <v>5979</v>
      </c>
      <c r="D117" s="425">
        <v>42809.0</v>
      </c>
      <c r="E117" s="419" t="s">
        <v>5980</v>
      </c>
      <c r="F117" s="419" t="s">
        <v>5981</v>
      </c>
      <c r="G117" s="419" t="s">
        <v>5982</v>
      </c>
      <c r="H117" s="420"/>
      <c r="I117" s="426"/>
      <c r="J117" s="421" t="s">
        <v>269</v>
      </c>
      <c r="K117" s="421" t="s">
        <v>5983</v>
      </c>
      <c r="L117" s="421" t="s">
        <v>5984</v>
      </c>
      <c r="M117" s="89"/>
      <c r="N117" s="89"/>
      <c r="O117" s="89"/>
      <c r="P117" s="89"/>
      <c r="Q117" s="89"/>
      <c r="R117" s="89"/>
      <c r="S117" s="89"/>
      <c r="T117" s="89"/>
      <c r="U117" s="89"/>
      <c r="V117" s="89"/>
      <c r="W117" s="89"/>
      <c r="X117" s="89"/>
      <c r="Y117" s="89"/>
      <c r="Z117" s="89"/>
      <c r="AA117" s="89"/>
      <c r="AB117" s="89"/>
      <c r="AC117" s="89"/>
      <c r="AD117" s="89"/>
      <c r="AE117" s="89"/>
    </row>
    <row r="118">
      <c r="A118" s="422">
        <v>42843.0</v>
      </c>
      <c r="B118" s="419" t="s">
        <v>551</v>
      </c>
      <c r="C118" s="419" t="s">
        <v>5986</v>
      </c>
      <c r="D118" s="425">
        <v>42825.0</v>
      </c>
      <c r="E118" s="419" t="s">
        <v>5988</v>
      </c>
      <c r="F118" s="419" t="s">
        <v>5816</v>
      </c>
      <c r="G118" s="419" t="s">
        <v>5989</v>
      </c>
      <c r="H118" s="420"/>
      <c r="I118" s="426"/>
      <c r="J118" s="421" t="s">
        <v>269</v>
      </c>
      <c r="K118" s="421" t="s">
        <v>5990</v>
      </c>
      <c r="L118" s="421" t="s">
        <v>5991</v>
      </c>
      <c r="M118" s="89"/>
      <c r="N118" s="89"/>
      <c r="O118" s="89"/>
      <c r="P118" s="89"/>
      <c r="Q118" s="89"/>
      <c r="R118" s="89"/>
      <c r="S118" s="89"/>
      <c r="T118" s="89"/>
      <c r="U118" s="89"/>
      <c r="V118" s="89"/>
      <c r="W118" s="89"/>
      <c r="X118" s="89"/>
      <c r="Y118" s="89"/>
      <c r="Z118" s="89"/>
      <c r="AA118" s="89"/>
      <c r="AB118" s="89"/>
      <c r="AC118" s="89"/>
      <c r="AD118" s="89"/>
      <c r="AE118" s="89"/>
    </row>
    <row r="119">
      <c r="A119" s="422">
        <v>42849.0</v>
      </c>
      <c r="B119" s="419" t="s">
        <v>3076</v>
      </c>
      <c r="C119" s="419" t="s">
        <v>5992</v>
      </c>
      <c r="D119" s="425">
        <v>42445.0</v>
      </c>
      <c r="E119" s="419" t="s">
        <v>5993</v>
      </c>
      <c r="F119" s="419" t="s">
        <v>5995</v>
      </c>
      <c r="G119" s="419" t="s">
        <v>5996</v>
      </c>
      <c r="H119" s="419" t="s">
        <v>763</v>
      </c>
      <c r="I119" s="421" t="s">
        <v>5997</v>
      </c>
      <c r="J119" s="421" t="s">
        <v>269</v>
      </c>
      <c r="K119" s="421" t="s">
        <v>5998</v>
      </c>
      <c r="L119" s="89"/>
      <c r="M119" s="89"/>
      <c r="N119" s="89"/>
      <c r="O119" s="89"/>
      <c r="P119" s="89"/>
      <c r="Q119" s="89"/>
      <c r="R119" s="89"/>
      <c r="S119" s="89"/>
      <c r="T119" s="89"/>
      <c r="U119" s="89"/>
      <c r="V119" s="89"/>
      <c r="W119" s="89"/>
      <c r="X119" s="89"/>
      <c r="Y119" s="89"/>
      <c r="Z119" s="89"/>
      <c r="AA119" s="89"/>
      <c r="AB119" s="89"/>
      <c r="AC119" s="89"/>
      <c r="AD119" s="89"/>
      <c r="AE119" s="89"/>
    </row>
    <row r="120">
      <c r="A120" s="422">
        <v>42857.0</v>
      </c>
      <c r="B120" s="419" t="s">
        <v>551</v>
      </c>
      <c r="C120" s="419" t="s">
        <v>6000</v>
      </c>
      <c r="D120" s="422">
        <v>42852.0</v>
      </c>
      <c r="E120" s="419" t="s">
        <v>6001</v>
      </c>
      <c r="F120" s="419" t="s">
        <v>6002</v>
      </c>
      <c r="G120" s="419" t="s">
        <v>6003</v>
      </c>
      <c r="H120" s="419" t="s">
        <v>64</v>
      </c>
      <c r="I120" s="434"/>
      <c r="J120" s="421" t="s">
        <v>269</v>
      </c>
      <c r="K120" s="427" t="s">
        <v>6004</v>
      </c>
      <c r="L120" s="427" t="s">
        <v>6005</v>
      </c>
      <c r="M120" s="89"/>
      <c r="N120" s="89"/>
      <c r="O120" s="89"/>
      <c r="P120" s="89"/>
      <c r="Q120" s="89"/>
      <c r="R120" s="89"/>
      <c r="S120" s="89"/>
      <c r="T120" s="89"/>
      <c r="U120" s="89"/>
      <c r="V120" s="89"/>
      <c r="W120" s="89"/>
      <c r="X120" s="89"/>
      <c r="Y120" s="89"/>
      <c r="Z120" s="89"/>
      <c r="AA120" s="89"/>
      <c r="AB120" s="89"/>
      <c r="AC120" s="89"/>
      <c r="AD120" s="89"/>
      <c r="AE120" s="89"/>
    </row>
    <row r="121">
      <c r="A121" s="422">
        <v>42859.0</v>
      </c>
      <c r="B121" s="419" t="s">
        <v>551</v>
      </c>
      <c r="C121" s="419" t="s">
        <v>6006</v>
      </c>
      <c r="D121" s="425">
        <v>42850.0</v>
      </c>
      <c r="E121" s="419" t="s">
        <v>6007</v>
      </c>
      <c r="F121" s="419" t="s">
        <v>4644</v>
      </c>
      <c r="G121" s="419" t="s">
        <v>6008</v>
      </c>
      <c r="H121" s="420"/>
      <c r="I121" s="426"/>
      <c r="J121" s="421" t="s">
        <v>269</v>
      </c>
      <c r="K121" s="421" t="s">
        <v>6009</v>
      </c>
      <c r="L121" s="421" t="s">
        <v>6011</v>
      </c>
      <c r="M121" s="89"/>
      <c r="N121" s="89"/>
      <c r="O121" s="89"/>
      <c r="P121" s="89"/>
      <c r="Q121" s="89"/>
      <c r="R121" s="89"/>
      <c r="S121" s="89"/>
      <c r="T121" s="89"/>
      <c r="U121" s="89"/>
      <c r="V121" s="89"/>
      <c r="W121" s="89"/>
      <c r="X121" s="89"/>
      <c r="Y121" s="89"/>
      <c r="Z121" s="89"/>
      <c r="AA121" s="89"/>
      <c r="AB121" s="89"/>
      <c r="AC121" s="89"/>
      <c r="AD121" s="89"/>
      <c r="AE121" s="89"/>
    </row>
    <row r="122">
      <c r="A122" s="422">
        <v>42859.0</v>
      </c>
      <c r="B122" s="419" t="s">
        <v>551</v>
      </c>
      <c r="C122" s="419" t="s">
        <v>6012</v>
      </c>
      <c r="D122" s="425">
        <v>42809.0</v>
      </c>
      <c r="E122" s="419" t="s">
        <v>6013</v>
      </c>
      <c r="F122" s="419" t="s">
        <v>6014</v>
      </c>
      <c r="G122" s="419" t="s">
        <v>6015</v>
      </c>
      <c r="H122" s="420"/>
      <c r="I122" s="89"/>
      <c r="J122" s="89"/>
      <c r="K122" s="102" t="s">
        <v>6016</v>
      </c>
      <c r="L122" s="70" t="s">
        <v>6017</v>
      </c>
      <c r="M122" s="432" t="s">
        <v>6018</v>
      </c>
      <c r="N122" s="89"/>
      <c r="O122" s="89"/>
      <c r="P122" s="89"/>
      <c r="Q122" s="89"/>
      <c r="R122" s="89"/>
      <c r="S122" s="89"/>
      <c r="T122" s="89"/>
      <c r="U122" s="89"/>
      <c r="V122" s="89"/>
      <c r="W122" s="89"/>
      <c r="X122" s="89"/>
      <c r="Y122" s="89"/>
      <c r="Z122" s="89"/>
      <c r="AA122" s="89"/>
      <c r="AB122" s="89"/>
      <c r="AC122" s="89"/>
      <c r="AD122" s="89"/>
      <c r="AE122" s="89"/>
    </row>
    <row r="123">
      <c r="A123" s="422">
        <v>42863.0</v>
      </c>
      <c r="B123" s="419" t="s">
        <v>551</v>
      </c>
      <c r="C123" s="419" t="s">
        <v>6019</v>
      </c>
      <c r="D123" s="425">
        <v>42831.0</v>
      </c>
      <c r="E123" s="419" t="s">
        <v>6020</v>
      </c>
      <c r="F123" s="420"/>
      <c r="G123" s="419" t="s">
        <v>6021</v>
      </c>
      <c r="H123" s="420"/>
      <c r="I123" s="426"/>
      <c r="J123" s="421" t="s">
        <v>269</v>
      </c>
      <c r="K123" s="435" t="s">
        <v>6022</v>
      </c>
      <c r="L123" s="435" t="s">
        <v>6023</v>
      </c>
      <c r="M123" s="421" t="s">
        <v>5984</v>
      </c>
      <c r="N123" s="89"/>
      <c r="O123" s="89"/>
      <c r="P123" s="89"/>
      <c r="Q123" s="89"/>
      <c r="R123" s="89"/>
      <c r="S123" s="89"/>
      <c r="T123" s="89"/>
      <c r="U123" s="89"/>
      <c r="V123" s="89"/>
      <c r="W123" s="89"/>
      <c r="X123" s="89"/>
      <c r="Y123" s="89"/>
      <c r="Z123" s="89"/>
      <c r="AA123" s="89"/>
      <c r="AB123" s="89"/>
      <c r="AC123" s="89"/>
      <c r="AD123" s="89"/>
      <c r="AE123" s="89"/>
    </row>
    <row r="124">
      <c r="A124" s="422">
        <v>42867.0</v>
      </c>
      <c r="B124" s="419" t="s">
        <v>2569</v>
      </c>
      <c r="C124" s="419" t="s">
        <v>6024</v>
      </c>
      <c r="D124" s="425">
        <v>42804.0</v>
      </c>
      <c r="E124" s="419" t="s">
        <v>6025</v>
      </c>
      <c r="F124" s="419" t="s">
        <v>6026</v>
      </c>
      <c r="G124" s="419" t="s">
        <v>6027</v>
      </c>
      <c r="H124" s="420"/>
      <c r="I124" s="427" t="s">
        <v>6028</v>
      </c>
      <c r="J124" s="427" t="s">
        <v>269</v>
      </c>
      <c r="K124" s="427" t="s">
        <v>6029</v>
      </c>
      <c r="L124" s="89"/>
      <c r="M124" s="89"/>
      <c r="N124" s="89"/>
      <c r="O124" s="89"/>
      <c r="P124" s="89"/>
      <c r="Q124" s="89"/>
      <c r="R124" s="89"/>
      <c r="S124" s="89"/>
      <c r="T124" s="89"/>
      <c r="U124" s="89"/>
      <c r="V124" s="89"/>
      <c r="W124" s="89"/>
      <c r="X124" s="89"/>
      <c r="Y124" s="89"/>
      <c r="Z124" s="89"/>
      <c r="AA124" s="89"/>
      <c r="AB124" s="89"/>
      <c r="AC124" s="89"/>
      <c r="AD124" s="89"/>
      <c r="AE124" s="89"/>
    </row>
    <row r="125">
      <c r="A125" s="422">
        <v>42871.0</v>
      </c>
      <c r="B125" s="419" t="s">
        <v>551</v>
      </c>
      <c r="C125" s="419" t="s">
        <v>6030</v>
      </c>
      <c r="D125" s="425">
        <v>42867.0</v>
      </c>
      <c r="E125" s="419" t="s">
        <v>6031</v>
      </c>
      <c r="F125" s="419" t="s">
        <v>6032</v>
      </c>
      <c r="G125" s="419" t="s">
        <v>6033</v>
      </c>
      <c r="H125" s="419" t="s">
        <v>5754</v>
      </c>
      <c r="I125" s="426"/>
      <c r="J125" s="421" t="s">
        <v>269</v>
      </c>
      <c r="K125" s="421" t="s">
        <v>6035</v>
      </c>
      <c r="L125" s="421" t="s">
        <v>6038</v>
      </c>
      <c r="M125" s="421" t="s">
        <v>6039</v>
      </c>
      <c r="N125" s="421" t="s">
        <v>6040</v>
      </c>
      <c r="O125" s="89"/>
      <c r="P125" s="89"/>
      <c r="Q125" s="89"/>
      <c r="R125" s="89"/>
      <c r="S125" s="89"/>
      <c r="T125" s="89"/>
      <c r="U125" s="89"/>
      <c r="V125" s="89"/>
      <c r="W125" s="89"/>
      <c r="X125" s="89"/>
      <c r="Y125" s="89"/>
      <c r="Z125" s="89"/>
      <c r="AA125" s="89"/>
      <c r="AB125" s="89"/>
      <c r="AC125" s="89"/>
      <c r="AD125" s="89"/>
      <c r="AE125" s="89"/>
    </row>
    <row r="126">
      <c r="A126" s="422">
        <v>42941.0</v>
      </c>
      <c r="B126" s="419" t="s">
        <v>2569</v>
      </c>
      <c r="C126" s="419" t="s">
        <v>6041</v>
      </c>
      <c r="D126" s="425">
        <v>42858.0</v>
      </c>
      <c r="E126" s="419" t="s">
        <v>6042</v>
      </c>
      <c r="F126" s="419" t="s">
        <v>6043</v>
      </c>
      <c r="G126" s="419" t="s">
        <v>6044</v>
      </c>
      <c r="H126" s="419" t="s">
        <v>255</v>
      </c>
      <c r="I126" s="421" t="s">
        <v>6045</v>
      </c>
      <c r="J126" s="421" t="s">
        <v>269</v>
      </c>
      <c r="K126" s="421" t="s">
        <v>6046</v>
      </c>
      <c r="L126" s="421" t="s">
        <v>6047</v>
      </c>
      <c r="M126" s="421" t="s">
        <v>5984</v>
      </c>
      <c r="N126" s="89"/>
      <c r="O126" s="89"/>
      <c r="P126" s="89"/>
      <c r="Q126" s="89"/>
      <c r="R126" s="89"/>
      <c r="S126" s="89"/>
      <c r="T126" s="89"/>
      <c r="U126" s="89"/>
      <c r="V126" s="89"/>
      <c r="W126" s="89"/>
      <c r="X126" s="89"/>
      <c r="Y126" s="89"/>
      <c r="Z126" s="89"/>
      <c r="AA126" s="89"/>
      <c r="AB126" s="89"/>
      <c r="AC126" s="89"/>
      <c r="AD126" s="89"/>
      <c r="AE126" s="89"/>
    </row>
    <row r="127">
      <c r="A127" s="422">
        <v>42999.0</v>
      </c>
      <c r="B127" s="419" t="s">
        <v>2569</v>
      </c>
      <c r="C127" s="419" t="s">
        <v>6051</v>
      </c>
      <c r="D127" s="425">
        <v>42886.0</v>
      </c>
      <c r="E127" s="419" t="s">
        <v>6052</v>
      </c>
      <c r="F127" s="419" t="s">
        <v>6053</v>
      </c>
      <c r="G127" s="419" t="s">
        <v>6054</v>
      </c>
      <c r="H127" s="419" t="s">
        <v>6055</v>
      </c>
      <c r="I127" s="421" t="s">
        <v>6056</v>
      </c>
      <c r="J127" s="421" t="s">
        <v>269</v>
      </c>
      <c r="K127" s="421" t="s">
        <v>6057</v>
      </c>
      <c r="L127" s="421" t="s">
        <v>5984</v>
      </c>
      <c r="M127" s="89"/>
      <c r="N127" s="89"/>
      <c r="O127" s="89"/>
      <c r="P127" s="89"/>
      <c r="Q127" s="89"/>
      <c r="R127" s="89"/>
      <c r="S127" s="89"/>
      <c r="T127" s="89"/>
      <c r="U127" s="89"/>
      <c r="V127" s="89"/>
      <c r="W127" s="89"/>
      <c r="X127" s="89"/>
      <c r="Y127" s="89"/>
      <c r="Z127" s="89"/>
      <c r="AA127" s="89"/>
      <c r="AB127" s="89"/>
      <c r="AC127" s="89"/>
      <c r="AD127" s="89"/>
      <c r="AE127" s="89"/>
    </row>
    <row r="128">
      <c r="A128" s="422">
        <v>43006.0</v>
      </c>
      <c r="B128" s="419" t="s">
        <v>551</v>
      </c>
      <c r="C128" s="419" t="s">
        <v>6058</v>
      </c>
      <c r="D128" s="422">
        <v>42975.0</v>
      </c>
      <c r="E128" s="419" t="s">
        <v>6060</v>
      </c>
      <c r="F128" s="419" t="s">
        <v>6061</v>
      </c>
      <c r="G128" s="419" t="s">
        <v>6062</v>
      </c>
      <c r="H128" s="420"/>
      <c r="I128" s="426"/>
      <c r="J128" s="421" t="s">
        <v>269</v>
      </c>
      <c r="K128" s="421" t="s">
        <v>6064</v>
      </c>
      <c r="L128" s="421" t="s">
        <v>6065</v>
      </c>
      <c r="M128" s="421" t="s">
        <v>6066</v>
      </c>
      <c r="N128" s="89"/>
      <c r="O128" s="89"/>
      <c r="P128" s="89"/>
      <c r="Q128" s="89"/>
      <c r="R128" s="89"/>
      <c r="S128" s="89"/>
      <c r="T128" s="89"/>
      <c r="U128" s="89"/>
      <c r="V128" s="89"/>
      <c r="W128" s="89"/>
      <c r="X128" s="89"/>
      <c r="Y128" s="89"/>
      <c r="Z128" s="89"/>
      <c r="AA128" s="89"/>
      <c r="AB128" s="89"/>
      <c r="AC128" s="89"/>
      <c r="AD128" s="89"/>
      <c r="AE128" s="89"/>
    </row>
    <row r="129">
      <c r="A129" s="422">
        <v>43010.0</v>
      </c>
      <c r="B129" s="419" t="s">
        <v>551</v>
      </c>
      <c r="C129" s="419" t="s">
        <v>6068</v>
      </c>
      <c r="D129" s="422">
        <v>43000.0</v>
      </c>
      <c r="E129" s="419" t="s">
        <v>6069</v>
      </c>
      <c r="F129" s="419" t="s">
        <v>6070</v>
      </c>
      <c r="G129" s="419" t="s">
        <v>6071</v>
      </c>
      <c r="H129" s="420"/>
      <c r="I129" s="426"/>
      <c r="J129" s="421" t="s">
        <v>269</v>
      </c>
      <c r="K129" s="421" t="s">
        <v>6072</v>
      </c>
      <c r="L129" s="89"/>
      <c r="M129" s="89"/>
      <c r="N129" s="89"/>
      <c r="O129" s="89"/>
      <c r="P129" s="89"/>
      <c r="Q129" s="89"/>
      <c r="R129" s="89"/>
      <c r="S129" s="89"/>
      <c r="T129" s="89"/>
      <c r="U129" s="89"/>
      <c r="V129" s="89"/>
      <c r="W129" s="89"/>
      <c r="X129" s="89"/>
      <c r="Y129" s="89"/>
      <c r="Z129" s="89"/>
      <c r="AA129" s="89"/>
      <c r="AB129" s="89"/>
      <c r="AC129" s="89"/>
      <c r="AD129" s="89"/>
      <c r="AE129" s="89"/>
    </row>
    <row r="130">
      <c r="A130" s="422">
        <v>43011.0</v>
      </c>
      <c r="B130" s="419" t="s">
        <v>3076</v>
      </c>
      <c r="C130" s="419" t="s">
        <v>6074</v>
      </c>
      <c r="D130" s="425">
        <v>42664.0</v>
      </c>
      <c r="E130" s="419" t="s">
        <v>6075</v>
      </c>
      <c r="F130" s="419" t="s">
        <v>6076</v>
      </c>
      <c r="G130" s="419" t="s">
        <v>6077</v>
      </c>
      <c r="H130" s="419" t="s">
        <v>255</v>
      </c>
      <c r="I130" s="421" t="s">
        <v>6079</v>
      </c>
      <c r="J130" s="421" t="s">
        <v>269</v>
      </c>
      <c r="K130" s="421" t="s">
        <v>6081</v>
      </c>
      <c r="L130" s="89"/>
      <c r="M130" s="89"/>
      <c r="N130" s="89"/>
      <c r="O130" s="89"/>
      <c r="P130" s="89"/>
      <c r="Q130" s="89"/>
      <c r="R130" s="89"/>
      <c r="S130" s="89"/>
      <c r="T130" s="89"/>
      <c r="U130" s="89"/>
      <c r="V130" s="89"/>
      <c r="W130" s="89"/>
      <c r="X130" s="89"/>
      <c r="Y130" s="89"/>
      <c r="Z130" s="89"/>
      <c r="AA130" s="89"/>
      <c r="AB130" s="89"/>
      <c r="AC130" s="89"/>
      <c r="AD130" s="89"/>
      <c r="AE130" s="89"/>
    </row>
    <row r="131">
      <c r="A131" s="422">
        <v>43013.0</v>
      </c>
      <c r="B131" s="419" t="s">
        <v>551</v>
      </c>
      <c r="C131" s="419" t="s">
        <v>6082</v>
      </c>
      <c r="D131" s="425">
        <v>42467.0</v>
      </c>
      <c r="E131" s="419" t="s">
        <v>6083</v>
      </c>
      <c r="F131" s="419" t="s">
        <v>6084</v>
      </c>
      <c r="G131" s="419" t="s">
        <v>6085</v>
      </c>
      <c r="H131" s="420"/>
      <c r="I131" s="426"/>
      <c r="J131" s="421" t="s">
        <v>269</v>
      </c>
      <c r="K131" s="421" t="s">
        <v>6086</v>
      </c>
      <c r="L131" s="427" t="s">
        <v>6087</v>
      </c>
      <c r="M131" s="421" t="s">
        <v>6088</v>
      </c>
      <c r="N131" s="89"/>
      <c r="O131" s="89"/>
      <c r="P131" s="89"/>
      <c r="Q131" s="89"/>
      <c r="R131" s="89"/>
      <c r="S131" s="89"/>
      <c r="T131" s="89"/>
      <c r="U131" s="89"/>
      <c r="V131" s="89"/>
      <c r="W131" s="89"/>
      <c r="X131" s="89"/>
      <c r="Y131" s="89"/>
      <c r="Z131" s="89"/>
      <c r="AA131" s="89"/>
      <c r="AB131" s="89"/>
      <c r="AC131" s="89"/>
      <c r="AD131" s="89"/>
      <c r="AE131" s="89"/>
    </row>
    <row r="132">
      <c r="A132" s="422">
        <v>43021.0</v>
      </c>
      <c r="B132" s="419" t="s">
        <v>551</v>
      </c>
      <c r="C132" s="419" t="s">
        <v>6090</v>
      </c>
      <c r="D132" s="422">
        <v>42930.0</v>
      </c>
      <c r="E132" s="419" t="s">
        <v>6091</v>
      </c>
      <c r="F132" s="419" t="s">
        <v>6092</v>
      </c>
      <c r="G132" s="419" t="s">
        <v>6093</v>
      </c>
      <c r="H132" s="419" t="s">
        <v>271</v>
      </c>
      <c r="I132" s="421" t="s">
        <v>6094</v>
      </c>
      <c r="J132" s="421" t="s">
        <v>269</v>
      </c>
      <c r="K132" s="421" t="s">
        <v>6095</v>
      </c>
      <c r="L132" s="436" t="s">
        <v>6096</v>
      </c>
      <c r="M132" s="89"/>
      <c r="N132" s="89"/>
      <c r="O132" s="89"/>
      <c r="P132" s="89"/>
      <c r="Q132" s="89"/>
      <c r="R132" s="89"/>
      <c r="S132" s="89"/>
      <c r="T132" s="89"/>
      <c r="U132" s="89"/>
      <c r="V132" s="89"/>
      <c r="W132" s="89"/>
      <c r="X132" s="89"/>
      <c r="Y132" s="89"/>
      <c r="Z132" s="89"/>
      <c r="AA132" s="89"/>
      <c r="AB132" s="89"/>
      <c r="AC132" s="89"/>
      <c r="AD132" s="89"/>
      <c r="AE132" s="89"/>
    </row>
    <row r="133">
      <c r="A133" s="422">
        <v>43021.0</v>
      </c>
      <c r="B133" s="419" t="s">
        <v>551</v>
      </c>
      <c r="C133" s="419" t="s">
        <v>6097</v>
      </c>
      <c r="D133" s="437">
        <v>43013.0</v>
      </c>
      <c r="E133" s="419" t="s">
        <v>6099</v>
      </c>
      <c r="F133" s="419" t="s">
        <v>6101</v>
      </c>
      <c r="G133" s="419" t="s">
        <v>6102</v>
      </c>
      <c r="H133" s="420"/>
      <c r="I133" s="426"/>
      <c r="J133" s="421" t="s">
        <v>269</v>
      </c>
      <c r="K133" s="421" t="s">
        <v>6103</v>
      </c>
      <c r="L133" s="421" t="s">
        <v>6104</v>
      </c>
      <c r="M133" s="421" t="s">
        <v>6105</v>
      </c>
      <c r="N133" s="421" t="s">
        <v>6106</v>
      </c>
      <c r="O133" s="89"/>
      <c r="P133" s="89"/>
      <c r="Q133" s="89"/>
      <c r="R133" s="89"/>
      <c r="S133" s="89"/>
      <c r="T133" s="89"/>
      <c r="U133" s="89"/>
      <c r="V133" s="89"/>
      <c r="W133" s="89"/>
      <c r="X133" s="89"/>
      <c r="Y133" s="89"/>
      <c r="Z133" s="89"/>
      <c r="AA133" s="89"/>
      <c r="AB133" s="89"/>
      <c r="AC133" s="89"/>
      <c r="AD133" s="89"/>
      <c r="AE133" s="89"/>
    </row>
    <row r="134">
      <c r="A134" s="422">
        <v>43038.0</v>
      </c>
      <c r="B134" s="419" t="s">
        <v>551</v>
      </c>
      <c r="C134" s="419" t="s">
        <v>6108</v>
      </c>
      <c r="D134" s="422">
        <v>43037.0</v>
      </c>
      <c r="E134" s="419" t="s">
        <v>6109</v>
      </c>
      <c r="F134" s="419" t="s">
        <v>6110</v>
      </c>
      <c r="G134" s="419" t="s">
        <v>6111</v>
      </c>
      <c r="H134" s="419" t="s">
        <v>298</v>
      </c>
      <c r="I134" s="428"/>
      <c r="J134" s="428"/>
      <c r="K134" s="102" t="s">
        <v>6112</v>
      </c>
      <c r="L134" s="438" t="s">
        <v>6113</v>
      </c>
      <c r="M134" s="6" t="s">
        <v>6114</v>
      </c>
      <c r="N134" s="438" t="s">
        <v>6115</v>
      </c>
      <c r="O134" s="89"/>
      <c r="P134" s="89"/>
      <c r="Q134" s="89"/>
      <c r="R134" s="89"/>
      <c r="S134" s="89"/>
      <c r="T134" s="89"/>
      <c r="U134" s="89"/>
      <c r="V134" s="89"/>
      <c r="W134" s="89"/>
      <c r="X134" s="89"/>
      <c r="Y134" s="89"/>
      <c r="Z134" s="89"/>
      <c r="AA134" s="89"/>
      <c r="AB134" s="89"/>
      <c r="AC134" s="89"/>
      <c r="AD134" s="89"/>
      <c r="AE134" s="89"/>
    </row>
    <row r="135">
      <c r="A135" s="422">
        <v>43038.0</v>
      </c>
      <c r="B135" s="419" t="s">
        <v>551</v>
      </c>
      <c r="C135" s="419" t="s">
        <v>6116</v>
      </c>
      <c r="D135" s="422">
        <v>43035.0</v>
      </c>
      <c r="E135" s="419" t="s">
        <v>6118</v>
      </c>
      <c r="F135" s="419" t="s">
        <v>6119</v>
      </c>
      <c r="G135" s="419" t="s">
        <v>6120</v>
      </c>
      <c r="H135" s="419" t="s">
        <v>763</v>
      </c>
      <c r="I135" s="426"/>
      <c r="J135" s="421" t="s">
        <v>269</v>
      </c>
      <c r="K135" s="421" t="s">
        <v>6121</v>
      </c>
      <c r="L135" s="421" t="s">
        <v>6122</v>
      </c>
      <c r="M135" s="421" t="s">
        <v>6124</v>
      </c>
      <c r="N135" s="421" t="s">
        <v>6125</v>
      </c>
      <c r="O135" s="70" t="s">
        <v>6126</v>
      </c>
      <c r="P135" s="89"/>
      <c r="Q135" s="89"/>
      <c r="R135" s="89"/>
      <c r="S135" s="89"/>
      <c r="T135" s="89"/>
      <c r="U135" s="89"/>
      <c r="V135" s="89"/>
      <c r="W135" s="89"/>
      <c r="X135" s="89"/>
      <c r="Y135" s="89"/>
      <c r="Z135" s="89"/>
      <c r="AA135" s="89"/>
      <c r="AB135" s="89"/>
      <c r="AC135" s="89"/>
      <c r="AD135" s="89"/>
      <c r="AE135" s="89"/>
    </row>
    <row r="136">
      <c r="A136" s="422">
        <v>43042.0</v>
      </c>
      <c r="B136" s="419" t="s">
        <v>551</v>
      </c>
      <c r="C136" s="419" t="s">
        <v>6127</v>
      </c>
      <c r="D136" s="422">
        <v>43038.0</v>
      </c>
      <c r="E136" s="419" t="s">
        <v>6128</v>
      </c>
      <c r="F136" s="419" t="s">
        <v>6129</v>
      </c>
      <c r="G136" s="419" t="s">
        <v>6130</v>
      </c>
      <c r="H136" s="419" t="s">
        <v>5656</v>
      </c>
      <c r="I136" s="426"/>
      <c r="J136" s="421" t="s">
        <v>269</v>
      </c>
      <c r="K136" s="421" t="s">
        <v>6131</v>
      </c>
      <c r="L136" s="421" t="s">
        <v>6132</v>
      </c>
      <c r="M136" s="70" t="s">
        <v>6133</v>
      </c>
      <c r="N136" s="89"/>
      <c r="O136" s="89"/>
      <c r="P136" s="89"/>
      <c r="Q136" s="89"/>
      <c r="R136" s="89"/>
      <c r="S136" s="89"/>
      <c r="T136" s="89"/>
      <c r="U136" s="89"/>
      <c r="V136" s="89"/>
      <c r="W136" s="89"/>
      <c r="X136" s="89"/>
      <c r="Y136" s="89"/>
      <c r="Z136" s="89"/>
      <c r="AA136" s="89"/>
      <c r="AB136" s="89"/>
      <c r="AC136" s="89"/>
      <c r="AD136" s="89"/>
      <c r="AE136" s="89"/>
    </row>
    <row r="137">
      <c r="A137" s="422">
        <v>43042.0</v>
      </c>
      <c r="B137" s="419" t="s">
        <v>551</v>
      </c>
      <c r="C137" s="419" t="s">
        <v>6134</v>
      </c>
      <c r="D137" s="422">
        <v>43042.0</v>
      </c>
      <c r="E137" s="419" t="s">
        <v>6135</v>
      </c>
      <c r="F137" s="419" t="s">
        <v>5875</v>
      </c>
      <c r="G137" s="419" t="s">
        <v>6136</v>
      </c>
      <c r="H137" s="419" t="s">
        <v>5656</v>
      </c>
      <c r="I137" s="426"/>
      <c r="J137" s="421" t="s">
        <v>269</v>
      </c>
      <c r="K137" s="421" t="s">
        <v>6137</v>
      </c>
      <c r="L137" s="421" t="s">
        <v>6138</v>
      </c>
      <c r="M137" s="421" t="s">
        <v>6139</v>
      </c>
      <c r="N137" s="421" t="s">
        <v>6140</v>
      </c>
      <c r="O137" s="421" t="s">
        <v>6141</v>
      </c>
      <c r="P137" s="89"/>
      <c r="Q137" s="89"/>
      <c r="R137" s="89"/>
      <c r="S137" s="89"/>
      <c r="T137" s="89"/>
      <c r="U137" s="89"/>
      <c r="V137" s="89"/>
      <c r="W137" s="89"/>
      <c r="X137" s="89"/>
      <c r="Y137" s="89"/>
      <c r="Z137" s="89"/>
      <c r="AA137" s="89"/>
      <c r="AB137" s="89"/>
      <c r="AC137" s="89"/>
      <c r="AD137" s="89"/>
      <c r="AE137" s="89"/>
    </row>
    <row r="138">
      <c r="A138" s="422">
        <v>43042.0</v>
      </c>
      <c r="B138" s="419" t="s">
        <v>551</v>
      </c>
      <c r="C138" s="419" t="s">
        <v>6142</v>
      </c>
      <c r="D138" s="422">
        <v>43019.0</v>
      </c>
      <c r="E138" s="419" t="s">
        <v>6143</v>
      </c>
      <c r="F138" s="419" t="s">
        <v>6145</v>
      </c>
      <c r="G138" s="419" t="s">
        <v>6147</v>
      </c>
      <c r="H138" s="419" t="s">
        <v>763</v>
      </c>
      <c r="I138" s="426"/>
      <c r="J138" s="421" t="s">
        <v>269</v>
      </c>
      <c r="K138" s="421" t="s">
        <v>6148</v>
      </c>
      <c r="L138" s="421" t="s">
        <v>6149</v>
      </c>
      <c r="M138" s="427" t="s">
        <v>6150</v>
      </c>
      <c r="N138" s="421" t="s">
        <v>6151</v>
      </c>
      <c r="O138" s="89"/>
      <c r="P138" s="89"/>
      <c r="Q138" s="89"/>
      <c r="R138" s="89"/>
      <c r="S138" s="89"/>
      <c r="T138" s="89"/>
      <c r="U138" s="89"/>
      <c r="V138" s="89"/>
      <c r="W138" s="89"/>
      <c r="X138" s="89"/>
      <c r="Y138" s="89"/>
      <c r="Z138" s="89"/>
      <c r="AA138" s="89"/>
      <c r="AB138" s="89"/>
      <c r="AC138" s="89"/>
      <c r="AD138" s="89"/>
      <c r="AE138" s="89"/>
    </row>
    <row r="139">
      <c r="A139" s="422">
        <v>43052.0</v>
      </c>
      <c r="B139" s="419" t="s">
        <v>2569</v>
      </c>
      <c r="C139" s="419" t="s">
        <v>6152</v>
      </c>
      <c r="D139" s="425">
        <v>43031.0</v>
      </c>
      <c r="E139" s="419" t="s">
        <v>6153</v>
      </c>
      <c r="F139" s="419" t="s">
        <v>6154</v>
      </c>
      <c r="G139" s="419" t="s">
        <v>6156</v>
      </c>
      <c r="H139" s="419" t="s">
        <v>788</v>
      </c>
      <c r="I139" s="421" t="s">
        <v>6157</v>
      </c>
      <c r="J139" s="421" t="s">
        <v>269</v>
      </c>
      <c r="K139" s="372"/>
      <c r="L139" s="421" t="s">
        <v>6159</v>
      </c>
      <c r="M139" s="421" t="s">
        <v>6160</v>
      </c>
      <c r="N139" s="89"/>
      <c r="O139" s="89"/>
      <c r="P139" s="89"/>
      <c r="Q139" s="89"/>
      <c r="R139" s="89"/>
      <c r="S139" s="89"/>
      <c r="T139" s="89"/>
      <c r="U139" s="89"/>
      <c r="V139" s="89"/>
      <c r="W139" s="89"/>
      <c r="X139" s="89"/>
      <c r="Y139" s="89"/>
      <c r="Z139" s="89"/>
      <c r="AA139" s="89"/>
      <c r="AB139" s="89"/>
      <c r="AC139" s="89"/>
      <c r="AD139" s="89"/>
      <c r="AE139" s="89"/>
    </row>
    <row r="140">
      <c r="A140" s="422">
        <v>43054.0</v>
      </c>
      <c r="B140" s="419" t="s">
        <v>551</v>
      </c>
      <c r="C140" s="419" t="s">
        <v>6161</v>
      </c>
      <c r="D140" s="425">
        <v>42888.0</v>
      </c>
      <c r="E140" s="419" t="s">
        <v>6162</v>
      </c>
      <c r="F140" s="419" t="s">
        <v>6163</v>
      </c>
      <c r="G140" s="419" t="s">
        <v>6164</v>
      </c>
      <c r="H140" s="419" t="s">
        <v>149</v>
      </c>
      <c r="I140" s="426"/>
      <c r="J140" s="426"/>
      <c r="K140" s="421" t="s">
        <v>6166</v>
      </c>
      <c r="L140" s="421" t="s">
        <v>6167</v>
      </c>
      <c r="M140" s="421" t="s">
        <v>6168</v>
      </c>
      <c r="N140" s="421" t="s">
        <v>6169</v>
      </c>
      <c r="O140" s="89"/>
      <c r="P140" s="89"/>
      <c r="Q140" s="89"/>
      <c r="R140" s="89"/>
      <c r="S140" s="89"/>
      <c r="T140" s="89"/>
      <c r="U140" s="89"/>
      <c r="V140" s="89"/>
      <c r="W140" s="89"/>
      <c r="X140" s="89"/>
      <c r="Y140" s="89"/>
      <c r="Z140" s="89"/>
      <c r="AA140" s="89"/>
      <c r="AB140" s="89"/>
      <c r="AC140" s="89"/>
      <c r="AD140" s="89"/>
      <c r="AE140" s="89"/>
    </row>
    <row r="141">
      <c r="A141" s="422">
        <v>43060.0</v>
      </c>
      <c r="B141" s="419" t="s">
        <v>551</v>
      </c>
      <c r="C141" s="419" t="s">
        <v>6172</v>
      </c>
      <c r="D141" s="425">
        <v>42824.0</v>
      </c>
      <c r="E141" s="419" t="s">
        <v>6173</v>
      </c>
      <c r="F141" s="419" t="s">
        <v>6174</v>
      </c>
      <c r="G141" s="419" t="s">
        <v>6175</v>
      </c>
      <c r="H141" s="419" t="s">
        <v>271</v>
      </c>
      <c r="I141" s="426"/>
      <c r="J141" s="421" t="s">
        <v>269</v>
      </c>
      <c r="K141" s="421" t="s">
        <v>6176</v>
      </c>
      <c r="L141" s="421" t="s">
        <v>6177</v>
      </c>
      <c r="M141" s="89"/>
      <c r="N141" s="89"/>
      <c r="O141" s="89"/>
      <c r="P141" s="89"/>
      <c r="Q141" s="89"/>
      <c r="R141" s="89"/>
      <c r="S141" s="89"/>
      <c r="T141" s="89"/>
      <c r="U141" s="89"/>
      <c r="V141" s="89"/>
      <c r="W141" s="89"/>
      <c r="X141" s="89"/>
      <c r="Y141" s="89"/>
      <c r="Z141" s="89"/>
      <c r="AA141" s="89"/>
      <c r="AB141" s="89"/>
      <c r="AC141" s="89"/>
      <c r="AD141" s="89"/>
      <c r="AE141" s="89"/>
    </row>
    <row r="142">
      <c r="A142" s="422">
        <v>43073.0</v>
      </c>
      <c r="B142" s="419" t="s">
        <v>551</v>
      </c>
      <c r="C142" s="419" t="s">
        <v>6179</v>
      </c>
      <c r="D142" s="425">
        <v>42840.0</v>
      </c>
      <c r="E142" s="419" t="s">
        <v>6180</v>
      </c>
      <c r="F142" s="419" t="s">
        <v>6181</v>
      </c>
      <c r="G142" s="419" t="s">
        <v>6182</v>
      </c>
      <c r="H142" s="420"/>
      <c r="I142" s="89"/>
      <c r="J142" s="89"/>
      <c r="K142" s="70" t="s">
        <v>6183</v>
      </c>
      <c r="L142" s="70" t="s">
        <v>6184</v>
      </c>
      <c r="M142" s="89"/>
      <c r="N142" s="89"/>
      <c r="O142" s="89"/>
      <c r="P142" s="89"/>
      <c r="Q142" s="89"/>
      <c r="R142" s="89"/>
      <c r="S142" s="89"/>
      <c r="T142" s="89"/>
      <c r="U142" s="89"/>
      <c r="V142" s="89"/>
      <c r="W142" s="89"/>
      <c r="X142" s="89"/>
      <c r="Y142" s="89"/>
      <c r="Z142" s="89"/>
      <c r="AA142" s="89"/>
      <c r="AB142" s="89"/>
      <c r="AC142" s="89"/>
      <c r="AD142" s="89"/>
      <c r="AE142" s="89"/>
    </row>
    <row r="143">
      <c r="A143" s="422">
        <v>43074.0</v>
      </c>
      <c r="B143" s="419" t="s">
        <v>551</v>
      </c>
      <c r="C143" s="419" t="s">
        <v>6187</v>
      </c>
      <c r="D143" s="422">
        <v>43066.0</v>
      </c>
      <c r="E143" s="419" t="s">
        <v>6188</v>
      </c>
      <c r="F143" s="419" t="s">
        <v>6189</v>
      </c>
      <c r="G143" s="419" t="s">
        <v>6190</v>
      </c>
      <c r="H143" s="420"/>
      <c r="I143" s="89"/>
      <c r="J143" s="89"/>
      <c r="K143" s="70" t="s">
        <v>6191</v>
      </c>
      <c r="L143" s="440" t="s">
        <v>6192</v>
      </c>
      <c r="M143" s="89"/>
      <c r="N143" s="89"/>
      <c r="O143" s="89"/>
      <c r="P143" s="89"/>
      <c r="Q143" s="89"/>
      <c r="R143" s="89"/>
      <c r="S143" s="89"/>
      <c r="T143" s="89"/>
      <c r="U143" s="89"/>
      <c r="V143" s="89"/>
      <c r="W143" s="89"/>
      <c r="X143" s="89"/>
      <c r="Y143" s="89"/>
      <c r="Z143" s="89"/>
      <c r="AA143" s="89"/>
      <c r="AB143" s="89"/>
      <c r="AC143" s="89"/>
      <c r="AD143" s="89"/>
      <c r="AE143" s="89"/>
    </row>
    <row r="144">
      <c r="A144" s="422">
        <v>43077.0</v>
      </c>
      <c r="B144" s="419" t="s">
        <v>2569</v>
      </c>
      <c r="C144" s="419" t="s">
        <v>6195</v>
      </c>
      <c r="D144" s="425">
        <v>43063.0</v>
      </c>
      <c r="E144" s="419" t="s">
        <v>5664</v>
      </c>
      <c r="F144" s="419" t="s">
        <v>6196</v>
      </c>
      <c r="G144" s="419" t="s">
        <v>6198</v>
      </c>
      <c r="H144" s="420"/>
      <c r="I144" s="70" t="s">
        <v>6199</v>
      </c>
      <c r="J144" s="89"/>
      <c r="K144" s="89"/>
      <c r="L144" s="89"/>
      <c r="M144" s="89"/>
      <c r="N144" s="89"/>
      <c r="O144" s="89"/>
      <c r="P144" s="89"/>
      <c r="Q144" s="89"/>
      <c r="R144" s="89"/>
      <c r="S144" s="89"/>
      <c r="T144" s="89"/>
      <c r="U144" s="89"/>
      <c r="V144" s="89"/>
      <c r="W144" s="89"/>
      <c r="X144" s="89"/>
      <c r="Y144" s="89"/>
      <c r="Z144" s="89"/>
      <c r="AA144" s="89"/>
      <c r="AB144" s="89"/>
      <c r="AC144" s="89"/>
      <c r="AD144" s="89"/>
      <c r="AE144" s="89"/>
    </row>
    <row r="145">
      <c r="A145" s="422">
        <v>43080.0</v>
      </c>
      <c r="B145" s="419" t="s">
        <v>551</v>
      </c>
      <c r="C145" s="419" t="s">
        <v>4511</v>
      </c>
      <c r="D145" s="425">
        <v>43054.0</v>
      </c>
      <c r="E145" s="419" t="s">
        <v>4510</v>
      </c>
      <c r="F145" s="419" t="s">
        <v>6200</v>
      </c>
      <c r="G145" s="419" t="s">
        <v>6201</v>
      </c>
      <c r="H145" s="420"/>
      <c r="I145" s="89"/>
      <c r="J145" s="89"/>
      <c r="K145" s="70" t="s">
        <v>6202</v>
      </c>
      <c r="L145" s="102" t="s">
        <v>6204</v>
      </c>
      <c r="M145" s="70" t="s">
        <v>6205</v>
      </c>
      <c r="N145" s="70" t="s">
        <v>6206</v>
      </c>
      <c r="O145" s="102" t="s">
        <v>6207</v>
      </c>
      <c r="P145" s="70" t="s">
        <v>6209</v>
      </c>
      <c r="Q145" s="89"/>
      <c r="R145" s="89"/>
      <c r="S145" s="89"/>
      <c r="T145" s="89"/>
      <c r="U145" s="89"/>
      <c r="V145" s="89"/>
      <c r="W145" s="89"/>
      <c r="X145" s="89"/>
      <c r="Y145" s="89"/>
      <c r="Z145" s="89"/>
      <c r="AA145" s="89"/>
      <c r="AB145" s="89"/>
      <c r="AC145" s="89"/>
      <c r="AD145" s="89"/>
      <c r="AE145" s="89"/>
    </row>
    <row r="146">
      <c r="A146" s="441">
        <v>43084.0</v>
      </c>
      <c r="B146" s="421" t="s">
        <v>3076</v>
      </c>
      <c r="C146" s="421" t="s">
        <v>6210</v>
      </c>
      <c r="D146" s="442">
        <v>42374.0</v>
      </c>
      <c r="E146" s="421" t="s">
        <v>6211</v>
      </c>
      <c r="F146" s="421" t="s">
        <v>6212</v>
      </c>
      <c r="G146" s="421" t="s">
        <v>6213</v>
      </c>
      <c r="H146" s="421" t="s">
        <v>6215</v>
      </c>
      <c r="I146" s="421" t="s">
        <v>6216</v>
      </c>
      <c r="J146" s="421" t="s">
        <v>6217</v>
      </c>
      <c r="K146" s="89"/>
      <c r="L146" s="89"/>
      <c r="M146" s="89"/>
      <c r="N146" s="89"/>
      <c r="O146" s="89"/>
      <c r="P146" s="89"/>
      <c r="Q146" s="89"/>
      <c r="R146" s="89"/>
      <c r="S146" s="89"/>
      <c r="T146" s="89"/>
      <c r="U146" s="89"/>
      <c r="V146" s="89"/>
      <c r="W146" s="89"/>
      <c r="X146" s="89"/>
      <c r="Y146" s="89"/>
      <c r="Z146" s="89"/>
      <c r="AA146" s="89"/>
      <c r="AB146" s="89"/>
      <c r="AC146" s="89"/>
      <c r="AD146" s="89"/>
      <c r="AE146" s="89"/>
    </row>
    <row r="147">
      <c r="A147" s="422">
        <v>43117.0</v>
      </c>
      <c r="B147" s="419" t="s">
        <v>2569</v>
      </c>
      <c r="C147" s="419" t="s">
        <v>6220</v>
      </c>
      <c r="D147" s="425">
        <v>43068.0</v>
      </c>
      <c r="E147" s="419" t="s">
        <v>6221</v>
      </c>
      <c r="F147" s="419" t="s">
        <v>6222</v>
      </c>
      <c r="G147" s="419" t="s">
        <v>6223</v>
      </c>
      <c r="H147" s="420"/>
      <c r="I147" s="70" t="s">
        <v>6224</v>
      </c>
      <c r="J147" s="89"/>
      <c r="K147" s="89"/>
      <c r="L147" s="89"/>
      <c r="M147" s="89"/>
      <c r="N147" s="89"/>
      <c r="O147" s="89"/>
      <c r="P147" s="89"/>
      <c r="Q147" s="89"/>
      <c r="R147" s="89"/>
      <c r="S147" s="89"/>
      <c r="T147" s="89"/>
      <c r="U147" s="89"/>
      <c r="V147" s="89"/>
      <c r="W147" s="89"/>
      <c r="X147" s="89"/>
      <c r="Y147" s="89"/>
      <c r="Z147" s="89"/>
      <c r="AA147" s="89"/>
      <c r="AB147" s="89"/>
      <c r="AC147" s="89"/>
      <c r="AD147" s="89"/>
      <c r="AE147" s="89"/>
    </row>
    <row r="148">
      <c r="A148" s="422">
        <v>43117.0</v>
      </c>
      <c r="B148" s="419" t="s">
        <v>551</v>
      </c>
      <c r="C148" s="419" t="s">
        <v>6226</v>
      </c>
      <c r="D148" s="425">
        <v>42922.0</v>
      </c>
      <c r="E148" s="419" t="s">
        <v>6227</v>
      </c>
      <c r="F148" s="419" t="s">
        <v>6219</v>
      </c>
      <c r="G148" s="419" t="s">
        <v>6228</v>
      </c>
      <c r="H148" s="420"/>
      <c r="I148" s="89"/>
      <c r="J148" s="89"/>
      <c r="K148" s="70" t="s">
        <v>6230</v>
      </c>
      <c r="L148" s="70" t="s">
        <v>6231</v>
      </c>
      <c r="M148" s="440" t="s">
        <v>6232</v>
      </c>
      <c r="N148" s="89"/>
      <c r="O148" s="89"/>
      <c r="P148" s="89"/>
      <c r="Q148" s="89"/>
      <c r="R148" s="89"/>
      <c r="S148" s="89"/>
      <c r="T148" s="89"/>
      <c r="U148" s="89"/>
      <c r="V148" s="89"/>
      <c r="W148" s="89"/>
      <c r="X148" s="89"/>
      <c r="Y148" s="89"/>
      <c r="Z148" s="89"/>
      <c r="AA148" s="89"/>
      <c r="AB148" s="89"/>
      <c r="AC148" s="89"/>
      <c r="AD148" s="89"/>
      <c r="AE148" s="89"/>
    </row>
    <row r="149">
      <c r="A149" s="422">
        <v>43119.0</v>
      </c>
      <c r="B149" s="419" t="s">
        <v>551</v>
      </c>
      <c r="C149" s="419" t="s">
        <v>6233</v>
      </c>
      <c r="D149" s="422">
        <v>43119.0</v>
      </c>
      <c r="E149" s="419" t="s">
        <v>6235</v>
      </c>
      <c r="F149" s="419" t="s">
        <v>6236</v>
      </c>
      <c r="G149" s="419" t="s">
        <v>6237</v>
      </c>
      <c r="H149" s="420"/>
      <c r="I149" s="70" t="s">
        <v>6238</v>
      </c>
      <c r="J149" s="89"/>
      <c r="K149" s="443" t="s">
        <v>6239</v>
      </c>
      <c r="L149" s="70" t="s">
        <v>6240</v>
      </c>
      <c r="M149" s="89"/>
      <c r="N149" s="89"/>
      <c r="O149" s="89"/>
      <c r="P149" s="89"/>
      <c r="Q149" s="89"/>
      <c r="R149" s="89"/>
      <c r="S149" s="89"/>
      <c r="T149" s="89"/>
      <c r="U149" s="89"/>
      <c r="V149" s="89"/>
      <c r="W149" s="89"/>
      <c r="X149" s="89"/>
      <c r="Y149" s="89"/>
      <c r="Z149" s="89"/>
      <c r="AA149" s="89"/>
      <c r="AB149" s="89"/>
      <c r="AC149" s="89"/>
      <c r="AD149" s="89"/>
      <c r="AE149" s="89"/>
    </row>
    <row r="150">
      <c r="A150" s="422">
        <v>43129.0</v>
      </c>
      <c r="B150" s="419" t="s">
        <v>551</v>
      </c>
      <c r="C150" s="419" t="s">
        <v>6241</v>
      </c>
      <c r="D150" s="425">
        <v>43006.0</v>
      </c>
      <c r="E150" s="419" t="s">
        <v>6242</v>
      </c>
      <c r="F150" s="419" t="s">
        <v>6243</v>
      </c>
      <c r="G150" s="419" t="s">
        <v>6244</v>
      </c>
      <c r="H150" s="420"/>
      <c r="I150" s="70" t="s">
        <v>6245</v>
      </c>
      <c r="J150" s="89"/>
      <c r="K150" s="70" t="s">
        <v>6246</v>
      </c>
      <c r="L150" s="443" t="s">
        <v>6247</v>
      </c>
      <c r="M150" s="89"/>
      <c r="N150" s="89"/>
      <c r="O150" s="89"/>
      <c r="P150" s="89"/>
      <c r="Q150" s="89"/>
      <c r="R150" s="89"/>
      <c r="S150" s="89"/>
      <c r="T150" s="89"/>
      <c r="U150" s="89"/>
      <c r="V150" s="89"/>
      <c r="W150" s="89"/>
      <c r="X150" s="89"/>
      <c r="Y150" s="89"/>
      <c r="Z150" s="89"/>
      <c r="AA150" s="89"/>
      <c r="AB150" s="89"/>
      <c r="AC150" s="89"/>
      <c r="AD150" s="89"/>
      <c r="AE150" s="89"/>
    </row>
    <row r="151">
      <c r="A151" s="425">
        <v>43115.0</v>
      </c>
      <c r="B151" s="419" t="s">
        <v>3076</v>
      </c>
      <c r="C151" s="419" t="s">
        <v>6248</v>
      </c>
      <c r="D151" s="425">
        <v>42915.0</v>
      </c>
      <c r="E151" s="419" t="s">
        <v>6249</v>
      </c>
      <c r="F151" s="419" t="s">
        <v>6250</v>
      </c>
      <c r="G151" s="419" t="s">
        <v>6251</v>
      </c>
      <c r="H151" s="419" t="s">
        <v>271</v>
      </c>
      <c r="I151" s="70" t="s">
        <v>6252</v>
      </c>
      <c r="J151" s="89"/>
      <c r="K151" s="70" t="s">
        <v>6253</v>
      </c>
      <c r="L151" s="89"/>
      <c r="M151" s="89"/>
      <c r="N151" s="89"/>
      <c r="O151" s="89"/>
      <c r="P151" s="89"/>
      <c r="Q151" s="89"/>
      <c r="R151" s="89"/>
      <c r="S151" s="89"/>
      <c r="T151" s="89"/>
      <c r="U151" s="89"/>
      <c r="V151" s="89"/>
      <c r="W151" s="89"/>
      <c r="X151" s="89"/>
      <c r="Y151" s="89"/>
      <c r="Z151" s="89"/>
      <c r="AA151" s="89"/>
      <c r="AB151" s="89"/>
      <c r="AC151" s="89"/>
      <c r="AD151" s="89"/>
      <c r="AE151" s="89"/>
    </row>
    <row r="152">
      <c r="A152" s="422">
        <v>43140.0</v>
      </c>
      <c r="B152" s="419" t="s">
        <v>6254</v>
      </c>
      <c r="C152" s="419" t="s">
        <v>6255</v>
      </c>
      <c r="D152" s="425">
        <v>43139.0</v>
      </c>
      <c r="E152" s="444" t="s">
        <v>6256</v>
      </c>
      <c r="F152" s="76" t="s">
        <v>6257</v>
      </c>
      <c r="G152" s="419" t="s">
        <v>6258</v>
      </c>
      <c r="H152" s="419" t="s">
        <v>314</v>
      </c>
      <c r="I152" s="70" t="s">
        <v>6259</v>
      </c>
      <c r="J152" s="89"/>
      <c r="K152" s="89"/>
      <c r="L152" s="89"/>
      <c r="M152" s="89"/>
      <c r="N152" s="89"/>
      <c r="O152" s="89"/>
      <c r="P152" s="89"/>
      <c r="Q152" s="89"/>
      <c r="R152" s="89"/>
      <c r="S152" s="89"/>
      <c r="T152" s="89"/>
      <c r="U152" s="89"/>
      <c r="V152" s="89"/>
      <c r="W152" s="89"/>
      <c r="X152" s="89"/>
      <c r="Y152" s="89"/>
      <c r="Z152" s="89"/>
      <c r="AA152" s="89"/>
      <c r="AB152" s="89"/>
      <c r="AC152" s="89"/>
      <c r="AD152" s="89"/>
      <c r="AE152" s="89"/>
    </row>
    <row r="153">
      <c r="A153" s="422">
        <v>43213.0</v>
      </c>
      <c r="B153" s="419" t="s">
        <v>551</v>
      </c>
      <c r="C153" s="419" t="s">
        <v>6262</v>
      </c>
      <c r="D153" s="425">
        <v>43213.0</v>
      </c>
      <c r="E153" s="419" t="s">
        <v>6263</v>
      </c>
      <c r="F153" s="419" t="s">
        <v>6264</v>
      </c>
      <c r="G153" s="419" t="s">
        <v>6265</v>
      </c>
      <c r="H153" s="419" t="s">
        <v>149</v>
      </c>
      <c r="I153" s="421" t="s">
        <v>6266</v>
      </c>
      <c r="J153" s="426"/>
      <c r="K153" s="421" t="s">
        <v>6267</v>
      </c>
      <c r="L153" s="421" t="s">
        <v>6268</v>
      </c>
      <c r="M153" s="421" t="s">
        <v>6269</v>
      </c>
      <c r="N153" s="89"/>
      <c r="O153" s="89"/>
      <c r="P153" s="89"/>
      <c r="Q153" s="89"/>
      <c r="R153" s="89"/>
      <c r="S153" s="89"/>
      <c r="T153" s="89"/>
      <c r="U153" s="89"/>
      <c r="V153" s="89"/>
      <c r="W153" s="89"/>
      <c r="X153" s="89"/>
      <c r="Y153" s="89"/>
      <c r="Z153" s="89"/>
      <c r="AA153" s="89"/>
      <c r="AB153" s="89"/>
      <c r="AC153" s="89"/>
      <c r="AD153" s="89"/>
      <c r="AE153" s="89"/>
    </row>
    <row r="154">
      <c r="A154" s="445"/>
      <c r="B154" s="420"/>
      <c r="C154" s="420"/>
      <c r="D154" s="420"/>
      <c r="E154" s="420"/>
      <c r="F154" s="420"/>
      <c r="G154" s="420"/>
      <c r="H154" s="420"/>
      <c r="I154" s="89"/>
      <c r="J154" s="89"/>
      <c r="K154" s="89"/>
      <c r="L154" s="89"/>
      <c r="M154" s="89"/>
      <c r="N154" s="89"/>
      <c r="O154" s="89"/>
      <c r="P154" s="89"/>
      <c r="Q154" s="89"/>
      <c r="R154" s="89"/>
      <c r="S154" s="89"/>
      <c r="T154" s="89"/>
      <c r="U154" s="89"/>
      <c r="V154" s="89"/>
      <c r="W154" s="89"/>
      <c r="X154" s="89"/>
      <c r="Y154" s="89"/>
      <c r="Z154" s="89"/>
      <c r="AA154" s="89"/>
      <c r="AB154" s="89"/>
      <c r="AC154" s="89"/>
      <c r="AD154" s="89"/>
      <c r="AE154" s="89"/>
    </row>
    <row r="155">
      <c r="A155" s="445"/>
      <c r="B155" s="420"/>
      <c r="C155" s="420"/>
      <c r="D155" s="420"/>
      <c r="E155" s="420"/>
      <c r="F155" s="420"/>
      <c r="G155" s="420"/>
      <c r="H155" s="420"/>
      <c r="I155" s="89"/>
      <c r="J155" s="89"/>
      <c r="K155" s="89"/>
      <c r="L155" s="89"/>
      <c r="M155" s="89"/>
      <c r="N155" s="89"/>
      <c r="O155" s="89"/>
      <c r="P155" s="89"/>
      <c r="Q155" s="89"/>
      <c r="R155" s="89"/>
      <c r="S155" s="89"/>
      <c r="T155" s="89"/>
      <c r="U155" s="89"/>
      <c r="V155" s="89"/>
      <c r="W155" s="89"/>
      <c r="X155" s="89"/>
      <c r="Y155" s="89"/>
      <c r="Z155" s="89"/>
      <c r="AA155" s="89"/>
      <c r="AB155" s="89"/>
      <c r="AC155" s="89"/>
      <c r="AD155" s="89"/>
      <c r="AE155" s="89"/>
    </row>
    <row r="156">
      <c r="A156" s="445"/>
      <c r="B156" s="420"/>
      <c r="C156" s="420"/>
      <c r="D156" s="420"/>
      <c r="E156" s="420"/>
      <c r="F156" s="420"/>
      <c r="G156" s="420"/>
      <c r="H156" s="420"/>
      <c r="I156" s="89"/>
      <c r="J156" s="89"/>
      <c r="K156" s="89"/>
      <c r="L156" s="89"/>
      <c r="M156" s="89"/>
      <c r="N156" s="89"/>
      <c r="O156" s="89"/>
      <c r="P156" s="89"/>
      <c r="Q156" s="89"/>
      <c r="R156" s="89"/>
      <c r="S156" s="89"/>
      <c r="T156" s="89"/>
      <c r="U156" s="89"/>
      <c r="V156" s="89"/>
      <c r="W156" s="89"/>
      <c r="X156" s="89"/>
      <c r="Y156" s="89"/>
      <c r="Z156" s="89"/>
      <c r="AA156" s="89"/>
      <c r="AB156" s="89"/>
      <c r="AC156" s="89"/>
      <c r="AD156" s="89"/>
      <c r="AE156" s="89"/>
    </row>
    <row r="157">
      <c r="A157" s="445"/>
      <c r="B157" s="420"/>
      <c r="C157" s="420"/>
      <c r="D157" s="420"/>
      <c r="E157" s="420"/>
      <c r="F157" s="420"/>
      <c r="G157" s="420"/>
      <c r="H157" s="420"/>
      <c r="I157" s="89"/>
      <c r="J157" s="89"/>
      <c r="K157" s="89"/>
      <c r="L157" s="89"/>
      <c r="M157" s="89"/>
      <c r="N157" s="89"/>
      <c r="O157" s="89"/>
      <c r="P157" s="89"/>
      <c r="Q157" s="89"/>
      <c r="R157" s="89"/>
      <c r="S157" s="89"/>
      <c r="T157" s="89"/>
      <c r="U157" s="89"/>
      <c r="V157" s="89"/>
      <c r="W157" s="89"/>
      <c r="X157" s="89"/>
      <c r="Y157" s="89"/>
      <c r="Z157" s="89"/>
      <c r="AA157" s="89"/>
      <c r="AB157" s="89"/>
      <c r="AC157" s="89"/>
      <c r="AD157" s="89"/>
      <c r="AE157" s="89"/>
    </row>
    <row r="158">
      <c r="A158" s="445"/>
      <c r="B158" s="420"/>
      <c r="C158" s="420"/>
      <c r="D158" s="420"/>
      <c r="E158" s="420"/>
      <c r="F158" s="420"/>
      <c r="G158" s="420"/>
      <c r="H158" s="420"/>
      <c r="I158" s="89"/>
      <c r="J158" s="89"/>
      <c r="K158" s="89"/>
      <c r="L158" s="89"/>
      <c r="M158" s="89"/>
      <c r="N158" s="89"/>
      <c r="O158" s="89"/>
      <c r="P158" s="89"/>
      <c r="Q158" s="89"/>
      <c r="R158" s="89"/>
      <c r="S158" s="89"/>
      <c r="T158" s="89"/>
      <c r="U158" s="89"/>
      <c r="V158" s="89"/>
      <c r="W158" s="89"/>
      <c r="X158" s="89"/>
      <c r="Y158" s="89"/>
      <c r="Z158" s="89"/>
      <c r="AA158" s="89"/>
      <c r="AB158" s="89"/>
      <c r="AC158" s="89"/>
      <c r="AD158" s="89"/>
      <c r="AE158" s="89"/>
    </row>
    <row r="159">
      <c r="A159" s="445"/>
      <c r="B159" s="420"/>
      <c r="C159" s="420"/>
      <c r="D159" s="420"/>
      <c r="E159" s="420"/>
      <c r="F159" s="420"/>
      <c r="G159" s="420"/>
      <c r="H159" s="420"/>
      <c r="I159" s="89"/>
      <c r="J159" s="89"/>
      <c r="K159" s="89"/>
      <c r="L159" s="89"/>
      <c r="M159" s="89"/>
      <c r="N159" s="89"/>
      <c r="O159" s="89"/>
      <c r="P159" s="89"/>
      <c r="Q159" s="89"/>
      <c r="R159" s="89"/>
      <c r="S159" s="89"/>
      <c r="T159" s="89"/>
      <c r="U159" s="89"/>
      <c r="V159" s="89"/>
      <c r="W159" s="89"/>
      <c r="X159" s="89"/>
      <c r="Y159" s="89"/>
      <c r="Z159" s="89"/>
      <c r="AA159" s="89"/>
      <c r="AB159" s="89"/>
      <c r="AC159" s="89"/>
      <c r="AD159" s="89"/>
      <c r="AE159" s="89"/>
    </row>
    <row r="160">
      <c r="A160" s="445"/>
      <c r="B160" s="420"/>
      <c r="C160" s="420"/>
      <c r="D160" s="420"/>
      <c r="E160" s="420"/>
      <c r="F160" s="420"/>
      <c r="G160" s="420"/>
      <c r="H160" s="420"/>
      <c r="I160" s="89"/>
      <c r="J160" s="89"/>
      <c r="K160" s="89"/>
      <c r="L160" s="89"/>
      <c r="M160" s="89"/>
      <c r="N160" s="89"/>
      <c r="O160" s="89"/>
      <c r="P160" s="89"/>
      <c r="Q160" s="89"/>
      <c r="R160" s="89"/>
      <c r="S160" s="89"/>
      <c r="T160" s="89"/>
      <c r="U160" s="89"/>
      <c r="V160" s="89"/>
      <c r="W160" s="89"/>
      <c r="X160" s="89"/>
      <c r="Y160" s="89"/>
      <c r="Z160" s="89"/>
      <c r="AA160" s="89"/>
      <c r="AB160" s="89"/>
      <c r="AC160" s="89"/>
      <c r="AD160" s="89"/>
      <c r="AE160" s="89"/>
    </row>
    <row r="161">
      <c r="A161" s="445"/>
      <c r="B161" s="420"/>
      <c r="C161" s="420"/>
      <c r="D161" s="420"/>
      <c r="E161" s="420"/>
      <c r="F161" s="420"/>
      <c r="G161" s="420"/>
      <c r="H161" s="420"/>
      <c r="I161" s="89"/>
      <c r="J161" s="89"/>
      <c r="K161" s="89"/>
      <c r="L161" s="89"/>
      <c r="M161" s="89"/>
      <c r="N161" s="89"/>
      <c r="O161" s="89"/>
      <c r="P161" s="89"/>
      <c r="Q161" s="89"/>
      <c r="R161" s="89"/>
      <c r="S161" s="89"/>
      <c r="T161" s="89"/>
      <c r="U161" s="89"/>
      <c r="V161" s="89"/>
      <c r="W161" s="89"/>
      <c r="X161" s="89"/>
      <c r="Y161" s="89"/>
      <c r="Z161" s="89"/>
      <c r="AA161" s="89"/>
      <c r="AB161" s="89"/>
      <c r="AC161" s="89"/>
      <c r="AD161" s="89"/>
      <c r="AE161" s="89"/>
    </row>
    <row r="162">
      <c r="A162" s="445"/>
      <c r="B162" s="420"/>
      <c r="C162" s="420"/>
      <c r="D162" s="420"/>
      <c r="E162" s="420"/>
      <c r="F162" s="420"/>
      <c r="G162" s="420"/>
      <c r="H162" s="420"/>
      <c r="I162" s="89"/>
      <c r="J162" s="89"/>
      <c r="K162" s="89"/>
      <c r="L162" s="89"/>
      <c r="M162" s="89"/>
      <c r="N162" s="89"/>
      <c r="O162" s="89"/>
      <c r="P162" s="89"/>
      <c r="Q162" s="89"/>
      <c r="R162" s="89"/>
      <c r="S162" s="89"/>
      <c r="T162" s="89"/>
      <c r="U162" s="89"/>
      <c r="V162" s="89"/>
      <c r="W162" s="89"/>
      <c r="X162" s="89"/>
      <c r="Y162" s="89"/>
      <c r="Z162" s="89"/>
      <c r="AA162" s="89"/>
      <c r="AB162" s="89"/>
      <c r="AC162" s="89"/>
      <c r="AD162" s="89"/>
      <c r="AE162" s="89"/>
    </row>
    <row r="163">
      <c r="A163" s="445"/>
      <c r="B163" s="420"/>
      <c r="C163" s="420"/>
      <c r="D163" s="420"/>
      <c r="E163" s="420"/>
      <c r="F163" s="420"/>
      <c r="G163" s="420"/>
      <c r="H163" s="420"/>
      <c r="I163" s="89"/>
      <c r="J163" s="89"/>
      <c r="K163" s="89"/>
      <c r="L163" s="89"/>
      <c r="M163" s="89"/>
      <c r="N163" s="89"/>
      <c r="O163" s="89"/>
      <c r="P163" s="89"/>
      <c r="Q163" s="89"/>
      <c r="R163" s="89"/>
      <c r="S163" s="89"/>
      <c r="T163" s="89"/>
      <c r="U163" s="89"/>
      <c r="V163" s="89"/>
      <c r="W163" s="89"/>
      <c r="X163" s="89"/>
      <c r="Y163" s="89"/>
      <c r="Z163" s="89"/>
      <c r="AA163" s="89"/>
      <c r="AB163" s="89"/>
      <c r="AC163" s="89"/>
      <c r="AD163" s="89"/>
      <c r="AE163" s="89"/>
    </row>
    <row r="164">
      <c r="A164" s="445"/>
      <c r="B164" s="420"/>
      <c r="C164" s="420"/>
      <c r="D164" s="420"/>
      <c r="E164" s="420"/>
      <c r="F164" s="420"/>
      <c r="G164" s="420"/>
      <c r="H164" s="420"/>
      <c r="I164" s="89"/>
      <c r="J164" s="89"/>
      <c r="K164" s="89"/>
      <c r="L164" s="89"/>
      <c r="M164" s="89"/>
      <c r="N164" s="89"/>
      <c r="O164" s="89"/>
      <c r="P164" s="89"/>
      <c r="Q164" s="89"/>
      <c r="R164" s="89"/>
      <c r="S164" s="89"/>
      <c r="T164" s="89"/>
      <c r="U164" s="89"/>
      <c r="V164" s="89"/>
      <c r="W164" s="89"/>
      <c r="X164" s="89"/>
      <c r="Y164" s="89"/>
      <c r="Z164" s="89"/>
      <c r="AA164" s="89"/>
      <c r="AB164" s="89"/>
      <c r="AC164" s="89"/>
      <c r="AD164" s="89"/>
      <c r="AE164" s="89"/>
    </row>
    <row r="165">
      <c r="A165" s="445"/>
      <c r="B165" s="420"/>
      <c r="C165" s="420"/>
      <c r="D165" s="420"/>
      <c r="E165" s="420"/>
      <c r="F165" s="420"/>
      <c r="G165" s="420"/>
      <c r="H165" s="420"/>
      <c r="I165" s="89"/>
      <c r="J165" s="89"/>
      <c r="K165" s="89"/>
      <c r="L165" s="89"/>
      <c r="M165" s="89"/>
      <c r="N165" s="89"/>
      <c r="O165" s="89"/>
      <c r="P165" s="89"/>
      <c r="Q165" s="89"/>
      <c r="R165" s="89"/>
      <c r="S165" s="89"/>
      <c r="T165" s="89"/>
      <c r="U165" s="89"/>
      <c r="V165" s="89"/>
      <c r="W165" s="89"/>
      <c r="X165" s="89"/>
      <c r="Y165" s="89"/>
      <c r="Z165" s="89"/>
      <c r="AA165" s="89"/>
      <c r="AB165" s="89"/>
      <c r="AC165" s="89"/>
      <c r="AD165" s="89"/>
      <c r="AE165" s="89"/>
    </row>
    <row r="166">
      <c r="A166" s="445"/>
      <c r="B166" s="420"/>
      <c r="C166" s="420"/>
      <c r="D166" s="420"/>
      <c r="E166" s="420"/>
      <c r="F166" s="420"/>
      <c r="G166" s="420"/>
      <c r="H166" s="420"/>
      <c r="I166" s="89"/>
      <c r="J166" s="89"/>
      <c r="K166" s="89"/>
      <c r="L166" s="89"/>
      <c r="M166" s="89"/>
      <c r="N166" s="89"/>
      <c r="O166" s="89"/>
      <c r="P166" s="89"/>
      <c r="Q166" s="89"/>
      <c r="R166" s="89"/>
      <c r="S166" s="89"/>
      <c r="T166" s="89"/>
      <c r="U166" s="89"/>
      <c r="V166" s="89"/>
      <c r="W166" s="89"/>
      <c r="X166" s="89"/>
      <c r="Y166" s="89"/>
      <c r="Z166" s="89"/>
      <c r="AA166" s="89"/>
      <c r="AB166" s="89"/>
      <c r="AC166" s="89"/>
      <c r="AD166" s="89"/>
      <c r="AE166" s="89"/>
    </row>
    <row r="167">
      <c r="A167" s="445"/>
      <c r="B167" s="420"/>
      <c r="C167" s="420"/>
      <c r="D167" s="420"/>
      <c r="E167" s="420"/>
      <c r="F167" s="420"/>
      <c r="G167" s="420"/>
      <c r="H167" s="420"/>
      <c r="I167" s="89"/>
      <c r="J167" s="89"/>
      <c r="K167" s="89"/>
      <c r="L167" s="89"/>
      <c r="M167" s="89"/>
      <c r="N167" s="89"/>
      <c r="O167" s="89"/>
      <c r="P167" s="89"/>
      <c r="Q167" s="89"/>
      <c r="R167" s="89"/>
      <c r="S167" s="89"/>
      <c r="T167" s="89"/>
      <c r="U167" s="89"/>
      <c r="V167" s="89"/>
      <c r="W167" s="89"/>
      <c r="X167" s="89"/>
      <c r="Y167" s="89"/>
      <c r="Z167" s="89"/>
      <c r="AA167" s="89"/>
      <c r="AB167" s="89"/>
      <c r="AC167" s="89"/>
      <c r="AD167" s="89"/>
      <c r="AE167" s="89"/>
    </row>
    <row r="168">
      <c r="A168" s="445"/>
      <c r="B168" s="420"/>
      <c r="C168" s="420"/>
      <c r="D168" s="420"/>
      <c r="E168" s="420"/>
      <c r="F168" s="420"/>
      <c r="G168" s="420"/>
      <c r="H168" s="420"/>
      <c r="I168" s="89"/>
      <c r="J168" s="89"/>
      <c r="K168" s="89"/>
      <c r="L168" s="89"/>
      <c r="M168" s="89"/>
      <c r="N168" s="89"/>
      <c r="O168" s="89"/>
      <c r="P168" s="89"/>
      <c r="Q168" s="89"/>
      <c r="R168" s="89"/>
      <c r="S168" s="89"/>
      <c r="T168" s="89"/>
      <c r="U168" s="89"/>
      <c r="V168" s="89"/>
      <c r="W168" s="89"/>
      <c r="X168" s="89"/>
      <c r="Y168" s="89"/>
      <c r="Z168" s="89"/>
      <c r="AA168" s="89"/>
      <c r="AB168" s="89"/>
      <c r="AC168" s="89"/>
      <c r="AD168" s="89"/>
      <c r="AE168" s="89"/>
    </row>
    <row r="169">
      <c r="A169" s="445"/>
      <c r="B169" s="420"/>
      <c r="C169" s="420"/>
      <c r="D169" s="420"/>
      <c r="E169" s="420"/>
      <c r="F169" s="420"/>
      <c r="G169" s="420"/>
      <c r="H169" s="420"/>
      <c r="I169" s="89"/>
      <c r="J169" s="89"/>
      <c r="K169" s="89"/>
      <c r="L169" s="89"/>
      <c r="M169" s="89"/>
      <c r="N169" s="89"/>
      <c r="O169" s="89"/>
      <c r="P169" s="89"/>
      <c r="Q169" s="89"/>
      <c r="R169" s="89"/>
      <c r="S169" s="89"/>
      <c r="T169" s="89"/>
      <c r="U169" s="89"/>
      <c r="V169" s="89"/>
      <c r="W169" s="89"/>
      <c r="X169" s="89"/>
      <c r="Y169" s="89"/>
      <c r="Z169" s="89"/>
      <c r="AA169" s="89"/>
      <c r="AB169" s="89"/>
      <c r="AC169" s="89"/>
      <c r="AD169" s="89"/>
      <c r="AE169" s="89"/>
    </row>
    <row r="170">
      <c r="A170" s="445"/>
      <c r="B170" s="420"/>
      <c r="C170" s="420"/>
      <c r="D170" s="420"/>
      <c r="E170" s="420"/>
      <c r="F170" s="420"/>
      <c r="G170" s="420"/>
      <c r="H170" s="420"/>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row>
    <row r="171">
      <c r="A171" s="445"/>
      <c r="B171" s="420"/>
      <c r="C171" s="420"/>
      <c r="D171" s="420"/>
      <c r="E171" s="420"/>
      <c r="F171" s="420"/>
      <c r="G171" s="420"/>
      <c r="H171" s="420"/>
      <c r="I171" s="89"/>
      <c r="J171" s="89"/>
      <c r="K171" s="89"/>
      <c r="L171" s="89"/>
      <c r="M171" s="89"/>
      <c r="N171" s="89"/>
      <c r="O171" s="89"/>
      <c r="P171" s="89"/>
      <c r="Q171" s="89"/>
      <c r="R171" s="89"/>
      <c r="S171" s="89"/>
      <c r="T171" s="89"/>
      <c r="U171" s="89"/>
      <c r="V171" s="89"/>
      <c r="W171" s="89"/>
      <c r="X171" s="89"/>
      <c r="Y171" s="89"/>
      <c r="Z171" s="89"/>
      <c r="AA171" s="89"/>
      <c r="AB171" s="89"/>
      <c r="AC171" s="89"/>
      <c r="AD171" s="89"/>
      <c r="AE171" s="89"/>
    </row>
    <row r="172">
      <c r="A172" s="445"/>
      <c r="B172" s="420"/>
      <c r="C172" s="420"/>
      <c r="D172" s="420"/>
      <c r="E172" s="420"/>
      <c r="F172" s="420"/>
      <c r="G172" s="420"/>
      <c r="H172" s="420"/>
      <c r="I172" s="89"/>
      <c r="J172" s="89"/>
      <c r="K172" s="89"/>
      <c r="L172" s="89"/>
      <c r="M172" s="89"/>
      <c r="N172" s="89"/>
      <c r="O172" s="89"/>
      <c r="P172" s="89"/>
      <c r="Q172" s="89"/>
      <c r="R172" s="89"/>
      <c r="S172" s="89"/>
      <c r="T172" s="89"/>
      <c r="U172" s="89"/>
      <c r="V172" s="89"/>
      <c r="W172" s="89"/>
      <c r="X172" s="89"/>
      <c r="Y172" s="89"/>
      <c r="Z172" s="89"/>
      <c r="AA172" s="89"/>
      <c r="AB172" s="89"/>
      <c r="AC172" s="89"/>
      <c r="AD172" s="89"/>
      <c r="AE172" s="89"/>
    </row>
    <row r="173">
      <c r="A173" s="445"/>
      <c r="B173" s="420"/>
      <c r="C173" s="420"/>
      <c r="D173" s="420"/>
      <c r="E173" s="420"/>
      <c r="F173" s="420"/>
      <c r="G173" s="420"/>
      <c r="H173" s="420"/>
      <c r="I173" s="89"/>
      <c r="J173" s="89"/>
      <c r="K173" s="89"/>
      <c r="L173" s="89"/>
      <c r="M173" s="89"/>
      <c r="N173" s="89"/>
      <c r="O173" s="89"/>
      <c r="P173" s="89"/>
      <c r="Q173" s="89"/>
      <c r="R173" s="89"/>
      <c r="S173" s="89"/>
      <c r="T173" s="89"/>
      <c r="U173" s="89"/>
      <c r="V173" s="89"/>
      <c r="W173" s="89"/>
      <c r="X173" s="89"/>
      <c r="Y173" s="89"/>
      <c r="Z173" s="89"/>
      <c r="AA173" s="89"/>
      <c r="AB173" s="89"/>
      <c r="AC173" s="89"/>
      <c r="AD173" s="89"/>
      <c r="AE173" s="89"/>
    </row>
    <row r="174">
      <c r="A174" s="445"/>
      <c r="B174" s="420"/>
      <c r="C174" s="420"/>
      <c r="D174" s="420"/>
      <c r="E174" s="420"/>
      <c r="F174" s="420"/>
      <c r="G174" s="420"/>
      <c r="H174" s="420"/>
      <c r="I174" s="89"/>
      <c r="J174" s="89"/>
      <c r="K174" s="89"/>
      <c r="L174" s="89"/>
      <c r="M174" s="89"/>
      <c r="N174" s="89"/>
      <c r="O174" s="89"/>
      <c r="P174" s="89"/>
      <c r="Q174" s="89"/>
      <c r="R174" s="89"/>
      <c r="S174" s="89"/>
      <c r="T174" s="89"/>
      <c r="U174" s="89"/>
      <c r="V174" s="89"/>
      <c r="W174" s="89"/>
      <c r="X174" s="89"/>
      <c r="Y174" s="89"/>
      <c r="Z174" s="89"/>
      <c r="AA174" s="89"/>
      <c r="AB174" s="89"/>
      <c r="AC174" s="89"/>
      <c r="AD174" s="89"/>
      <c r="AE174" s="89"/>
    </row>
    <row r="175">
      <c r="A175" s="445"/>
      <c r="B175" s="420"/>
      <c r="C175" s="420"/>
      <c r="D175" s="420"/>
      <c r="E175" s="420"/>
      <c r="F175" s="420"/>
      <c r="G175" s="420"/>
      <c r="H175" s="420"/>
      <c r="I175" s="89"/>
      <c r="J175" s="89"/>
      <c r="K175" s="89"/>
      <c r="L175" s="89"/>
      <c r="M175" s="89"/>
      <c r="N175" s="89"/>
      <c r="O175" s="89"/>
      <c r="P175" s="89"/>
      <c r="Q175" s="89"/>
      <c r="R175" s="89"/>
      <c r="S175" s="89"/>
      <c r="T175" s="89"/>
      <c r="U175" s="89"/>
      <c r="V175" s="89"/>
      <c r="W175" s="89"/>
      <c r="X175" s="89"/>
      <c r="Y175" s="89"/>
      <c r="Z175" s="89"/>
      <c r="AA175" s="89"/>
      <c r="AB175" s="89"/>
      <c r="AC175" s="89"/>
      <c r="AD175" s="89"/>
      <c r="AE175" s="89"/>
    </row>
    <row r="176">
      <c r="A176" s="445"/>
      <c r="B176" s="420"/>
      <c r="C176" s="420"/>
      <c r="D176" s="420"/>
      <c r="E176" s="420"/>
      <c r="F176" s="420"/>
      <c r="G176" s="420"/>
      <c r="H176" s="420"/>
      <c r="I176" s="89"/>
      <c r="J176" s="89"/>
      <c r="K176" s="89"/>
      <c r="L176" s="89"/>
      <c r="M176" s="89"/>
      <c r="N176" s="89"/>
      <c r="O176" s="89"/>
      <c r="P176" s="89"/>
      <c r="Q176" s="89"/>
      <c r="R176" s="89"/>
      <c r="S176" s="89"/>
      <c r="T176" s="89"/>
      <c r="U176" s="89"/>
      <c r="V176" s="89"/>
      <c r="W176" s="89"/>
      <c r="X176" s="89"/>
      <c r="Y176" s="89"/>
      <c r="Z176" s="89"/>
      <c r="AA176" s="89"/>
      <c r="AB176" s="89"/>
      <c r="AC176" s="89"/>
      <c r="AD176" s="89"/>
      <c r="AE176" s="89"/>
    </row>
    <row r="177">
      <c r="A177" s="445"/>
      <c r="B177" s="420"/>
      <c r="C177" s="420"/>
      <c r="D177" s="420"/>
      <c r="E177" s="420"/>
      <c r="F177" s="420"/>
      <c r="G177" s="420"/>
      <c r="H177" s="420"/>
      <c r="I177" s="89"/>
      <c r="J177" s="89"/>
      <c r="K177" s="89"/>
      <c r="L177" s="89"/>
      <c r="M177" s="89"/>
      <c r="N177" s="89"/>
      <c r="O177" s="89"/>
      <c r="P177" s="89"/>
      <c r="Q177" s="89"/>
      <c r="R177" s="89"/>
      <c r="S177" s="89"/>
      <c r="T177" s="89"/>
      <c r="U177" s="89"/>
      <c r="V177" s="89"/>
      <c r="W177" s="89"/>
      <c r="X177" s="89"/>
      <c r="Y177" s="89"/>
      <c r="Z177" s="89"/>
      <c r="AA177" s="89"/>
      <c r="AB177" s="89"/>
      <c r="AC177" s="89"/>
      <c r="AD177" s="89"/>
      <c r="AE177" s="89"/>
    </row>
    <row r="178">
      <c r="A178" s="445"/>
      <c r="B178" s="420"/>
      <c r="C178" s="420"/>
      <c r="D178" s="420"/>
      <c r="E178" s="420"/>
      <c r="F178" s="420"/>
      <c r="G178" s="420"/>
      <c r="H178" s="420"/>
      <c r="I178" s="89"/>
      <c r="J178" s="89"/>
      <c r="K178" s="89"/>
      <c r="L178" s="89"/>
      <c r="M178" s="89"/>
      <c r="N178" s="89"/>
      <c r="O178" s="89"/>
      <c r="P178" s="89"/>
      <c r="Q178" s="89"/>
      <c r="R178" s="89"/>
      <c r="S178" s="89"/>
      <c r="T178" s="89"/>
      <c r="U178" s="89"/>
      <c r="V178" s="89"/>
      <c r="W178" s="89"/>
      <c r="X178" s="89"/>
      <c r="Y178" s="89"/>
      <c r="Z178" s="89"/>
      <c r="AA178" s="89"/>
      <c r="AB178" s="89"/>
      <c r="AC178" s="89"/>
      <c r="AD178" s="89"/>
      <c r="AE178" s="89"/>
    </row>
    <row r="179">
      <c r="A179" s="445"/>
      <c r="B179" s="420"/>
      <c r="C179" s="420"/>
      <c r="D179" s="420"/>
      <c r="E179" s="420"/>
      <c r="F179" s="420"/>
      <c r="G179" s="420"/>
      <c r="H179" s="420"/>
      <c r="I179" s="89"/>
      <c r="J179" s="89"/>
      <c r="K179" s="89"/>
      <c r="L179" s="89"/>
      <c r="M179" s="89"/>
      <c r="N179" s="89"/>
      <c r="O179" s="89"/>
      <c r="P179" s="89"/>
      <c r="Q179" s="89"/>
      <c r="R179" s="89"/>
      <c r="S179" s="89"/>
      <c r="T179" s="89"/>
      <c r="U179" s="89"/>
      <c r="V179" s="89"/>
      <c r="W179" s="89"/>
      <c r="X179" s="89"/>
      <c r="Y179" s="89"/>
      <c r="Z179" s="89"/>
      <c r="AA179" s="89"/>
      <c r="AB179" s="89"/>
      <c r="AC179" s="89"/>
      <c r="AD179" s="89"/>
      <c r="AE179" s="89"/>
    </row>
    <row r="180">
      <c r="A180" s="445"/>
      <c r="B180" s="420"/>
      <c r="C180" s="420"/>
      <c r="D180" s="420"/>
      <c r="E180" s="420"/>
      <c r="F180" s="420"/>
      <c r="G180" s="420"/>
      <c r="H180" s="420"/>
      <c r="I180" s="89"/>
      <c r="J180" s="89"/>
      <c r="K180" s="89"/>
      <c r="L180" s="89"/>
      <c r="M180" s="89"/>
      <c r="N180" s="89"/>
      <c r="O180" s="89"/>
      <c r="P180" s="89"/>
      <c r="Q180" s="89"/>
      <c r="R180" s="89"/>
      <c r="S180" s="89"/>
      <c r="T180" s="89"/>
      <c r="U180" s="89"/>
      <c r="V180" s="89"/>
      <c r="W180" s="89"/>
      <c r="X180" s="89"/>
      <c r="Y180" s="89"/>
      <c r="Z180" s="89"/>
      <c r="AA180" s="89"/>
      <c r="AB180" s="89"/>
      <c r="AC180" s="89"/>
      <c r="AD180" s="89"/>
      <c r="AE180" s="89"/>
    </row>
    <row r="181">
      <c r="A181" s="445"/>
      <c r="B181" s="420"/>
      <c r="C181" s="420"/>
      <c r="D181" s="420"/>
      <c r="E181" s="420"/>
      <c r="F181" s="420"/>
      <c r="G181" s="420"/>
      <c r="H181" s="420"/>
      <c r="I181" s="89"/>
      <c r="J181" s="89"/>
      <c r="K181" s="89"/>
      <c r="L181" s="89"/>
      <c r="M181" s="89"/>
      <c r="N181" s="89"/>
      <c r="O181" s="89"/>
      <c r="P181" s="89"/>
      <c r="Q181" s="89"/>
      <c r="R181" s="89"/>
      <c r="S181" s="89"/>
      <c r="T181" s="89"/>
      <c r="U181" s="89"/>
      <c r="V181" s="89"/>
      <c r="W181" s="89"/>
      <c r="X181" s="89"/>
      <c r="Y181" s="89"/>
      <c r="Z181" s="89"/>
      <c r="AA181" s="89"/>
      <c r="AB181" s="89"/>
      <c r="AC181" s="89"/>
      <c r="AD181" s="89"/>
      <c r="AE181" s="89"/>
    </row>
    <row r="182">
      <c r="A182" s="445"/>
      <c r="B182" s="420"/>
      <c r="C182" s="420"/>
      <c r="D182" s="420"/>
      <c r="E182" s="420"/>
      <c r="F182" s="420"/>
      <c r="G182" s="420"/>
      <c r="H182" s="420"/>
      <c r="I182" s="89"/>
      <c r="J182" s="89"/>
      <c r="K182" s="89"/>
      <c r="L182" s="89"/>
      <c r="M182" s="89"/>
      <c r="N182" s="89"/>
      <c r="O182" s="89"/>
      <c r="P182" s="89"/>
      <c r="Q182" s="89"/>
      <c r="R182" s="89"/>
      <c r="S182" s="89"/>
      <c r="T182" s="89"/>
      <c r="U182" s="89"/>
      <c r="V182" s="89"/>
      <c r="W182" s="89"/>
      <c r="X182" s="89"/>
      <c r="Y182" s="89"/>
      <c r="Z182" s="89"/>
      <c r="AA182" s="89"/>
      <c r="AB182" s="89"/>
      <c r="AC182" s="89"/>
      <c r="AD182" s="89"/>
      <c r="AE182" s="89"/>
    </row>
    <row r="183">
      <c r="A183" s="445"/>
      <c r="B183" s="420"/>
      <c r="C183" s="420"/>
      <c r="D183" s="420"/>
      <c r="E183" s="420"/>
      <c r="F183" s="420"/>
      <c r="G183" s="420"/>
      <c r="H183" s="420"/>
      <c r="I183" s="89"/>
      <c r="J183" s="89"/>
      <c r="K183" s="89"/>
      <c r="L183" s="89"/>
      <c r="M183" s="89"/>
      <c r="N183" s="89"/>
      <c r="O183" s="89"/>
      <c r="P183" s="89"/>
      <c r="Q183" s="89"/>
      <c r="R183" s="89"/>
      <c r="S183" s="89"/>
      <c r="T183" s="89"/>
      <c r="U183" s="89"/>
      <c r="V183" s="89"/>
      <c r="W183" s="89"/>
      <c r="X183" s="89"/>
      <c r="Y183" s="89"/>
      <c r="Z183" s="89"/>
      <c r="AA183" s="89"/>
      <c r="AB183" s="89"/>
      <c r="AC183" s="89"/>
      <c r="AD183" s="89"/>
      <c r="AE183" s="89"/>
    </row>
    <row r="184">
      <c r="A184" s="445"/>
      <c r="B184" s="420"/>
      <c r="C184" s="420"/>
      <c r="D184" s="420"/>
      <c r="E184" s="420"/>
      <c r="F184" s="420"/>
      <c r="G184" s="420"/>
      <c r="H184" s="420"/>
      <c r="I184" s="89"/>
      <c r="J184" s="89"/>
      <c r="K184" s="89"/>
      <c r="L184" s="89"/>
      <c r="M184" s="89"/>
      <c r="N184" s="89"/>
      <c r="O184" s="89"/>
      <c r="P184" s="89"/>
      <c r="Q184" s="89"/>
      <c r="R184" s="89"/>
      <c r="S184" s="89"/>
      <c r="T184" s="89"/>
      <c r="U184" s="89"/>
      <c r="V184" s="89"/>
      <c r="W184" s="89"/>
      <c r="X184" s="89"/>
      <c r="Y184" s="89"/>
      <c r="Z184" s="89"/>
      <c r="AA184" s="89"/>
      <c r="AB184" s="89"/>
      <c r="AC184" s="89"/>
      <c r="AD184" s="89"/>
      <c r="AE184" s="89"/>
    </row>
    <row r="185">
      <c r="A185" s="445"/>
      <c r="B185" s="420"/>
      <c r="C185" s="420"/>
      <c r="D185" s="420"/>
      <c r="E185" s="420"/>
      <c r="F185" s="420"/>
      <c r="G185" s="420"/>
      <c r="H185" s="420"/>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row>
    <row r="186">
      <c r="A186" s="445"/>
      <c r="B186" s="420"/>
      <c r="C186" s="420"/>
      <c r="D186" s="420"/>
      <c r="E186" s="420"/>
      <c r="F186" s="420"/>
      <c r="G186" s="420"/>
      <c r="H186" s="420"/>
      <c r="I186" s="89"/>
      <c r="J186" s="89"/>
      <c r="K186" s="89"/>
      <c r="L186" s="89"/>
      <c r="M186" s="89"/>
      <c r="N186" s="89"/>
      <c r="O186" s="89"/>
      <c r="P186" s="89"/>
      <c r="Q186" s="89"/>
      <c r="R186" s="89"/>
      <c r="S186" s="89"/>
      <c r="T186" s="89"/>
      <c r="U186" s="89"/>
      <c r="V186" s="89"/>
      <c r="W186" s="89"/>
      <c r="X186" s="89"/>
      <c r="Y186" s="89"/>
      <c r="Z186" s="89"/>
      <c r="AA186" s="89"/>
      <c r="AB186" s="89"/>
      <c r="AC186" s="89"/>
      <c r="AD186" s="89"/>
      <c r="AE186" s="89"/>
    </row>
    <row r="187">
      <c r="A187" s="445"/>
      <c r="B187" s="420"/>
      <c r="C187" s="420"/>
      <c r="D187" s="420"/>
      <c r="E187" s="420"/>
      <c r="F187" s="420"/>
      <c r="G187" s="420"/>
      <c r="H187" s="420"/>
      <c r="I187" s="89"/>
      <c r="J187" s="89"/>
      <c r="K187" s="89"/>
      <c r="L187" s="89"/>
      <c r="M187" s="89"/>
      <c r="N187" s="89"/>
      <c r="O187" s="89"/>
      <c r="P187" s="89"/>
      <c r="Q187" s="89"/>
      <c r="R187" s="89"/>
      <c r="S187" s="89"/>
      <c r="T187" s="89"/>
      <c r="U187" s="89"/>
      <c r="V187" s="89"/>
      <c r="W187" s="89"/>
      <c r="X187" s="89"/>
      <c r="Y187" s="89"/>
      <c r="Z187" s="89"/>
      <c r="AA187" s="89"/>
      <c r="AB187" s="89"/>
      <c r="AC187" s="89"/>
      <c r="AD187" s="89"/>
      <c r="AE187" s="89"/>
    </row>
    <row r="188">
      <c r="A188" s="445"/>
      <c r="B188" s="420"/>
      <c r="C188" s="420"/>
      <c r="D188" s="420"/>
      <c r="E188" s="420"/>
      <c r="F188" s="420"/>
      <c r="G188" s="420"/>
      <c r="H188" s="420"/>
      <c r="I188" s="89"/>
      <c r="J188" s="89"/>
      <c r="K188" s="89"/>
      <c r="L188" s="89"/>
      <c r="M188" s="89"/>
      <c r="N188" s="89"/>
      <c r="O188" s="89"/>
      <c r="P188" s="89"/>
      <c r="Q188" s="89"/>
      <c r="R188" s="89"/>
      <c r="S188" s="89"/>
      <c r="T188" s="89"/>
      <c r="U188" s="89"/>
      <c r="V188" s="89"/>
      <c r="W188" s="89"/>
      <c r="X188" s="89"/>
      <c r="Y188" s="89"/>
      <c r="Z188" s="89"/>
      <c r="AA188" s="89"/>
      <c r="AB188" s="89"/>
      <c r="AC188" s="89"/>
      <c r="AD188" s="89"/>
      <c r="AE188" s="89"/>
    </row>
    <row r="189">
      <c r="A189" s="445"/>
      <c r="B189" s="420"/>
      <c r="C189" s="420"/>
      <c r="D189" s="420"/>
      <c r="E189" s="420"/>
      <c r="F189" s="420"/>
      <c r="G189" s="420"/>
      <c r="H189" s="420"/>
      <c r="I189" s="89"/>
      <c r="J189" s="89"/>
      <c r="K189" s="89"/>
      <c r="L189" s="89"/>
      <c r="M189" s="89"/>
      <c r="N189" s="89"/>
      <c r="O189" s="89"/>
      <c r="P189" s="89"/>
      <c r="Q189" s="89"/>
      <c r="R189" s="89"/>
      <c r="S189" s="89"/>
      <c r="T189" s="89"/>
      <c r="U189" s="89"/>
      <c r="V189" s="89"/>
      <c r="W189" s="89"/>
      <c r="X189" s="89"/>
      <c r="Y189" s="89"/>
      <c r="Z189" s="89"/>
      <c r="AA189" s="89"/>
      <c r="AB189" s="89"/>
      <c r="AC189" s="89"/>
      <c r="AD189" s="89"/>
      <c r="AE189" s="89"/>
    </row>
    <row r="190">
      <c r="A190" s="445"/>
      <c r="B190" s="420"/>
      <c r="C190" s="420"/>
      <c r="D190" s="420"/>
      <c r="E190" s="420"/>
      <c r="F190" s="420"/>
      <c r="G190" s="420"/>
      <c r="H190" s="420"/>
      <c r="I190" s="89"/>
      <c r="J190" s="89"/>
      <c r="K190" s="89"/>
      <c r="L190" s="89"/>
      <c r="M190" s="89"/>
      <c r="N190" s="89"/>
      <c r="O190" s="89"/>
      <c r="P190" s="89"/>
      <c r="Q190" s="89"/>
      <c r="R190" s="89"/>
      <c r="S190" s="89"/>
      <c r="T190" s="89"/>
      <c r="U190" s="89"/>
      <c r="V190" s="89"/>
      <c r="W190" s="89"/>
      <c r="X190" s="89"/>
      <c r="Y190" s="89"/>
      <c r="Z190" s="89"/>
      <c r="AA190" s="89"/>
      <c r="AB190" s="89"/>
      <c r="AC190" s="89"/>
      <c r="AD190" s="89"/>
      <c r="AE190" s="89"/>
    </row>
    <row r="191">
      <c r="A191" s="445"/>
      <c r="B191" s="420"/>
      <c r="C191" s="420"/>
      <c r="D191" s="420"/>
      <c r="E191" s="420"/>
      <c r="F191" s="420"/>
      <c r="G191" s="420"/>
      <c r="H191" s="420"/>
      <c r="I191" s="89"/>
      <c r="J191" s="89"/>
      <c r="K191" s="89"/>
      <c r="L191" s="89"/>
      <c r="M191" s="89"/>
      <c r="N191" s="89"/>
      <c r="O191" s="89"/>
      <c r="P191" s="89"/>
      <c r="Q191" s="89"/>
      <c r="R191" s="89"/>
      <c r="S191" s="89"/>
      <c r="T191" s="89"/>
      <c r="U191" s="89"/>
      <c r="V191" s="89"/>
      <c r="W191" s="89"/>
      <c r="X191" s="89"/>
      <c r="Y191" s="89"/>
      <c r="Z191" s="89"/>
      <c r="AA191" s="89"/>
      <c r="AB191" s="89"/>
      <c r="AC191" s="89"/>
      <c r="AD191" s="89"/>
      <c r="AE191" s="89"/>
    </row>
    <row r="192">
      <c r="A192" s="445"/>
      <c r="B192" s="420"/>
      <c r="C192" s="420"/>
      <c r="D192" s="420"/>
      <c r="E192" s="420"/>
      <c r="F192" s="420"/>
      <c r="G192" s="420"/>
      <c r="H192" s="420"/>
      <c r="I192" s="89"/>
      <c r="J192" s="89"/>
      <c r="K192" s="89"/>
      <c r="L192" s="89"/>
      <c r="M192" s="89"/>
      <c r="N192" s="89"/>
      <c r="O192" s="89"/>
      <c r="P192" s="89"/>
      <c r="Q192" s="89"/>
      <c r="R192" s="89"/>
      <c r="S192" s="89"/>
      <c r="T192" s="89"/>
      <c r="U192" s="89"/>
      <c r="V192" s="89"/>
      <c r="W192" s="89"/>
      <c r="X192" s="89"/>
      <c r="Y192" s="89"/>
      <c r="Z192" s="89"/>
      <c r="AA192" s="89"/>
      <c r="AB192" s="89"/>
      <c r="AC192" s="89"/>
      <c r="AD192" s="89"/>
      <c r="AE192" s="89"/>
    </row>
    <row r="193">
      <c r="A193" s="445"/>
      <c r="B193" s="420"/>
      <c r="C193" s="420"/>
      <c r="D193" s="420"/>
      <c r="E193" s="420"/>
      <c r="F193" s="420"/>
      <c r="G193" s="420"/>
      <c r="H193" s="420"/>
      <c r="I193" s="89"/>
      <c r="J193" s="89"/>
      <c r="K193" s="89"/>
      <c r="L193" s="89"/>
      <c r="M193" s="89"/>
      <c r="N193" s="89"/>
      <c r="O193" s="89"/>
      <c r="P193" s="89"/>
      <c r="Q193" s="89"/>
      <c r="R193" s="89"/>
      <c r="S193" s="89"/>
      <c r="T193" s="89"/>
      <c r="U193" s="89"/>
      <c r="V193" s="89"/>
      <c r="W193" s="89"/>
      <c r="X193" s="89"/>
      <c r="Y193" s="89"/>
      <c r="Z193" s="89"/>
      <c r="AA193" s="89"/>
      <c r="AB193" s="89"/>
      <c r="AC193" s="89"/>
      <c r="AD193" s="89"/>
      <c r="AE193" s="89"/>
    </row>
    <row r="194">
      <c r="A194" s="445"/>
      <c r="B194" s="420"/>
      <c r="C194" s="420"/>
      <c r="D194" s="420"/>
      <c r="E194" s="420"/>
      <c r="F194" s="420"/>
      <c r="G194" s="420"/>
      <c r="H194" s="420"/>
      <c r="I194" s="89"/>
      <c r="J194" s="89"/>
      <c r="K194" s="89"/>
      <c r="L194" s="89"/>
      <c r="M194" s="89"/>
      <c r="N194" s="89"/>
      <c r="O194" s="89"/>
      <c r="P194" s="89"/>
      <c r="Q194" s="89"/>
      <c r="R194" s="89"/>
      <c r="S194" s="89"/>
      <c r="T194" s="89"/>
      <c r="U194" s="89"/>
      <c r="V194" s="89"/>
      <c r="W194" s="89"/>
      <c r="X194" s="89"/>
      <c r="Y194" s="89"/>
      <c r="Z194" s="89"/>
      <c r="AA194" s="89"/>
      <c r="AB194" s="89"/>
      <c r="AC194" s="89"/>
      <c r="AD194" s="89"/>
      <c r="AE194" s="89"/>
    </row>
    <row r="195">
      <c r="A195" s="445"/>
      <c r="B195" s="420"/>
      <c r="C195" s="420"/>
      <c r="D195" s="420"/>
      <c r="E195" s="420"/>
      <c r="F195" s="420"/>
      <c r="G195" s="420"/>
      <c r="H195" s="420"/>
      <c r="I195" s="89"/>
      <c r="J195" s="89"/>
      <c r="K195" s="89"/>
      <c r="L195" s="89"/>
      <c r="M195" s="89"/>
      <c r="N195" s="89"/>
      <c r="O195" s="89"/>
      <c r="P195" s="89"/>
      <c r="Q195" s="89"/>
      <c r="R195" s="89"/>
      <c r="S195" s="89"/>
      <c r="T195" s="89"/>
      <c r="U195" s="89"/>
      <c r="V195" s="89"/>
      <c r="W195" s="89"/>
      <c r="X195" s="89"/>
      <c r="Y195" s="89"/>
      <c r="Z195" s="89"/>
      <c r="AA195" s="89"/>
      <c r="AB195" s="89"/>
      <c r="AC195" s="89"/>
      <c r="AD195" s="89"/>
      <c r="AE195" s="89"/>
    </row>
    <row r="196">
      <c r="A196" s="445"/>
      <c r="B196" s="420"/>
      <c r="C196" s="420"/>
      <c r="D196" s="420"/>
      <c r="E196" s="420"/>
      <c r="F196" s="420"/>
      <c r="G196" s="420"/>
      <c r="H196" s="420"/>
      <c r="I196" s="89"/>
      <c r="J196" s="89"/>
      <c r="K196" s="89"/>
      <c r="L196" s="89"/>
      <c r="M196" s="89"/>
      <c r="N196" s="89"/>
      <c r="O196" s="89"/>
      <c r="P196" s="89"/>
      <c r="Q196" s="89"/>
      <c r="R196" s="89"/>
      <c r="S196" s="89"/>
      <c r="T196" s="89"/>
      <c r="U196" s="89"/>
      <c r="V196" s="89"/>
      <c r="W196" s="89"/>
      <c r="X196" s="89"/>
      <c r="Y196" s="89"/>
      <c r="Z196" s="89"/>
      <c r="AA196" s="89"/>
      <c r="AB196" s="89"/>
      <c r="AC196" s="89"/>
      <c r="AD196" s="89"/>
      <c r="AE196" s="89"/>
    </row>
    <row r="197">
      <c r="A197" s="445"/>
      <c r="B197" s="420"/>
      <c r="C197" s="420"/>
      <c r="D197" s="420"/>
      <c r="E197" s="420"/>
      <c r="F197" s="420"/>
      <c r="G197" s="420"/>
      <c r="H197" s="420"/>
      <c r="I197" s="89"/>
      <c r="J197" s="89"/>
      <c r="K197" s="89"/>
      <c r="L197" s="89"/>
      <c r="M197" s="89"/>
      <c r="N197" s="89"/>
      <c r="O197" s="89"/>
      <c r="P197" s="89"/>
      <c r="Q197" s="89"/>
      <c r="R197" s="89"/>
      <c r="S197" s="89"/>
      <c r="T197" s="89"/>
      <c r="U197" s="89"/>
      <c r="V197" s="89"/>
      <c r="W197" s="89"/>
      <c r="X197" s="89"/>
      <c r="Y197" s="89"/>
      <c r="Z197" s="89"/>
      <c r="AA197" s="89"/>
      <c r="AB197" s="89"/>
      <c r="AC197" s="89"/>
      <c r="AD197" s="89"/>
      <c r="AE197" s="89"/>
    </row>
    <row r="198">
      <c r="A198" s="445"/>
      <c r="B198" s="420"/>
      <c r="C198" s="420"/>
      <c r="D198" s="420"/>
      <c r="E198" s="420"/>
      <c r="F198" s="420"/>
      <c r="G198" s="420"/>
      <c r="H198" s="420"/>
      <c r="I198" s="89"/>
      <c r="J198" s="89"/>
      <c r="K198" s="89"/>
      <c r="L198" s="89"/>
      <c r="M198" s="89"/>
      <c r="N198" s="89"/>
      <c r="O198" s="89"/>
      <c r="P198" s="89"/>
      <c r="Q198" s="89"/>
      <c r="R198" s="89"/>
      <c r="S198" s="89"/>
      <c r="T198" s="89"/>
      <c r="U198" s="89"/>
      <c r="V198" s="89"/>
      <c r="W198" s="89"/>
      <c r="X198" s="89"/>
      <c r="Y198" s="89"/>
      <c r="Z198" s="89"/>
      <c r="AA198" s="89"/>
      <c r="AB198" s="89"/>
      <c r="AC198" s="89"/>
      <c r="AD198" s="89"/>
      <c r="AE198" s="89"/>
    </row>
    <row r="199">
      <c r="A199" s="445"/>
      <c r="B199" s="420"/>
      <c r="C199" s="420"/>
      <c r="D199" s="420"/>
      <c r="E199" s="420"/>
      <c r="F199" s="420"/>
      <c r="G199" s="420"/>
      <c r="H199" s="420"/>
      <c r="I199" s="89"/>
      <c r="J199" s="89"/>
      <c r="K199" s="89"/>
      <c r="L199" s="89"/>
      <c r="M199" s="89"/>
      <c r="N199" s="89"/>
      <c r="O199" s="89"/>
      <c r="P199" s="89"/>
      <c r="Q199" s="89"/>
      <c r="R199" s="89"/>
      <c r="S199" s="89"/>
      <c r="T199" s="89"/>
      <c r="U199" s="89"/>
      <c r="V199" s="89"/>
      <c r="W199" s="89"/>
      <c r="X199" s="89"/>
      <c r="Y199" s="89"/>
      <c r="Z199" s="89"/>
      <c r="AA199" s="89"/>
      <c r="AB199" s="89"/>
      <c r="AC199" s="89"/>
      <c r="AD199" s="89"/>
      <c r="AE199" s="89"/>
    </row>
    <row r="200">
      <c r="A200" s="445"/>
      <c r="B200" s="420"/>
      <c r="C200" s="420"/>
      <c r="D200" s="420"/>
      <c r="E200" s="420"/>
      <c r="F200" s="420"/>
      <c r="G200" s="420"/>
      <c r="H200" s="420"/>
      <c r="I200" s="89"/>
      <c r="J200" s="89"/>
      <c r="K200" s="89"/>
      <c r="L200" s="89"/>
      <c r="M200" s="89"/>
      <c r="N200" s="89"/>
      <c r="O200" s="89"/>
      <c r="P200" s="89"/>
      <c r="Q200" s="89"/>
      <c r="R200" s="89"/>
      <c r="S200" s="89"/>
      <c r="T200" s="89"/>
      <c r="U200" s="89"/>
      <c r="V200" s="89"/>
      <c r="W200" s="89"/>
      <c r="X200" s="89"/>
      <c r="Y200" s="89"/>
      <c r="Z200" s="89"/>
      <c r="AA200" s="89"/>
      <c r="AB200" s="89"/>
      <c r="AC200" s="89"/>
      <c r="AD200" s="89"/>
      <c r="AE200" s="89"/>
    </row>
    <row r="201">
      <c r="A201" s="445"/>
      <c r="B201" s="420"/>
      <c r="C201" s="420"/>
      <c r="D201" s="420"/>
      <c r="E201" s="420"/>
      <c r="F201" s="420"/>
      <c r="G201" s="420"/>
      <c r="H201" s="420"/>
      <c r="I201" s="89"/>
      <c r="J201" s="89"/>
      <c r="K201" s="89"/>
      <c r="L201" s="89"/>
      <c r="M201" s="89"/>
      <c r="N201" s="89"/>
      <c r="O201" s="89"/>
      <c r="P201" s="89"/>
      <c r="Q201" s="89"/>
      <c r="R201" s="89"/>
      <c r="S201" s="89"/>
      <c r="T201" s="89"/>
      <c r="U201" s="89"/>
      <c r="V201" s="89"/>
      <c r="W201" s="89"/>
      <c r="X201" s="89"/>
      <c r="Y201" s="89"/>
      <c r="Z201" s="89"/>
      <c r="AA201" s="89"/>
      <c r="AB201" s="89"/>
      <c r="AC201" s="89"/>
      <c r="AD201" s="89"/>
      <c r="AE201" s="89"/>
    </row>
    <row r="202">
      <c r="A202" s="445"/>
      <c r="B202" s="420"/>
      <c r="C202" s="420"/>
      <c r="D202" s="420"/>
      <c r="E202" s="420"/>
      <c r="F202" s="420"/>
      <c r="G202" s="420"/>
      <c r="H202" s="420"/>
      <c r="I202" s="89"/>
      <c r="J202" s="89"/>
      <c r="K202" s="89"/>
      <c r="L202" s="89"/>
      <c r="M202" s="89"/>
      <c r="N202" s="89"/>
      <c r="O202" s="89"/>
      <c r="P202" s="89"/>
      <c r="Q202" s="89"/>
      <c r="R202" s="89"/>
      <c r="S202" s="89"/>
      <c r="T202" s="89"/>
      <c r="U202" s="89"/>
      <c r="V202" s="89"/>
      <c r="W202" s="89"/>
      <c r="X202" s="89"/>
      <c r="Y202" s="89"/>
      <c r="Z202" s="89"/>
      <c r="AA202" s="89"/>
      <c r="AB202" s="89"/>
      <c r="AC202" s="89"/>
      <c r="AD202" s="89"/>
      <c r="AE202" s="89"/>
    </row>
    <row r="203">
      <c r="A203" s="445"/>
      <c r="B203" s="420"/>
      <c r="C203" s="420"/>
      <c r="D203" s="420"/>
      <c r="E203" s="420"/>
      <c r="F203" s="420"/>
      <c r="G203" s="420"/>
      <c r="H203" s="420"/>
      <c r="I203" s="89"/>
      <c r="J203" s="89"/>
      <c r="K203" s="89"/>
      <c r="L203" s="89"/>
      <c r="M203" s="89"/>
      <c r="N203" s="89"/>
      <c r="O203" s="89"/>
      <c r="P203" s="89"/>
      <c r="Q203" s="89"/>
      <c r="R203" s="89"/>
      <c r="S203" s="89"/>
      <c r="T203" s="89"/>
      <c r="U203" s="89"/>
      <c r="V203" s="89"/>
      <c r="W203" s="89"/>
      <c r="X203" s="89"/>
      <c r="Y203" s="89"/>
      <c r="Z203" s="89"/>
      <c r="AA203" s="89"/>
      <c r="AB203" s="89"/>
      <c r="AC203" s="89"/>
      <c r="AD203" s="89"/>
      <c r="AE203" s="89"/>
    </row>
    <row r="204">
      <c r="A204" s="445"/>
      <c r="B204" s="420"/>
      <c r="C204" s="420"/>
      <c r="D204" s="420"/>
      <c r="E204" s="420"/>
      <c r="F204" s="420"/>
      <c r="G204" s="420"/>
      <c r="H204" s="420"/>
      <c r="I204" s="89"/>
      <c r="J204" s="89"/>
      <c r="K204" s="89"/>
      <c r="L204" s="89"/>
      <c r="M204" s="89"/>
      <c r="N204" s="89"/>
      <c r="O204" s="89"/>
      <c r="P204" s="89"/>
      <c r="Q204" s="89"/>
      <c r="R204" s="89"/>
      <c r="S204" s="89"/>
      <c r="T204" s="89"/>
      <c r="U204" s="89"/>
      <c r="V204" s="89"/>
      <c r="W204" s="89"/>
      <c r="X204" s="89"/>
      <c r="Y204" s="89"/>
      <c r="Z204" s="89"/>
      <c r="AA204" s="89"/>
      <c r="AB204" s="89"/>
      <c r="AC204" s="89"/>
      <c r="AD204" s="89"/>
      <c r="AE204" s="89"/>
    </row>
    <row r="205">
      <c r="A205" s="445"/>
      <c r="B205" s="420"/>
      <c r="C205" s="420"/>
      <c r="D205" s="420"/>
      <c r="E205" s="420"/>
      <c r="F205" s="420"/>
      <c r="G205" s="420"/>
      <c r="H205" s="420"/>
      <c r="I205" s="89"/>
      <c r="J205" s="89"/>
      <c r="K205" s="89"/>
      <c r="L205" s="89"/>
      <c r="M205" s="89"/>
      <c r="N205" s="89"/>
      <c r="O205" s="89"/>
      <c r="P205" s="89"/>
      <c r="Q205" s="89"/>
      <c r="R205" s="89"/>
      <c r="S205" s="89"/>
      <c r="T205" s="89"/>
      <c r="U205" s="89"/>
      <c r="V205" s="89"/>
      <c r="W205" s="89"/>
      <c r="X205" s="89"/>
      <c r="Y205" s="89"/>
      <c r="Z205" s="89"/>
      <c r="AA205" s="89"/>
      <c r="AB205" s="89"/>
      <c r="AC205" s="89"/>
      <c r="AD205" s="89"/>
      <c r="AE205" s="89"/>
    </row>
    <row r="206">
      <c r="A206" s="445"/>
      <c r="B206" s="420"/>
      <c r="C206" s="420"/>
      <c r="D206" s="420"/>
      <c r="E206" s="420"/>
      <c r="F206" s="420"/>
      <c r="G206" s="420"/>
      <c r="H206" s="420"/>
      <c r="I206" s="89"/>
      <c r="J206" s="89"/>
      <c r="K206" s="89"/>
      <c r="L206" s="89"/>
      <c r="M206" s="89"/>
      <c r="N206" s="89"/>
      <c r="O206" s="89"/>
      <c r="P206" s="89"/>
      <c r="Q206" s="89"/>
      <c r="R206" s="89"/>
      <c r="S206" s="89"/>
      <c r="T206" s="89"/>
      <c r="U206" s="89"/>
      <c r="V206" s="89"/>
      <c r="W206" s="89"/>
      <c r="X206" s="89"/>
      <c r="Y206" s="89"/>
      <c r="Z206" s="89"/>
      <c r="AA206" s="89"/>
      <c r="AB206" s="89"/>
      <c r="AC206" s="89"/>
      <c r="AD206" s="89"/>
      <c r="AE206" s="89"/>
    </row>
    <row r="207">
      <c r="A207" s="445"/>
      <c r="B207" s="420"/>
      <c r="C207" s="420"/>
      <c r="D207" s="420"/>
      <c r="E207" s="420"/>
      <c r="F207" s="420"/>
      <c r="G207" s="420"/>
      <c r="H207" s="420"/>
      <c r="I207" s="89"/>
      <c r="J207" s="89"/>
      <c r="K207" s="89"/>
      <c r="L207" s="89"/>
      <c r="M207" s="89"/>
      <c r="N207" s="89"/>
      <c r="O207" s="89"/>
      <c r="P207" s="89"/>
      <c r="Q207" s="89"/>
      <c r="R207" s="89"/>
      <c r="S207" s="89"/>
      <c r="T207" s="89"/>
      <c r="U207" s="89"/>
      <c r="V207" s="89"/>
      <c r="W207" s="89"/>
      <c r="X207" s="89"/>
      <c r="Y207" s="89"/>
      <c r="Z207" s="89"/>
      <c r="AA207" s="89"/>
      <c r="AB207" s="89"/>
      <c r="AC207" s="89"/>
      <c r="AD207" s="89"/>
      <c r="AE207" s="89"/>
    </row>
    <row r="208">
      <c r="A208" s="445"/>
      <c r="B208" s="420"/>
      <c r="C208" s="420"/>
      <c r="D208" s="420"/>
      <c r="E208" s="420"/>
      <c r="F208" s="420"/>
      <c r="G208" s="420"/>
      <c r="H208" s="420"/>
      <c r="I208" s="89"/>
      <c r="J208" s="89"/>
      <c r="K208" s="89"/>
      <c r="L208" s="89"/>
      <c r="M208" s="89"/>
      <c r="N208" s="89"/>
      <c r="O208" s="89"/>
      <c r="P208" s="89"/>
      <c r="Q208" s="89"/>
      <c r="R208" s="89"/>
      <c r="S208" s="89"/>
      <c r="T208" s="89"/>
      <c r="U208" s="89"/>
      <c r="V208" s="89"/>
      <c r="W208" s="89"/>
      <c r="X208" s="89"/>
      <c r="Y208" s="89"/>
      <c r="Z208" s="89"/>
      <c r="AA208" s="89"/>
      <c r="AB208" s="89"/>
      <c r="AC208" s="89"/>
      <c r="AD208" s="89"/>
      <c r="AE208" s="89"/>
    </row>
    <row r="209">
      <c r="A209" s="445"/>
      <c r="B209" s="420"/>
      <c r="C209" s="420"/>
      <c r="D209" s="420"/>
      <c r="E209" s="420"/>
      <c r="F209" s="420"/>
      <c r="G209" s="420"/>
      <c r="H209" s="420"/>
      <c r="I209" s="89"/>
      <c r="J209" s="89"/>
      <c r="K209" s="89"/>
      <c r="L209" s="89"/>
      <c r="M209" s="89"/>
      <c r="N209" s="89"/>
      <c r="O209" s="89"/>
      <c r="P209" s="89"/>
      <c r="Q209" s="89"/>
      <c r="R209" s="89"/>
      <c r="S209" s="89"/>
      <c r="T209" s="89"/>
      <c r="U209" s="89"/>
      <c r="V209" s="89"/>
      <c r="W209" s="89"/>
      <c r="X209" s="89"/>
      <c r="Y209" s="89"/>
      <c r="Z209" s="89"/>
      <c r="AA209" s="89"/>
      <c r="AB209" s="89"/>
      <c r="AC209" s="89"/>
      <c r="AD209" s="89"/>
      <c r="AE209" s="89"/>
    </row>
    <row r="210">
      <c r="A210" s="445"/>
      <c r="B210" s="420"/>
      <c r="C210" s="420"/>
      <c r="D210" s="420"/>
      <c r="E210" s="420"/>
      <c r="F210" s="420"/>
      <c r="G210" s="420"/>
      <c r="H210" s="420"/>
      <c r="I210" s="89"/>
      <c r="J210" s="89"/>
      <c r="K210" s="89"/>
      <c r="L210" s="89"/>
      <c r="M210" s="89"/>
      <c r="N210" s="89"/>
      <c r="O210" s="89"/>
      <c r="P210" s="89"/>
      <c r="Q210" s="89"/>
      <c r="R210" s="89"/>
      <c r="S210" s="89"/>
      <c r="T210" s="89"/>
      <c r="U210" s="89"/>
      <c r="V210" s="89"/>
      <c r="W210" s="89"/>
      <c r="X210" s="89"/>
      <c r="Y210" s="89"/>
      <c r="Z210" s="89"/>
      <c r="AA210" s="89"/>
      <c r="AB210" s="89"/>
      <c r="AC210" s="89"/>
      <c r="AD210" s="89"/>
      <c r="AE210" s="89"/>
    </row>
    <row r="211">
      <c r="A211" s="445"/>
      <c r="B211" s="420"/>
      <c r="C211" s="420"/>
      <c r="D211" s="420"/>
      <c r="E211" s="420"/>
      <c r="F211" s="420"/>
      <c r="G211" s="420"/>
      <c r="H211" s="420"/>
      <c r="I211" s="89"/>
      <c r="J211" s="89"/>
      <c r="K211" s="89"/>
      <c r="L211" s="89"/>
      <c r="M211" s="89"/>
      <c r="N211" s="89"/>
      <c r="O211" s="89"/>
      <c r="P211" s="89"/>
      <c r="Q211" s="89"/>
      <c r="R211" s="89"/>
      <c r="S211" s="89"/>
      <c r="T211" s="89"/>
      <c r="U211" s="89"/>
      <c r="V211" s="89"/>
      <c r="W211" s="89"/>
      <c r="X211" s="89"/>
      <c r="Y211" s="89"/>
      <c r="Z211" s="89"/>
      <c r="AA211" s="89"/>
      <c r="AB211" s="89"/>
      <c r="AC211" s="89"/>
      <c r="AD211" s="89"/>
      <c r="AE211" s="89"/>
    </row>
    <row r="212">
      <c r="A212" s="445"/>
      <c r="B212" s="420"/>
      <c r="C212" s="420"/>
      <c r="D212" s="420"/>
      <c r="E212" s="420"/>
      <c r="F212" s="420"/>
      <c r="G212" s="420"/>
      <c r="H212" s="420"/>
      <c r="I212" s="89"/>
      <c r="J212" s="89"/>
      <c r="K212" s="89"/>
      <c r="L212" s="89"/>
      <c r="M212" s="89"/>
      <c r="N212" s="89"/>
      <c r="O212" s="89"/>
      <c r="P212" s="89"/>
      <c r="Q212" s="89"/>
      <c r="R212" s="89"/>
      <c r="S212" s="89"/>
      <c r="T212" s="89"/>
      <c r="U212" s="89"/>
      <c r="V212" s="89"/>
      <c r="W212" s="89"/>
      <c r="X212" s="89"/>
      <c r="Y212" s="89"/>
      <c r="Z212" s="89"/>
      <c r="AA212" s="89"/>
      <c r="AB212" s="89"/>
      <c r="AC212" s="89"/>
      <c r="AD212" s="89"/>
      <c r="AE212" s="89"/>
    </row>
    <row r="213">
      <c r="A213" s="445"/>
      <c r="B213" s="420"/>
      <c r="C213" s="420"/>
      <c r="D213" s="420"/>
      <c r="E213" s="420"/>
      <c r="F213" s="420"/>
      <c r="G213" s="420"/>
      <c r="H213" s="420"/>
      <c r="I213" s="89"/>
      <c r="J213" s="89"/>
      <c r="K213" s="89"/>
      <c r="L213" s="89"/>
      <c r="M213" s="89"/>
      <c r="N213" s="89"/>
      <c r="O213" s="89"/>
      <c r="P213" s="89"/>
      <c r="Q213" s="89"/>
      <c r="R213" s="89"/>
      <c r="S213" s="89"/>
      <c r="T213" s="89"/>
      <c r="U213" s="89"/>
      <c r="V213" s="89"/>
      <c r="W213" s="89"/>
      <c r="X213" s="89"/>
      <c r="Y213" s="89"/>
      <c r="Z213" s="89"/>
      <c r="AA213" s="89"/>
      <c r="AB213" s="89"/>
      <c r="AC213" s="89"/>
      <c r="AD213" s="89"/>
      <c r="AE213" s="89"/>
    </row>
    <row r="214">
      <c r="A214" s="445"/>
      <c r="B214" s="420"/>
      <c r="C214" s="420"/>
      <c r="D214" s="420"/>
      <c r="E214" s="420"/>
      <c r="F214" s="420"/>
      <c r="G214" s="420"/>
      <c r="H214" s="420"/>
      <c r="I214" s="89"/>
      <c r="J214" s="89"/>
      <c r="K214" s="89"/>
      <c r="L214" s="89"/>
      <c r="M214" s="89"/>
      <c r="N214" s="89"/>
      <c r="O214" s="89"/>
      <c r="P214" s="89"/>
      <c r="Q214" s="89"/>
      <c r="R214" s="89"/>
      <c r="S214" s="89"/>
      <c r="T214" s="89"/>
      <c r="U214" s="89"/>
      <c r="V214" s="89"/>
      <c r="W214" s="89"/>
      <c r="X214" s="89"/>
      <c r="Y214" s="89"/>
      <c r="Z214" s="89"/>
      <c r="AA214" s="89"/>
      <c r="AB214" s="89"/>
      <c r="AC214" s="89"/>
      <c r="AD214" s="89"/>
      <c r="AE214" s="89"/>
    </row>
    <row r="215">
      <c r="A215" s="445"/>
      <c r="B215" s="420"/>
      <c r="C215" s="420"/>
      <c r="D215" s="420"/>
      <c r="E215" s="420"/>
      <c r="F215" s="420"/>
      <c r="G215" s="420"/>
      <c r="H215" s="420"/>
      <c r="I215" s="89"/>
      <c r="J215" s="89"/>
      <c r="K215" s="89"/>
      <c r="L215" s="89"/>
      <c r="M215" s="89"/>
      <c r="N215" s="89"/>
      <c r="O215" s="89"/>
      <c r="P215" s="89"/>
      <c r="Q215" s="89"/>
      <c r="R215" s="89"/>
      <c r="S215" s="89"/>
      <c r="T215" s="89"/>
      <c r="U215" s="89"/>
      <c r="V215" s="89"/>
      <c r="W215" s="89"/>
      <c r="X215" s="89"/>
      <c r="Y215" s="89"/>
      <c r="Z215" s="89"/>
      <c r="AA215" s="89"/>
      <c r="AB215" s="89"/>
      <c r="AC215" s="89"/>
      <c r="AD215" s="89"/>
      <c r="AE215" s="89"/>
    </row>
    <row r="216">
      <c r="A216" s="445"/>
      <c r="B216" s="420"/>
      <c r="C216" s="420"/>
      <c r="D216" s="420"/>
      <c r="E216" s="420"/>
      <c r="F216" s="420"/>
      <c r="G216" s="420"/>
      <c r="H216" s="420"/>
      <c r="I216" s="89"/>
      <c r="J216" s="89"/>
      <c r="K216" s="89"/>
      <c r="L216" s="89"/>
      <c r="M216" s="89"/>
      <c r="N216" s="89"/>
      <c r="O216" s="89"/>
      <c r="P216" s="89"/>
      <c r="Q216" s="89"/>
      <c r="R216" s="89"/>
      <c r="S216" s="89"/>
      <c r="T216" s="89"/>
      <c r="U216" s="89"/>
      <c r="V216" s="89"/>
      <c r="W216" s="89"/>
      <c r="X216" s="89"/>
      <c r="Y216" s="89"/>
      <c r="Z216" s="89"/>
      <c r="AA216" s="89"/>
      <c r="AB216" s="89"/>
      <c r="AC216" s="89"/>
      <c r="AD216" s="89"/>
      <c r="AE216" s="89"/>
    </row>
    <row r="217">
      <c r="A217" s="445"/>
      <c r="B217" s="420"/>
      <c r="C217" s="420"/>
      <c r="D217" s="420"/>
      <c r="E217" s="420"/>
      <c r="F217" s="420"/>
      <c r="G217" s="420"/>
      <c r="H217" s="420"/>
      <c r="I217" s="89"/>
      <c r="J217" s="89"/>
      <c r="K217" s="89"/>
      <c r="L217" s="89"/>
      <c r="M217" s="89"/>
      <c r="N217" s="89"/>
      <c r="O217" s="89"/>
      <c r="P217" s="89"/>
      <c r="Q217" s="89"/>
      <c r="R217" s="89"/>
      <c r="S217" s="89"/>
      <c r="T217" s="89"/>
      <c r="U217" s="89"/>
      <c r="V217" s="89"/>
      <c r="W217" s="89"/>
      <c r="X217" s="89"/>
      <c r="Y217" s="89"/>
      <c r="Z217" s="89"/>
      <c r="AA217" s="89"/>
      <c r="AB217" s="89"/>
      <c r="AC217" s="89"/>
      <c r="AD217" s="89"/>
      <c r="AE217" s="89"/>
    </row>
    <row r="218">
      <c r="A218" s="445"/>
      <c r="B218" s="420"/>
      <c r="C218" s="420"/>
      <c r="D218" s="420"/>
      <c r="E218" s="420"/>
      <c r="F218" s="420"/>
      <c r="G218" s="420"/>
      <c r="H218" s="420"/>
      <c r="I218" s="89"/>
      <c r="J218" s="89"/>
      <c r="K218" s="89"/>
      <c r="L218" s="89"/>
      <c r="M218" s="89"/>
      <c r="N218" s="89"/>
      <c r="O218" s="89"/>
      <c r="P218" s="89"/>
      <c r="Q218" s="89"/>
      <c r="R218" s="89"/>
      <c r="S218" s="89"/>
      <c r="T218" s="89"/>
      <c r="U218" s="89"/>
      <c r="V218" s="89"/>
      <c r="W218" s="89"/>
      <c r="X218" s="89"/>
      <c r="Y218" s="89"/>
      <c r="Z218" s="89"/>
      <c r="AA218" s="89"/>
      <c r="AB218" s="89"/>
      <c r="AC218" s="89"/>
      <c r="AD218" s="89"/>
      <c r="AE218" s="89"/>
    </row>
    <row r="219">
      <c r="A219" s="445"/>
      <c r="B219" s="420"/>
      <c r="C219" s="420"/>
      <c r="D219" s="420"/>
      <c r="E219" s="420"/>
      <c r="F219" s="420"/>
      <c r="G219" s="420"/>
      <c r="H219" s="420"/>
      <c r="I219" s="89"/>
      <c r="J219" s="89"/>
      <c r="K219" s="89"/>
      <c r="L219" s="89"/>
      <c r="M219" s="89"/>
      <c r="N219" s="89"/>
      <c r="O219" s="89"/>
      <c r="P219" s="89"/>
      <c r="Q219" s="89"/>
      <c r="R219" s="89"/>
      <c r="S219" s="89"/>
      <c r="T219" s="89"/>
      <c r="U219" s="89"/>
      <c r="V219" s="89"/>
      <c r="W219" s="89"/>
      <c r="X219" s="89"/>
      <c r="Y219" s="89"/>
      <c r="Z219" s="89"/>
      <c r="AA219" s="89"/>
      <c r="AB219" s="89"/>
      <c r="AC219" s="89"/>
      <c r="AD219" s="89"/>
      <c r="AE219" s="89"/>
    </row>
    <row r="220">
      <c r="A220" s="445"/>
      <c r="B220" s="420"/>
      <c r="C220" s="420"/>
      <c r="D220" s="420"/>
      <c r="E220" s="420"/>
      <c r="F220" s="420"/>
      <c r="G220" s="420"/>
      <c r="H220" s="420"/>
      <c r="I220" s="89"/>
      <c r="J220" s="89"/>
      <c r="K220" s="89"/>
      <c r="L220" s="89"/>
      <c r="M220" s="89"/>
      <c r="N220" s="89"/>
      <c r="O220" s="89"/>
      <c r="P220" s="89"/>
      <c r="Q220" s="89"/>
      <c r="R220" s="89"/>
      <c r="S220" s="89"/>
      <c r="T220" s="89"/>
      <c r="U220" s="89"/>
      <c r="V220" s="89"/>
      <c r="W220" s="89"/>
      <c r="X220" s="89"/>
      <c r="Y220" s="89"/>
      <c r="Z220" s="89"/>
      <c r="AA220" s="89"/>
      <c r="AB220" s="89"/>
      <c r="AC220" s="89"/>
      <c r="AD220" s="89"/>
      <c r="AE220" s="89"/>
    </row>
    <row r="221">
      <c r="A221" s="445"/>
      <c r="B221" s="420"/>
      <c r="C221" s="420"/>
      <c r="D221" s="420"/>
      <c r="E221" s="420"/>
      <c r="F221" s="420"/>
      <c r="G221" s="420"/>
      <c r="H221" s="420"/>
      <c r="I221" s="89"/>
      <c r="J221" s="89"/>
      <c r="K221" s="89"/>
      <c r="L221" s="89"/>
      <c r="M221" s="89"/>
      <c r="N221" s="89"/>
      <c r="O221" s="89"/>
      <c r="P221" s="89"/>
      <c r="Q221" s="89"/>
      <c r="R221" s="89"/>
      <c r="S221" s="89"/>
      <c r="T221" s="89"/>
      <c r="U221" s="89"/>
      <c r="V221" s="89"/>
      <c r="W221" s="89"/>
      <c r="X221" s="89"/>
      <c r="Y221" s="89"/>
      <c r="Z221" s="89"/>
      <c r="AA221" s="89"/>
      <c r="AB221" s="89"/>
      <c r="AC221" s="89"/>
      <c r="AD221" s="89"/>
      <c r="AE221" s="89"/>
    </row>
    <row r="222">
      <c r="A222" s="445"/>
      <c r="B222" s="420"/>
      <c r="C222" s="420"/>
      <c r="D222" s="420"/>
      <c r="E222" s="420"/>
      <c r="F222" s="420"/>
      <c r="G222" s="420"/>
      <c r="H222" s="420"/>
      <c r="I222" s="89"/>
      <c r="J222" s="89"/>
      <c r="K222" s="89"/>
      <c r="L222" s="89"/>
      <c r="M222" s="89"/>
      <c r="N222" s="89"/>
      <c r="O222" s="89"/>
      <c r="P222" s="89"/>
      <c r="Q222" s="89"/>
      <c r="R222" s="89"/>
      <c r="S222" s="89"/>
      <c r="T222" s="89"/>
      <c r="U222" s="89"/>
      <c r="V222" s="89"/>
      <c r="W222" s="89"/>
      <c r="X222" s="89"/>
      <c r="Y222" s="89"/>
      <c r="Z222" s="89"/>
      <c r="AA222" s="89"/>
      <c r="AB222" s="89"/>
      <c r="AC222" s="89"/>
      <c r="AD222" s="89"/>
      <c r="AE222" s="89"/>
    </row>
    <row r="223">
      <c r="A223" s="445"/>
      <c r="B223" s="420"/>
      <c r="C223" s="420"/>
      <c r="D223" s="420"/>
      <c r="E223" s="420"/>
      <c r="F223" s="420"/>
      <c r="G223" s="420"/>
      <c r="H223" s="420"/>
      <c r="I223" s="89"/>
      <c r="J223" s="89"/>
      <c r="K223" s="89"/>
      <c r="L223" s="89"/>
      <c r="M223" s="89"/>
      <c r="N223" s="89"/>
      <c r="O223" s="89"/>
      <c r="P223" s="89"/>
      <c r="Q223" s="89"/>
      <c r="R223" s="89"/>
      <c r="S223" s="89"/>
      <c r="T223" s="89"/>
      <c r="U223" s="89"/>
      <c r="V223" s="89"/>
      <c r="W223" s="89"/>
      <c r="X223" s="89"/>
      <c r="Y223" s="89"/>
      <c r="Z223" s="89"/>
      <c r="AA223" s="89"/>
      <c r="AB223" s="89"/>
      <c r="AC223" s="89"/>
      <c r="AD223" s="89"/>
      <c r="AE223" s="89"/>
    </row>
    <row r="224">
      <c r="A224" s="445"/>
      <c r="B224" s="420"/>
      <c r="C224" s="420"/>
      <c r="D224" s="420"/>
      <c r="E224" s="420"/>
      <c r="F224" s="420"/>
      <c r="G224" s="420"/>
      <c r="H224" s="420"/>
      <c r="I224" s="89"/>
      <c r="J224" s="89"/>
      <c r="K224" s="89"/>
      <c r="L224" s="89"/>
      <c r="M224" s="89"/>
      <c r="N224" s="89"/>
      <c r="O224" s="89"/>
      <c r="P224" s="89"/>
      <c r="Q224" s="89"/>
      <c r="R224" s="89"/>
      <c r="S224" s="89"/>
      <c r="T224" s="89"/>
      <c r="U224" s="89"/>
      <c r="V224" s="89"/>
      <c r="W224" s="89"/>
      <c r="X224" s="89"/>
      <c r="Y224" s="89"/>
      <c r="Z224" s="89"/>
      <c r="AA224" s="89"/>
      <c r="AB224" s="89"/>
      <c r="AC224" s="89"/>
      <c r="AD224" s="89"/>
      <c r="AE224" s="89"/>
    </row>
    <row r="225">
      <c r="A225" s="445"/>
      <c r="B225" s="420"/>
      <c r="C225" s="420"/>
      <c r="D225" s="420"/>
      <c r="E225" s="420"/>
      <c r="F225" s="420"/>
      <c r="G225" s="420"/>
      <c r="H225" s="420"/>
      <c r="I225" s="89"/>
      <c r="J225" s="89"/>
      <c r="K225" s="89"/>
      <c r="L225" s="89"/>
      <c r="M225" s="89"/>
      <c r="N225" s="89"/>
      <c r="O225" s="89"/>
      <c r="P225" s="89"/>
      <c r="Q225" s="89"/>
      <c r="R225" s="89"/>
      <c r="S225" s="89"/>
      <c r="T225" s="89"/>
      <c r="U225" s="89"/>
      <c r="V225" s="89"/>
      <c r="W225" s="89"/>
      <c r="X225" s="89"/>
      <c r="Y225" s="89"/>
      <c r="Z225" s="89"/>
      <c r="AA225" s="89"/>
      <c r="AB225" s="89"/>
      <c r="AC225" s="89"/>
      <c r="AD225" s="89"/>
      <c r="AE225" s="89"/>
    </row>
    <row r="226">
      <c r="A226" s="445"/>
      <c r="B226" s="420"/>
      <c r="C226" s="420"/>
      <c r="D226" s="420"/>
      <c r="E226" s="420"/>
      <c r="F226" s="420"/>
      <c r="G226" s="420"/>
      <c r="H226" s="420"/>
      <c r="I226" s="89"/>
      <c r="J226" s="89"/>
      <c r="K226" s="89"/>
      <c r="L226" s="89"/>
      <c r="M226" s="89"/>
      <c r="N226" s="89"/>
      <c r="O226" s="89"/>
      <c r="P226" s="89"/>
      <c r="Q226" s="89"/>
      <c r="R226" s="89"/>
      <c r="S226" s="89"/>
      <c r="T226" s="89"/>
      <c r="U226" s="89"/>
      <c r="V226" s="89"/>
      <c r="W226" s="89"/>
      <c r="X226" s="89"/>
      <c r="Y226" s="89"/>
      <c r="Z226" s="89"/>
      <c r="AA226" s="89"/>
      <c r="AB226" s="89"/>
      <c r="AC226" s="89"/>
      <c r="AD226" s="89"/>
      <c r="AE226" s="89"/>
    </row>
    <row r="227">
      <c r="A227" s="445"/>
      <c r="B227" s="420"/>
      <c r="C227" s="420"/>
      <c r="D227" s="420"/>
      <c r="E227" s="420"/>
      <c r="F227" s="420"/>
      <c r="G227" s="420"/>
      <c r="H227" s="420"/>
      <c r="I227" s="89"/>
      <c r="J227" s="89"/>
      <c r="K227" s="89"/>
      <c r="L227" s="89"/>
      <c r="M227" s="89"/>
      <c r="N227" s="89"/>
      <c r="O227" s="89"/>
      <c r="P227" s="89"/>
      <c r="Q227" s="89"/>
      <c r="R227" s="89"/>
      <c r="S227" s="89"/>
      <c r="T227" s="89"/>
      <c r="U227" s="89"/>
      <c r="V227" s="89"/>
      <c r="W227" s="89"/>
      <c r="X227" s="89"/>
      <c r="Y227" s="89"/>
      <c r="Z227" s="89"/>
      <c r="AA227" s="89"/>
      <c r="AB227" s="89"/>
      <c r="AC227" s="89"/>
      <c r="AD227" s="89"/>
      <c r="AE227" s="89"/>
    </row>
    <row r="228">
      <c r="A228" s="445"/>
      <c r="B228" s="420"/>
      <c r="C228" s="420"/>
      <c r="D228" s="420"/>
      <c r="E228" s="420"/>
      <c r="F228" s="420"/>
      <c r="G228" s="420"/>
      <c r="H228" s="420"/>
      <c r="I228" s="89"/>
      <c r="J228" s="89"/>
      <c r="K228" s="89"/>
      <c r="L228" s="89"/>
      <c r="M228" s="89"/>
      <c r="N228" s="89"/>
      <c r="O228" s="89"/>
      <c r="P228" s="89"/>
      <c r="Q228" s="89"/>
      <c r="R228" s="89"/>
      <c r="S228" s="89"/>
      <c r="T228" s="89"/>
      <c r="U228" s="89"/>
      <c r="V228" s="89"/>
      <c r="W228" s="89"/>
      <c r="X228" s="89"/>
      <c r="Y228" s="89"/>
      <c r="Z228" s="89"/>
      <c r="AA228" s="89"/>
      <c r="AB228" s="89"/>
      <c r="AC228" s="89"/>
      <c r="AD228" s="89"/>
      <c r="AE228" s="89"/>
    </row>
    <row r="229">
      <c r="A229" s="445"/>
      <c r="B229" s="420"/>
      <c r="C229" s="420"/>
      <c r="D229" s="420"/>
      <c r="E229" s="420"/>
      <c r="F229" s="420"/>
      <c r="G229" s="420"/>
      <c r="H229" s="420"/>
      <c r="I229" s="89"/>
      <c r="J229" s="89"/>
      <c r="K229" s="89"/>
      <c r="L229" s="89"/>
      <c r="M229" s="89"/>
      <c r="N229" s="89"/>
      <c r="O229" s="89"/>
      <c r="P229" s="89"/>
      <c r="Q229" s="89"/>
      <c r="R229" s="89"/>
      <c r="S229" s="89"/>
      <c r="T229" s="89"/>
      <c r="U229" s="89"/>
      <c r="V229" s="89"/>
      <c r="W229" s="89"/>
      <c r="X229" s="89"/>
      <c r="Y229" s="89"/>
      <c r="Z229" s="89"/>
      <c r="AA229" s="89"/>
      <c r="AB229" s="89"/>
      <c r="AC229" s="89"/>
      <c r="AD229" s="89"/>
      <c r="AE229" s="89"/>
    </row>
    <row r="230">
      <c r="A230" s="445"/>
      <c r="B230" s="420"/>
      <c r="C230" s="420"/>
      <c r="D230" s="420"/>
      <c r="E230" s="420"/>
      <c r="F230" s="420"/>
      <c r="G230" s="420"/>
      <c r="H230" s="420"/>
      <c r="I230" s="89"/>
      <c r="J230" s="89"/>
      <c r="K230" s="89"/>
      <c r="L230" s="89"/>
      <c r="M230" s="89"/>
      <c r="N230" s="89"/>
      <c r="O230" s="89"/>
      <c r="P230" s="89"/>
      <c r="Q230" s="89"/>
      <c r="R230" s="89"/>
      <c r="S230" s="89"/>
      <c r="T230" s="89"/>
      <c r="U230" s="89"/>
      <c r="V230" s="89"/>
      <c r="W230" s="89"/>
      <c r="X230" s="89"/>
      <c r="Y230" s="89"/>
      <c r="Z230" s="89"/>
      <c r="AA230" s="89"/>
      <c r="AB230" s="89"/>
      <c r="AC230" s="89"/>
      <c r="AD230" s="89"/>
      <c r="AE230" s="89"/>
    </row>
    <row r="231">
      <c r="A231" s="445"/>
      <c r="B231" s="420"/>
      <c r="C231" s="420"/>
      <c r="D231" s="420"/>
      <c r="E231" s="420"/>
      <c r="F231" s="420"/>
      <c r="G231" s="420"/>
      <c r="H231" s="420"/>
      <c r="I231" s="89"/>
      <c r="J231" s="89"/>
      <c r="K231" s="89"/>
      <c r="L231" s="89"/>
      <c r="M231" s="89"/>
      <c r="N231" s="89"/>
      <c r="O231" s="89"/>
      <c r="P231" s="89"/>
      <c r="Q231" s="89"/>
      <c r="R231" s="89"/>
      <c r="S231" s="89"/>
      <c r="T231" s="89"/>
      <c r="U231" s="89"/>
      <c r="V231" s="89"/>
      <c r="W231" s="89"/>
      <c r="X231" s="89"/>
      <c r="Y231" s="89"/>
      <c r="Z231" s="89"/>
      <c r="AA231" s="89"/>
      <c r="AB231" s="89"/>
      <c r="AC231" s="89"/>
      <c r="AD231" s="89"/>
      <c r="AE231" s="89"/>
    </row>
    <row r="232">
      <c r="A232" s="445"/>
      <c r="B232" s="420"/>
      <c r="C232" s="420"/>
      <c r="D232" s="420"/>
      <c r="E232" s="420"/>
      <c r="F232" s="420"/>
      <c r="G232" s="420"/>
      <c r="H232" s="420"/>
      <c r="I232" s="89"/>
      <c r="J232" s="89"/>
      <c r="K232" s="89"/>
      <c r="L232" s="89"/>
      <c r="M232" s="89"/>
      <c r="N232" s="89"/>
      <c r="O232" s="89"/>
      <c r="P232" s="89"/>
      <c r="Q232" s="89"/>
      <c r="R232" s="89"/>
      <c r="S232" s="89"/>
      <c r="T232" s="89"/>
      <c r="U232" s="89"/>
      <c r="V232" s="89"/>
      <c r="W232" s="89"/>
      <c r="X232" s="89"/>
      <c r="Y232" s="89"/>
      <c r="Z232" s="89"/>
      <c r="AA232" s="89"/>
      <c r="AB232" s="89"/>
      <c r="AC232" s="89"/>
      <c r="AD232" s="89"/>
      <c r="AE232" s="89"/>
    </row>
    <row r="233">
      <c r="A233" s="445"/>
      <c r="B233" s="420"/>
      <c r="C233" s="420"/>
      <c r="D233" s="420"/>
      <c r="E233" s="420"/>
      <c r="F233" s="420"/>
      <c r="G233" s="420"/>
      <c r="H233" s="420"/>
      <c r="I233" s="89"/>
      <c r="J233" s="89"/>
      <c r="K233" s="89"/>
      <c r="L233" s="89"/>
      <c r="M233" s="89"/>
      <c r="N233" s="89"/>
      <c r="O233" s="89"/>
      <c r="P233" s="89"/>
      <c r="Q233" s="89"/>
      <c r="R233" s="89"/>
      <c r="S233" s="89"/>
      <c r="T233" s="89"/>
      <c r="U233" s="89"/>
      <c r="V233" s="89"/>
      <c r="W233" s="89"/>
      <c r="X233" s="89"/>
      <c r="Y233" s="89"/>
      <c r="Z233" s="89"/>
      <c r="AA233" s="89"/>
      <c r="AB233" s="89"/>
      <c r="AC233" s="89"/>
      <c r="AD233" s="89"/>
      <c r="AE233" s="89"/>
    </row>
    <row r="234">
      <c r="A234" s="445"/>
      <c r="B234" s="420"/>
      <c r="C234" s="420"/>
      <c r="D234" s="420"/>
      <c r="E234" s="420"/>
      <c r="F234" s="420"/>
      <c r="G234" s="420"/>
      <c r="H234" s="420"/>
      <c r="I234" s="89"/>
      <c r="J234" s="89"/>
      <c r="K234" s="89"/>
      <c r="L234" s="89"/>
      <c r="M234" s="89"/>
      <c r="N234" s="89"/>
      <c r="O234" s="89"/>
      <c r="P234" s="89"/>
      <c r="Q234" s="89"/>
      <c r="R234" s="89"/>
      <c r="S234" s="89"/>
      <c r="T234" s="89"/>
      <c r="U234" s="89"/>
      <c r="V234" s="89"/>
      <c r="W234" s="89"/>
      <c r="X234" s="89"/>
      <c r="Y234" s="89"/>
      <c r="Z234" s="89"/>
      <c r="AA234" s="89"/>
      <c r="AB234" s="89"/>
      <c r="AC234" s="89"/>
      <c r="AD234" s="89"/>
      <c r="AE234" s="89"/>
    </row>
    <row r="235">
      <c r="A235" s="445"/>
      <c r="B235" s="420"/>
      <c r="C235" s="420"/>
      <c r="D235" s="420"/>
      <c r="E235" s="420"/>
      <c r="F235" s="420"/>
      <c r="G235" s="420"/>
      <c r="H235" s="420"/>
      <c r="I235" s="89"/>
      <c r="J235" s="89"/>
      <c r="K235" s="89"/>
      <c r="L235" s="89"/>
      <c r="M235" s="89"/>
      <c r="N235" s="89"/>
      <c r="O235" s="89"/>
      <c r="P235" s="89"/>
      <c r="Q235" s="89"/>
      <c r="R235" s="89"/>
      <c r="S235" s="89"/>
      <c r="T235" s="89"/>
      <c r="U235" s="89"/>
      <c r="V235" s="89"/>
      <c r="W235" s="89"/>
      <c r="X235" s="89"/>
      <c r="Y235" s="89"/>
      <c r="Z235" s="89"/>
      <c r="AA235" s="89"/>
      <c r="AB235" s="89"/>
      <c r="AC235" s="89"/>
      <c r="AD235" s="89"/>
      <c r="AE235" s="89"/>
    </row>
    <row r="236">
      <c r="A236" s="445"/>
      <c r="B236" s="420"/>
      <c r="C236" s="420"/>
      <c r="D236" s="420"/>
      <c r="E236" s="420"/>
      <c r="F236" s="420"/>
      <c r="G236" s="420"/>
      <c r="H236" s="420"/>
      <c r="I236" s="89"/>
      <c r="J236" s="89"/>
      <c r="K236" s="89"/>
      <c r="L236" s="89"/>
      <c r="M236" s="89"/>
      <c r="N236" s="89"/>
      <c r="O236" s="89"/>
      <c r="P236" s="89"/>
      <c r="Q236" s="89"/>
      <c r="R236" s="89"/>
      <c r="S236" s="89"/>
      <c r="T236" s="89"/>
      <c r="U236" s="89"/>
      <c r="V236" s="89"/>
      <c r="W236" s="89"/>
      <c r="X236" s="89"/>
      <c r="Y236" s="89"/>
      <c r="Z236" s="89"/>
      <c r="AA236" s="89"/>
      <c r="AB236" s="89"/>
      <c r="AC236" s="89"/>
      <c r="AD236" s="89"/>
      <c r="AE236" s="89"/>
    </row>
    <row r="237">
      <c r="A237" s="445"/>
      <c r="B237" s="420"/>
      <c r="C237" s="420"/>
      <c r="D237" s="420"/>
      <c r="E237" s="420"/>
      <c r="F237" s="420"/>
      <c r="G237" s="420"/>
      <c r="H237" s="420"/>
      <c r="I237" s="89"/>
      <c r="J237" s="89"/>
      <c r="K237" s="89"/>
      <c r="L237" s="89"/>
      <c r="M237" s="89"/>
      <c r="N237" s="89"/>
      <c r="O237" s="89"/>
      <c r="P237" s="89"/>
      <c r="Q237" s="89"/>
      <c r="R237" s="89"/>
      <c r="S237" s="89"/>
      <c r="T237" s="89"/>
      <c r="U237" s="89"/>
      <c r="V237" s="89"/>
      <c r="W237" s="89"/>
      <c r="X237" s="89"/>
      <c r="Y237" s="89"/>
      <c r="Z237" s="89"/>
      <c r="AA237" s="89"/>
      <c r="AB237" s="89"/>
      <c r="AC237" s="89"/>
      <c r="AD237" s="89"/>
      <c r="AE237" s="89"/>
    </row>
    <row r="238">
      <c r="A238" s="445"/>
      <c r="B238" s="420"/>
      <c r="C238" s="420"/>
      <c r="D238" s="420"/>
      <c r="E238" s="420"/>
      <c r="F238" s="420"/>
      <c r="G238" s="420"/>
      <c r="H238" s="420"/>
      <c r="I238" s="89"/>
      <c r="J238" s="89"/>
      <c r="K238" s="89"/>
      <c r="L238" s="89"/>
      <c r="M238" s="89"/>
      <c r="N238" s="89"/>
      <c r="O238" s="89"/>
      <c r="P238" s="89"/>
      <c r="Q238" s="89"/>
      <c r="R238" s="89"/>
      <c r="S238" s="89"/>
      <c r="T238" s="89"/>
      <c r="U238" s="89"/>
      <c r="V238" s="89"/>
      <c r="W238" s="89"/>
      <c r="X238" s="89"/>
      <c r="Y238" s="89"/>
      <c r="Z238" s="89"/>
      <c r="AA238" s="89"/>
      <c r="AB238" s="89"/>
      <c r="AC238" s="89"/>
      <c r="AD238" s="89"/>
      <c r="AE238" s="89"/>
    </row>
    <row r="239">
      <c r="A239" s="445"/>
      <c r="B239" s="420"/>
      <c r="C239" s="420"/>
      <c r="D239" s="420"/>
      <c r="E239" s="420"/>
      <c r="F239" s="420"/>
      <c r="G239" s="420"/>
      <c r="H239" s="420"/>
      <c r="I239" s="89"/>
      <c r="J239" s="89"/>
      <c r="K239" s="89"/>
      <c r="L239" s="89"/>
      <c r="M239" s="89"/>
      <c r="N239" s="89"/>
      <c r="O239" s="89"/>
      <c r="P239" s="89"/>
      <c r="Q239" s="89"/>
      <c r="R239" s="89"/>
      <c r="S239" s="89"/>
      <c r="T239" s="89"/>
      <c r="U239" s="89"/>
      <c r="V239" s="89"/>
      <c r="W239" s="89"/>
      <c r="X239" s="89"/>
      <c r="Y239" s="89"/>
      <c r="Z239" s="89"/>
      <c r="AA239" s="89"/>
      <c r="AB239" s="89"/>
      <c r="AC239" s="89"/>
      <c r="AD239" s="89"/>
      <c r="AE239" s="89"/>
    </row>
    <row r="240">
      <c r="A240" s="445"/>
      <c r="B240" s="420"/>
      <c r="C240" s="420"/>
      <c r="D240" s="420"/>
      <c r="E240" s="420"/>
      <c r="F240" s="420"/>
      <c r="G240" s="420"/>
      <c r="H240" s="420"/>
      <c r="I240" s="89"/>
      <c r="J240" s="89"/>
      <c r="K240" s="89"/>
      <c r="L240" s="89"/>
      <c r="M240" s="89"/>
      <c r="N240" s="89"/>
      <c r="O240" s="89"/>
      <c r="P240" s="89"/>
      <c r="Q240" s="89"/>
      <c r="R240" s="89"/>
      <c r="S240" s="89"/>
      <c r="T240" s="89"/>
      <c r="U240" s="89"/>
      <c r="V240" s="89"/>
      <c r="W240" s="89"/>
      <c r="X240" s="89"/>
      <c r="Y240" s="89"/>
      <c r="Z240" s="89"/>
      <c r="AA240" s="89"/>
      <c r="AB240" s="89"/>
      <c r="AC240" s="89"/>
      <c r="AD240" s="89"/>
      <c r="AE240" s="89"/>
    </row>
    <row r="241">
      <c r="A241" s="445"/>
      <c r="B241" s="420"/>
      <c r="C241" s="420"/>
      <c r="D241" s="420"/>
      <c r="E241" s="420"/>
      <c r="F241" s="420"/>
      <c r="G241" s="420"/>
      <c r="H241" s="420"/>
      <c r="I241" s="89"/>
      <c r="J241" s="89"/>
      <c r="K241" s="89"/>
      <c r="L241" s="89"/>
      <c r="M241" s="89"/>
      <c r="N241" s="89"/>
      <c r="O241" s="89"/>
      <c r="P241" s="89"/>
      <c r="Q241" s="89"/>
      <c r="R241" s="89"/>
      <c r="S241" s="89"/>
      <c r="T241" s="89"/>
      <c r="U241" s="89"/>
      <c r="V241" s="89"/>
      <c r="W241" s="89"/>
      <c r="X241" s="89"/>
      <c r="Y241" s="89"/>
      <c r="Z241" s="89"/>
      <c r="AA241" s="89"/>
      <c r="AB241" s="89"/>
      <c r="AC241" s="89"/>
      <c r="AD241" s="89"/>
      <c r="AE241" s="89"/>
    </row>
    <row r="242">
      <c r="A242" s="445"/>
      <c r="B242" s="420"/>
      <c r="C242" s="420"/>
      <c r="D242" s="420"/>
      <c r="E242" s="420"/>
      <c r="F242" s="420"/>
      <c r="G242" s="420"/>
      <c r="H242" s="420"/>
      <c r="I242" s="89"/>
      <c r="J242" s="89"/>
      <c r="K242" s="89"/>
      <c r="L242" s="89"/>
      <c r="M242" s="89"/>
      <c r="N242" s="89"/>
      <c r="O242" s="89"/>
      <c r="P242" s="89"/>
      <c r="Q242" s="89"/>
      <c r="R242" s="89"/>
      <c r="S242" s="89"/>
      <c r="T242" s="89"/>
      <c r="U242" s="89"/>
      <c r="V242" s="89"/>
      <c r="W242" s="89"/>
      <c r="X242" s="89"/>
      <c r="Y242" s="89"/>
      <c r="Z242" s="89"/>
      <c r="AA242" s="89"/>
      <c r="AB242" s="89"/>
      <c r="AC242" s="89"/>
      <c r="AD242" s="89"/>
      <c r="AE242" s="89"/>
    </row>
    <row r="243">
      <c r="A243" s="445"/>
      <c r="B243" s="420"/>
      <c r="C243" s="420"/>
      <c r="D243" s="420"/>
      <c r="E243" s="420"/>
      <c r="F243" s="420"/>
      <c r="G243" s="420"/>
      <c r="H243" s="420"/>
      <c r="I243" s="89"/>
      <c r="J243" s="89"/>
      <c r="K243" s="89"/>
      <c r="L243" s="89"/>
      <c r="M243" s="89"/>
      <c r="N243" s="89"/>
      <c r="O243" s="89"/>
      <c r="P243" s="89"/>
      <c r="Q243" s="89"/>
      <c r="R243" s="89"/>
      <c r="S243" s="89"/>
      <c r="T243" s="89"/>
      <c r="U243" s="89"/>
      <c r="V243" s="89"/>
      <c r="W243" s="89"/>
      <c r="X243" s="89"/>
      <c r="Y243" s="89"/>
      <c r="Z243" s="89"/>
      <c r="AA243" s="89"/>
      <c r="AB243" s="89"/>
      <c r="AC243" s="89"/>
      <c r="AD243" s="89"/>
      <c r="AE243" s="89"/>
    </row>
    <row r="244">
      <c r="A244" s="445"/>
      <c r="B244" s="420"/>
      <c r="C244" s="420"/>
      <c r="D244" s="420"/>
      <c r="E244" s="420"/>
      <c r="F244" s="420"/>
      <c r="G244" s="420"/>
      <c r="H244" s="420"/>
      <c r="I244" s="89"/>
      <c r="J244" s="89"/>
      <c r="K244" s="89"/>
      <c r="L244" s="89"/>
      <c r="M244" s="89"/>
      <c r="N244" s="89"/>
      <c r="O244" s="89"/>
      <c r="P244" s="89"/>
      <c r="Q244" s="89"/>
      <c r="R244" s="89"/>
      <c r="S244" s="89"/>
      <c r="T244" s="89"/>
      <c r="U244" s="89"/>
      <c r="V244" s="89"/>
      <c r="W244" s="89"/>
      <c r="X244" s="89"/>
      <c r="Y244" s="89"/>
      <c r="Z244" s="89"/>
      <c r="AA244" s="89"/>
      <c r="AB244" s="89"/>
      <c r="AC244" s="89"/>
      <c r="AD244" s="89"/>
      <c r="AE244" s="89"/>
    </row>
    <row r="245">
      <c r="A245" s="445"/>
      <c r="B245" s="420"/>
      <c r="C245" s="420"/>
      <c r="D245" s="420"/>
      <c r="E245" s="420"/>
      <c r="F245" s="420"/>
      <c r="G245" s="420"/>
      <c r="H245" s="420"/>
      <c r="I245" s="89"/>
      <c r="J245" s="89"/>
      <c r="K245" s="89"/>
      <c r="L245" s="89"/>
      <c r="M245" s="89"/>
      <c r="N245" s="89"/>
      <c r="O245" s="89"/>
      <c r="P245" s="89"/>
      <c r="Q245" s="89"/>
      <c r="R245" s="89"/>
      <c r="S245" s="89"/>
      <c r="T245" s="89"/>
      <c r="U245" s="89"/>
      <c r="V245" s="89"/>
      <c r="W245" s="89"/>
      <c r="X245" s="89"/>
      <c r="Y245" s="89"/>
      <c r="Z245" s="89"/>
      <c r="AA245" s="89"/>
      <c r="AB245" s="89"/>
      <c r="AC245" s="89"/>
      <c r="AD245" s="89"/>
      <c r="AE245" s="89"/>
    </row>
    <row r="246">
      <c r="A246" s="445"/>
      <c r="B246" s="420"/>
      <c r="C246" s="420"/>
      <c r="D246" s="420"/>
      <c r="E246" s="420"/>
      <c r="F246" s="420"/>
      <c r="G246" s="420"/>
      <c r="H246" s="420"/>
      <c r="I246" s="89"/>
      <c r="J246" s="89"/>
      <c r="K246" s="89"/>
      <c r="L246" s="89"/>
      <c r="M246" s="89"/>
      <c r="N246" s="89"/>
      <c r="O246" s="89"/>
      <c r="P246" s="89"/>
      <c r="Q246" s="89"/>
      <c r="R246" s="89"/>
      <c r="S246" s="89"/>
      <c r="T246" s="89"/>
      <c r="U246" s="89"/>
      <c r="V246" s="89"/>
      <c r="W246" s="89"/>
      <c r="X246" s="89"/>
      <c r="Y246" s="89"/>
      <c r="Z246" s="89"/>
      <c r="AA246" s="89"/>
      <c r="AB246" s="89"/>
      <c r="AC246" s="89"/>
      <c r="AD246" s="89"/>
      <c r="AE246" s="89"/>
    </row>
    <row r="247">
      <c r="A247" s="445"/>
      <c r="B247" s="420"/>
      <c r="C247" s="420"/>
      <c r="D247" s="420"/>
      <c r="E247" s="420"/>
      <c r="F247" s="420"/>
      <c r="G247" s="420"/>
      <c r="H247" s="420"/>
      <c r="I247" s="89"/>
      <c r="J247" s="89"/>
      <c r="K247" s="89"/>
      <c r="L247" s="89"/>
      <c r="M247" s="89"/>
      <c r="N247" s="89"/>
      <c r="O247" s="89"/>
      <c r="P247" s="89"/>
      <c r="Q247" s="89"/>
      <c r="R247" s="89"/>
      <c r="S247" s="89"/>
      <c r="T247" s="89"/>
      <c r="U247" s="89"/>
      <c r="V247" s="89"/>
      <c r="W247" s="89"/>
      <c r="X247" s="89"/>
      <c r="Y247" s="89"/>
      <c r="Z247" s="89"/>
      <c r="AA247" s="89"/>
      <c r="AB247" s="89"/>
      <c r="AC247" s="89"/>
      <c r="AD247" s="89"/>
      <c r="AE247" s="89"/>
    </row>
    <row r="248">
      <c r="A248" s="445"/>
      <c r="B248" s="420"/>
      <c r="C248" s="420"/>
      <c r="D248" s="420"/>
      <c r="E248" s="420"/>
      <c r="F248" s="420"/>
      <c r="G248" s="420"/>
      <c r="H248" s="420"/>
      <c r="I248" s="89"/>
      <c r="J248" s="89"/>
      <c r="K248" s="89"/>
      <c r="L248" s="89"/>
      <c r="M248" s="89"/>
      <c r="N248" s="89"/>
      <c r="O248" s="89"/>
      <c r="P248" s="89"/>
      <c r="Q248" s="89"/>
      <c r="R248" s="89"/>
      <c r="S248" s="89"/>
      <c r="T248" s="89"/>
      <c r="U248" s="89"/>
      <c r="V248" s="89"/>
      <c r="W248" s="89"/>
      <c r="X248" s="89"/>
      <c r="Y248" s="89"/>
      <c r="Z248" s="89"/>
      <c r="AA248" s="89"/>
      <c r="AB248" s="89"/>
      <c r="AC248" s="89"/>
      <c r="AD248" s="89"/>
      <c r="AE248" s="89"/>
    </row>
    <row r="249">
      <c r="A249" s="445"/>
      <c r="B249" s="420"/>
      <c r="C249" s="420"/>
      <c r="D249" s="420"/>
      <c r="E249" s="420"/>
      <c r="F249" s="420"/>
      <c r="G249" s="420"/>
      <c r="H249" s="420"/>
      <c r="I249" s="89"/>
      <c r="J249" s="89"/>
      <c r="K249" s="89"/>
      <c r="L249" s="89"/>
      <c r="M249" s="89"/>
      <c r="N249" s="89"/>
      <c r="O249" s="89"/>
      <c r="P249" s="89"/>
      <c r="Q249" s="89"/>
      <c r="R249" s="89"/>
      <c r="S249" s="89"/>
      <c r="T249" s="89"/>
      <c r="U249" s="89"/>
      <c r="V249" s="89"/>
      <c r="W249" s="89"/>
      <c r="X249" s="89"/>
      <c r="Y249" s="89"/>
      <c r="Z249" s="89"/>
      <c r="AA249" s="89"/>
      <c r="AB249" s="89"/>
      <c r="AC249" s="89"/>
      <c r="AD249" s="89"/>
      <c r="AE249" s="89"/>
    </row>
    <row r="250">
      <c r="A250" s="445"/>
      <c r="B250" s="420"/>
      <c r="C250" s="420"/>
      <c r="D250" s="420"/>
      <c r="E250" s="420"/>
      <c r="F250" s="420"/>
      <c r="G250" s="420"/>
      <c r="H250" s="420"/>
      <c r="I250" s="89"/>
      <c r="J250" s="89"/>
      <c r="K250" s="89"/>
      <c r="L250" s="89"/>
      <c r="M250" s="89"/>
      <c r="N250" s="89"/>
      <c r="O250" s="89"/>
      <c r="P250" s="89"/>
      <c r="Q250" s="89"/>
      <c r="R250" s="89"/>
      <c r="S250" s="89"/>
      <c r="T250" s="89"/>
      <c r="U250" s="89"/>
      <c r="V250" s="89"/>
      <c r="W250" s="89"/>
      <c r="X250" s="89"/>
      <c r="Y250" s="89"/>
      <c r="Z250" s="89"/>
      <c r="AA250" s="89"/>
      <c r="AB250" s="89"/>
      <c r="AC250" s="89"/>
      <c r="AD250" s="89"/>
      <c r="AE250" s="89"/>
    </row>
    <row r="251">
      <c r="A251" s="445"/>
      <c r="B251" s="420"/>
      <c r="C251" s="420"/>
      <c r="D251" s="420"/>
      <c r="E251" s="420"/>
      <c r="F251" s="420"/>
      <c r="G251" s="420"/>
      <c r="H251" s="420"/>
      <c r="I251" s="89"/>
      <c r="J251" s="89"/>
      <c r="K251" s="89"/>
      <c r="L251" s="89"/>
      <c r="M251" s="89"/>
      <c r="N251" s="89"/>
      <c r="O251" s="89"/>
      <c r="P251" s="89"/>
      <c r="Q251" s="89"/>
      <c r="R251" s="89"/>
      <c r="S251" s="89"/>
      <c r="T251" s="89"/>
      <c r="U251" s="89"/>
      <c r="V251" s="89"/>
      <c r="W251" s="89"/>
      <c r="X251" s="89"/>
      <c r="Y251" s="89"/>
      <c r="Z251" s="89"/>
      <c r="AA251" s="89"/>
      <c r="AB251" s="89"/>
      <c r="AC251" s="89"/>
      <c r="AD251" s="89"/>
      <c r="AE251" s="89"/>
    </row>
    <row r="252">
      <c r="A252" s="445"/>
      <c r="B252" s="420"/>
      <c r="C252" s="420"/>
      <c r="D252" s="420"/>
      <c r="E252" s="420"/>
      <c r="F252" s="420"/>
      <c r="G252" s="420"/>
      <c r="H252" s="420"/>
      <c r="I252" s="89"/>
      <c r="J252" s="89"/>
      <c r="K252" s="89"/>
      <c r="L252" s="89"/>
      <c r="M252" s="89"/>
      <c r="N252" s="89"/>
      <c r="O252" s="89"/>
      <c r="P252" s="89"/>
      <c r="Q252" s="89"/>
      <c r="R252" s="89"/>
      <c r="S252" s="89"/>
      <c r="T252" s="89"/>
      <c r="U252" s="89"/>
      <c r="V252" s="89"/>
      <c r="W252" s="89"/>
      <c r="X252" s="89"/>
      <c r="Y252" s="89"/>
      <c r="Z252" s="89"/>
      <c r="AA252" s="89"/>
      <c r="AB252" s="89"/>
      <c r="AC252" s="89"/>
      <c r="AD252" s="89"/>
      <c r="AE252" s="89"/>
    </row>
    <row r="253">
      <c r="A253" s="445"/>
      <c r="B253" s="420"/>
      <c r="C253" s="420"/>
      <c r="D253" s="420"/>
      <c r="E253" s="420"/>
      <c r="F253" s="420"/>
      <c r="G253" s="420"/>
      <c r="H253" s="420"/>
      <c r="I253" s="89"/>
      <c r="J253" s="89"/>
      <c r="K253" s="89"/>
      <c r="L253" s="89"/>
      <c r="M253" s="89"/>
      <c r="N253" s="89"/>
      <c r="O253" s="89"/>
      <c r="P253" s="89"/>
      <c r="Q253" s="89"/>
      <c r="R253" s="89"/>
      <c r="S253" s="89"/>
      <c r="T253" s="89"/>
      <c r="U253" s="89"/>
      <c r="V253" s="89"/>
      <c r="W253" s="89"/>
      <c r="X253" s="89"/>
      <c r="Y253" s="89"/>
      <c r="Z253" s="89"/>
      <c r="AA253" s="89"/>
      <c r="AB253" s="89"/>
      <c r="AC253" s="89"/>
      <c r="AD253" s="89"/>
      <c r="AE253" s="89"/>
    </row>
    <row r="254">
      <c r="A254" s="445"/>
      <c r="B254" s="420"/>
      <c r="C254" s="420"/>
      <c r="D254" s="420"/>
      <c r="E254" s="420"/>
      <c r="F254" s="420"/>
      <c r="G254" s="420"/>
      <c r="H254" s="420"/>
      <c r="I254" s="89"/>
      <c r="J254" s="89"/>
      <c r="K254" s="89"/>
      <c r="L254" s="89"/>
      <c r="M254" s="89"/>
      <c r="N254" s="89"/>
      <c r="O254" s="89"/>
      <c r="P254" s="89"/>
      <c r="Q254" s="89"/>
      <c r="R254" s="89"/>
      <c r="S254" s="89"/>
      <c r="T254" s="89"/>
      <c r="U254" s="89"/>
      <c r="V254" s="89"/>
      <c r="W254" s="89"/>
      <c r="X254" s="89"/>
      <c r="Y254" s="89"/>
      <c r="Z254" s="89"/>
      <c r="AA254" s="89"/>
      <c r="AB254" s="89"/>
      <c r="AC254" s="89"/>
      <c r="AD254" s="89"/>
      <c r="AE254" s="89"/>
    </row>
    <row r="255">
      <c r="A255" s="445"/>
      <c r="B255" s="420"/>
      <c r="C255" s="420"/>
      <c r="D255" s="420"/>
      <c r="E255" s="420"/>
      <c r="F255" s="420"/>
      <c r="G255" s="420"/>
      <c r="H255" s="420"/>
      <c r="I255" s="89"/>
      <c r="J255" s="89"/>
      <c r="K255" s="89"/>
      <c r="L255" s="89"/>
      <c r="M255" s="89"/>
      <c r="N255" s="89"/>
      <c r="O255" s="89"/>
      <c r="P255" s="89"/>
      <c r="Q255" s="89"/>
      <c r="R255" s="89"/>
      <c r="S255" s="89"/>
      <c r="T255" s="89"/>
      <c r="U255" s="89"/>
      <c r="V255" s="89"/>
      <c r="W255" s="89"/>
      <c r="X255" s="89"/>
      <c r="Y255" s="89"/>
      <c r="Z255" s="89"/>
      <c r="AA255" s="89"/>
      <c r="AB255" s="89"/>
      <c r="AC255" s="89"/>
      <c r="AD255" s="89"/>
      <c r="AE255" s="89"/>
    </row>
    <row r="256">
      <c r="A256" s="445"/>
      <c r="B256" s="420"/>
      <c r="C256" s="420"/>
      <c r="D256" s="420"/>
      <c r="E256" s="420"/>
      <c r="F256" s="420"/>
      <c r="G256" s="420"/>
      <c r="H256" s="420"/>
      <c r="I256" s="89"/>
      <c r="J256" s="89"/>
      <c r="K256" s="89"/>
      <c r="L256" s="89"/>
      <c r="M256" s="89"/>
      <c r="N256" s="89"/>
      <c r="O256" s="89"/>
      <c r="P256" s="89"/>
      <c r="Q256" s="89"/>
      <c r="R256" s="89"/>
      <c r="S256" s="89"/>
      <c r="T256" s="89"/>
      <c r="U256" s="89"/>
      <c r="V256" s="89"/>
      <c r="W256" s="89"/>
      <c r="X256" s="89"/>
      <c r="Y256" s="89"/>
      <c r="Z256" s="89"/>
      <c r="AA256" s="89"/>
      <c r="AB256" s="89"/>
      <c r="AC256" s="89"/>
      <c r="AD256" s="89"/>
      <c r="AE256" s="89"/>
    </row>
    <row r="257">
      <c r="A257" s="445"/>
      <c r="B257" s="420"/>
      <c r="C257" s="420"/>
      <c r="D257" s="420"/>
      <c r="E257" s="420"/>
      <c r="F257" s="420"/>
      <c r="G257" s="420"/>
      <c r="H257" s="420"/>
      <c r="I257" s="89"/>
      <c r="J257" s="89"/>
      <c r="K257" s="89"/>
      <c r="L257" s="89"/>
      <c r="M257" s="89"/>
      <c r="N257" s="89"/>
      <c r="O257" s="89"/>
      <c r="P257" s="89"/>
      <c r="Q257" s="89"/>
      <c r="R257" s="89"/>
      <c r="S257" s="89"/>
      <c r="T257" s="89"/>
      <c r="U257" s="89"/>
      <c r="V257" s="89"/>
      <c r="W257" s="89"/>
      <c r="X257" s="89"/>
      <c r="Y257" s="89"/>
      <c r="Z257" s="89"/>
      <c r="AA257" s="89"/>
      <c r="AB257" s="89"/>
      <c r="AC257" s="89"/>
      <c r="AD257" s="89"/>
      <c r="AE257" s="89"/>
    </row>
    <row r="258">
      <c r="A258" s="445"/>
      <c r="B258" s="420"/>
      <c r="C258" s="420"/>
      <c r="D258" s="420"/>
      <c r="E258" s="420"/>
      <c r="F258" s="420"/>
      <c r="G258" s="420"/>
      <c r="H258" s="420"/>
      <c r="I258" s="89"/>
      <c r="J258" s="89"/>
      <c r="K258" s="89"/>
      <c r="L258" s="89"/>
      <c r="M258" s="89"/>
      <c r="N258" s="89"/>
      <c r="O258" s="89"/>
      <c r="P258" s="89"/>
      <c r="Q258" s="89"/>
      <c r="R258" s="89"/>
      <c r="S258" s="89"/>
      <c r="T258" s="89"/>
      <c r="U258" s="89"/>
      <c r="V258" s="89"/>
      <c r="W258" s="89"/>
      <c r="X258" s="89"/>
      <c r="Y258" s="89"/>
      <c r="Z258" s="89"/>
      <c r="AA258" s="89"/>
      <c r="AB258" s="89"/>
      <c r="AC258" s="89"/>
      <c r="AD258" s="89"/>
      <c r="AE258" s="89"/>
    </row>
    <row r="259">
      <c r="A259" s="445"/>
      <c r="B259" s="420"/>
      <c r="C259" s="420"/>
      <c r="D259" s="420"/>
      <c r="E259" s="420"/>
      <c r="F259" s="420"/>
      <c r="G259" s="420"/>
      <c r="H259" s="420"/>
      <c r="I259" s="89"/>
      <c r="J259" s="89"/>
      <c r="K259" s="89"/>
      <c r="L259" s="89"/>
      <c r="M259" s="89"/>
      <c r="N259" s="89"/>
      <c r="O259" s="89"/>
      <c r="P259" s="89"/>
      <c r="Q259" s="89"/>
      <c r="R259" s="89"/>
      <c r="S259" s="89"/>
      <c r="T259" s="89"/>
      <c r="U259" s="89"/>
      <c r="V259" s="89"/>
      <c r="W259" s="89"/>
      <c r="X259" s="89"/>
      <c r="Y259" s="89"/>
      <c r="Z259" s="89"/>
      <c r="AA259" s="89"/>
      <c r="AB259" s="89"/>
      <c r="AC259" s="89"/>
      <c r="AD259" s="89"/>
      <c r="AE259" s="89"/>
    </row>
    <row r="260">
      <c r="A260" s="445"/>
      <c r="B260" s="420"/>
      <c r="C260" s="420"/>
      <c r="D260" s="420"/>
      <c r="E260" s="420"/>
      <c r="F260" s="420"/>
      <c r="G260" s="420"/>
      <c r="H260" s="420"/>
      <c r="I260" s="89"/>
      <c r="J260" s="89"/>
      <c r="K260" s="89"/>
      <c r="L260" s="89"/>
      <c r="M260" s="89"/>
      <c r="N260" s="89"/>
      <c r="O260" s="89"/>
      <c r="P260" s="89"/>
      <c r="Q260" s="89"/>
      <c r="R260" s="89"/>
      <c r="S260" s="89"/>
      <c r="T260" s="89"/>
      <c r="U260" s="89"/>
      <c r="V260" s="89"/>
      <c r="W260" s="89"/>
      <c r="X260" s="89"/>
      <c r="Y260" s="89"/>
      <c r="Z260" s="89"/>
      <c r="AA260" s="89"/>
      <c r="AB260" s="89"/>
      <c r="AC260" s="89"/>
      <c r="AD260" s="89"/>
      <c r="AE260" s="89"/>
    </row>
    <row r="261">
      <c r="A261" s="445"/>
      <c r="B261" s="420"/>
      <c r="C261" s="420"/>
      <c r="D261" s="420"/>
      <c r="E261" s="420"/>
      <c r="F261" s="420"/>
      <c r="G261" s="420"/>
      <c r="H261" s="420"/>
      <c r="I261" s="89"/>
      <c r="J261" s="89"/>
      <c r="K261" s="89"/>
      <c r="L261" s="89"/>
      <c r="M261" s="89"/>
      <c r="N261" s="89"/>
      <c r="O261" s="89"/>
      <c r="P261" s="89"/>
      <c r="Q261" s="89"/>
      <c r="R261" s="89"/>
      <c r="S261" s="89"/>
      <c r="T261" s="89"/>
      <c r="U261" s="89"/>
      <c r="V261" s="89"/>
      <c r="W261" s="89"/>
      <c r="X261" s="89"/>
      <c r="Y261" s="89"/>
      <c r="Z261" s="89"/>
      <c r="AA261" s="89"/>
      <c r="AB261" s="89"/>
      <c r="AC261" s="89"/>
      <c r="AD261" s="89"/>
      <c r="AE261" s="89"/>
    </row>
    <row r="262">
      <c r="A262" s="445"/>
      <c r="B262" s="420"/>
      <c r="C262" s="420"/>
      <c r="D262" s="420"/>
      <c r="E262" s="420"/>
      <c r="F262" s="420"/>
      <c r="G262" s="420"/>
      <c r="H262" s="420"/>
      <c r="I262" s="89"/>
      <c r="J262" s="89"/>
      <c r="K262" s="89"/>
      <c r="L262" s="89"/>
      <c r="M262" s="89"/>
      <c r="N262" s="89"/>
      <c r="O262" s="89"/>
      <c r="P262" s="89"/>
      <c r="Q262" s="89"/>
      <c r="R262" s="89"/>
      <c r="S262" s="89"/>
      <c r="T262" s="89"/>
      <c r="U262" s="89"/>
      <c r="V262" s="89"/>
      <c r="W262" s="89"/>
      <c r="X262" s="89"/>
      <c r="Y262" s="89"/>
      <c r="Z262" s="89"/>
      <c r="AA262" s="89"/>
      <c r="AB262" s="89"/>
      <c r="AC262" s="89"/>
      <c r="AD262" s="89"/>
      <c r="AE262" s="89"/>
    </row>
    <row r="263">
      <c r="A263" s="445"/>
      <c r="B263" s="420"/>
      <c r="C263" s="420"/>
      <c r="D263" s="420"/>
      <c r="E263" s="420"/>
      <c r="F263" s="420"/>
      <c r="G263" s="420"/>
      <c r="H263" s="420"/>
      <c r="I263" s="89"/>
      <c r="J263" s="89"/>
      <c r="K263" s="89"/>
      <c r="L263" s="89"/>
      <c r="M263" s="89"/>
      <c r="N263" s="89"/>
      <c r="O263" s="89"/>
      <c r="P263" s="89"/>
      <c r="Q263" s="89"/>
      <c r="R263" s="89"/>
      <c r="S263" s="89"/>
      <c r="T263" s="89"/>
      <c r="U263" s="89"/>
      <c r="V263" s="89"/>
      <c r="W263" s="89"/>
      <c r="X263" s="89"/>
      <c r="Y263" s="89"/>
      <c r="Z263" s="89"/>
      <c r="AA263" s="89"/>
      <c r="AB263" s="89"/>
      <c r="AC263" s="89"/>
      <c r="AD263" s="89"/>
      <c r="AE263" s="89"/>
    </row>
    <row r="264">
      <c r="A264" s="445"/>
      <c r="B264" s="420"/>
      <c r="C264" s="420"/>
      <c r="D264" s="420"/>
      <c r="E264" s="420"/>
      <c r="F264" s="420"/>
      <c r="G264" s="420"/>
      <c r="H264" s="420"/>
      <c r="I264" s="89"/>
      <c r="J264" s="89"/>
      <c r="K264" s="89"/>
      <c r="L264" s="89"/>
      <c r="M264" s="89"/>
      <c r="N264" s="89"/>
      <c r="O264" s="89"/>
      <c r="P264" s="89"/>
      <c r="Q264" s="89"/>
      <c r="R264" s="89"/>
      <c r="S264" s="89"/>
      <c r="T264" s="89"/>
      <c r="U264" s="89"/>
      <c r="V264" s="89"/>
      <c r="W264" s="89"/>
      <c r="X264" s="89"/>
      <c r="Y264" s="89"/>
      <c r="Z264" s="89"/>
      <c r="AA264" s="89"/>
      <c r="AB264" s="89"/>
      <c r="AC264" s="89"/>
      <c r="AD264" s="89"/>
      <c r="AE264" s="89"/>
    </row>
    <row r="265">
      <c r="A265" s="445"/>
      <c r="B265" s="420"/>
      <c r="C265" s="420"/>
      <c r="D265" s="420"/>
      <c r="E265" s="420"/>
      <c r="F265" s="420"/>
      <c r="G265" s="420"/>
      <c r="H265" s="420"/>
      <c r="I265" s="89"/>
      <c r="J265" s="89"/>
      <c r="K265" s="89"/>
      <c r="L265" s="89"/>
      <c r="M265" s="89"/>
      <c r="N265" s="89"/>
      <c r="O265" s="89"/>
      <c r="P265" s="89"/>
      <c r="Q265" s="89"/>
      <c r="R265" s="89"/>
      <c r="S265" s="89"/>
      <c r="T265" s="89"/>
      <c r="U265" s="89"/>
      <c r="V265" s="89"/>
      <c r="W265" s="89"/>
      <c r="X265" s="89"/>
      <c r="Y265" s="89"/>
      <c r="Z265" s="89"/>
      <c r="AA265" s="89"/>
      <c r="AB265" s="89"/>
      <c r="AC265" s="89"/>
      <c r="AD265" s="89"/>
      <c r="AE265" s="89"/>
    </row>
    <row r="266">
      <c r="A266" s="445"/>
      <c r="B266" s="420"/>
      <c r="C266" s="420"/>
      <c r="D266" s="420"/>
      <c r="E266" s="420"/>
      <c r="F266" s="420"/>
      <c r="G266" s="420"/>
      <c r="H266" s="420"/>
      <c r="I266" s="89"/>
      <c r="J266" s="89"/>
      <c r="K266" s="89"/>
      <c r="L266" s="89"/>
      <c r="M266" s="89"/>
      <c r="N266" s="89"/>
      <c r="O266" s="89"/>
      <c r="P266" s="89"/>
      <c r="Q266" s="89"/>
      <c r="R266" s="89"/>
      <c r="S266" s="89"/>
      <c r="T266" s="89"/>
      <c r="U266" s="89"/>
      <c r="V266" s="89"/>
      <c r="W266" s="89"/>
      <c r="X266" s="89"/>
      <c r="Y266" s="89"/>
      <c r="Z266" s="89"/>
      <c r="AA266" s="89"/>
      <c r="AB266" s="89"/>
      <c r="AC266" s="89"/>
      <c r="AD266" s="89"/>
      <c r="AE266" s="89"/>
    </row>
    <row r="267">
      <c r="A267" s="445"/>
      <c r="B267" s="420"/>
      <c r="C267" s="420"/>
      <c r="D267" s="420"/>
      <c r="E267" s="420"/>
      <c r="F267" s="420"/>
      <c r="G267" s="420"/>
      <c r="H267" s="420"/>
      <c r="I267" s="89"/>
      <c r="J267" s="89"/>
      <c r="K267" s="89"/>
      <c r="L267" s="89"/>
      <c r="M267" s="89"/>
      <c r="N267" s="89"/>
      <c r="O267" s="89"/>
      <c r="P267" s="89"/>
      <c r="Q267" s="89"/>
      <c r="R267" s="89"/>
      <c r="S267" s="89"/>
      <c r="T267" s="89"/>
      <c r="U267" s="89"/>
      <c r="V267" s="89"/>
      <c r="W267" s="89"/>
      <c r="X267" s="89"/>
      <c r="Y267" s="89"/>
      <c r="Z267" s="89"/>
      <c r="AA267" s="89"/>
      <c r="AB267" s="89"/>
      <c r="AC267" s="89"/>
      <c r="AD267" s="89"/>
      <c r="AE267" s="89"/>
    </row>
    <row r="268">
      <c r="A268" s="445"/>
      <c r="B268" s="420"/>
      <c r="C268" s="420"/>
      <c r="D268" s="420"/>
      <c r="E268" s="420"/>
      <c r="F268" s="420"/>
      <c r="G268" s="420"/>
      <c r="H268" s="420"/>
      <c r="I268" s="89"/>
      <c r="J268" s="89"/>
      <c r="K268" s="89"/>
      <c r="L268" s="89"/>
      <c r="M268" s="89"/>
      <c r="N268" s="89"/>
      <c r="O268" s="89"/>
      <c r="P268" s="89"/>
      <c r="Q268" s="89"/>
      <c r="R268" s="89"/>
      <c r="S268" s="89"/>
      <c r="T268" s="89"/>
      <c r="U268" s="89"/>
      <c r="V268" s="89"/>
      <c r="W268" s="89"/>
      <c r="X268" s="89"/>
      <c r="Y268" s="89"/>
      <c r="Z268" s="89"/>
      <c r="AA268" s="89"/>
      <c r="AB268" s="89"/>
      <c r="AC268" s="89"/>
      <c r="AD268" s="89"/>
      <c r="AE268" s="89"/>
    </row>
    <row r="269">
      <c r="A269" s="445"/>
      <c r="B269" s="420"/>
      <c r="C269" s="420"/>
      <c r="D269" s="420"/>
      <c r="E269" s="420"/>
      <c r="F269" s="420"/>
      <c r="G269" s="420"/>
      <c r="H269" s="420"/>
      <c r="I269" s="89"/>
      <c r="J269" s="89"/>
      <c r="K269" s="89"/>
      <c r="L269" s="89"/>
      <c r="M269" s="89"/>
      <c r="N269" s="89"/>
      <c r="O269" s="89"/>
      <c r="P269" s="89"/>
      <c r="Q269" s="89"/>
      <c r="R269" s="89"/>
      <c r="S269" s="89"/>
      <c r="T269" s="89"/>
      <c r="U269" s="89"/>
      <c r="V269" s="89"/>
      <c r="W269" s="89"/>
      <c r="X269" s="89"/>
      <c r="Y269" s="89"/>
      <c r="Z269" s="89"/>
      <c r="AA269" s="89"/>
      <c r="AB269" s="89"/>
      <c r="AC269" s="89"/>
      <c r="AD269" s="89"/>
      <c r="AE269" s="89"/>
    </row>
    <row r="270">
      <c r="A270" s="445"/>
      <c r="B270" s="420"/>
      <c r="C270" s="420"/>
      <c r="D270" s="420"/>
      <c r="E270" s="420"/>
      <c r="F270" s="420"/>
      <c r="G270" s="420"/>
      <c r="H270" s="420"/>
      <c r="I270" s="89"/>
      <c r="J270" s="89"/>
      <c r="K270" s="89"/>
      <c r="L270" s="89"/>
      <c r="M270" s="89"/>
      <c r="N270" s="89"/>
      <c r="O270" s="89"/>
      <c r="P270" s="89"/>
      <c r="Q270" s="89"/>
      <c r="R270" s="89"/>
      <c r="S270" s="89"/>
      <c r="T270" s="89"/>
      <c r="U270" s="89"/>
      <c r="V270" s="89"/>
      <c r="W270" s="89"/>
      <c r="X270" s="89"/>
      <c r="Y270" s="89"/>
      <c r="Z270" s="89"/>
      <c r="AA270" s="89"/>
      <c r="AB270" s="89"/>
      <c r="AC270" s="89"/>
      <c r="AD270" s="89"/>
      <c r="AE270" s="89"/>
    </row>
    <row r="271">
      <c r="A271" s="445"/>
      <c r="B271" s="420"/>
      <c r="C271" s="420"/>
      <c r="D271" s="420"/>
      <c r="E271" s="420"/>
      <c r="F271" s="420"/>
      <c r="G271" s="420"/>
      <c r="H271" s="420"/>
      <c r="I271" s="89"/>
      <c r="J271" s="89"/>
      <c r="K271" s="89"/>
      <c r="L271" s="89"/>
      <c r="M271" s="89"/>
      <c r="N271" s="89"/>
      <c r="O271" s="89"/>
      <c r="P271" s="89"/>
      <c r="Q271" s="89"/>
      <c r="R271" s="89"/>
      <c r="S271" s="89"/>
      <c r="T271" s="89"/>
      <c r="U271" s="89"/>
      <c r="V271" s="89"/>
      <c r="W271" s="89"/>
      <c r="X271" s="89"/>
      <c r="Y271" s="89"/>
      <c r="Z271" s="89"/>
      <c r="AA271" s="89"/>
      <c r="AB271" s="89"/>
      <c r="AC271" s="89"/>
      <c r="AD271" s="89"/>
      <c r="AE271" s="89"/>
    </row>
    <row r="272">
      <c r="A272" s="445"/>
      <c r="B272" s="420"/>
      <c r="C272" s="420"/>
      <c r="D272" s="420"/>
      <c r="E272" s="420"/>
      <c r="F272" s="420"/>
      <c r="G272" s="420"/>
      <c r="H272" s="420"/>
      <c r="I272" s="89"/>
      <c r="J272" s="89"/>
      <c r="K272" s="89"/>
      <c r="L272" s="89"/>
      <c r="M272" s="89"/>
      <c r="N272" s="89"/>
      <c r="O272" s="89"/>
      <c r="P272" s="89"/>
      <c r="Q272" s="89"/>
      <c r="R272" s="89"/>
      <c r="S272" s="89"/>
      <c r="T272" s="89"/>
      <c r="U272" s="89"/>
      <c r="V272" s="89"/>
      <c r="W272" s="89"/>
      <c r="X272" s="89"/>
      <c r="Y272" s="89"/>
      <c r="Z272" s="89"/>
      <c r="AA272" s="89"/>
      <c r="AB272" s="89"/>
      <c r="AC272" s="89"/>
      <c r="AD272" s="89"/>
      <c r="AE272" s="89"/>
    </row>
    <row r="273">
      <c r="A273" s="445"/>
      <c r="B273" s="420"/>
      <c r="C273" s="420"/>
      <c r="D273" s="420"/>
      <c r="E273" s="420"/>
      <c r="F273" s="420"/>
      <c r="G273" s="420"/>
      <c r="H273" s="420"/>
      <c r="I273" s="89"/>
      <c r="J273" s="89"/>
      <c r="K273" s="89"/>
      <c r="L273" s="89"/>
      <c r="M273" s="89"/>
      <c r="N273" s="89"/>
      <c r="O273" s="89"/>
      <c r="P273" s="89"/>
      <c r="Q273" s="89"/>
      <c r="R273" s="89"/>
      <c r="S273" s="89"/>
      <c r="T273" s="89"/>
      <c r="U273" s="89"/>
      <c r="V273" s="89"/>
      <c r="W273" s="89"/>
      <c r="X273" s="89"/>
      <c r="Y273" s="89"/>
      <c r="Z273" s="89"/>
      <c r="AA273" s="89"/>
      <c r="AB273" s="89"/>
      <c r="AC273" s="89"/>
      <c r="AD273" s="89"/>
      <c r="AE273" s="89"/>
    </row>
    <row r="274">
      <c r="A274" s="445"/>
      <c r="B274" s="420"/>
      <c r="C274" s="420"/>
      <c r="D274" s="420"/>
      <c r="E274" s="420"/>
      <c r="F274" s="420"/>
      <c r="G274" s="420"/>
      <c r="H274" s="420"/>
      <c r="I274" s="89"/>
      <c r="J274" s="89"/>
      <c r="K274" s="89"/>
      <c r="L274" s="89"/>
      <c r="M274" s="89"/>
      <c r="N274" s="89"/>
      <c r="O274" s="89"/>
      <c r="P274" s="89"/>
      <c r="Q274" s="89"/>
      <c r="R274" s="89"/>
      <c r="S274" s="89"/>
      <c r="T274" s="89"/>
      <c r="U274" s="89"/>
      <c r="V274" s="89"/>
      <c r="W274" s="89"/>
      <c r="X274" s="89"/>
      <c r="Y274" s="89"/>
      <c r="Z274" s="89"/>
      <c r="AA274" s="89"/>
      <c r="AB274" s="89"/>
      <c r="AC274" s="89"/>
      <c r="AD274" s="89"/>
      <c r="AE274" s="89"/>
    </row>
    <row r="275">
      <c r="A275" s="445"/>
      <c r="B275" s="420"/>
      <c r="C275" s="420"/>
      <c r="D275" s="420"/>
      <c r="E275" s="420"/>
      <c r="F275" s="420"/>
      <c r="G275" s="420"/>
      <c r="H275" s="420"/>
      <c r="I275" s="89"/>
      <c r="J275" s="89"/>
      <c r="K275" s="89"/>
      <c r="L275" s="89"/>
      <c r="M275" s="89"/>
      <c r="N275" s="89"/>
      <c r="O275" s="89"/>
      <c r="P275" s="89"/>
      <c r="Q275" s="89"/>
      <c r="R275" s="89"/>
      <c r="S275" s="89"/>
      <c r="T275" s="89"/>
      <c r="U275" s="89"/>
      <c r="V275" s="89"/>
      <c r="W275" s="89"/>
      <c r="X275" s="89"/>
      <c r="Y275" s="89"/>
      <c r="Z275" s="89"/>
      <c r="AA275" s="89"/>
      <c r="AB275" s="89"/>
      <c r="AC275" s="89"/>
      <c r="AD275" s="89"/>
      <c r="AE275" s="89"/>
    </row>
    <row r="276">
      <c r="A276" s="445"/>
      <c r="B276" s="420"/>
      <c r="C276" s="420"/>
      <c r="D276" s="420"/>
      <c r="E276" s="420"/>
      <c r="F276" s="420"/>
      <c r="G276" s="420"/>
      <c r="H276" s="420"/>
      <c r="I276" s="89"/>
      <c r="J276" s="89"/>
      <c r="K276" s="89"/>
      <c r="L276" s="89"/>
      <c r="M276" s="89"/>
      <c r="N276" s="89"/>
      <c r="O276" s="89"/>
      <c r="P276" s="89"/>
      <c r="Q276" s="89"/>
      <c r="R276" s="89"/>
      <c r="S276" s="89"/>
      <c r="T276" s="89"/>
      <c r="U276" s="89"/>
      <c r="V276" s="89"/>
      <c r="W276" s="89"/>
      <c r="X276" s="89"/>
      <c r="Y276" s="89"/>
      <c r="Z276" s="89"/>
      <c r="AA276" s="89"/>
      <c r="AB276" s="89"/>
      <c r="AC276" s="89"/>
      <c r="AD276" s="89"/>
      <c r="AE276" s="89"/>
    </row>
    <row r="277">
      <c r="A277" s="445"/>
      <c r="B277" s="420"/>
      <c r="C277" s="420"/>
      <c r="D277" s="420"/>
      <c r="E277" s="420"/>
      <c r="F277" s="420"/>
      <c r="G277" s="420"/>
      <c r="H277" s="420"/>
      <c r="I277" s="89"/>
      <c r="J277" s="89"/>
      <c r="K277" s="89"/>
      <c r="L277" s="89"/>
      <c r="M277" s="89"/>
      <c r="N277" s="89"/>
      <c r="O277" s="89"/>
      <c r="P277" s="89"/>
      <c r="Q277" s="89"/>
      <c r="R277" s="89"/>
      <c r="S277" s="89"/>
      <c r="T277" s="89"/>
      <c r="U277" s="89"/>
      <c r="V277" s="89"/>
      <c r="W277" s="89"/>
      <c r="X277" s="89"/>
      <c r="Y277" s="89"/>
      <c r="Z277" s="89"/>
      <c r="AA277" s="89"/>
      <c r="AB277" s="89"/>
      <c r="AC277" s="89"/>
      <c r="AD277" s="89"/>
      <c r="AE277" s="89"/>
    </row>
    <row r="278">
      <c r="A278" s="445"/>
      <c r="B278" s="420"/>
      <c r="C278" s="420"/>
      <c r="D278" s="420"/>
      <c r="E278" s="420"/>
      <c r="F278" s="420"/>
      <c r="G278" s="420"/>
      <c r="H278" s="420"/>
      <c r="I278" s="89"/>
      <c r="J278" s="89"/>
      <c r="K278" s="89"/>
      <c r="L278" s="89"/>
      <c r="M278" s="89"/>
      <c r="N278" s="89"/>
      <c r="O278" s="89"/>
      <c r="P278" s="89"/>
      <c r="Q278" s="89"/>
      <c r="R278" s="89"/>
      <c r="S278" s="89"/>
      <c r="T278" s="89"/>
      <c r="U278" s="89"/>
      <c r="V278" s="89"/>
      <c r="W278" s="89"/>
      <c r="X278" s="89"/>
      <c r="Y278" s="89"/>
      <c r="Z278" s="89"/>
      <c r="AA278" s="89"/>
      <c r="AB278" s="89"/>
      <c r="AC278" s="89"/>
      <c r="AD278" s="89"/>
      <c r="AE278" s="89"/>
    </row>
    <row r="279">
      <c r="A279" s="445"/>
      <c r="B279" s="420"/>
      <c r="C279" s="420"/>
      <c r="D279" s="420"/>
      <c r="E279" s="420"/>
      <c r="F279" s="420"/>
      <c r="G279" s="420"/>
      <c r="H279" s="420"/>
      <c r="I279" s="89"/>
      <c r="J279" s="89"/>
      <c r="K279" s="89"/>
      <c r="L279" s="89"/>
      <c r="M279" s="89"/>
      <c r="N279" s="89"/>
      <c r="O279" s="89"/>
      <c r="P279" s="89"/>
      <c r="Q279" s="89"/>
      <c r="R279" s="89"/>
      <c r="S279" s="89"/>
      <c r="T279" s="89"/>
      <c r="U279" s="89"/>
      <c r="V279" s="89"/>
      <c r="W279" s="89"/>
      <c r="X279" s="89"/>
      <c r="Y279" s="89"/>
      <c r="Z279" s="89"/>
      <c r="AA279" s="89"/>
      <c r="AB279" s="89"/>
      <c r="AC279" s="89"/>
      <c r="AD279" s="89"/>
      <c r="AE279" s="89"/>
    </row>
    <row r="280">
      <c r="A280" s="445"/>
      <c r="B280" s="420"/>
      <c r="C280" s="420"/>
      <c r="D280" s="420"/>
      <c r="E280" s="420"/>
      <c r="F280" s="420"/>
      <c r="G280" s="420"/>
      <c r="H280" s="420"/>
      <c r="I280" s="89"/>
      <c r="J280" s="89"/>
      <c r="K280" s="89"/>
      <c r="L280" s="89"/>
      <c r="M280" s="89"/>
      <c r="N280" s="89"/>
      <c r="O280" s="89"/>
      <c r="P280" s="89"/>
      <c r="Q280" s="89"/>
      <c r="R280" s="89"/>
      <c r="S280" s="89"/>
      <c r="T280" s="89"/>
      <c r="U280" s="89"/>
      <c r="V280" s="89"/>
      <c r="W280" s="89"/>
      <c r="X280" s="89"/>
      <c r="Y280" s="89"/>
      <c r="Z280" s="89"/>
      <c r="AA280" s="89"/>
      <c r="AB280" s="89"/>
      <c r="AC280" s="89"/>
      <c r="AD280" s="89"/>
      <c r="AE280" s="89"/>
    </row>
    <row r="281">
      <c r="A281" s="445"/>
      <c r="B281" s="420"/>
      <c r="C281" s="420"/>
      <c r="D281" s="420"/>
      <c r="E281" s="420"/>
      <c r="F281" s="420"/>
      <c r="G281" s="420"/>
      <c r="H281" s="420"/>
      <c r="I281" s="89"/>
      <c r="J281" s="89"/>
      <c r="K281" s="89"/>
      <c r="L281" s="89"/>
      <c r="M281" s="89"/>
      <c r="N281" s="89"/>
      <c r="O281" s="89"/>
      <c r="P281" s="89"/>
      <c r="Q281" s="89"/>
      <c r="R281" s="89"/>
      <c r="S281" s="89"/>
      <c r="T281" s="89"/>
      <c r="U281" s="89"/>
      <c r="V281" s="89"/>
      <c r="W281" s="89"/>
      <c r="X281" s="89"/>
      <c r="Y281" s="89"/>
      <c r="Z281" s="89"/>
      <c r="AA281" s="89"/>
      <c r="AB281" s="89"/>
      <c r="AC281" s="89"/>
      <c r="AD281" s="89"/>
      <c r="AE281" s="89"/>
    </row>
    <row r="282">
      <c r="A282" s="445"/>
      <c r="B282" s="420"/>
      <c r="C282" s="420"/>
      <c r="D282" s="420"/>
      <c r="E282" s="420"/>
      <c r="F282" s="420"/>
      <c r="G282" s="420"/>
      <c r="H282" s="420"/>
      <c r="I282" s="89"/>
      <c r="J282" s="89"/>
      <c r="K282" s="89"/>
      <c r="L282" s="89"/>
      <c r="M282" s="89"/>
      <c r="N282" s="89"/>
      <c r="O282" s="89"/>
      <c r="P282" s="89"/>
      <c r="Q282" s="89"/>
      <c r="R282" s="89"/>
      <c r="S282" s="89"/>
      <c r="T282" s="89"/>
      <c r="U282" s="89"/>
      <c r="V282" s="89"/>
      <c r="W282" s="89"/>
      <c r="X282" s="89"/>
      <c r="Y282" s="89"/>
      <c r="Z282" s="89"/>
      <c r="AA282" s="89"/>
      <c r="AB282" s="89"/>
      <c r="AC282" s="89"/>
      <c r="AD282" s="89"/>
      <c r="AE282" s="89"/>
    </row>
    <row r="283">
      <c r="A283" s="445"/>
      <c r="B283" s="420"/>
      <c r="C283" s="420"/>
      <c r="D283" s="420"/>
      <c r="E283" s="420"/>
      <c r="F283" s="420"/>
      <c r="G283" s="420"/>
      <c r="H283" s="420"/>
      <c r="I283" s="89"/>
      <c r="J283" s="89"/>
      <c r="K283" s="89"/>
      <c r="L283" s="89"/>
      <c r="M283" s="89"/>
      <c r="N283" s="89"/>
      <c r="O283" s="89"/>
      <c r="P283" s="89"/>
      <c r="Q283" s="89"/>
      <c r="R283" s="89"/>
      <c r="S283" s="89"/>
      <c r="T283" s="89"/>
      <c r="U283" s="89"/>
      <c r="V283" s="89"/>
      <c r="W283" s="89"/>
      <c r="X283" s="89"/>
      <c r="Y283" s="89"/>
      <c r="Z283" s="89"/>
      <c r="AA283" s="89"/>
      <c r="AB283" s="89"/>
      <c r="AC283" s="89"/>
      <c r="AD283" s="89"/>
      <c r="AE283" s="89"/>
    </row>
    <row r="284">
      <c r="A284" s="445"/>
      <c r="B284" s="420"/>
      <c r="C284" s="420"/>
      <c r="D284" s="420"/>
      <c r="E284" s="420"/>
      <c r="F284" s="420"/>
      <c r="G284" s="420"/>
      <c r="H284" s="420"/>
      <c r="I284" s="89"/>
      <c r="J284" s="89"/>
      <c r="K284" s="89"/>
      <c r="L284" s="89"/>
      <c r="M284" s="89"/>
      <c r="N284" s="89"/>
      <c r="O284" s="89"/>
      <c r="P284" s="89"/>
      <c r="Q284" s="89"/>
      <c r="R284" s="89"/>
      <c r="S284" s="89"/>
      <c r="T284" s="89"/>
      <c r="U284" s="89"/>
      <c r="V284" s="89"/>
      <c r="W284" s="89"/>
      <c r="X284" s="89"/>
      <c r="Y284" s="89"/>
      <c r="Z284" s="89"/>
      <c r="AA284" s="89"/>
      <c r="AB284" s="89"/>
      <c r="AC284" s="89"/>
      <c r="AD284" s="89"/>
      <c r="AE284" s="89"/>
    </row>
    <row r="285">
      <c r="A285" s="445"/>
      <c r="B285" s="420"/>
      <c r="C285" s="420"/>
      <c r="D285" s="420"/>
      <c r="E285" s="420"/>
      <c r="F285" s="420"/>
      <c r="G285" s="420"/>
      <c r="H285" s="420"/>
      <c r="I285" s="89"/>
      <c r="J285" s="89"/>
      <c r="K285" s="89"/>
      <c r="L285" s="89"/>
      <c r="M285" s="89"/>
      <c r="N285" s="89"/>
      <c r="O285" s="89"/>
      <c r="P285" s="89"/>
      <c r="Q285" s="89"/>
      <c r="R285" s="89"/>
      <c r="S285" s="89"/>
      <c r="T285" s="89"/>
      <c r="U285" s="89"/>
      <c r="V285" s="89"/>
      <c r="W285" s="89"/>
      <c r="X285" s="89"/>
      <c r="Y285" s="89"/>
      <c r="Z285" s="89"/>
      <c r="AA285" s="89"/>
      <c r="AB285" s="89"/>
      <c r="AC285" s="89"/>
      <c r="AD285" s="89"/>
      <c r="AE285" s="89"/>
    </row>
    <row r="286">
      <c r="A286" s="445"/>
      <c r="B286" s="420"/>
      <c r="C286" s="420"/>
      <c r="D286" s="420"/>
      <c r="E286" s="420"/>
      <c r="F286" s="420"/>
      <c r="G286" s="420"/>
      <c r="H286" s="420"/>
      <c r="I286" s="89"/>
      <c r="J286" s="89"/>
      <c r="K286" s="89"/>
      <c r="L286" s="89"/>
      <c r="M286" s="89"/>
      <c r="N286" s="89"/>
      <c r="O286" s="89"/>
      <c r="P286" s="89"/>
      <c r="Q286" s="89"/>
      <c r="R286" s="89"/>
      <c r="S286" s="89"/>
      <c r="T286" s="89"/>
      <c r="U286" s="89"/>
      <c r="V286" s="89"/>
      <c r="W286" s="89"/>
      <c r="X286" s="89"/>
      <c r="Y286" s="89"/>
      <c r="Z286" s="89"/>
      <c r="AA286" s="89"/>
      <c r="AB286" s="89"/>
      <c r="AC286" s="89"/>
      <c r="AD286" s="89"/>
      <c r="AE286" s="89"/>
    </row>
    <row r="287">
      <c r="A287" s="445"/>
      <c r="B287" s="420"/>
      <c r="C287" s="420"/>
      <c r="D287" s="420"/>
      <c r="E287" s="420"/>
      <c r="F287" s="420"/>
      <c r="G287" s="420"/>
      <c r="H287" s="420"/>
      <c r="I287" s="89"/>
      <c r="J287" s="89"/>
      <c r="K287" s="89"/>
      <c r="L287" s="89"/>
      <c r="M287" s="89"/>
      <c r="N287" s="89"/>
      <c r="O287" s="89"/>
      <c r="P287" s="89"/>
      <c r="Q287" s="89"/>
      <c r="R287" s="89"/>
      <c r="S287" s="89"/>
      <c r="T287" s="89"/>
      <c r="U287" s="89"/>
      <c r="V287" s="89"/>
      <c r="W287" s="89"/>
      <c r="X287" s="89"/>
      <c r="Y287" s="89"/>
      <c r="Z287" s="89"/>
      <c r="AA287" s="89"/>
      <c r="AB287" s="89"/>
      <c r="AC287" s="89"/>
      <c r="AD287" s="89"/>
      <c r="AE287" s="89"/>
    </row>
    <row r="288">
      <c r="A288" s="445"/>
      <c r="B288" s="420"/>
      <c r="C288" s="420"/>
      <c r="D288" s="420"/>
      <c r="E288" s="420"/>
      <c r="F288" s="420"/>
      <c r="G288" s="420"/>
      <c r="H288" s="420"/>
      <c r="I288" s="89"/>
      <c r="J288" s="89"/>
      <c r="K288" s="89"/>
      <c r="L288" s="89"/>
      <c r="M288" s="89"/>
      <c r="N288" s="89"/>
      <c r="O288" s="89"/>
      <c r="P288" s="89"/>
      <c r="Q288" s="89"/>
      <c r="R288" s="89"/>
      <c r="S288" s="89"/>
      <c r="T288" s="89"/>
      <c r="U288" s="89"/>
      <c r="V288" s="89"/>
      <c r="W288" s="89"/>
      <c r="X288" s="89"/>
      <c r="Y288" s="89"/>
      <c r="Z288" s="89"/>
      <c r="AA288" s="89"/>
      <c r="AB288" s="89"/>
      <c r="AC288" s="89"/>
      <c r="AD288" s="89"/>
      <c r="AE288" s="89"/>
    </row>
    <row r="289">
      <c r="A289" s="445"/>
      <c r="B289" s="420"/>
      <c r="C289" s="420"/>
      <c r="D289" s="420"/>
      <c r="E289" s="420"/>
      <c r="F289" s="420"/>
      <c r="G289" s="420"/>
      <c r="H289" s="420"/>
      <c r="I289" s="89"/>
      <c r="J289" s="89"/>
      <c r="K289" s="89"/>
      <c r="L289" s="89"/>
      <c r="M289" s="89"/>
      <c r="N289" s="89"/>
      <c r="O289" s="89"/>
      <c r="P289" s="89"/>
      <c r="Q289" s="89"/>
      <c r="R289" s="89"/>
      <c r="S289" s="89"/>
      <c r="T289" s="89"/>
      <c r="U289" s="89"/>
      <c r="V289" s="89"/>
      <c r="W289" s="89"/>
      <c r="X289" s="89"/>
      <c r="Y289" s="89"/>
      <c r="Z289" s="89"/>
      <c r="AA289" s="89"/>
      <c r="AB289" s="89"/>
      <c r="AC289" s="89"/>
      <c r="AD289" s="89"/>
      <c r="AE289" s="89"/>
    </row>
    <row r="290">
      <c r="A290" s="445"/>
      <c r="B290" s="420"/>
      <c r="C290" s="420"/>
      <c r="D290" s="420"/>
      <c r="E290" s="420"/>
      <c r="F290" s="420"/>
      <c r="G290" s="420"/>
      <c r="H290" s="420"/>
      <c r="I290" s="89"/>
      <c r="J290" s="89"/>
      <c r="K290" s="89"/>
      <c r="L290" s="89"/>
      <c r="M290" s="89"/>
      <c r="N290" s="89"/>
      <c r="O290" s="89"/>
      <c r="P290" s="89"/>
      <c r="Q290" s="89"/>
      <c r="R290" s="89"/>
      <c r="S290" s="89"/>
      <c r="T290" s="89"/>
      <c r="U290" s="89"/>
      <c r="V290" s="89"/>
      <c r="W290" s="89"/>
      <c r="X290" s="89"/>
      <c r="Y290" s="89"/>
      <c r="Z290" s="89"/>
      <c r="AA290" s="89"/>
      <c r="AB290" s="89"/>
      <c r="AC290" s="89"/>
      <c r="AD290" s="89"/>
      <c r="AE290" s="89"/>
    </row>
    <row r="291">
      <c r="A291" s="445"/>
      <c r="B291" s="420"/>
      <c r="C291" s="420"/>
      <c r="D291" s="420"/>
      <c r="E291" s="420"/>
      <c r="F291" s="420"/>
      <c r="G291" s="420"/>
      <c r="H291" s="420"/>
      <c r="I291" s="89"/>
      <c r="J291" s="89"/>
      <c r="K291" s="89"/>
      <c r="L291" s="89"/>
      <c r="M291" s="89"/>
      <c r="N291" s="89"/>
      <c r="O291" s="89"/>
      <c r="P291" s="89"/>
      <c r="Q291" s="89"/>
      <c r="R291" s="89"/>
      <c r="S291" s="89"/>
      <c r="T291" s="89"/>
      <c r="U291" s="89"/>
      <c r="V291" s="89"/>
      <c r="W291" s="89"/>
      <c r="X291" s="89"/>
      <c r="Y291" s="89"/>
      <c r="Z291" s="89"/>
      <c r="AA291" s="89"/>
      <c r="AB291" s="89"/>
      <c r="AC291" s="89"/>
      <c r="AD291" s="89"/>
      <c r="AE291" s="89"/>
    </row>
    <row r="292">
      <c r="A292" s="445"/>
      <c r="B292" s="420"/>
      <c r="C292" s="420"/>
      <c r="D292" s="420"/>
      <c r="E292" s="420"/>
      <c r="F292" s="420"/>
      <c r="G292" s="420"/>
      <c r="H292" s="420"/>
      <c r="I292" s="89"/>
      <c r="J292" s="89"/>
      <c r="K292" s="89"/>
      <c r="L292" s="89"/>
      <c r="M292" s="89"/>
      <c r="N292" s="89"/>
      <c r="O292" s="89"/>
      <c r="P292" s="89"/>
      <c r="Q292" s="89"/>
      <c r="R292" s="89"/>
      <c r="S292" s="89"/>
      <c r="T292" s="89"/>
      <c r="U292" s="89"/>
      <c r="V292" s="89"/>
      <c r="W292" s="89"/>
      <c r="X292" s="89"/>
      <c r="Y292" s="89"/>
      <c r="Z292" s="89"/>
      <c r="AA292" s="89"/>
      <c r="AB292" s="89"/>
      <c r="AC292" s="89"/>
      <c r="AD292" s="89"/>
      <c r="AE292" s="89"/>
    </row>
    <row r="293">
      <c r="A293" s="445"/>
      <c r="B293" s="420"/>
      <c r="C293" s="420"/>
      <c r="D293" s="420"/>
      <c r="E293" s="420"/>
      <c r="F293" s="420"/>
      <c r="G293" s="420"/>
      <c r="H293" s="420"/>
      <c r="I293" s="89"/>
      <c r="J293" s="89"/>
      <c r="K293" s="89"/>
      <c r="L293" s="89"/>
      <c r="M293" s="89"/>
      <c r="N293" s="89"/>
      <c r="O293" s="89"/>
      <c r="P293" s="89"/>
      <c r="Q293" s="89"/>
      <c r="R293" s="89"/>
      <c r="S293" s="89"/>
      <c r="T293" s="89"/>
      <c r="U293" s="89"/>
      <c r="V293" s="89"/>
      <c r="W293" s="89"/>
      <c r="X293" s="89"/>
      <c r="Y293" s="89"/>
      <c r="Z293" s="89"/>
      <c r="AA293" s="89"/>
      <c r="AB293" s="89"/>
      <c r="AC293" s="89"/>
      <c r="AD293" s="89"/>
      <c r="AE293" s="89"/>
    </row>
    <row r="294">
      <c r="A294" s="445"/>
      <c r="B294" s="420"/>
      <c r="C294" s="420"/>
      <c r="D294" s="420"/>
      <c r="E294" s="420"/>
      <c r="F294" s="420"/>
      <c r="G294" s="420"/>
      <c r="H294" s="420"/>
      <c r="I294" s="89"/>
      <c r="J294" s="89"/>
      <c r="K294" s="89"/>
      <c r="L294" s="89"/>
      <c r="M294" s="89"/>
      <c r="N294" s="89"/>
      <c r="O294" s="89"/>
      <c r="P294" s="89"/>
      <c r="Q294" s="89"/>
      <c r="R294" s="89"/>
      <c r="S294" s="89"/>
      <c r="T294" s="89"/>
      <c r="U294" s="89"/>
      <c r="V294" s="89"/>
      <c r="W294" s="89"/>
      <c r="X294" s="89"/>
      <c r="Y294" s="89"/>
      <c r="Z294" s="89"/>
      <c r="AA294" s="89"/>
      <c r="AB294" s="89"/>
      <c r="AC294" s="89"/>
      <c r="AD294" s="89"/>
      <c r="AE294" s="89"/>
    </row>
    <row r="295">
      <c r="A295" s="445"/>
      <c r="B295" s="420"/>
      <c r="C295" s="420"/>
      <c r="D295" s="420"/>
      <c r="E295" s="420"/>
      <c r="F295" s="420"/>
      <c r="G295" s="420"/>
      <c r="H295" s="420"/>
      <c r="I295" s="89"/>
      <c r="J295" s="89"/>
      <c r="K295" s="89"/>
      <c r="L295" s="89"/>
      <c r="M295" s="89"/>
      <c r="N295" s="89"/>
      <c r="O295" s="89"/>
      <c r="P295" s="89"/>
      <c r="Q295" s="89"/>
      <c r="R295" s="89"/>
      <c r="S295" s="89"/>
      <c r="T295" s="89"/>
      <c r="U295" s="89"/>
      <c r="V295" s="89"/>
      <c r="W295" s="89"/>
      <c r="X295" s="89"/>
      <c r="Y295" s="89"/>
      <c r="Z295" s="89"/>
      <c r="AA295" s="89"/>
      <c r="AB295" s="89"/>
      <c r="AC295" s="89"/>
      <c r="AD295" s="89"/>
      <c r="AE295" s="89"/>
    </row>
    <row r="296">
      <c r="A296" s="445"/>
      <c r="B296" s="420"/>
      <c r="C296" s="420"/>
      <c r="D296" s="420"/>
      <c r="E296" s="420"/>
      <c r="F296" s="420"/>
      <c r="G296" s="420"/>
      <c r="H296" s="420"/>
      <c r="I296" s="89"/>
      <c r="J296" s="89"/>
      <c r="K296" s="89"/>
      <c r="L296" s="89"/>
      <c r="M296" s="89"/>
      <c r="N296" s="89"/>
      <c r="O296" s="89"/>
      <c r="P296" s="89"/>
      <c r="Q296" s="89"/>
      <c r="R296" s="89"/>
      <c r="S296" s="89"/>
      <c r="T296" s="89"/>
      <c r="U296" s="89"/>
      <c r="V296" s="89"/>
      <c r="W296" s="89"/>
      <c r="X296" s="89"/>
      <c r="Y296" s="89"/>
      <c r="Z296" s="89"/>
      <c r="AA296" s="89"/>
      <c r="AB296" s="89"/>
      <c r="AC296" s="89"/>
      <c r="AD296" s="89"/>
      <c r="AE296" s="89"/>
    </row>
    <row r="297">
      <c r="A297" s="445"/>
      <c r="B297" s="420"/>
      <c r="C297" s="420"/>
      <c r="D297" s="420"/>
      <c r="E297" s="420"/>
      <c r="F297" s="420"/>
      <c r="G297" s="420"/>
      <c r="H297" s="420"/>
      <c r="I297" s="89"/>
      <c r="J297" s="89"/>
      <c r="K297" s="89"/>
      <c r="L297" s="89"/>
      <c r="M297" s="89"/>
      <c r="N297" s="89"/>
      <c r="O297" s="89"/>
      <c r="P297" s="89"/>
      <c r="Q297" s="89"/>
      <c r="R297" s="89"/>
      <c r="S297" s="89"/>
      <c r="T297" s="89"/>
      <c r="U297" s="89"/>
      <c r="V297" s="89"/>
      <c r="W297" s="89"/>
      <c r="X297" s="89"/>
      <c r="Y297" s="89"/>
      <c r="Z297" s="89"/>
      <c r="AA297" s="89"/>
      <c r="AB297" s="89"/>
      <c r="AC297" s="89"/>
      <c r="AD297" s="89"/>
      <c r="AE297" s="89"/>
    </row>
    <row r="298">
      <c r="A298" s="445"/>
      <c r="B298" s="420"/>
      <c r="C298" s="420"/>
      <c r="D298" s="420"/>
      <c r="E298" s="420"/>
      <c r="F298" s="420"/>
      <c r="G298" s="420"/>
      <c r="H298" s="420"/>
      <c r="I298" s="89"/>
      <c r="J298" s="89"/>
      <c r="K298" s="89"/>
      <c r="L298" s="89"/>
      <c r="M298" s="89"/>
      <c r="N298" s="89"/>
      <c r="O298" s="89"/>
      <c r="P298" s="89"/>
      <c r="Q298" s="89"/>
      <c r="R298" s="89"/>
      <c r="S298" s="89"/>
      <c r="T298" s="89"/>
      <c r="U298" s="89"/>
      <c r="V298" s="89"/>
      <c r="W298" s="89"/>
      <c r="X298" s="89"/>
      <c r="Y298" s="89"/>
      <c r="Z298" s="89"/>
      <c r="AA298" s="89"/>
      <c r="AB298" s="89"/>
      <c r="AC298" s="89"/>
      <c r="AD298" s="89"/>
      <c r="AE298" s="89"/>
    </row>
    <row r="299">
      <c r="A299" s="445"/>
      <c r="B299" s="420"/>
      <c r="C299" s="420"/>
      <c r="D299" s="420"/>
      <c r="E299" s="420"/>
      <c r="F299" s="420"/>
      <c r="G299" s="420"/>
      <c r="H299" s="420"/>
      <c r="I299" s="89"/>
      <c r="J299" s="89"/>
      <c r="K299" s="89"/>
      <c r="L299" s="89"/>
      <c r="M299" s="89"/>
      <c r="N299" s="89"/>
      <c r="O299" s="89"/>
      <c r="P299" s="89"/>
      <c r="Q299" s="89"/>
      <c r="R299" s="89"/>
      <c r="S299" s="89"/>
      <c r="T299" s="89"/>
      <c r="U299" s="89"/>
      <c r="V299" s="89"/>
      <c r="W299" s="89"/>
      <c r="X299" s="89"/>
      <c r="Y299" s="89"/>
      <c r="Z299" s="89"/>
      <c r="AA299" s="89"/>
      <c r="AB299" s="89"/>
      <c r="AC299" s="89"/>
      <c r="AD299" s="89"/>
      <c r="AE299" s="89"/>
    </row>
    <row r="300">
      <c r="A300" s="445"/>
      <c r="B300" s="420"/>
      <c r="C300" s="420"/>
      <c r="D300" s="420"/>
      <c r="E300" s="420"/>
      <c r="F300" s="420"/>
      <c r="G300" s="420"/>
      <c r="H300" s="420"/>
      <c r="I300" s="89"/>
      <c r="J300" s="89"/>
      <c r="K300" s="89"/>
      <c r="L300" s="89"/>
      <c r="M300" s="89"/>
      <c r="N300" s="89"/>
      <c r="O300" s="89"/>
      <c r="P300" s="89"/>
      <c r="Q300" s="89"/>
      <c r="R300" s="89"/>
      <c r="S300" s="89"/>
      <c r="T300" s="89"/>
      <c r="U300" s="89"/>
      <c r="V300" s="89"/>
      <c r="W300" s="89"/>
      <c r="X300" s="89"/>
      <c r="Y300" s="89"/>
      <c r="Z300" s="89"/>
      <c r="AA300" s="89"/>
      <c r="AB300" s="89"/>
      <c r="AC300" s="89"/>
      <c r="AD300" s="89"/>
      <c r="AE300" s="89"/>
    </row>
    <row r="301">
      <c r="A301" s="445"/>
      <c r="B301" s="420"/>
      <c r="C301" s="420"/>
      <c r="D301" s="420"/>
      <c r="E301" s="420"/>
      <c r="F301" s="420"/>
      <c r="G301" s="420"/>
      <c r="H301" s="420"/>
      <c r="I301" s="89"/>
      <c r="J301" s="89"/>
      <c r="K301" s="89"/>
      <c r="L301" s="89"/>
      <c r="M301" s="89"/>
      <c r="N301" s="89"/>
      <c r="O301" s="89"/>
      <c r="P301" s="89"/>
      <c r="Q301" s="89"/>
      <c r="R301" s="89"/>
      <c r="S301" s="89"/>
      <c r="T301" s="89"/>
      <c r="U301" s="89"/>
      <c r="V301" s="89"/>
      <c r="W301" s="89"/>
      <c r="X301" s="89"/>
      <c r="Y301" s="89"/>
      <c r="Z301" s="89"/>
      <c r="AA301" s="89"/>
      <c r="AB301" s="89"/>
      <c r="AC301" s="89"/>
      <c r="AD301" s="89"/>
      <c r="AE301" s="89"/>
    </row>
    <row r="302">
      <c r="A302" s="445"/>
      <c r="B302" s="420"/>
      <c r="C302" s="420"/>
      <c r="D302" s="420"/>
      <c r="E302" s="420"/>
      <c r="F302" s="420"/>
      <c r="G302" s="420"/>
      <c r="H302" s="420"/>
      <c r="I302" s="89"/>
      <c r="J302" s="89"/>
      <c r="K302" s="89"/>
      <c r="L302" s="89"/>
      <c r="M302" s="89"/>
      <c r="N302" s="89"/>
      <c r="O302" s="89"/>
      <c r="P302" s="89"/>
      <c r="Q302" s="89"/>
      <c r="R302" s="89"/>
      <c r="S302" s="89"/>
      <c r="T302" s="89"/>
      <c r="U302" s="89"/>
      <c r="V302" s="89"/>
      <c r="W302" s="89"/>
      <c r="X302" s="89"/>
      <c r="Y302" s="89"/>
      <c r="Z302" s="89"/>
      <c r="AA302" s="89"/>
      <c r="AB302" s="89"/>
      <c r="AC302" s="89"/>
      <c r="AD302" s="89"/>
      <c r="AE302" s="89"/>
    </row>
    <row r="303">
      <c r="A303" s="445"/>
      <c r="B303" s="420"/>
      <c r="C303" s="420"/>
      <c r="D303" s="420"/>
      <c r="E303" s="420"/>
      <c r="F303" s="420"/>
      <c r="G303" s="420"/>
      <c r="H303" s="420"/>
      <c r="I303" s="89"/>
      <c r="J303" s="89"/>
      <c r="K303" s="89"/>
      <c r="L303" s="89"/>
      <c r="M303" s="89"/>
      <c r="N303" s="89"/>
      <c r="O303" s="89"/>
      <c r="P303" s="89"/>
      <c r="Q303" s="89"/>
      <c r="R303" s="89"/>
      <c r="S303" s="89"/>
      <c r="T303" s="89"/>
      <c r="U303" s="89"/>
      <c r="V303" s="89"/>
      <c r="W303" s="89"/>
      <c r="X303" s="89"/>
      <c r="Y303" s="89"/>
      <c r="Z303" s="89"/>
      <c r="AA303" s="89"/>
      <c r="AB303" s="89"/>
      <c r="AC303" s="89"/>
      <c r="AD303" s="89"/>
      <c r="AE303" s="89"/>
    </row>
    <row r="304">
      <c r="A304" s="445"/>
      <c r="B304" s="420"/>
      <c r="C304" s="420"/>
      <c r="D304" s="420"/>
      <c r="E304" s="420"/>
      <c r="F304" s="420"/>
      <c r="G304" s="420"/>
      <c r="H304" s="420"/>
      <c r="I304" s="89"/>
      <c r="J304" s="89"/>
      <c r="K304" s="89"/>
      <c r="L304" s="89"/>
      <c r="M304" s="89"/>
      <c r="N304" s="89"/>
      <c r="O304" s="89"/>
      <c r="P304" s="89"/>
      <c r="Q304" s="89"/>
      <c r="R304" s="89"/>
      <c r="S304" s="89"/>
      <c r="T304" s="89"/>
      <c r="U304" s="89"/>
      <c r="V304" s="89"/>
      <c r="W304" s="89"/>
      <c r="X304" s="89"/>
      <c r="Y304" s="89"/>
      <c r="Z304" s="89"/>
      <c r="AA304" s="89"/>
      <c r="AB304" s="89"/>
      <c r="AC304" s="89"/>
      <c r="AD304" s="89"/>
      <c r="AE304" s="89"/>
    </row>
    <row r="305">
      <c r="A305" s="445"/>
      <c r="B305" s="420"/>
      <c r="C305" s="420"/>
      <c r="D305" s="420"/>
      <c r="E305" s="420"/>
      <c r="F305" s="420"/>
      <c r="G305" s="420"/>
      <c r="H305" s="420"/>
      <c r="I305" s="89"/>
      <c r="J305" s="89"/>
      <c r="K305" s="89"/>
      <c r="L305" s="89"/>
      <c r="M305" s="89"/>
      <c r="N305" s="89"/>
      <c r="O305" s="89"/>
      <c r="P305" s="89"/>
      <c r="Q305" s="89"/>
      <c r="R305" s="89"/>
      <c r="S305" s="89"/>
      <c r="T305" s="89"/>
      <c r="U305" s="89"/>
      <c r="V305" s="89"/>
      <c r="W305" s="89"/>
      <c r="X305" s="89"/>
      <c r="Y305" s="89"/>
      <c r="Z305" s="89"/>
      <c r="AA305" s="89"/>
      <c r="AB305" s="89"/>
      <c r="AC305" s="89"/>
      <c r="AD305" s="89"/>
      <c r="AE305" s="89"/>
    </row>
    <row r="306">
      <c r="A306" s="445"/>
      <c r="B306" s="420"/>
      <c r="C306" s="420"/>
      <c r="D306" s="420"/>
      <c r="E306" s="420"/>
      <c r="F306" s="420"/>
      <c r="G306" s="420"/>
      <c r="H306" s="420"/>
      <c r="I306" s="89"/>
      <c r="J306" s="89"/>
      <c r="K306" s="89"/>
      <c r="L306" s="89"/>
      <c r="M306" s="89"/>
      <c r="N306" s="89"/>
      <c r="O306" s="89"/>
      <c r="P306" s="89"/>
      <c r="Q306" s="89"/>
      <c r="R306" s="89"/>
      <c r="S306" s="89"/>
      <c r="T306" s="89"/>
      <c r="U306" s="89"/>
      <c r="V306" s="89"/>
      <c r="W306" s="89"/>
      <c r="X306" s="89"/>
      <c r="Y306" s="89"/>
      <c r="Z306" s="89"/>
      <c r="AA306" s="89"/>
      <c r="AB306" s="89"/>
      <c r="AC306" s="89"/>
      <c r="AD306" s="89"/>
      <c r="AE306" s="89"/>
    </row>
    <row r="307">
      <c r="A307" s="445"/>
      <c r="B307" s="420"/>
      <c r="C307" s="420"/>
      <c r="D307" s="420"/>
      <c r="E307" s="420"/>
      <c r="F307" s="420"/>
      <c r="G307" s="420"/>
      <c r="H307" s="420"/>
      <c r="I307" s="89"/>
      <c r="J307" s="89"/>
      <c r="K307" s="89"/>
      <c r="L307" s="89"/>
      <c r="M307" s="89"/>
      <c r="N307" s="89"/>
      <c r="O307" s="89"/>
      <c r="P307" s="89"/>
      <c r="Q307" s="89"/>
      <c r="R307" s="89"/>
      <c r="S307" s="89"/>
      <c r="T307" s="89"/>
      <c r="U307" s="89"/>
      <c r="V307" s="89"/>
      <c r="W307" s="89"/>
      <c r="X307" s="89"/>
      <c r="Y307" s="89"/>
      <c r="Z307" s="89"/>
      <c r="AA307" s="89"/>
      <c r="AB307" s="89"/>
      <c r="AC307" s="89"/>
      <c r="AD307" s="89"/>
      <c r="AE307" s="89"/>
    </row>
    <row r="308">
      <c r="A308" s="445"/>
      <c r="B308" s="420"/>
      <c r="C308" s="420"/>
      <c r="D308" s="420"/>
      <c r="E308" s="420"/>
      <c r="F308" s="420"/>
      <c r="G308" s="420"/>
      <c r="H308" s="420"/>
      <c r="I308" s="89"/>
      <c r="J308" s="89"/>
      <c r="K308" s="89"/>
      <c r="L308" s="89"/>
      <c r="M308" s="89"/>
      <c r="N308" s="89"/>
      <c r="O308" s="89"/>
      <c r="P308" s="89"/>
      <c r="Q308" s="89"/>
      <c r="R308" s="89"/>
      <c r="S308" s="89"/>
      <c r="T308" s="89"/>
      <c r="U308" s="89"/>
      <c r="V308" s="89"/>
      <c r="W308" s="89"/>
      <c r="X308" s="89"/>
      <c r="Y308" s="89"/>
      <c r="Z308" s="89"/>
      <c r="AA308" s="89"/>
      <c r="AB308" s="89"/>
      <c r="AC308" s="89"/>
      <c r="AD308" s="89"/>
      <c r="AE308" s="89"/>
    </row>
    <row r="309">
      <c r="A309" s="445"/>
      <c r="B309" s="420"/>
      <c r="C309" s="420"/>
      <c r="D309" s="420"/>
      <c r="E309" s="420"/>
      <c r="F309" s="420"/>
      <c r="G309" s="420"/>
      <c r="H309" s="420"/>
      <c r="I309" s="89"/>
      <c r="J309" s="89"/>
      <c r="K309" s="89"/>
      <c r="L309" s="89"/>
      <c r="M309" s="89"/>
      <c r="N309" s="89"/>
      <c r="O309" s="89"/>
      <c r="P309" s="89"/>
      <c r="Q309" s="89"/>
      <c r="R309" s="89"/>
      <c r="S309" s="89"/>
      <c r="T309" s="89"/>
      <c r="U309" s="89"/>
      <c r="V309" s="89"/>
      <c r="W309" s="89"/>
      <c r="X309" s="89"/>
      <c r="Y309" s="89"/>
      <c r="Z309" s="89"/>
      <c r="AA309" s="89"/>
      <c r="AB309" s="89"/>
      <c r="AC309" s="89"/>
      <c r="AD309" s="89"/>
      <c r="AE309" s="89"/>
    </row>
    <row r="310">
      <c r="A310" s="445"/>
      <c r="B310" s="420"/>
      <c r="C310" s="420"/>
      <c r="D310" s="420"/>
      <c r="E310" s="420"/>
      <c r="F310" s="420"/>
      <c r="G310" s="420"/>
      <c r="H310" s="420"/>
      <c r="I310" s="89"/>
      <c r="J310" s="89"/>
      <c r="K310" s="89"/>
      <c r="L310" s="89"/>
      <c r="M310" s="89"/>
      <c r="N310" s="89"/>
      <c r="O310" s="89"/>
      <c r="P310" s="89"/>
      <c r="Q310" s="89"/>
      <c r="R310" s="89"/>
      <c r="S310" s="89"/>
      <c r="T310" s="89"/>
      <c r="U310" s="89"/>
      <c r="V310" s="89"/>
      <c r="W310" s="89"/>
      <c r="X310" s="89"/>
      <c r="Y310" s="89"/>
      <c r="Z310" s="89"/>
      <c r="AA310" s="89"/>
      <c r="AB310" s="89"/>
      <c r="AC310" s="89"/>
      <c r="AD310" s="89"/>
      <c r="AE310" s="89"/>
    </row>
    <row r="311">
      <c r="A311" s="445"/>
      <c r="B311" s="420"/>
      <c r="C311" s="420"/>
      <c r="D311" s="420"/>
      <c r="E311" s="420"/>
      <c r="F311" s="420"/>
      <c r="G311" s="420"/>
      <c r="H311" s="420"/>
      <c r="I311" s="89"/>
      <c r="J311" s="89"/>
      <c r="K311" s="89"/>
      <c r="L311" s="89"/>
      <c r="M311" s="89"/>
      <c r="N311" s="89"/>
      <c r="O311" s="89"/>
      <c r="P311" s="89"/>
      <c r="Q311" s="89"/>
      <c r="R311" s="89"/>
      <c r="S311" s="89"/>
      <c r="T311" s="89"/>
      <c r="U311" s="89"/>
      <c r="V311" s="89"/>
      <c r="W311" s="89"/>
      <c r="X311" s="89"/>
      <c r="Y311" s="89"/>
      <c r="Z311" s="89"/>
      <c r="AA311" s="89"/>
      <c r="AB311" s="89"/>
      <c r="AC311" s="89"/>
      <c r="AD311" s="89"/>
      <c r="AE311" s="89"/>
    </row>
    <row r="312">
      <c r="A312" s="445"/>
      <c r="B312" s="420"/>
      <c r="C312" s="420"/>
      <c r="D312" s="420"/>
      <c r="E312" s="420"/>
      <c r="F312" s="420"/>
      <c r="G312" s="420"/>
      <c r="H312" s="420"/>
      <c r="I312" s="89"/>
      <c r="J312" s="89"/>
      <c r="K312" s="89"/>
      <c r="L312" s="89"/>
      <c r="M312" s="89"/>
      <c r="N312" s="89"/>
      <c r="O312" s="89"/>
      <c r="P312" s="89"/>
      <c r="Q312" s="89"/>
      <c r="R312" s="89"/>
      <c r="S312" s="89"/>
      <c r="T312" s="89"/>
      <c r="U312" s="89"/>
      <c r="V312" s="89"/>
      <c r="W312" s="89"/>
      <c r="X312" s="89"/>
      <c r="Y312" s="89"/>
      <c r="Z312" s="89"/>
      <c r="AA312" s="89"/>
      <c r="AB312" s="89"/>
      <c r="AC312" s="89"/>
      <c r="AD312" s="89"/>
      <c r="AE312" s="89"/>
    </row>
    <row r="313">
      <c r="A313" s="445"/>
      <c r="B313" s="420"/>
      <c r="C313" s="420"/>
      <c r="D313" s="420"/>
      <c r="E313" s="420"/>
      <c r="F313" s="420"/>
      <c r="G313" s="420"/>
      <c r="H313" s="420"/>
      <c r="I313" s="89"/>
      <c r="J313" s="89"/>
      <c r="K313" s="89"/>
      <c r="L313" s="89"/>
      <c r="M313" s="89"/>
      <c r="N313" s="89"/>
      <c r="O313" s="89"/>
      <c r="P313" s="89"/>
      <c r="Q313" s="89"/>
      <c r="R313" s="89"/>
      <c r="S313" s="89"/>
      <c r="T313" s="89"/>
      <c r="U313" s="89"/>
      <c r="V313" s="89"/>
      <c r="W313" s="89"/>
      <c r="X313" s="89"/>
      <c r="Y313" s="89"/>
      <c r="Z313" s="89"/>
      <c r="AA313" s="89"/>
      <c r="AB313" s="89"/>
      <c r="AC313" s="89"/>
      <c r="AD313" s="89"/>
      <c r="AE313" s="89"/>
    </row>
    <row r="314">
      <c r="A314" s="445"/>
      <c r="B314" s="420"/>
      <c r="C314" s="420"/>
      <c r="D314" s="420"/>
      <c r="E314" s="420"/>
      <c r="F314" s="420"/>
      <c r="G314" s="420"/>
      <c r="H314" s="420"/>
      <c r="I314" s="89"/>
      <c r="J314" s="89"/>
      <c r="K314" s="89"/>
      <c r="L314" s="89"/>
      <c r="M314" s="89"/>
      <c r="N314" s="89"/>
      <c r="O314" s="89"/>
      <c r="P314" s="89"/>
      <c r="Q314" s="89"/>
      <c r="R314" s="89"/>
      <c r="S314" s="89"/>
      <c r="T314" s="89"/>
      <c r="U314" s="89"/>
      <c r="V314" s="89"/>
      <c r="W314" s="89"/>
      <c r="X314" s="89"/>
      <c r="Y314" s="89"/>
      <c r="Z314" s="89"/>
      <c r="AA314" s="89"/>
      <c r="AB314" s="89"/>
      <c r="AC314" s="89"/>
      <c r="AD314" s="89"/>
      <c r="AE314" s="89"/>
    </row>
    <row r="315">
      <c r="A315" s="445"/>
      <c r="B315" s="420"/>
      <c r="C315" s="420"/>
      <c r="D315" s="420"/>
      <c r="E315" s="420"/>
      <c r="F315" s="420"/>
      <c r="G315" s="420"/>
      <c r="H315" s="420"/>
      <c r="I315" s="89"/>
      <c r="J315" s="89"/>
      <c r="K315" s="89"/>
      <c r="L315" s="89"/>
      <c r="M315" s="89"/>
      <c r="N315" s="89"/>
      <c r="O315" s="89"/>
      <c r="P315" s="89"/>
      <c r="Q315" s="89"/>
      <c r="R315" s="89"/>
      <c r="S315" s="89"/>
      <c r="T315" s="89"/>
      <c r="U315" s="89"/>
      <c r="V315" s="89"/>
      <c r="W315" s="89"/>
      <c r="X315" s="89"/>
      <c r="Y315" s="89"/>
      <c r="Z315" s="89"/>
      <c r="AA315" s="89"/>
      <c r="AB315" s="89"/>
      <c r="AC315" s="89"/>
      <c r="AD315" s="89"/>
      <c r="AE315" s="89"/>
    </row>
    <row r="316">
      <c r="A316" s="445"/>
      <c r="B316" s="420"/>
      <c r="C316" s="420"/>
      <c r="D316" s="420"/>
      <c r="E316" s="420"/>
      <c r="F316" s="420"/>
      <c r="G316" s="420"/>
      <c r="H316" s="420"/>
      <c r="I316" s="89"/>
      <c r="J316" s="89"/>
      <c r="K316" s="89"/>
      <c r="L316" s="89"/>
      <c r="M316" s="89"/>
      <c r="N316" s="89"/>
      <c r="O316" s="89"/>
      <c r="P316" s="89"/>
      <c r="Q316" s="89"/>
      <c r="R316" s="89"/>
      <c r="S316" s="89"/>
      <c r="T316" s="89"/>
      <c r="U316" s="89"/>
      <c r="V316" s="89"/>
      <c r="W316" s="89"/>
      <c r="X316" s="89"/>
      <c r="Y316" s="89"/>
      <c r="Z316" s="89"/>
      <c r="AA316" s="89"/>
      <c r="AB316" s="89"/>
      <c r="AC316" s="89"/>
      <c r="AD316" s="89"/>
      <c r="AE316" s="89"/>
    </row>
    <row r="317">
      <c r="A317" s="445"/>
      <c r="B317" s="420"/>
      <c r="C317" s="420"/>
      <c r="D317" s="420"/>
      <c r="E317" s="420"/>
      <c r="F317" s="420"/>
      <c r="G317" s="420"/>
      <c r="H317" s="420"/>
      <c r="I317" s="89"/>
      <c r="J317" s="89"/>
      <c r="K317" s="89"/>
      <c r="L317" s="89"/>
      <c r="M317" s="89"/>
      <c r="N317" s="89"/>
      <c r="O317" s="89"/>
      <c r="P317" s="89"/>
      <c r="Q317" s="89"/>
      <c r="R317" s="89"/>
      <c r="S317" s="89"/>
      <c r="T317" s="89"/>
      <c r="U317" s="89"/>
      <c r="V317" s="89"/>
      <c r="W317" s="89"/>
      <c r="X317" s="89"/>
      <c r="Y317" s="89"/>
      <c r="Z317" s="89"/>
      <c r="AA317" s="89"/>
      <c r="AB317" s="89"/>
      <c r="AC317" s="89"/>
      <c r="AD317" s="89"/>
      <c r="AE317" s="89"/>
    </row>
    <row r="318">
      <c r="A318" s="445"/>
      <c r="B318" s="420"/>
      <c r="C318" s="420"/>
      <c r="D318" s="420"/>
      <c r="E318" s="420"/>
      <c r="F318" s="420"/>
      <c r="G318" s="420"/>
      <c r="H318" s="420"/>
      <c r="I318" s="89"/>
      <c r="J318" s="89"/>
      <c r="K318" s="89"/>
      <c r="L318" s="89"/>
      <c r="M318" s="89"/>
      <c r="N318" s="89"/>
      <c r="O318" s="89"/>
      <c r="P318" s="89"/>
      <c r="Q318" s="89"/>
      <c r="R318" s="89"/>
      <c r="S318" s="89"/>
      <c r="T318" s="89"/>
      <c r="U318" s="89"/>
      <c r="V318" s="89"/>
      <c r="W318" s="89"/>
      <c r="X318" s="89"/>
      <c r="Y318" s="89"/>
      <c r="Z318" s="89"/>
      <c r="AA318" s="89"/>
      <c r="AB318" s="89"/>
      <c r="AC318" s="89"/>
      <c r="AD318" s="89"/>
      <c r="AE318" s="89"/>
    </row>
    <row r="319">
      <c r="A319" s="445"/>
      <c r="B319" s="420"/>
      <c r="C319" s="420"/>
      <c r="D319" s="420"/>
      <c r="E319" s="420"/>
      <c r="F319" s="420"/>
      <c r="G319" s="420"/>
      <c r="H319" s="420"/>
      <c r="I319" s="89"/>
      <c r="J319" s="89"/>
      <c r="K319" s="89"/>
      <c r="L319" s="89"/>
      <c r="M319" s="89"/>
      <c r="N319" s="89"/>
      <c r="O319" s="89"/>
      <c r="P319" s="89"/>
      <c r="Q319" s="89"/>
      <c r="R319" s="89"/>
      <c r="S319" s="89"/>
      <c r="T319" s="89"/>
      <c r="U319" s="89"/>
      <c r="V319" s="89"/>
      <c r="W319" s="89"/>
      <c r="X319" s="89"/>
      <c r="Y319" s="89"/>
      <c r="Z319" s="89"/>
      <c r="AA319" s="89"/>
      <c r="AB319" s="89"/>
      <c r="AC319" s="89"/>
      <c r="AD319" s="89"/>
      <c r="AE319" s="89"/>
    </row>
    <row r="320">
      <c r="A320" s="445"/>
      <c r="B320" s="420"/>
      <c r="C320" s="420"/>
      <c r="D320" s="420"/>
      <c r="E320" s="420"/>
      <c r="F320" s="420"/>
      <c r="G320" s="420"/>
      <c r="H320" s="420"/>
      <c r="I320" s="89"/>
      <c r="J320" s="89"/>
      <c r="K320" s="89"/>
      <c r="L320" s="89"/>
      <c r="M320" s="89"/>
      <c r="N320" s="89"/>
      <c r="O320" s="89"/>
      <c r="P320" s="89"/>
      <c r="Q320" s="89"/>
      <c r="R320" s="89"/>
      <c r="S320" s="89"/>
      <c r="T320" s="89"/>
      <c r="U320" s="89"/>
      <c r="V320" s="89"/>
      <c r="W320" s="89"/>
      <c r="X320" s="89"/>
      <c r="Y320" s="89"/>
      <c r="Z320" s="89"/>
      <c r="AA320" s="89"/>
      <c r="AB320" s="89"/>
      <c r="AC320" s="89"/>
      <c r="AD320" s="89"/>
      <c r="AE320" s="89"/>
    </row>
    <row r="321">
      <c r="A321" s="445"/>
      <c r="B321" s="420"/>
      <c r="C321" s="420"/>
      <c r="D321" s="420"/>
      <c r="E321" s="420"/>
      <c r="F321" s="420"/>
      <c r="G321" s="420"/>
      <c r="H321" s="420"/>
      <c r="I321" s="89"/>
      <c r="J321" s="89"/>
      <c r="K321" s="89"/>
      <c r="L321" s="89"/>
      <c r="M321" s="89"/>
      <c r="N321" s="89"/>
      <c r="O321" s="89"/>
      <c r="P321" s="89"/>
      <c r="Q321" s="89"/>
      <c r="R321" s="89"/>
      <c r="S321" s="89"/>
      <c r="T321" s="89"/>
      <c r="U321" s="89"/>
      <c r="V321" s="89"/>
      <c r="W321" s="89"/>
      <c r="X321" s="89"/>
      <c r="Y321" s="89"/>
      <c r="Z321" s="89"/>
      <c r="AA321" s="89"/>
      <c r="AB321" s="89"/>
      <c r="AC321" s="89"/>
      <c r="AD321" s="89"/>
      <c r="AE321" s="89"/>
    </row>
    <row r="322">
      <c r="A322" s="445"/>
      <c r="B322" s="420"/>
      <c r="C322" s="420"/>
      <c r="D322" s="420"/>
      <c r="E322" s="420"/>
      <c r="F322" s="420"/>
      <c r="G322" s="420"/>
      <c r="H322" s="420"/>
      <c r="I322" s="89"/>
      <c r="J322" s="89"/>
      <c r="K322" s="89"/>
      <c r="L322" s="89"/>
      <c r="M322" s="89"/>
      <c r="N322" s="89"/>
      <c r="O322" s="89"/>
      <c r="P322" s="89"/>
      <c r="Q322" s="89"/>
      <c r="R322" s="89"/>
      <c r="S322" s="89"/>
      <c r="T322" s="89"/>
      <c r="U322" s="89"/>
      <c r="V322" s="89"/>
      <c r="W322" s="89"/>
      <c r="X322" s="89"/>
      <c r="Y322" s="89"/>
      <c r="Z322" s="89"/>
      <c r="AA322" s="89"/>
      <c r="AB322" s="89"/>
      <c r="AC322" s="89"/>
      <c r="AD322" s="89"/>
      <c r="AE322" s="89"/>
    </row>
    <row r="323">
      <c r="A323" s="445"/>
      <c r="B323" s="420"/>
      <c r="C323" s="420"/>
      <c r="D323" s="420"/>
      <c r="E323" s="420"/>
      <c r="F323" s="420"/>
      <c r="G323" s="420"/>
      <c r="H323" s="420"/>
      <c r="I323" s="89"/>
      <c r="J323" s="89"/>
      <c r="K323" s="89"/>
      <c r="L323" s="89"/>
      <c r="M323" s="89"/>
      <c r="N323" s="89"/>
      <c r="O323" s="89"/>
      <c r="P323" s="89"/>
      <c r="Q323" s="89"/>
      <c r="R323" s="89"/>
      <c r="S323" s="89"/>
      <c r="T323" s="89"/>
      <c r="U323" s="89"/>
      <c r="V323" s="89"/>
      <c r="W323" s="89"/>
      <c r="X323" s="89"/>
      <c r="Y323" s="89"/>
      <c r="Z323" s="89"/>
      <c r="AA323" s="89"/>
      <c r="AB323" s="89"/>
      <c r="AC323" s="89"/>
      <c r="AD323" s="89"/>
      <c r="AE323" s="89"/>
    </row>
    <row r="324">
      <c r="A324" s="445"/>
      <c r="B324" s="420"/>
      <c r="C324" s="420"/>
      <c r="D324" s="420"/>
      <c r="E324" s="420"/>
      <c r="F324" s="420"/>
      <c r="G324" s="420"/>
      <c r="H324" s="420"/>
      <c r="I324" s="89"/>
      <c r="J324" s="89"/>
      <c r="K324" s="89"/>
      <c r="L324" s="89"/>
      <c r="M324" s="89"/>
      <c r="N324" s="89"/>
      <c r="O324" s="89"/>
      <c r="P324" s="89"/>
      <c r="Q324" s="89"/>
      <c r="R324" s="89"/>
      <c r="S324" s="89"/>
      <c r="T324" s="89"/>
      <c r="U324" s="89"/>
      <c r="V324" s="89"/>
      <c r="W324" s="89"/>
      <c r="X324" s="89"/>
      <c r="Y324" s="89"/>
      <c r="Z324" s="89"/>
      <c r="AA324" s="89"/>
      <c r="AB324" s="89"/>
      <c r="AC324" s="89"/>
      <c r="AD324" s="89"/>
      <c r="AE324" s="89"/>
    </row>
    <row r="325">
      <c r="A325" s="445"/>
      <c r="B325" s="420"/>
      <c r="C325" s="420"/>
      <c r="D325" s="420"/>
      <c r="E325" s="420"/>
      <c r="F325" s="420"/>
      <c r="G325" s="420"/>
      <c r="H325" s="420"/>
      <c r="I325" s="89"/>
      <c r="J325" s="89"/>
      <c r="K325" s="89"/>
      <c r="L325" s="89"/>
      <c r="M325" s="89"/>
      <c r="N325" s="89"/>
      <c r="O325" s="89"/>
      <c r="P325" s="89"/>
      <c r="Q325" s="89"/>
      <c r="R325" s="89"/>
      <c r="S325" s="89"/>
      <c r="T325" s="89"/>
      <c r="U325" s="89"/>
      <c r="V325" s="89"/>
      <c r="W325" s="89"/>
      <c r="X325" s="89"/>
      <c r="Y325" s="89"/>
      <c r="Z325" s="89"/>
      <c r="AA325" s="89"/>
      <c r="AB325" s="89"/>
      <c r="AC325" s="89"/>
      <c r="AD325" s="89"/>
      <c r="AE325" s="89"/>
    </row>
    <row r="326">
      <c r="A326" s="445"/>
      <c r="B326" s="420"/>
      <c r="C326" s="420"/>
      <c r="D326" s="420"/>
      <c r="E326" s="420"/>
      <c r="F326" s="420"/>
      <c r="G326" s="420"/>
      <c r="H326" s="420"/>
      <c r="I326" s="89"/>
      <c r="J326" s="89"/>
      <c r="K326" s="89"/>
      <c r="L326" s="89"/>
      <c r="M326" s="89"/>
      <c r="N326" s="89"/>
      <c r="O326" s="89"/>
      <c r="P326" s="89"/>
      <c r="Q326" s="89"/>
      <c r="R326" s="89"/>
      <c r="S326" s="89"/>
      <c r="T326" s="89"/>
      <c r="U326" s="89"/>
      <c r="V326" s="89"/>
      <c r="W326" s="89"/>
      <c r="X326" s="89"/>
      <c r="Y326" s="89"/>
      <c r="Z326" s="89"/>
      <c r="AA326" s="89"/>
      <c r="AB326" s="89"/>
      <c r="AC326" s="89"/>
      <c r="AD326" s="89"/>
      <c r="AE326" s="89"/>
    </row>
    <row r="327">
      <c r="A327" s="445"/>
      <c r="B327" s="420"/>
      <c r="C327" s="420"/>
      <c r="D327" s="420"/>
      <c r="E327" s="420"/>
      <c r="F327" s="420"/>
      <c r="G327" s="420"/>
      <c r="H327" s="420"/>
      <c r="I327" s="89"/>
      <c r="J327" s="89"/>
      <c r="K327" s="89"/>
      <c r="L327" s="89"/>
      <c r="M327" s="89"/>
      <c r="N327" s="89"/>
      <c r="O327" s="89"/>
      <c r="P327" s="89"/>
      <c r="Q327" s="89"/>
      <c r="R327" s="89"/>
      <c r="S327" s="89"/>
      <c r="T327" s="89"/>
      <c r="U327" s="89"/>
      <c r="V327" s="89"/>
      <c r="W327" s="89"/>
      <c r="X327" s="89"/>
      <c r="Y327" s="89"/>
      <c r="Z327" s="89"/>
      <c r="AA327" s="89"/>
      <c r="AB327" s="89"/>
      <c r="AC327" s="89"/>
      <c r="AD327" s="89"/>
      <c r="AE327" s="89"/>
    </row>
    <row r="328">
      <c r="A328" s="445"/>
      <c r="B328" s="420"/>
      <c r="C328" s="420"/>
      <c r="D328" s="420"/>
      <c r="E328" s="420"/>
      <c r="F328" s="420"/>
      <c r="G328" s="420"/>
      <c r="H328" s="420"/>
      <c r="I328" s="89"/>
      <c r="J328" s="89"/>
      <c r="K328" s="89"/>
      <c r="L328" s="89"/>
      <c r="M328" s="89"/>
      <c r="N328" s="89"/>
      <c r="O328" s="89"/>
      <c r="P328" s="89"/>
      <c r="Q328" s="89"/>
      <c r="R328" s="89"/>
      <c r="S328" s="89"/>
      <c r="T328" s="89"/>
      <c r="U328" s="89"/>
      <c r="V328" s="89"/>
      <c r="W328" s="89"/>
      <c r="X328" s="89"/>
      <c r="Y328" s="89"/>
      <c r="Z328" s="89"/>
      <c r="AA328" s="89"/>
      <c r="AB328" s="89"/>
      <c r="AC328" s="89"/>
      <c r="AD328" s="89"/>
      <c r="AE328" s="89"/>
    </row>
    <row r="329">
      <c r="A329" s="445"/>
      <c r="B329" s="420"/>
      <c r="C329" s="420"/>
      <c r="D329" s="420"/>
      <c r="E329" s="420"/>
      <c r="F329" s="420"/>
      <c r="G329" s="420"/>
      <c r="H329" s="420"/>
      <c r="I329" s="89"/>
      <c r="J329" s="89"/>
      <c r="K329" s="89"/>
      <c r="L329" s="89"/>
      <c r="M329" s="89"/>
      <c r="N329" s="89"/>
      <c r="O329" s="89"/>
      <c r="P329" s="89"/>
      <c r="Q329" s="89"/>
      <c r="R329" s="89"/>
      <c r="S329" s="89"/>
      <c r="T329" s="89"/>
      <c r="U329" s="89"/>
      <c r="V329" s="89"/>
      <c r="W329" s="89"/>
      <c r="X329" s="89"/>
      <c r="Y329" s="89"/>
      <c r="Z329" s="89"/>
      <c r="AA329" s="89"/>
      <c r="AB329" s="89"/>
      <c r="AC329" s="89"/>
      <c r="AD329" s="89"/>
      <c r="AE329" s="89"/>
    </row>
    <row r="330">
      <c r="A330" s="445"/>
      <c r="B330" s="420"/>
      <c r="C330" s="420"/>
      <c r="D330" s="420"/>
      <c r="E330" s="420"/>
      <c r="F330" s="420"/>
      <c r="G330" s="420"/>
      <c r="H330" s="420"/>
      <c r="I330" s="89"/>
      <c r="J330" s="89"/>
      <c r="K330" s="89"/>
      <c r="L330" s="89"/>
      <c r="M330" s="89"/>
      <c r="N330" s="89"/>
      <c r="O330" s="89"/>
      <c r="P330" s="89"/>
      <c r="Q330" s="89"/>
      <c r="R330" s="89"/>
      <c r="S330" s="89"/>
      <c r="T330" s="89"/>
      <c r="U330" s="89"/>
      <c r="V330" s="89"/>
      <c r="W330" s="89"/>
      <c r="X330" s="89"/>
      <c r="Y330" s="89"/>
      <c r="Z330" s="89"/>
      <c r="AA330" s="89"/>
      <c r="AB330" s="89"/>
      <c r="AC330" s="89"/>
      <c r="AD330" s="89"/>
      <c r="AE330" s="89"/>
    </row>
    <row r="331">
      <c r="A331" s="445"/>
      <c r="B331" s="420"/>
      <c r="C331" s="420"/>
      <c r="D331" s="420"/>
      <c r="E331" s="420"/>
      <c r="F331" s="420"/>
      <c r="G331" s="420"/>
      <c r="H331" s="420"/>
      <c r="I331" s="89"/>
      <c r="J331" s="89"/>
      <c r="K331" s="89"/>
      <c r="L331" s="89"/>
      <c r="M331" s="89"/>
      <c r="N331" s="89"/>
      <c r="O331" s="89"/>
      <c r="P331" s="89"/>
      <c r="Q331" s="89"/>
      <c r="R331" s="89"/>
      <c r="S331" s="89"/>
      <c r="T331" s="89"/>
      <c r="U331" s="89"/>
      <c r="V331" s="89"/>
      <c r="W331" s="89"/>
      <c r="X331" s="89"/>
      <c r="Y331" s="89"/>
      <c r="Z331" s="89"/>
      <c r="AA331" s="89"/>
      <c r="AB331" s="89"/>
      <c r="AC331" s="89"/>
      <c r="AD331" s="89"/>
      <c r="AE331" s="89"/>
    </row>
    <row r="332">
      <c r="A332" s="445"/>
      <c r="B332" s="420"/>
      <c r="C332" s="420"/>
      <c r="D332" s="420"/>
      <c r="E332" s="420"/>
      <c r="F332" s="420"/>
      <c r="G332" s="420"/>
      <c r="H332" s="420"/>
      <c r="I332" s="89"/>
      <c r="J332" s="89"/>
      <c r="K332" s="89"/>
      <c r="L332" s="89"/>
      <c r="M332" s="89"/>
      <c r="N332" s="89"/>
      <c r="O332" s="89"/>
      <c r="P332" s="89"/>
      <c r="Q332" s="89"/>
      <c r="R332" s="89"/>
      <c r="S332" s="89"/>
      <c r="T332" s="89"/>
      <c r="U332" s="89"/>
      <c r="V332" s="89"/>
      <c r="W332" s="89"/>
      <c r="X332" s="89"/>
      <c r="Y332" s="89"/>
      <c r="Z332" s="89"/>
      <c r="AA332" s="89"/>
      <c r="AB332" s="89"/>
      <c r="AC332" s="89"/>
      <c r="AD332" s="89"/>
      <c r="AE332" s="89"/>
    </row>
    <row r="333">
      <c r="A333" s="445"/>
      <c r="B333" s="420"/>
      <c r="C333" s="420"/>
      <c r="D333" s="420"/>
      <c r="E333" s="420"/>
      <c r="F333" s="420"/>
      <c r="G333" s="420"/>
      <c r="H333" s="420"/>
      <c r="I333" s="89"/>
      <c r="J333" s="89"/>
      <c r="K333" s="89"/>
      <c r="L333" s="89"/>
      <c r="M333" s="89"/>
      <c r="N333" s="89"/>
      <c r="O333" s="89"/>
      <c r="P333" s="89"/>
      <c r="Q333" s="89"/>
      <c r="R333" s="89"/>
      <c r="S333" s="89"/>
      <c r="T333" s="89"/>
      <c r="U333" s="89"/>
      <c r="V333" s="89"/>
      <c r="W333" s="89"/>
      <c r="X333" s="89"/>
      <c r="Y333" s="89"/>
      <c r="Z333" s="89"/>
      <c r="AA333" s="89"/>
      <c r="AB333" s="89"/>
      <c r="AC333" s="89"/>
      <c r="AD333" s="89"/>
      <c r="AE333" s="89"/>
    </row>
    <row r="334">
      <c r="A334" s="445"/>
      <c r="B334" s="420"/>
      <c r="C334" s="420"/>
      <c r="D334" s="420"/>
      <c r="E334" s="420"/>
      <c r="F334" s="420"/>
      <c r="G334" s="420"/>
      <c r="H334" s="420"/>
      <c r="I334" s="89"/>
      <c r="J334" s="89"/>
      <c r="K334" s="89"/>
      <c r="L334" s="89"/>
      <c r="M334" s="89"/>
      <c r="N334" s="89"/>
      <c r="O334" s="89"/>
      <c r="P334" s="89"/>
      <c r="Q334" s="89"/>
      <c r="R334" s="89"/>
      <c r="S334" s="89"/>
      <c r="T334" s="89"/>
      <c r="U334" s="89"/>
      <c r="V334" s="89"/>
      <c r="W334" s="89"/>
      <c r="X334" s="89"/>
      <c r="Y334" s="89"/>
      <c r="Z334" s="89"/>
      <c r="AA334" s="89"/>
      <c r="AB334" s="89"/>
      <c r="AC334" s="89"/>
      <c r="AD334" s="89"/>
      <c r="AE334" s="89"/>
    </row>
    <row r="335">
      <c r="A335" s="445"/>
      <c r="B335" s="420"/>
      <c r="C335" s="420"/>
      <c r="D335" s="420"/>
      <c r="E335" s="420"/>
      <c r="F335" s="420"/>
      <c r="G335" s="420"/>
      <c r="H335" s="420"/>
      <c r="I335" s="89"/>
      <c r="J335" s="89"/>
      <c r="K335" s="89"/>
      <c r="L335" s="89"/>
      <c r="M335" s="89"/>
      <c r="N335" s="89"/>
      <c r="O335" s="89"/>
      <c r="P335" s="89"/>
      <c r="Q335" s="89"/>
      <c r="R335" s="89"/>
      <c r="S335" s="89"/>
      <c r="T335" s="89"/>
      <c r="U335" s="89"/>
      <c r="V335" s="89"/>
      <c r="W335" s="89"/>
      <c r="X335" s="89"/>
      <c r="Y335" s="89"/>
      <c r="Z335" s="89"/>
      <c r="AA335" s="89"/>
      <c r="AB335" s="89"/>
      <c r="AC335" s="89"/>
      <c r="AD335" s="89"/>
      <c r="AE335" s="89"/>
    </row>
    <row r="336">
      <c r="A336" s="445"/>
      <c r="B336" s="420"/>
      <c r="C336" s="420"/>
      <c r="D336" s="420"/>
      <c r="E336" s="420"/>
      <c r="F336" s="420"/>
      <c r="G336" s="420"/>
      <c r="H336" s="420"/>
      <c r="I336" s="89"/>
      <c r="J336" s="89"/>
      <c r="K336" s="89"/>
      <c r="L336" s="89"/>
      <c r="M336" s="89"/>
      <c r="N336" s="89"/>
      <c r="O336" s="89"/>
      <c r="P336" s="89"/>
      <c r="Q336" s="89"/>
      <c r="R336" s="89"/>
      <c r="S336" s="89"/>
      <c r="T336" s="89"/>
      <c r="U336" s="89"/>
      <c r="V336" s="89"/>
      <c r="W336" s="89"/>
      <c r="X336" s="89"/>
      <c r="Y336" s="89"/>
      <c r="Z336" s="89"/>
      <c r="AA336" s="89"/>
      <c r="AB336" s="89"/>
      <c r="AC336" s="89"/>
      <c r="AD336" s="89"/>
      <c r="AE336" s="89"/>
    </row>
    <row r="337">
      <c r="A337" s="445"/>
      <c r="B337" s="420"/>
      <c r="C337" s="420"/>
      <c r="D337" s="420"/>
      <c r="E337" s="420"/>
      <c r="F337" s="420"/>
      <c r="G337" s="420"/>
      <c r="H337" s="420"/>
      <c r="I337" s="89"/>
      <c r="J337" s="89"/>
      <c r="K337" s="89"/>
      <c r="L337" s="89"/>
      <c r="M337" s="89"/>
      <c r="N337" s="89"/>
      <c r="O337" s="89"/>
      <c r="P337" s="89"/>
      <c r="Q337" s="89"/>
      <c r="R337" s="89"/>
      <c r="S337" s="89"/>
      <c r="T337" s="89"/>
      <c r="U337" s="89"/>
      <c r="V337" s="89"/>
      <c r="W337" s="89"/>
      <c r="X337" s="89"/>
      <c r="Y337" s="89"/>
      <c r="Z337" s="89"/>
      <c r="AA337" s="89"/>
      <c r="AB337" s="89"/>
      <c r="AC337" s="89"/>
      <c r="AD337" s="89"/>
      <c r="AE337" s="89"/>
    </row>
    <row r="338">
      <c r="A338" s="445"/>
      <c r="B338" s="420"/>
      <c r="C338" s="420"/>
      <c r="D338" s="420"/>
      <c r="E338" s="420"/>
      <c r="F338" s="420"/>
      <c r="G338" s="420"/>
      <c r="H338" s="420"/>
      <c r="I338" s="89"/>
      <c r="J338" s="89"/>
      <c r="K338" s="89"/>
      <c r="L338" s="89"/>
      <c r="M338" s="89"/>
      <c r="N338" s="89"/>
      <c r="O338" s="89"/>
      <c r="P338" s="89"/>
      <c r="Q338" s="89"/>
      <c r="R338" s="89"/>
      <c r="S338" s="89"/>
      <c r="T338" s="89"/>
      <c r="U338" s="89"/>
      <c r="V338" s="89"/>
      <c r="W338" s="89"/>
      <c r="X338" s="89"/>
      <c r="Y338" s="89"/>
      <c r="Z338" s="89"/>
      <c r="AA338" s="89"/>
      <c r="AB338" s="89"/>
      <c r="AC338" s="89"/>
      <c r="AD338" s="89"/>
      <c r="AE338" s="89"/>
    </row>
    <row r="339">
      <c r="A339" s="445"/>
      <c r="B339" s="420"/>
      <c r="C339" s="420"/>
      <c r="D339" s="420"/>
      <c r="E339" s="420"/>
      <c r="F339" s="420"/>
      <c r="G339" s="420"/>
      <c r="H339" s="420"/>
      <c r="I339" s="89"/>
      <c r="J339" s="89"/>
      <c r="K339" s="89"/>
      <c r="L339" s="89"/>
      <c r="M339" s="89"/>
      <c r="N339" s="89"/>
      <c r="O339" s="89"/>
      <c r="P339" s="89"/>
      <c r="Q339" s="89"/>
      <c r="R339" s="89"/>
      <c r="S339" s="89"/>
      <c r="T339" s="89"/>
      <c r="U339" s="89"/>
      <c r="V339" s="89"/>
      <c r="W339" s="89"/>
      <c r="X339" s="89"/>
      <c r="Y339" s="89"/>
      <c r="Z339" s="89"/>
      <c r="AA339" s="89"/>
      <c r="AB339" s="89"/>
      <c r="AC339" s="89"/>
      <c r="AD339" s="89"/>
      <c r="AE339" s="89"/>
    </row>
    <row r="340">
      <c r="A340" s="445"/>
      <c r="B340" s="420"/>
      <c r="C340" s="420"/>
      <c r="D340" s="420"/>
      <c r="E340" s="420"/>
      <c r="F340" s="420"/>
      <c r="G340" s="420"/>
      <c r="H340" s="420"/>
      <c r="I340" s="89"/>
      <c r="J340" s="89"/>
      <c r="K340" s="89"/>
      <c r="L340" s="89"/>
      <c r="M340" s="89"/>
      <c r="N340" s="89"/>
      <c r="O340" s="89"/>
      <c r="P340" s="89"/>
      <c r="Q340" s="89"/>
      <c r="R340" s="89"/>
      <c r="S340" s="89"/>
      <c r="T340" s="89"/>
      <c r="U340" s="89"/>
      <c r="V340" s="89"/>
      <c r="W340" s="89"/>
      <c r="X340" s="89"/>
      <c r="Y340" s="89"/>
      <c r="Z340" s="89"/>
      <c r="AA340" s="89"/>
      <c r="AB340" s="89"/>
      <c r="AC340" s="89"/>
      <c r="AD340" s="89"/>
      <c r="AE340" s="89"/>
    </row>
    <row r="341">
      <c r="A341" s="445"/>
      <c r="B341" s="420"/>
      <c r="C341" s="420"/>
      <c r="D341" s="420"/>
      <c r="E341" s="420"/>
      <c r="F341" s="420"/>
      <c r="G341" s="420"/>
      <c r="H341" s="420"/>
      <c r="I341" s="89"/>
      <c r="J341" s="89"/>
      <c r="K341" s="89"/>
      <c r="L341" s="89"/>
      <c r="M341" s="89"/>
      <c r="N341" s="89"/>
      <c r="O341" s="89"/>
      <c r="P341" s="89"/>
      <c r="Q341" s="89"/>
      <c r="R341" s="89"/>
      <c r="S341" s="89"/>
      <c r="T341" s="89"/>
      <c r="U341" s="89"/>
      <c r="V341" s="89"/>
      <c r="W341" s="89"/>
      <c r="X341" s="89"/>
      <c r="Y341" s="89"/>
      <c r="Z341" s="89"/>
      <c r="AA341" s="89"/>
      <c r="AB341" s="89"/>
      <c r="AC341" s="89"/>
      <c r="AD341" s="89"/>
      <c r="AE341" s="89"/>
    </row>
    <row r="342">
      <c r="A342" s="445"/>
      <c r="B342" s="420"/>
      <c r="C342" s="420"/>
      <c r="D342" s="420"/>
      <c r="E342" s="420"/>
      <c r="F342" s="420"/>
      <c r="G342" s="420"/>
      <c r="H342" s="420"/>
      <c r="I342" s="89"/>
      <c r="J342" s="89"/>
      <c r="K342" s="89"/>
      <c r="L342" s="89"/>
      <c r="M342" s="89"/>
      <c r="N342" s="89"/>
      <c r="O342" s="89"/>
      <c r="P342" s="89"/>
      <c r="Q342" s="89"/>
      <c r="R342" s="89"/>
      <c r="S342" s="89"/>
      <c r="T342" s="89"/>
      <c r="U342" s="89"/>
      <c r="V342" s="89"/>
      <c r="W342" s="89"/>
      <c r="X342" s="89"/>
      <c r="Y342" s="89"/>
      <c r="Z342" s="89"/>
      <c r="AA342" s="89"/>
      <c r="AB342" s="89"/>
      <c r="AC342" s="89"/>
      <c r="AD342" s="89"/>
      <c r="AE342" s="89"/>
    </row>
    <row r="343">
      <c r="A343" s="445"/>
      <c r="B343" s="420"/>
      <c r="C343" s="420"/>
      <c r="D343" s="420"/>
      <c r="E343" s="420"/>
      <c r="F343" s="420"/>
      <c r="G343" s="420"/>
      <c r="H343" s="420"/>
      <c r="I343" s="89"/>
      <c r="J343" s="89"/>
      <c r="K343" s="89"/>
      <c r="L343" s="89"/>
      <c r="M343" s="89"/>
      <c r="N343" s="89"/>
      <c r="O343" s="89"/>
      <c r="P343" s="89"/>
      <c r="Q343" s="89"/>
      <c r="R343" s="89"/>
      <c r="S343" s="89"/>
      <c r="T343" s="89"/>
      <c r="U343" s="89"/>
      <c r="V343" s="89"/>
      <c r="W343" s="89"/>
      <c r="X343" s="89"/>
      <c r="Y343" s="89"/>
      <c r="Z343" s="89"/>
      <c r="AA343" s="89"/>
      <c r="AB343" s="89"/>
      <c r="AC343" s="89"/>
      <c r="AD343" s="89"/>
      <c r="AE343" s="89"/>
    </row>
    <row r="344">
      <c r="A344" s="445"/>
      <c r="B344" s="420"/>
      <c r="C344" s="420"/>
      <c r="D344" s="420"/>
      <c r="E344" s="420"/>
      <c r="F344" s="420"/>
      <c r="G344" s="420"/>
      <c r="H344" s="420"/>
      <c r="I344" s="89"/>
      <c r="J344" s="89"/>
      <c r="K344" s="89"/>
      <c r="L344" s="89"/>
      <c r="M344" s="89"/>
      <c r="N344" s="89"/>
      <c r="O344" s="89"/>
      <c r="P344" s="89"/>
      <c r="Q344" s="89"/>
      <c r="R344" s="89"/>
      <c r="S344" s="89"/>
      <c r="T344" s="89"/>
      <c r="U344" s="89"/>
      <c r="V344" s="89"/>
      <c r="W344" s="89"/>
      <c r="X344" s="89"/>
      <c r="Y344" s="89"/>
      <c r="Z344" s="89"/>
      <c r="AA344" s="89"/>
      <c r="AB344" s="89"/>
      <c r="AC344" s="89"/>
      <c r="AD344" s="89"/>
      <c r="AE344" s="89"/>
    </row>
    <row r="345">
      <c r="A345" s="445"/>
      <c r="B345" s="420"/>
      <c r="C345" s="420"/>
      <c r="D345" s="420"/>
      <c r="E345" s="420"/>
      <c r="F345" s="420"/>
      <c r="G345" s="420"/>
      <c r="H345" s="420"/>
      <c r="I345" s="89"/>
      <c r="J345" s="89"/>
      <c r="K345" s="89"/>
      <c r="L345" s="89"/>
      <c r="M345" s="89"/>
      <c r="N345" s="89"/>
      <c r="O345" s="89"/>
      <c r="P345" s="89"/>
      <c r="Q345" s="89"/>
      <c r="R345" s="89"/>
      <c r="S345" s="89"/>
      <c r="T345" s="89"/>
      <c r="U345" s="89"/>
      <c r="V345" s="89"/>
      <c r="W345" s="89"/>
      <c r="X345" s="89"/>
      <c r="Y345" s="89"/>
      <c r="Z345" s="89"/>
      <c r="AA345" s="89"/>
      <c r="AB345" s="89"/>
      <c r="AC345" s="89"/>
      <c r="AD345" s="89"/>
      <c r="AE345" s="89"/>
    </row>
    <row r="346">
      <c r="A346" s="445"/>
      <c r="B346" s="420"/>
      <c r="C346" s="420"/>
      <c r="D346" s="420"/>
      <c r="E346" s="420"/>
      <c r="F346" s="420"/>
      <c r="G346" s="420"/>
      <c r="H346" s="420"/>
      <c r="I346" s="89"/>
      <c r="J346" s="89"/>
      <c r="K346" s="89"/>
      <c r="L346" s="89"/>
      <c r="M346" s="89"/>
      <c r="N346" s="89"/>
      <c r="O346" s="89"/>
      <c r="P346" s="89"/>
      <c r="Q346" s="89"/>
      <c r="R346" s="89"/>
      <c r="S346" s="89"/>
      <c r="T346" s="89"/>
      <c r="U346" s="89"/>
      <c r="V346" s="89"/>
      <c r="W346" s="89"/>
      <c r="X346" s="89"/>
      <c r="Y346" s="89"/>
      <c r="Z346" s="89"/>
      <c r="AA346" s="89"/>
      <c r="AB346" s="89"/>
      <c r="AC346" s="89"/>
      <c r="AD346" s="89"/>
      <c r="AE346" s="89"/>
    </row>
    <row r="347">
      <c r="A347" s="445"/>
      <c r="B347" s="420"/>
      <c r="C347" s="420"/>
      <c r="D347" s="420"/>
      <c r="E347" s="420"/>
      <c r="F347" s="420"/>
      <c r="G347" s="420"/>
      <c r="H347" s="420"/>
      <c r="I347" s="89"/>
      <c r="J347" s="89"/>
      <c r="K347" s="89"/>
      <c r="L347" s="89"/>
      <c r="M347" s="89"/>
      <c r="N347" s="89"/>
      <c r="O347" s="89"/>
      <c r="P347" s="89"/>
      <c r="Q347" s="89"/>
      <c r="R347" s="89"/>
      <c r="S347" s="89"/>
      <c r="T347" s="89"/>
      <c r="U347" s="89"/>
      <c r="V347" s="89"/>
      <c r="W347" s="89"/>
      <c r="X347" s="89"/>
      <c r="Y347" s="89"/>
      <c r="Z347" s="89"/>
      <c r="AA347" s="89"/>
      <c r="AB347" s="89"/>
      <c r="AC347" s="89"/>
      <c r="AD347" s="89"/>
      <c r="AE347" s="89"/>
    </row>
    <row r="348">
      <c r="A348" s="445"/>
      <c r="B348" s="420"/>
      <c r="C348" s="420"/>
      <c r="D348" s="420"/>
      <c r="E348" s="420"/>
      <c r="F348" s="420"/>
      <c r="G348" s="420"/>
      <c r="H348" s="420"/>
      <c r="I348" s="89"/>
      <c r="J348" s="89"/>
      <c r="K348" s="89"/>
      <c r="L348" s="89"/>
      <c r="M348" s="89"/>
      <c r="N348" s="89"/>
      <c r="O348" s="89"/>
      <c r="P348" s="89"/>
      <c r="Q348" s="89"/>
      <c r="R348" s="89"/>
      <c r="S348" s="89"/>
      <c r="T348" s="89"/>
      <c r="U348" s="89"/>
      <c r="V348" s="89"/>
      <c r="W348" s="89"/>
      <c r="X348" s="89"/>
      <c r="Y348" s="89"/>
      <c r="Z348" s="89"/>
      <c r="AA348" s="89"/>
      <c r="AB348" s="89"/>
      <c r="AC348" s="89"/>
      <c r="AD348" s="89"/>
      <c r="AE348" s="89"/>
    </row>
    <row r="349">
      <c r="A349" s="445"/>
      <c r="B349" s="420"/>
      <c r="C349" s="420"/>
      <c r="D349" s="420"/>
      <c r="E349" s="420"/>
      <c r="F349" s="420"/>
      <c r="G349" s="420"/>
      <c r="H349" s="420"/>
      <c r="I349" s="89"/>
      <c r="J349" s="89"/>
      <c r="K349" s="89"/>
      <c r="L349" s="89"/>
      <c r="M349" s="89"/>
      <c r="N349" s="89"/>
      <c r="O349" s="89"/>
      <c r="P349" s="89"/>
      <c r="Q349" s="89"/>
      <c r="R349" s="89"/>
      <c r="S349" s="89"/>
      <c r="T349" s="89"/>
      <c r="U349" s="89"/>
      <c r="V349" s="89"/>
      <c r="W349" s="89"/>
      <c r="X349" s="89"/>
      <c r="Y349" s="89"/>
      <c r="Z349" s="89"/>
      <c r="AA349" s="89"/>
      <c r="AB349" s="89"/>
      <c r="AC349" s="89"/>
      <c r="AD349" s="89"/>
      <c r="AE349" s="89"/>
    </row>
    <row r="350">
      <c r="A350" s="445"/>
      <c r="B350" s="420"/>
      <c r="C350" s="420"/>
      <c r="D350" s="420"/>
      <c r="E350" s="420"/>
      <c r="F350" s="420"/>
      <c r="G350" s="420"/>
      <c r="H350" s="420"/>
      <c r="I350" s="89"/>
      <c r="J350" s="89"/>
      <c r="K350" s="89"/>
      <c r="L350" s="89"/>
      <c r="M350" s="89"/>
      <c r="N350" s="89"/>
      <c r="O350" s="89"/>
      <c r="P350" s="89"/>
      <c r="Q350" s="89"/>
      <c r="R350" s="89"/>
      <c r="S350" s="89"/>
      <c r="T350" s="89"/>
      <c r="U350" s="89"/>
      <c r="V350" s="89"/>
      <c r="W350" s="89"/>
      <c r="X350" s="89"/>
      <c r="Y350" s="89"/>
      <c r="Z350" s="89"/>
      <c r="AA350" s="89"/>
      <c r="AB350" s="89"/>
      <c r="AC350" s="89"/>
      <c r="AD350" s="89"/>
      <c r="AE350" s="89"/>
    </row>
    <row r="351">
      <c r="A351" s="445"/>
      <c r="B351" s="420"/>
      <c r="C351" s="420"/>
      <c r="D351" s="420"/>
      <c r="E351" s="420"/>
      <c r="F351" s="420"/>
      <c r="G351" s="420"/>
      <c r="H351" s="420"/>
      <c r="I351" s="89"/>
      <c r="J351" s="89"/>
      <c r="K351" s="89"/>
      <c r="L351" s="89"/>
      <c r="M351" s="89"/>
      <c r="N351" s="89"/>
      <c r="O351" s="89"/>
      <c r="P351" s="89"/>
      <c r="Q351" s="89"/>
      <c r="R351" s="89"/>
      <c r="S351" s="89"/>
      <c r="T351" s="89"/>
      <c r="U351" s="89"/>
      <c r="V351" s="89"/>
      <c r="W351" s="89"/>
      <c r="X351" s="89"/>
      <c r="Y351" s="89"/>
      <c r="Z351" s="89"/>
      <c r="AA351" s="89"/>
      <c r="AB351" s="89"/>
      <c r="AC351" s="89"/>
      <c r="AD351" s="89"/>
      <c r="AE351" s="89"/>
    </row>
    <row r="352">
      <c r="A352" s="445"/>
      <c r="B352" s="420"/>
      <c r="C352" s="420"/>
      <c r="D352" s="420"/>
      <c r="E352" s="420"/>
      <c r="F352" s="420"/>
      <c r="G352" s="420"/>
      <c r="H352" s="420"/>
      <c r="I352" s="89"/>
      <c r="J352" s="89"/>
      <c r="K352" s="89"/>
      <c r="L352" s="89"/>
      <c r="M352" s="89"/>
      <c r="N352" s="89"/>
      <c r="O352" s="89"/>
      <c r="P352" s="89"/>
      <c r="Q352" s="89"/>
      <c r="R352" s="89"/>
      <c r="S352" s="89"/>
      <c r="T352" s="89"/>
      <c r="U352" s="89"/>
      <c r="V352" s="89"/>
      <c r="W352" s="89"/>
      <c r="X352" s="89"/>
      <c r="Y352" s="89"/>
      <c r="Z352" s="89"/>
      <c r="AA352" s="89"/>
      <c r="AB352" s="89"/>
      <c r="AC352" s="89"/>
      <c r="AD352" s="89"/>
      <c r="AE352" s="89"/>
    </row>
    <row r="353">
      <c r="A353" s="445"/>
      <c r="B353" s="420"/>
      <c r="C353" s="420"/>
      <c r="D353" s="420"/>
      <c r="E353" s="420"/>
      <c r="F353" s="420"/>
      <c r="G353" s="420"/>
      <c r="H353" s="420"/>
      <c r="I353" s="89"/>
      <c r="J353" s="89"/>
      <c r="K353" s="89"/>
      <c r="L353" s="89"/>
      <c r="M353" s="89"/>
      <c r="N353" s="89"/>
      <c r="O353" s="89"/>
      <c r="P353" s="89"/>
      <c r="Q353" s="89"/>
      <c r="R353" s="89"/>
      <c r="S353" s="89"/>
      <c r="T353" s="89"/>
      <c r="U353" s="89"/>
      <c r="V353" s="89"/>
      <c r="W353" s="89"/>
      <c r="X353" s="89"/>
      <c r="Y353" s="89"/>
      <c r="Z353" s="89"/>
      <c r="AA353" s="89"/>
      <c r="AB353" s="89"/>
      <c r="AC353" s="89"/>
      <c r="AD353" s="89"/>
      <c r="AE353" s="89"/>
    </row>
    <row r="354">
      <c r="A354" s="445"/>
      <c r="B354" s="420"/>
      <c r="C354" s="420"/>
      <c r="D354" s="420"/>
      <c r="E354" s="420"/>
      <c r="F354" s="420"/>
      <c r="G354" s="420"/>
      <c r="H354" s="420"/>
      <c r="I354" s="89"/>
      <c r="J354" s="89"/>
      <c r="K354" s="89"/>
      <c r="L354" s="89"/>
      <c r="M354" s="89"/>
      <c r="N354" s="89"/>
      <c r="O354" s="89"/>
      <c r="P354" s="89"/>
      <c r="Q354" s="89"/>
      <c r="R354" s="89"/>
      <c r="S354" s="89"/>
      <c r="T354" s="89"/>
      <c r="U354" s="89"/>
      <c r="V354" s="89"/>
      <c r="W354" s="89"/>
      <c r="X354" s="89"/>
      <c r="Y354" s="89"/>
      <c r="Z354" s="89"/>
      <c r="AA354" s="89"/>
      <c r="AB354" s="89"/>
      <c r="AC354" s="89"/>
      <c r="AD354" s="89"/>
      <c r="AE354" s="89"/>
    </row>
    <row r="355">
      <c r="A355" s="445"/>
      <c r="B355" s="420"/>
      <c r="C355" s="420"/>
      <c r="D355" s="420"/>
      <c r="E355" s="420"/>
      <c r="F355" s="420"/>
      <c r="G355" s="420"/>
      <c r="H355" s="420"/>
      <c r="I355" s="89"/>
      <c r="J355" s="89"/>
      <c r="K355" s="89"/>
      <c r="L355" s="89"/>
      <c r="M355" s="89"/>
      <c r="N355" s="89"/>
      <c r="O355" s="89"/>
      <c r="P355" s="89"/>
      <c r="Q355" s="89"/>
      <c r="R355" s="89"/>
      <c r="S355" s="89"/>
      <c r="T355" s="89"/>
      <c r="U355" s="89"/>
      <c r="V355" s="89"/>
      <c r="W355" s="89"/>
      <c r="X355" s="89"/>
      <c r="Y355" s="89"/>
      <c r="Z355" s="89"/>
      <c r="AA355" s="89"/>
      <c r="AB355" s="89"/>
      <c r="AC355" s="89"/>
      <c r="AD355" s="89"/>
      <c r="AE355" s="89"/>
    </row>
    <row r="356">
      <c r="A356" s="445"/>
      <c r="B356" s="420"/>
      <c r="C356" s="420"/>
      <c r="D356" s="420"/>
      <c r="E356" s="420"/>
      <c r="F356" s="420"/>
      <c r="G356" s="420"/>
      <c r="H356" s="420"/>
      <c r="I356" s="89"/>
      <c r="J356" s="89"/>
      <c r="K356" s="89"/>
      <c r="L356" s="89"/>
      <c r="M356" s="89"/>
      <c r="N356" s="89"/>
      <c r="O356" s="89"/>
      <c r="P356" s="89"/>
      <c r="Q356" s="89"/>
      <c r="R356" s="89"/>
      <c r="S356" s="89"/>
      <c r="T356" s="89"/>
      <c r="U356" s="89"/>
      <c r="V356" s="89"/>
      <c r="W356" s="89"/>
      <c r="X356" s="89"/>
      <c r="Y356" s="89"/>
      <c r="Z356" s="89"/>
      <c r="AA356" s="89"/>
      <c r="AB356" s="89"/>
      <c r="AC356" s="89"/>
      <c r="AD356" s="89"/>
      <c r="AE356" s="89"/>
    </row>
    <row r="357">
      <c r="A357" s="445"/>
      <c r="B357" s="420"/>
      <c r="C357" s="420"/>
      <c r="D357" s="420"/>
      <c r="E357" s="420"/>
      <c r="F357" s="420"/>
      <c r="G357" s="420"/>
      <c r="H357" s="420"/>
      <c r="I357" s="89"/>
      <c r="J357" s="89"/>
      <c r="K357" s="89"/>
      <c r="L357" s="89"/>
      <c r="M357" s="89"/>
      <c r="N357" s="89"/>
      <c r="O357" s="89"/>
      <c r="P357" s="89"/>
      <c r="Q357" s="89"/>
      <c r="R357" s="89"/>
      <c r="S357" s="89"/>
      <c r="T357" s="89"/>
      <c r="U357" s="89"/>
      <c r="V357" s="89"/>
      <c r="W357" s="89"/>
      <c r="X357" s="89"/>
      <c r="Y357" s="89"/>
      <c r="Z357" s="89"/>
      <c r="AA357" s="89"/>
      <c r="AB357" s="89"/>
      <c r="AC357" s="89"/>
      <c r="AD357" s="89"/>
      <c r="AE357" s="89"/>
    </row>
    <row r="358">
      <c r="A358" s="445"/>
      <c r="B358" s="420"/>
      <c r="C358" s="420"/>
      <c r="D358" s="420"/>
      <c r="E358" s="420"/>
      <c r="F358" s="420"/>
      <c r="G358" s="420"/>
      <c r="H358" s="420"/>
      <c r="I358" s="89"/>
      <c r="J358" s="89"/>
      <c r="K358" s="89"/>
      <c r="L358" s="89"/>
      <c r="M358" s="89"/>
      <c r="N358" s="89"/>
      <c r="O358" s="89"/>
      <c r="P358" s="89"/>
      <c r="Q358" s="89"/>
      <c r="R358" s="89"/>
      <c r="S358" s="89"/>
      <c r="T358" s="89"/>
      <c r="U358" s="89"/>
      <c r="V358" s="89"/>
      <c r="W358" s="89"/>
      <c r="X358" s="89"/>
      <c r="Y358" s="89"/>
      <c r="Z358" s="89"/>
      <c r="AA358" s="89"/>
      <c r="AB358" s="89"/>
      <c r="AC358" s="89"/>
      <c r="AD358" s="89"/>
      <c r="AE358" s="89"/>
    </row>
    <row r="359">
      <c r="A359" s="445"/>
      <c r="B359" s="420"/>
      <c r="C359" s="420"/>
      <c r="D359" s="420"/>
      <c r="E359" s="420"/>
      <c r="F359" s="420"/>
      <c r="G359" s="420"/>
      <c r="H359" s="420"/>
      <c r="I359" s="89"/>
      <c r="J359" s="89"/>
      <c r="K359" s="89"/>
      <c r="L359" s="89"/>
      <c r="M359" s="89"/>
      <c r="N359" s="89"/>
      <c r="O359" s="89"/>
      <c r="P359" s="89"/>
      <c r="Q359" s="89"/>
      <c r="R359" s="89"/>
      <c r="S359" s="89"/>
      <c r="T359" s="89"/>
      <c r="U359" s="89"/>
      <c r="V359" s="89"/>
      <c r="W359" s="89"/>
      <c r="X359" s="89"/>
      <c r="Y359" s="89"/>
      <c r="Z359" s="89"/>
      <c r="AA359" s="89"/>
      <c r="AB359" s="89"/>
      <c r="AC359" s="89"/>
      <c r="AD359" s="89"/>
      <c r="AE359" s="89"/>
    </row>
    <row r="360">
      <c r="A360" s="445"/>
      <c r="B360" s="420"/>
      <c r="C360" s="420"/>
      <c r="D360" s="420"/>
      <c r="E360" s="420"/>
      <c r="F360" s="420"/>
      <c r="G360" s="420"/>
      <c r="H360" s="420"/>
      <c r="I360" s="89"/>
      <c r="J360" s="89"/>
      <c r="K360" s="89"/>
      <c r="L360" s="89"/>
      <c r="M360" s="89"/>
      <c r="N360" s="89"/>
      <c r="O360" s="89"/>
      <c r="P360" s="89"/>
      <c r="Q360" s="89"/>
      <c r="R360" s="89"/>
      <c r="S360" s="89"/>
      <c r="T360" s="89"/>
      <c r="U360" s="89"/>
      <c r="V360" s="89"/>
      <c r="W360" s="89"/>
      <c r="X360" s="89"/>
      <c r="Y360" s="89"/>
      <c r="Z360" s="89"/>
      <c r="AA360" s="89"/>
      <c r="AB360" s="89"/>
      <c r="AC360" s="89"/>
      <c r="AD360" s="89"/>
      <c r="AE360" s="89"/>
    </row>
    <row r="361">
      <c r="A361" s="445"/>
      <c r="B361" s="420"/>
      <c r="C361" s="420"/>
      <c r="D361" s="420"/>
      <c r="E361" s="420"/>
      <c r="F361" s="420"/>
      <c r="G361" s="420"/>
      <c r="H361" s="420"/>
      <c r="I361" s="89"/>
      <c r="J361" s="89"/>
      <c r="K361" s="89"/>
      <c r="L361" s="89"/>
      <c r="M361" s="89"/>
      <c r="N361" s="89"/>
      <c r="O361" s="89"/>
      <c r="P361" s="89"/>
      <c r="Q361" s="89"/>
      <c r="R361" s="89"/>
      <c r="S361" s="89"/>
      <c r="T361" s="89"/>
      <c r="U361" s="89"/>
      <c r="V361" s="89"/>
      <c r="W361" s="89"/>
      <c r="X361" s="89"/>
      <c r="Y361" s="89"/>
      <c r="Z361" s="89"/>
      <c r="AA361" s="89"/>
      <c r="AB361" s="89"/>
      <c r="AC361" s="89"/>
      <c r="AD361" s="89"/>
      <c r="AE361" s="89"/>
    </row>
    <row r="362">
      <c r="A362" s="445"/>
      <c r="B362" s="420"/>
      <c r="C362" s="420"/>
      <c r="D362" s="420"/>
      <c r="E362" s="420"/>
      <c r="F362" s="420"/>
      <c r="G362" s="420"/>
      <c r="H362" s="420"/>
      <c r="I362" s="89"/>
      <c r="J362" s="89"/>
      <c r="K362" s="89"/>
      <c r="L362" s="89"/>
      <c r="M362" s="89"/>
      <c r="N362" s="89"/>
      <c r="O362" s="89"/>
      <c r="P362" s="89"/>
      <c r="Q362" s="89"/>
      <c r="R362" s="89"/>
      <c r="S362" s="89"/>
      <c r="T362" s="89"/>
      <c r="U362" s="89"/>
      <c r="V362" s="89"/>
      <c r="W362" s="89"/>
      <c r="X362" s="89"/>
      <c r="Y362" s="89"/>
      <c r="Z362" s="89"/>
      <c r="AA362" s="89"/>
      <c r="AB362" s="89"/>
      <c r="AC362" s="89"/>
      <c r="AD362" s="89"/>
      <c r="AE362" s="89"/>
    </row>
    <row r="363">
      <c r="A363" s="445"/>
      <c r="B363" s="420"/>
      <c r="C363" s="420"/>
      <c r="D363" s="420"/>
      <c r="E363" s="420"/>
      <c r="F363" s="420"/>
      <c r="G363" s="420"/>
      <c r="H363" s="420"/>
      <c r="I363" s="89"/>
      <c r="J363" s="89"/>
      <c r="K363" s="89"/>
      <c r="L363" s="89"/>
      <c r="M363" s="89"/>
      <c r="N363" s="89"/>
      <c r="O363" s="89"/>
      <c r="P363" s="89"/>
      <c r="Q363" s="89"/>
      <c r="R363" s="89"/>
      <c r="S363" s="89"/>
      <c r="T363" s="89"/>
      <c r="U363" s="89"/>
      <c r="V363" s="89"/>
      <c r="W363" s="89"/>
      <c r="X363" s="89"/>
      <c r="Y363" s="89"/>
      <c r="Z363" s="89"/>
      <c r="AA363" s="89"/>
      <c r="AB363" s="89"/>
      <c r="AC363" s="89"/>
      <c r="AD363" s="89"/>
      <c r="AE363" s="89"/>
    </row>
    <row r="364">
      <c r="A364" s="445"/>
      <c r="B364" s="420"/>
      <c r="C364" s="420"/>
      <c r="D364" s="420"/>
      <c r="E364" s="420"/>
      <c r="F364" s="420"/>
      <c r="G364" s="420"/>
      <c r="H364" s="420"/>
      <c r="I364" s="89"/>
      <c r="J364" s="89"/>
      <c r="K364" s="89"/>
      <c r="L364" s="89"/>
      <c r="M364" s="89"/>
      <c r="N364" s="89"/>
      <c r="O364" s="89"/>
      <c r="P364" s="89"/>
      <c r="Q364" s="89"/>
      <c r="R364" s="89"/>
      <c r="S364" s="89"/>
      <c r="T364" s="89"/>
      <c r="U364" s="89"/>
      <c r="V364" s="89"/>
      <c r="W364" s="89"/>
      <c r="X364" s="89"/>
      <c r="Y364" s="89"/>
      <c r="Z364" s="89"/>
      <c r="AA364" s="89"/>
      <c r="AB364" s="89"/>
      <c r="AC364" s="89"/>
      <c r="AD364" s="89"/>
      <c r="AE364" s="89"/>
    </row>
    <row r="365">
      <c r="A365" s="445"/>
      <c r="B365" s="420"/>
      <c r="C365" s="420"/>
      <c r="D365" s="420"/>
      <c r="E365" s="420"/>
      <c r="F365" s="420"/>
      <c r="G365" s="420"/>
      <c r="H365" s="420"/>
      <c r="I365" s="89"/>
      <c r="J365" s="89"/>
      <c r="K365" s="89"/>
      <c r="L365" s="89"/>
      <c r="M365" s="89"/>
      <c r="N365" s="89"/>
      <c r="O365" s="89"/>
      <c r="P365" s="89"/>
      <c r="Q365" s="89"/>
      <c r="R365" s="89"/>
      <c r="S365" s="89"/>
      <c r="T365" s="89"/>
      <c r="U365" s="89"/>
      <c r="V365" s="89"/>
      <c r="W365" s="89"/>
      <c r="X365" s="89"/>
      <c r="Y365" s="89"/>
      <c r="Z365" s="89"/>
      <c r="AA365" s="89"/>
      <c r="AB365" s="89"/>
      <c r="AC365" s="89"/>
      <c r="AD365" s="89"/>
      <c r="AE365" s="89"/>
    </row>
    <row r="366">
      <c r="A366" s="445"/>
      <c r="B366" s="420"/>
      <c r="C366" s="420"/>
      <c r="D366" s="420"/>
      <c r="E366" s="420"/>
      <c r="F366" s="420"/>
      <c r="G366" s="420"/>
      <c r="H366" s="420"/>
      <c r="I366" s="89"/>
      <c r="J366" s="89"/>
      <c r="K366" s="89"/>
      <c r="L366" s="89"/>
      <c r="M366" s="89"/>
      <c r="N366" s="89"/>
      <c r="O366" s="89"/>
      <c r="P366" s="89"/>
      <c r="Q366" s="89"/>
      <c r="R366" s="89"/>
      <c r="S366" s="89"/>
      <c r="T366" s="89"/>
      <c r="U366" s="89"/>
      <c r="V366" s="89"/>
      <c r="W366" s="89"/>
      <c r="X366" s="89"/>
      <c r="Y366" s="89"/>
      <c r="Z366" s="89"/>
      <c r="AA366" s="89"/>
      <c r="AB366" s="89"/>
      <c r="AC366" s="89"/>
      <c r="AD366" s="89"/>
      <c r="AE366" s="89"/>
    </row>
    <row r="367">
      <c r="A367" s="445"/>
      <c r="B367" s="420"/>
      <c r="C367" s="420"/>
      <c r="D367" s="420"/>
      <c r="E367" s="420"/>
      <c r="F367" s="420"/>
      <c r="G367" s="420"/>
      <c r="H367" s="420"/>
      <c r="I367" s="89"/>
      <c r="J367" s="89"/>
      <c r="K367" s="89"/>
      <c r="L367" s="89"/>
      <c r="M367" s="89"/>
      <c r="N367" s="89"/>
      <c r="O367" s="89"/>
      <c r="P367" s="89"/>
      <c r="Q367" s="89"/>
      <c r="R367" s="89"/>
      <c r="S367" s="89"/>
      <c r="T367" s="89"/>
      <c r="U367" s="89"/>
      <c r="V367" s="89"/>
      <c r="W367" s="89"/>
      <c r="X367" s="89"/>
      <c r="Y367" s="89"/>
      <c r="Z367" s="89"/>
      <c r="AA367" s="89"/>
      <c r="AB367" s="89"/>
      <c r="AC367" s="89"/>
      <c r="AD367" s="89"/>
      <c r="AE367" s="89"/>
    </row>
    <row r="368">
      <c r="A368" s="445"/>
      <c r="B368" s="420"/>
      <c r="C368" s="420"/>
      <c r="D368" s="420"/>
      <c r="E368" s="420"/>
      <c r="F368" s="420"/>
      <c r="G368" s="420"/>
      <c r="H368" s="420"/>
      <c r="I368" s="89"/>
      <c r="J368" s="89"/>
      <c r="K368" s="89"/>
      <c r="L368" s="89"/>
      <c r="M368" s="89"/>
      <c r="N368" s="89"/>
      <c r="O368" s="89"/>
      <c r="P368" s="89"/>
      <c r="Q368" s="89"/>
      <c r="R368" s="89"/>
      <c r="S368" s="89"/>
      <c r="T368" s="89"/>
      <c r="U368" s="89"/>
      <c r="V368" s="89"/>
      <c r="W368" s="89"/>
      <c r="X368" s="89"/>
      <c r="Y368" s="89"/>
      <c r="Z368" s="89"/>
      <c r="AA368" s="89"/>
      <c r="AB368" s="89"/>
      <c r="AC368" s="89"/>
      <c r="AD368" s="89"/>
      <c r="AE368" s="89"/>
    </row>
    <row r="369">
      <c r="A369" s="445"/>
      <c r="B369" s="420"/>
      <c r="C369" s="420"/>
      <c r="D369" s="420"/>
      <c r="E369" s="420"/>
      <c r="F369" s="420"/>
      <c r="G369" s="420"/>
      <c r="H369" s="420"/>
      <c r="I369" s="89"/>
      <c r="J369" s="89"/>
      <c r="K369" s="89"/>
      <c r="L369" s="89"/>
      <c r="M369" s="89"/>
      <c r="N369" s="89"/>
      <c r="O369" s="89"/>
      <c r="P369" s="89"/>
      <c r="Q369" s="89"/>
      <c r="R369" s="89"/>
      <c r="S369" s="89"/>
      <c r="T369" s="89"/>
      <c r="U369" s="89"/>
      <c r="V369" s="89"/>
      <c r="W369" s="89"/>
      <c r="X369" s="89"/>
      <c r="Y369" s="89"/>
      <c r="Z369" s="89"/>
      <c r="AA369" s="89"/>
      <c r="AB369" s="89"/>
      <c r="AC369" s="89"/>
      <c r="AD369" s="89"/>
      <c r="AE369" s="89"/>
    </row>
    <row r="370">
      <c r="A370" s="445"/>
      <c r="B370" s="420"/>
      <c r="C370" s="420"/>
      <c r="D370" s="420"/>
      <c r="E370" s="420"/>
      <c r="F370" s="420"/>
      <c r="G370" s="420"/>
      <c r="H370" s="420"/>
      <c r="I370" s="89"/>
      <c r="J370" s="89"/>
      <c r="K370" s="89"/>
      <c r="L370" s="89"/>
      <c r="M370" s="89"/>
      <c r="N370" s="89"/>
      <c r="O370" s="89"/>
      <c r="P370" s="89"/>
      <c r="Q370" s="89"/>
      <c r="R370" s="89"/>
      <c r="S370" s="89"/>
      <c r="T370" s="89"/>
      <c r="U370" s="89"/>
      <c r="V370" s="89"/>
      <c r="W370" s="89"/>
      <c r="X370" s="89"/>
      <c r="Y370" s="89"/>
      <c r="Z370" s="89"/>
      <c r="AA370" s="89"/>
      <c r="AB370" s="89"/>
      <c r="AC370" s="89"/>
      <c r="AD370" s="89"/>
      <c r="AE370" s="89"/>
    </row>
    <row r="371">
      <c r="A371" s="445"/>
      <c r="B371" s="420"/>
      <c r="C371" s="420"/>
      <c r="D371" s="420"/>
      <c r="E371" s="420"/>
      <c r="F371" s="420"/>
      <c r="G371" s="420"/>
      <c r="H371" s="420"/>
      <c r="I371" s="89"/>
      <c r="J371" s="89"/>
      <c r="K371" s="89"/>
      <c r="L371" s="89"/>
      <c r="M371" s="89"/>
      <c r="N371" s="89"/>
      <c r="O371" s="89"/>
      <c r="P371" s="89"/>
      <c r="Q371" s="89"/>
      <c r="R371" s="89"/>
      <c r="S371" s="89"/>
      <c r="T371" s="89"/>
      <c r="U371" s="89"/>
      <c r="V371" s="89"/>
      <c r="W371" s="89"/>
      <c r="X371" s="89"/>
      <c r="Y371" s="89"/>
      <c r="Z371" s="89"/>
      <c r="AA371" s="89"/>
      <c r="AB371" s="89"/>
      <c r="AC371" s="89"/>
      <c r="AD371" s="89"/>
      <c r="AE371" s="89"/>
    </row>
    <row r="372">
      <c r="A372" s="445"/>
      <c r="B372" s="420"/>
      <c r="C372" s="420"/>
      <c r="D372" s="420"/>
      <c r="E372" s="420"/>
      <c r="F372" s="420"/>
      <c r="G372" s="420"/>
      <c r="H372" s="420"/>
      <c r="I372" s="89"/>
      <c r="J372" s="89"/>
      <c r="K372" s="89"/>
      <c r="L372" s="89"/>
      <c r="M372" s="89"/>
      <c r="N372" s="89"/>
      <c r="O372" s="89"/>
      <c r="P372" s="89"/>
      <c r="Q372" s="89"/>
      <c r="R372" s="89"/>
      <c r="S372" s="89"/>
      <c r="T372" s="89"/>
      <c r="U372" s="89"/>
      <c r="V372" s="89"/>
      <c r="W372" s="89"/>
      <c r="X372" s="89"/>
      <c r="Y372" s="89"/>
      <c r="Z372" s="89"/>
      <c r="AA372" s="89"/>
      <c r="AB372" s="89"/>
      <c r="AC372" s="89"/>
      <c r="AD372" s="89"/>
      <c r="AE372" s="89"/>
    </row>
    <row r="373">
      <c r="A373" s="445"/>
      <c r="B373" s="420"/>
      <c r="C373" s="420"/>
      <c r="D373" s="420"/>
      <c r="E373" s="420"/>
      <c r="F373" s="420"/>
      <c r="G373" s="420"/>
      <c r="H373" s="420"/>
      <c r="I373" s="89"/>
      <c r="J373" s="89"/>
      <c r="K373" s="89"/>
      <c r="L373" s="89"/>
      <c r="M373" s="89"/>
      <c r="N373" s="89"/>
      <c r="O373" s="89"/>
      <c r="P373" s="89"/>
      <c r="Q373" s="89"/>
      <c r="R373" s="89"/>
      <c r="S373" s="89"/>
      <c r="T373" s="89"/>
      <c r="U373" s="89"/>
      <c r="V373" s="89"/>
      <c r="W373" s="89"/>
      <c r="X373" s="89"/>
      <c r="Y373" s="89"/>
      <c r="Z373" s="89"/>
      <c r="AA373" s="89"/>
      <c r="AB373" s="89"/>
      <c r="AC373" s="89"/>
      <c r="AD373" s="89"/>
      <c r="AE373" s="89"/>
    </row>
    <row r="374">
      <c r="A374" s="445"/>
      <c r="B374" s="420"/>
      <c r="C374" s="420"/>
      <c r="D374" s="420"/>
      <c r="E374" s="420"/>
      <c r="F374" s="420"/>
      <c r="G374" s="420"/>
      <c r="H374" s="420"/>
      <c r="I374" s="89"/>
      <c r="J374" s="89"/>
      <c r="K374" s="89"/>
      <c r="L374" s="89"/>
      <c r="M374" s="89"/>
      <c r="N374" s="89"/>
      <c r="O374" s="89"/>
      <c r="P374" s="89"/>
      <c r="Q374" s="89"/>
      <c r="R374" s="89"/>
      <c r="S374" s="89"/>
      <c r="T374" s="89"/>
      <c r="U374" s="89"/>
      <c r="V374" s="89"/>
      <c r="W374" s="89"/>
      <c r="X374" s="89"/>
      <c r="Y374" s="89"/>
      <c r="Z374" s="89"/>
      <c r="AA374" s="89"/>
      <c r="AB374" s="89"/>
      <c r="AC374" s="89"/>
      <c r="AD374" s="89"/>
      <c r="AE374" s="89"/>
    </row>
    <row r="375">
      <c r="A375" s="445"/>
      <c r="B375" s="420"/>
      <c r="C375" s="420"/>
      <c r="D375" s="420"/>
      <c r="E375" s="420"/>
      <c r="F375" s="420"/>
      <c r="G375" s="420"/>
      <c r="H375" s="420"/>
      <c r="I375" s="89"/>
      <c r="J375" s="89"/>
      <c r="K375" s="89"/>
      <c r="L375" s="89"/>
      <c r="M375" s="89"/>
      <c r="N375" s="89"/>
      <c r="O375" s="89"/>
      <c r="P375" s="89"/>
      <c r="Q375" s="89"/>
      <c r="R375" s="89"/>
      <c r="S375" s="89"/>
      <c r="T375" s="89"/>
      <c r="U375" s="89"/>
      <c r="V375" s="89"/>
      <c r="W375" s="89"/>
      <c r="X375" s="89"/>
      <c r="Y375" s="89"/>
      <c r="Z375" s="89"/>
      <c r="AA375" s="89"/>
      <c r="AB375" s="89"/>
      <c r="AC375" s="89"/>
      <c r="AD375" s="89"/>
      <c r="AE375" s="89"/>
    </row>
    <row r="376">
      <c r="A376" s="445"/>
      <c r="B376" s="420"/>
      <c r="C376" s="420"/>
      <c r="D376" s="420"/>
      <c r="E376" s="420"/>
      <c r="F376" s="420"/>
      <c r="G376" s="420"/>
      <c r="H376" s="420"/>
      <c r="I376" s="89"/>
      <c r="J376" s="89"/>
      <c r="K376" s="89"/>
      <c r="L376" s="89"/>
      <c r="M376" s="89"/>
      <c r="N376" s="89"/>
      <c r="O376" s="89"/>
      <c r="P376" s="89"/>
      <c r="Q376" s="89"/>
      <c r="R376" s="89"/>
      <c r="S376" s="89"/>
      <c r="T376" s="89"/>
      <c r="U376" s="89"/>
      <c r="V376" s="89"/>
      <c r="W376" s="89"/>
      <c r="X376" s="89"/>
      <c r="Y376" s="89"/>
      <c r="Z376" s="89"/>
      <c r="AA376" s="89"/>
      <c r="AB376" s="89"/>
      <c r="AC376" s="89"/>
      <c r="AD376" s="89"/>
      <c r="AE376" s="89"/>
    </row>
    <row r="377">
      <c r="A377" s="445"/>
      <c r="B377" s="420"/>
      <c r="C377" s="420"/>
      <c r="D377" s="420"/>
      <c r="E377" s="420"/>
      <c r="F377" s="420"/>
      <c r="G377" s="420"/>
      <c r="H377" s="420"/>
      <c r="I377" s="89"/>
      <c r="J377" s="89"/>
      <c r="K377" s="89"/>
      <c r="L377" s="89"/>
      <c r="M377" s="89"/>
      <c r="N377" s="89"/>
      <c r="O377" s="89"/>
      <c r="P377" s="89"/>
      <c r="Q377" s="89"/>
      <c r="R377" s="89"/>
      <c r="S377" s="89"/>
      <c r="T377" s="89"/>
      <c r="U377" s="89"/>
      <c r="V377" s="89"/>
      <c r="W377" s="89"/>
      <c r="X377" s="89"/>
      <c r="Y377" s="89"/>
      <c r="Z377" s="89"/>
      <c r="AA377" s="89"/>
      <c r="AB377" s="89"/>
      <c r="AC377" s="89"/>
      <c r="AD377" s="89"/>
      <c r="AE377" s="89"/>
    </row>
    <row r="378">
      <c r="A378" s="445"/>
      <c r="B378" s="420"/>
      <c r="C378" s="420"/>
      <c r="D378" s="420"/>
      <c r="E378" s="420"/>
      <c r="F378" s="420"/>
      <c r="G378" s="420"/>
      <c r="H378" s="420"/>
      <c r="I378" s="89"/>
      <c r="J378" s="89"/>
      <c r="K378" s="89"/>
      <c r="L378" s="89"/>
      <c r="M378" s="89"/>
      <c r="N378" s="89"/>
      <c r="O378" s="89"/>
      <c r="P378" s="89"/>
      <c r="Q378" s="89"/>
      <c r="R378" s="89"/>
      <c r="S378" s="89"/>
      <c r="T378" s="89"/>
      <c r="U378" s="89"/>
      <c r="V378" s="89"/>
      <c r="W378" s="89"/>
      <c r="X378" s="89"/>
      <c r="Y378" s="89"/>
      <c r="Z378" s="89"/>
      <c r="AA378" s="89"/>
      <c r="AB378" s="89"/>
      <c r="AC378" s="89"/>
      <c r="AD378" s="89"/>
      <c r="AE378" s="89"/>
    </row>
    <row r="379">
      <c r="A379" s="445"/>
      <c r="B379" s="420"/>
      <c r="C379" s="420"/>
      <c r="D379" s="420"/>
      <c r="E379" s="420"/>
      <c r="F379" s="420"/>
      <c r="G379" s="420"/>
      <c r="H379" s="420"/>
      <c r="I379" s="89"/>
      <c r="J379" s="89"/>
      <c r="K379" s="89"/>
      <c r="L379" s="89"/>
      <c r="M379" s="89"/>
      <c r="N379" s="89"/>
      <c r="O379" s="89"/>
      <c r="P379" s="89"/>
      <c r="Q379" s="89"/>
      <c r="R379" s="89"/>
      <c r="S379" s="89"/>
      <c r="T379" s="89"/>
      <c r="U379" s="89"/>
      <c r="V379" s="89"/>
      <c r="W379" s="89"/>
      <c r="X379" s="89"/>
      <c r="Y379" s="89"/>
      <c r="Z379" s="89"/>
      <c r="AA379" s="89"/>
      <c r="AB379" s="89"/>
      <c r="AC379" s="89"/>
      <c r="AD379" s="89"/>
      <c r="AE379" s="89"/>
    </row>
    <row r="380">
      <c r="A380" s="445"/>
      <c r="B380" s="420"/>
      <c r="C380" s="420"/>
      <c r="D380" s="420"/>
      <c r="E380" s="420"/>
      <c r="F380" s="420"/>
      <c r="G380" s="420"/>
      <c r="H380" s="420"/>
      <c r="I380" s="89"/>
      <c r="J380" s="89"/>
      <c r="K380" s="89"/>
      <c r="L380" s="89"/>
      <c r="M380" s="89"/>
      <c r="N380" s="89"/>
      <c r="O380" s="89"/>
      <c r="P380" s="89"/>
      <c r="Q380" s="89"/>
      <c r="R380" s="89"/>
      <c r="S380" s="89"/>
      <c r="T380" s="89"/>
      <c r="U380" s="89"/>
      <c r="V380" s="89"/>
      <c r="W380" s="89"/>
      <c r="X380" s="89"/>
      <c r="Y380" s="89"/>
      <c r="Z380" s="89"/>
      <c r="AA380" s="89"/>
      <c r="AB380" s="89"/>
      <c r="AC380" s="89"/>
      <c r="AD380" s="89"/>
      <c r="AE380" s="89"/>
    </row>
    <row r="381">
      <c r="A381" s="445"/>
      <c r="B381" s="420"/>
      <c r="C381" s="420"/>
      <c r="D381" s="420"/>
      <c r="E381" s="420"/>
      <c r="F381" s="420"/>
      <c r="G381" s="420"/>
      <c r="H381" s="420"/>
      <c r="I381" s="89"/>
      <c r="J381" s="89"/>
      <c r="K381" s="89"/>
      <c r="L381" s="89"/>
      <c r="M381" s="89"/>
      <c r="N381" s="89"/>
      <c r="O381" s="89"/>
      <c r="P381" s="89"/>
      <c r="Q381" s="89"/>
      <c r="R381" s="89"/>
      <c r="S381" s="89"/>
      <c r="T381" s="89"/>
      <c r="U381" s="89"/>
      <c r="V381" s="89"/>
      <c r="W381" s="89"/>
      <c r="X381" s="89"/>
      <c r="Y381" s="89"/>
      <c r="Z381" s="89"/>
      <c r="AA381" s="89"/>
      <c r="AB381" s="89"/>
      <c r="AC381" s="89"/>
      <c r="AD381" s="89"/>
      <c r="AE381" s="89"/>
    </row>
    <row r="382">
      <c r="A382" s="445"/>
      <c r="B382" s="420"/>
      <c r="C382" s="420"/>
      <c r="D382" s="420"/>
      <c r="E382" s="420"/>
      <c r="F382" s="420"/>
      <c r="G382" s="420"/>
      <c r="H382" s="420"/>
      <c r="I382" s="89"/>
      <c r="J382" s="89"/>
      <c r="K382" s="89"/>
      <c r="L382" s="89"/>
      <c r="M382" s="89"/>
      <c r="N382" s="89"/>
      <c r="O382" s="89"/>
      <c r="P382" s="89"/>
      <c r="Q382" s="89"/>
      <c r="R382" s="89"/>
      <c r="S382" s="89"/>
      <c r="T382" s="89"/>
      <c r="U382" s="89"/>
      <c r="V382" s="89"/>
      <c r="W382" s="89"/>
      <c r="X382" s="89"/>
      <c r="Y382" s="89"/>
      <c r="Z382" s="89"/>
      <c r="AA382" s="89"/>
      <c r="AB382" s="89"/>
      <c r="AC382" s="89"/>
      <c r="AD382" s="89"/>
      <c r="AE382" s="89"/>
    </row>
    <row r="383">
      <c r="A383" s="445"/>
      <c r="B383" s="420"/>
      <c r="C383" s="420"/>
      <c r="D383" s="420"/>
      <c r="E383" s="420"/>
      <c r="F383" s="420"/>
      <c r="G383" s="420"/>
      <c r="H383" s="420"/>
      <c r="I383" s="89"/>
      <c r="J383" s="89"/>
      <c r="K383" s="89"/>
      <c r="L383" s="89"/>
      <c r="M383" s="89"/>
      <c r="N383" s="89"/>
      <c r="O383" s="89"/>
      <c r="P383" s="89"/>
      <c r="Q383" s="89"/>
      <c r="R383" s="89"/>
      <c r="S383" s="89"/>
      <c r="T383" s="89"/>
      <c r="U383" s="89"/>
      <c r="V383" s="89"/>
      <c r="W383" s="89"/>
      <c r="X383" s="89"/>
      <c r="Y383" s="89"/>
      <c r="Z383" s="89"/>
      <c r="AA383" s="89"/>
      <c r="AB383" s="89"/>
      <c r="AC383" s="89"/>
      <c r="AD383" s="89"/>
      <c r="AE383" s="89"/>
    </row>
    <row r="384">
      <c r="A384" s="445"/>
      <c r="B384" s="420"/>
      <c r="C384" s="420"/>
      <c r="D384" s="420"/>
      <c r="E384" s="420"/>
      <c r="F384" s="420"/>
      <c r="G384" s="420"/>
      <c r="H384" s="420"/>
      <c r="I384" s="89"/>
      <c r="J384" s="89"/>
      <c r="K384" s="89"/>
      <c r="L384" s="89"/>
      <c r="M384" s="89"/>
      <c r="N384" s="89"/>
      <c r="O384" s="89"/>
      <c r="P384" s="89"/>
      <c r="Q384" s="89"/>
      <c r="R384" s="89"/>
      <c r="S384" s="89"/>
      <c r="T384" s="89"/>
      <c r="U384" s="89"/>
      <c r="V384" s="89"/>
      <c r="W384" s="89"/>
      <c r="X384" s="89"/>
      <c r="Y384" s="89"/>
      <c r="Z384" s="89"/>
      <c r="AA384" s="89"/>
      <c r="AB384" s="89"/>
      <c r="AC384" s="89"/>
      <c r="AD384" s="89"/>
      <c r="AE384" s="89"/>
    </row>
    <row r="385">
      <c r="A385" s="445"/>
      <c r="B385" s="420"/>
      <c r="C385" s="420"/>
      <c r="D385" s="420"/>
      <c r="E385" s="420"/>
      <c r="F385" s="420"/>
      <c r="G385" s="420"/>
      <c r="H385" s="420"/>
      <c r="I385" s="89"/>
      <c r="J385" s="89"/>
      <c r="K385" s="89"/>
      <c r="L385" s="89"/>
      <c r="M385" s="89"/>
      <c r="N385" s="89"/>
      <c r="O385" s="89"/>
      <c r="P385" s="89"/>
      <c r="Q385" s="89"/>
      <c r="R385" s="89"/>
      <c r="S385" s="89"/>
      <c r="T385" s="89"/>
      <c r="U385" s="89"/>
      <c r="V385" s="89"/>
      <c r="W385" s="89"/>
      <c r="X385" s="89"/>
      <c r="Y385" s="89"/>
      <c r="Z385" s="89"/>
      <c r="AA385" s="89"/>
      <c r="AB385" s="89"/>
      <c r="AC385" s="89"/>
      <c r="AD385" s="89"/>
      <c r="AE385" s="89"/>
    </row>
    <row r="386">
      <c r="A386" s="445"/>
      <c r="B386" s="420"/>
      <c r="C386" s="420"/>
      <c r="D386" s="420"/>
      <c r="E386" s="420"/>
      <c r="F386" s="420"/>
      <c r="G386" s="420"/>
      <c r="H386" s="420"/>
      <c r="I386" s="89"/>
      <c r="J386" s="89"/>
      <c r="K386" s="89"/>
      <c r="L386" s="89"/>
      <c r="M386" s="89"/>
      <c r="N386" s="89"/>
      <c r="O386" s="89"/>
      <c r="P386" s="89"/>
      <c r="Q386" s="89"/>
      <c r="R386" s="89"/>
      <c r="S386" s="89"/>
      <c r="T386" s="89"/>
      <c r="U386" s="89"/>
      <c r="V386" s="89"/>
      <c r="W386" s="89"/>
      <c r="X386" s="89"/>
      <c r="Y386" s="89"/>
      <c r="Z386" s="89"/>
      <c r="AA386" s="89"/>
      <c r="AB386" s="89"/>
      <c r="AC386" s="89"/>
      <c r="AD386" s="89"/>
      <c r="AE386" s="89"/>
    </row>
    <row r="387">
      <c r="A387" s="445"/>
      <c r="B387" s="420"/>
      <c r="C387" s="420"/>
      <c r="D387" s="420"/>
      <c r="E387" s="420"/>
      <c r="F387" s="420"/>
      <c r="G387" s="420"/>
      <c r="H387" s="420"/>
      <c r="I387" s="89"/>
      <c r="J387" s="89"/>
      <c r="K387" s="89"/>
      <c r="L387" s="89"/>
      <c r="M387" s="89"/>
      <c r="N387" s="89"/>
      <c r="O387" s="89"/>
      <c r="P387" s="89"/>
      <c r="Q387" s="89"/>
      <c r="R387" s="89"/>
      <c r="S387" s="89"/>
      <c r="T387" s="89"/>
      <c r="U387" s="89"/>
      <c r="V387" s="89"/>
      <c r="W387" s="89"/>
      <c r="X387" s="89"/>
      <c r="Y387" s="89"/>
      <c r="Z387" s="89"/>
      <c r="AA387" s="89"/>
      <c r="AB387" s="89"/>
      <c r="AC387" s="89"/>
      <c r="AD387" s="89"/>
      <c r="AE387" s="89"/>
    </row>
    <row r="388">
      <c r="A388" s="445"/>
      <c r="B388" s="420"/>
      <c r="C388" s="420"/>
      <c r="D388" s="420"/>
      <c r="E388" s="420"/>
      <c r="F388" s="420"/>
      <c r="G388" s="420"/>
      <c r="H388" s="420"/>
      <c r="I388" s="89"/>
      <c r="J388" s="89"/>
      <c r="K388" s="89"/>
      <c r="L388" s="89"/>
      <c r="M388" s="89"/>
      <c r="N388" s="89"/>
      <c r="O388" s="89"/>
      <c r="P388" s="89"/>
      <c r="Q388" s="89"/>
      <c r="R388" s="89"/>
      <c r="S388" s="89"/>
      <c r="T388" s="89"/>
      <c r="U388" s="89"/>
      <c r="V388" s="89"/>
      <c r="W388" s="89"/>
      <c r="X388" s="89"/>
      <c r="Y388" s="89"/>
      <c r="Z388" s="89"/>
      <c r="AA388" s="89"/>
      <c r="AB388" s="89"/>
      <c r="AC388" s="89"/>
      <c r="AD388" s="89"/>
      <c r="AE388" s="89"/>
    </row>
    <row r="389">
      <c r="A389" s="445"/>
      <c r="B389" s="420"/>
      <c r="C389" s="420"/>
      <c r="D389" s="420"/>
      <c r="E389" s="420"/>
      <c r="F389" s="420"/>
      <c r="G389" s="420"/>
      <c r="H389" s="420"/>
      <c r="I389" s="89"/>
      <c r="J389" s="89"/>
      <c r="K389" s="89"/>
      <c r="L389" s="89"/>
      <c r="M389" s="89"/>
      <c r="N389" s="89"/>
      <c r="O389" s="89"/>
      <c r="P389" s="89"/>
      <c r="Q389" s="89"/>
      <c r="R389" s="89"/>
      <c r="S389" s="89"/>
      <c r="T389" s="89"/>
      <c r="U389" s="89"/>
      <c r="V389" s="89"/>
      <c r="W389" s="89"/>
      <c r="X389" s="89"/>
      <c r="Y389" s="89"/>
      <c r="Z389" s="89"/>
      <c r="AA389" s="89"/>
      <c r="AB389" s="89"/>
      <c r="AC389" s="89"/>
      <c r="AD389" s="89"/>
      <c r="AE389" s="89"/>
    </row>
    <row r="390">
      <c r="A390" s="445"/>
      <c r="B390" s="420"/>
      <c r="C390" s="420"/>
      <c r="D390" s="420"/>
      <c r="E390" s="420"/>
      <c r="F390" s="420"/>
      <c r="G390" s="420"/>
      <c r="H390" s="420"/>
      <c r="I390" s="89"/>
      <c r="J390" s="89"/>
      <c r="K390" s="89"/>
      <c r="L390" s="89"/>
      <c r="M390" s="89"/>
      <c r="N390" s="89"/>
      <c r="O390" s="89"/>
      <c r="P390" s="89"/>
      <c r="Q390" s="89"/>
      <c r="R390" s="89"/>
      <c r="S390" s="89"/>
      <c r="T390" s="89"/>
      <c r="U390" s="89"/>
      <c r="V390" s="89"/>
      <c r="W390" s="89"/>
      <c r="X390" s="89"/>
      <c r="Y390" s="89"/>
      <c r="Z390" s="89"/>
      <c r="AA390" s="89"/>
      <c r="AB390" s="89"/>
      <c r="AC390" s="89"/>
      <c r="AD390" s="89"/>
      <c r="AE390" s="89"/>
    </row>
    <row r="391">
      <c r="A391" s="445"/>
      <c r="B391" s="420"/>
      <c r="C391" s="420"/>
      <c r="D391" s="420"/>
      <c r="E391" s="420"/>
      <c r="F391" s="420"/>
      <c r="G391" s="420"/>
      <c r="H391" s="420"/>
      <c r="I391" s="89"/>
      <c r="J391" s="89"/>
      <c r="K391" s="89"/>
      <c r="L391" s="89"/>
      <c r="M391" s="89"/>
      <c r="N391" s="89"/>
      <c r="O391" s="89"/>
      <c r="P391" s="89"/>
      <c r="Q391" s="89"/>
      <c r="R391" s="89"/>
      <c r="S391" s="89"/>
      <c r="T391" s="89"/>
      <c r="U391" s="89"/>
      <c r="V391" s="89"/>
      <c r="W391" s="89"/>
      <c r="X391" s="89"/>
      <c r="Y391" s="89"/>
      <c r="Z391" s="89"/>
      <c r="AA391" s="89"/>
      <c r="AB391" s="89"/>
      <c r="AC391" s="89"/>
      <c r="AD391" s="89"/>
      <c r="AE391" s="89"/>
    </row>
    <row r="392">
      <c r="A392" s="445"/>
      <c r="B392" s="420"/>
      <c r="C392" s="420"/>
      <c r="D392" s="420"/>
      <c r="E392" s="420"/>
      <c r="F392" s="420"/>
      <c r="G392" s="420"/>
      <c r="H392" s="420"/>
      <c r="I392" s="89"/>
      <c r="J392" s="89"/>
      <c r="K392" s="89"/>
      <c r="L392" s="89"/>
      <c r="M392" s="89"/>
      <c r="N392" s="89"/>
      <c r="O392" s="89"/>
      <c r="P392" s="89"/>
      <c r="Q392" s="89"/>
      <c r="R392" s="89"/>
      <c r="S392" s="89"/>
      <c r="T392" s="89"/>
      <c r="U392" s="89"/>
      <c r="V392" s="89"/>
      <c r="W392" s="89"/>
      <c r="X392" s="89"/>
      <c r="Y392" s="89"/>
      <c r="Z392" s="89"/>
      <c r="AA392" s="89"/>
      <c r="AB392" s="89"/>
      <c r="AC392" s="89"/>
      <c r="AD392" s="89"/>
      <c r="AE392" s="89"/>
    </row>
    <row r="393">
      <c r="A393" s="445"/>
      <c r="B393" s="420"/>
      <c r="C393" s="420"/>
      <c r="D393" s="420"/>
      <c r="E393" s="420"/>
      <c r="F393" s="420"/>
      <c r="G393" s="420"/>
      <c r="H393" s="420"/>
      <c r="I393" s="89"/>
      <c r="J393" s="89"/>
      <c r="K393" s="89"/>
      <c r="L393" s="89"/>
      <c r="M393" s="89"/>
      <c r="N393" s="89"/>
      <c r="O393" s="89"/>
      <c r="P393" s="89"/>
      <c r="Q393" s="89"/>
      <c r="R393" s="89"/>
      <c r="S393" s="89"/>
      <c r="T393" s="89"/>
      <c r="U393" s="89"/>
      <c r="V393" s="89"/>
      <c r="W393" s="89"/>
      <c r="X393" s="89"/>
      <c r="Y393" s="89"/>
      <c r="Z393" s="89"/>
      <c r="AA393" s="89"/>
      <c r="AB393" s="89"/>
      <c r="AC393" s="89"/>
      <c r="AD393" s="89"/>
      <c r="AE393" s="89"/>
    </row>
    <row r="394">
      <c r="A394" s="445"/>
      <c r="B394" s="420"/>
      <c r="C394" s="420"/>
      <c r="D394" s="420"/>
      <c r="E394" s="420"/>
      <c r="F394" s="420"/>
      <c r="G394" s="420"/>
      <c r="H394" s="420"/>
      <c r="I394" s="89"/>
      <c r="J394" s="89"/>
      <c r="K394" s="89"/>
      <c r="L394" s="89"/>
      <c r="M394" s="89"/>
      <c r="N394" s="89"/>
      <c r="O394" s="89"/>
      <c r="P394" s="89"/>
      <c r="Q394" s="89"/>
      <c r="R394" s="89"/>
      <c r="S394" s="89"/>
      <c r="T394" s="89"/>
      <c r="U394" s="89"/>
      <c r="V394" s="89"/>
      <c r="W394" s="89"/>
      <c r="X394" s="89"/>
      <c r="Y394" s="89"/>
      <c r="Z394" s="89"/>
      <c r="AA394" s="89"/>
      <c r="AB394" s="89"/>
      <c r="AC394" s="89"/>
      <c r="AD394" s="89"/>
      <c r="AE394" s="89"/>
    </row>
    <row r="395">
      <c r="A395" s="445"/>
      <c r="B395" s="420"/>
      <c r="C395" s="420"/>
      <c r="D395" s="420"/>
      <c r="E395" s="420"/>
      <c r="F395" s="420"/>
      <c r="G395" s="420"/>
      <c r="H395" s="420"/>
      <c r="I395" s="89"/>
      <c r="J395" s="89"/>
      <c r="K395" s="89"/>
      <c r="L395" s="89"/>
      <c r="M395" s="89"/>
      <c r="N395" s="89"/>
      <c r="O395" s="89"/>
      <c r="P395" s="89"/>
      <c r="Q395" s="89"/>
      <c r="R395" s="89"/>
      <c r="S395" s="89"/>
      <c r="T395" s="89"/>
      <c r="U395" s="89"/>
      <c r="V395" s="89"/>
      <c r="W395" s="89"/>
      <c r="X395" s="89"/>
      <c r="Y395" s="89"/>
      <c r="Z395" s="89"/>
      <c r="AA395" s="89"/>
      <c r="AB395" s="89"/>
      <c r="AC395" s="89"/>
      <c r="AD395" s="89"/>
      <c r="AE395" s="89"/>
    </row>
    <row r="396">
      <c r="A396" s="445"/>
      <c r="B396" s="420"/>
      <c r="C396" s="420"/>
      <c r="D396" s="420"/>
      <c r="E396" s="420"/>
      <c r="F396" s="420"/>
      <c r="G396" s="420"/>
      <c r="H396" s="420"/>
      <c r="I396" s="89"/>
      <c r="J396" s="89"/>
      <c r="K396" s="89"/>
      <c r="L396" s="89"/>
      <c r="M396" s="89"/>
      <c r="N396" s="89"/>
      <c r="O396" s="89"/>
      <c r="P396" s="89"/>
      <c r="Q396" s="89"/>
      <c r="R396" s="89"/>
      <c r="S396" s="89"/>
      <c r="T396" s="89"/>
      <c r="U396" s="89"/>
      <c r="V396" s="89"/>
      <c r="W396" s="89"/>
      <c r="X396" s="89"/>
      <c r="Y396" s="89"/>
      <c r="Z396" s="89"/>
      <c r="AA396" s="89"/>
      <c r="AB396" s="89"/>
      <c r="AC396" s="89"/>
      <c r="AD396" s="89"/>
      <c r="AE396" s="89"/>
    </row>
    <row r="397">
      <c r="A397" s="445"/>
      <c r="B397" s="420"/>
      <c r="C397" s="420"/>
      <c r="D397" s="420"/>
      <c r="E397" s="420"/>
      <c r="F397" s="420"/>
      <c r="G397" s="420"/>
      <c r="H397" s="420"/>
      <c r="I397" s="89"/>
      <c r="J397" s="89"/>
      <c r="K397" s="89"/>
      <c r="L397" s="89"/>
      <c r="M397" s="89"/>
      <c r="N397" s="89"/>
      <c r="O397" s="89"/>
      <c r="P397" s="89"/>
      <c r="Q397" s="89"/>
      <c r="R397" s="89"/>
      <c r="S397" s="89"/>
      <c r="T397" s="89"/>
      <c r="U397" s="89"/>
      <c r="V397" s="89"/>
      <c r="W397" s="89"/>
      <c r="X397" s="89"/>
      <c r="Y397" s="89"/>
      <c r="Z397" s="89"/>
      <c r="AA397" s="89"/>
      <c r="AB397" s="89"/>
      <c r="AC397" s="89"/>
      <c r="AD397" s="89"/>
      <c r="AE397" s="89"/>
    </row>
    <row r="398">
      <c r="A398" s="445"/>
      <c r="B398" s="420"/>
      <c r="C398" s="420"/>
      <c r="D398" s="420"/>
      <c r="E398" s="420"/>
      <c r="F398" s="420"/>
      <c r="G398" s="420"/>
      <c r="H398" s="420"/>
      <c r="I398" s="89"/>
      <c r="J398" s="89"/>
      <c r="K398" s="89"/>
      <c r="L398" s="89"/>
      <c r="M398" s="89"/>
      <c r="N398" s="89"/>
      <c r="O398" s="89"/>
      <c r="P398" s="89"/>
      <c r="Q398" s="89"/>
      <c r="R398" s="89"/>
      <c r="S398" s="89"/>
      <c r="T398" s="89"/>
      <c r="U398" s="89"/>
      <c r="V398" s="89"/>
      <c r="W398" s="89"/>
      <c r="X398" s="89"/>
      <c r="Y398" s="89"/>
      <c r="Z398" s="89"/>
      <c r="AA398" s="89"/>
      <c r="AB398" s="89"/>
      <c r="AC398" s="89"/>
      <c r="AD398" s="89"/>
      <c r="AE398" s="89"/>
    </row>
    <row r="399">
      <c r="A399" s="445"/>
      <c r="B399" s="420"/>
      <c r="C399" s="420"/>
      <c r="D399" s="420"/>
      <c r="E399" s="420"/>
      <c r="F399" s="420"/>
      <c r="G399" s="420"/>
      <c r="H399" s="420"/>
      <c r="I399" s="89"/>
      <c r="J399" s="89"/>
      <c r="K399" s="89"/>
      <c r="L399" s="89"/>
      <c r="M399" s="89"/>
      <c r="N399" s="89"/>
      <c r="O399" s="89"/>
      <c r="P399" s="89"/>
      <c r="Q399" s="89"/>
      <c r="R399" s="89"/>
      <c r="S399" s="89"/>
      <c r="T399" s="89"/>
      <c r="U399" s="89"/>
      <c r="V399" s="89"/>
      <c r="W399" s="89"/>
      <c r="X399" s="89"/>
      <c r="Y399" s="89"/>
      <c r="Z399" s="89"/>
      <c r="AA399" s="89"/>
      <c r="AB399" s="89"/>
      <c r="AC399" s="89"/>
      <c r="AD399" s="89"/>
      <c r="AE399" s="89"/>
    </row>
    <row r="400">
      <c r="A400" s="445"/>
      <c r="B400" s="420"/>
      <c r="C400" s="420"/>
      <c r="D400" s="420"/>
      <c r="E400" s="420"/>
      <c r="F400" s="420"/>
      <c r="G400" s="420"/>
      <c r="H400" s="420"/>
      <c r="I400" s="89"/>
      <c r="J400" s="89"/>
      <c r="K400" s="89"/>
      <c r="L400" s="89"/>
      <c r="M400" s="89"/>
      <c r="N400" s="89"/>
      <c r="O400" s="89"/>
      <c r="P400" s="89"/>
      <c r="Q400" s="89"/>
      <c r="R400" s="89"/>
      <c r="S400" s="89"/>
      <c r="T400" s="89"/>
      <c r="U400" s="89"/>
      <c r="V400" s="89"/>
      <c r="W400" s="89"/>
      <c r="X400" s="89"/>
      <c r="Y400" s="89"/>
      <c r="Z400" s="89"/>
      <c r="AA400" s="89"/>
      <c r="AB400" s="89"/>
      <c r="AC400" s="89"/>
      <c r="AD400" s="89"/>
      <c r="AE400" s="89"/>
    </row>
    <row r="401">
      <c r="A401" s="445"/>
      <c r="B401" s="420"/>
      <c r="C401" s="420"/>
      <c r="D401" s="420"/>
      <c r="E401" s="420"/>
      <c r="F401" s="420"/>
      <c r="G401" s="420"/>
      <c r="H401" s="420"/>
      <c r="I401" s="89"/>
      <c r="J401" s="89"/>
      <c r="K401" s="89"/>
      <c r="L401" s="89"/>
      <c r="M401" s="89"/>
      <c r="N401" s="89"/>
      <c r="O401" s="89"/>
      <c r="P401" s="89"/>
      <c r="Q401" s="89"/>
      <c r="R401" s="89"/>
      <c r="S401" s="89"/>
      <c r="T401" s="89"/>
      <c r="U401" s="89"/>
      <c r="V401" s="89"/>
      <c r="W401" s="89"/>
      <c r="X401" s="89"/>
      <c r="Y401" s="89"/>
      <c r="Z401" s="89"/>
      <c r="AA401" s="89"/>
      <c r="AB401" s="89"/>
      <c r="AC401" s="89"/>
      <c r="AD401" s="89"/>
      <c r="AE401" s="89"/>
    </row>
    <row r="402">
      <c r="A402" s="445"/>
      <c r="B402" s="420"/>
      <c r="C402" s="420"/>
      <c r="D402" s="420"/>
      <c r="E402" s="420"/>
      <c r="F402" s="420"/>
      <c r="G402" s="420"/>
      <c r="H402" s="420"/>
      <c r="I402" s="89"/>
      <c r="J402" s="89"/>
      <c r="K402" s="89"/>
      <c r="L402" s="89"/>
      <c r="M402" s="89"/>
      <c r="N402" s="89"/>
      <c r="O402" s="89"/>
      <c r="P402" s="89"/>
      <c r="Q402" s="89"/>
      <c r="R402" s="89"/>
      <c r="S402" s="89"/>
      <c r="T402" s="89"/>
      <c r="U402" s="89"/>
      <c r="V402" s="89"/>
      <c r="W402" s="89"/>
      <c r="X402" s="89"/>
      <c r="Y402" s="89"/>
      <c r="Z402" s="89"/>
      <c r="AA402" s="89"/>
      <c r="AB402" s="89"/>
      <c r="AC402" s="89"/>
      <c r="AD402" s="89"/>
      <c r="AE402" s="89"/>
    </row>
    <row r="403">
      <c r="A403" s="445"/>
      <c r="B403" s="420"/>
      <c r="C403" s="420"/>
      <c r="D403" s="420"/>
      <c r="E403" s="420"/>
      <c r="F403" s="420"/>
      <c r="G403" s="420"/>
      <c r="H403" s="420"/>
      <c r="I403" s="89"/>
      <c r="J403" s="89"/>
      <c r="K403" s="89"/>
      <c r="L403" s="89"/>
      <c r="M403" s="89"/>
      <c r="N403" s="89"/>
      <c r="O403" s="89"/>
      <c r="P403" s="89"/>
      <c r="Q403" s="89"/>
      <c r="R403" s="89"/>
      <c r="S403" s="89"/>
      <c r="T403" s="89"/>
      <c r="U403" s="89"/>
      <c r="V403" s="89"/>
      <c r="W403" s="89"/>
      <c r="X403" s="89"/>
      <c r="Y403" s="89"/>
      <c r="Z403" s="89"/>
      <c r="AA403" s="89"/>
      <c r="AB403" s="89"/>
      <c r="AC403" s="89"/>
      <c r="AD403" s="89"/>
      <c r="AE403" s="89"/>
    </row>
    <row r="404">
      <c r="A404" s="445"/>
      <c r="B404" s="420"/>
      <c r="C404" s="420"/>
      <c r="D404" s="420"/>
      <c r="E404" s="420"/>
      <c r="F404" s="420"/>
      <c r="G404" s="420"/>
      <c r="H404" s="420"/>
      <c r="I404" s="89"/>
      <c r="J404" s="89"/>
      <c r="K404" s="89"/>
      <c r="L404" s="89"/>
      <c r="M404" s="89"/>
      <c r="N404" s="89"/>
      <c r="O404" s="89"/>
      <c r="P404" s="89"/>
      <c r="Q404" s="89"/>
      <c r="R404" s="89"/>
      <c r="S404" s="89"/>
      <c r="T404" s="89"/>
      <c r="U404" s="89"/>
      <c r="V404" s="89"/>
      <c r="W404" s="89"/>
      <c r="X404" s="89"/>
      <c r="Y404" s="89"/>
      <c r="Z404" s="89"/>
      <c r="AA404" s="89"/>
      <c r="AB404" s="89"/>
      <c r="AC404" s="89"/>
      <c r="AD404" s="89"/>
      <c r="AE404" s="89"/>
    </row>
    <row r="405">
      <c r="A405" s="445"/>
      <c r="B405" s="420"/>
      <c r="C405" s="420"/>
      <c r="D405" s="420"/>
      <c r="E405" s="420"/>
      <c r="F405" s="420"/>
      <c r="G405" s="420"/>
      <c r="H405" s="420"/>
      <c r="I405" s="89"/>
      <c r="J405" s="89"/>
      <c r="K405" s="89"/>
      <c r="L405" s="89"/>
      <c r="M405" s="89"/>
      <c r="N405" s="89"/>
      <c r="O405" s="89"/>
      <c r="P405" s="89"/>
      <c r="Q405" s="89"/>
      <c r="R405" s="89"/>
      <c r="S405" s="89"/>
      <c r="T405" s="89"/>
      <c r="U405" s="89"/>
      <c r="V405" s="89"/>
      <c r="W405" s="89"/>
      <c r="X405" s="89"/>
      <c r="Y405" s="89"/>
      <c r="Z405" s="89"/>
      <c r="AA405" s="89"/>
      <c r="AB405" s="89"/>
      <c r="AC405" s="89"/>
      <c r="AD405" s="89"/>
      <c r="AE405" s="89"/>
    </row>
    <row r="406">
      <c r="A406" s="445"/>
      <c r="B406" s="420"/>
      <c r="C406" s="420"/>
      <c r="D406" s="420"/>
      <c r="E406" s="420"/>
      <c r="F406" s="420"/>
      <c r="G406" s="420"/>
      <c r="H406" s="420"/>
      <c r="I406" s="89"/>
      <c r="J406" s="89"/>
      <c r="K406" s="89"/>
      <c r="L406" s="89"/>
      <c r="M406" s="89"/>
      <c r="N406" s="89"/>
      <c r="O406" s="89"/>
      <c r="P406" s="89"/>
      <c r="Q406" s="89"/>
      <c r="R406" s="89"/>
      <c r="S406" s="89"/>
      <c r="T406" s="89"/>
      <c r="U406" s="89"/>
      <c r="V406" s="89"/>
      <c r="W406" s="89"/>
      <c r="X406" s="89"/>
      <c r="Y406" s="89"/>
      <c r="Z406" s="89"/>
      <c r="AA406" s="89"/>
      <c r="AB406" s="89"/>
      <c r="AC406" s="89"/>
      <c r="AD406" s="89"/>
      <c r="AE406" s="89"/>
    </row>
    <row r="407">
      <c r="A407" s="445"/>
      <c r="B407" s="420"/>
      <c r="C407" s="420"/>
      <c r="D407" s="420"/>
      <c r="E407" s="420"/>
      <c r="F407" s="420"/>
      <c r="G407" s="420"/>
      <c r="H407" s="420"/>
      <c r="I407" s="89"/>
      <c r="J407" s="89"/>
      <c r="K407" s="89"/>
      <c r="L407" s="89"/>
      <c r="M407" s="89"/>
      <c r="N407" s="89"/>
      <c r="O407" s="89"/>
      <c r="P407" s="89"/>
      <c r="Q407" s="89"/>
      <c r="R407" s="89"/>
      <c r="S407" s="89"/>
      <c r="T407" s="89"/>
      <c r="U407" s="89"/>
      <c r="V407" s="89"/>
      <c r="W407" s="89"/>
      <c r="X407" s="89"/>
      <c r="Y407" s="89"/>
      <c r="Z407" s="89"/>
      <c r="AA407" s="89"/>
      <c r="AB407" s="89"/>
      <c r="AC407" s="89"/>
      <c r="AD407" s="89"/>
      <c r="AE407" s="89"/>
    </row>
    <row r="408">
      <c r="A408" s="445"/>
      <c r="B408" s="420"/>
      <c r="C408" s="420"/>
      <c r="D408" s="420"/>
      <c r="E408" s="420"/>
      <c r="F408" s="420"/>
      <c r="G408" s="420"/>
      <c r="H408" s="420"/>
      <c r="I408" s="89"/>
      <c r="J408" s="89"/>
      <c r="K408" s="89"/>
      <c r="L408" s="89"/>
      <c r="M408" s="89"/>
      <c r="N408" s="89"/>
      <c r="O408" s="89"/>
      <c r="P408" s="89"/>
      <c r="Q408" s="89"/>
      <c r="R408" s="89"/>
      <c r="S408" s="89"/>
      <c r="T408" s="89"/>
      <c r="U408" s="89"/>
      <c r="V408" s="89"/>
      <c r="W408" s="89"/>
      <c r="X408" s="89"/>
      <c r="Y408" s="89"/>
      <c r="Z408" s="89"/>
      <c r="AA408" s="89"/>
      <c r="AB408" s="89"/>
      <c r="AC408" s="89"/>
      <c r="AD408" s="89"/>
      <c r="AE408" s="89"/>
    </row>
    <row r="409">
      <c r="A409" s="445"/>
      <c r="B409" s="420"/>
      <c r="C409" s="420"/>
      <c r="D409" s="420"/>
      <c r="E409" s="420"/>
      <c r="F409" s="420"/>
      <c r="G409" s="420"/>
      <c r="H409" s="420"/>
      <c r="I409" s="89"/>
      <c r="J409" s="89"/>
      <c r="K409" s="89"/>
      <c r="L409" s="89"/>
      <c r="M409" s="89"/>
      <c r="N409" s="89"/>
      <c r="O409" s="89"/>
      <c r="P409" s="89"/>
      <c r="Q409" s="89"/>
      <c r="R409" s="89"/>
      <c r="S409" s="89"/>
      <c r="T409" s="89"/>
      <c r="U409" s="89"/>
      <c r="V409" s="89"/>
      <c r="W409" s="89"/>
      <c r="X409" s="89"/>
      <c r="Y409" s="89"/>
      <c r="Z409" s="89"/>
      <c r="AA409" s="89"/>
      <c r="AB409" s="89"/>
      <c r="AC409" s="89"/>
      <c r="AD409" s="89"/>
      <c r="AE409" s="89"/>
    </row>
    <row r="410">
      <c r="A410" s="445"/>
      <c r="B410" s="420"/>
      <c r="C410" s="420"/>
      <c r="D410" s="420"/>
      <c r="E410" s="420"/>
      <c r="F410" s="420"/>
      <c r="G410" s="420"/>
      <c r="H410" s="420"/>
      <c r="I410" s="89"/>
      <c r="J410" s="89"/>
      <c r="K410" s="89"/>
      <c r="L410" s="89"/>
      <c r="M410" s="89"/>
      <c r="N410" s="89"/>
      <c r="O410" s="89"/>
      <c r="P410" s="89"/>
      <c r="Q410" s="89"/>
      <c r="R410" s="89"/>
      <c r="S410" s="89"/>
      <c r="T410" s="89"/>
      <c r="U410" s="89"/>
      <c r="V410" s="89"/>
      <c r="W410" s="89"/>
      <c r="X410" s="89"/>
      <c r="Y410" s="89"/>
      <c r="Z410" s="89"/>
      <c r="AA410" s="89"/>
      <c r="AB410" s="89"/>
      <c r="AC410" s="89"/>
      <c r="AD410" s="89"/>
      <c r="AE410" s="89"/>
    </row>
    <row r="411">
      <c r="A411" s="445"/>
      <c r="B411" s="420"/>
      <c r="C411" s="420"/>
      <c r="D411" s="420"/>
      <c r="E411" s="420"/>
      <c r="F411" s="420"/>
      <c r="G411" s="420"/>
      <c r="H411" s="420"/>
      <c r="I411" s="89"/>
      <c r="J411" s="89"/>
      <c r="K411" s="89"/>
      <c r="L411" s="89"/>
      <c r="M411" s="89"/>
      <c r="N411" s="89"/>
      <c r="O411" s="89"/>
      <c r="P411" s="89"/>
      <c r="Q411" s="89"/>
      <c r="R411" s="89"/>
      <c r="S411" s="89"/>
      <c r="T411" s="89"/>
      <c r="U411" s="89"/>
      <c r="V411" s="89"/>
      <c r="W411" s="89"/>
      <c r="X411" s="89"/>
      <c r="Y411" s="89"/>
      <c r="Z411" s="89"/>
      <c r="AA411" s="89"/>
      <c r="AB411" s="89"/>
      <c r="AC411" s="89"/>
      <c r="AD411" s="89"/>
      <c r="AE411" s="89"/>
    </row>
    <row r="412">
      <c r="A412" s="445"/>
      <c r="B412" s="420"/>
      <c r="C412" s="420"/>
      <c r="D412" s="420"/>
      <c r="E412" s="420"/>
      <c r="F412" s="420"/>
      <c r="G412" s="420"/>
      <c r="H412" s="420"/>
      <c r="I412" s="89"/>
      <c r="J412" s="89"/>
      <c r="K412" s="89"/>
      <c r="L412" s="89"/>
      <c r="M412" s="89"/>
      <c r="N412" s="89"/>
      <c r="O412" s="89"/>
      <c r="P412" s="89"/>
      <c r="Q412" s="89"/>
      <c r="R412" s="89"/>
      <c r="S412" s="89"/>
      <c r="T412" s="89"/>
      <c r="U412" s="89"/>
      <c r="V412" s="89"/>
      <c r="W412" s="89"/>
      <c r="X412" s="89"/>
      <c r="Y412" s="89"/>
      <c r="Z412" s="89"/>
      <c r="AA412" s="89"/>
      <c r="AB412" s="89"/>
      <c r="AC412" s="89"/>
      <c r="AD412" s="89"/>
      <c r="AE412" s="89"/>
    </row>
    <row r="413">
      <c r="A413" s="445"/>
      <c r="B413" s="420"/>
      <c r="C413" s="420"/>
      <c r="D413" s="420"/>
      <c r="E413" s="420"/>
      <c r="F413" s="420"/>
      <c r="G413" s="420"/>
      <c r="H413" s="420"/>
      <c r="I413" s="89"/>
      <c r="J413" s="89"/>
      <c r="K413" s="89"/>
      <c r="L413" s="89"/>
      <c r="M413" s="89"/>
      <c r="N413" s="89"/>
      <c r="O413" s="89"/>
      <c r="P413" s="89"/>
      <c r="Q413" s="89"/>
      <c r="R413" s="89"/>
      <c r="S413" s="89"/>
      <c r="T413" s="89"/>
      <c r="U413" s="89"/>
      <c r="V413" s="89"/>
      <c r="W413" s="89"/>
      <c r="X413" s="89"/>
      <c r="Y413" s="89"/>
      <c r="Z413" s="89"/>
      <c r="AA413" s="89"/>
      <c r="AB413" s="89"/>
      <c r="AC413" s="89"/>
      <c r="AD413" s="89"/>
      <c r="AE413" s="89"/>
    </row>
    <row r="414">
      <c r="A414" s="445"/>
      <c r="B414" s="420"/>
      <c r="C414" s="420"/>
      <c r="D414" s="420"/>
      <c r="E414" s="420"/>
      <c r="F414" s="420"/>
      <c r="G414" s="420"/>
      <c r="H414" s="420"/>
      <c r="I414" s="89"/>
      <c r="J414" s="89"/>
      <c r="K414" s="89"/>
      <c r="L414" s="89"/>
      <c r="M414" s="89"/>
      <c r="N414" s="89"/>
      <c r="O414" s="89"/>
      <c r="P414" s="89"/>
      <c r="Q414" s="89"/>
      <c r="R414" s="89"/>
      <c r="S414" s="89"/>
      <c r="T414" s="89"/>
      <c r="U414" s="89"/>
      <c r="V414" s="89"/>
      <c r="W414" s="89"/>
      <c r="X414" s="89"/>
      <c r="Y414" s="89"/>
      <c r="Z414" s="89"/>
      <c r="AA414" s="89"/>
      <c r="AB414" s="89"/>
      <c r="AC414" s="89"/>
      <c r="AD414" s="89"/>
      <c r="AE414" s="89"/>
    </row>
    <row r="415">
      <c r="A415" s="445"/>
      <c r="B415" s="420"/>
      <c r="C415" s="420"/>
      <c r="D415" s="420"/>
      <c r="E415" s="420"/>
      <c r="F415" s="420"/>
      <c r="G415" s="420"/>
      <c r="H415" s="420"/>
      <c r="I415" s="89"/>
      <c r="J415" s="89"/>
      <c r="K415" s="89"/>
      <c r="L415" s="89"/>
      <c r="M415" s="89"/>
      <c r="N415" s="89"/>
      <c r="O415" s="89"/>
      <c r="P415" s="89"/>
      <c r="Q415" s="89"/>
      <c r="R415" s="89"/>
      <c r="S415" s="89"/>
      <c r="T415" s="89"/>
      <c r="U415" s="89"/>
      <c r="V415" s="89"/>
      <c r="W415" s="89"/>
      <c r="X415" s="89"/>
      <c r="Y415" s="89"/>
      <c r="Z415" s="89"/>
      <c r="AA415" s="89"/>
      <c r="AB415" s="89"/>
      <c r="AC415" s="89"/>
      <c r="AD415" s="89"/>
      <c r="AE415" s="89"/>
    </row>
    <row r="416">
      <c r="A416" s="445"/>
      <c r="B416" s="420"/>
      <c r="C416" s="420"/>
      <c r="D416" s="420"/>
      <c r="E416" s="420"/>
      <c r="F416" s="420"/>
      <c r="G416" s="420"/>
      <c r="H416" s="420"/>
      <c r="I416" s="89"/>
      <c r="J416" s="89"/>
      <c r="K416" s="89"/>
      <c r="L416" s="89"/>
      <c r="M416" s="89"/>
      <c r="N416" s="89"/>
      <c r="O416" s="89"/>
      <c r="P416" s="89"/>
      <c r="Q416" s="89"/>
      <c r="R416" s="89"/>
      <c r="S416" s="89"/>
      <c r="T416" s="89"/>
      <c r="U416" s="89"/>
      <c r="V416" s="89"/>
      <c r="W416" s="89"/>
      <c r="X416" s="89"/>
      <c r="Y416" s="89"/>
      <c r="Z416" s="89"/>
      <c r="AA416" s="89"/>
      <c r="AB416" s="89"/>
      <c r="AC416" s="89"/>
      <c r="AD416" s="89"/>
      <c r="AE416" s="89"/>
    </row>
    <row r="417">
      <c r="A417" s="445"/>
      <c r="B417" s="420"/>
      <c r="C417" s="420"/>
      <c r="D417" s="420"/>
      <c r="E417" s="420"/>
      <c r="F417" s="420"/>
      <c r="G417" s="420"/>
      <c r="H417" s="420"/>
      <c r="I417" s="89"/>
      <c r="J417" s="89"/>
      <c r="K417" s="89"/>
      <c r="L417" s="89"/>
      <c r="M417" s="89"/>
      <c r="N417" s="89"/>
      <c r="O417" s="89"/>
      <c r="P417" s="89"/>
      <c r="Q417" s="89"/>
      <c r="R417" s="89"/>
      <c r="S417" s="89"/>
      <c r="T417" s="89"/>
      <c r="U417" s="89"/>
      <c r="V417" s="89"/>
      <c r="W417" s="89"/>
      <c r="X417" s="89"/>
      <c r="Y417" s="89"/>
      <c r="Z417" s="89"/>
      <c r="AA417" s="89"/>
      <c r="AB417" s="89"/>
      <c r="AC417" s="89"/>
      <c r="AD417" s="89"/>
      <c r="AE417" s="89"/>
    </row>
    <row r="418">
      <c r="A418" s="445"/>
      <c r="B418" s="420"/>
      <c r="C418" s="420"/>
      <c r="D418" s="420"/>
      <c r="E418" s="420"/>
      <c r="F418" s="420"/>
      <c r="G418" s="420"/>
      <c r="H418" s="420"/>
      <c r="I418" s="89"/>
      <c r="J418" s="89"/>
      <c r="K418" s="89"/>
      <c r="L418" s="89"/>
      <c r="M418" s="89"/>
      <c r="N418" s="89"/>
      <c r="O418" s="89"/>
      <c r="P418" s="89"/>
      <c r="Q418" s="89"/>
      <c r="R418" s="89"/>
      <c r="S418" s="89"/>
      <c r="T418" s="89"/>
      <c r="U418" s="89"/>
      <c r="V418" s="89"/>
      <c r="W418" s="89"/>
      <c r="X418" s="89"/>
      <c r="Y418" s="89"/>
      <c r="Z418" s="89"/>
      <c r="AA418" s="89"/>
      <c r="AB418" s="89"/>
      <c r="AC418" s="89"/>
      <c r="AD418" s="89"/>
      <c r="AE418" s="89"/>
    </row>
    <row r="419">
      <c r="A419" s="445"/>
      <c r="B419" s="420"/>
      <c r="C419" s="420"/>
      <c r="D419" s="420"/>
      <c r="E419" s="420"/>
      <c r="F419" s="420"/>
      <c r="G419" s="420"/>
      <c r="H419" s="420"/>
      <c r="I419" s="89"/>
      <c r="J419" s="89"/>
      <c r="K419" s="89"/>
      <c r="L419" s="89"/>
      <c r="M419" s="89"/>
      <c r="N419" s="89"/>
      <c r="O419" s="89"/>
      <c r="P419" s="89"/>
      <c r="Q419" s="89"/>
      <c r="R419" s="89"/>
      <c r="S419" s="89"/>
      <c r="T419" s="89"/>
      <c r="U419" s="89"/>
      <c r="V419" s="89"/>
      <c r="W419" s="89"/>
      <c r="X419" s="89"/>
      <c r="Y419" s="89"/>
      <c r="Z419" s="89"/>
      <c r="AA419" s="89"/>
      <c r="AB419" s="89"/>
      <c r="AC419" s="89"/>
      <c r="AD419" s="89"/>
      <c r="AE419" s="89"/>
    </row>
    <row r="420">
      <c r="A420" s="445"/>
      <c r="B420" s="420"/>
      <c r="C420" s="420"/>
      <c r="D420" s="420"/>
      <c r="E420" s="420"/>
      <c r="F420" s="420"/>
      <c r="G420" s="420"/>
      <c r="H420" s="420"/>
      <c r="I420" s="89"/>
      <c r="J420" s="89"/>
      <c r="K420" s="89"/>
      <c r="L420" s="89"/>
      <c r="M420" s="89"/>
      <c r="N420" s="89"/>
      <c r="O420" s="89"/>
      <c r="P420" s="89"/>
      <c r="Q420" s="89"/>
      <c r="R420" s="89"/>
      <c r="S420" s="89"/>
      <c r="T420" s="89"/>
      <c r="U420" s="89"/>
      <c r="V420" s="89"/>
      <c r="W420" s="89"/>
      <c r="X420" s="89"/>
      <c r="Y420" s="89"/>
      <c r="Z420" s="89"/>
      <c r="AA420" s="89"/>
      <c r="AB420" s="89"/>
      <c r="AC420" s="89"/>
      <c r="AD420" s="89"/>
      <c r="AE420" s="89"/>
    </row>
    <row r="421">
      <c r="A421" s="445"/>
      <c r="B421" s="420"/>
      <c r="C421" s="420"/>
      <c r="D421" s="420"/>
      <c r="E421" s="420"/>
      <c r="F421" s="420"/>
      <c r="G421" s="420"/>
      <c r="H421" s="420"/>
      <c r="I421" s="89"/>
      <c r="J421" s="89"/>
      <c r="K421" s="89"/>
      <c r="L421" s="89"/>
      <c r="M421" s="89"/>
      <c r="N421" s="89"/>
      <c r="O421" s="89"/>
      <c r="P421" s="89"/>
      <c r="Q421" s="89"/>
      <c r="R421" s="89"/>
      <c r="S421" s="89"/>
      <c r="T421" s="89"/>
      <c r="U421" s="89"/>
      <c r="V421" s="89"/>
      <c r="W421" s="89"/>
      <c r="X421" s="89"/>
      <c r="Y421" s="89"/>
      <c r="Z421" s="89"/>
      <c r="AA421" s="89"/>
      <c r="AB421" s="89"/>
      <c r="AC421" s="89"/>
      <c r="AD421" s="89"/>
      <c r="AE421" s="89"/>
    </row>
    <row r="422">
      <c r="A422" s="445"/>
      <c r="B422" s="420"/>
      <c r="C422" s="420"/>
      <c r="D422" s="420"/>
      <c r="E422" s="420"/>
      <c r="F422" s="420"/>
      <c r="G422" s="420"/>
      <c r="H422" s="420"/>
      <c r="I422" s="89"/>
      <c r="J422" s="89"/>
      <c r="K422" s="89"/>
      <c r="L422" s="89"/>
      <c r="M422" s="89"/>
      <c r="N422" s="89"/>
      <c r="O422" s="89"/>
      <c r="P422" s="89"/>
      <c r="Q422" s="89"/>
      <c r="R422" s="89"/>
      <c r="S422" s="89"/>
      <c r="T422" s="89"/>
      <c r="U422" s="89"/>
      <c r="V422" s="89"/>
      <c r="W422" s="89"/>
      <c r="X422" s="89"/>
      <c r="Y422" s="89"/>
      <c r="Z422" s="89"/>
      <c r="AA422" s="89"/>
      <c r="AB422" s="89"/>
      <c r="AC422" s="89"/>
      <c r="AD422" s="89"/>
      <c r="AE422" s="89"/>
    </row>
    <row r="423">
      <c r="A423" s="445"/>
      <c r="B423" s="420"/>
      <c r="C423" s="420"/>
      <c r="D423" s="420"/>
      <c r="E423" s="420"/>
      <c r="F423" s="420"/>
      <c r="G423" s="420"/>
      <c r="H423" s="420"/>
      <c r="I423" s="89"/>
      <c r="J423" s="89"/>
      <c r="K423" s="89"/>
      <c r="L423" s="89"/>
      <c r="M423" s="89"/>
      <c r="N423" s="89"/>
      <c r="O423" s="89"/>
      <c r="P423" s="89"/>
      <c r="Q423" s="89"/>
      <c r="R423" s="89"/>
      <c r="S423" s="89"/>
      <c r="T423" s="89"/>
      <c r="U423" s="89"/>
      <c r="V423" s="89"/>
      <c r="W423" s="89"/>
      <c r="X423" s="89"/>
      <c r="Y423" s="89"/>
      <c r="Z423" s="89"/>
      <c r="AA423" s="89"/>
      <c r="AB423" s="89"/>
      <c r="AC423" s="89"/>
      <c r="AD423" s="89"/>
      <c r="AE423" s="89"/>
    </row>
    <row r="424">
      <c r="A424" s="445"/>
      <c r="B424" s="420"/>
      <c r="C424" s="420"/>
      <c r="D424" s="420"/>
      <c r="E424" s="420"/>
      <c r="F424" s="420"/>
      <c r="G424" s="420"/>
      <c r="H424" s="420"/>
      <c r="I424" s="89"/>
      <c r="J424" s="89"/>
      <c r="K424" s="89"/>
      <c r="L424" s="89"/>
      <c r="M424" s="89"/>
      <c r="N424" s="89"/>
      <c r="O424" s="89"/>
      <c r="P424" s="89"/>
      <c r="Q424" s="89"/>
      <c r="R424" s="89"/>
      <c r="S424" s="89"/>
      <c r="T424" s="89"/>
      <c r="U424" s="89"/>
      <c r="V424" s="89"/>
      <c r="W424" s="89"/>
      <c r="X424" s="89"/>
      <c r="Y424" s="89"/>
      <c r="Z424" s="89"/>
      <c r="AA424" s="89"/>
      <c r="AB424" s="89"/>
      <c r="AC424" s="89"/>
      <c r="AD424" s="89"/>
      <c r="AE424" s="89"/>
    </row>
    <row r="425">
      <c r="A425" s="445"/>
      <c r="B425" s="420"/>
      <c r="C425" s="420"/>
      <c r="D425" s="420"/>
      <c r="E425" s="420"/>
      <c r="F425" s="420"/>
      <c r="G425" s="420"/>
      <c r="H425" s="420"/>
      <c r="I425" s="89"/>
      <c r="J425" s="89"/>
      <c r="K425" s="89"/>
      <c r="L425" s="89"/>
      <c r="M425" s="89"/>
      <c r="N425" s="89"/>
      <c r="O425" s="89"/>
      <c r="P425" s="89"/>
      <c r="Q425" s="89"/>
      <c r="R425" s="89"/>
      <c r="S425" s="89"/>
      <c r="T425" s="89"/>
      <c r="U425" s="89"/>
      <c r="V425" s="89"/>
      <c r="W425" s="89"/>
      <c r="X425" s="89"/>
      <c r="Y425" s="89"/>
      <c r="Z425" s="89"/>
      <c r="AA425" s="89"/>
      <c r="AB425" s="89"/>
      <c r="AC425" s="89"/>
      <c r="AD425" s="89"/>
      <c r="AE425" s="89"/>
    </row>
    <row r="426">
      <c r="A426" s="445"/>
      <c r="B426" s="420"/>
      <c r="C426" s="420"/>
      <c r="D426" s="420"/>
      <c r="E426" s="420"/>
      <c r="F426" s="420"/>
      <c r="G426" s="420"/>
      <c r="H426" s="420"/>
      <c r="I426" s="89"/>
      <c r="J426" s="89"/>
      <c r="K426" s="89"/>
      <c r="L426" s="89"/>
      <c r="M426" s="89"/>
      <c r="N426" s="89"/>
      <c r="O426" s="89"/>
      <c r="P426" s="89"/>
      <c r="Q426" s="89"/>
      <c r="R426" s="89"/>
      <c r="S426" s="89"/>
      <c r="T426" s="89"/>
      <c r="U426" s="89"/>
      <c r="V426" s="89"/>
      <c r="W426" s="89"/>
      <c r="X426" s="89"/>
      <c r="Y426" s="89"/>
      <c r="Z426" s="89"/>
      <c r="AA426" s="89"/>
      <c r="AB426" s="89"/>
      <c r="AC426" s="89"/>
      <c r="AD426" s="89"/>
      <c r="AE426" s="89"/>
    </row>
    <row r="427">
      <c r="A427" s="445"/>
      <c r="B427" s="420"/>
      <c r="C427" s="420"/>
      <c r="D427" s="420"/>
      <c r="E427" s="420"/>
      <c r="F427" s="420"/>
      <c r="G427" s="420"/>
      <c r="H427" s="420"/>
      <c r="I427" s="89"/>
      <c r="J427" s="89"/>
      <c r="K427" s="89"/>
      <c r="L427" s="89"/>
      <c r="M427" s="89"/>
      <c r="N427" s="89"/>
      <c r="O427" s="89"/>
      <c r="P427" s="89"/>
      <c r="Q427" s="89"/>
      <c r="R427" s="89"/>
      <c r="S427" s="89"/>
      <c r="T427" s="89"/>
      <c r="U427" s="89"/>
      <c r="V427" s="89"/>
      <c r="W427" s="89"/>
      <c r="X427" s="89"/>
      <c r="Y427" s="89"/>
      <c r="Z427" s="89"/>
      <c r="AA427" s="89"/>
      <c r="AB427" s="89"/>
      <c r="AC427" s="89"/>
      <c r="AD427" s="89"/>
      <c r="AE427" s="89"/>
    </row>
    <row r="428">
      <c r="A428" s="445"/>
      <c r="B428" s="420"/>
      <c r="C428" s="420"/>
      <c r="D428" s="420"/>
      <c r="E428" s="420"/>
      <c r="F428" s="420"/>
      <c r="G428" s="420"/>
      <c r="H428" s="420"/>
      <c r="I428" s="89"/>
      <c r="J428" s="89"/>
      <c r="K428" s="89"/>
      <c r="L428" s="89"/>
      <c r="M428" s="89"/>
      <c r="N428" s="89"/>
      <c r="O428" s="89"/>
      <c r="P428" s="89"/>
      <c r="Q428" s="89"/>
      <c r="R428" s="89"/>
      <c r="S428" s="89"/>
      <c r="T428" s="89"/>
      <c r="U428" s="89"/>
      <c r="V428" s="89"/>
      <c r="W428" s="89"/>
      <c r="X428" s="89"/>
      <c r="Y428" s="89"/>
      <c r="Z428" s="89"/>
      <c r="AA428" s="89"/>
      <c r="AB428" s="89"/>
      <c r="AC428" s="89"/>
      <c r="AD428" s="89"/>
      <c r="AE428" s="89"/>
    </row>
    <row r="429">
      <c r="A429" s="445"/>
      <c r="B429" s="420"/>
      <c r="C429" s="420"/>
      <c r="D429" s="420"/>
      <c r="E429" s="420"/>
      <c r="F429" s="420"/>
      <c r="G429" s="420"/>
      <c r="H429" s="420"/>
      <c r="I429" s="89"/>
      <c r="J429" s="89"/>
      <c r="K429" s="89"/>
      <c r="L429" s="89"/>
      <c r="M429" s="89"/>
      <c r="N429" s="89"/>
      <c r="O429" s="89"/>
      <c r="P429" s="89"/>
      <c r="Q429" s="89"/>
      <c r="R429" s="89"/>
      <c r="S429" s="89"/>
      <c r="T429" s="89"/>
      <c r="U429" s="89"/>
      <c r="V429" s="89"/>
      <c r="W429" s="89"/>
      <c r="X429" s="89"/>
      <c r="Y429" s="89"/>
      <c r="Z429" s="89"/>
      <c r="AA429" s="89"/>
      <c r="AB429" s="89"/>
      <c r="AC429" s="89"/>
      <c r="AD429" s="89"/>
      <c r="AE429" s="89"/>
    </row>
    <row r="430">
      <c r="A430" s="445"/>
      <c r="B430" s="420"/>
      <c r="C430" s="420"/>
      <c r="D430" s="420"/>
      <c r="E430" s="420"/>
      <c r="F430" s="420"/>
      <c r="G430" s="420"/>
      <c r="H430" s="420"/>
      <c r="I430" s="89"/>
      <c r="J430" s="89"/>
      <c r="K430" s="89"/>
      <c r="L430" s="89"/>
      <c r="M430" s="89"/>
      <c r="N430" s="89"/>
      <c r="O430" s="89"/>
      <c r="P430" s="89"/>
      <c r="Q430" s="89"/>
      <c r="R430" s="89"/>
      <c r="S430" s="89"/>
      <c r="T430" s="89"/>
      <c r="U430" s="89"/>
      <c r="V430" s="89"/>
      <c r="W430" s="89"/>
      <c r="X430" s="89"/>
      <c r="Y430" s="89"/>
      <c r="Z430" s="89"/>
      <c r="AA430" s="89"/>
      <c r="AB430" s="89"/>
      <c r="AC430" s="89"/>
      <c r="AD430" s="89"/>
      <c r="AE430" s="89"/>
    </row>
    <row r="431">
      <c r="A431" s="445"/>
      <c r="B431" s="420"/>
      <c r="C431" s="420"/>
      <c r="D431" s="420"/>
      <c r="E431" s="420"/>
      <c r="F431" s="420"/>
      <c r="G431" s="420"/>
      <c r="H431" s="420"/>
      <c r="I431" s="89"/>
      <c r="J431" s="89"/>
      <c r="K431" s="89"/>
      <c r="L431" s="89"/>
      <c r="M431" s="89"/>
      <c r="N431" s="89"/>
      <c r="O431" s="89"/>
      <c r="P431" s="89"/>
      <c r="Q431" s="89"/>
      <c r="R431" s="89"/>
      <c r="S431" s="89"/>
      <c r="T431" s="89"/>
      <c r="U431" s="89"/>
      <c r="V431" s="89"/>
      <c r="W431" s="89"/>
      <c r="X431" s="89"/>
      <c r="Y431" s="89"/>
      <c r="Z431" s="89"/>
      <c r="AA431" s="89"/>
      <c r="AB431" s="89"/>
      <c r="AC431" s="89"/>
      <c r="AD431" s="89"/>
      <c r="AE431" s="89"/>
    </row>
    <row r="432">
      <c r="A432" s="445"/>
      <c r="B432" s="420"/>
      <c r="C432" s="420"/>
      <c r="D432" s="420"/>
      <c r="E432" s="420"/>
      <c r="F432" s="420"/>
      <c r="G432" s="420"/>
      <c r="H432" s="420"/>
      <c r="I432" s="89"/>
      <c r="J432" s="89"/>
      <c r="K432" s="89"/>
      <c r="L432" s="89"/>
      <c r="M432" s="89"/>
      <c r="N432" s="89"/>
      <c r="O432" s="89"/>
      <c r="P432" s="89"/>
      <c r="Q432" s="89"/>
      <c r="R432" s="89"/>
      <c r="S432" s="89"/>
      <c r="T432" s="89"/>
      <c r="U432" s="89"/>
      <c r="V432" s="89"/>
      <c r="W432" s="89"/>
      <c r="X432" s="89"/>
      <c r="Y432" s="89"/>
      <c r="Z432" s="89"/>
      <c r="AA432" s="89"/>
      <c r="AB432" s="89"/>
      <c r="AC432" s="89"/>
      <c r="AD432" s="89"/>
      <c r="AE432" s="89"/>
    </row>
    <row r="433">
      <c r="A433" s="445"/>
      <c r="B433" s="420"/>
      <c r="C433" s="420"/>
      <c r="D433" s="420"/>
      <c r="E433" s="420"/>
      <c r="F433" s="420"/>
      <c r="G433" s="420"/>
      <c r="H433" s="420"/>
      <c r="I433" s="89"/>
      <c r="J433" s="89"/>
      <c r="K433" s="89"/>
      <c r="L433" s="89"/>
      <c r="M433" s="89"/>
      <c r="N433" s="89"/>
      <c r="O433" s="89"/>
      <c r="P433" s="89"/>
      <c r="Q433" s="89"/>
      <c r="R433" s="89"/>
      <c r="S433" s="89"/>
      <c r="T433" s="89"/>
      <c r="U433" s="89"/>
      <c r="V433" s="89"/>
      <c r="W433" s="89"/>
      <c r="X433" s="89"/>
      <c r="Y433" s="89"/>
      <c r="Z433" s="89"/>
      <c r="AA433" s="89"/>
      <c r="AB433" s="89"/>
      <c r="AC433" s="89"/>
      <c r="AD433" s="89"/>
      <c r="AE433" s="89"/>
    </row>
    <row r="434">
      <c r="A434" s="445"/>
      <c r="B434" s="420"/>
      <c r="C434" s="420"/>
      <c r="D434" s="420"/>
      <c r="E434" s="420"/>
      <c r="F434" s="420"/>
      <c r="G434" s="420"/>
      <c r="H434" s="420"/>
      <c r="I434" s="89"/>
      <c r="J434" s="89"/>
      <c r="K434" s="89"/>
      <c r="L434" s="89"/>
      <c r="M434" s="89"/>
      <c r="N434" s="89"/>
      <c r="O434" s="89"/>
      <c r="P434" s="89"/>
      <c r="Q434" s="89"/>
      <c r="R434" s="89"/>
      <c r="S434" s="89"/>
      <c r="T434" s="89"/>
      <c r="U434" s="89"/>
      <c r="V434" s="89"/>
      <c r="W434" s="89"/>
      <c r="X434" s="89"/>
      <c r="Y434" s="89"/>
      <c r="Z434" s="89"/>
      <c r="AA434" s="89"/>
      <c r="AB434" s="89"/>
      <c r="AC434" s="89"/>
      <c r="AD434" s="89"/>
      <c r="AE434" s="89"/>
    </row>
    <row r="435">
      <c r="A435" s="445"/>
      <c r="B435" s="420"/>
      <c r="C435" s="420"/>
      <c r="D435" s="420"/>
      <c r="E435" s="420"/>
      <c r="F435" s="420"/>
      <c r="G435" s="420"/>
      <c r="H435" s="420"/>
      <c r="I435" s="89"/>
      <c r="J435" s="89"/>
      <c r="K435" s="89"/>
      <c r="L435" s="89"/>
      <c r="M435" s="89"/>
      <c r="N435" s="89"/>
      <c r="O435" s="89"/>
      <c r="P435" s="89"/>
      <c r="Q435" s="89"/>
      <c r="R435" s="89"/>
      <c r="S435" s="89"/>
      <c r="T435" s="89"/>
      <c r="U435" s="89"/>
      <c r="V435" s="89"/>
      <c r="W435" s="89"/>
      <c r="X435" s="89"/>
      <c r="Y435" s="89"/>
      <c r="Z435" s="89"/>
      <c r="AA435" s="89"/>
      <c r="AB435" s="89"/>
      <c r="AC435" s="89"/>
      <c r="AD435" s="89"/>
      <c r="AE435" s="89"/>
    </row>
    <row r="436">
      <c r="A436" s="445"/>
      <c r="B436" s="420"/>
      <c r="C436" s="420"/>
      <c r="D436" s="420"/>
      <c r="E436" s="420"/>
      <c r="F436" s="420"/>
      <c r="G436" s="420"/>
      <c r="H436" s="420"/>
      <c r="I436" s="89"/>
      <c r="J436" s="89"/>
      <c r="K436" s="89"/>
      <c r="L436" s="89"/>
      <c r="M436" s="89"/>
      <c r="N436" s="89"/>
      <c r="O436" s="89"/>
      <c r="P436" s="89"/>
      <c r="Q436" s="89"/>
      <c r="R436" s="89"/>
      <c r="S436" s="89"/>
      <c r="T436" s="89"/>
      <c r="U436" s="89"/>
      <c r="V436" s="89"/>
      <c r="W436" s="89"/>
      <c r="X436" s="89"/>
      <c r="Y436" s="89"/>
      <c r="Z436" s="89"/>
      <c r="AA436" s="89"/>
      <c r="AB436" s="89"/>
      <c r="AC436" s="89"/>
      <c r="AD436" s="89"/>
      <c r="AE436" s="89"/>
    </row>
    <row r="437">
      <c r="A437" s="445"/>
      <c r="B437" s="420"/>
      <c r="C437" s="420"/>
      <c r="D437" s="420"/>
      <c r="E437" s="420"/>
      <c r="F437" s="420"/>
      <c r="G437" s="420"/>
      <c r="H437" s="420"/>
      <c r="I437" s="89"/>
      <c r="J437" s="89"/>
      <c r="K437" s="89"/>
      <c r="L437" s="89"/>
      <c r="M437" s="89"/>
      <c r="N437" s="89"/>
      <c r="O437" s="89"/>
      <c r="P437" s="89"/>
      <c r="Q437" s="89"/>
      <c r="R437" s="89"/>
      <c r="S437" s="89"/>
      <c r="T437" s="89"/>
      <c r="U437" s="89"/>
      <c r="V437" s="89"/>
      <c r="W437" s="89"/>
      <c r="X437" s="89"/>
      <c r="Y437" s="89"/>
      <c r="Z437" s="89"/>
      <c r="AA437" s="89"/>
      <c r="AB437" s="89"/>
      <c r="AC437" s="89"/>
      <c r="AD437" s="89"/>
      <c r="AE437" s="89"/>
    </row>
    <row r="438">
      <c r="A438" s="445"/>
      <c r="B438" s="420"/>
      <c r="C438" s="420"/>
      <c r="D438" s="420"/>
      <c r="E438" s="420"/>
      <c r="F438" s="420"/>
      <c r="G438" s="420"/>
      <c r="H438" s="420"/>
      <c r="I438" s="89"/>
      <c r="J438" s="89"/>
      <c r="K438" s="89"/>
      <c r="L438" s="89"/>
      <c r="M438" s="89"/>
      <c r="N438" s="89"/>
      <c r="O438" s="89"/>
      <c r="P438" s="89"/>
      <c r="Q438" s="89"/>
      <c r="R438" s="89"/>
      <c r="S438" s="89"/>
      <c r="T438" s="89"/>
      <c r="U438" s="89"/>
      <c r="V438" s="89"/>
      <c r="W438" s="89"/>
      <c r="X438" s="89"/>
      <c r="Y438" s="89"/>
      <c r="Z438" s="89"/>
      <c r="AA438" s="89"/>
      <c r="AB438" s="89"/>
      <c r="AC438" s="89"/>
      <c r="AD438" s="89"/>
      <c r="AE438" s="89"/>
    </row>
    <row r="439">
      <c r="A439" s="445"/>
      <c r="B439" s="420"/>
      <c r="C439" s="420"/>
      <c r="D439" s="420"/>
      <c r="E439" s="420"/>
      <c r="F439" s="420"/>
      <c r="G439" s="420"/>
      <c r="H439" s="420"/>
      <c r="I439" s="89"/>
      <c r="J439" s="89"/>
      <c r="K439" s="89"/>
      <c r="L439" s="89"/>
      <c r="M439" s="89"/>
      <c r="N439" s="89"/>
      <c r="O439" s="89"/>
      <c r="P439" s="89"/>
      <c r="Q439" s="89"/>
      <c r="R439" s="89"/>
      <c r="S439" s="89"/>
      <c r="T439" s="89"/>
      <c r="U439" s="89"/>
      <c r="V439" s="89"/>
      <c r="W439" s="89"/>
      <c r="X439" s="89"/>
      <c r="Y439" s="89"/>
      <c r="Z439" s="89"/>
      <c r="AA439" s="89"/>
      <c r="AB439" s="89"/>
      <c r="AC439" s="89"/>
      <c r="AD439" s="89"/>
      <c r="AE439" s="89"/>
    </row>
    <row r="440">
      <c r="A440" s="445"/>
      <c r="B440" s="420"/>
      <c r="C440" s="420"/>
      <c r="D440" s="420"/>
      <c r="E440" s="420"/>
      <c r="F440" s="420"/>
      <c r="G440" s="420"/>
      <c r="H440" s="420"/>
      <c r="I440" s="89"/>
      <c r="J440" s="89"/>
      <c r="K440" s="89"/>
      <c r="L440" s="89"/>
      <c r="M440" s="89"/>
      <c r="N440" s="89"/>
      <c r="O440" s="89"/>
      <c r="P440" s="89"/>
      <c r="Q440" s="89"/>
      <c r="R440" s="89"/>
      <c r="S440" s="89"/>
      <c r="T440" s="89"/>
      <c r="U440" s="89"/>
      <c r="V440" s="89"/>
      <c r="W440" s="89"/>
      <c r="X440" s="89"/>
      <c r="Y440" s="89"/>
      <c r="Z440" s="89"/>
      <c r="AA440" s="89"/>
      <c r="AB440" s="89"/>
      <c r="AC440" s="89"/>
      <c r="AD440" s="89"/>
      <c r="AE440" s="89"/>
    </row>
    <row r="441">
      <c r="A441" s="445"/>
      <c r="B441" s="420"/>
      <c r="C441" s="420"/>
      <c r="D441" s="420"/>
      <c r="E441" s="420"/>
      <c r="F441" s="420"/>
      <c r="G441" s="420"/>
      <c r="H441" s="420"/>
      <c r="I441" s="89"/>
      <c r="J441" s="89"/>
      <c r="K441" s="89"/>
      <c r="L441" s="89"/>
      <c r="M441" s="89"/>
      <c r="N441" s="89"/>
      <c r="O441" s="89"/>
      <c r="P441" s="89"/>
      <c r="Q441" s="89"/>
      <c r="R441" s="89"/>
      <c r="S441" s="89"/>
      <c r="T441" s="89"/>
      <c r="U441" s="89"/>
      <c r="V441" s="89"/>
      <c r="W441" s="89"/>
      <c r="X441" s="89"/>
      <c r="Y441" s="89"/>
      <c r="Z441" s="89"/>
      <c r="AA441" s="89"/>
      <c r="AB441" s="89"/>
      <c r="AC441" s="89"/>
      <c r="AD441" s="89"/>
      <c r="AE441" s="89"/>
    </row>
    <row r="442">
      <c r="A442" s="445"/>
      <c r="B442" s="420"/>
      <c r="C442" s="420"/>
      <c r="D442" s="420"/>
      <c r="E442" s="420"/>
      <c r="F442" s="420"/>
      <c r="G442" s="420"/>
      <c r="H442" s="420"/>
      <c r="I442" s="89"/>
      <c r="J442" s="89"/>
      <c r="K442" s="89"/>
      <c r="L442" s="89"/>
      <c r="M442" s="89"/>
      <c r="N442" s="89"/>
      <c r="O442" s="89"/>
      <c r="P442" s="89"/>
      <c r="Q442" s="89"/>
      <c r="R442" s="89"/>
      <c r="S442" s="89"/>
      <c r="T442" s="89"/>
      <c r="U442" s="89"/>
      <c r="V442" s="89"/>
      <c r="W442" s="89"/>
      <c r="X442" s="89"/>
      <c r="Y442" s="89"/>
      <c r="Z442" s="89"/>
      <c r="AA442" s="89"/>
      <c r="AB442" s="89"/>
      <c r="AC442" s="89"/>
      <c r="AD442" s="89"/>
      <c r="AE442" s="89"/>
    </row>
    <row r="443">
      <c r="A443" s="445"/>
      <c r="B443" s="420"/>
      <c r="C443" s="420"/>
      <c r="D443" s="420"/>
      <c r="E443" s="420"/>
      <c r="F443" s="420"/>
      <c r="G443" s="420"/>
      <c r="H443" s="420"/>
      <c r="I443" s="89"/>
      <c r="J443" s="89"/>
      <c r="K443" s="89"/>
      <c r="L443" s="89"/>
      <c r="M443" s="89"/>
      <c r="N443" s="89"/>
      <c r="O443" s="89"/>
      <c r="P443" s="89"/>
      <c r="Q443" s="89"/>
      <c r="R443" s="89"/>
      <c r="S443" s="89"/>
      <c r="T443" s="89"/>
      <c r="U443" s="89"/>
      <c r="V443" s="89"/>
      <c r="W443" s="89"/>
      <c r="X443" s="89"/>
      <c r="Y443" s="89"/>
      <c r="Z443" s="89"/>
      <c r="AA443" s="89"/>
      <c r="AB443" s="89"/>
      <c r="AC443" s="89"/>
      <c r="AD443" s="89"/>
      <c r="AE443" s="89"/>
    </row>
    <row r="444">
      <c r="A444" s="445"/>
      <c r="B444" s="420"/>
      <c r="C444" s="420"/>
      <c r="D444" s="420"/>
      <c r="E444" s="420"/>
      <c r="F444" s="420"/>
      <c r="G444" s="420"/>
      <c r="H444" s="420"/>
      <c r="I444" s="89"/>
      <c r="J444" s="89"/>
      <c r="K444" s="89"/>
      <c r="L444" s="89"/>
      <c r="M444" s="89"/>
      <c r="N444" s="89"/>
      <c r="O444" s="89"/>
      <c r="P444" s="89"/>
      <c r="Q444" s="89"/>
      <c r="R444" s="89"/>
      <c r="S444" s="89"/>
      <c r="T444" s="89"/>
      <c r="U444" s="89"/>
      <c r="V444" s="89"/>
      <c r="W444" s="89"/>
      <c r="X444" s="89"/>
      <c r="Y444" s="89"/>
      <c r="Z444" s="89"/>
      <c r="AA444" s="89"/>
      <c r="AB444" s="89"/>
      <c r="AC444" s="89"/>
      <c r="AD444" s="89"/>
      <c r="AE444" s="89"/>
    </row>
    <row r="445">
      <c r="A445" s="445"/>
      <c r="B445" s="420"/>
      <c r="C445" s="420"/>
      <c r="D445" s="420"/>
      <c r="E445" s="420"/>
      <c r="F445" s="420"/>
      <c r="G445" s="420"/>
      <c r="H445" s="420"/>
      <c r="I445" s="89"/>
      <c r="J445" s="89"/>
      <c r="K445" s="89"/>
      <c r="L445" s="89"/>
      <c r="M445" s="89"/>
      <c r="N445" s="89"/>
      <c r="O445" s="89"/>
      <c r="P445" s="89"/>
      <c r="Q445" s="89"/>
      <c r="R445" s="89"/>
      <c r="S445" s="89"/>
      <c r="T445" s="89"/>
      <c r="U445" s="89"/>
      <c r="V445" s="89"/>
      <c r="W445" s="89"/>
      <c r="X445" s="89"/>
      <c r="Y445" s="89"/>
      <c r="Z445" s="89"/>
      <c r="AA445" s="89"/>
      <c r="AB445" s="89"/>
      <c r="AC445" s="89"/>
      <c r="AD445" s="89"/>
      <c r="AE445" s="89"/>
    </row>
    <row r="446">
      <c r="A446" s="445"/>
      <c r="B446" s="420"/>
      <c r="C446" s="420"/>
      <c r="D446" s="420"/>
      <c r="E446" s="420"/>
      <c r="F446" s="420"/>
      <c r="G446" s="420"/>
      <c r="H446" s="420"/>
      <c r="I446" s="89"/>
      <c r="J446" s="89"/>
      <c r="K446" s="89"/>
      <c r="L446" s="89"/>
      <c r="M446" s="89"/>
      <c r="N446" s="89"/>
      <c r="O446" s="89"/>
      <c r="P446" s="89"/>
      <c r="Q446" s="89"/>
      <c r="R446" s="89"/>
      <c r="S446" s="89"/>
      <c r="T446" s="89"/>
      <c r="U446" s="89"/>
      <c r="V446" s="89"/>
      <c r="W446" s="89"/>
      <c r="X446" s="89"/>
      <c r="Y446" s="89"/>
      <c r="Z446" s="89"/>
      <c r="AA446" s="89"/>
      <c r="AB446" s="89"/>
      <c r="AC446" s="89"/>
      <c r="AD446" s="89"/>
      <c r="AE446" s="89"/>
    </row>
    <row r="447">
      <c r="A447" s="445"/>
      <c r="B447" s="420"/>
      <c r="C447" s="420"/>
      <c r="D447" s="420"/>
      <c r="E447" s="420"/>
      <c r="F447" s="420"/>
      <c r="G447" s="420"/>
      <c r="H447" s="420"/>
      <c r="I447" s="89"/>
      <c r="J447" s="89"/>
      <c r="K447" s="89"/>
      <c r="L447" s="89"/>
      <c r="M447" s="89"/>
      <c r="N447" s="89"/>
      <c r="O447" s="89"/>
      <c r="P447" s="89"/>
      <c r="Q447" s="89"/>
      <c r="R447" s="89"/>
      <c r="S447" s="89"/>
      <c r="T447" s="89"/>
      <c r="U447" s="89"/>
      <c r="V447" s="89"/>
      <c r="W447" s="89"/>
      <c r="X447" s="89"/>
      <c r="Y447" s="89"/>
      <c r="Z447" s="89"/>
      <c r="AA447" s="89"/>
      <c r="AB447" s="89"/>
      <c r="AC447" s="89"/>
      <c r="AD447" s="89"/>
      <c r="AE447" s="89"/>
    </row>
    <row r="448">
      <c r="A448" s="445"/>
      <c r="B448" s="420"/>
      <c r="C448" s="420"/>
      <c r="D448" s="420"/>
      <c r="E448" s="420"/>
      <c r="F448" s="420"/>
      <c r="G448" s="420"/>
      <c r="H448" s="420"/>
      <c r="I448" s="89"/>
      <c r="J448" s="89"/>
      <c r="K448" s="89"/>
      <c r="L448" s="89"/>
      <c r="M448" s="89"/>
      <c r="N448" s="89"/>
      <c r="O448" s="89"/>
      <c r="P448" s="89"/>
      <c r="Q448" s="89"/>
      <c r="R448" s="89"/>
      <c r="S448" s="89"/>
      <c r="T448" s="89"/>
      <c r="U448" s="89"/>
      <c r="V448" s="89"/>
      <c r="W448" s="89"/>
      <c r="X448" s="89"/>
      <c r="Y448" s="89"/>
      <c r="Z448" s="89"/>
      <c r="AA448" s="89"/>
      <c r="AB448" s="89"/>
      <c r="AC448" s="89"/>
      <c r="AD448" s="89"/>
      <c r="AE448" s="89"/>
    </row>
    <row r="449">
      <c r="A449" s="445"/>
      <c r="B449" s="420"/>
      <c r="C449" s="420"/>
      <c r="D449" s="420"/>
      <c r="E449" s="420"/>
      <c r="F449" s="420"/>
      <c r="G449" s="420"/>
      <c r="H449" s="420"/>
      <c r="I449" s="89"/>
      <c r="J449" s="89"/>
      <c r="K449" s="89"/>
      <c r="L449" s="89"/>
      <c r="M449" s="89"/>
      <c r="N449" s="89"/>
      <c r="O449" s="89"/>
      <c r="P449" s="89"/>
      <c r="Q449" s="89"/>
      <c r="R449" s="89"/>
      <c r="S449" s="89"/>
      <c r="T449" s="89"/>
      <c r="U449" s="89"/>
      <c r="V449" s="89"/>
      <c r="W449" s="89"/>
      <c r="X449" s="89"/>
      <c r="Y449" s="89"/>
      <c r="Z449" s="89"/>
      <c r="AA449" s="89"/>
      <c r="AB449" s="89"/>
      <c r="AC449" s="89"/>
      <c r="AD449" s="89"/>
      <c r="AE449" s="89"/>
    </row>
    <row r="450">
      <c r="A450" s="445"/>
      <c r="B450" s="420"/>
      <c r="C450" s="420"/>
      <c r="D450" s="420"/>
      <c r="E450" s="420"/>
      <c r="F450" s="420"/>
      <c r="G450" s="420"/>
      <c r="H450" s="420"/>
      <c r="I450" s="89"/>
      <c r="J450" s="89"/>
      <c r="K450" s="89"/>
      <c r="L450" s="89"/>
      <c r="M450" s="89"/>
      <c r="N450" s="89"/>
      <c r="O450" s="89"/>
      <c r="P450" s="89"/>
      <c r="Q450" s="89"/>
      <c r="R450" s="89"/>
      <c r="S450" s="89"/>
      <c r="T450" s="89"/>
      <c r="U450" s="89"/>
      <c r="V450" s="89"/>
      <c r="W450" s="89"/>
      <c r="X450" s="89"/>
      <c r="Y450" s="89"/>
      <c r="Z450" s="89"/>
      <c r="AA450" s="89"/>
      <c r="AB450" s="89"/>
      <c r="AC450" s="89"/>
      <c r="AD450" s="89"/>
      <c r="AE450" s="89"/>
    </row>
    <row r="451">
      <c r="A451" s="445"/>
      <c r="B451" s="420"/>
      <c r="C451" s="420"/>
      <c r="D451" s="420"/>
      <c r="E451" s="420"/>
      <c r="F451" s="420"/>
      <c r="G451" s="420"/>
      <c r="H451" s="420"/>
      <c r="I451" s="89"/>
      <c r="J451" s="89"/>
      <c r="K451" s="89"/>
      <c r="L451" s="89"/>
      <c r="M451" s="89"/>
      <c r="N451" s="89"/>
      <c r="O451" s="89"/>
      <c r="P451" s="89"/>
      <c r="Q451" s="89"/>
      <c r="R451" s="89"/>
      <c r="S451" s="89"/>
      <c r="T451" s="89"/>
      <c r="U451" s="89"/>
      <c r="V451" s="89"/>
      <c r="W451" s="89"/>
      <c r="X451" s="89"/>
      <c r="Y451" s="89"/>
      <c r="Z451" s="89"/>
      <c r="AA451" s="89"/>
      <c r="AB451" s="89"/>
      <c r="AC451" s="89"/>
      <c r="AD451" s="89"/>
      <c r="AE451" s="89"/>
    </row>
    <row r="452">
      <c r="A452" s="445"/>
      <c r="B452" s="420"/>
      <c r="C452" s="420"/>
      <c r="D452" s="420"/>
      <c r="E452" s="420"/>
      <c r="F452" s="420"/>
      <c r="G452" s="420"/>
      <c r="H452" s="420"/>
      <c r="I452" s="89"/>
      <c r="J452" s="89"/>
      <c r="K452" s="89"/>
      <c r="L452" s="89"/>
      <c r="M452" s="89"/>
      <c r="N452" s="89"/>
      <c r="O452" s="89"/>
      <c r="P452" s="89"/>
      <c r="Q452" s="89"/>
      <c r="R452" s="89"/>
      <c r="S452" s="89"/>
      <c r="T452" s="89"/>
      <c r="U452" s="89"/>
      <c r="V452" s="89"/>
      <c r="W452" s="89"/>
      <c r="X452" s="89"/>
      <c r="Y452" s="89"/>
      <c r="Z452" s="89"/>
      <c r="AA452" s="89"/>
      <c r="AB452" s="89"/>
      <c r="AC452" s="89"/>
      <c r="AD452" s="89"/>
      <c r="AE452" s="89"/>
    </row>
    <row r="453">
      <c r="A453" s="445"/>
      <c r="B453" s="420"/>
      <c r="C453" s="420"/>
      <c r="D453" s="420"/>
      <c r="E453" s="420"/>
      <c r="F453" s="420"/>
      <c r="G453" s="420"/>
      <c r="H453" s="420"/>
      <c r="I453" s="89"/>
      <c r="J453" s="89"/>
      <c r="K453" s="89"/>
      <c r="L453" s="89"/>
      <c r="M453" s="89"/>
      <c r="N453" s="89"/>
      <c r="O453" s="89"/>
      <c r="P453" s="89"/>
      <c r="Q453" s="89"/>
      <c r="R453" s="89"/>
      <c r="S453" s="89"/>
      <c r="T453" s="89"/>
      <c r="U453" s="89"/>
      <c r="V453" s="89"/>
      <c r="W453" s="89"/>
      <c r="X453" s="89"/>
      <c r="Y453" s="89"/>
      <c r="Z453" s="89"/>
      <c r="AA453" s="89"/>
      <c r="AB453" s="89"/>
      <c r="AC453" s="89"/>
      <c r="AD453" s="89"/>
      <c r="AE453" s="89"/>
    </row>
    <row r="454">
      <c r="A454" s="445"/>
      <c r="B454" s="420"/>
      <c r="C454" s="420"/>
      <c r="D454" s="420"/>
      <c r="E454" s="420"/>
      <c r="F454" s="420"/>
      <c r="G454" s="420"/>
      <c r="H454" s="420"/>
      <c r="I454" s="89"/>
      <c r="J454" s="89"/>
      <c r="K454" s="89"/>
      <c r="L454" s="89"/>
      <c r="M454" s="89"/>
      <c r="N454" s="89"/>
      <c r="O454" s="89"/>
      <c r="P454" s="89"/>
      <c r="Q454" s="89"/>
      <c r="R454" s="89"/>
      <c r="S454" s="89"/>
      <c r="T454" s="89"/>
      <c r="U454" s="89"/>
      <c r="V454" s="89"/>
      <c r="W454" s="89"/>
      <c r="X454" s="89"/>
      <c r="Y454" s="89"/>
      <c r="Z454" s="89"/>
      <c r="AA454" s="89"/>
      <c r="AB454" s="89"/>
      <c r="AC454" s="89"/>
      <c r="AD454" s="89"/>
      <c r="AE454" s="89"/>
    </row>
    <row r="455">
      <c r="A455" s="445"/>
      <c r="B455" s="420"/>
      <c r="C455" s="420"/>
      <c r="D455" s="420"/>
      <c r="E455" s="420"/>
      <c r="F455" s="420"/>
      <c r="G455" s="420"/>
      <c r="H455" s="420"/>
      <c r="I455" s="89"/>
      <c r="J455" s="89"/>
      <c r="K455" s="89"/>
      <c r="L455" s="89"/>
      <c r="M455" s="89"/>
      <c r="N455" s="89"/>
      <c r="O455" s="89"/>
      <c r="P455" s="89"/>
      <c r="Q455" s="89"/>
      <c r="R455" s="89"/>
      <c r="S455" s="89"/>
      <c r="T455" s="89"/>
      <c r="U455" s="89"/>
      <c r="V455" s="89"/>
      <c r="W455" s="89"/>
      <c r="X455" s="89"/>
      <c r="Y455" s="89"/>
      <c r="Z455" s="89"/>
      <c r="AA455" s="89"/>
      <c r="AB455" s="89"/>
      <c r="AC455" s="89"/>
      <c r="AD455" s="89"/>
      <c r="AE455" s="89"/>
    </row>
    <row r="456">
      <c r="A456" s="445"/>
      <c r="B456" s="420"/>
      <c r="C456" s="420"/>
      <c r="D456" s="420"/>
      <c r="E456" s="420"/>
      <c r="F456" s="420"/>
      <c r="G456" s="420"/>
      <c r="H456" s="420"/>
      <c r="I456" s="89"/>
      <c r="J456" s="89"/>
      <c r="K456" s="89"/>
      <c r="L456" s="89"/>
      <c r="M456" s="89"/>
      <c r="N456" s="89"/>
      <c r="O456" s="89"/>
      <c r="P456" s="89"/>
      <c r="Q456" s="89"/>
      <c r="R456" s="89"/>
      <c r="S456" s="89"/>
      <c r="T456" s="89"/>
      <c r="U456" s="89"/>
      <c r="V456" s="89"/>
      <c r="W456" s="89"/>
      <c r="X456" s="89"/>
      <c r="Y456" s="89"/>
      <c r="Z456" s="89"/>
      <c r="AA456" s="89"/>
      <c r="AB456" s="89"/>
      <c r="AC456" s="89"/>
      <c r="AD456" s="89"/>
      <c r="AE456" s="89"/>
    </row>
    <row r="457">
      <c r="A457" s="445"/>
      <c r="B457" s="420"/>
      <c r="C457" s="420"/>
      <c r="D457" s="420"/>
      <c r="E457" s="420"/>
      <c r="F457" s="420"/>
      <c r="G457" s="420"/>
      <c r="H457" s="420"/>
      <c r="I457" s="89"/>
      <c r="J457" s="89"/>
      <c r="K457" s="89"/>
      <c r="L457" s="89"/>
      <c r="M457" s="89"/>
      <c r="N457" s="89"/>
      <c r="O457" s="89"/>
      <c r="P457" s="89"/>
      <c r="Q457" s="89"/>
      <c r="R457" s="89"/>
      <c r="S457" s="89"/>
      <c r="T457" s="89"/>
      <c r="U457" s="89"/>
      <c r="V457" s="89"/>
      <c r="W457" s="89"/>
      <c r="X457" s="89"/>
      <c r="Y457" s="89"/>
      <c r="Z457" s="89"/>
      <c r="AA457" s="89"/>
      <c r="AB457" s="89"/>
      <c r="AC457" s="89"/>
      <c r="AD457" s="89"/>
      <c r="AE457" s="89"/>
    </row>
    <row r="458">
      <c r="A458" s="445"/>
      <c r="B458" s="420"/>
      <c r="C458" s="420"/>
      <c r="D458" s="420"/>
      <c r="E458" s="420"/>
      <c r="F458" s="420"/>
      <c r="G458" s="420"/>
      <c r="H458" s="420"/>
      <c r="I458" s="89"/>
      <c r="J458" s="89"/>
      <c r="K458" s="89"/>
      <c r="L458" s="89"/>
      <c r="M458" s="89"/>
      <c r="N458" s="89"/>
      <c r="O458" s="89"/>
      <c r="P458" s="89"/>
      <c r="Q458" s="89"/>
      <c r="R458" s="89"/>
      <c r="S458" s="89"/>
      <c r="T458" s="89"/>
      <c r="U458" s="89"/>
      <c r="V458" s="89"/>
      <c r="W458" s="89"/>
      <c r="X458" s="89"/>
      <c r="Y458" s="89"/>
      <c r="Z458" s="89"/>
      <c r="AA458" s="89"/>
      <c r="AB458" s="89"/>
      <c r="AC458" s="89"/>
      <c r="AD458" s="89"/>
      <c r="AE458" s="89"/>
    </row>
    <row r="459">
      <c r="A459" s="445"/>
      <c r="B459" s="420"/>
      <c r="C459" s="420"/>
      <c r="D459" s="420"/>
      <c r="E459" s="420"/>
      <c r="F459" s="420"/>
      <c r="G459" s="420"/>
      <c r="H459" s="420"/>
      <c r="I459" s="89"/>
      <c r="J459" s="89"/>
      <c r="K459" s="89"/>
      <c r="L459" s="89"/>
      <c r="M459" s="89"/>
      <c r="N459" s="89"/>
      <c r="O459" s="89"/>
      <c r="P459" s="89"/>
      <c r="Q459" s="89"/>
      <c r="R459" s="89"/>
      <c r="S459" s="89"/>
      <c r="T459" s="89"/>
      <c r="U459" s="89"/>
      <c r="V459" s="89"/>
      <c r="W459" s="89"/>
      <c r="X459" s="89"/>
      <c r="Y459" s="89"/>
      <c r="Z459" s="89"/>
      <c r="AA459" s="89"/>
      <c r="AB459" s="89"/>
      <c r="AC459" s="89"/>
      <c r="AD459" s="89"/>
      <c r="AE459" s="89"/>
    </row>
    <row r="460">
      <c r="A460" s="445"/>
      <c r="B460" s="420"/>
      <c r="C460" s="420"/>
      <c r="D460" s="420"/>
      <c r="E460" s="420"/>
      <c r="F460" s="420"/>
      <c r="G460" s="420"/>
      <c r="H460" s="420"/>
      <c r="I460" s="89"/>
      <c r="J460" s="89"/>
      <c r="K460" s="89"/>
      <c r="L460" s="89"/>
      <c r="M460" s="89"/>
      <c r="N460" s="89"/>
      <c r="O460" s="89"/>
      <c r="P460" s="89"/>
      <c r="Q460" s="89"/>
      <c r="R460" s="89"/>
      <c r="S460" s="89"/>
      <c r="T460" s="89"/>
      <c r="U460" s="89"/>
      <c r="V460" s="89"/>
      <c r="W460" s="89"/>
      <c r="X460" s="89"/>
      <c r="Y460" s="89"/>
      <c r="Z460" s="89"/>
      <c r="AA460" s="89"/>
      <c r="AB460" s="89"/>
      <c r="AC460" s="89"/>
      <c r="AD460" s="89"/>
      <c r="AE460" s="89"/>
    </row>
    <row r="461">
      <c r="A461" s="445"/>
      <c r="B461" s="420"/>
      <c r="C461" s="420"/>
      <c r="D461" s="420"/>
      <c r="E461" s="420"/>
      <c r="F461" s="420"/>
      <c r="G461" s="420"/>
      <c r="H461" s="420"/>
      <c r="I461" s="89"/>
      <c r="J461" s="89"/>
      <c r="K461" s="89"/>
      <c r="L461" s="89"/>
      <c r="M461" s="89"/>
      <c r="N461" s="89"/>
      <c r="O461" s="89"/>
      <c r="P461" s="89"/>
      <c r="Q461" s="89"/>
      <c r="R461" s="89"/>
      <c r="S461" s="89"/>
      <c r="T461" s="89"/>
      <c r="U461" s="89"/>
      <c r="V461" s="89"/>
      <c r="W461" s="89"/>
      <c r="X461" s="89"/>
      <c r="Y461" s="89"/>
      <c r="Z461" s="89"/>
      <c r="AA461" s="89"/>
      <c r="AB461" s="89"/>
      <c r="AC461" s="89"/>
      <c r="AD461" s="89"/>
      <c r="AE461" s="89"/>
    </row>
    <row r="462">
      <c r="A462" s="445"/>
      <c r="B462" s="420"/>
      <c r="C462" s="420"/>
      <c r="D462" s="420"/>
      <c r="E462" s="420"/>
      <c r="F462" s="420"/>
      <c r="G462" s="420"/>
      <c r="H462" s="420"/>
      <c r="I462" s="89"/>
      <c r="J462" s="89"/>
      <c r="K462" s="89"/>
      <c r="L462" s="89"/>
      <c r="M462" s="89"/>
      <c r="N462" s="89"/>
      <c r="O462" s="89"/>
      <c r="P462" s="89"/>
      <c r="Q462" s="89"/>
      <c r="R462" s="89"/>
      <c r="S462" s="89"/>
      <c r="T462" s="89"/>
      <c r="U462" s="89"/>
      <c r="V462" s="89"/>
      <c r="W462" s="89"/>
      <c r="X462" s="89"/>
      <c r="Y462" s="89"/>
      <c r="Z462" s="89"/>
      <c r="AA462" s="89"/>
      <c r="AB462" s="89"/>
      <c r="AC462" s="89"/>
      <c r="AD462" s="89"/>
      <c r="AE462" s="89"/>
    </row>
    <row r="463">
      <c r="A463" s="445"/>
      <c r="B463" s="420"/>
      <c r="C463" s="420"/>
      <c r="D463" s="420"/>
      <c r="E463" s="420"/>
      <c r="F463" s="420"/>
      <c r="G463" s="420"/>
      <c r="H463" s="420"/>
      <c r="I463" s="89"/>
      <c r="J463" s="89"/>
      <c r="K463" s="89"/>
      <c r="L463" s="89"/>
      <c r="M463" s="89"/>
      <c r="N463" s="89"/>
      <c r="O463" s="89"/>
      <c r="P463" s="89"/>
      <c r="Q463" s="89"/>
      <c r="R463" s="89"/>
      <c r="S463" s="89"/>
      <c r="T463" s="89"/>
      <c r="U463" s="89"/>
      <c r="V463" s="89"/>
      <c r="W463" s="89"/>
      <c r="X463" s="89"/>
      <c r="Y463" s="89"/>
      <c r="Z463" s="89"/>
      <c r="AA463" s="89"/>
      <c r="AB463" s="89"/>
      <c r="AC463" s="89"/>
      <c r="AD463" s="89"/>
      <c r="AE463" s="89"/>
    </row>
    <row r="464">
      <c r="A464" s="445"/>
      <c r="B464" s="420"/>
      <c r="C464" s="420"/>
      <c r="D464" s="420"/>
      <c r="E464" s="420"/>
      <c r="F464" s="420"/>
      <c r="G464" s="420"/>
      <c r="H464" s="420"/>
      <c r="I464" s="89"/>
      <c r="J464" s="89"/>
      <c r="K464" s="89"/>
      <c r="L464" s="89"/>
      <c r="M464" s="89"/>
      <c r="N464" s="89"/>
      <c r="O464" s="89"/>
      <c r="P464" s="89"/>
      <c r="Q464" s="89"/>
      <c r="R464" s="89"/>
      <c r="S464" s="89"/>
      <c r="T464" s="89"/>
      <c r="U464" s="89"/>
      <c r="V464" s="89"/>
      <c r="W464" s="89"/>
      <c r="X464" s="89"/>
      <c r="Y464" s="89"/>
      <c r="Z464" s="89"/>
      <c r="AA464" s="89"/>
      <c r="AB464" s="89"/>
      <c r="AC464" s="89"/>
      <c r="AD464" s="89"/>
      <c r="AE464" s="89"/>
    </row>
    <row r="465">
      <c r="A465" s="445"/>
      <c r="B465" s="420"/>
      <c r="C465" s="420"/>
      <c r="D465" s="420"/>
      <c r="E465" s="420"/>
      <c r="F465" s="420"/>
      <c r="G465" s="420"/>
      <c r="H465" s="420"/>
      <c r="I465" s="89"/>
      <c r="J465" s="89"/>
      <c r="K465" s="89"/>
      <c r="L465" s="89"/>
      <c r="M465" s="89"/>
      <c r="N465" s="89"/>
      <c r="O465" s="89"/>
      <c r="P465" s="89"/>
      <c r="Q465" s="89"/>
      <c r="R465" s="89"/>
      <c r="S465" s="89"/>
      <c r="T465" s="89"/>
      <c r="U465" s="89"/>
      <c r="V465" s="89"/>
      <c r="W465" s="89"/>
      <c r="X465" s="89"/>
      <c r="Y465" s="89"/>
      <c r="Z465" s="89"/>
      <c r="AA465" s="89"/>
      <c r="AB465" s="89"/>
      <c r="AC465" s="89"/>
      <c r="AD465" s="89"/>
      <c r="AE465" s="89"/>
    </row>
    <row r="466">
      <c r="A466" s="445"/>
      <c r="B466" s="420"/>
      <c r="C466" s="420"/>
      <c r="D466" s="420"/>
      <c r="E466" s="420"/>
      <c r="F466" s="420"/>
      <c r="G466" s="420"/>
      <c r="H466" s="420"/>
      <c r="I466" s="89"/>
      <c r="J466" s="89"/>
      <c r="K466" s="89"/>
      <c r="L466" s="89"/>
      <c r="M466" s="89"/>
      <c r="N466" s="89"/>
      <c r="O466" s="89"/>
      <c r="P466" s="89"/>
      <c r="Q466" s="89"/>
      <c r="R466" s="89"/>
      <c r="S466" s="89"/>
      <c r="T466" s="89"/>
      <c r="U466" s="89"/>
      <c r="V466" s="89"/>
      <c r="W466" s="89"/>
      <c r="X466" s="89"/>
      <c r="Y466" s="89"/>
      <c r="Z466" s="89"/>
      <c r="AA466" s="89"/>
      <c r="AB466" s="89"/>
      <c r="AC466" s="89"/>
      <c r="AD466" s="89"/>
      <c r="AE466" s="89"/>
    </row>
    <row r="467">
      <c r="A467" s="445"/>
      <c r="B467" s="420"/>
      <c r="C467" s="420"/>
      <c r="D467" s="420"/>
      <c r="E467" s="420"/>
      <c r="F467" s="420"/>
      <c r="G467" s="420"/>
      <c r="H467" s="420"/>
      <c r="I467" s="89"/>
      <c r="J467" s="89"/>
      <c r="K467" s="89"/>
      <c r="L467" s="89"/>
      <c r="M467" s="89"/>
      <c r="N467" s="89"/>
      <c r="O467" s="89"/>
      <c r="P467" s="89"/>
      <c r="Q467" s="89"/>
      <c r="R467" s="89"/>
      <c r="S467" s="89"/>
      <c r="T467" s="89"/>
      <c r="U467" s="89"/>
      <c r="V467" s="89"/>
      <c r="W467" s="89"/>
      <c r="X467" s="89"/>
      <c r="Y467" s="89"/>
      <c r="Z467" s="89"/>
      <c r="AA467" s="89"/>
      <c r="AB467" s="89"/>
      <c r="AC467" s="89"/>
      <c r="AD467" s="89"/>
      <c r="AE467" s="89"/>
    </row>
    <row r="468">
      <c r="A468" s="445"/>
      <c r="B468" s="420"/>
      <c r="C468" s="420"/>
      <c r="D468" s="420"/>
      <c r="E468" s="420"/>
      <c r="F468" s="420"/>
      <c r="G468" s="420"/>
      <c r="H468" s="420"/>
      <c r="I468" s="89"/>
      <c r="J468" s="89"/>
      <c r="K468" s="89"/>
      <c r="L468" s="89"/>
      <c r="M468" s="89"/>
      <c r="N468" s="89"/>
      <c r="O468" s="89"/>
      <c r="P468" s="89"/>
      <c r="Q468" s="89"/>
      <c r="R468" s="89"/>
      <c r="S468" s="89"/>
      <c r="T468" s="89"/>
      <c r="U468" s="89"/>
      <c r="V468" s="89"/>
      <c r="W468" s="89"/>
      <c r="X468" s="89"/>
      <c r="Y468" s="89"/>
      <c r="Z468" s="89"/>
      <c r="AA468" s="89"/>
      <c r="AB468" s="89"/>
      <c r="AC468" s="89"/>
      <c r="AD468" s="89"/>
      <c r="AE468" s="89"/>
    </row>
    <row r="469">
      <c r="A469" s="445"/>
      <c r="B469" s="420"/>
      <c r="C469" s="420"/>
      <c r="D469" s="420"/>
      <c r="E469" s="420"/>
      <c r="F469" s="420"/>
      <c r="G469" s="420"/>
      <c r="H469" s="420"/>
      <c r="I469" s="89"/>
      <c r="J469" s="89"/>
      <c r="K469" s="89"/>
      <c r="L469" s="89"/>
      <c r="M469" s="89"/>
      <c r="N469" s="89"/>
      <c r="O469" s="89"/>
      <c r="P469" s="89"/>
      <c r="Q469" s="89"/>
      <c r="R469" s="89"/>
      <c r="S469" s="89"/>
      <c r="T469" s="89"/>
      <c r="U469" s="89"/>
      <c r="V469" s="89"/>
      <c r="W469" s="89"/>
      <c r="X469" s="89"/>
      <c r="Y469" s="89"/>
      <c r="Z469" s="89"/>
      <c r="AA469" s="89"/>
      <c r="AB469" s="89"/>
      <c r="AC469" s="89"/>
      <c r="AD469" s="89"/>
      <c r="AE469" s="89"/>
    </row>
    <row r="470">
      <c r="A470" s="445"/>
      <c r="B470" s="420"/>
      <c r="C470" s="420"/>
      <c r="D470" s="420"/>
      <c r="E470" s="420"/>
      <c r="F470" s="420"/>
      <c r="G470" s="420"/>
      <c r="H470" s="420"/>
      <c r="I470" s="89"/>
      <c r="J470" s="89"/>
      <c r="K470" s="89"/>
      <c r="L470" s="89"/>
      <c r="M470" s="89"/>
      <c r="N470" s="89"/>
      <c r="O470" s="89"/>
      <c r="P470" s="89"/>
      <c r="Q470" s="89"/>
      <c r="R470" s="89"/>
      <c r="S470" s="89"/>
      <c r="T470" s="89"/>
      <c r="U470" s="89"/>
      <c r="V470" s="89"/>
      <c r="W470" s="89"/>
      <c r="X470" s="89"/>
      <c r="Y470" s="89"/>
      <c r="Z470" s="89"/>
      <c r="AA470" s="89"/>
      <c r="AB470" s="89"/>
      <c r="AC470" s="89"/>
      <c r="AD470" s="89"/>
      <c r="AE470" s="89"/>
    </row>
    <row r="471">
      <c r="A471" s="445"/>
      <c r="B471" s="420"/>
      <c r="C471" s="420"/>
      <c r="D471" s="420"/>
      <c r="E471" s="420"/>
      <c r="F471" s="420"/>
      <c r="G471" s="420"/>
      <c r="H471" s="420"/>
      <c r="I471" s="89"/>
      <c r="J471" s="89"/>
      <c r="K471" s="89"/>
      <c r="L471" s="89"/>
      <c r="M471" s="89"/>
      <c r="N471" s="89"/>
      <c r="O471" s="89"/>
      <c r="P471" s="89"/>
      <c r="Q471" s="89"/>
      <c r="R471" s="89"/>
      <c r="S471" s="89"/>
      <c r="T471" s="89"/>
      <c r="U471" s="89"/>
      <c r="V471" s="89"/>
      <c r="W471" s="89"/>
      <c r="X471" s="89"/>
      <c r="Y471" s="89"/>
      <c r="Z471" s="89"/>
      <c r="AA471" s="89"/>
      <c r="AB471" s="89"/>
      <c r="AC471" s="89"/>
      <c r="AD471" s="89"/>
      <c r="AE471" s="89"/>
    </row>
    <row r="472">
      <c r="A472" s="445"/>
      <c r="B472" s="420"/>
      <c r="C472" s="420"/>
      <c r="D472" s="420"/>
      <c r="E472" s="420"/>
      <c r="F472" s="420"/>
      <c r="G472" s="420"/>
      <c r="H472" s="420"/>
      <c r="I472" s="89"/>
      <c r="J472" s="89"/>
      <c r="K472" s="89"/>
      <c r="L472" s="89"/>
      <c r="M472" s="89"/>
      <c r="N472" s="89"/>
      <c r="O472" s="89"/>
      <c r="P472" s="89"/>
      <c r="Q472" s="89"/>
      <c r="R472" s="89"/>
      <c r="S472" s="89"/>
      <c r="T472" s="89"/>
      <c r="U472" s="89"/>
      <c r="V472" s="89"/>
      <c r="W472" s="89"/>
      <c r="X472" s="89"/>
      <c r="Y472" s="89"/>
      <c r="Z472" s="89"/>
      <c r="AA472" s="89"/>
      <c r="AB472" s="89"/>
      <c r="AC472" s="89"/>
      <c r="AD472" s="89"/>
      <c r="AE472" s="89"/>
    </row>
    <row r="473">
      <c r="A473" s="445"/>
      <c r="B473" s="420"/>
      <c r="C473" s="420"/>
      <c r="D473" s="420"/>
      <c r="E473" s="420"/>
      <c r="F473" s="420"/>
      <c r="G473" s="420"/>
      <c r="H473" s="420"/>
      <c r="I473" s="89"/>
      <c r="J473" s="89"/>
      <c r="K473" s="89"/>
      <c r="L473" s="89"/>
      <c r="M473" s="89"/>
      <c r="N473" s="89"/>
      <c r="O473" s="89"/>
      <c r="P473" s="89"/>
      <c r="Q473" s="89"/>
      <c r="R473" s="89"/>
      <c r="S473" s="89"/>
      <c r="T473" s="89"/>
      <c r="U473" s="89"/>
      <c r="V473" s="89"/>
      <c r="W473" s="89"/>
      <c r="X473" s="89"/>
      <c r="Y473" s="89"/>
      <c r="Z473" s="89"/>
      <c r="AA473" s="89"/>
      <c r="AB473" s="89"/>
      <c r="AC473" s="89"/>
      <c r="AD473" s="89"/>
      <c r="AE473" s="89"/>
    </row>
    <row r="474">
      <c r="A474" s="445"/>
      <c r="B474" s="420"/>
      <c r="C474" s="420"/>
      <c r="D474" s="420"/>
      <c r="E474" s="420"/>
      <c r="F474" s="420"/>
      <c r="G474" s="420"/>
      <c r="H474" s="420"/>
      <c r="I474" s="89"/>
      <c r="J474" s="89"/>
      <c r="K474" s="89"/>
      <c r="L474" s="89"/>
      <c r="M474" s="89"/>
      <c r="N474" s="89"/>
      <c r="O474" s="89"/>
      <c r="P474" s="89"/>
      <c r="Q474" s="89"/>
      <c r="R474" s="89"/>
      <c r="S474" s="89"/>
      <c r="T474" s="89"/>
      <c r="U474" s="89"/>
      <c r="V474" s="89"/>
      <c r="W474" s="89"/>
      <c r="X474" s="89"/>
      <c r="Y474" s="89"/>
      <c r="Z474" s="89"/>
      <c r="AA474" s="89"/>
      <c r="AB474" s="89"/>
      <c r="AC474" s="89"/>
      <c r="AD474" s="89"/>
      <c r="AE474" s="89"/>
    </row>
    <row r="475">
      <c r="A475" s="445"/>
      <c r="B475" s="420"/>
      <c r="C475" s="420"/>
      <c r="D475" s="420"/>
      <c r="E475" s="420"/>
      <c r="F475" s="420"/>
      <c r="G475" s="420"/>
      <c r="H475" s="420"/>
      <c r="I475" s="89"/>
      <c r="J475" s="89"/>
      <c r="K475" s="89"/>
      <c r="L475" s="89"/>
      <c r="M475" s="89"/>
      <c r="N475" s="89"/>
      <c r="O475" s="89"/>
      <c r="P475" s="89"/>
      <c r="Q475" s="89"/>
      <c r="R475" s="89"/>
      <c r="S475" s="89"/>
      <c r="T475" s="89"/>
      <c r="U475" s="89"/>
      <c r="V475" s="89"/>
      <c r="W475" s="89"/>
      <c r="X475" s="89"/>
      <c r="Y475" s="89"/>
      <c r="Z475" s="89"/>
      <c r="AA475" s="89"/>
      <c r="AB475" s="89"/>
      <c r="AC475" s="89"/>
      <c r="AD475" s="89"/>
      <c r="AE475" s="89"/>
    </row>
    <row r="476">
      <c r="A476" s="445"/>
      <c r="B476" s="420"/>
      <c r="C476" s="420"/>
      <c r="D476" s="420"/>
      <c r="E476" s="420"/>
      <c r="F476" s="420"/>
      <c r="G476" s="420"/>
      <c r="H476" s="420"/>
      <c r="I476" s="89"/>
      <c r="J476" s="89"/>
      <c r="K476" s="89"/>
      <c r="L476" s="89"/>
      <c r="M476" s="89"/>
      <c r="N476" s="89"/>
      <c r="O476" s="89"/>
      <c r="P476" s="89"/>
      <c r="Q476" s="89"/>
      <c r="R476" s="89"/>
      <c r="S476" s="89"/>
      <c r="T476" s="89"/>
      <c r="U476" s="89"/>
      <c r="V476" s="89"/>
      <c r="W476" s="89"/>
      <c r="X476" s="89"/>
      <c r="Y476" s="89"/>
      <c r="Z476" s="89"/>
      <c r="AA476" s="89"/>
      <c r="AB476" s="89"/>
      <c r="AC476" s="89"/>
      <c r="AD476" s="89"/>
      <c r="AE476" s="89"/>
    </row>
    <row r="477">
      <c r="A477" s="445"/>
      <c r="B477" s="420"/>
      <c r="C477" s="420"/>
      <c r="D477" s="420"/>
      <c r="E477" s="420"/>
      <c r="F477" s="420"/>
      <c r="G477" s="420"/>
      <c r="H477" s="420"/>
      <c r="I477" s="89"/>
      <c r="J477" s="89"/>
      <c r="K477" s="89"/>
      <c r="L477" s="89"/>
      <c r="M477" s="89"/>
      <c r="N477" s="89"/>
      <c r="O477" s="89"/>
      <c r="P477" s="89"/>
      <c r="Q477" s="89"/>
      <c r="R477" s="89"/>
      <c r="S477" s="89"/>
      <c r="T477" s="89"/>
      <c r="U477" s="89"/>
      <c r="V477" s="89"/>
      <c r="W477" s="89"/>
      <c r="X477" s="89"/>
      <c r="Y477" s="89"/>
      <c r="Z477" s="89"/>
      <c r="AA477" s="89"/>
      <c r="AB477" s="89"/>
      <c r="AC477" s="89"/>
      <c r="AD477" s="89"/>
      <c r="AE477" s="89"/>
    </row>
    <row r="478">
      <c r="A478" s="445"/>
      <c r="B478" s="420"/>
      <c r="C478" s="420"/>
      <c r="D478" s="420"/>
      <c r="E478" s="420"/>
      <c r="F478" s="420"/>
      <c r="G478" s="420"/>
      <c r="H478" s="420"/>
      <c r="I478" s="89"/>
      <c r="J478" s="89"/>
      <c r="K478" s="89"/>
      <c r="L478" s="89"/>
      <c r="M478" s="89"/>
      <c r="N478" s="89"/>
      <c r="O478" s="89"/>
      <c r="P478" s="89"/>
      <c r="Q478" s="89"/>
      <c r="R478" s="89"/>
      <c r="S478" s="89"/>
      <c r="T478" s="89"/>
      <c r="U478" s="89"/>
      <c r="V478" s="89"/>
      <c r="W478" s="89"/>
      <c r="X478" s="89"/>
      <c r="Y478" s="89"/>
      <c r="Z478" s="89"/>
      <c r="AA478" s="89"/>
      <c r="AB478" s="89"/>
      <c r="AC478" s="89"/>
      <c r="AD478" s="89"/>
      <c r="AE478" s="89"/>
    </row>
    <row r="479">
      <c r="A479" s="445"/>
      <c r="B479" s="420"/>
      <c r="C479" s="420"/>
      <c r="D479" s="420"/>
      <c r="E479" s="420"/>
      <c r="F479" s="420"/>
      <c r="G479" s="420"/>
      <c r="H479" s="420"/>
      <c r="I479" s="89"/>
      <c r="J479" s="89"/>
      <c r="K479" s="89"/>
      <c r="L479" s="89"/>
      <c r="M479" s="89"/>
      <c r="N479" s="89"/>
      <c r="O479" s="89"/>
      <c r="P479" s="89"/>
      <c r="Q479" s="89"/>
      <c r="R479" s="89"/>
      <c r="S479" s="89"/>
      <c r="T479" s="89"/>
      <c r="U479" s="89"/>
      <c r="V479" s="89"/>
      <c r="W479" s="89"/>
      <c r="X479" s="89"/>
      <c r="Y479" s="89"/>
      <c r="Z479" s="89"/>
      <c r="AA479" s="89"/>
      <c r="AB479" s="89"/>
      <c r="AC479" s="89"/>
      <c r="AD479" s="89"/>
      <c r="AE479" s="89"/>
    </row>
    <row r="480">
      <c r="A480" s="445"/>
      <c r="B480" s="420"/>
      <c r="C480" s="420"/>
      <c r="D480" s="420"/>
      <c r="E480" s="420"/>
      <c r="F480" s="420"/>
      <c r="G480" s="420"/>
      <c r="H480" s="420"/>
      <c r="I480" s="89"/>
      <c r="J480" s="89"/>
      <c r="K480" s="89"/>
      <c r="L480" s="89"/>
      <c r="M480" s="89"/>
      <c r="N480" s="89"/>
      <c r="O480" s="89"/>
      <c r="P480" s="89"/>
      <c r="Q480" s="89"/>
      <c r="R480" s="89"/>
      <c r="S480" s="89"/>
      <c r="T480" s="89"/>
      <c r="U480" s="89"/>
      <c r="V480" s="89"/>
      <c r="W480" s="89"/>
      <c r="X480" s="89"/>
      <c r="Y480" s="89"/>
      <c r="Z480" s="89"/>
      <c r="AA480" s="89"/>
      <c r="AB480" s="89"/>
      <c r="AC480" s="89"/>
      <c r="AD480" s="89"/>
      <c r="AE480" s="89"/>
    </row>
    <row r="481">
      <c r="A481" s="445"/>
      <c r="B481" s="420"/>
      <c r="C481" s="420"/>
      <c r="D481" s="420"/>
      <c r="E481" s="420"/>
      <c r="F481" s="420"/>
      <c r="G481" s="420"/>
      <c r="H481" s="420"/>
      <c r="I481" s="89"/>
      <c r="J481" s="89"/>
      <c r="K481" s="89"/>
      <c r="L481" s="89"/>
      <c r="M481" s="89"/>
      <c r="N481" s="89"/>
      <c r="O481" s="89"/>
      <c r="P481" s="89"/>
      <c r="Q481" s="89"/>
      <c r="R481" s="89"/>
      <c r="S481" s="89"/>
      <c r="T481" s="89"/>
      <c r="U481" s="89"/>
      <c r="V481" s="89"/>
      <c r="W481" s="89"/>
      <c r="X481" s="89"/>
      <c r="Y481" s="89"/>
      <c r="Z481" s="89"/>
      <c r="AA481" s="89"/>
      <c r="AB481" s="89"/>
      <c r="AC481" s="89"/>
      <c r="AD481" s="89"/>
      <c r="AE481" s="89"/>
    </row>
    <row r="482">
      <c r="A482" s="445"/>
      <c r="B482" s="420"/>
      <c r="C482" s="420"/>
      <c r="D482" s="420"/>
      <c r="E482" s="420"/>
      <c r="F482" s="420"/>
      <c r="G482" s="420"/>
      <c r="H482" s="420"/>
      <c r="I482" s="89"/>
      <c r="J482" s="89"/>
      <c r="K482" s="89"/>
      <c r="L482" s="89"/>
      <c r="M482" s="89"/>
      <c r="N482" s="89"/>
      <c r="O482" s="89"/>
      <c r="P482" s="89"/>
      <c r="Q482" s="89"/>
      <c r="R482" s="89"/>
      <c r="S482" s="89"/>
      <c r="T482" s="89"/>
      <c r="U482" s="89"/>
      <c r="V482" s="89"/>
      <c r="W482" s="89"/>
      <c r="X482" s="89"/>
      <c r="Y482" s="89"/>
      <c r="Z482" s="89"/>
      <c r="AA482" s="89"/>
      <c r="AB482" s="89"/>
      <c r="AC482" s="89"/>
      <c r="AD482" s="89"/>
      <c r="AE482" s="89"/>
    </row>
    <row r="483">
      <c r="A483" s="445"/>
      <c r="B483" s="420"/>
      <c r="C483" s="420"/>
      <c r="D483" s="420"/>
      <c r="E483" s="420"/>
      <c r="F483" s="420"/>
      <c r="G483" s="420"/>
      <c r="H483" s="420"/>
      <c r="I483" s="89"/>
      <c r="J483" s="89"/>
      <c r="K483" s="89"/>
      <c r="L483" s="89"/>
      <c r="M483" s="89"/>
      <c r="N483" s="89"/>
      <c r="O483" s="89"/>
      <c r="P483" s="89"/>
      <c r="Q483" s="89"/>
      <c r="R483" s="89"/>
      <c r="S483" s="89"/>
      <c r="T483" s="89"/>
      <c r="U483" s="89"/>
      <c r="V483" s="89"/>
      <c r="W483" s="89"/>
      <c r="X483" s="89"/>
      <c r="Y483" s="89"/>
      <c r="Z483" s="89"/>
      <c r="AA483" s="89"/>
      <c r="AB483" s="89"/>
      <c r="AC483" s="89"/>
      <c r="AD483" s="89"/>
      <c r="AE483" s="89"/>
    </row>
    <row r="484">
      <c r="A484" s="445"/>
      <c r="B484" s="420"/>
      <c r="C484" s="420"/>
      <c r="D484" s="420"/>
      <c r="E484" s="420"/>
      <c r="F484" s="420"/>
      <c r="G484" s="420"/>
      <c r="H484" s="420"/>
      <c r="I484" s="89"/>
      <c r="J484" s="89"/>
      <c r="K484" s="89"/>
      <c r="L484" s="89"/>
      <c r="M484" s="89"/>
      <c r="N484" s="89"/>
      <c r="O484" s="89"/>
      <c r="P484" s="89"/>
      <c r="Q484" s="89"/>
      <c r="R484" s="89"/>
      <c r="S484" s="89"/>
      <c r="T484" s="89"/>
      <c r="U484" s="89"/>
      <c r="V484" s="89"/>
      <c r="W484" s="89"/>
      <c r="X484" s="89"/>
      <c r="Y484" s="89"/>
      <c r="Z484" s="89"/>
      <c r="AA484" s="89"/>
      <c r="AB484" s="89"/>
      <c r="AC484" s="89"/>
      <c r="AD484" s="89"/>
      <c r="AE484" s="89"/>
    </row>
    <row r="485">
      <c r="A485" s="445"/>
      <c r="B485" s="420"/>
      <c r="C485" s="420"/>
      <c r="D485" s="420"/>
      <c r="E485" s="420"/>
      <c r="F485" s="420"/>
      <c r="G485" s="420"/>
      <c r="H485" s="420"/>
      <c r="I485" s="89"/>
      <c r="J485" s="89"/>
      <c r="K485" s="89"/>
      <c r="L485" s="89"/>
      <c r="M485" s="89"/>
      <c r="N485" s="89"/>
      <c r="O485" s="89"/>
      <c r="P485" s="89"/>
      <c r="Q485" s="89"/>
      <c r="R485" s="89"/>
      <c r="S485" s="89"/>
      <c r="T485" s="89"/>
      <c r="U485" s="89"/>
      <c r="V485" s="89"/>
      <c r="W485" s="89"/>
      <c r="X485" s="89"/>
      <c r="Y485" s="89"/>
      <c r="Z485" s="89"/>
      <c r="AA485" s="89"/>
      <c r="AB485" s="89"/>
      <c r="AC485" s="89"/>
      <c r="AD485" s="89"/>
      <c r="AE485" s="89"/>
    </row>
    <row r="486">
      <c r="A486" s="445"/>
      <c r="B486" s="420"/>
      <c r="C486" s="420"/>
      <c r="D486" s="420"/>
      <c r="E486" s="420"/>
      <c r="F486" s="420"/>
      <c r="G486" s="420"/>
      <c r="H486" s="420"/>
      <c r="I486" s="89"/>
      <c r="J486" s="89"/>
      <c r="K486" s="89"/>
      <c r="L486" s="89"/>
      <c r="M486" s="89"/>
      <c r="N486" s="89"/>
      <c r="O486" s="89"/>
      <c r="P486" s="89"/>
      <c r="Q486" s="89"/>
      <c r="R486" s="89"/>
      <c r="S486" s="89"/>
      <c r="T486" s="89"/>
      <c r="U486" s="89"/>
      <c r="V486" s="89"/>
      <c r="W486" s="89"/>
      <c r="X486" s="89"/>
      <c r="Y486" s="89"/>
      <c r="Z486" s="89"/>
      <c r="AA486" s="89"/>
      <c r="AB486" s="89"/>
      <c r="AC486" s="89"/>
      <c r="AD486" s="89"/>
      <c r="AE486" s="89"/>
    </row>
    <row r="487">
      <c r="A487" s="445"/>
      <c r="B487" s="420"/>
      <c r="C487" s="420"/>
      <c r="D487" s="420"/>
      <c r="E487" s="420"/>
      <c r="F487" s="420"/>
      <c r="G487" s="420"/>
      <c r="H487" s="420"/>
      <c r="I487" s="89"/>
      <c r="J487" s="89"/>
      <c r="K487" s="89"/>
      <c r="L487" s="89"/>
      <c r="M487" s="89"/>
      <c r="N487" s="89"/>
      <c r="O487" s="89"/>
      <c r="P487" s="89"/>
      <c r="Q487" s="89"/>
      <c r="R487" s="89"/>
      <c r="S487" s="89"/>
      <c r="T487" s="89"/>
      <c r="U487" s="89"/>
      <c r="V487" s="89"/>
      <c r="W487" s="89"/>
      <c r="X487" s="89"/>
      <c r="Y487" s="89"/>
      <c r="Z487" s="89"/>
      <c r="AA487" s="89"/>
      <c r="AB487" s="89"/>
      <c r="AC487" s="89"/>
      <c r="AD487" s="89"/>
      <c r="AE487" s="89"/>
    </row>
    <row r="488">
      <c r="A488" s="445"/>
      <c r="B488" s="420"/>
      <c r="C488" s="420"/>
      <c r="D488" s="420"/>
      <c r="E488" s="420"/>
      <c r="F488" s="420"/>
      <c r="G488" s="420"/>
      <c r="H488" s="420"/>
      <c r="I488" s="89"/>
      <c r="J488" s="89"/>
      <c r="K488" s="89"/>
      <c r="L488" s="89"/>
      <c r="M488" s="89"/>
      <c r="N488" s="89"/>
      <c r="O488" s="89"/>
      <c r="P488" s="89"/>
      <c r="Q488" s="89"/>
      <c r="R488" s="89"/>
      <c r="S488" s="89"/>
      <c r="T488" s="89"/>
      <c r="U488" s="89"/>
      <c r="V488" s="89"/>
      <c r="W488" s="89"/>
      <c r="X488" s="89"/>
      <c r="Y488" s="89"/>
      <c r="Z488" s="89"/>
      <c r="AA488" s="89"/>
      <c r="AB488" s="89"/>
      <c r="AC488" s="89"/>
      <c r="AD488" s="89"/>
      <c r="AE488" s="89"/>
    </row>
    <row r="489">
      <c r="A489" s="445"/>
      <c r="B489" s="420"/>
      <c r="C489" s="420"/>
      <c r="D489" s="420"/>
      <c r="E489" s="420"/>
      <c r="F489" s="420"/>
      <c r="G489" s="420"/>
      <c r="H489" s="420"/>
      <c r="I489" s="89"/>
      <c r="J489" s="89"/>
      <c r="K489" s="89"/>
      <c r="L489" s="89"/>
      <c r="M489" s="89"/>
      <c r="N489" s="89"/>
      <c r="O489" s="89"/>
      <c r="P489" s="89"/>
      <c r="Q489" s="89"/>
      <c r="R489" s="89"/>
      <c r="S489" s="89"/>
      <c r="T489" s="89"/>
      <c r="U489" s="89"/>
      <c r="V489" s="89"/>
      <c r="W489" s="89"/>
      <c r="X489" s="89"/>
      <c r="Y489" s="89"/>
      <c r="Z489" s="89"/>
      <c r="AA489" s="89"/>
      <c r="AB489" s="89"/>
      <c r="AC489" s="89"/>
      <c r="AD489" s="89"/>
      <c r="AE489" s="89"/>
    </row>
    <row r="490">
      <c r="A490" s="445"/>
      <c r="B490" s="420"/>
      <c r="C490" s="420"/>
      <c r="D490" s="420"/>
      <c r="E490" s="420"/>
      <c r="F490" s="420"/>
      <c r="G490" s="420"/>
      <c r="H490" s="420"/>
      <c r="I490" s="89"/>
      <c r="J490" s="89"/>
      <c r="K490" s="89"/>
      <c r="L490" s="89"/>
      <c r="M490" s="89"/>
      <c r="N490" s="89"/>
      <c r="O490" s="89"/>
      <c r="P490" s="89"/>
      <c r="Q490" s="89"/>
      <c r="R490" s="89"/>
      <c r="S490" s="89"/>
      <c r="T490" s="89"/>
      <c r="U490" s="89"/>
      <c r="V490" s="89"/>
      <c r="W490" s="89"/>
      <c r="X490" s="89"/>
      <c r="Y490" s="89"/>
      <c r="Z490" s="89"/>
      <c r="AA490" s="89"/>
      <c r="AB490" s="89"/>
      <c r="AC490" s="89"/>
      <c r="AD490" s="89"/>
      <c r="AE490" s="89"/>
    </row>
    <row r="491">
      <c r="A491" s="445"/>
      <c r="B491" s="420"/>
      <c r="C491" s="420"/>
      <c r="D491" s="420"/>
      <c r="E491" s="420"/>
      <c r="F491" s="420"/>
      <c r="G491" s="420"/>
      <c r="H491" s="420"/>
      <c r="I491" s="89"/>
      <c r="J491" s="89"/>
      <c r="K491" s="89"/>
      <c r="L491" s="89"/>
      <c r="M491" s="89"/>
      <c r="N491" s="89"/>
      <c r="O491" s="89"/>
      <c r="P491" s="89"/>
      <c r="Q491" s="89"/>
      <c r="R491" s="89"/>
      <c r="S491" s="89"/>
      <c r="T491" s="89"/>
      <c r="U491" s="89"/>
      <c r="V491" s="89"/>
      <c r="W491" s="89"/>
      <c r="X491" s="89"/>
      <c r="Y491" s="89"/>
      <c r="Z491" s="89"/>
      <c r="AA491" s="89"/>
      <c r="AB491" s="89"/>
      <c r="AC491" s="89"/>
      <c r="AD491" s="89"/>
      <c r="AE491" s="89"/>
    </row>
    <row r="492">
      <c r="A492" s="445"/>
      <c r="B492" s="420"/>
      <c r="C492" s="420"/>
      <c r="D492" s="420"/>
      <c r="E492" s="420"/>
      <c r="F492" s="420"/>
      <c r="G492" s="420"/>
      <c r="H492" s="420"/>
      <c r="I492" s="89"/>
      <c r="J492" s="89"/>
      <c r="K492" s="89"/>
      <c r="L492" s="89"/>
      <c r="M492" s="89"/>
      <c r="N492" s="89"/>
      <c r="O492" s="89"/>
      <c r="P492" s="89"/>
      <c r="Q492" s="89"/>
      <c r="R492" s="89"/>
      <c r="S492" s="89"/>
      <c r="T492" s="89"/>
      <c r="U492" s="89"/>
      <c r="V492" s="89"/>
      <c r="W492" s="89"/>
      <c r="X492" s="89"/>
      <c r="Y492" s="89"/>
      <c r="Z492" s="89"/>
      <c r="AA492" s="89"/>
      <c r="AB492" s="89"/>
      <c r="AC492" s="89"/>
      <c r="AD492" s="89"/>
      <c r="AE492" s="89"/>
    </row>
    <row r="493">
      <c r="A493" s="445"/>
      <c r="B493" s="420"/>
      <c r="C493" s="420"/>
      <c r="D493" s="420"/>
      <c r="E493" s="420"/>
      <c r="F493" s="420"/>
      <c r="G493" s="420"/>
      <c r="H493" s="420"/>
      <c r="I493" s="89"/>
      <c r="J493" s="89"/>
      <c r="K493" s="89"/>
      <c r="L493" s="89"/>
      <c r="M493" s="89"/>
      <c r="N493" s="89"/>
      <c r="O493" s="89"/>
      <c r="P493" s="89"/>
      <c r="Q493" s="89"/>
      <c r="R493" s="89"/>
      <c r="S493" s="89"/>
      <c r="T493" s="89"/>
      <c r="U493" s="89"/>
      <c r="V493" s="89"/>
      <c r="W493" s="89"/>
      <c r="X493" s="89"/>
      <c r="Y493" s="89"/>
      <c r="Z493" s="89"/>
      <c r="AA493" s="89"/>
      <c r="AB493" s="89"/>
      <c r="AC493" s="89"/>
      <c r="AD493" s="89"/>
      <c r="AE493" s="89"/>
    </row>
    <row r="494">
      <c r="A494" s="445"/>
      <c r="B494" s="420"/>
      <c r="C494" s="420"/>
      <c r="D494" s="420"/>
      <c r="E494" s="420"/>
      <c r="F494" s="420"/>
      <c r="G494" s="420"/>
      <c r="H494" s="420"/>
      <c r="I494" s="89"/>
      <c r="J494" s="89"/>
      <c r="K494" s="89"/>
      <c r="L494" s="89"/>
      <c r="M494" s="89"/>
      <c r="N494" s="89"/>
      <c r="O494" s="89"/>
      <c r="P494" s="89"/>
      <c r="Q494" s="89"/>
      <c r="R494" s="89"/>
      <c r="S494" s="89"/>
      <c r="T494" s="89"/>
      <c r="U494" s="89"/>
      <c r="V494" s="89"/>
      <c r="W494" s="89"/>
      <c r="X494" s="89"/>
      <c r="Y494" s="89"/>
      <c r="Z494" s="89"/>
      <c r="AA494" s="89"/>
      <c r="AB494" s="89"/>
      <c r="AC494" s="89"/>
      <c r="AD494" s="89"/>
      <c r="AE494" s="89"/>
    </row>
    <row r="495">
      <c r="A495" s="445"/>
      <c r="B495" s="420"/>
      <c r="C495" s="420"/>
      <c r="D495" s="420"/>
      <c r="E495" s="420"/>
      <c r="F495" s="420"/>
      <c r="G495" s="420"/>
      <c r="H495" s="420"/>
      <c r="I495" s="89"/>
      <c r="J495" s="89"/>
      <c r="K495" s="89"/>
      <c r="L495" s="89"/>
      <c r="M495" s="89"/>
      <c r="N495" s="89"/>
      <c r="O495" s="89"/>
      <c r="P495" s="89"/>
      <c r="Q495" s="89"/>
      <c r="R495" s="89"/>
      <c r="S495" s="89"/>
      <c r="T495" s="89"/>
      <c r="U495" s="89"/>
      <c r="V495" s="89"/>
      <c r="W495" s="89"/>
      <c r="X495" s="89"/>
      <c r="Y495" s="89"/>
      <c r="Z495" s="89"/>
      <c r="AA495" s="89"/>
      <c r="AB495" s="89"/>
      <c r="AC495" s="89"/>
      <c r="AD495" s="89"/>
      <c r="AE495" s="89"/>
    </row>
    <row r="496">
      <c r="A496" s="445"/>
      <c r="B496" s="420"/>
      <c r="C496" s="420"/>
      <c r="D496" s="420"/>
      <c r="E496" s="420"/>
      <c r="F496" s="420"/>
      <c r="G496" s="420"/>
      <c r="H496" s="420"/>
      <c r="I496" s="89"/>
      <c r="J496" s="89"/>
      <c r="K496" s="89"/>
      <c r="L496" s="89"/>
      <c r="M496" s="89"/>
      <c r="N496" s="89"/>
      <c r="O496" s="89"/>
      <c r="P496" s="89"/>
      <c r="Q496" s="89"/>
      <c r="R496" s="89"/>
      <c r="S496" s="89"/>
      <c r="T496" s="89"/>
      <c r="U496" s="89"/>
      <c r="V496" s="89"/>
      <c r="W496" s="89"/>
      <c r="X496" s="89"/>
      <c r="Y496" s="89"/>
      <c r="Z496" s="89"/>
      <c r="AA496" s="89"/>
      <c r="AB496" s="89"/>
      <c r="AC496" s="89"/>
      <c r="AD496" s="89"/>
      <c r="AE496" s="89"/>
    </row>
    <row r="497">
      <c r="A497" s="445"/>
      <c r="B497" s="420"/>
      <c r="C497" s="420"/>
      <c r="D497" s="420"/>
      <c r="E497" s="420"/>
      <c r="F497" s="420"/>
      <c r="G497" s="420"/>
      <c r="H497" s="420"/>
      <c r="I497" s="89"/>
      <c r="J497" s="89"/>
      <c r="K497" s="89"/>
      <c r="L497" s="89"/>
      <c r="M497" s="89"/>
      <c r="N497" s="89"/>
      <c r="O497" s="89"/>
      <c r="P497" s="89"/>
      <c r="Q497" s="89"/>
      <c r="R497" s="89"/>
      <c r="S497" s="89"/>
      <c r="T497" s="89"/>
      <c r="U497" s="89"/>
      <c r="V497" s="89"/>
      <c r="W497" s="89"/>
      <c r="X497" s="89"/>
      <c r="Y497" s="89"/>
      <c r="Z497" s="89"/>
      <c r="AA497" s="89"/>
      <c r="AB497" s="89"/>
      <c r="AC497" s="89"/>
      <c r="AD497" s="89"/>
      <c r="AE497" s="89"/>
    </row>
    <row r="498">
      <c r="A498" s="445"/>
      <c r="B498" s="420"/>
      <c r="C498" s="420"/>
      <c r="D498" s="420"/>
      <c r="E498" s="420"/>
      <c r="F498" s="420"/>
      <c r="G498" s="420"/>
      <c r="H498" s="420"/>
      <c r="I498" s="89"/>
      <c r="J498" s="89"/>
      <c r="K498" s="89"/>
      <c r="L498" s="89"/>
      <c r="M498" s="89"/>
      <c r="N498" s="89"/>
      <c r="O498" s="89"/>
      <c r="P498" s="89"/>
      <c r="Q498" s="89"/>
      <c r="R498" s="89"/>
      <c r="S498" s="89"/>
      <c r="T498" s="89"/>
      <c r="U498" s="89"/>
      <c r="V498" s="89"/>
      <c r="W498" s="89"/>
      <c r="X498" s="89"/>
      <c r="Y498" s="89"/>
      <c r="Z498" s="89"/>
      <c r="AA498" s="89"/>
      <c r="AB498" s="89"/>
      <c r="AC498" s="89"/>
      <c r="AD498" s="89"/>
      <c r="AE498" s="89"/>
    </row>
    <row r="499">
      <c r="A499" s="445"/>
      <c r="B499" s="420"/>
      <c r="C499" s="420"/>
      <c r="D499" s="420"/>
      <c r="E499" s="420"/>
      <c r="F499" s="420"/>
      <c r="G499" s="420"/>
      <c r="H499" s="420"/>
      <c r="I499" s="89"/>
      <c r="J499" s="89"/>
      <c r="K499" s="89"/>
      <c r="L499" s="89"/>
      <c r="M499" s="89"/>
      <c r="N499" s="89"/>
      <c r="O499" s="89"/>
      <c r="P499" s="89"/>
      <c r="Q499" s="89"/>
      <c r="R499" s="89"/>
      <c r="S499" s="89"/>
      <c r="T499" s="89"/>
      <c r="U499" s="89"/>
      <c r="V499" s="89"/>
      <c r="W499" s="89"/>
      <c r="X499" s="89"/>
      <c r="Y499" s="89"/>
      <c r="Z499" s="89"/>
      <c r="AA499" s="89"/>
      <c r="AB499" s="89"/>
      <c r="AC499" s="89"/>
      <c r="AD499" s="89"/>
      <c r="AE499" s="89"/>
    </row>
    <row r="500">
      <c r="A500" s="445"/>
      <c r="B500" s="420"/>
      <c r="C500" s="420"/>
      <c r="D500" s="420"/>
      <c r="E500" s="420"/>
      <c r="F500" s="420"/>
      <c r="G500" s="420"/>
      <c r="H500" s="420"/>
      <c r="I500" s="89"/>
      <c r="J500" s="89"/>
      <c r="K500" s="89"/>
      <c r="L500" s="89"/>
      <c r="M500" s="89"/>
      <c r="N500" s="89"/>
      <c r="O500" s="89"/>
      <c r="P500" s="89"/>
      <c r="Q500" s="89"/>
      <c r="R500" s="89"/>
      <c r="S500" s="89"/>
      <c r="T500" s="89"/>
      <c r="U500" s="89"/>
      <c r="V500" s="89"/>
      <c r="W500" s="89"/>
      <c r="X500" s="89"/>
      <c r="Y500" s="89"/>
      <c r="Z500" s="89"/>
      <c r="AA500" s="89"/>
      <c r="AB500" s="89"/>
      <c r="AC500" s="89"/>
      <c r="AD500" s="89"/>
      <c r="AE500" s="89"/>
    </row>
    <row r="501">
      <c r="A501" s="445"/>
      <c r="B501" s="420"/>
      <c r="C501" s="420"/>
      <c r="D501" s="420"/>
      <c r="E501" s="420"/>
      <c r="F501" s="420"/>
      <c r="G501" s="420"/>
      <c r="H501" s="420"/>
      <c r="I501" s="89"/>
      <c r="J501" s="89"/>
      <c r="K501" s="89"/>
      <c r="L501" s="89"/>
      <c r="M501" s="89"/>
      <c r="N501" s="89"/>
      <c r="O501" s="89"/>
      <c r="P501" s="89"/>
      <c r="Q501" s="89"/>
      <c r="R501" s="89"/>
      <c r="S501" s="89"/>
      <c r="T501" s="89"/>
      <c r="U501" s="89"/>
      <c r="V501" s="89"/>
      <c r="W501" s="89"/>
      <c r="X501" s="89"/>
      <c r="Y501" s="89"/>
      <c r="Z501" s="89"/>
      <c r="AA501" s="89"/>
      <c r="AB501" s="89"/>
      <c r="AC501" s="89"/>
      <c r="AD501" s="89"/>
      <c r="AE501" s="89"/>
    </row>
    <row r="502">
      <c r="A502" s="445"/>
      <c r="B502" s="420"/>
      <c r="C502" s="420"/>
      <c r="D502" s="420"/>
      <c r="E502" s="420"/>
      <c r="F502" s="420"/>
      <c r="G502" s="420"/>
      <c r="H502" s="420"/>
      <c r="I502" s="89"/>
      <c r="J502" s="89"/>
      <c r="K502" s="89"/>
      <c r="L502" s="89"/>
      <c r="M502" s="89"/>
      <c r="N502" s="89"/>
      <c r="O502" s="89"/>
      <c r="P502" s="89"/>
      <c r="Q502" s="89"/>
      <c r="R502" s="89"/>
      <c r="S502" s="89"/>
      <c r="T502" s="89"/>
      <c r="U502" s="89"/>
      <c r="V502" s="89"/>
      <c r="W502" s="89"/>
      <c r="X502" s="89"/>
      <c r="Y502" s="89"/>
      <c r="Z502" s="89"/>
      <c r="AA502" s="89"/>
      <c r="AB502" s="89"/>
      <c r="AC502" s="89"/>
      <c r="AD502" s="89"/>
      <c r="AE502" s="89"/>
    </row>
    <row r="503">
      <c r="A503" s="445"/>
      <c r="B503" s="420"/>
      <c r="C503" s="420"/>
      <c r="D503" s="420"/>
      <c r="E503" s="420"/>
      <c r="F503" s="420"/>
      <c r="G503" s="420"/>
      <c r="H503" s="420"/>
      <c r="I503" s="89"/>
      <c r="J503" s="89"/>
      <c r="K503" s="89"/>
      <c r="L503" s="89"/>
      <c r="M503" s="89"/>
      <c r="N503" s="89"/>
      <c r="O503" s="89"/>
      <c r="P503" s="89"/>
      <c r="Q503" s="89"/>
      <c r="R503" s="89"/>
      <c r="S503" s="89"/>
      <c r="T503" s="89"/>
      <c r="U503" s="89"/>
      <c r="V503" s="89"/>
      <c r="W503" s="89"/>
      <c r="X503" s="89"/>
      <c r="Y503" s="89"/>
      <c r="Z503" s="89"/>
      <c r="AA503" s="89"/>
      <c r="AB503" s="89"/>
      <c r="AC503" s="89"/>
      <c r="AD503" s="89"/>
      <c r="AE503" s="89"/>
    </row>
    <row r="504">
      <c r="A504" s="445"/>
      <c r="B504" s="420"/>
      <c r="C504" s="420"/>
      <c r="D504" s="420"/>
      <c r="E504" s="420"/>
      <c r="F504" s="420"/>
      <c r="G504" s="420"/>
      <c r="H504" s="420"/>
      <c r="I504" s="89"/>
      <c r="J504" s="89"/>
      <c r="K504" s="89"/>
      <c r="L504" s="89"/>
      <c r="M504" s="89"/>
      <c r="N504" s="89"/>
      <c r="O504" s="89"/>
      <c r="P504" s="89"/>
      <c r="Q504" s="89"/>
      <c r="R504" s="89"/>
      <c r="S504" s="89"/>
      <c r="T504" s="89"/>
      <c r="U504" s="89"/>
      <c r="V504" s="89"/>
      <c r="W504" s="89"/>
      <c r="X504" s="89"/>
      <c r="Y504" s="89"/>
      <c r="Z504" s="89"/>
      <c r="AA504" s="89"/>
      <c r="AB504" s="89"/>
      <c r="AC504" s="89"/>
      <c r="AD504" s="89"/>
      <c r="AE504" s="89"/>
    </row>
    <row r="505">
      <c r="A505" s="445"/>
      <c r="B505" s="420"/>
      <c r="C505" s="420"/>
      <c r="D505" s="420"/>
      <c r="E505" s="420"/>
      <c r="F505" s="420"/>
      <c r="G505" s="420"/>
      <c r="H505" s="420"/>
      <c r="I505" s="89"/>
      <c r="J505" s="89"/>
      <c r="K505" s="89"/>
      <c r="L505" s="89"/>
      <c r="M505" s="89"/>
      <c r="N505" s="89"/>
      <c r="O505" s="89"/>
      <c r="P505" s="89"/>
      <c r="Q505" s="89"/>
      <c r="R505" s="89"/>
      <c r="S505" s="89"/>
      <c r="T505" s="89"/>
      <c r="U505" s="89"/>
      <c r="V505" s="89"/>
      <c r="W505" s="89"/>
      <c r="X505" s="89"/>
      <c r="Y505" s="89"/>
      <c r="Z505" s="89"/>
      <c r="AA505" s="89"/>
      <c r="AB505" s="89"/>
      <c r="AC505" s="89"/>
      <c r="AD505" s="89"/>
      <c r="AE505" s="89"/>
    </row>
    <row r="506">
      <c r="A506" s="445"/>
      <c r="B506" s="420"/>
      <c r="C506" s="420"/>
      <c r="D506" s="420"/>
      <c r="E506" s="420"/>
      <c r="F506" s="420"/>
      <c r="G506" s="420"/>
      <c r="H506" s="420"/>
      <c r="I506" s="89"/>
      <c r="J506" s="89"/>
      <c r="K506" s="89"/>
      <c r="L506" s="89"/>
      <c r="M506" s="89"/>
      <c r="N506" s="89"/>
      <c r="O506" s="89"/>
      <c r="P506" s="89"/>
      <c r="Q506" s="89"/>
      <c r="R506" s="89"/>
      <c r="S506" s="89"/>
      <c r="T506" s="89"/>
      <c r="U506" s="89"/>
      <c r="V506" s="89"/>
      <c r="W506" s="89"/>
      <c r="X506" s="89"/>
      <c r="Y506" s="89"/>
      <c r="Z506" s="89"/>
      <c r="AA506" s="89"/>
      <c r="AB506" s="89"/>
      <c r="AC506" s="89"/>
      <c r="AD506" s="89"/>
      <c r="AE506" s="89"/>
    </row>
    <row r="507">
      <c r="A507" s="445"/>
      <c r="B507" s="420"/>
      <c r="C507" s="420"/>
      <c r="D507" s="420"/>
      <c r="E507" s="420"/>
      <c r="F507" s="420"/>
      <c r="G507" s="420"/>
      <c r="H507" s="420"/>
      <c r="I507" s="89"/>
      <c r="J507" s="89"/>
      <c r="K507" s="89"/>
      <c r="L507" s="89"/>
      <c r="M507" s="89"/>
      <c r="N507" s="89"/>
      <c r="O507" s="89"/>
      <c r="P507" s="89"/>
      <c r="Q507" s="89"/>
      <c r="R507" s="89"/>
      <c r="S507" s="89"/>
      <c r="T507" s="89"/>
      <c r="U507" s="89"/>
      <c r="V507" s="89"/>
      <c r="W507" s="89"/>
      <c r="X507" s="89"/>
      <c r="Y507" s="89"/>
      <c r="Z507" s="89"/>
      <c r="AA507" s="89"/>
      <c r="AB507" s="89"/>
      <c r="AC507" s="89"/>
      <c r="AD507" s="89"/>
      <c r="AE507" s="89"/>
    </row>
    <row r="508">
      <c r="A508" s="445"/>
      <c r="B508" s="420"/>
      <c r="C508" s="420"/>
      <c r="D508" s="420"/>
      <c r="E508" s="420"/>
      <c r="F508" s="420"/>
      <c r="G508" s="420"/>
      <c r="H508" s="420"/>
      <c r="I508" s="89"/>
      <c r="J508" s="89"/>
      <c r="K508" s="89"/>
      <c r="L508" s="89"/>
      <c r="M508" s="89"/>
      <c r="N508" s="89"/>
      <c r="O508" s="89"/>
      <c r="P508" s="89"/>
      <c r="Q508" s="89"/>
      <c r="R508" s="89"/>
      <c r="S508" s="89"/>
      <c r="T508" s="89"/>
      <c r="U508" s="89"/>
      <c r="V508" s="89"/>
      <c r="W508" s="89"/>
      <c r="X508" s="89"/>
      <c r="Y508" s="89"/>
      <c r="Z508" s="89"/>
      <c r="AA508" s="89"/>
      <c r="AB508" s="89"/>
      <c r="AC508" s="89"/>
      <c r="AD508" s="89"/>
      <c r="AE508" s="89"/>
    </row>
    <row r="509">
      <c r="A509" s="445"/>
      <c r="B509" s="420"/>
      <c r="C509" s="420"/>
      <c r="D509" s="420"/>
      <c r="E509" s="420"/>
      <c r="F509" s="420"/>
      <c r="G509" s="420"/>
      <c r="H509" s="420"/>
      <c r="I509" s="89"/>
      <c r="J509" s="89"/>
      <c r="K509" s="89"/>
      <c r="L509" s="89"/>
      <c r="M509" s="89"/>
      <c r="N509" s="89"/>
      <c r="O509" s="89"/>
      <c r="P509" s="89"/>
      <c r="Q509" s="89"/>
      <c r="R509" s="89"/>
      <c r="S509" s="89"/>
      <c r="T509" s="89"/>
      <c r="U509" s="89"/>
      <c r="V509" s="89"/>
      <c r="W509" s="89"/>
      <c r="X509" s="89"/>
      <c r="Y509" s="89"/>
      <c r="Z509" s="89"/>
      <c r="AA509" s="89"/>
      <c r="AB509" s="89"/>
      <c r="AC509" s="89"/>
      <c r="AD509" s="89"/>
      <c r="AE509" s="89"/>
    </row>
    <row r="510">
      <c r="A510" s="445"/>
      <c r="B510" s="420"/>
      <c r="C510" s="420"/>
      <c r="D510" s="420"/>
      <c r="E510" s="420"/>
      <c r="F510" s="420"/>
      <c r="G510" s="420"/>
      <c r="H510" s="420"/>
      <c r="I510" s="89"/>
      <c r="J510" s="89"/>
      <c r="K510" s="89"/>
      <c r="L510" s="89"/>
      <c r="M510" s="89"/>
      <c r="N510" s="89"/>
      <c r="O510" s="89"/>
      <c r="P510" s="89"/>
      <c r="Q510" s="89"/>
      <c r="R510" s="89"/>
      <c r="S510" s="89"/>
      <c r="T510" s="89"/>
      <c r="U510" s="89"/>
      <c r="V510" s="89"/>
      <c r="W510" s="89"/>
      <c r="X510" s="89"/>
      <c r="Y510" s="89"/>
      <c r="Z510" s="89"/>
      <c r="AA510" s="89"/>
      <c r="AB510" s="89"/>
      <c r="AC510" s="89"/>
      <c r="AD510" s="89"/>
      <c r="AE510" s="89"/>
    </row>
    <row r="511">
      <c r="A511" s="445"/>
      <c r="B511" s="420"/>
      <c r="C511" s="420"/>
      <c r="D511" s="420"/>
      <c r="E511" s="420"/>
      <c r="F511" s="420"/>
      <c r="G511" s="420"/>
      <c r="H511" s="420"/>
      <c r="I511" s="89"/>
      <c r="J511" s="89"/>
      <c r="K511" s="89"/>
      <c r="L511" s="89"/>
      <c r="M511" s="89"/>
      <c r="N511" s="89"/>
      <c r="O511" s="89"/>
      <c r="P511" s="89"/>
      <c r="Q511" s="89"/>
      <c r="R511" s="89"/>
      <c r="S511" s="89"/>
      <c r="T511" s="89"/>
      <c r="U511" s="89"/>
      <c r="V511" s="89"/>
      <c r="W511" s="89"/>
      <c r="X511" s="89"/>
      <c r="Y511" s="89"/>
      <c r="Z511" s="89"/>
      <c r="AA511" s="89"/>
      <c r="AB511" s="89"/>
      <c r="AC511" s="89"/>
      <c r="AD511" s="89"/>
      <c r="AE511" s="89"/>
    </row>
    <row r="512">
      <c r="A512" s="445"/>
      <c r="B512" s="420"/>
      <c r="C512" s="420"/>
      <c r="D512" s="420"/>
      <c r="E512" s="420"/>
      <c r="F512" s="420"/>
      <c r="G512" s="420"/>
      <c r="H512" s="420"/>
      <c r="I512" s="89"/>
      <c r="J512" s="89"/>
      <c r="K512" s="89"/>
      <c r="L512" s="89"/>
      <c r="M512" s="89"/>
      <c r="N512" s="89"/>
      <c r="O512" s="89"/>
      <c r="P512" s="89"/>
      <c r="Q512" s="89"/>
      <c r="R512" s="89"/>
      <c r="S512" s="89"/>
      <c r="T512" s="89"/>
      <c r="U512" s="89"/>
      <c r="V512" s="89"/>
      <c r="W512" s="89"/>
      <c r="X512" s="89"/>
      <c r="Y512" s="89"/>
      <c r="Z512" s="89"/>
      <c r="AA512" s="89"/>
      <c r="AB512" s="89"/>
      <c r="AC512" s="89"/>
      <c r="AD512" s="89"/>
      <c r="AE512" s="89"/>
    </row>
    <row r="513">
      <c r="A513" s="445"/>
      <c r="B513" s="420"/>
      <c r="C513" s="420"/>
      <c r="D513" s="420"/>
      <c r="E513" s="420"/>
      <c r="F513" s="420"/>
      <c r="G513" s="420"/>
      <c r="H513" s="420"/>
      <c r="I513" s="89"/>
      <c r="J513" s="89"/>
      <c r="K513" s="89"/>
      <c r="L513" s="89"/>
      <c r="M513" s="89"/>
      <c r="N513" s="89"/>
      <c r="O513" s="89"/>
      <c r="P513" s="89"/>
      <c r="Q513" s="89"/>
      <c r="R513" s="89"/>
      <c r="S513" s="89"/>
      <c r="T513" s="89"/>
      <c r="U513" s="89"/>
      <c r="V513" s="89"/>
      <c r="W513" s="89"/>
      <c r="X513" s="89"/>
      <c r="Y513" s="89"/>
      <c r="Z513" s="89"/>
      <c r="AA513" s="89"/>
      <c r="AB513" s="89"/>
      <c r="AC513" s="89"/>
      <c r="AD513" s="89"/>
      <c r="AE513" s="89"/>
    </row>
    <row r="514">
      <c r="A514" s="445"/>
      <c r="B514" s="420"/>
      <c r="C514" s="420"/>
      <c r="D514" s="420"/>
      <c r="E514" s="420"/>
      <c r="F514" s="420"/>
      <c r="G514" s="420"/>
      <c r="H514" s="420"/>
      <c r="I514" s="89"/>
      <c r="J514" s="89"/>
      <c r="K514" s="89"/>
      <c r="L514" s="89"/>
      <c r="M514" s="89"/>
      <c r="N514" s="89"/>
      <c r="O514" s="89"/>
      <c r="P514" s="89"/>
      <c r="Q514" s="89"/>
      <c r="R514" s="89"/>
      <c r="S514" s="89"/>
      <c r="T514" s="89"/>
      <c r="U514" s="89"/>
      <c r="V514" s="89"/>
      <c r="W514" s="89"/>
      <c r="X514" s="89"/>
      <c r="Y514" s="89"/>
      <c r="Z514" s="89"/>
      <c r="AA514" s="89"/>
      <c r="AB514" s="89"/>
      <c r="AC514" s="89"/>
      <c r="AD514" s="89"/>
      <c r="AE514" s="89"/>
    </row>
    <row r="515">
      <c r="A515" s="445"/>
      <c r="B515" s="420"/>
      <c r="C515" s="420"/>
      <c r="D515" s="420"/>
      <c r="E515" s="420"/>
      <c r="F515" s="420"/>
      <c r="G515" s="420"/>
      <c r="H515" s="420"/>
      <c r="I515" s="89"/>
      <c r="J515" s="89"/>
      <c r="K515" s="89"/>
      <c r="L515" s="89"/>
      <c r="M515" s="89"/>
      <c r="N515" s="89"/>
      <c r="O515" s="89"/>
      <c r="P515" s="89"/>
      <c r="Q515" s="89"/>
      <c r="R515" s="89"/>
      <c r="S515" s="89"/>
      <c r="T515" s="89"/>
      <c r="U515" s="89"/>
      <c r="V515" s="89"/>
      <c r="W515" s="89"/>
      <c r="X515" s="89"/>
      <c r="Y515" s="89"/>
      <c r="Z515" s="89"/>
      <c r="AA515" s="89"/>
      <c r="AB515" s="89"/>
      <c r="AC515" s="89"/>
      <c r="AD515" s="89"/>
      <c r="AE515" s="89"/>
    </row>
    <row r="516">
      <c r="A516" s="445"/>
      <c r="B516" s="420"/>
      <c r="C516" s="420"/>
      <c r="D516" s="420"/>
      <c r="E516" s="420"/>
      <c r="F516" s="420"/>
      <c r="G516" s="420"/>
      <c r="H516" s="420"/>
      <c r="I516" s="89"/>
      <c r="J516" s="89"/>
      <c r="K516" s="89"/>
      <c r="L516" s="89"/>
      <c r="M516" s="89"/>
      <c r="N516" s="89"/>
      <c r="O516" s="89"/>
      <c r="P516" s="89"/>
      <c r="Q516" s="89"/>
      <c r="R516" s="89"/>
      <c r="S516" s="89"/>
      <c r="T516" s="89"/>
      <c r="U516" s="89"/>
      <c r="V516" s="89"/>
      <c r="W516" s="89"/>
      <c r="X516" s="89"/>
      <c r="Y516" s="89"/>
      <c r="Z516" s="89"/>
      <c r="AA516" s="89"/>
      <c r="AB516" s="89"/>
      <c r="AC516" s="89"/>
      <c r="AD516" s="89"/>
      <c r="AE516" s="89"/>
    </row>
    <row r="517">
      <c r="A517" s="445"/>
      <c r="B517" s="420"/>
      <c r="C517" s="420"/>
      <c r="D517" s="420"/>
      <c r="E517" s="420"/>
      <c r="F517" s="420"/>
      <c r="G517" s="420"/>
      <c r="H517" s="420"/>
      <c r="I517" s="89"/>
      <c r="J517" s="89"/>
      <c r="K517" s="89"/>
      <c r="L517" s="89"/>
      <c r="M517" s="89"/>
      <c r="N517" s="89"/>
      <c r="O517" s="89"/>
      <c r="P517" s="89"/>
      <c r="Q517" s="89"/>
      <c r="R517" s="89"/>
      <c r="S517" s="89"/>
      <c r="T517" s="89"/>
      <c r="U517" s="89"/>
      <c r="V517" s="89"/>
      <c r="W517" s="89"/>
      <c r="X517" s="89"/>
      <c r="Y517" s="89"/>
      <c r="Z517" s="89"/>
      <c r="AA517" s="89"/>
      <c r="AB517" s="89"/>
      <c r="AC517" s="89"/>
      <c r="AD517" s="89"/>
      <c r="AE517" s="89"/>
    </row>
    <row r="518">
      <c r="A518" s="445"/>
      <c r="B518" s="420"/>
      <c r="C518" s="420"/>
      <c r="D518" s="420"/>
      <c r="E518" s="420"/>
      <c r="F518" s="420"/>
      <c r="G518" s="420"/>
      <c r="H518" s="420"/>
      <c r="I518" s="89"/>
      <c r="J518" s="89"/>
      <c r="K518" s="89"/>
      <c r="L518" s="89"/>
      <c r="M518" s="89"/>
      <c r="N518" s="89"/>
      <c r="O518" s="89"/>
      <c r="P518" s="89"/>
      <c r="Q518" s="89"/>
      <c r="R518" s="89"/>
      <c r="S518" s="89"/>
      <c r="T518" s="89"/>
      <c r="U518" s="89"/>
      <c r="V518" s="89"/>
      <c r="W518" s="89"/>
      <c r="X518" s="89"/>
      <c r="Y518" s="89"/>
      <c r="Z518" s="89"/>
      <c r="AA518" s="89"/>
      <c r="AB518" s="89"/>
      <c r="AC518" s="89"/>
      <c r="AD518" s="89"/>
      <c r="AE518" s="89"/>
    </row>
    <row r="519">
      <c r="A519" s="445"/>
      <c r="B519" s="420"/>
      <c r="C519" s="420"/>
      <c r="D519" s="420"/>
      <c r="E519" s="420"/>
      <c r="F519" s="420"/>
      <c r="G519" s="420"/>
      <c r="H519" s="420"/>
      <c r="I519" s="89"/>
      <c r="J519" s="89"/>
      <c r="K519" s="89"/>
      <c r="L519" s="89"/>
      <c r="M519" s="89"/>
      <c r="N519" s="89"/>
      <c r="O519" s="89"/>
      <c r="P519" s="89"/>
      <c r="Q519" s="89"/>
      <c r="R519" s="89"/>
      <c r="S519" s="89"/>
      <c r="T519" s="89"/>
      <c r="U519" s="89"/>
      <c r="V519" s="89"/>
      <c r="W519" s="89"/>
      <c r="X519" s="89"/>
      <c r="Y519" s="89"/>
      <c r="Z519" s="89"/>
      <c r="AA519" s="89"/>
      <c r="AB519" s="89"/>
      <c r="AC519" s="89"/>
      <c r="AD519" s="89"/>
      <c r="AE519" s="89"/>
    </row>
    <row r="520">
      <c r="A520" s="445"/>
      <c r="B520" s="420"/>
      <c r="C520" s="420"/>
      <c r="D520" s="420"/>
      <c r="E520" s="420"/>
      <c r="F520" s="420"/>
      <c r="G520" s="420"/>
      <c r="H520" s="420"/>
      <c r="I520" s="89"/>
      <c r="J520" s="89"/>
      <c r="K520" s="89"/>
      <c r="L520" s="89"/>
      <c r="M520" s="89"/>
      <c r="N520" s="89"/>
      <c r="O520" s="89"/>
      <c r="P520" s="89"/>
      <c r="Q520" s="89"/>
      <c r="R520" s="89"/>
      <c r="S520" s="89"/>
      <c r="T520" s="89"/>
      <c r="U520" s="89"/>
      <c r="V520" s="89"/>
      <c r="W520" s="89"/>
      <c r="X520" s="89"/>
      <c r="Y520" s="89"/>
      <c r="Z520" s="89"/>
      <c r="AA520" s="89"/>
      <c r="AB520" s="89"/>
      <c r="AC520" s="89"/>
      <c r="AD520" s="89"/>
      <c r="AE520" s="89"/>
    </row>
    <row r="521">
      <c r="A521" s="445"/>
      <c r="B521" s="420"/>
      <c r="C521" s="420"/>
      <c r="D521" s="420"/>
      <c r="E521" s="420"/>
      <c r="F521" s="420"/>
      <c r="G521" s="420"/>
      <c r="H521" s="420"/>
      <c r="I521" s="89"/>
      <c r="J521" s="89"/>
      <c r="K521" s="89"/>
      <c r="L521" s="89"/>
      <c r="M521" s="89"/>
      <c r="N521" s="89"/>
      <c r="O521" s="89"/>
      <c r="P521" s="89"/>
      <c r="Q521" s="89"/>
      <c r="R521" s="89"/>
      <c r="S521" s="89"/>
      <c r="T521" s="89"/>
      <c r="U521" s="89"/>
      <c r="V521" s="89"/>
      <c r="W521" s="89"/>
      <c r="X521" s="89"/>
      <c r="Y521" s="89"/>
      <c r="Z521" s="89"/>
      <c r="AA521" s="89"/>
      <c r="AB521" s="89"/>
      <c r="AC521" s="89"/>
      <c r="AD521" s="89"/>
      <c r="AE521" s="89"/>
    </row>
    <row r="522">
      <c r="A522" s="445"/>
      <c r="B522" s="420"/>
      <c r="C522" s="420"/>
      <c r="D522" s="420"/>
      <c r="E522" s="420"/>
      <c r="F522" s="420"/>
      <c r="G522" s="420"/>
      <c r="H522" s="420"/>
      <c r="I522" s="89"/>
      <c r="J522" s="89"/>
      <c r="K522" s="89"/>
      <c r="L522" s="89"/>
      <c r="M522" s="89"/>
      <c r="N522" s="89"/>
      <c r="O522" s="89"/>
      <c r="P522" s="89"/>
      <c r="Q522" s="89"/>
      <c r="R522" s="89"/>
      <c r="S522" s="89"/>
      <c r="T522" s="89"/>
      <c r="U522" s="89"/>
      <c r="V522" s="89"/>
      <c r="W522" s="89"/>
      <c r="X522" s="89"/>
      <c r="Y522" s="89"/>
      <c r="Z522" s="89"/>
      <c r="AA522" s="89"/>
      <c r="AB522" s="89"/>
      <c r="AC522" s="89"/>
      <c r="AD522" s="89"/>
      <c r="AE522" s="89"/>
    </row>
    <row r="523">
      <c r="A523" s="445"/>
      <c r="B523" s="420"/>
      <c r="C523" s="420"/>
      <c r="D523" s="420"/>
      <c r="E523" s="420"/>
      <c r="F523" s="420"/>
      <c r="G523" s="420"/>
      <c r="H523" s="420"/>
      <c r="I523" s="89"/>
      <c r="J523" s="89"/>
      <c r="K523" s="89"/>
      <c r="L523" s="89"/>
      <c r="M523" s="89"/>
      <c r="N523" s="89"/>
      <c r="O523" s="89"/>
      <c r="P523" s="89"/>
      <c r="Q523" s="89"/>
      <c r="R523" s="89"/>
      <c r="S523" s="89"/>
      <c r="T523" s="89"/>
      <c r="U523" s="89"/>
      <c r="V523" s="89"/>
      <c r="W523" s="89"/>
      <c r="X523" s="89"/>
      <c r="Y523" s="89"/>
      <c r="Z523" s="89"/>
      <c r="AA523" s="89"/>
      <c r="AB523" s="89"/>
      <c r="AC523" s="89"/>
      <c r="AD523" s="89"/>
      <c r="AE523" s="89"/>
    </row>
    <row r="524">
      <c r="A524" s="445"/>
      <c r="B524" s="420"/>
      <c r="C524" s="420"/>
      <c r="D524" s="420"/>
      <c r="E524" s="420"/>
      <c r="F524" s="420"/>
      <c r="G524" s="420"/>
      <c r="H524" s="420"/>
      <c r="I524" s="89"/>
      <c r="J524" s="89"/>
      <c r="K524" s="89"/>
      <c r="L524" s="89"/>
      <c r="M524" s="89"/>
      <c r="N524" s="89"/>
      <c r="O524" s="89"/>
      <c r="P524" s="89"/>
      <c r="Q524" s="89"/>
      <c r="R524" s="89"/>
      <c r="S524" s="89"/>
      <c r="T524" s="89"/>
      <c r="U524" s="89"/>
      <c r="V524" s="89"/>
      <c r="W524" s="89"/>
      <c r="X524" s="89"/>
      <c r="Y524" s="89"/>
      <c r="Z524" s="89"/>
      <c r="AA524" s="89"/>
      <c r="AB524" s="89"/>
      <c r="AC524" s="89"/>
      <c r="AD524" s="89"/>
      <c r="AE524" s="89"/>
    </row>
    <row r="525">
      <c r="A525" s="445"/>
      <c r="B525" s="420"/>
      <c r="C525" s="420"/>
      <c r="D525" s="420"/>
      <c r="E525" s="420"/>
      <c r="F525" s="420"/>
      <c r="G525" s="420"/>
      <c r="H525" s="420"/>
      <c r="I525" s="89"/>
      <c r="J525" s="89"/>
      <c r="K525" s="89"/>
      <c r="L525" s="89"/>
      <c r="M525" s="89"/>
      <c r="N525" s="89"/>
      <c r="O525" s="89"/>
      <c r="P525" s="89"/>
      <c r="Q525" s="89"/>
      <c r="R525" s="89"/>
      <c r="S525" s="89"/>
      <c r="T525" s="89"/>
      <c r="U525" s="89"/>
      <c r="V525" s="89"/>
      <c r="W525" s="89"/>
      <c r="X525" s="89"/>
      <c r="Y525" s="89"/>
      <c r="Z525" s="89"/>
      <c r="AA525" s="89"/>
      <c r="AB525" s="89"/>
      <c r="AC525" s="89"/>
      <c r="AD525" s="89"/>
      <c r="AE525" s="89"/>
    </row>
    <row r="526">
      <c r="A526" s="445"/>
      <c r="B526" s="420"/>
      <c r="C526" s="420"/>
      <c r="D526" s="420"/>
      <c r="E526" s="420"/>
      <c r="F526" s="420"/>
      <c r="G526" s="420"/>
      <c r="H526" s="420"/>
      <c r="I526" s="89"/>
      <c r="J526" s="89"/>
      <c r="K526" s="89"/>
      <c r="L526" s="89"/>
      <c r="M526" s="89"/>
      <c r="N526" s="89"/>
      <c r="O526" s="89"/>
      <c r="P526" s="89"/>
      <c r="Q526" s="89"/>
      <c r="R526" s="89"/>
      <c r="S526" s="89"/>
      <c r="T526" s="89"/>
      <c r="U526" s="89"/>
      <c r="V526" s="89"/>
      <c r="W526" s="89"/>
      <c r="X526" s="89"/>
      <c r="Y526" s="89"/>
      <c r="Z526" s="89"/>
      <c r="AA526" s="89"/>
      <c r="AB526" s="89"/>
      <c r="AC526" s="89"/>
      <c r="AD526" s="89"/>
      <c r="AE526" s="89"/>
    </row>
    <row r="527">
      <c r="A527" s="445"/>
      <c r="B527" s="420"/>
      <c r="C527" s="420"/>
      <c r="D527" s="420"/>
      <c r="E527" s="420"/>
      <c r="F527" s="420"/>
      <c r="G527" s="420"/>
      <c r="H527" s="420"/>
      <c r="I527" s="89"/>
      <c r="J527" s="89"/>
      <c r="K527" s="89"/>
      <c r="L527" s="89"/>
      <c r="M527" s="89"/>
      <c r="N527" s="89"/>
      <c r="O527" s="89"/>
      <c r="P527" s="89"/>
      <c r="Q527" s="89"/>
      <c r="R527" s="89"/>
      <c r="S527" s="89"/>
      <c r="T527" s="89"/>
      <c r="U527" s="89"/>
      <c r="V527" s="89"/>
      <c r="W527" s="89"/>
      <c r="X527" s="89"/>
      <c r="Y527" s="89"/>
      <c r="Z527" s="89"/>
      <c r="AA527" s="89"/>
      <c r="AB527" s="89"/>
      <c r="AC527" s="89"/>
      <c r="AD527" s="89"/>
      <c r="AE527" s="89"/>
    </row>
    <row r="528">
      <c r="A528" s="445"/>
      <c r="B528" s="420"/>
      <c r="C528" s="420"/>
      <c r="D528" s="420"/>
      <c r="E528" s="420"/>
      <c r="F528" s="420"/>
      <c r="G528" s="420"/>
      <c r="H528" s="420"/>
      <c r="I528" s="89"/>
      <c r="J528" s="89"/>
      <c r="K528" s="89"/>
      <c r="L528" s="89"/>
      <c r="M528" s="89"/>
      <c r="N528" s="89"/>
      <c r="O528" s="89"/>
      <c r="P528" s="89"/>
      <c r="Q528" s="89"/>
      <c r="R528" s="89"/>
      <c r="S528" s="89"/>
      <c r="T528" s="89"/>
      <c r="U528" s="89"/>
      <c r="V528" s="89"/>
      <c r="W528" s="89"/>
      <c r="X528" s="89"/>
      <c r="Y528" s="89"/>
      <c r="Z528" s="89"/>
      <c r="AA528" s="89"/>
      <c r="AB528" s="89"/>
      <c r="AC528" s="89"/>
      <c r="AD528" s="89"/>
      <c r="AE528" s="89"/>
    </row>
    <row r="529">
      <c r="A529" s="445"/>
      <c r="B529" s="420"/>
      <c r="C529" s="420"/>
      <c r="D529" s="420"/>
      <c r="E529" s="420"/>
      <c r="F529" s="420"/>
      <c r="G529" s="420"/>
      <c r="H529" s="420"/>
      <c r="I529" s="89"/>
      <c r="J529" s="89"/>
      <c r="K529" s="89"/>
      <c r="L529" s="89"/>
      <c r="M529" s="89"/>
      <c r="N529" s="89"/>
      <c r="O529" s="89"/>
      <c r="P529" s="89"/>
      <c r="Q529" s="89"/>
      <c r="R529" s="89"/>
      <c r="S529" s="89"/>
      <c r="T529" s="89"/>
      <c r="U529" s="89"/>
      <c r="V529" s="89"/>
      <c r="W529" s="89"/>
      <c r="X529" s="89"/>
      <c r="Y529" s="89"/>
      <c r="Z529" s="89"/>
      <c r="AA529" s="89"/>
      <c r="AB529" s="89"/>
      <c r="AC529" s="89"/>
      <c r="AD529" s="89"/>
      <c r="AE529" s="89"/>
    </row>
    <row r="530">
      <c r="A530" s="445"/>
      <c r="B530" s="420"/>
      <c r="C530" s="420"/>
      <c r="D530" s="420"/>
      <c r="E530" s="420"/>
      <c r="F530" s="420"/>
      <c r="G530" s="420"/>
      <c r="H530" s="420"/>
      <c r="I530" s="89"/>
      <c r="J530" s="89"/>
      <c r="K530" s="89"/>
      <c r="L530" s="89"/>
      <c r="M530" s="89"/>
      <c r="N530" s="89"/>
      <c r="O530" s="89"/>
      <c r="P530" s="89"/>
      <c r="Q530" s="89"/>
      <c r="R530" s="89"/>
      <c r="S530" s="89"/>
      <c r="T530" s="89"/>
      <c r="U530" s="89"/>
      <c r="V530" s="89"/>
      <c r="W530" s="89"/>
      <c r="X530" s="89"/>
      <c r="Y530" s="89"/>
      <c r="Z530" s="89"/>
      <c r="AA530" s="89"/>
      <c r="AB530" s="89"/>
      <c r="AC530" s="89"/>
      <c r="AD530" s="89"/>
      <c r="AE530" s="89"/>
    </row>
    <row r="531">
      <c r="A531" s="445"/>
      <c r="B531" s="420"/>
      <c r="C531" s="420"/>
      <c r="D531" s="420"/>
      <c r="E531" s="420"/>
      <c r="F531" s="420"/>
      <c r="G531" s="420"/>
      <c r="H531" s="420"/>
      <c r="I531" s="89"/>
      <c r="J531" s="89"/>
      <c r="K531" s="89"/>
      <c r="L531" s="89"/>
      <c r="M531" s="89"/>
      <c r="N531" s="89"/>
      <c r="O531" s="89"/>
      <c r="P531" s="89"/>
      <c r="Q531" s="89"/>
      <c r="R531" s="89"/>
      <c r="S531" s="89"/>
      <c r="T531" s="89"/>
      <c r="U531" s="89"/>
      <c r="V531" s="89"/>
      <c r="W531" s="89"/>
      <c r="X531" s="89"/>
      <c r="Y531" s="89"/>
      <c r="Z531" s="89"/>
      <c r="AA531" s="89"/>
      <c r="AB531" s="89"/>
      <c r="AC531" s="89"/>
      <c r="AD531" s="89"/>
      <c r="AE531" s="89"/>
    </row>
    <row r="532">
      <c r="A532" s="445"/>
      <c r="B532" s="420"/>
      <c r="C532" s="420"/>
      <c r="D532" s="420"/>
      <c r="E532" s="420"/>
      <c r="F532" s="420"/>
      <c r="G532" s="420"/>
      <c r="H532" s="420"/>
      <c r="I532" s="89"/>
      <c r="J532" s="89"/>
      <c r="K532" s="89"/>
      <c r="L532" s="89"/>
      <c r="M532" s="89"/>
      <c r="N532" s="89"/>
      <c r="O532" s="89"/>
      <c r="P532" s="89"/>
      <c r="Q532" s="89"/>
      <c r="R532" s="89"/>
      <c r="S532" s="89"/>
      <c r="T532" s="89"/>
      <c r="U532" s="89"/>
      <c r="V532" s="89"/>
      <c r="W532" s="89"/>
      <c r="X532" s="89"/>
      <c r="Y532" s="89"/>
      <c r="Z532" s="89"/>
      <c r="AA532" s="89"/>
      <c r="AB532" s="89"/>
      <c r="AC532" s="89"/>
      <c r="AD532" s="89"/>
      <c r="AE532" s="89"/>
    </row>
    <row r="533">
      <c r="A533" s="445"/>
      <c r="B533" s="420"/>
      <c r="C533" s="420"/>
      <c r="D533" s="420"/>
      <c r="E533" s="420"/>
      <c r="F533" s="420"/>
      <c r="G533" s="420"/>
      <c r="H533" s="420"/>
      <c r="I533" s="89"/>
      <c r="J533" s="89"/>
      <c r="K533" s="89"/>
      <c r="L533" s="89"/>
      <c r="M533" s="89"/>
      <c r="N533" s="89"/>
      <c r="O533" s="89"/>
      <c r="P533" s="89"/>
      <c r="Q533" s="89"/>
      <c r="R533" s="89"/>
      <c r="S533" s="89"/>
      <c r="T533" s="89"/>
      <c r="U533" s="89"/>
      <c r="V533" s="89"/>
      <c r="W533" s="89"/>
      <c r="X533" s="89"/>
      <c r="Y533" s="89"/>
      <c r="Z533" s="89"/>
      <c r="AA533" s="89"/>
      <c r="AB533" s="89"/>
      <c r="AC533" s="89"/>
      <c r="AD533" s="89"/>
      <c r="AE533" s="89"/>
    </row>
    <row r="534">
      <c r="A534" s="445"/>
      <c r="B534" s="420"/>
      <c r="C534" s="420"/>
      <c r="D534" s="420"/>
      <c r="E534" s="420"/>
      <c r="F534" s="420"/>
      <c r="G534" s="420"/>
      <c r="H534" s="420"/>
      <c r="I534" s="89"/>
      <c r="J534" s="89"/>
      <c r="K534" s="89"/>
      <c r="L534" s="89"/>
      <c r="M534" s="89"/>
      <c r="N534" s="89"/>
      <c r="O534" s="89"/>
      <c r="P534" s="89"/>
      <c r="Q534" s="89"/>
      <c r="R534" s="89"/>
      <c r="S534" s="89"/>
      <c r="T534" s="89"/>
      <c r="U534" s="89"/>
      <c r="V534" s="89"/>
      <c r="W534" s="89"/>
      <c r="X534" s="89"/>
      <c r="Y534" s="89"/>
      <c r="Z534" s="89"/>
      <c r="AA534" s="89"/>
      <c r="AB534" s="89"/>
      <c r="AC534" s="89"/>
      <c r="AD534" s="89"/>
      <c r="AE534" s="89"/>
    </row>
    <row r="535">
      <c r="A535" s="445"/>
      <c r="B535" s="420"/>
      <c r="C535" s="420"/>
      <c r="D535" s="420"/>
      <c r="E535" s="420"/>
      <c r="F535" s="420"/>
      <c r="G535" s="420"/>
      <c r="H535" s="420"/>
      <c r="I535" s="89"/>
      <c r="J535" s="89"/>
      <c r="K535" s="89"/>
      <c r="L535" s="89"/>
      <c r="M535" s="89"/>
      <c r="N535" s="89"/>
      <c r="O535" s="89"/>
      <c r="P535" s="89"/>
      <c r="Q535" s="89"/>
      <c r="R535" s="89"/>
      <c r="S535" s="89"/>
      <c r="T535" s="89"/>
      <c r="U535" s="89"/>
      <c r="V535" s="89"/>
      <c r="W535" s="89"/>
      <c r="X535" s="89"/>
      <c r="Y535" s="89"/>
      <c r="Z535" s="89"/>
      <c r="AA535" s="89"/>
      <c r="AB535" s="89"/>
      <c r="AC535" s="89"/>
      <c r="AD535" s="89"/>
      <c r="AE535" s="89"/>
    </row>
    <row r="536">
      <c r="A536" s="445"/>
      <c r="B536" s="420"/>
      <c r="C536" s="420"/>
      <c r="D536" s="420"/>
      <c r="E536" s="420"/>
      <c r="F536" s="420"/>
      <c r="G536" s="420"/>
      <c r="H536" s="420"/>
      <c r="I536" s="89"/>
      <c r="J536" s="89"/>
      <c r="K536" s="89"/>
      <c r="L536" s="89"/>
      <c r="M536" s="89"/>
      <c r="N536" s="89"/>
      <c r="O536" s="89"/>
      <c r="P536" s="89"/>
      <c r="Q536" s="89"/>
      <c r="R536" s="89"/>
      <c r="S536" s="89"/>
      <c r="T536" s="89"/>
      <c r="U536" s="89"/>
      <c r="V536" s="89"/>
      <c r="W536" s="89"/>
      <c r="X536" s="89"/>
      <c r="Y536" s="89"/>
      <c r="Z536" s="89"/>
      <c r="AA536" s="89"/>
      <c r="AB536" s="89"/>
      <c r="AC536" s="89"/>
      <c r="AD536" s="89"/>
      <c r="AE536" s="89"/>
    </row>
    <row r="537">
      <c r="A537" s="445"/>
      <c r="B537" s="420"/>
      <c r="C537" s="420"/>
      <c r="D537" s="420"/>
      <c r="E537" s="420"/>
      <c r="F537" s="420"/>
      <c r="G537" s="420"/>
      <c r="H537" s="420"/>
      <c r="I537" s="89"/>
      <c r="J537" s="89"/>
      <c r="K537" s="89"/>
      <c r="L537" s="89"/>
      <c r="M537" s="89"/>
      <c r="N537" s="89"/>
      <c r="O537" s="89"/>
      <c r="P537" s="89"/>
      <c r="Q537" s="89"/>
      <c r="R537" s="89"/>
      <c r="S537" s="89"/>
      <c r="T537" s="89"/>
      <c r="U537" s="89"/>
      <c r="V537" s="89"/>
      <c r="W537" s="89"/>
      <c r="X537" s="89"/>
      <c r="Y537" s="89"/>
      <c r="Z537" s="89"/>
      <c r="AA537" s="89"/>
      <c r="AB537" s="89"/>
      <c r="AC537" s="89"/>
      <c r="AD537" s="89"/>
      <c r="AE537" s="89"/>
    </row>
    <row r="538">
      <c r="A538" s="445"/>
      <c r="B538" s="420"/>
      <c r="C538" s="420"/>
      <c r="D538" s="420"/>
      <c r="E538" s="420"/>
      <c r="F538" s="420"/>
      <c r="G538" s="420"/>
      <c r="H538" s="420"/>
      <c r="I538" s="89"/>
      <c r="J538" s="89"/>
      <c r="K538" s="89"/>
      <c r="L538" s="89"/>
      <c r="M538" s="89"/>
      <c r="N538" s="89"/>
      <c r="O538" s="89"/>
      <c r="P538" s="89"/>
      <c r="Q538" s="89"/>
      <c r="R538" s="89"/>
      <c r="S538" s="89"/>
      <c r="T538" s="89"/>
      <c r="U538" s="89"/>
      <c r="V538" s="89"/>
      <c r="W538" s="89"/>
      <c r="X538" s="89"/>
      <c r="Y538" s="89"/>
      <c r="Z538" s="89"/>
      <c r="AA538" s="89"/>
      <c r="AB538" s="89"/>
      <c r="AC538" s="89"/>
      <c r="AD538" s="89"/>
      <c r="AE538" s="89"/>
    </row>
    <row r="539">
      <c r="A539" s="445"/>
      <c r="B539" s="420"/>
      <c r="C539" s="420"/>
      <c r="D539" s="420"/>
      <c r="E539" s="420"/>
      <c r="F539" s="420"/>
      <c r="G539" s="420"/>
      <c r="H539" s="420"/>
      <c r="I539" s="89"/>
      <c r="J539" s="89"/>
      <c r="K539" s="89"/>
      <c r="L539" s="89"/>
      <c r="M539" s="89"/>
      <c r="N539" s="89"/>
      <c r="O539" s="89"/>
      <c r="P539" s="89"/>
      <c r="Q539" s="89"/>
      <c r="R539" s="89"/>
      <c r="S539" s="89"/>
      <c r="T539" s="89"/>
      <c r="U539" s="89"/>
      <c r="V539" s="89"/>
      <c r="W539" s="89"/>
      <c r="X539" s="89"/>
      <c r="Y539" s="89"/>
      <c r="Z539" s="89"/>
      <c r="AA539" s="89"/>
      <c r="AB539" s="89"/>
      <c r="AC539" s="89"/>
      <c r="AD539" s="89"/>
      <c r="AE539" s="89"/>
    </row>
    <row r="540">
      <c r="A540" s="445"/>
      <c r="B540" s="420"/>
      <c r="C540" s="420"/>
      <c r="D540" s="420"/>
      <c r="E540" s="420"/>
      <c r="F540" s="420"/>
      <c r="G540" s="420"/>
      <c r="H540" s="420"/>
      <c r="I540" s="89"/>
      <c r="J540" s="89"/>
      <c r="K540" s="89"/>
      <c r="L540" s="89"/>
      <c r="M540" s="89"/>
      <c r="N540" s="89"/>
      <c r="O540" s="89"/>
      <c r="P540" s="89"/>
      <c r="Q540" s="89"/>
      <c r="R540" s="89"/>
      <c r="S540" s="89"/>
      <c r="T540" s="89"/>
      <c r="U540" s="89"/>
      <c r="V540" s="89"/>
      <c r="W540" s="89"/>
      <c r="X540" s="89"/>
      <c r="Y540" s="89"/>
      <c r="Z540" s="89"/>
      <c r="AA540" s="89"/>
      <c r="AB540" s="89"/>
      <c r="AC540" s="89"/>
      <c r="AD540" s="89"/>
      <c r="AE540" s="89"/>
    </row>
    <row r="541">
      <c r="A541" s="445"/>
      <c r="B541" s="420"/>
      <c r="C541" s="420"/>
      <c r="D541" s="420"/>
      <c r="E541" s="420"/>
      <c r="F541" s="420"/>
      <c r="G541" s="420"/>
      <c r="H541" s="420"/>
      <c r="I541" s="89"/>
      <c r="J541" s="89"/>
      <c r="K541" s="89"/>
      <c r="L541" s="89"/>
      <c r="M541" s="89"/>
      <c r="N541" s="89"/>
      <c r="O541" s="89"/>
      <c r="P541" s="89"/>
      <c r="Q541" s="89"/>
      <c r="R541" s="89"/>
      <c r="S541" s="89"/>
      <c r="T541" s="89"/>
      <c r="U541" s="89"/>
      <c r="V541" s="89"/>
      <c r="W541" s="89"/>
      <c r="X541" s="89"/>
      <c r="Y541" s="89"/>
      <c r="Z541" s="89"/>
      <c r="AA541" s="89"/>
      <c r="AB541" s="89"/>
      <c r="AC541" s="89"/>
      <c r="AD541" s="89"/>
      <c r="AE541" s="89"/>
    </row>
    <row r="542">
      <c r="A542" s="445"/>
      <c r="B542" s="420"/>
      <c r="C542" s="420"/>
      <c r="D542" s="420"/>
      <c r="E542" s="420"/>
      <c r="F542" s="420"/>
      <c r="G542" s="420"/>
      <c r="H542" s="420"/>
      <c r="I542" s="89"/>
      <c r="J542" s="89"/>
      <c r="K542" s="89"/>
      <c r="L542" s="89"/>
      <c r="M542" s="89"/>
      <c r="N542" s="89"/>
      <c r="O542" s="89"/>
      <c r="P542" s="89"/>
      <c r="Q542" s="89"/>
      <c r="R542" s="89"/>
      <c r="S542" s="89"/>
      <c r="T542" s="89"/>
      <c r="U542" s="89"/>
      <c r="V542" s="89"/>
      <c r="W542" s="89"/>
      <c r="X542" s="89"/>
      <c r="Y542" s="89"/>
      <c r="Z542" s="89"/>
      <c r="AA542" s="89"/>
      <c r="AB542" s="89"/>
      <c r="AC542" s="89"/>
      <c r="AD542" s="89"/>
      <c r="AE542" s="89"/>
    </row>
    <row r="543">
      <c r="A543" s="445"/>
      <c r="B543" s="420"/>
      <c r="C543" s="420"/>
      <c r="D543" s="420"/>
      <c r="E543" s="420"/>
      <c r="F543" s="420"/>
      <c r="G543" s="420"/>
      <c r="H543" s="420"/>
      <c r="I543" s="89"/>
      <c r="J543" s="89"/>
      <c r="K543" s="89"/>
      <c r="L543" s="89"/>
      <c r="M543" s="89"/>
      <c r="N543" s="89"/>
      <c r="O543" s="89"/>
      <c r="P543" s="89"/>
      <c r="Q543" s="89"/>
      <c r="R543" s="89"/>
      <c r="S543" s="89"/>
      <c r="T543" s="89"/>
      <c r="U543" s="89"/>
      <c r="V543" s="89"/>
      <c r="W543" s="89"/>
      <c r="X543" s="89"/>
      <c r="Y543" s="89"/>
      <c r="Z543" s="89"/>
      <c r="AA543" s="89"/>
      <c r="AB543" s="89"/>
      <c r="AC543" s="89"/>
      <c r="AD543" s="89"/>
      <c r="AE543" s="89"/>
    </row>
    <row r="544">
      <c r="A544" s="445"/>
      <c r="B544" s="420"/>
      <c r="C544" s="420"/>
      <c r="D544" s="420"/>
      <c r="E544" s="420"/>
      <c r="F544" s="420"/>
      <c r="G544" s="420"/>
      <c r="H544" s="420"/>
      <c r="I544" s="89"/>
      <c r="J544" s="89"/>
      <c r="K544" s="89"/>
      <c r="L544" s="89"/>
      <c r="M544" s="89"/>
      <c r="N544" s="89"/>
      <c r="O544" s="89"/>
      <c r="P544" s="89"/>
      <c r="Q544" s="89"/>
      <c r="R544" s="89"/>
      <c r="S544" s="89"/>
      <c r="T544" s="89"/>
      <c r="U544" s="89"/>
      <c r="V544" s="89"/>
      <c r="W544" s="89"/>
      <c r="X544" s="89"/>
      <c r="Y544" s="89"/>
      <c r="Z544" s="89"/>
      <c r="AA544" s="89"/>
      <c r="AB544" s="89"/>
      <c r="AC544" s="89"/>
      <c r="AD544" s="89"/>
      <c r="AE544" s="89"/>
    </row>
    <row r="545">
      <c r="A545" s="445"/>
      <c r="B545" s="420"/>
      <c r="C545" s="420"/>
      <c r="D545" s="420"/>
      <c r="E545" s="420"/>
      <c r="F545" s="420"/>
      <c r="G545" s="420"/>
      <c r="H545" s="420"/>
      <c r="I545" s="89"/>
      <c r="J545" s="89"/>
      <c r="K545" s="89"/>
      <c r="L545" s="89"/>
      <c r="M545" s="89"/>
      <c r="N545" s="89"/>
      <c r="O545" s="89"/>
      <c r="P545" s="89"/>
      <c r="Q545" s="89"/>
      <c r="R545" s="89"/>
      <c r="S545" s="89"/>
      <c r="T545" s="89"/>
      <c r="U545" s="89"/>
      <c r="V545" s="89"/>
      <c r="W545" s="89"/>
      <c r="X545" s="89"/>
      <c r="Y545" s="89"/>
      <c r="Z545" s="89"/>
      <c r="AA545" s="89"/>
      <c r="AB545" s="89"/>
      <c r="AC545" s="89"/>
      <c r="AD545" s="89"/>
      <c r="AE545" s="89"/>
    </row>
    <row r="546">
      <c r="A546" s="445"/>
      <c r="B546" s="420"/>
      <c r="C546" s="420"/>
      <c r="D546" s="420"/>
      <c r="E546" s="420"/>
      <c r="F546" s="420"/>
      <c r="G546" s="420"/>
      <c r="H546" s="420"/>
      <c r="I546" s="89"/>
      <c r="J546" s="89"/>
      <c r="K546" s="89"/>
      <c r="L546" s="89"/>
      <c r="M546" s="89"/>
      <c r="N546" s="89"/>
      <c r="O546" s="89"/>
      <c r="P546" s="89"/>
      <c r="Q546" s="89"/>
      <c r="R546" s="89"/>
      <c r="S546" s="89"/>
      <c r="T546" s="89"/>
      <c r="U546" s="89"/>
      <c r="V546" s="89"/>
      <c r="W546" s="89"/>
      <c r="X546" s="89"/>
      <c r="Y546" s="89"/>
      <c r="Z546" s="89"/>
      <c r="AA546" s="89"/>
      <c r="AB546" s="89"/>
      <c r="AC546" s="89"/>
      <c r="AD546" s="89"/>
      <c r="AE546" s="89"/>
    </row>
    <row r="547">
      <c r="A547" s="445"/>
      <c r="B547" s="420"/>
      <c r="C547" s="420"/>
      <c r="D547" s="420"/>
      <c r="E547" s="420"/>
      <c r="F547" s="420"/>
      <c r="G547" s="420"/>
      <c r="H547" s="420"/>
      <c r="I547" s="89"/>
      <c r="J547" s="89"/>
      <c r="K547" s="89"/>
      <c r="L547" s="89"/>
      <c r="M547" s="89"/>
      <c r="N547" s="89"/>
      <c r="O547" s="89"/>
      <c r="P547" s="89"/>
      <c r="Q547" s="89"/>
      <c r="R547" s="89"/>
      <c r="S547" s="89"/>
      <c r="T547" s="89"/>
      <c r="U547" s="89"/>
      <c r="V547" s="89"/>
      <c r="W547" s="89"/>
      <c r="X547" s="89"/>
      <c r="Y547" s="89"/>
      <c r="Z547" s="89"/>
      <c r="AA547" s="89"/>
      <c r="AB547" s="89"/>
      <c r="AC547" s="89"/>
      <c r="AD547" s="89"/>
      <c r="AE547" s="89"/>
    </row>
    <row r="548">
      <c r="A548" s="445"/>
      <c r="B548" s="420"/>
      <c r="C548" s="420"/>
      <c r="D548" s="420"/>
      <c r="E548" s="420"/>
      <c r="F548" s="420"/>
      <c r="G548" s="420"/>
      <c r="H548" s="420"/>
      <c r="I548" s="89"/>
      <c r="J548" s="89"/>
      <c r="K548" s="89"/>
      <c r="L548" s="89"/>
      <c r="M548" s="89"/>
      <c r="N548" s="89"/>
      <c r="O548" s="89"/>
      <c r="P548" s="89"/>
      <c r="Q548" s="89"/>
      <c r="R548" s="89"/>
      <c r="S548" s="89"/>
      <c r="T548" s="89"/>
      <c r="U548" s="89"/>
      <c r="V548" s="89"/>
      <c r="W548" s="89"/>
      <c r="X548" s="89"/>
      <c r="Y548" s="89"/>
      <c r="Z548" s="89"/>
      <c r="AA548" s="89"/>
      <c r="AB548" s="89"/>
      <c r="AC548" s="89"/>
      <c r="AD548" s="89"/>
      <c r="AE548" s="89"/>
    </row>
    <row r="549">
      <c r="A549" s="445"/>
      <c r="B549" s="420"/>
      <c r="C549" s="420"/>
      <c r="D549" s="420"/>
      <c r="E549" s="420"/>
      <c r="F549" s="420"/>
      <c r="G549" s="420"/>
      <c r="H549" s="420"/>
      <c r="I549" s="89"/>
      <c r="J549" s="89"/>
      <c r="K549" s="89"/>
      <c r="L549" s="89"/>
      <c r="M549" s="89"/>
      <c r="N549" s="89"/>
      <c r="O549" s="89"/>
      <c r="P549" s="89"/>
      <c r="Q549" s="89"/>
      <c r="R549" s="89"/>
      <c r="S549" s="89"/>
      <c r="T549" s="89"/>
      <c r="U549" s="89"/>
      <c r="V549" s="89"/>
      <c r="W549" s="89"/>
      <c r="X549" s="89"/>
      <c r="Y549" s="89"/>
      <c r="Z549" s="89"/>
      <c r="AA549" s="89"/>
      <c r="AB549" s="89"/>
      <c r="AC549" s="89"/>
      <c r="AD549" s="89"/>
      <c r="AE549" s="89"/>
    </row>
    <row r="550">
      <c r="A550" s="445"/>
      <c r="B550" s="420"/>
      <c r="C550" s="420"/>
      <c r="D550" s="420"/>
      <c r="E550" s="420"/>
      <c r="F550" s="420"/>
      <c r="G550" s="420"/>
      <c r="H550" s="420"/>
      <c r="I550" s="89"/>
      <c r="J550" s="89"/>
      <c r="K550" s="89"/>
      <c r="L550" s="89"/>
      <c r="M550" s="89"/>
      <c r="N550" s="89"/>
      <c r="O550" s="89"/>
      <c r="P550" s="89"/>
      <c r="Q550" s="89"/>
      <c r="R550" s="89"/>
      <c r="S550" s="89"/>
      <c r="T550" s="89"/>
      <c r="U550" s="89"/>
      <c r="V550" s="89"/>
      <c r="W550" s="89"/>
      <c r="X550" s="89"/>
      <c r="Y550" s="89"/>
      <c r="Z550" s="89"/>
      <c r="AA550" s="89"/>
      <c r="AB550" s="89"/>
      <c r="AC550" s="89"/>
      <c r="AD550" s="89"/>
      <c r="AE550" s="89"/>
    </row>
    <row r="551">
      <c r="A551" s="445"/>
      <c r="B551" s="420"/>
      <c r="C551" s="420"/>
      <c r="D551" s="420"/>
      <c r="E551" s="420"/>
      <c r="F551" s="420"/>
      <c r="G551" s="420"/>
      <c r="H551" s="420"/>
      <c r="I551" s="89"/>
      <c r="J551" s="89"/>
      <c r="K551" s="89"/>
      <c r="L551" s="89"/>
      <c r="M551" s="89"/>
      <c r="N551" s="89"/>
      <c r="O551" s="89"/>
      <c r="P551" s="89"/>
      <c r="Q551" s="89"/>
      <c r="R551" s="89"/>
      <c r="S551" s="89"/>
      <c r="T551" s="89"/>
      <c r="U551" s="89"/>
      <c r="V551" s="89"/>
      <c r="W551" s="89"/>
      <c r="X551" s="89"/>
      <c r="Y551" s="89"/>
      <c r="Z551" s="89"/>
      <c r="AA551" s="89"/>
      <c r="AB551" s="89"/>
      <c r="AC551" s="89"/>
      <c r="AD551" s="89"/>
      <c r="AE551" s="89"/>
    </row>
    <row r="552">
      <c r="A552" s="445"/>
      <c r="B552" s="420"/>
      <c r="C552" s="420"/>
      <c r="D552" s="420"/>
      <c r="E552" s="420"/>
      <c r="F552" s="420"/>
      <c r="G552" s="420"/>
      <c r="H552" s="420"/>
      <c r="I552" s="89"/>
      <c r="J552" s="89"/>
      <c r="K552" s="89"/>
      <c r="L552" s="89"/>
      <c r="M552" s="89"/>
      <c r="N552" s="89"/>
      <c r="O552" s="89"/>
      <c r="P552" s="89"/>
      <c r="Q552" s="89"/>
      <c r="R552" s="89"/>
      <c r="S552" s="89"/>
      <c r="T552" s="89"/>
      <c r="U552" s="89"/>
      <c r="V552" s="89"/>
      <c r="W552" s="89"/>
      <c r="X552" s="89"/>
      <c r="Y552" s="89"/>
      <c r="Z552" s="89"/>
      <c r="AA552" s="89"/>
      <c r="AB552" s="89"/>
      <c r="AC552" s="89"/>
      <c r="AD552" s="89"/>
      <c r="AE552" s="89"/>
    </row>
    <row r="553">
      <c r="A553" s="445"/>
      <c r="B553" s="420"/>
      <c r="C553" s="420"/>
      <c r="D553" s="420"/>
      <c r="E553" s="420"/>
      <c r="F553" s="420"/>
      <c r="G553" s="420"/>
      <c r="H553" s="420"/>
      <c r="I553" s="89"/>
      <c r="J553" s="89"/>
      <c r="K553" s="89"/>
      <c r="L553" s="89"/>
      <c r="M553" s="89"/>
      <c r="N553" s="89"/>
      <c r="O553" s="89"/>
      <c r="P553" s="89"/>
      <c r="Q553" s="89"/>
      <c r="R553" s="89"/>
      <c r="S553" s="89"/>
      <c r="T553" s="89"/>
      <c r="U553" s="89"/>
      <c r="V553" s="89"/>
      <c r="W553" s="89"/>
      <c r="X553" s="89"/>
      <c r="Y553" s="89"/>
      <c r="Z553" s="89"/>
      <c r="AA553" s="89"/>
      <c r="AB553" s="89"/>
      <c r="AC553" s="89"/>
      <c r="AD553" s="89"/>
      <c r="AE553" s="89"/>
    </row>
    <row r="554">
      <c r="A554" s="445"/>
      <c r="B554" s="420"/>
      <c r="C554" s="420"/>
      <c r="D554" s="420"/>
      <c r="E554" s="420"/>
      <c r="F554" s="420"/>
      <c r="G554" s="420"/>
      <c r="H554" s="420"/>
      <c r="I554" s="89"/>
      <c r="J554" s="89"/>
      <c r="K554" s="89"/>
      <c r="L554" s="89"/>
      <c r="M554" s="89"/>
      <c r="N554" s="89"/>
      <c r="O554" s="89"/>
      <c r="P554" s="89"/>
      <c r="Q554" s="89"/>
      <c r="R554" s="89"/>
      <c r="S554" s="89"/>
      <c r="T554" s="89"/>
      <c r="U554" s="89"/>
      <c r="V554" s="89"/>
      <c r="W554" s="89"/>
      <c r="X554" s="89"/>
      <c r="Y554" s="89"/>
      <c r="Z554" s="89"/>
      <c r="AA554" s="89"/>
      <c r="AB554" s="89"/>
      <c r="AC554" s="89"/>
      <c r="AD554" s="89"/>
      <c r="AE554" s="89"/>
    </row>
    <row r="555">
      <c r="A555" s="445"/>
      <c r="B555" s="420"/>
      <c r="C555" s="420"/>
      <c r="D555" s="420"/>
      <c r="E555" s="420"/>
      <c r="F555" s="420"/>
      <c r="G555" s="420"/>
      <c r="H555" s="420"/>
      <c r="I555" s="89"/>
      <c r="J555" s="89"/>
      <c r="K555" s="89"/>
      <c r="L555" s="89"/>
      <c r="M555" s="89"/>
      <c r="N555" s="89"/>
      <c r="O555" s="89"/>
      <c r="P555" s="89"/>
      <c r="Q555" s="89"/>
      <c r="R555" s="89"/>
      <c r="S555" s="89"/>
      <c r="T555" s="89"/>
      <c r="U555" s="89"/>
      <c r="V555" s="89"/>
      <c r="W555" s="89"/>
      <c r="X555" s="89"/>
      <c r="Y555" s="89"/>
      <c r="Z555" s="89"/>
      <c r="AA555" s="89"/>
      <c r="AB555" s="89"/>
      <c r="AC555" s="89"/>
      <c r="AD555" s="89"/>
      <c r="AE555" s="89"/>
    </row>
    <row r="556">
      <c r="A556" s="445"/>
      <c r="B556" s="420"/>
      <c r="C556" s="420"/>
      <c r="D556" s="420"/>
      <c r="E556" s="420"/>
      <c r="F556" s="420"/>
      <c r="G556" s="420"/>
      <c r="H556" s="420"/>
      <c r="I556" s="89"/>
      <c r="J556" s="89"/>
      <c r="K556" s="89"/>
      <c r="L556" s="89"/>
      <c r="M556" s="89"/>
      <c r="N556" s="89"/>
      <c r="O556" s="89"/>
      <c r="P556" s="89"/>
      <c r="Q556" s="89"/>
      <c r="R556" s="89"/>
      <c r="S556" s="89"/>
      <c r="T556" s="89"/>
      <c r="U556" s="89"/>
      <c r="V556" s="89"/>
      <c r="W556" s="89"/>
      <c r="X556" s="89"/>
      <c r="Y556" s="89"/>
      <c r="Z556" s="89"/>
      <c r="AA556" s="89"/>
      <c r="AB556" s="89"/>
      <c r="AC556" s="89"/>
      <c r="AD556" s="89"/>
      <c r="AE556" s="89"/>
    </row>
    <row r="557">
      <c r="A557" s="445"/>
      <c r="B557" s="420"/>
      <c r="C557" s="420"/>
      <c r="D557" s="420"/>
      <c r="E557" s="420"/>
      <c r="F557" s="420"/>
      <c r="G557" s="420"/>
      <c r="H557" s="420"/>
      <c r="I557" s="89"/>
      <c r="J557" s="89"/>
      <c r="K557" s="89"/>
      <c r="L557" s="89"/>
      <c r="M557" s="89"/>
      <c r="N557" s="89"/>
      <c r="O557" s="89"/>
      <c r="P557" s="89"/>
      <c r="Q557" s="89"/>
      <c r="R557" s="89"/>
      <c r="S557" s="89"/>
      <c r="T557" s="89"/>
      <c r="U557" s="89"/>
      <c r="V557" s="89"/>
      <c r="W557" s="89"/>
      <c r="X557" s="89"/>
      <c r="Y557" s="89"/>
      <c r="Z557" s="89"/>
      <c r="AA557" s="89"/>
      <c r="AB557" s="89"/>
      <c r="AC557" s="89"/>
      <c r="AD557" s="89"/>
      <c r="AE557" s="89"/>
    </row>
    <row r="558">
      <c r="A558" s="445"/>
      <c r="B558" s="420"/>
      <c r="C558" s="420"/>
      <c r="D558" s="420"/>
      <c r="E558" s="420"/>
      <c r="F558" s="420"/>
      <c r="G558" s="420"/>
      <c r="H558" s="420"/>
      <c r="I558" s="89"/>
      <c r="J558" s="89"/>
      <c r="K558" s="89"/>
      <c r="L558" s="89"/>
      <c r="M558" s="89"/>
      <c r="N558" s="89"/>
      <c r="O558" s="89"/>
      <c r="P558" s="89"/>
      <c r="Q558" s="89"/>
      <c r="R558" s="89"/>
      <c r="S558" s="89"/>
      <c r="T558" s="89"/>
      <c r="U558" s="89"/>
      <c r="V558" s="89"/>
      <c r="W558" s="89"/>
      <c r="X558" s="89"/>
      <c r="Y558" s="89"/>
      <c r="Z558" s="89"/>
      <c r="AA558" s="89"/>
      <c r="AB558" s="89"/>
      <c r="AC558" s="89"/>
      <c r="AD558" s="89"/>
      <c r="AE558" s="89"/>
    </row>
    <row r="559">
      <c r="A559" s="445"/>
      <c r="B559" s="420"/>
      <c r="C559" s="420"/>
      <c r="D559" s="420"/>
      <c r="E559" s="420"/>
      <c r="F559" s="420"/>
      <c r="G559" s="420"/>
      <c r="H559" s="420"/>
      <c r="I559" s="89"/>
      <c r="J559" s="89"/>
      <c r="K559" s="89"/>
      <c r="L559" s="89"/>
      <c r="M559" s="89"/>
      <c r="N559" s="89"/>
      <c r="O559" s="89"/>
      <c r="P559" s="89"/>
      <c r="Q559" s="89"/>
      <c r="R559" s="89"/>
      <c r="S559" s="89"/>
      <c r="T559" s="89"/>
      <c r="U559" s="89"/>
      <c r="V559" s="89"/>
      <c r="W559" s="89"/>
      <c r="X559" s="89"/>
      <c r="Y559" s="89"/>
      <c r="Z559" s="89"/>
      <c r="AA559" s="89"/>
      <c r="AB559" s="89"/>
      <c r="AC559" s="89"/>
      <c r="AD559" s="89"/>
      <c r="AE559" s="89"/>
    </row>
    <row r="560">
      <c r="A560" s="445"/>
      <c r="B560" s="420"/>
      <c r="C560" s="420"/>
      <c r="D560" s="420"/>
      <c r="E560" s="420"/>
      <c r="F560" s="420"/>
      <c r="G560" s="420"/>
      <c r="H560" s="420"/>
      <c r="I560" s="89"/>
      <c r="J560" s="89"/>
      <c r="K560" s="89"/>
      <c r="L560" s="89"/>
      <c r="M560" s="89"/>
      <c r="N560" s="89"/>
      <c r="O560" s="89"/>
      <c r="P560" s="89"/>
      <c r="Q560" s="89"/>
      <c r="R560" s="89"/>
      <c r="S560" s="89"/>
      <c r="T560" s="89"/>
      <c r="U560" s="89"/>
      <c r="V560" s="89"/>
      <c r="W560" s="89"/>
      <c r="X560" s="89"/>
      <c r="Y560" s="89"/>
      <c r="Z560" s="89"/>
      <c r="AA560" s="89"/>
      <c r="AB560" s="89"/>
      <c r="AC560" s="89"/>
      <c r="AD560" s="89"/>
      <c r="AE560" s="89"/>
    </row>
    <row r="561">
      <c r="A561" s="445"/>
      <c r="B561" s="420"/>
      <c r="C561" s="420"/>
      <c r="D561" s="420"/>
      <c r="E561" s="420"/>
      <c r="F561" s="420"/>
      <c r="G561" s="420"/>
      <c r="H561" s="420"/>
      <c r="I561" s="89"/>
      <c r="J561" s="89"/>
      <c r="K561" s="89"/>
      <c r="L561" s="89"/>
      <c r="M561" s="89"/>
      <c r="N561" s="89"/>
      <c r="O561" s="89"/>
      <c r="P561" s="89"/>
      <c r="Q561" s="89"/>
      <c r="R561" s="89"/>
      <c r="S561" s="89"/>
      <c r="T561" s="89"/>
      <c r="U561" s="89"/>
      <c r="V561" s="89"/>
      <c r="W561" s="89"/>
      <c r="X561" s="89"/>
      <c r="Y561" s="89"/>
      <c r="Z561" s="89"/>
      <c r="AA561" s="89"/>
      <c r="AB561" s="89"/>
      <c r="AC561" s="89"/>
      <c r="AD561" s="89"/>
      <c r="AE561" s="89"/>
    </row>
    <row r="562">
      <c r="A562" s="445"/>
      <c r="B562" s="420"/>
      <c r="C562" s="420"/>
      <c r="D562" s="420"/>
      <c r="E562" s="420"/>
      <c r="F562" s="420"/>
      <c r="G562" s="420"/>
      <c r="H562" s="420"/>
      <c r="I562" s="89"/>
      <c r="J562" s="89"/>
      <c r="K562" s="89"/>
      <c r="L562" s="89"/>
      <c r="M562" s="89"/>
      <c r="N562" s="89"/>
      <c r="O562" s="89"/>
      <c r="P562" s="89"/>
      <c r="Q562" s="89"/>
      <c r="R562" s="89"/>
      <c r="S562" s="89"/>
      <c r="T562" s="89"/>
      <c r="U562" s="89"/>
      <c r="V562" s="89"/>
      <c r="W562" s="89"/>
      <c r="X562" s="89"/>
      <c r="Y562" s="89"/>
      <c r="Z562" s="89"/>
      <c r="AA562" s="89"/>
      <c r="AB562" s="89"/>
      <c r="AC562" s="89"/>
      <c r="AD562" s="89"/>
      <c r="AE562" s="89"/>
    </row>
    <row r="563">
      <c r="A563" s="445"/>
      <c r="B563" s="420"/>
      <c r="C563" s="420"/>
      <c r="D563" s="420"/>
      <c r="E563" s="420"/>
      <c r="F563" s="420"/>
      <c r="G563" s="420"/>
      <c r="H563" s="420"/>
      <c r="I563" s="89"/>
      <c r="J563" s="89"/>
      <c r="K563" s="89"/>
      <c r="L563" s="89"/>
      <c r="M563" s="89"/>
      <c r="N563" s="89"/>
      <c r="O563" s="89"/>
      <c r="P563" s="89"/>
      <c r="Q563" s="89"/>
      <c r="R563" s="89"/>
      <c r="S563" s="89"/>
      <c r="T563" s="89"/>
      <c r="U563" s="89"/>
      <c r="V563" s="89"/>
      <c r="W563" s="89"/>
      <c r="X563" s="89"/>
      <c r="Y563" s="89"/>
      <c r="Z563" s="89"/>
      <c r="AA563" s="89"/>
      <c r="AB563" s="89"/>
      <c r="AC563" s="89"/>
      <c r="AD563" s="89"/>
      <c r="AE563" s="89"/>
    </row>
    <row r="564">
      <c r="A564" s="445"/>
      <c r="B564" s="420"/>
      <c r="C564" s="420"/>
      <c r="D564" s="420"/>
      <c r="E564" s="420"/>
      <c r="F564" s="420"/>
      <c r="G564" s="420"/>
      <c r="H564" s="420"/>
      <c r="I564" s="89"/>
      <c r="J564" s="89"/>
      <c r="K564" s="89"/>
      <c r="L564" s="89"/>
      <c r="M564" s="89"/>
      <c r="N564" s="89"/>
      <c r="O564" s="89"/>
      <c r="P564" s="89"/>
      <c r="Q564" s="89"/>
      <c r="R564" s="89"/>
      <c r="S564" s="89"/>
      <c r="T564" s="89"/>
      <c r="U564" s="89"/>
      <c r="V564" s="89"/>
      <c r="W564" s="89"/>
      <c r="X564" s="89"/>
      <c r="Y564" s="89"/>
      <c r="Z564" s="89"/>
      <c r="AA564" s="89"/>
      <c r="AB564" s="89"/>
      <c r="AC564" s="89"/>
      <c r="AD564" s="89"/>
      <c r="AE564" s="89"/>
    </row>
    <row r="565">
      <c r="A565" s="445"/>
      <c r="B565" s="420"/>
      <c r="C565" s="420"/>
      <c r="D565" s="420"/>
      <c r="E565" s="420"/>
      <c r="F565" s="420"/>
      <c r="G565" s="420"/>
      <c r="H565" s="420"/>
      <c r="I565" s="89"/>
      <c r="J565" s="89"/>
      <c r="K565" s="89"/>
      <c r="L565" s="89"/>
      <c r="M565" s="89"/>
      <c r="N565" s="89"/>
      <c r="O565" s="89"/>
      <c r="P565" s="89"/>
      <c r="Q565" s="89"/>
      <c r="R565" s="89"/>
      <c r="S565" s="89"/>
      <c r="T565" s="89"/>
      <c r="U565" s="89"/>
      <c r="V565" s="89"/>
      <c r="W565" s="89"/>
      <c r="X565" s="89"/>
      <c r="Y565" s="89"/>
      <c r="Z565" s="89"/>
      <c r="AA565" s="89"/>
      <c r="AB565" s="89"/>
      <c r="AC565" s="89"/>
      <c r="AD565" s="89"/>
      <c r="AE565" s="89"/>
    </row>
    <row r="566">
      <c r="A566" s="445"/>
      <c r="B566" s="420"/>
      <c r="C566" s="420"/>
      <c r="D566" s="420"/>
      <c r="E566" s="420"/>
      <c r="F566" s="420"/>
      <c r="G566" s="420"/>
      <c r="H566" s="420"/>
      <c r="I566" s="89"/>
      <c r="J566" s="89"/>
      <c r="K566" s="89"/>
      <c r="L566" s="89"/>
      <c r="M566" s="89"/>
      <c r="N566" s="89"/>
      <c r="O566" s="89"/>
      <c r="P566" s="89"/>
      <c r="Q566" s="89"/>
      <c r="R566" s="89"/>
      <c r="S566" s="89"/>
      <c r="T566" s="89"/>
      <c r="U566" s="89"/>
      <c r="V566" s="89"/>
      <c r="W566" s="89"/>
      <c r="X566" s="89"/>
      <c r="Y566" s="89"/>
      <c r="Z566" s="89"/>
      <c r="AA566" s="89"/>
      <c r="AB566" s="89"/>
      <c r="AC566" s="89"/>
      <c r="AD566" s="89"/>
      <c r="AE566" s="89"/>
    </row>
    <row r="567">
      <c r="A567" s="445"/>
      <c r="B567" s="420"/>
      <c r="C567" s="420"/>
      <c r="D567" s="420"/>
      <c r="E567" s="420"/>
      <c r="F567" s="420"/>
      <c r="G567" s="420"/>
      <c r="H567" s="420"/>
      <c r="I567" s="89"/>
      <c r="J567" s="89"/>
      <c r="K567" s="89"/>
      <c r="L567" s="89"/>
      <c r="M567" s="89"/>
      <c r="N567" s="89"/>
      <c r="O567" s="89"/>
      <c r="P567" s="89"/>
      <c r="Q567" s="89"/>
      <c r="R567" s="89"/>
      <c r="S567" s="89"/>
      <c r="T567" s="89"/>
      <c r="U567" s="89"/>
      <c r="V567" s="89"/>
      <c r="W567" s="89"/>
      <c r="X567" s="89"/>
      <c r="Y567" s="89"/>
      <c r="Z567" s="89"/>
      <c r="AA567" s="89"/>
      <c r="AB567" s="89"/>
      <c r="AC567" s="89"/>
      <c r="AD567" s="89"/>
      <c r="AE567" s="89"/>
    </row>
    <row r="568">
      <c r="A568" s="445"/>
      <c r="B568" s="420"/>
      <c r="C568" s="420"/>
      <c r="D568" s="420"/>
      <c r="E568" s="420"/>
      <c r="F568" s="420"/>
      <c r="G568" s="420"/>
      <c r="H568" s="420"/>
      <c r="I568" s="89"/>
      <c r="J568" s="89"/>
      <c r="K568" s="89"/>
      <c r="L568" s="89"/>
      <c r="M568" s="89"/>
      <c r="N568" s="89"/>
      <c r="O568" s="89"/>
      <c r="P568" s="89"/>
      <c r="Q568" s="89"/>
      <c r="R568" s="89"/>
      <c r="S568" s="89"/>
      <c r="T568" s="89"/>
      <c r="U568" s="89"/>
      <c r="V568" s="89"/>
      <c r="W568" s="89"/>
      <c r="X568" s="89"/>
      <c r="Y568" s="89"/>
      <c r="Z568" s="89"/>
      <c r="AA568" s="89"/>
      <c r="AB568" s="89"/>
      <c r="AC568" s="89"/>
      <c r="AD568" s="89"/>
      <c r="AE568" s="89"/>
    </row>
    <row r="569">
      <c r="A569" s="445"/>
      <c r="B569" s="420"/>
      <c r="C569" s="420"/>
      <c r="D569" s="420"/>
      <c r="E569" s="420"/>
      <c r="F569" s="420"/>
      <c r="G569" s="420"/>
      <c r="H569" s="420"/>
      <c r="I569" s="89"/>
      <c r="J569" s="89"/>
      <c r="K569" s="89"/>
      <c r="L569" s="89"/>
      <c r="M569" s="89"/>
      <c r="N569" s="89"/>
      <c r="O569" s="89"/>
      <c r="P569" s="89"/>
      <c r="Q569" s="89"/>
      <c r="R569" s="89"/>
      <c r="S569" s="89"/>
      <c r="T569" s="89"/>
      <c r="U569" s="89"/>
      <c r="V569" s="89"/>
      <c r="W569" s="89"/>
      <c r="X569" s="89"/>
      <c r="Y569" s="89"/>
      <c r="Z569" s="89"/>
      <c r="AA569" s="89"/>
      <c r="AB569" s="89"/>
      <c r="AC569" s="89"/>
      <c r="AD569" s="89"/>
      <c r="AE569" s="89"/>
    </row>
    <row r="570">
      <c r="A570" s="445"/>
      <c r="B570" s="420"/>
      <c r="C570" s="420"/>
      <c r="D570" s="420"/>
      <c r="E570" s="420"/>
      <c r="F570" s="420"/>
      <c r="G570" s="420"/>
      <c r="H570" s="420"/>
      <c r="I570" s="89"/>
      <c r="J570" s="89"/>
      <c r="K570" s="89"/>
      <c r="L570" s="89"/>
      <c r="M570" s="89"/>
      <c r="N570" s="89"/>
      <c r="O570" s="89"/>
      <c r="P570" s="89"/>
      <c r="Q570" s="89"/>
      <c r="R570" s="89"/>
      <c r="S570" s="89"/>
      <c r="T570" s="89"/>
      <c r="U570" s="89"/>
      <c r="V570" s="89"/>
      <c r="W570" s="89"/>
      <c r="X570" s="89"/>
      <c r="Y570" s="89"/>
      <c r="Z570" s="89"/>
      <c r="AA570" s="89"/>
      <c r="AB570" s="89"/>
      <c r="AC570" s="89"/>
      <c r="AD570" s="89"/>
      <c r="AE570" s="89"/>
    </row>
    <row r="571">
      <c r="A571" s="445"/>
      <c r="B571" s="420"/>
      <c r="C571" s="420"/>
      <c r="D571" s="420"/>
      <c r="E571" s="420"/>
      <c r="F571" s="420"/>
      <c r="G571" s="420"/>
      <c r="H571" s="420"/>
      <c r="I571" s="89"/>
      <c r="J571" s="89"/>
      <c r="K571" s="89"/>
      <c r="L571" s="89"/>
      <c r="M571" s="89"/>
      <c r="N571" s="89"/>
      <c r="O571" s="89"/>
      <c r="P571" s="89"/>
      <c r="Q571" s="89"/>
      <c r="R571" s="89"/>
      <c r="S571" s="89"/>
      <c r="T571" s="89"/>
      <c r="U571" s="89"/>
      <c r="V571" s="89"/>
      <c r="W571" s="89"/>
      <c r="X571" s="89"/>
      <c r="Y571" s="89"/>
      <c r="Z571" s="89"/>
      <c r="AA571" s="89"/>
      <c r="AB571" s="89"/>
      <c r="AC571" s="89"/>
      <c r="AD571" s="89"/>
      <c r="AE571" s="89"/>
    </row>
    <row r="572">
      <c r="A572" s="445"/>
      <c r="B572" s="420"/>
      <c r="C572" s="420"/>
      <c r="D572" s="420"/>
      <c r="E572" s="420"/>
      <c r="F572" s="420"/>
      <c r="G572" s="420"/>
      <c r="H572" s="420"/>
      <c r="I572" s="89"/>
      <c r="J572" s="89"/>
      <c r="K572" s="89"/>
      <c r="L572" s="89"/>
      <c r="M572" s="89"/>
      <c r="N572" s="89"/>
      <c r="O572" s="89"/>
      <c r="P572" s="89"/>
      <c r="Q572" s="89"/>
      <c r="R572" s="89"/>
      <c r="S572" s="89"/>
      <c r="T572" s="89"/>
      <c r="U572" s="89"/>
      <c r="V572" s="89"/>
      <c r="W572" s="89"/>
      <c r="X572" s="89"/>
      <c r="Y572" s="89"/>
      <c r="Z572" s="89"/>
      <c r="AA572" s="89"/>
      <c r="AB572" s="89"/>
      <c r="AC572" s="89"/>
      <c r="AD572" s="89"/>
      <c r="AE572" s="89"/>
    </row>
    <row r="573">
      <c r="A573" s="445"/>
      <c r="B573" s="420"/>
      <c r="C573" s="420"/>
      <c r="D573" s="420"/>
      <c r="E573" s="420"/>
      <c r="F573" s="420"/>
      <c r="G573" s="420"/>
      <c r="H573" s="420"/>
      <c r="I573" s="89"/>
      <c r="J573" s="89"/>
      <c r="K573" s="89"/>
      <c r="L573" s="89"/>
      <c r="M573" s="89"/>
      <c r="N573" s="89"/>
      <c r="O573" s="89"/>
      <c r="P573" s="89"/>
      <c r="Q573" s="89"/>
      <c r="R573" s="89"/>
      <c r="S573" s="89"/>
      <c r="T573" s="89"/>
      <c r="U573" s="89"/>
      <c r="V573" s="89"/>
      <c r="W573" s="89"/>
      <c r="X573" s="89"/>
      <c r="Y573" s="89"/>
      <c r="Z573" s="89"/>
      <c r="AA573" s="89"/>
      <c r="AB573" s="89"/>
      <c r="AC573" s="89"/>
      <c r="AD573" s="89"/>
      <c r="AE573" s="89"/>
    </row>
    <row r="574">
      <c r="A574" s="445"/>
      <c r="B574" s="420"/>
      <c r="C574" s="420"/>
      <c r="D574" s="420"/>
      <c r="E574" s="420"/>
      <c r="F574" s="420"/>
      <c r="G574" s="420"/>
      <c r="H574" s="420"/>
      <c r="I574" s="89"/>
      <c r="J574" s="89"/>
      <c r="K574" s="89"/>
      <c r="L574" s="89"/>
      <c r="M574" s="89"/>
      <c r="N574" s="89"/>
      <c r="O574" s="89"/>
      <c r="P574" s="89"/>
      <c r="Q574" s="89"/>
      <c r="R574" s="89"/>
      <c r="S574" s="89"/>
      <c r="T574" s="89"/>
      <c r="U574" s="89"/>
      <c r="V574" s="89"/>
      <c r="W574" s="89"/>
      <c r="X574" s="89"/>
      <c r="Y574" s="89"/>
      <c r="Z574" s="89"/>
      <c r="AA574" s="89"/>
      <c r="AB574" s="89"/>
      <c r="AC574" s="89"/>
      <c r="AD574" s="89"/>
      <c r="AE574" s="89"/>
    </row>
    <row r="575">
      <c r="A575" s="445"/>
      <c r="B575" s="420"/>
      <c r="C575" s="420"/>
      <c r="D575" s="420"/>
      <c r="E575" s="420"/>
      <c r="F575" s="420"/>
      <c r="G575" s="420"/>
      <c r="H575" s="420"/>
      <c r="I575" s="89"/>
      <c r="J575" s="89"/>
      <c r="K575" s="89"/>
      <c r="L575" s="89"/>
      <c r="M575" s="89"/>
      <c r="N575" s="89"/>
      <c r="O575" s="89"/>
      <c r="P575" s="89"/>
      <c r="Q575" s="89"/>
      <c r="R575" s="89"/>
      <c r="S575" s="89"/>
      <c r="T575" s="89"/>
      <c r="U575" s="89"/>
      <c r="V575" s="89"/>
      <c r="W575" s="89"/>
      <c r="X575" s="89"/>
      <c r="Y575" s="89"/>
      <c r="Z575" s="89"/>
      <c r="AA575" s="89"/>
      <c r="AB575" s="89"/>
      <c r="AC575" s="89"/>
      <c r="AD575" s="89"/>
      <c r="AE575" s="89"/>
    </row>
    <row r="576">
      <c r="A576" s="445"/>
      <c r="B576" s="420"/>
      <c r="C576" s="420"/>
      <c r="D576" s="420"/>
      <c r="E576" s="420"/>
      <c r="F576" s="420"/>
      <c r="G576" s="420"/>
      <c r="H576" s="420"/>
      <c r="I576" s="89"/>
      <c r="J576" s="89"/>
      <c r="K576" s="89"/>
      <c r="L576" s="89"/>
      <c r="M576" s="89"/>
      <c r="N576" s="89"/>
      <c r="O576" s="89"/>
      <c r="P576" s="89"/>
      <c r="Q576" s="89"/>
      <c r="R576" s="89"/>
      <c r="S576" s="89"/>
      <c r="T576" s="89"/>
      <c r="U576" s="89"/>
      <c r="V576" s="89"/>
      <c r="W576" s="89"/>
      <c r="X576" s="89"/>
      <c r="Y576" s="89"/>
      <c r="Z576" s="89"/>
      <c r="AA576" s="89"/>
      <c r="AB576" s="89"/>
      <c r="AC576" s="89"/>
      <c r="AD576" s="89"/>
      <c r="AE576" s="89"/>
    </row>
    <row r="577">
      <c r="A577" s="445"/>
      <c r="B577" s="420"/>
      <c r="C577" s="420"/>
      <c r="D577" s="420"/>
      <c r="E577" s="420"/>
      <c r="F577" s="420"/>
      <c r="G577" s="420"/>
      <c r="H577" s="420"/>
      <c r="I577" s="89"/>
      <c r="J577" s="89"/>
      <c r="K577" s="89"/>
      <c r="L577" s="89"/>
      <c r="M577" s="89"/>
      <c r="N577" s="89"/>
      <c r="O577" s="89"/>
      <c r="P577" s="89"/>
      <c r="Q577" s="89"/>
      <c r="R577" s="89"/>
      <c r="S577" s="89"/>
      <c r="T577" s="89"/>
      <c r="U577" s="89"/>
      <c r="V577" s="89"/>
      <c r="W577" s="89"/>
      <c r="X577" s="89"/>
      <c r="Y577" s="89"/>
      <c r="Z577" s="89"/>
      <c r="AA577" s="89"/>
      <c r="AB577" s="89"/>
      <c r="AC577" s="89"/>
      <c r="AD577" s="89"/>
      <c r="AE577" s="89"/>
    </row>
    <row r="578">
      <c r="A578" s="445"/>
      <c r="B578" s="420"/>
      <c r="C578" s="420"/>
      <c r="D578" s="420"/>
      <c r="E578" s="420"/>
      <c r="F578" s="420"/>
      <c r="G578" s="420"/>
      <c r="H578" s="420"/>
      <c r="I578" s="89"/>
      <c r="J578" s="89"/>
      <c r="K578" s="89"/>
      <c r="L578" s="89"/>
      <c r="M578" s="89"/>
      <c r="N578" s="89"/>
      <c r="O578" s="89"/>
      <c r="P578" s="89"/>
      <c r="Q578" s="89"/>
      <c r="R578" s="89"/>
      <c r="S578" s="89"/>
      <c r="T578" s="89"/>
      <c r="U578" s="89"/>
      <c r="V578" s="89"/>
      <c r="W578" s="89"/>
      <c r="X578" s="89"/>
      <c r="Y578" s="89"/>
      <c r="Z578" s="89"/>
      <c r="AA578" s="89"/>
      <c r="AB578" s="89"/>
      <c r="AC578" s="89"/>
      <c r="AD578" s="89"/>
      <c r="AE578" s="89"/>
    </row>
    <row r="579">
      <c r="A579" s="445"/>
      <c r="B579" s="420"/>
      <c r="C579" s="420"/>
      <c r="D579" s="420"/>
      <c r="E579" s="420"/>
      <c r="F579" s="420"/>
      <c r="G579" s="420"/>
      <c r="H579" s="420"/>
      <c r="I579" s="89"/>
      <c r="J579" s="89"/>
      <c r="K579" s="89"/>
      <c r="L579" s="89"/>
      <c r="M579" s="89"/>
      <c r="N579" s="89"/>
      <c r="O579" s="89"/>
      <c r="P579" s="89"/>
      <c r="Q579" s="89"/>
      <c r="R579" s="89"/>
      <c r="S579" s="89"/>
      <c r="T579" s="89"/>
      <c r="U579" s="89"/>
      <c r="V579" s="89"/>
      <c r="W579" s="89"/>
      <c r="X579" s="89"/>
      <c r="Y579" s="89"/>
      <c r="Z579" s="89"/>
      <c r="AA579" s="89"/>
      <c r="AB579" s="89"/>
      <c r="AC579" s="89"/>
      <c r="AD579" s="89"/>
      <c r="AE579" s="89"/>
    </row>
    <row r="580">
      <c r="A580" s="445"/>
      <c r="B580" s="420"/>
      <c r="C580" s="420"/>
      <c r="D580" s="420"/>
      <c r="E580" s="420"/>
      <c r="F580" s="420"/>
      <c r="G580" s="420"/>
      <c r="H580" s="420"/>
      <c r="I580" s="89"/>
      <c r="J580" s="89"/>
      <c r="K580" s="89"/>
      <c r="L580" s="89"/>
      <c r="M580" s="89"/>
      <c r="N580" s="89"/>
      <c r="O580" s="89"/>
      <c r="P580" s="89"/>
      <c r="Q580" s="89"/>
      <c r="R580" s="89"/>
      <c r="S580" s="89"/>
      <c r="T580" s="89"/>
      <c r="U580" s="89"/>
      <c r="V580" s="89"/>
      <c r="W580" s="89"/>
      <c r="X580" s="89"/>
      <c r="Y580" s="89"/>
      <c r="Z580" s="89"/>
      <c r="AA580" s="89"/>
      <c r="AB580" s="89"/>
      <c r="AC580" s="89"/>
      <c r="AD580" s="89"/>
      <c r="AE580" s="89"/>
    </row>
    <row r="581">
      <c r="A581" s="445"/>
      <c r="B581" s="420"/>
      <c r="C581" s="420"/>
      <c r="D581" s="420"/>
      <c r="E581" s="420"/>
      <c r="F581" s="420"/>
      <c r="G581" s="420"/>
      <c r="H581" s="420"/>
      <c r="I581" s="89"/>
      <c r="J581" s="89"/>
      <c r="K581" s="89"/>
      <c r="L581" s="89"/>
      <c r="M581" s="89"/>
      <c r="N581" s="89"/>
      <c r="O581" s="89"/>
      <c r="P581" s="89"/>
      <c r="Q581" s="89"/>
      <c r="R581" s="89"/>
      <c r="S581" s="89"/>
      <c r="T581" s="89"/>
      <c r="U581" s="89"/>
      <c r="V581" s="89"/>
      <c r="W581" s="89"/>
      <c r="X581" s="89"/>
      <c r="Y581" s="89"/>
      <c r="Z581" s="89"/>
      <c r="AA581" s="89"/>
      <c r="AB581" s="89"/>
      <c r="AC581" s="89"/>
      <c r="AD581" s="89"/>
      <c r="AE581" s="89"/>
    </row>
    <row r="582">
      <c r="A582" s="445"/>
      <c r="B582" s="420"/>
      <c r="C582" s="420"/>
      <c r="D582" s="420"/>
      <c r="E582" s="420"/>
      <c r="F582" s="420"/>
      <c r="G582" s="420"/>
      <c r="H582" s="420"/>
      <c r="I582" s="89"/>
      <c r="J582" s="89"/>
      <c r="K582" s="89"/>
      <c r="L582" s="89"/>
      <c r="M582" s="89"/>
      <c r="N582" s="89"/>
      <c r="O582" s="89"/>
      <c r="P582" s="89"/>
      <c r="Q582" s="89"/>
      <c r="R582" s="89"/>
      <c r="S582" s="89"/>
      <c r="T582" s="89"/>
      <c r="U582" s="89"/>
      <c r="V582" s="89"/>
      <c r="W582" s="89"/>
      <c r="X582" s="89"/>
      <c r="Y582" s="89"/>
      <c r="Z582" s="89"/>
      <c r="AA582" s="89"/>
      <c r="AB582" s="89"/>
      <c r="AC582" s="89"/>
      <c r="AD582" s="89"/>
      <c r="AE582" s="89"/>
    </row>
    <row r="583">
      <c r="A583" s="445"/>
      <c r="B583" s="420"/>
      <c r="C583" s="420"/>
      <c r="D583" s="420"/>
      <c r="E583" s="420"/>
      <c r="F583" s="420"/>
      <c r="G583" s="420"/>
      <c r="H583" s="420"/>
      <c r="I583" s="89"/>
      <c r="J583" s="89"/>
      <c r="K583" s="89"/>
      <c r="L583" s="89"/>
      <c r="M583" s="89"/>
      <c r="N583" s="89"/>
      <c r="O583" s="89"/>
      <c r="P583" s="89"/>
      <c r="Q583" s="89"/>
      <c r="R583" s="89"/>
      <c r="S583" s="89"/>
      <c r="T583" s="89"/>
      <c r="U583" s="89"/>
      <c r="V583" s="89"/>
      <c r="W583" s="89"/>
      <c r="X583" s="89"/>
      <c r="Y583" s="89"/>
      <c r="Z583" s="89"/>
      <c r="AA583" s="89"/>
      <c r="AB583" s="89"/>
      <c r="AC583" s="89"/>
      <c r="AD583" s="89"/>
      <c r="AE583" s="89"/>
    </row>
    <row r="584">
      <c r="A584" s="445"/>
      <c r="B584" s="420"/>
      <c r="C584" s="420"/>
      <c r="D584" s="420"/>
      <c r="E584" s="420"/>
      <c r="F584" s="420"/>
      <c r="G584" s="420"/>
      <c r="H584" s="420"/>
      <c r="I584" s="89"/>
      <c r="J584" s="89"/>
      <c r="K584" s="89"/>
      <c r="L584" s="89"/>
      <c r="M584" s="89"/>
      <c r="N584" s="89"/>
      <c r="O584" s="89"/>
      <c r="P584" s="89"/>
      <c r="Q584" s="89"/>
      <c r="R584" s="89"/>
      <c r="S584" s="89"/>
      <c r="T584" s="89"/>
      <c r="U584" s="89"/>
      <c r="V584" s="89"/>
      <c r="W584" s="89"/>
      <c r="X584" s="89"/>
      <c r="Y584" s="89"/>
      <c r="Z584" s="89"/>
      <c r="AA584" s="89"/>
      <c r="AB584" s="89"/>
      <c r="AC584" s="89"/>
      <c r="AD584" s="89"/>
      <c r="AE584" s="89"/>
    </row>
    <row r="585">
      <c r="A585" s="445"/>
      <c r="B585" s="420"/>
      <c r="C585" s="420"/>
      <c r="D585" s="420"/>
      <c r="E585" s="420"/>
      <c r="F585" s="420"/>
      <c r="G585" s="420"/>
      <c r="H585" s="420"/>
      <c r="I585" s="89"/>
      <c r="J585" s="89"/>
      <c r="K585" s="89"/>
      <c r="L585" s="89"/>
      <c r="M585" s="89"/>
      <c r="N585" s="89"/>
      <c r="O585" s="89"/>
      <c r="P585" s="89"/>
      <c r="Q585" s="89"/>
      <c r="R585" s="89"/>
      <c r="S585" s="89"/>
      <c r="T585" s="89"/>
      <c r="U585" s="89"/>
      <c r="V585" s="89"/>
      <c r="W585" s="89"/>
      <c r="X585" s="89"/>
      <c r="Y585" s="89"/>
      <c r="Z585" s="89"/>
      <c r="AA585" s="89"/>
      <c r="AB585" s="89"/>
      <c r="AC585" s="89"/>
      <c r="AD585" s="89"/>
      <c r="AE585" s="89"/>
    </row>
    <row r="586">
      <c r="A586" s="445"/>
      <c r="B586" s="420"/>
      <c r="C586" s="420"/>
      <c r="D586" s="420"/>
      <c r="E586" s="420"/>
      <c r="F586" s="420"/>
      <c r="G586" s="420"/>
      <c r="H586" s="420"/>
      <c r="I586" s="89"/>
      <c r="J586" s="89"/>
      <c r="K586" s="89"/>
      <c r="L586" s="89"/>
      <c r="M586" s="89"/>
      <c r="N586" s="89"/>
      <c r="O586" s="89"/>
      <c r="P586" s="89"/>
      <c r="Q586" s="89"/>
      <c r="R586" s="89"/>
      <c r="S586" s="89"/>
      <c r="T586" s="89"/>
      <c r="U586" s="89"/>
      <c r="V586" s="89"/>
      <c r="W586" s="89"/>
      <c r="X586" s="89"/>
      <c r="Y586" s="89"/>
      <c r="Z586" s="89"/>
      <c r="AA586" s="89"/>
      <c r="AB586" s="89"/>
      <c r="AC586" s="89"/>
      <c r="AD586" s="89"/>
      <c r="AE586" s="89"/>
    </row>
    <row r="587">
      <c r="A587" s="445"/>
      <c r="B587" s="420"/>
      <c r="C587" s="420"/>
      <c r="D587" s="420"/>
      <c r="E587" s="420"/>
      <c r="F587" s="420"/>
      <c r="G587" s="420"/>
      <c r="H587" s="420"/>
      <c r="I587" s="89"/>
      <c r="J587" s="89"/>
      <c r="K587" s="89"/>
      <c r="L587" s="89"/>
      <c r="M587" s="89"/>
      <c r="N587" s="89"/>
      <c r="O587" s="89"/>
      <c r="P587" s="89"/>
      <c r="Q587" s="89"/>
      <c r="R587" s="89"/>
      <c r="S587" s="89"/>
      <c r="T587" s="89"/>
      <c r="U587" s="89"/>
      <c r="V587" s="89"/>
      <c r="W587" s="89"/>
      <c r="X587" s="89"/>
      <c r="Y587" s="89"/>
      <c r="Z587" s="89"/>
      <c r="AA587" s="89"/>
      <c r="AB587" s="89"/>
      <c r="AC587" s="89"/>
      <c r="AD587" s="89"/>
      <c r="AE587" s="89"/>
    </row>
    <row r="588">
      <c r="A588" s="445"/>
      <c r="B588" s="420"/>
      <c r="C588" s="420"/>
      <c r="D588" s="420"/>
      <c r="E588" s="420"/>
      <c r="F588" s="420"/>
      <c r="G588" s="420"/>
      <c r="H588" s="420"/>
      <c r="I588" s="89"/>
      <c r="J588" s="89"/>
      <c r="K588" s="89"/>
      <c r="L588" s="89"/>
      <c r="M588" s="89"/>
      <c r="N588" s="89"/>
      <c r="O588" s="89"/>
      <c r="P588" s="89"/>
      <c r="Q588" s="89"/>
      <c r="R588" s="89"/>
      <c r="S588" s="89"/>
      <c r="T588" s="89"/>
      <c r="U588" s="89"/>
      <c r="V588" s="89"/>
      <c r="W588" s="89"/>
      <c r="X588" s="89"/>
      <c r="Y588" s="89"/>
      <c r="Z588" s="89"/>
      <c r="AA588" s="89"/>
      <c r="AB588" s="89"/>
      <c r="AC588" s="89"/>
      <c r="AD588" s="89"/>
      <c r="AE588" s="89"/>
    </row>
    <row r="589">
      <c r="A589" s="445"/>
      <c r="B589" s="420"/>
      <c r="C589" s="420"/>
      <c r="D589" s="420"/>
      <c r="E589" s="420"/>
      <c r="F589" s="420"/>
      <c r="G589" s="420"/>
      <c r="H589" s="420"/>
      <c r="I589" s="89"/>
      <c r="J589" s="89"/>
      <c r="K589" s="89"/>
      <c r="L589" s="89"/>
      <c r="M589" s="89"/>
      <c r="N589" s="89"/>
      <c r="O589" s="89"/>
      <c r="P589" s="89"/>
      <c r="Q589" s="89"/>
      <c r="R589" s="89"/>
      <c r="S589" s="89"/>
      <c r="T589" s="89"/>
      <c r="U589" s="89"/>
      <c r="V589" s="89"/>
      <c r="W589" s="89"/>
      <c r="X589" s="89"/>
      <c r="Y589" s="89"/>
      <c r="Z589" s="89"/>
      <c r="AA589" s="89"/>
      <c r="AB589" s="89"/>
      <c r="AC589" s="89"/>
      <c r="AD589" s="89"/>
      <c r="AE589" s="89"/>
    </row>
    <row r="590">
      <c r="A590" s="445"/>
      <c r="B590" s="420"/>
      <c r="C590" s="420"/>
      <c r="D590" s="420"/>
      <c r="E590" s="420"/>
      <c r="F590" s="420"/>
      <c r="G590" s="420"/>
      <c r="H590" s="420"/>
      <c r="I590" s="89"/>
      <c r="J590" s="89"/>
      <c r="K590" s="89"/>
      <c r="L590" s="89"/>
      <c r="M590" s="89"/>
      <c r="N590" s="89"/>
      <c r="O590" s="89"/>
      <c r="P590" s="89"/>
      <c r="Q590" s="89"/>
      <c r="R590" s="89"/>
      <c r="S590" s="89"/>
      <c r="T590" s="89"/>
      <c r="U590" s="89"/>
      <c r="V590" s="89"/>
      <c r="W590" s="89"/>
      <c r="X590" s="89"/>
      <c r="Y590" s="89"/>
      <c r="Z590" s="89"/>
      <c r="AA590" s="89"/>
      <c r="AB590" s="89"/>
      <c r="AC590" s="89"/>
      <c r="AD590" s="89"/>
      <c r="AE590" s="89"/>
    </row>
    <row r="591">
      <c r="A591" s="445"/>
      <c r="B591" s="420"/>
      <c r="C591" s="420"/>
      <c r="D591" s="420"/>
      <c r="E591" s="420"/>
      <c r="F591" s="420"/>
      <c r="G591" s="420"/>
      <c r="H591" s="420"/>
      <c r="I591" s="89"/>
      <c r="J591" s="89"/>
      <c r="K591" s="89"/>
      <c r="L591" s="89"/>
      <c r="M591" s="89"/>
      <c r="N591" s="89"/>
      <c r="O591" s="89"/>
      <c r="P591" s="89"/>
      <c r="Q591" s="89"/>
      <c r="R591" s="89"/>
      <c r="S591" s="89"/>
      <c r="T591" s="89"/>
      <c r="U591" s="89"/>
      <c r="V591" s="89"/>
      <c r="W591" s="89"/>
      <c r="X591" s="89"/>
      <c r="Y591" s="89"/>
      <c r="Z591" s="89"/>
      <c r="AA591" s="89"/>
      <c r="AB591" s="89"/>
      <c r="AC591" s="89"/>
      <c r="AD591" s="89"/>
      <c r="AE591" s="89"/>
    </row>
    <row r="592">
      <c r="A592" s="445"/>
      <c r="B592" s="420"/>
      <c r="C592" s="420"/>
      <c r="D592" s="420"/>
      <c r="E592" s="420"/>
      <c r="F592" s="420"/>
      <c r="G592" s="420"/>
      <c r="H592" s="420"/>
      <c r="I592" s="89"/>
      <c r="J592" s="89"/>
      <c r="K592" s="89"/>
      <c r="L592" s="89"/>
      <c r="M592" s="89"/>
      <c r="N592" s="89"/>
      <c r="O592" s="89"/>
      <c r="P592" s="89"/>
      <c r="Q592" s="89"/>
      <c r="R592" s="89"/>
      <c r="S592" s="89"/>
      <c r="T592" s="89"/>
      <c r="U592" s="89"/>
      <c r="V592" s="89"/>
      <c r="W592" s="89"/>
      <c r="X592" s="89"/>
      <c r="Y592" s="89"/>
      <c r="Z592" s="89"/>
      <c r="AA592" s="89"/>
      <c r="AB592" s="89"/>
      <c r="AC592" s="89"/>
      <c r="AD592" s="89"/>
      <c r="AE592" s="89"/>
    </row>
    <row r="593">
      <c r="A593" s="445"/>
      <c r="B593" s="420"/>
      <c r="C593" s="420"/>
      <c r="D593" s="420"/>
      <c r="E593" s="420"/>
      <c r="F593" s="420"/>
      <c r="G593" s="420"/>
      <c r="H593" s="420"/>
      <c r="I593" s="89"/>
      <c r="J593" s="89"/>
      <c r="K593" s="89"/>
      <c r="L593" s="89"/>
      <c r="M593" s="89"/>
      <c r="N593" s="89"/>
      <c r="O593" s="89"/>
      <c r="P593" s="89"/>
      <c r="Q593" s="89"/>
      <c r="R593" s="89"/>
      <c r="S593" s="89"/>
      <c r="T593" s="89"/>
      <c r="U593" s="89"/>
      <c r="V593" s="89"/>
      <c r="W593" s="89"/>
      <c r="X593" s="89"/>
      <c r="Y593" s="89"/>
      <c r="Z593" s="89"/>
      <c r="AA593" s="89"/>
      <c r="AB593" s="89"/>
      <c r="AC593" s="89"/>
      <c r="AD593" s="89"/>
      <c r="AE593" s="89"/>
    </row>
    <row r="594">
      <c r="A594" s="445"/>
      <c r="B594" s="420"/>
      <c r="C594" s="420"/>
      <c r="D594" s="420"/>
      <c r="E594" s="420"/>
      <c r="F594" s="420"/>
      <c r="G594" s="420"/>
      <c r="H594" s="420"/>
      <c r="I594" s="89"/>
      <c r="J594" s="89"/>
      <c r="K594" s="89"/>
      <c r="L594" s="89"/>
      <c r="M594" s="89"/>
      <c r="N594" s="89"/>
      <c r="O594" s="89"/>
      <c r="P594" s="89"/>
      <c r="Q594" s="89"/>
      <c r="R594" s="89"/>
      <c r="S594" s="89"/>
      <c r="T594" s="89"/>
      <c r="U594" s="89"/>
      <c r="V594" s="89"/>
      <c r="W594" s="89"/>
      <c r="X594" s="89"/>
      <c r="Y594" s="89"/>
      <c r="Z594" s="89"/>
      <c r="AA594" s="89"/>
      <c r="AB594" s="89"/>
      <c r="AC594" s="89"/>
      <c r="AD594" s="89"/>
      <c r="AE594" s="89"/>
    </row>
    <row r="595">
      <c r="A595" s="445"/>
      <c r="B595" s="420"/>
      <c r="C595" s="420"/>
      <c r="D595" s="420"/>
      <c r="E595" s="420"/>
      <c r="F595" s="420"/>
      <c r="G595" s="420"/>
      <c r="H595" s="420"/>
      <c r="I595" s="89"/>
      <c r="J595" s="89"/>
      <c r="K595" s="89"/>
      <c r="L595" s="89"/>
      <c r="M595" s="89"/>
      <c r="N595" s="89"/>
      <c r="O595" s="89"/>
      <c r="P595" s="89"/>
      <c r="Q595" s="89"/>
      <c r="R595" s="89"/>
      <c r="S595" s="89"/>
      <c r="T595" s="89"/>
      <c r="U595" s="89"/>
      <c r="V595" s="89"/>
      <c r="W595" s="89"/>
      <c r="X595" s="89"/>
      <c r="Y595" s="89"/>
      <c r="Z595" s="89"/>
      <c r="AA595" s="89"/>
      <c r="AB595" s="89"/>
      <c r="AC595" s="89"/>
      <c r="AD595" s="89"/>
      <c r="AE595" s="89"/>
    </row>
    <row r="596">
      <c r="A596" s="445"/>
      <c r="B596" s="420"/>
      <c r="C596" s="420"/>
      <c r="D596" s="420"/>
      <c r="E596" s="420"/>
      <c r="F596" s="420"/>
      <c r="G596" s="420"/>
      <c r="H596" s="420"/>
      <c r="I596" s="89"/>
      <c r="J596" s="89"/>
      <c r="K596" s="89"/>
      <c r="L596" s="89"/>
      <c r="M596" s="89"/>
      <c r="N596" s="89"/>
      <c r="O596" s="89"/>
      <c r="P596" s="89"/>
      <c r="Q596" s="89"/>
      <c r="R596" s="89"/>
      <c r="S596" s="89"/>
      <c r="T596" s="89"/>
      <c r="U596" s="89"/>
      <c r="V596" s="89"/>
      <c r="W596" s="89"/>
      <c r="X596" s="89"/>
      <c r="Y596" s="89"/>
      <c r="Z596" s="89"/>
      <c r="AA596" s="89"/>
      <c r="AB596" s="89"/>
      <c r="AC596" s="89"/>
      <c r="AD596" s="89"/>
      <c r="AE596" s="89"/>
    </row>
    <row r="597">
      <c r="A597" s="445"/>
      <c r="B597" s="420"/>
      <c r="C597" s="420"/>
      <c r="D597" s="420"/>
      <c r="E597" s="420"/>
      <c r="F597" s="420"/>
      <c r="G597" s="420"/>
      <c r="H597" s="420"/>
      <c r="I597" s="89"/>
      <c r="J597" s="89"/>
      <c r="K597" s="89"/>
      <c r="L597" s="89"/>
      <c r="M597" s="89"/>
      <c r="N597" s="89"/>
      <c r="O597" s="89"/>
      <c r="P597" s="89"/>
      <c r="Q597" s="89"/>
      <c r="R597" s="89"/>
      <c r="S597" s="89"/>
      <c r="T597" s="89"/>
      <c r="U597" s="89"/>
      <c r="V597" s="89"/>
      <c r="W597" s="89"/>
      <c r="X597" s="89"/>
      <c r="Y597" s="89"/>
      <c r="Z597" s="89"/>
      <c r="AA597" s="89"/>
      <c r="AB597" s="89"/>
      <c r="AC597" s="89"/>
      <c r="AD597" s="89"/>
      <c r="AE597" s="89"/>
    </row>
    <row r="598">
      <c r="A598" s="445"/>
      <c r="B598" s="420"/>
      <c r="C598" s="420"/>
      <c r="D598" s="420"/>
      <c r="E598" s="420"/>
      <c r="F598" s="420"/>
      <c r="G598" s="420"/>
      <c r="H598" s="420"/>
      <c r="I598" s="89"/>
      <c r="J598" s="89"/>
      <c r="K598" s="89"/>
      <c r="L598" s="89"/>
      <c r="M598" s="89"/>
      <c r="N598" s="89"/>
      <c r="O598" s="89"/>
      <c r="P598" s="89"/>
      <c r="Q598" s="89"/>
      <c r="R598" s="89"/>
      <c r="S598" s="89"/>
      <c r="T598" s="89"/>
      <c r="U598" s="89"/>
      <c r="V598" s="89"/>
      <c r="W598" s="89"/>
      <c r="X598" s="89"/>
      <c r="Y598" s="89"/>
      <c r="Z598" s="89"/>
      <c r="AA598" s="89"/>
      <c r="AB598" s="89"/>
      <c r="AC598" s="89"/>
      <c r="AD598" s="89"/>
      <c r="AE598" s="89"/>
    </row>
    <row r="599">
      <c r="A599" s="445"/>
      <c r="B599" s="420"/>
      <c r="C599" s="420"/>
      <c r="D599" s="420"/>
      <c r="E599" s="420"/>
      <c r="F599" s="420"/>
      <c r="G599" s="420"/>
      <c r="H599" s="420"/>
      <c r="I599" s="89"/>
      <c r="J599" s="89"/>
      <c r="K599" s="89"/>
      <c r="L599" s="89"/>
      <c r="M599" s="89"/>
      <c r="N599" s="89"/>
      <c r="O599" s="89"/>
      <c r="P599" s="89"/>
      <c r="Q599" s="89"/>
      <c r="R599" s="89"/>
      <c r="S599" s="89"/>
      <c r="T599" s="89"/>
      <c r="U599" s="89"/>
      <c r="V599" s="89"/>
      <c r="W599" s="89"/>
      <c r="X599" s="89"/>
      <c r="Y599" s="89"/>
      <c r="Z599" s="89"/>
      <c r="AA599" s="89"/>
      <c r="AB599" s="89"/>
      <c r="AC599" s="89"/>
      <c r="AD599" s="89"/>
      <c r="AE599" s="89"/>
    </row>
    <row r="600">
      <c r="A600" s="445"/>
      <c r="B600" s="420"/>
      <c r="C600" s="420"/>
      <c r="D600" s="420"/>
      <c r="E600" s="420"/>
      <c r="F600" s="420"/>
      <c r="G600" s="420"/>
      <c r="H600" s="420"/>
      <c r="I600" s="89"/>
      <c r="J600" s="89"/>
      <c r="K600" s="89"/>
      <c r="L600" s="89"/>
      <c r="M600" s="89"/>
      <c r="N600" s="89"/>
      <c r="O600" s="89"/>
      <c r="P600" s="89"/>
      <c r="Q600" s="89"/>
      <c r="R600" s="89"/>
      <c r="S600" s="89"/>
      <c r="T600" s="89"/>
      <c r="U600" s="89"/>
      <c r="V600" s="89"/>
      <c r="W600" s="89"/>
      <c r="X600" s="89"/>
      <c r="Y600" s="89"/>
      <c r="Z600" s="89"/>
      <c r="AA600" s="89"/>
      <c r="AB600" s="89"/>
      <c r="AC600" s="89"/>
      <c r="AD600" s="89"/>
      <c r="AE600" s="89"/>
    </row>
    <row r="601">
      <c r="A601" s="445"/>
      <c r="B601" s="420"/>
      <c r="C601" s="420"/>
      <c r="D601" s="420"/>
      <c r="E601" s="420"/>
      <c r="F601" s="420"/>
      <c r="G601" s="420"/>
      <c r="H601" s="420"/>
      <c r="I601" s="89"/>
      <c r="J601" s="89"/>
      <c r="K601" s="89"/>
      <c r="L601" s="89"/>
      <c r="M601" s="89"/>
      <c r="N601" s="89"/>
      <c r="O601" s="89"/>
      <c r="P601" s="89"/>
      <c r="Q601" s="89"/>
      <c r="R601" s="89"/>
      <c r="S601" s="89"/>
      <c r="T601" s="89"/>
      <c r="U601" s="89"/>
      <c r="V601" s="89"/>
      <c r="W601" s="89"/>
      <c r="X601" s="89"/>
      <c r="Y601" s="89"/>
      <c r="Z601" s="89"/>
      <c r="AA601" s="89"/>
      <c r="AB601" s="89"/>
      <c r="AC601" s="89"/>
      <c r="AD601" s="89"/>
      <c r="AE601" s="89"/>
    </row>
    <row r="602">
      <c r="A602" s="445"/>
      <c r="B602" s="420"/>
      <c r="C602" s="420"/>
      <c r="D602" s="420"/>
      <c r="E602" s="420"/>
      <c r="F602" s="420"/>
      <c r="G602" s="420"/>
      <c r="H602" s="420"/>
      <c r="I602" s="89"/>
      <c r="J602" s="89"/>
      <c r="K602" s="89"/>
      <c r="L602" s="89"/>
      <c r="M602" s="89"/>
      <c r="N602" s="89"/>
      <c r="O602" s="89"/>
      <c r="P602" s="89"/>
      <c r="Q602" s="89"/>
      <c r="R602" s="89"/>
      <c r="S602" s="89"/>
      <c r="T602" s="89"/>
      <c r="U602" s="89"/>
      <c r="V602" s="89"/>
      <c r="W602" s="89"/>
      <c r="X602" s="89"/>
      <c r="Y602" s="89"/>
      <c r="Z602" s="89"/>
      <c r="AA602" s="89"/>
      <c r="AB602" s="89"/>
      <c r="AC602" s="89"/>
      <c r="AD602" s="89"/>
      <c r="AE602" s="89"/>
    </row>
    <row r="603">
      <c r="A603" s="445"/>
      <c r="B603" s="420"/>
      <c r="C603" s="420"/>
      <c r="D603" s="420"/>
      <c r="E603" s="420"/>
      <c r="F603" s="420"/>
      <c r="G603" s="420"/>
      <c r="H603" s="420"/>
      <c r="I603" s="89"/>
      <c r="J603" s="89"/>
      <c r="K603" s="89"/>
      <c r="L603" s="89"/>
      <c r="M603" s="89"/>
      <c r="N603" s="89"/>
      <c r="O603" s="89"/>
      <c r="P603" s="89"/>
      <c r="Q603" s="89"/>
      <c r="R603" s="89"/>
      <c r="S603" s="89"/>
      <c r="T603" s="89"/>
      <c r="U603" s="89"/>
      <c r="V603" s="89"/>
      <c r="W603" s="89"/>
      <c r="X603" s="89"/>
      <c r="Y603" s="89"/>
      <c r="Z603" s="89"/>
      <c r="AA603" s="89"/>
      <c r="AB603" s="89"/>
      <c r="AC603" s="89"/>
      <c r="AD603" s="89"/>
      <c r="AE603" s="89"/>
    </row>
    <row r="604">
      <c r="A604" s="445"/>
      <c r="B604" s="420"/>
      <c r="C604" s="420"/>
      <c r="D604" s="420"/>
      <c r="E604" s="420"/>
      <c r="F604" s="420"/>
      <c r="G604" s="420"/>
      <c r="H604" s="420"/>
      <c r="I604" s="89"/>
      <c r="J604" s="89"/>
      <c r="K604" s="89"/>
      <c r="L604" s="89"/>
      <c r="M604" s="89"/>
      <c r="N604" s="89"/>
      <c r="O604" s="89"/>
      <c r="P604" s="89"/>
      <c r="Q604" s="89"/>
      <c r="R604" s="89"/>
      <c r="S604" s="89"/>
      <c r="T604" s="89"/>
      <c r="U604" s="89"/>
      <c r="V604" s="89"/>
      <c r="W604" s="89"/>
      <c r="X604" s="89"/>
      <c r="Y604" s="89"/>
      <c r="Z604" s="89"/>
      <c r="AA604" s="89"/>
      <c r="AB604" s="89"/>
      <c r="AC604" s="89"/>
      <c r="AD604" s="89"/>
      <c r="AE604" s="89"/>
    </row>
    <row r="605">
      <c r="A605" s="445"/>
      <c r="B605" s="420"/>
      <c r="C605" s="420"/>
      <c r="D605" s="420"/>
      <c r="E605" s="420"/>
      <c r="F605" s="420"/>
      <c r="G605" s="420"/>
      <c r="H605" s="420"/>
      <c r="I605" s="89"/>
      <c r="J605" s="89"/>
      <c r="K605" s="89"/>
      <c r="L605" s="89"/>
      <c r="M605" s="89"/>
      <c r="N605" s="89"/>
      <c r="O605" s="89"/>
      <c r="P605" s="89"/>
      <c r="Q605" s="89"/>
      <c r="R605" s="89"/>
      <c r="S605" s="89"/>
      <c r="T605" s="89"/>
      <c r="U605" s="89"/>
      <c r="V605" s="89"/>
      <c r="W605" s="89"/>
      <c r="X605" s="89"/>
      <c r="Y605" s="89"/>
      <c r="Z605" s="89"/>
      <c r="AA605" s="89"/>
      <c r="AB605" s="89"/>
      <c r="AC605" s="89"/>
      <c r="AD605" s="89"/>
      <c r="AE605" s="89"/>
    </row>
    <row r="606">
      <c r="A606" s="445"/>
      <c r="B606" s="420"/>
      <c r="C606" s="420"/>
      <c r="D606" s="420"/>
      <c r="E606" s="420"/>
      <c r="F606" s="420"/>
      <c r="G606" s="420"/>
      <c r="H606" s="420"/>
      <c r="I606" s="89"/>
      <c r="J606" s="89"/>
      <c r="K606" s="89"/>
      <c r="L606" s="89"/>
      <c r="M606" s="89"/>
      <c r="N606" s="89"/>
      <c r="O606" s="89"/>
      <c r="P606" s="89"/>
      <c r="Q606" s="89"/>
      <c r="R606" s="89"/>
      <c r="S606" s="89"/>
      <c r="T606" s="89"/>
      <c r="U606" s="89"/>
      <c r="V606" s="89"/>
      <c r="W606" s="89"/>
      <c r="X606" s="89"/>
      <c r="Y606" s="89"/>
      <c r="Z606" s="89"/>
      <c r="AA606" s="89"/>
      <c r="AB606" s="89"/>
      <c r="AC606" s="89"/>
      <c r="AD606" s="89"/>
      <c r="AE606" s="89"/>
    </row>
    <row r="607">
      <c r="A607" s="445"/>
      <c r="B607" s="420"/>
      <c r="C607" s="420"/>
      <c r="D607" s="420"/>
      <c r="E607" s="420"/>
      <c r="F607" s="420"/>
      <c r="G607" s="420"/>
      <c r="H607" s="420"/>
      <c r="I607" s="89"/>
      <c r="J607" s="89"/>
      <c r="K607" s="89"/>
      <c r="L607" s="89"/>
      <c r="M607" s="89"/>
      <c r="N607" s="89"/>
      <c r="O607" s="89"/>
      <c r="P607" s="89"/>
      <c r="Q607" s="89"/>
      <c r="R607" s="89"/>
      <c r="S607" s="89"/>
      <c r="T607" s="89"/>
      <c r="U607" s="89"/>
      <c r="V607" s="89"/>
      <c r="W607" s="89"/>
      <c r="X607" s="89"/>
      <c r="Y607" s="89"/>
      <c r="Z607" s="89"/>
      <c r="AA607" s="89"/>
      <c r="AB607" s="89"/>
      <c r="AC607" s="89"/>
      <c r="AD607" s="89"/>
      <c r="AE607" s="89"/>
    </row>
    <row r="608">
      <c r="A608" s="445"/>
      <c r="B608" s="420"/>
      <c r="C608" s="420"/>
      <c r="D608" s="420"/>
      <c r="E608" s="420"/>
      <c r="F608" s="420"/>
      <c r="G608" s="420"/>
      <c r="H608" s="420"/>
      <c r="I608" s="89"/>
      <c r="J608" s="89"/>
      <c r="K608" s="89"/>
      <c r="L608" s="89"/>
      <c r="M608" s="89"/>
      <c r="N608" s="89"/>
      <c r="O608" s="89"/>
      <c r="P608" s="89"/>
      <c r="Q608" s="89"/>
      <c r="R608" s="89"/>
      <c r="S608" s="89"/>
      <c r="T608" s="89"/>
      <c r="U608" s="89"/>
      <c r="V608" s="89"/>
      <c r="W608" s="89"/>
      <c r="X608" s="89"/>
      <c r="Y608" s="89"/>
      <c r="Z608" s="89"/>
      <c r="AA608" s="89"/>
      <c r="AB608" s="89"/>
      <c r="AC608" s="89"/>
      <c r="AD608" s="89"/>
      <c r="AE608" s="89"/>
    </row>
    <row r="609">
      <c r="A609" s="445"/>
      <c r="B609" s="420"/>
      <c r="C609" s="420"/>
      <c r="D609" s="420"/>
      <c r="E609" s="420"/>
      <c r="F609" s="420"/>
      <c r="G609" s="420"/>
      <c r="H609" s="420"/>
      <c r="I609" s="89"/>
      <c r="J609" s="89"/>
      <c r="K609" s="89"/>
      <c r="L609" s="89"/>
      <c r="M609" s="89"/>
      <c r="N609" s="89"/>
      <c r="O609" s="89"/>
      <c r="P609" s="89"/>
      <c r="Q609" s="89"/>
      <c r="R609" s="89"/>
      <c r="S609" s="89"/>
      <c r="T609" s="89"/>
      <c r="U609" s="89"/>
      <c r="V609" s="89"/>
      <c r="W609" s="89"/>
      <c r="X609" s="89"/>
      <c r="Y609" s="89"/>
      <c r="Z609" s="89"/>
      <c r="AA609" s="89"/>
      <c r="AB609" s="89"/>
      <c r="AC609" s="89"/>
      <c r="AD609" s="89"/>
      <c r="AE609" s="89"/>
    </row>
    <row r="610">
      <c r="A610" s="445"/>
      <c r="B610" s="420"/>
      <c r="C610" s="420"/>
      <c r="D610" s="420"/>
      <c r="E610" s="420"/>
      <c r="F610" s="420"/>
      <c r="G610" s="420"/>
      <c r="H610" s="420"/>
      <c r="I610" s="89"/>
      <c r="J610" s="89"/>
      <c r="K610" s="89"/>
      <c r="L610" s="89"/>
      <c r="M610" s="89"/>
      <c r="N610" s="89"/>
      <c r="O610" s="89"/>
      <c r="P610" s="89"/>
      <c r="Q610" s="89"/>
      <c r="R610" s="89"/>
      <c r="S610" s="89"/>
      <c r="T610" s="89"/>
      <c r="U610" s="89"/>
      <c r="V610" s="89"/>
      <c r="W610" s="89"/>
      <c r="X610" s="89"/>
      <c r="Y610" s="89"/>
      <c r="Z610" s="89"/>
      <c r="AA610" s="89"/>
      <c r="AB610" s="89"/>
      <c r="AC610" s="89"/>
      <c r="AD610" s="89"/>
      <c r="AE610" s="89"/>
    </row>
    <row r="611">
      <c r="A611" s="445"/>
      <c r="B611" s="420"/>
      <c r="C611" s="420"/>
      <c r="D611" s="420"/>
      <c r="E611" s="420"/>
      <c r="F611" s="420"/>
      <c r="G611" s="420"/>
      <c r="H611" s="420"/>
      <c r="I611" s="89"/>
      <c r="J611" s="89"/>
      <c r="K611" s="89"/>
      <c r="L611" s="89"/>
      <c r="M611" s="89"/>
      <c r="N611" s="89"/>
      <c r="O611" s="89"/>
      <c r="P611" s="89"/>
      <c r="Q611" s="89"/>
      <c r="R611" s="89"/>
      <c r="S611" s="89"/>
      <c r="T611" s="89"/>
      <c r="U611" s="89"/>
      <c r="V611" s="89"/>
      <c r="W611" s="89"/>
      <c r="X611" s="89"/>
      <c r="Y611" s="89"/>
      <c r="Z611" s="89"/>
      <c r="AA611" s="89"/>
      <c r="AB611" s="89"/>
      <c r="AC611" s="89"/>
      <c r="AD611" s="89"/>
      <c r="AE611" s="89"/>
    </row>
    <row r="612">
      <c r="A612" s="445"/>
      <c r="B612" s="420"/>
      <c r="C612" s="420"/>
      <c r="D612" s="420"/>
      <c r="E612" s="420"/>
      <c r="F612" s="420"/>
      <c r="G612" s="420"/>
      <c r="H612" s="420"/>
      <c r="I612" s="89"/>
      <c r="J612" s="89"/>
      <c r="K612" s="89"/>
      <c r="L612" s="89"/>
      <c r="M612" s="89"/>
      <c r="N612" s="89"/>
      <c r="O612" s="89"/>
      <c r="P612" s="89"/>
      <c r="Q612" s="89"/>
      <c r="R612" s="89"/>
      <c r="S612" s="89"/>
      <c r="T612" s="89"/>
      <c r="U612" s="89"/>
      <c r="V612" s="89"/>
      <c r="W612" s="89"/>
      <c r="X612" s="89"/>
      <c r="Y612" s="89"/>
      <c r="Z612" s="89"/>
      <c r="AA612" s="89"/>
      <c r="AB612" s="89"/>
      <c r="AC612" s="89"/>
      <c r="AD612" s="89"/>
      <c r="AE612" s="89"/>
    </row>
    <row r="613">
      <c r="A613" s="445"/>
      <c r="B613" s="420"/>
      <c r="C613" s="420"/>
      <c r="D613" s="420"/>
      <c r="E613" s="420"/>
      <c r="F613" s="420"/>
      <c r="G613" s="420"/>
      <c r="H613" s="420"/>
      <c r="I613" s="89"/>
      <c r="J613" s="89"/>
      <c r="K613" s="89"/>
      <c r="L613" s="89"/>
      <c r="M613" s="89"/>
      <c r="N613" s="89"/>
      <c r="O613" s="89"/>
      <c r="P613" s="89"/>
      <c r="Q613" s="89"/>
      <c r="R613" s="89"/>
      <c r="S613" s="89"/>
      <c r="T613" s="89"/>
      <c r="U613" s="89"/>
      <c r="V613" s="89"/>
      <c r="W613" s="89"/>
      <c r="X613" s="89"/>
      <c r="Y613" s="89"/>
      <c r="Z613" s="89"/>
      <c r="AA613" s="89"/>
      <c r="AB613" s="89"/>
      <c r="AC613" s="89"/>
      <c r="AD613" s="89"/>
      <c r="AE613" s="89"/>
    </row>
    <row r="614">
      <c r="A614" s="445"/>
      <c r="B614" s="420"/>
      <c r="C614" s="420"/>
      <c r="D614" s="420"/>
      <c r="E614" s="420"/>
      <c r="F614" s="420"/>
      <c r="G614" s="420"/>
      <c r="H614" s="420"/>
      <c r="I614" s="89"/>
      <c r="J614" s="89"/>
      <c r="K614" s="89"/>
      <c r="L614" s="89"/>
      <c r="M614" s="89"/>
      <c r="N614" s="89"/>
      <c r="O614" s="89"/>
      <c r="P614" s="89"/>
      <c r="Q614" s="89"/>
      <c r="R614" s="89"/>
      <c r="S614" s="89"/>
      <c r="T614" s="89"/>
      <c r="U614" s="89"/>
      <c r="V614" s="89"/>
      <c r="W614" s="89"/>
      <c r="X614" s="89"/>
      <c r="Y614" s="89"/>
      <c r="Z614" s="89"/>
      <c r="AA614" s="89"/>
      <c r="AB614" s="89"/>
      <c r="AC614" s="89"/>
      <c r="AD614" s="89"/>
      <c r="AE614" s="89"/>
    </row>
    <row r="615">
      <c r="A615" s="445"/>
      <c r="B615" s="420"/>
      <c r="C615" s="420"/>
      <c r="D615" s="420"/>
      <c r="E615" s="420"/>
      <c r="F615" s="420"/>
      <c r="G615" s="420"/>
      <c r="H615" s="420"/>
      <c r="I615" s="89"/>
      <c r="J615" s="89"/>
      <c r="K615" s="89"/>
      <c r="L615" s="89"/>
      <c r="M615" s="89"/>
      <c r="N615" s="89"/>
      <c r="O615" s="89"/>
      <c r="P615" s="89"/>
      <c r="Q615" s="89"/>
      <c r="R615" s="89"/>
      <c r="S615" s="89"/>
      <c r="T615" s="89"/>
      <c r="U615" s="89"/>
      <c r="V615" s="89"/>
      <c r="W615" s="89"/>
      <c r="X615" s="89"/>
      <c r="Y615" s="89"/>
      <c r="Z615" s="89"/>
      <c r="AA615" s="89"/>
      <c r="AB615" s="89"/>
      <c r="AC615" s="89"/>
      <c r="AD615" s="89"/>
      <c r="AE615" s="89"/>
    </row>
    <row r="616">
      <c r="A616" s="445"/>
      <c r="B616" s="420"/>
      <c r="C616" s="420"/>
      <c r="D616" s="420"/>
      <c r="E616" s="420"/>
      <c r="F616" s="420"/>
      <c r="G616" s="420"/>
      <c r="H616" s="420"/>
      <c r="I616" s="89"/>
      <c r="J616" s="89"/>
      <c r="K616" s="89"/>
      <c r="L616" s="89"/>
      <c r="M616" s="89"/>
      <c r="N616" s="89"/>
      <c r="O616" s="89"/>
      <c r="P616" s="89"/>
      <c r="Q616" s="89"/>
      <c r="R616" s="89"/>
      <c r="S616" s="89"/>
      <c r="T616" s="89"/>
      <c r="U616" s="89"/>
      <c r="V616" s="89"/>
      <c r="W616" s="89"/>
      <c r="X616" s="89"/>
      <c r="Y616" s="89"/>
      <c r="Z616" s="89"/>
      <c r="AA616" s="89"/>
      <c r="AB616" s="89"/>
      <c r="AC616" s="89"/>
      <c r="AD616" s="89"/>
      <c r="AE616" s="89"/>
    </row>
    <row r="617">
      <c r="A617" s="445"/>
      <c r="B617" s="420"/>
      <c r="C617" s="420"/>
      <c r="D617" s="420"/>
      <c r="E617" s="420"/>
      <c r="F617" s="420"/>
      <c r="G617" s="420"/>
      <c r="H617" s="420"/>
      <c r="I617" s="89"/>
      <c r="J617" s="89"/>
      <c r="K617" s="89"/>
      <c r="L617" s="89"/>
      <c r="M617" s="89"/>
      <c r="N617" s="89"/>
      <c r="O617" s="89"/>
      <c r="P617" s="89"/>
      <c r="Q617" s="89"/>
      <c r="R617" s="89"/>
      <c r="S617" s="89"/>
      <c r="T617" s="89"/>
      <c r="U617" s="89"/>
      <c r="V617" s="89"/>
      <c r="W617" s="89"/>
      <c r="X617" s="89"/>
      <c r="Y617" s="89"/>
      <c r="Z617" s="89"/>
      <c r="AA617" s="89"/>
      <c r="AB617" s="89"/>
      <c r="AC617" s="89"/>
      <c r="AD617" s="89"/>
      <c r="AE617" s="89"/>
    </row>
    <row r="618">
      <c r="A618" s="445"/>
      <c r="B618" s="420"/>
      <c r="C618" s="420"/>
      <c r="D618" s="420"/>
      <c r="E618" s="420"/>
      <c r="F618" s="420"/>
      <c r="G618" s="420"/>
      <c r="H618" s="420"/>
      <c r="I618" s="89"/>
      <c r="J618" s="89"/>
      <c r="K618" s="89"/>
      <c r="L618" s="89"/>
      <c r="M618" s="89"/>
      <c r="N618" s="89"/>
      <c r="O618" s="89"/>
      <c r="P618" s="89"/>
      <c r="Q618" s="89"/>
      <c r="R618" s="89"/>
      <c r="S618" s="89"/>
      <c r="T618" s="89"/>
      <c r="U618" s="89"/>
      <c r="V618" s="89"/>
      <c r="W618" s="89"/>
      <c r="X618" s="89"/>
      <c r="Y618" s="89"/>
      <c r="Z618" s="89"/>
      <c r="AA618" s="89"/>
      <c r="AB618" s="89"/>
      <c r="AC618" s="89"/>
      <c r="AD618" s="89"/>
      <c r="AE618" s="89"/>
    </row>
    <row r="619">
      <c r="A619" s="445"/>
      <c r="B619" s="420"/>
      <c r="C619" s="420"/>
      <c r="D619" s="420"/>
      <c r="E619" s="420"/>
      <c r="F619" s="420"/>
      <c r="G619" s="420"/>
      <c r="H619" s="420"/>
      <c r="I619" s="89"/>
      <c r="J619" s="89"/>
      <c r="K619" s="89"/>
      <c r="L619" s="89"/>
      <c r="M619" s="89"/>
      <c r="N619" s="89"/>
      <c r="O619" s="89"/>
      <c r="P619" s="89"/>
      <c r="Q619" s="89"/>
      <c r="R619" s="89"/>
      <c r="S619" s="89"/>
      <c r="T619" s="89"/>
      <c r="U619" s="89"/>
      <c r="V619" s="89"/>
      <c r="W619" s="89"/>
      <c r="X619" s="89"/>
      <c r="Y619" s="89"/>
      <c r="Z619" s="89"/>
      <c r="AA619" s="89"/>
      <c r="AB619" s="89"/>
      <c r="AC619" s="89"/>
      <c r="AD619" s="89"/>
      <c r="AE619" s="89"/>
    </row>
    <row r="620">
      <c r="A620" s="445"/>
      <c r="B620" s="420"/>
      <c r="C620" s="420"/>
      <c r="D620" s="420"/>
      <c r="E620" s="420"/>
      <c r="F620" s="420"/>
      <c r="G620" s="420"/>
      <c r="H620" s="420"/>
      <c r="I620" s="89"/>
      <c r="J620" s="89"/>
      <c r="K620" s="89"/>
      <c r="L620" s="89"/>
      <c r="M620" s="89"/>
      <c r="N620" s="89"/>
      <c r="O620" s="89"/>
      <c r="P620" s="89"/>
      <c r="Q620" s="89"/>
      <c r="R620" s="89"/>
      <c r="S620" s="89"/>
      <c r="T620" s="89"/>
      <c r="U620" s="89"/>
      <c r="V620" s="89"/>
      <c r="W620" s="89"/>
      <c r="X620" s="89"/>
      <c r="Y620" s="89"/>
      <c r="Z620" s="89"/>
      <c r="AA620" s="89"/>
      <c r="AB620" s="89"/>
      <c r="AC620" s="89"/>
      <c r="AD620" s="89"/>
      <c r="AE620" s="89"/>
    </row>
    <row r="621">
      <c r="A621" s="445"/>
      <c r="B621" s="420"/>
      <c r="C621" s="420"/>
      <c r="D621" s="420"/>
      <c r="E621" s="420"/>
      <c r="F621" s="420"/>
      <c r="G621" s="420"/>
      <c r="H621" s="420"/>
      <c r="I621" s="89"/>
      <c r="J621" s="89"/>
      <c r="K621" s="89"/>
      <c r="L621" s="89"/>
      <c r="M621" s="89"/>
      <c r="N621" s="89"/>
      <c r="O621" s="89"/>
      <c r="P621" s="89"/>
      <c r="Q621" s="89"/>
      <c r="R621" s="89"/>
      <c r="S621" s="89"/>
      <c r="T621" s="89"/>
      <c r="U621" s="89"/>
      <c r="V621" s="89"/>
      <c r="W621" s="89"/>
      <c r="X621" s="89"/>
      <c r="Y621" s="89"/>
      <c r="Z621" s="89"/>
      <c r="AA621" s="89"/>
      <c r="AB621" s="89"/>
      <c r="AC621" s="89"/>
      <c r="AD621" s="89"/>
      <c r="AE621" s="89"/>
    </row>
    <row r="622">
      <c r="A622" s="445"/>
      <c r="B622" s="420"/>
      <c r="C622" s="420"/>
      <c r="D622" s="420"/>
      <c r="E622" s="420"/>
      <c r="F622" s="420"/>
      <c r="G622" s="420"/>
      <c r="H622" s="420"/>
      <c r="I622" s="89"/>
      <c r="J622" s="89"/>
      <c r="K622" s="89"/>
      <c r="L622" s="89"/>
      <c r="M622" s="89"/>
      <c r="N622" s="89"/>
      <c r="O622" s="89"/>
      <c r="P622" s="89"/>
      <c r="Q622" s="89"/>
      <c r="R622" s="89"/>
      <c r="S622" s="89"/>
      <c r="T622" s="89"/>
      <c r="U622" s="89"/>
      <c r="V622" s="89"/>
      <c r="W622" s="89"/>
      <c r="X622" s="89"/>
      <c r="Y622" s="89"/>
      <c r="Z622" s="89"/>
      <c r="AA622" s="89"/>
      <c r="AB622" s="89"/>
      <c r="AC622" s="89"/>
      <c r="AD622" s="89"/>
      <c r="AE622" s="89"/>
    </row>
    <row r="623">
      <c r="A623" s="445"/>
      <c r="B623" s="420"/>
      <c r="C623" s="420"/>
      <c r="D623" s="420"/>
      <c r="E623" s="420"/>
      <c r="F623" s="420"/>
      <c r="G623" s="420"/>
      <c r="H623" s="420"/>
      <c r="I623" s="89"/>
      <c r="J623" s="89"/>
      <c r="K623" s="89"/>
      <c r="L623" s="89"/>
      <c r="M623" s="89"/>
      <c r="N623" s="89"/>
      <c r="O623" s="89"/>
      <c r="P623" s="89"/>
      <c r="Q623" s="89"/>
      <c r="R623" s="89"/>
      <c r="S623" s="89"/>
      <c r="T623" s="89"/>
      <c r="U623" s="89"/>
      <c r="V623" s="89"/>
      <c r="W623" s="89"/>
      <c r="X623" s="89"/>
      <c r="Y623" s="89"/>
      <c r="Z623" s="89"/>
      <c r="AA623" s="89"/>
      <c r="AB623" s="89"/>
      <c r="AC623" s="89"/>
      <c r="AD623" s="89"/>
      <c r="AE623" s="89"/>
    </row>
    <row r="624">
      <c r="A624" s="445"/>
      <c r="B624" s="420"/>
      <c r="C624" s="420"/>
      <c r="D624" s="420"/>
      <c r="E624" s="420"/>
      <c r="F624" s="420"/>
      <c r="G624" s="420"/>
      <c r="H624" s="420"/>
      <c r="I624" s="89"/>
      <c r="J624" s="89"/>
      <c r="K624" s="89"/>
      <c r="L624" s="89"/>
      <c r="M624" s="89"/>
      <c r="N624" s="89"/>
      <c r="O624" s="89"/>
      <c r="P624" s="89"/>
      <c r="Q624" s="89"/>
      <c r="R624" s="89"/>
      <c r="S624" s="89"/>
      <c r="T624" s="89"/>
      <c r="U624" s="89"/>
      <c r="V624" s="89"/>
      <c r="W624" s="89"/>
      <c r="X624" s="89"/>
      <c r="Y624" s="89"/>
      <c r="Z624" s="89"/>
      <c r="AA624" s="89"/>
      <c r="AB624" s="89"/>
      <c r="AC624" s="89"/>
      <c r="AD624" s="89"/>
      <c r="AE624" s="89"/>
    </row>
    <row r="625">
      <c r="A625" s="445"/>
      <c r="B625" s="420"/>
      <c r="C625" s="420"/>
      <c r="D625" s="420"/>
      <c r="E625" s="420"/>
      <c r="F625" s="420"/>
      <c r="G625" s="420"/>
      <c r="H625" s="420"/>
      <c r="I625" s="89"/>
      <c r="J625" s="89"/>
      <c r="K625" s="89"/>
      <c r="L625" s="89"/>
      <c r="M625" s="89"/>
      <c r="N625" s="89"/>
      <c r="O625" s="89"/>
      <c r="P625" s="89"/>
      <c r="Q625" s="89"/>
      <c r="R625" s="89"/>
      <c r="S625" s="89"/>
      <c r="T625" s="89"/>
      <c r="U625" s="89"/>
      <c r="V625" s="89"/>
      <c r="W625" s="89"/>
      <c r="X625" s="89"/>
      <c r="Y625" s="89"/>
      <c r="Z625" s="89"/>
      <c r="AA625" s="89"/>
      <c r="AB625" s="89"/>
      <c r="AC625" s="89"/>
      <c r="AD625" s="89"/>
      <c r="AE625" s="89"/>
    </row>
    <row r="626">
      <c r="A626" s="445"/>
      <c r="B626" s="420"/>
      <c r="C626" s="420"/>
      <c r="D626" s="420"/>
      <c r="E626" s="420"/>
      <c r="F626" s="420"/>
      <c r="G626" s="420"/>
      <c r="H626" s="420"/>
      <c r="I626" s="89"/>
      <c r="J626" s="89"/>
      <c r="K626" s="89"/>
      <c r="L626" s="89"/>
      <c r="M626" s="89"/>
      <c r="N626" s="89"/>
      <c r="O626" s="89"/>
      <c r="P626" s="89"/>
      <c r="Q626" s="89"/>
      <c r="R626" s="89"/>
      <c r="S626" s="89"/>
      <c r="T626" s="89"/>
      <c r="U626" s="89"/>
      <c r="V626" s="89"/>
      <c r="W626" s="89"/>
      <c r="X626" s="89"/>
      <c r="Y626" s="89"/>
      <c r="Z626" s="89"/>
      <c r="AA626" s="89"/>
      <c r="AB626" s="89"/>
      <c r="AC626" s="89"/>
      <c r="AD626" s="89"/>
      <c r="AE626" s="89"/>
    </row>
    <row r="627">
      <c r="A627" s="445"/>
      <c r="B627" s="420"/>
      <c r="C627" s="420"/>
      <c r="D627" s="420"/>
      <c r="E627" s="420"/>
      <c r="F627" s="420"/>
      <c r="G627" s="420"/>
      <c r="H627" s="420"/>
      <c r="I627" s="89"/>
      <c r="J627" s="89"/>
      <c r="K627" s="89"/>
      <c r="L627" s="89"/>
      <c r="M627" s="89"/>
      <c r="N627" s="89"/>
      <c r="O627" s="89"/>
      <c r="P627" s="89"/>
      <c r="Q627" s="89"/>
      <c r="R627" s="89"/>
      <c r="S627" s="89"/>
      <c r="T627" s="89"/>
      <c r="U627" s="89"/>
      <c r="V627" s="89"/>
      <c r="W627" s="89"/>
      <c r="X627" s="89"/>
      <c r="Y627" s="89"/>
      <c r="Z627" s="89"/>
      <c r="AA627" s="89"/>
      <c r="AB627" s="89"/>
      <c r="AC627" s="89"/>
      <c r="AD627" s="89"/>
      <c r="AE627" s="89"/>
    </row>
    <row r="628">
      <c r="A628" s="445"/>
      <c r="B628" s="420"/>
      <c r="C628" s="420"/>
      <c r="D628" s="420"/>
      <c r="E628" s="420"/>
      <c r="F628" s="420"/>
      <c r="G628" s="420"/>
      <c r="H628" s="420"/>
      <c r="I628" s="89"/>
      <c r="J628" s="89"/>
      <c r="K628" s="89"/>
      <c r="L628" s="89"/>
      <c r="M628" s="89"/>
      <c r="N628" s="89"/>
      <c r="O628" s="89"/>
      <c r="P628" s="89"/>
      <c r="Q628" s="89"/>
      <c r="R628" s="89"/>
      <c r="S628" s="89"/>
      <c r="T628" s="89"/>
      <c r="U628" s="89"/>
      <c r="V628" s="89"/>
      <c r="W628" s="89"/>
      <c r="X628" s="89"/>
      <c r="Y628" s="89"/>
      <c r="Z628" s="89"/>
      <c r="AA628" s="89"/>
      <c r="AB628" s="89"/>
      <c r="AC628" s="89"/>
      <c r="AD628" s="89"/>
      <c r="AE628" s="89"/>
    </row>
    <row r="629">
      <c r="A629" s="445"/>
      <c r="B629" s="420"/>
      <c r="C629" s="420"/>
      <c r="D629" s="420"/>
      <c r="E629" s="420"/>
      <c r="F629" s="420"/>
      <c r="G629" s="420"/>
      <c r="H629" s="420"/>
      <c r="I629" s="89"/>
      <c r="J629" s="89"/>
      <c r="K629" s="89"/>
      <c r="L629" s="89"/>
      <c r="M629" s="89"/>
      <c r="N629" s="89"/>
      <c r="O629" s="89"/>
      <c r="P629" s="89"/>
      <c r="Q629" s="89"/>
      <c r="R629" s="89"/>
      <c r="S629" s="89"/>
      <c r="T629" s="89"/>
      <c r="U629" s="89"/>
      <c r="V629" s="89"/>
      <c r="W629" s="89"/>
      <c r="X629" s="89"/>
      <c r="Y629" s="89"/>
      <c r="Z629" s="89"/>
      <c r="AA629" s="89"/>
      <c r="AB629" s="89"/>
      <c r="AC629" s="89"/>
      <c r="AD629" s="89"/>
      <c r="AE629" s="89"/>
    </row>
    <row r="630">
      <c r="A630" s="445"/>
      <c r="B630" s="420"/>
      <c r="C630" s="420"/>
      <c r="D630" s="420"/>
      <c r="E630" s="420"/>
      <c r="F630" s="420"/>
      <c r="G630" s="420"/>
      <c r="H630" s="420"/>
      <c r="I630" s="89"/>
      <c r="J630" s="89"/>
      <c r="K630" s="89"/>
      <c r="L630" s="89"/>
      <c r="M630" s="89"/>
      <c r="N630" s="89"/>
      <c r="O630" s="89"/>
      <c r="P630" s="89"/>
      <c r="Q630" s="89"/>
      <c r="R630" s="89"/>
      <c r="S630" s="89"/>
      <c r="T630" s="89"/>
      <c r="U630" s="89"/>
      <c r="V630" s="89"/>
      <c r="W630" s="89"/>
      <c r="X630" s="89"/>
      <c r="Y630" s="89"/>
      <c r="Z630" s="89"/>
      <c r="AA630" s="89"/>
      <c r="AB630" s="89"/>
      <c r="AC630" s="89"/>
      <c r="AD630" s="89"/>
      <c r="AE630" s="89"/>
    </row>
    <row r="631">
      <c r="A631" s="445"/>
      <c r="B631" s="420"/>
      <c r="C631" s="420"/>
      <c r="D631" s="420"/>
      <c r="E631" s="420"/>
      <c r="F631" s="420"/>
      <c r="G631" s="420"/>
      <c r="H631" s="420"/>
      <c r="I631" s="89"/>
      <c r="J631" s="89"/>
      <c r="K631" s="89"/>
      <c r="L631" s="89"/>
      <c r="M631" s="89"/>
      <c r="N631" s="89"/>
      <c r="O631" s="89"/>
      <c r="P631" s="89"/>
      <c r="Q631" s="89"/>
      <c r="R631" s="89"/>
      <c r="S631" s="89"/>
      <c r="T631" s="89"/>
      <c r="U631" s="89"/>
      <c r="V631" s="89"/>
      <c r="W631" s="89"/>
      <c r="X631" s="89"/>
      <c r="Y631" s="89"/>
      <c r="Z631" s="89"/>
      <c r="AA631" s="89"/>
      <c r="AB631" s="89"/>
      <c r="AC631" s="89"/>
      <c r="AD631" s="89"/>
      <c r="AE631" s="89"/>
    </row>
    <row r="632">
      <c r="A632" s="445"/>
      <c r="B632" s="420"/>
      <c r="C632" s="420"/>
      <c r="D632" s="420"/>
      <c r="E632" s="420"/>
      <c r="F632" s="420"/>
      <c r="G632" s="420"/>
      <c r="H632" s="420"/>
      <c r="I632" s="89"/>
      <c r="J632" s="89"/>
      <c r="K632" s="89"/>
      <c r="L632" s="89"/>
      <c r="M632" s="89"/>
      <c r="N632" s="89"/>
      <c r="O632" s="89"/>
      <c r="P632" s="89"/>
      <c r="Q632" s="89"/>
      <c r="R632" s="89"/>
      <c r="S632" s="89"/>
      <c r="T632" s="89"/>
      <c r="U632" s="89"/>
      <c r="V632" s="89"/>
      <c r="W632" s="89"/>
      <c r="X632" s="89"/>
      <c r="Y632" s="89"/>
      <c r="Z632" s="89"/>
      <c r="AA632" s="89"/>
      <c r="AB632" s="89"/>
      <c r="AC632" s="89"/>
      <c r="AD632" s="89"/>
      <c r="AE632" s="89"/>
    </row>
    <row r="633">
      <c r="A633" s="445"/>
      <c r="B633" s="420"/>
      <c r="C633" s="420"/>
      <c r="D633" s="420"/>
      <c r="E633" s="420"/>
      <c r="F633" s="420"/>
      <c r="G633" s="420"/>
      <c r="H633" s="420"/>
      <c r="I633" s="89"/>
      <c r="J633" s="89"/>
      <c r="K633" s="89"/>
      <c r="L633" s="89"/>
      <c r="M633" s="89"/>
      <c r="N633" s="89"/>
      <c r="O633" s="89"/>
      <c r="P633" s="89"/>
      <c r="Q633" s="89"/>
      <c r="R633" s="89"/>
      <c r="S633" s="89"/>
      <c r="T633" s="89"/>
      <c r="U633" s="89"/>
      <c r="V633" s="89"/>
      <c r="W633" s="89"/>
      <c r="X633" s="89"/>
      <c r="Y633" s="89"/>
      <c r="Z633" s="89"/>
      <c r="AA633" s="89"/>
      <c r="AB633" s="89"/>
      <c r="AC633" s="89"/>
      <c r="AD633" s="89"/>
      <c r="AE633" s="89"/>
    </row>
    <row r="634">
      <c r="A634" s="445"/>
      <c r="B634" s="420"/>
      <c r="C634" s="420"/>
      <c r="D634" s="420"/>
      <c r="E634" s="420"/>
      <c r="F634" s="420"/>
      <c r="G634" s="420"/>
      <c r="H634" s="420"/>
      <c r="I634" s="89"/>
      <c r="J634" s="89"/>
      <c r="K634" s="89"/>
      <c r="L634" s="89"/>
      <c r="M634" s="89"/>
      <c r="N634" s="89"/>
      <c r="O634" s="89"/>
      <c r="P634" s="89"/>
      <c r="Q634" s="89"/>
      <c r="R634" s="89"/>
      <c r="S634" s="89"/>
      <c r="T634" s="89"/>
      <c r="U634" s="89"/>
      <c r="V634" s="89"/>
      <c r="W634" s="89"/>
      <c r="X634" s="89"/>
      <c r="Y634" s="89"/>
      <c r="Z634" s="89"/>
      <c r="AA634" s="89"/>
      <c r="AB634" s="89"/>
      <c r="AC634" s="89"/>
      <c r="AD634" s="89"/>
      <c r="AE634" s="89"/>
    </row>
    <row r="635">
      <c r="A635" s="445"/>
      <c r="B635" s="420"/>
      <c r="C635" s="420"/>
      <c r="D635" s="420"/>
      <c r="E635" s="420"/>
      <c r="F635" s="420"/>
      <c r="G635" s="420"/>
      <c r="H635" s="420"/>
      <c r="I635" s="89"/>
      <c r="J635" s="89"/>
      <c r="K635" s="89"/>
      <c r="L635" s="89"/>
      <c r="M635" s="89"/>
      <c r="N635" s="89"/>
      <c r="O635" s="89"/>
      <c r="P635" s="89"/>
      <c r="Q635" s="89"/>
      <c r="R635" s="89"/>
      <c r="S635" s="89"/>
      <c r="T635" s="89"/>
      <c r="U635" s="89"/>
      <c r="V635" s="89"/>
      <c r="W635" s="89"/>
      <c r="X635" s="89"/>
      <c r="Y635" s="89"/>
      <c r="Z635" s="89"/>
      <c r="AA635" s="89"/>
      <c r="AB635" s="89"/>
      <c r="AC635" s="89"/>
      <c r="AD635" s="89"/>
      <c r="AE635" s="89"/>
    </row>
    <row r="636">
      <c r="A636" s="445"/>
      <c r="B636" s="420"/>
      <c r="C636" s="420"/>
      <c r="D636" s="420"/>
      <c r="E636" s="420"/>
      <c r="F636" s="420"/>
      <c r="G636" s="420"/>
      <c r="H636" s="420"/>
      <c r="I636" s="89"/>
      <c r="J636" s="89"/>
      <c r="K636" s="89"/>
      <c r="L636" s="89"/>
      <c r="M636" s="89"/>
      <c r="N636" s="89"/>
      <c r="O636" s="89"/>
      <c r="P636" s="89"/>
      <c r="Q636" s="89"/>
      <c r="R636" s="89"/>
      <c r="S636" s="89"/>
      <c r="T636" s="89"/>
      <c r="U636" s="89"/>
      <c r="V636" s="89"/>
      <c r="W636" s="89"/>
      <c r="X636" s="89"/>
      <c r="Y636" s="89"/>
      <c r="Z636" s="89"/>
      <c r="AA636" s="89"/>
      <c r="AB636" s="89"/>
      <c r="AC636" s="89"/>
      <c r="AD636" s="89"/>
      <c r="AE636" s="89"/>
    </row>
    <row r="637">
      <c r="A637" s="445"/>
      <c r="B637" s="420"/>
      <c r="C637" s="420"/>
      <c r="D637" s="420"/>
      <c r="E637" s="420"/>
      <c r="F637" s="420"/>
      <c r="G637" s="420"/>
      <c r="H637" s="420"/>
      <c r="I637" s="89"/>
      <c r="J637" s="89"/>
      <c r="K637" s="89"/>
      <c r="L637" s="89"/>
      <c r="M637" s="89"/>
      <c r="N637" s="89"/>
      <c r="O637" s="89"/>
      <c r="P637" s="89"/>
      <c r="Q637" s="89"/>
      <c r="R637" s="89"/>
      <c r="S637" s="89"/>
      <c r="T637" s="89"/>
      <c r="U637" s="89"/>
      <c r="V637" s="89"/>
      <c r="W637" s="89"/>
      <c r="X637" s="89"/>
      <c r="Y637" s="89"/>
      <c r="Z637" s="89"/>
      <c r="AA637" s="89"/>
      <c r="AB637" s="89"/>
      <c r="AC637" s="89"/>
      <c r="AD637" s="89"/>
      <c r="AE637" s="89"/>
    </row>
    <row r="638">
      <c r="A638" s="445"/>
      <c r="B638" s="420"/>
      <c r="C638" s="420"/>
      <c r="D638" s="420"/>
      <c r="E638" s="420"/>
      <c r="F638" s="420"/>
      <c r="G638" s="420"/>
      <c r="H638" s="420"/>
      <c r="I638" s="89"/>
      <c r="J638" s="89"/>
      <c r="K638" s="89"/>
      <c r="L638" s="89"/>
      <c r="M638" s="89"/>
      <c r="N638" s="89"/>
      <c r="O638" s="89"/>
      <c r="P638" s="89"/>
      <c r="Q638" s="89"/>
      <c r="R638" s="89"/>
      <c r="S638" s="89"/>
      <c r="T638" s="89"/>
      <c r="U638" s="89"/>
      <c r="V638" s="89"/>
      <c r="W638" s="89"/>
      <c r="X638" s="89"/>
      <c r="Y638" s="89"/>
      <c r="Z638" s="89"/>
      <c r="AA638" s="89"/>
      <c r="AB638" s="89"/>
      <c r="AC638" s="89"/>
      <c r="AD638" s="89"/>
      <c r="AE638" s="89"/>
    </row>
    <row r="639">
      <c r="A639" s="445"/>
      <c r="B639" s="420"/>
      <c r="C639" s="420"/>
      <c r="D639" s="420"/>
      <c r="E639" s="420"/>
      <c r="F639" s="420"/>
      <c r="G639" s="420"/>
      <c r="H639" s="420"/>
      <c r="I639" s="89"/>
      <c r="J639" s="89"/>
      <c r="K639" s="89"/>
      <c r="L639" s="89"/>
      <c r="M639" s="89"/>
      <c r="N639" s="89"/>
      <c r="O639" s="89"/>
      <c r="P639" s="89"/>
      <c r="Q639" s="89"/>
      <c r="R639" s="89"/>
      <c r="S639" s="89"/>
      <c r="T639" s="89"/>
      <c r="U639" s="89"/>
      <c r="V639" s="89"/>
      <c r="W639" s="89"/>
      <c r="X639" s="89"/>
      <c r="Y639" s="89"/>
      <c r="Z639" s="89"/>
      <c r="AA639" s="89"/>
      <c r="AB639" s="89"/>
      <c r="AC639" s="89"/>
      <c r="AD639" s="89"/>
      <c r="AE639" s="89"/>
    </row>
    <row r="640">
      <c r="A640" s="445"/>
      <c r="B640" s="420"/>
      <c r="C640" s="420"/>
      <c r="D640" s="420"/>
      <c r="E640" s="420"/>
      <c r="F640" s="420"/>
      <c r="G640" s="420"/>
      <c r="H640" s="420"/>
      <c r="I640" s="89"/>
      <c r="J640" s="89"/>
      <c r="K640" s="89"/>
      <c r="L640" s="89"/>
      <c r="M640" s="89"/>
      <c r="N640" s="89"/>
      <c r="O640" s="89"/>
      <c r="P640" s="89"/>
      <c r="Q640" s="89"/>
      <c r="R640" s="89"/>
      <c r="S640" s="89"/>
      <c r="T640" s="89"/>
      <c r="U640" s="89"/>
      <c r="V640" s="89"/>
      <c r="W640" s="89"/>
      <c r="X640" s="89"/>
      <c r="Y640" s="89"/>
      <c r="Z640" s="89"/>
      <c r="AA640" s="89"/>
      <c r="AB640" s="89"/>
      <c r="AC640" s="89"/>
      <c r="AD640" s="89"/>
      <c r="AE640" s="89"/>
    </row>
    <row r="641">
      <c r="A641" s="445"/>
      <c r="B641" s="420"/>
      <c r="C641" s="420"/>
      <c r="D641" s="420"/>
      <c r="E641" s="420"/>
      <c r="F641" s="420"/>
      <c r="G641" s="420"/>
      <c r="H641" s="420"/>
      <c r="I641" s="89"/>
      <c r="J641" s="89"/>
      <c r="K641" s="89"/>
      <c r="L641" s="89"/>
      <c r="M641" s="89"/>
      <c r="N641" s="89"/>
      <c r="O641" s="89"/>
      <c r="P641" s="89"/>
      <c r="Q641" s="89"/>
      <c r="R641" s="89"/>
      <c r="S641" s="89"/>
      <c r="T641" s="89"/>
      <c r="U641" s="89"/>
      <c r="V641" s="89"/>
      <c r="W641" s="89"/>
      <c r="X641" s="89"/>
      <c r="Y641" s="89"/>
      <c r="Z641" s="89"/>
      <c r="AA641" s="89"/>
      <c r="AB641" s="89"/>
      <c r="AC641" s="89"/>
      <c r="AD641" s="89"/>
      <c r="AE641" s="89"/>
    </row>
    <row r="642">
      <c r="A642" s="445"/>
      <c r="B642" s="420"/>
      <c r="C642" s="420"/>
      <c r="D642" s="420"/>
      <c r="E642" s="420"/>
      <c r="F642" s="420"/>
      <c r="G642" s="420"/>
      <c r="H642" s="420"/>
      <c r="I642" s="89"/>
      <c r="J642" s="89"/>
      <c r="K642" s="89"/>
      <c r="L642" s="89"/>
      <c r="M642" s="89"/>
      <c r="N642" s="89"/>
      <c r="O642" s="89"/>
      <c r="P642" s="89"/>
      <c r="Q642" s="89"/>
      <c r="R642" s="89"/>
      <c r="S642" s="89"/>
      <c r="T642" s="89"/>
      <c r="U642" s="89"/>
      <c r="V642" s="89"/>
      <c r="W642" s="89"/>
      <c r="X642" s="89"/>
      <c r="Y642" s="89"/>
      <c r="Z642" s="89"/>
      <c r="AA642" s="89"/>
      <c r="AB642" s="89"/>
      <c r="AC642" s="89"/>
      <c r="AD642" s="89"/>
      <c r="AE642" s="89"/>
    </row>
    <row r="643">
      <c r="A643" s="445"/>
      <c r="B643" s="420"/>
      <c r="C643" s="420"/>
      <c r="D643" s="420"/>
      <c r="E643" s="420"/>
      <c r="F643" s="420"/>
      <c r="G643" s="420"/>
      <c r="H643" s="420"/>
      <c r="I643" s="89"/>
      <c r="J643" s="89"/>
      <c r="K643" s="89"/>
      <c r="L643" s="89"/>
      <c r="M643" s="89"/>
      <c r="N643" s="89"/>
      <c r="O643" s="89"/>
      <c r="P643" s="89"/>
      <c r="Q643" s="89"/>
      <c r="R643" s="89"/>
      <c r="S643" s="89"/>
      <c r="T643" s="89"/>
      <c r="U643" s="89"/>
      <c r="V643" s="89"/>
      <c r="W643" s="89"/>
      <c r="X643" s="89"/>
      <c r="Y643" s="89"/>
      <c r="Z643" s="89"/>
      <c r="AA643" s="89"/>
      <c r="AB643" s="89"/>
      <c r="AC643" s="89"/>
      <c r="AD643" s="89"/>
      <c r="AE643" s="89"/>
    </row>
    <row r="644">
      <c r="A644" s="445"/>
      <c r="B644" s="420"/>
      <c r="C644" s="420"/>
      <c r="D644" s="420"/>
      <c r="E644" s="420"/>
      <c r="F644" s="420"/>
      <c r="G644" s="420"/>
      <c r="H644" s="420"/>
      <c r="I644" s="89"/>
      <c r="J644" s="89"/>
      <c r="K644" s="89"/>
      <c r="L644" s="89"/>
      <c r="M644" s="89"/>
      <c r="N644" s="89"/>
      <c r="O644" s="89"/>
      <c r="P644" s="89"/>
      <c r="Q644" s="89"/>
      <c r="R644" s="89"/>
      <c r="S644" s="89"/>
      <c r="T644" s="89"/>
      <c r="U644" s="89"/>
      <c r="V644" s="89"/>
      <c r="W644" s="89"/>
      <c r="X644" s="89"/>
      <c r="Y644" s="89"/>
      <c r="Z644" s="89"/>
      <c r="AA644" s="89"/>
      <c r="AB644" s="89"/>
      <c r="AC644" s="89"/>
      <c r="AD644" s="89"/>
      <c r="AE644" s="89"/>
    </row>
    <row r="645">
      <c r="A645" s="445"/>
      <c r="B645" s="420"/>
      <c r="C645" s="420"/>
      <c r="D645" s="420"/>
      <c r="E645" s="420"/>
      <c r="F645" s="420"/>
      <c r="G645" s="420"/>
      <c r="H645" s="420"/>
      <c r="I645" s="89"/>
      <c r="J645" s="89"/>
      <c r="K645" s="89"/>
      <c r="L645" s="89"/>
      <c r="M645" s="89"/>
      <c r="N645" s="89"/>
      <c r="O645" s="89"/>
      <c r="P645" s="89"/>
      <c r="Q645" s="89"/>
      <c r="R645" s="89"/>
      <c r="S645" s="89"/>
      <c r="T645" s="89"/>
      <c r="U645" s="89"/>
      <c r="V645" s="89"/>
      <c r="W645" s="89"/>
      <c r="X645" s="89"/>
      <c r="Y645" s="89"/>
      <c r="Z645" s="89"/>
      <c r="AA645" s="89"/>
      <c r="AB645" s="89"/>
      <c r="AC645" s="89"/>
      <c r="AD645" s="89"/>
      <c r="AE645" s="89"/>
    </row>
    <row r="646">
      <c r="A646" s="445"/>
      <c r="B646" s="420"/>
      <c r="C646" s="420"/>
      <c r="D646" s="420"/>
      <c r="E646" s="420"/>
      <c r="F646" s="420"/>
      <c r="G646" s="420"/>
      <c r="H646" s="420"/>
      <c r="I646" s="89"/>
      <c r="J646" s="89"/>
      <c r="K646" s="89"/>
      <c r="L646" s="89"/>
      <c r="M646" s="89"/>
      <c r="N646" s="89"/>
      <c r="O646" s="89"/>
      <c r="P646" s="89"/>
      <c r="Q646" s="89"/>
      <c r="R646" s="89"/>
      <c r="S646" s="89"/>
      <c r="T646" s="89"/>
      <c r="U646" s="89"/>
      <c r="V646" s="89"/>
      <c r="W646" s="89"/>
      <c r="X646" s="89"/>
      <c r="Y646" s="89"/>
      <c r="Z646" s="89"/>
      <c r="AA646" s="89"/>
      <c r="AB646" s="89"/>
      <c r="AC646" s="89"/>
      <c r="AD646" s="89"/>
      <c r="AE646" s="89"/>
    </row>
    <row r="647">
      <c r="A647" s="445"/>
      <c r="B647" s="420"/>
      <c r="C647" s="420"/>
      <c r="D647" s="420"/>
      <c r="E647" s="420"/>
      <c r="F647" s="420"/>
      <c r="G647" s="420"/>
      <c r="H647" s="420"/>
      <c r="I647" s="89"/>
      <c r="J647" s="89"/>
      <c r="K647" s="89"/>
      <c r="L647" s="89"/>
      <c r="M647" s="89"/>
      <c r="N647" s="89"/>
      <c r="O647" s="89"/>
      <c r="P647" s="89"/>
      <c r="Q647" s="89"/>
      <c r="R647" s="89"/>
      <c r="S647" s="89"/>
      <c r="T647" s="89"/>
      <c r="U647" s="89"/>
      <c r="V647" s="89"/>
      <c r="W647" s="89"/>
      <c r="X647" s="89"/>
      <c r="Y647" s="89"/>
      <c r="Z647" s="89"/>
      <c r="AA647" s="89"/>
      <c r="AB647" s="89"/>
      <c r="AC647" s="89"/>
      <c r="AD647" s="89"/>
      <c r="AE647" s="89"/>
    </row>
    <row r="648">
      <c r="A648" s="445"/>
      <c r="B648" s="420"/>
      <c r="C648" s="420"/>
      <c r="D648" s="420"/>
      <c r="E648" s="420"/>
      <c r="F648" s="420"/>
      <c r="G648" s="420"/>
      <c r="H648" s="420"/>
      <c r="I648" s="89"/>
      <c r="J648" s="89"/>
      <c r="K648" s="89"/>
      <c r="L648" s="89"/>
      <c r="M648" s="89"/>
      <c r="N648" s="89"/>
      <c r="O648" s="89"/>
      <c r="P648" s="89"/>
      <c r="Q648" s="89"/>
      <c r="R648" s="89"/>
      <c r="S648" s="89"/>
      <c r="T648" s="89"/>
      <c r="U648" s="89"/>
      <c r="V648" s="89"/>
      <c r="W648" s="89"/>
      <c r="X648" s="89"/>
      <c r="Y648" s="89"/>
      <c r="Z648" s="89"/>
      <c r="AA648" s="89"/>
      <c r="AB648" s="89"/>
      <c r="AC648" s="89"/>
      <c r="AD648" s="89"/>
      <c r="AE648" s="89"/>
    </row>
    <row r="649">
      <c r="A649" s="445"/>
      <c r="B649" s="420"/>
      <c r="C649" s="420"/>
      <c r="D649" s="420"/>
      <c r="E649" s="420"/>
      <c r="F649" s="420"/>
      <c r="G649" s="420"/>
      <c r="H649" s="420"/>
      <c r="I649" s="89"/>
      <c r="J649" s="89"/>
      <c r="K649" s="89"/>
      <c r="L649" s="89"/>
      <c r="M649" s="89"/>
      <c r="N649" s="89"/>
      <c r="O649" s="89"/>
      <c r="P649" s="89"/>
      <c r="Q649" s="89"/>
      <c r="R649" s="89"/>
      <c r="S649" s="89"/>
      <c r="T649" s="89"/>
      <c r="U649" s="89"/>
      <c r="V649" s="89"/>
      <c r="W649" s="89"/>
      <c r="X649" s="89"/>
      <c r="Y649" s="89"/>
      <c r="Z649" s="89"/>
      <c r="AA649" s="89"/>
      <c r="AB649" s="89"/>
      <c r="AC649" s="89"/>
      <c r="AD649" s="89"/>
      <c r="AE649" s="89"/>
    </row>
    <row r="650">
      <c r="A650" s="445"/>
      <c r="B650" s="420"/>
      <c r="C650" s="420"/>
      <c r="D650" s="420"/>
      <c r="E650" s="420"/>
      <c r="F650" s="420"/>
      <c r="G650" s="420"/>
      <c r="H650" s="420"/>
      <c r="I650" s="89"/>
      <c r="J650" s="89"/>
      <c r="K650" s="89"/>
      <c r="L650" s="89"/>
      <c r="M650" s="89"/>
      <c r="N650" s="89"/>
      <c r="O650" s="89"/>
      <c r="P650" s="89"/>
      <c r="Q650" s="89"/>
      <c r="R650" s="89"/>
      <c r="S650" s="89"/>
      <c r="T650" s="89"/>
      <c r="U650" s="89"/>
      <c r="V650" s="89"/>
      <c r="W650" s="89"/>
      <c r="X650" s="89"/>
      <c r="Y650" s="89"/>
      <c r="Z650" s="89"/>
      <c r="AA650" s="89"/>
      <c r="AB650" s="89"/>
      <c r="AC650" s="89"/>
      <c r="AD650" s="89"/>
      <c r="AE650" s="89"/>
    </row>
    <row r="651">
      <c r="A651" s="445"/>
      <c r="B651" s="420"/>
      <c r="C651" s="420"/>
      <c r="D651" s="420"/>
      <c r="E651" s="420"/>
      <c r="F651" s="420"/>
      <c r="G651" s="420"/>
      <c r="H651" s="420"/>
      <c r="I651" s="89"/>
      <c r="J651" s="89"/>
      <c r="K651" s="89"/>
      <c r="L651" s="89"/>
      <c r="M651" s="89"/>
      <c r="N651" s="89"/>
      <c r="O651" s="89"/>
      <c r="P651" s="89"/>
      <c r="Q651" s="89"/>
      <c r="R651" s="89"/>
      <c r="S651" s="89"/>
      <c r="T651" s="89"/>
      <c r="U651" s="89"/>
      <c r="V651" s="89"/>
      <c r="W651" s="89"/>
      <c r="X651" s="89"/>
      <c r="Y651" s="89"/>
      <c r="Z651" s="89"/>
      <c r="AA651" s="89"/>
      <c r="AB651" s="89"/>
      <c r="AC651" s="89"/>
      <c r="AD651" s="89"/>
      <c r="AE651" s="89"/>
    </row>
    <row r="652">
      <c r="A652" s="445"/>
      <c r="B652" s="420"/>
      <c r="C652" s="420"/>
      <c r="D652" s="420"/>
      <c r="E652" s="420"/>
      <c r="F652" s="420"/>
      <c r="G652" s="420"/>
      <c r="H652" s="420"/>
      <c r="I652" s="89"/>
      <c r="J652" s="89"/>
      <c r="K652" s="89"/>
      <c r="L652" s="89"/>
      <c r="M652" s="89"/>
      <c r="N652" s="89"/>
      <c r="O652" s="89"/>
      <c r="P652" s="89"/>
      <c r="Q652" s="89"/>
      <c r="R652" s="89"/>
      <c r="S652" s="89"/>
      <c r="T652" s="89"/>
      <c r="U652" s="89"/>
      <c r="V652" s="89"/>
      <c r="W652" s="89"/>
      <c r="X652" s="89"/>
      <c r="Y652" s="89"/>
      <c r="Z652" s="89"/>
      <c r="AA652" s="89"/>
      <c r="AB652" s="89"/>
      <c r="AC652" s="89"/>
      <c r="AD652" s="89"/>
      <c r="AE652" s="89"/>
    </row>
    <row r="653">
      <c r="A653" s="445"/>
      <c r="B653" s="420"/>
      <c r="C653" s="420"/>
      <c r="D653" s="420"/>
      <c r="E653" s="420"/>
      <c r="F653" s="420"/>
      <c r="G653" s="420"/>
      <c r="H653" s="420"/>
      <c r="I653" s="89"/>
      <c r="J653" s="89"/>
      <c r="K653" s="89"/>
      <c r="L653" s="89"/>
      <c r="M653" s="89"/>
      <c r="N653" s="89"/>
      <c r="O653" s="89"/>
      <c r="P653" s="89"/>
      <c r="Q653" s="89"/>
      <c r="R653" s="89"/>
      <c r="S653" s="89"/>
      <c r="T653" s="89"/>
      <c r="U653" s="89"/>
      <c r="V653" s="89"/>
      <c r="W653" s="89"/>
      <c r="X653" s="89"/>
      <c r="Y653" s="89"/>
      <c r="Z653" s="89"/>
      <c r="AA653" s="89"/>
      <c r="AB653" s="89"/>
      <c r="AC653" s="89"/>
      <c r="AD653" s="89"/>
      <c r="AE653" s="89"/>
    </row>
    <row r="654">
      <c r="A654" s="445"/>
      <c r="B654" s="420"/>
      <c r="C654" s="420"/>
      <c r="D654" s="420"/>
      <c r="E654" s="420"/>
      <c r="F654" s="420"/>
      <c r="G654" s="420"/>
      <c r="H654" s="420"/>
      <c r="I654" s="89"/>
      <c r="J654" s="89"/>
      <c r="K654" s="89"/>
      <c r="L654" s="89"/>
      <c r="M654" s="89"/>
      <c r="N654" s="89"/>
      <c r="O654" s="89"/>
      <c r="P654" s="89"/>
      <c r="Q654" s="89"/>
      <c r="R654" s="89"/>
      <c r="S654" s="89"/>
      <c r="T654" s="89"/>
      <c r="U654" s="89"/>
      <c r="V654" s="89"/>
      <c r="W654" s="89"/>
      <c r="X654" s="89"/>
      <c r="Y654" s="89"/>
      <c r="Z654" s="89"/>
      <c r="AA654" s="89"/>
      <c r="AB654" s="89"/>
      <c r="AC654" s="89"/>
      <c r="AD654" s="89"/>
      <c r="AE654" s="89"/>
    </row>
    <row r="655">
      <c r="A655" s="445"/>
      <c r="B655" s="420"/>
      <c r="C655" s="420"/>
      <c r="D655" s="420"/>
      <c r="E655" s="420"/>
      <c r="F655" s="420"/>
      <c r="G655" s="420"/>
      <c r="H655" s="420"/>
      <c r="I655" s="89"/>
      <c r="J655" s="89"/>
      <c r="K655" s="89"/>
      <c r="L655" s="89"/>
      <c r="M655" s="89"/>
      <c r="N655" s="89"/>
      <c r="O655" s="89"/>
      <c r="P655" s="89"/>
      <c r="Q655" s="89"/>
      <c r="R655" s="89"/>
      <c r="S655" s="89"/>
      <c r="T655" s="89"/>
      <c r="U655" s="89"/>
      <c r="V655" s="89"/>
      <c r="W655" s="89"/>
      <c r="X655" s="89"/>
      <c r="Y655" s="89"/>
      <c r="Z655" s="89"/>
      <c r="AA655" s="89"/>
      <c r="AB655" s="89"/>
      <c r="AC655" s="89"/>
      <c r="AD655" s="89"/>
      <c r="AE655" s="89"/>
    </row>
    <row r="656">
      <c r="A656" s="445"/>
      <c r="B656" s="420"/>
      <c r="C656" s="420"/>
      <c r="D656" s="420"/>
      <c r="E656" s="420"/>
      <c r="F656" s="420"/>
      <c r="G656" s="420"/>
      <c r="H656" s="420"/>
      <c r="I656" s="89"/>
      <c r="J656" s="89"/>
      <c r="K656" s="89"/>
      <c r="L656" s="89"/>
      <c r="M656" s="89"/>
      <c r="N656" s="89"/>
      <c r="O656" s="89"/>
      <c r="P656" s="89"/>
      <c r="Q656" s="89"/>
      <c r="R656" s="89"/>
      <c r="S656" s="89"/>
      <c r="T656" s="89"/>
      <c r="U656" s="89"/>
      <c r="V656" s="89"/>
      <c r="W656" s="89"/>
      <c r="X656" s="89"/>
      <c r="Y656" s="89"/>
      <c r="Z656" s="89"/>
      <c r="AA656" s="89"/>
      <c r="AB656" s="89"/>
      <c r="AC656" s="89"/>
      <c r="AD656" s="89"/>
      <c r="AE656" s="89"/>
    </row>
    <row r="657">
      <c r="A657" s="445"/>
      <c r="B657" s="420"/>
      <c r="C657" s="420"/>
      <c r="D657" s="420"/>
      <c r="E657" s="420"/>
      <c r="F657" s="420"/>
      <c r="G657" s="420"/>
      <c r="H657" s="420"/>
      <c r="I657" s="89"/>
      <c r="J657" s="89"/>
      <c r="K657" s="89"/>
      <c r="L657" s="89"/>
      <c r="M657" s="89"/>
      <c r="N657" s="89"/>
      <c r="O657" s="89"/>
      <c r="P657" s="89"/>
      <c r="Q657" s="89"/>
      <c r="R657" s="89"/>
      <c r="S657" s="89"/>
      <c r="T657" s="89"/>
      <c r="U657" s="89"/>
      <c r="V657" s="89"/>
      <c r="W657" s="89"/>
      <c r="X657" s="89"/>
      <c r="Y657" s="89"/>
      <c r="Z657" s="89"/>
      <c r="AA657" s="89"/>
      <c r="AB657" s="89"/>
      <c r="AC657" s="89"/>
      <c r="AD657" s="89"/>
      <c r="AE657" s="89"/>
    </row>
    <row r="658">
      <c r="A658" s="445"/>
      <c r="B658" s="420"/>
      <c r="C658" s="420"/>
      <c r="D658" s="420"/>
      <c r="E658" s="420"/>
      <c r="F658" s="420"/>
      <c r="G658" s="420"/>
      <c r="H658" s="420"/>
      <c r="I658" s="89"/>
      <c r="J658" s="89"/>
      <c r="K658" s="89"/>
      <c r="L658" s="89"/>
      <c r="M658" s="89"/>
      <c r="N658" s="89"/>
      <c r="O658" s="89"/>
      <c r="P658" s="89"/>
      <c r="Q658" s="89"/>
      <c r="R658" s="89"/>
      <c r="S658" s="89"/>
      <c r="T658" s="89"/>
      <c r="U658" s="89"/>
      <c r="V658" s="89"/>
      <c r="W658" s="89"/>
      <c r="X658" s="89"/>
      <c r="Y658" s="89"/>
      <c r="Z658" s="89"/>
      <c r="AA658" s="89"/>
      <c r="AB658" s="89"/>
      <c r="AC658" s="89"/>
      <c r="AD658" s="89"/>
      <c r="AE658" s="89"/>
    </row>
    <row r="659">
      <c r="A659" s="445"/>
      <c r="B659" s="420"/>
      <c r="C659" s="420"/>
      <c r="D659" s="420"/>
      <c r="E659" s="420"/>
      <c r="F659" s="420"/>
      <c r="G659" s="420"/>
      <c r="H659" s="420"/>
      <c r="I659" s="89"/>
      <c r="J659" s="89"/>
      <c r="K659" s="89"/>
      <c r="L659" s="89"/>
      <c r="M659" s="89"/>
      <c r="N659" s="89"/>
      <c r="O659" s="89"/>
      <c r="P659" s="89"/>
      <c r="Q659" s="89"/>
      <c r="R659" s="89"/>
      <c r="S659" s="89"/>
      <c r="T659" s="89"/>
      <c r="U659" s="89"/>
      <c r="V659" s="89"/>
      <c r="W659" s="89"/>
      <c r="X659" s="89"/>
      <c r="Y659" s="89"/>
      <c r="Z659" s="89"/>
      <c r="AA659" s="89"/>
      <c r="AB659" s="89"/>
      <c r="AC659" s="89"/>
      <c r="AD659" s="89"/>
      <c r="AE659" s="89"/>
    </row>
    <row r="660">
      <c r="A660" s="445"/>
      <c r="B660" s="420"/>
      <c r="C660" s="420"/>
      <c r="D660" s="420"/>
      <c r="E660" s="420"/>
      <c r="F660" s="420"/>
      <c r="G660" s="420"/>
      <c r="H660" s="420"/>
      <c r="I660" s="89"/>
      <c r="J660" s="89"/>
      <c r="K660" s="89"/>
      <c r="L660" s="89"/>
      <c r="M660" s="89"/>
      <c r="N660" s="89"/>
      <c r="O660" s="89"/>
      <c r="P660" s="89"/>
      <c r="Q660" s="89"/>
      <c r="R660" s="89"/>
      <c r="S660" s="89"/>
      <c r="T660" s="89"/>
      <c r="U660" s="89"/>
      <c r="V660" s="89"/>
      <c r="W660" s="89"/>
      <c r="X660" s="89"/>
      <c r="Y660" s="89"/>
      <c r="Z660" s="89"/>
      <c r="AA660" s="89"/>
      <c r="AB660" s="89"/>
      <c r="AC660" s="89"/>
      <c r="AD660" s="89"/>
      <c r="AE660" s="89"/>
    </row>
    <row r="661">
      <c r="A661" s="445"/>
      <c r="B661" s="420"/>
      <c r="C661" s="420"/>
      <c r="D661" s="420"/>
      <c r="E661" s="420"/>
      <c r="F661" s="420"/>
      <c r="G661" s="420"/>
      <c r="H661" s="420"/>
      <c r="I661" s="89"/>
      <c r="J661" s="89"/>
      <c r="K661" s="89"/>
      <c r="L661" s="89"/>
      <c r="M661" s="89"/>
      <c r="N661" s="89"/>
      <c r="O661" s="89"/>
      <c r="P661" s="89"/>
      <c r="Q661" s="89"/>
      <c r="R661" s="89"/>
      <c r="S661" s="89"/>
      <c r="T661" s="89"/>
      <c r="U661" s="89"/>
      <c r="V661" s="89"/>
      <c r="W661" s="89"/>
      <c r="X661" s="89"/>
      <c r="Y661" s="89"/>
      <c r="Z661" s="89"/>
      <c r="AA661" s="89"/>
      <c r="AB661" s="89"/>
      <c r="AC661" s="89"/>
      <c r="AD661" s="89"/>
      <c r="AE661" s="89"/>
    </row>
    <row r="662">
      <c r="A662" s="445"/>
      <c r="B662" s="420"/>
      <c r="C662" s="420"/>
      <c r="D662" s="420"/>
      <c r="E662" s="420"/>
      <c r="F662" s="420"/>
      <c r="G662" s="420"/>
      <c r="H662" s="420"/>
      <c r="I662" s="89"/>
      <c r="J662" s="89"/>
      <c r="K662" s="89"/>
      <c r="L662" s="89"/>
      <c r="M662" s="89"/>
      <c r="N662" s="89"/>
      <c r="O662" s="89"/>
      <c r="P662" s="89"/>
      <c r="Q662" s="89"/>
      <c r="R662" s="89"/>
      <c r="S662" s="89"/>
      <c r="T662" s="89"/>
      <c r="U662" s="89"/>
      <c r="V662" s="89"/>
      <c r="W662" s="89"/>
      <c r="X662" s="89"/>
      <c r="Y662" s="89"/>
      <c r="Z662" s="89"/>
      <c r="AA662" s="89"/>
      <c r="AB662" s="89"/>
      <c r="AC662" s="89"/>
      <c r="AD662" s="89"/>
      <c r="AE662" s="89"/>
    </row>
    <row r="663">
      <c r="A663" s="445"/>
      <c r="B663" s="420"/>
      <c r="C663" s="420"/>
      <c r="D663" s="420"/>
      <c r="E663" s="420"/>
      <c r="F663" s="420"/>
      <c r="G663" s="420"/>
      <c r="H663" s="420"/>
      <c r="I663" s="89"/>
      <c r="J663" s="89"/>
      <c r="K663" s="89"/>
      <c r="L663" s="89"/>
      <c r="M663" s="89"/>
      <c r="N663" s="89"/>
      <c r="O663" s="89"/>
      <c r="P663" s="89"/>
      <c r="Q663" s="89"/>
      <c r="R663" s="89"/>
      <c r="S663" s="89"/>
      <c r="T663" s="89"/>
      <c r="U663" s="89"/>
      <c r="V663" s="89"/>
      <c r="W663" s="89"/>
      <c r="X663" s="89"/>
      <c r="Y663" s="89"/>
      <c r="Z663" s="89"/>
      <c r="AA663" s="89"/>
      <c r="AB663" s="89"/>
      <c r="AC663" s="89"/>
      <c r="AD663" s="89"/>
      <c r="AE663" s="89"/>
    </row>
    <row r="664">
      <c r="A664" s="445"/>
      <c r="B664" s="420"/>
      <c r="C664" s="420"/>
      <c r="D664" s="420"/>
      <c r="E664" s="420"/>
      <c r="F664" s="420"/>
      <c r="G664" s="420"/>
      <c r="H664" s="420"/>
      <c r="I664" s="89"/>
      <c r="J664" s="89"/>
      <c r="K664" s="89"/>
      <c r="L664" s="89"/>
      <c r="M664" s="89"/>
      <c r="N664" s="89"/>
      <c r="O664" s="89"/>
      <c r="P664" s="89"/>
      <c r="Q664" s="89"/>
      <c r="R664" s="89"/>
      <c r="S664" s="89"/>
      <c r="T664" s="89"/>
      <c r="U664" s="89"/>
      <c r="V664" s="89"/>
      <c r="W664" s="89"/>
      <c r="X664" s="89"/>
      <c r="Y664" s="89"/>
      <c r="Z664" s="89"/>
      <c r="AA664" s="89"/>
      <c r="AB664" s="89"/>
      <c r="AC664" s="89"/>
      <c r="AD664" s="89"/>
      <c r="AE664" s="89"/>
    </row>
    <row r="665">
      <c r="A665" s="445"/>
      <c r="B665" s="420"/>
      <c r="C665" s="420"/>
      <c r="D665" s="420"/>
      <c r="E665" s="420"/>
      <c r="F665" s="420"/>
      <c r="G665" s="420"/>
      <c r="H665" s="420"/>
      <c r="I665" s="89"/>
      <c r="J665" s="89"/>
      <c r="K665" s="89"/>
      <c r="L665" s="89"/>
      <c r="M665" s="89"/>
      <c r="N665" s="89"/>
      <c r="O665" s="89"/>
      <c r="P665" s="89"/>
      <c r="Q665" s="89"/>
      <c r="R665" s="89"/>
      <c r="S665" s="89"/>
      <c r="T665" s="89"/>
      <c r="U665" s="89"/>
      <c r="V665" s="89"/>
      <c r="W665" s="89"/>
      <c r="X665" s="89"/>
      <c r="Y665" s="89"/>
      <c r="Z665" s="89"/>
      <c r="AA665" s="89"/>
      <c r="AB665" s="89"/>
      <c r="AC665" s="89"/>
      <c r="AD665" s="89"/>
      <c r="AE665" s="89"/>
    </row>
    <row r="666">
      <c r="A666" s="445"/>
      <c r="B666" s="420"/>
      <c r="C666" s="420"/>
      <c r="D666" s="420"/>
      <c r="E666" s="420"/>
      <c r="F666" s="420"/>
      <c r="G666" s="420"/>
      <c r="H666" s="420"/>
      <c r="I666" s="89"/>
      <c r="J666" s="89"/>
      <c r="K666" s="89"/>
      <c r="L666" s="89"/>
      <c r="M666" s="89"/>
      <c r="N666" s="89"/>
      <c r="O666" s="89"/>
      <c r="P666" s="89"/>
      <c r="Q666" s="89"/>
      <c r="R666" s="89"/>
      <c r="S666" s="89"/>
      <c r="T666" s="89"/>
      <c r="U666" s="89"/>
      <c r="V666" s="89"/>
      <c r="W666" s="89"/>
      <c r="X666" s="89"/>
      <c r="Y666" s="89"/>
      <c r="Z666" s="89"/>
      <c r="AA666" s="89"/>
      <c r="AB666" s="89"/>
      <c r="AC666" s="89"/>
      <c r="AD666" s="89"/>
      <c r="AE666" s="89"/>
    </row>
    <row r="667">
      <c r="A667" s="445"/>
      <c r="B667" s="420"/>
      <c r="C667" s="420"/>
      <c r="D667" s="420"/>
      <c r="E667" s="420"/>
      <c r="F667" s="420"/>
      <c r="G667" s="420"/>
      <c r="H667" s="420"/>
      <c r="I667" s="89"/>
      <c r="J667" s="89"/>
      <c r="K667" s="89"/>
      <c r="L667" s="89"/>
      <c r="M667" s="89"/>
      <c r="N667" s="89"/>
      <c r="O667" s="89"/>
      <c r="P667" s="89"/>
      <c r="Q667" s="89"/>
      <c r="R667" s="89"/>
      <c r="S667" s="89"/>
      <c r="T667" s="89"/>
      <c r="U667" s="89"/>
      <c r="V667" s="89"/>
      <c r="W667" s="89"/>
      <c r="X667" s="89"/>
      <c r="Y667" s="89"/>
      <c r="Z667" s="89"/>
      <c r="AA667" s="89"/>
      <c r="AB667" s="89"/>
      <c r="AC667" s="89"/>
      <c r="AD667" s="89"/>
      <c r="AE667" s="89"/>
    </row>
    <row r="668">
      <c r="A668" s="445"/>
      <c r="B668" s="420"/>
      <c r="C668" s="420"/>
      <c r="D668" s="420"/>
      <c r="E668" s="420"/>
      <c r="F668" s="420"/>
      <c r="G668" s="420"/>
      <c r="H668" s="420"/>
      <c r="I668" s="89"/>
      <c r="J668" s="89"/>
      <c r="K668" s="89"/>
      <c r="L668" s="89"/>
      <c r="M668" s="89"/>
      <c r="N668" s="89"/>
      <c r="O668" s="89"/>
      <c r="P668" s="89"/>
      <c r="Q668" s="89"/>
      <c r="R668" s="89"/>
      <c r="S668" s="89"/>
      <c r="T668" s="89"/>
      <c r="U668" s="89"/>
      <c r="V668" s="89"/>
      <c r="W668" s="89"/>
      <c r="X668" s="89"/>
      <c r="Y668" s="89"/>
      <c r="Z668" s="89"/>
      <c r="AA668" s="89"/>
      <c r="AB668" s="89"/>
      <c r="AC668" s="89"/>
      <c r="AD668" s="89"/>
      <c r="AE668" s="89"/>
    </row>
    <row r="669">
      <c r="A669" s="445"/>
      <c r="B669" s="420"/>
      <c r="C669" s="420"/>
      <c r="D669" s="420"/>
      <c r="E669" s="420"/>
      <c r="F669" s="420"/>
      <c r="G669" s="420"/>
      <c r="H669" s="420"/>
      <c r="I669" s="89"/>
      <c r="J669" s="89"/>
      <c r="K669" s="89"/>
      <c r="L669" s="89"/>
      <c r="M669" s="89"/>
      <c r="N669" s="89"/>
      <c r="O669" s="89"/>
      <c r="P669" s="89"/>
      <c r="Q669" s="89"/>
      <c r="R669" s="89"/>
      <c r="S669" s="89"/>
      <c r="T669" s="89"/>
      <c r="U669" s="89"/>
      <c r="V669" s="89"/>
      <c r="W669" s="89"/>
      <c r="X669" s="89"/>
      <c r="Y669" s="89"/>
      <c r="Z669" s="89"/>
      <c r="AA669" s="89"/>
      <c r="AB669" s="89"/>
      <c r="AC669" s="89"/>
      <c r="AD669" s="89"/>
      <c r="AE669" s="89"/>
    </row>
    <row r="670">
      <c r="A670" s="445"/>
      <c r="B670" s="420"/>
      <c r="C670" s="420"/>
      <c r="D670" s="420"/>
      <c r="E670" s="420"/>
      <c r="F670" s="420"/>
      <c r="G670" s="420"/>
      <c r="H670" s="420"/>
      <c r="I670" s="89"/>
      <c r="J670" s="89"/>
      <c r="K670" s="89"/>
      <c r="L670" s="89"/>
      <c r="M670" s="89"/>
      <c r="N670" s="89"/>
      <c r="O670" s="89"/>
      <c r="P670" s="89"/>
      <c r="Q670" s="89"/>
      <c r="R670" s="89"/>
      <c r="S670" s="89"/>
      <c r="T670" s="89"/>
      <c r="U670" s="89"/>
      <c r="V670" s="89"/>
      <c r="W670" s="89"/>
      <c r="X670" s="89"/>
      <c r="Y670" s="89"/>
      <c r="Z670" s="89"/>
      <c r="AA670" s="89"/>
      <c r="AB670" s="89"/>
      <c r="AC670" s="89"/>
      <c r="AD670" s="89"/>
      <c r="AE670" s="89"/>
    </row>
    <row r="671">
      <c r="A671" s="445"/>
      <c r="B671" s="420"/>
      <c r="C671" s="420"/>
      <c r="D671" s="420"/>
      <c r="E671" s="420"/>
      <c r="F671" s="420"/>
      <c r="G671" s="420"/>
      <c r="H671" s="420"/>
      <c r="I671" s="89"/>
      <c r="J671" s="89"/>
      <c r="K671" s="89"/>
      <c r="L671" s="89"/>
      <c r="M671" s="89"/>
      <c r="N671" s="89"/>
      <c r="O671" s="89"/>
      <c r="P671" s="89"/>
      <c r="Q671" s="89"/>
      <c r="R671" s="89"/>
      <c r="S671" s="89"/>
      <c r="T671" s="89"/>
      <c r="U671" s="89"/>
      <c r="V671" s="89"/>
      <c r="W671" s="89"/>
      <c r="X671" s="89"/>
      <c r="Y671" s="89"/>
      <c r="Z671" s="89"/>
      <c r="AA671" s="89"/>
      <c r="AB671" s="89"/>
      <c r="AC671" s="89"/>
      <c r="AD671" s="89"/>
      <c r="AE671" s="89"/>
    </row>
    <row r="672">
      <c r="A672" s="445"/>
      <c r="B672" s="420"/>
      <c r="C672" s="420"/>
      <c r="D672" s="420"/>
      <c r="E672" s="420"/>
      <c r="F672" s="420"/>
      <c r="G672" s="420"/>
      <c r="H672" s="420"/>
      <c r="I672" s="89"/>
      <c r="J672" s="89"/>
      <c r="K672" s="89"/>
      <c r="L672" s="89"/>
      <c r="M672" s="89"/>
      <c r="N672" s="89"/>
      <c r="O672" s="89"/>
      <c r="P672" s="89"/>
      <c r="Q672" s="89"/>
      <c r="R672" s="89"/>
      <c r="S672" s="89"/>
      <c r="T672" s="89"/>
      <c r="U672" s="89"/>
      <c r="V672" s="89"/>
      <c r="W672" s="89"/>
      <c r="X672" s="89"/>
      <c r="Y672" s="89"/>
      <c r="Z672" s="89"/>
      <c r="AA672" s="89"/>
      <c r="AB672" s="89"/>
      <c r="AC672" s="89"/>
      <c r="AD672" s="89"/>
      <c r="AE672" s="89"/>
    </row>
    <row r="673">
      <c r="A673" s="445"/>
      <c r="B673" s="420"/>
      <c r="C673" s="420"/>
      <c r="D673" s="420"/>
      <c r="E673" s="420"/>
      <c r="F673" s="420"/>
      <c r="G673" s="420"/>
      <c r="H673" s="420"/>
      <c r="I673" s="89"/>
      <c r="J673" s="89"/>
      <c r="K673" s="89"/>
      <c r="L673" s="89"/>
      <c r="M673" s="89"/>
      <c r="N673" s="89"/>
      <c r="O673" s="89"/>
      <c r="P673" s="89"/>
      <c r="Q673" s="89"/>
      <c r="R673" s="89"/>
      <c r="S673" s="89"/>
      <c r="T673" s="89"/>
      <c r="U673" s="89"/>
      <c r="V673" s="89"/>
      <c r="W673" s="89"/>
      <c r="X673" s="89"/>
      <c r="Y673" s="89"/>
      <c r="Z673" s="89"/>
      <c r="AA673" s="89"/>
      <c r="AB673" s="89"/>
      <c r="AC673" s="89"/>
      <c r="AD673" s="89"/>
      <c r="AE673" s="89"/>
    </row>
    <row r="674">
      <c r="A674" s="445"/>
      <c r="B674" s="420"/>
      <c r="C674" s="420"/>
      <c r="D674" s="420"/>
      <c r="E674" s="420"/>
      <c r="F674" s="420"/>
      <c r="G674" s="420"/>
      <c r="H674" s="420"/>
      <c r="I674" s="89"/>
      <c r="J674" s="89"/>
      <c r="K674" s="89"/>
      <c r="L674" s="89"/>
      <c r="M674" s="89"/>
      <c r="N674" s="89"/>
      <c r="O674" s="89"/>
      <c r="P674" s="89"/>
      <c r="Q674" s="89"/>
      <c r="R674" s="89"/>
      <c r="S674" s="89"/>
      <c r="T674" s="89"/>
      <c r="U674" s="89"/>
      <c r="V674" s="89"/>
      <c r="W674" s="89"/>
      <c r="X674" s="89"/>
      <c r="Y674" s="89"/>
      <c r="Z674" s="89"/>
      <c r="AA674" s="89"/>
      <c r="AB674" s="89"/>
      <c r="AC674" s="89"/>
      <c r="AD674" s="89"/>
      <c r="AE674" s="89"/>
    </row>
    <row r="675">
      <c r="A675" s="445"/>
      <c r="B675" s="420"/>
      <c r="C675" s="420"/>
      <c r="D675" s="420"/>
      <c r="E675" s="420"/>
      <c r="F675" s="420"/>
      <c r="G675" s="420"/>
      <c r="H675" s="420"/>
      <c r="I675" s="89"/>
      <c r="J675" s="89"/>
      <c r="K675" s="89"/>
      <c r="L675" s="89"/>
      <c r="M675" s="89"/>
      <c r="N675" s="89"/>
      <c r="O675" s="89"/>
      <c r="P675" s="89"/>
      <c r="Q675" s="89"/>
      <c r="R675" s="89"/>
      <c r="S675" s="89"/>
      <c r="T675" s="89"/>
      <c r="U675" s="89"/>
      <c r="V675" s="89"/>
      <c r="W675" s="89"/>
      <c r="X675" s="89"/>
      <c r="Y675" s="89"/>
      <c r="Z675" s="89"/>
      <c r="AA675" s="89"/>
      <c r="AB675" s="89"/>
      <c r="AC675" s="89"/>
      <c r="AD675" s="89"/>
      <c r="AE675" s="89"/>
    </row>
    <row r="676">
      <c r="A676" s="445"/>
      <c r="B676" s="420"/>
      <c r="C676" s="420"/>
      <c r="D676" s="420"/>
      <c r="E676" s="420"/>
      <c r="F676" s="420"/>
      <c r="G676" s="420"/>
      <c r="H676" s="420"/>
      <c r="I676" s="89"/>
      <c r="J676" s="89"/>
      <c r="K676" s="89"/>
      <c r="L676" s="89"/>
      <c r="M676" s="89"/>
      <c r="N676" s="89"/>
      <c r="O676" s="89"/>
      <c r="P676" s="89"/>
      <c r="Q676" s="89"/>
      <c r="R676" s="89"/>
      <c r="S676" s="89"/>
      <c r="T676" s="89"/>
      <c r="U676" s="89"/>
      <c r="V676" s="89"/>
      <c r="W676" s="89"/>
      <c r="X676" s="89"/>
      <c r="Y676" s="89"/>
      <c r="Z676" s="89"/>
      <c r="AA676" s="89"/>
      <c r="AB676" s="89"/>
      <c r="AC676" s="89"/>
      <c r="AD676" s="89"/>
      <c r="AE676" s="89"/>
    </row>
    <row r="677">
      <c r="A677" s="445"/>
      <c r="B677" s="420"/>
      <c r="C677" s="420"/>
      <c r="D677" s="420"/>
      <c r="E677" s="420"/>
      <c r="F677" s="420"/>
      <c r="G677" s="420"/>
      <c r="H677" s="420"/>
      <c r="I677" s="89"/>
      <c r="J677" s="89"/>
      <c r="K677" s="89"/>
      <c r="L677" s="89"/>
      <c r="M677" s="89"/>
      <c r="N677" s="89"/>
      <c r="O677" s="89"/>
      <c r="P677" s="89"/>
      <c r="Q677" s="89"/>
      <c r="R677" s="89"/>
      <c r="S677" s="89"/>
      <c r="T677" s="89"/>
      <c r="U677" s="89"/>
      <c r="V677" s="89"/>
      <c r="W677" s="89"/>
      <c r="X677" s="89"/>
      <c r="Y677" s="89"/>
      <c r="Z677" s="89"/>
      <c r="AA677" s="89"/>
      <c r="AB677" s="89"/>
      <c r="AC677" s="89"/>
      <c r="AD677" s="89"/>
      <c r="AE677" s="89"/>
    </row>
    <row r="678">
      <c r="A678" s="445"/>
      <c r="B678" s="420"/>
      <c r="C678" s="420"/>
      <c r="D678" s="420"/>
      <c r="E678" s="420"/>
      <c r="F678" s="420"/>
      <c r="G678" s="420"/>
      <c r="H678" s="420"/>
      <c r="I678" s="89"/>
      <c r="J678" s="89"/>
      <c r="K678" s="89"/>
      <c r="L678" s="89"/>
      <c r="M678" s="89"/>
      <c r="N678" s="89"/>
      <c r="O678" s="89"/>
      <c r="P678" s="89"/>
      <c r="Q678" s="89"/>
      <c r="R678" s="89"/>
      <c r="S678" s="89"/>
      <c r="T678" s="89"/>
      <c r="U678" s="89"/>
      <c r="V678" s="89"/>
      <c r="W678" s="89"/>
      <c r="X678" s="89"/>
      <c r="Y678" s="89"/>
      <c r="Z678" s="89"/>
      <c r="AA678" s="89"/>
      <c r="AB678" s="89"/>
      <c r="AC678" s="89"/>
      <c r="AD678" s="89"/>
      <c r="AE678" s="89"/>
    </row>
    <row r="679">
      <c r="A679" s="445"/>
      <c r="B679" s="420"/>
      <c r="C679" s="420"/>
      <c r="D679" s="420"/>
      <c r="E679" s="420"/>
      <c r="F679" s="420"/>
      <c r="G679" s="420"/>
      <c r="H679" s="420"/>
      <c r="I679" s="89"/>
      <c r="J679" s="89"/>
      <c r="K679" s="89"/>
      <c r="L679" s="89"/>
      <c r="M679" s="89"/>
      <c r="N679" s="89"/>
      <c r="O679" s="89"/>
      <c r="P679" s="89"/>
      <c r="Q679" s="89"/>
      <c r="R679" s="89"/>
      <c r="S679" s="89"/>
      <c r="T679" s="89"/>
      <c r="U679" s="89"/>
      <c r="V679" s="89"/>
      <c r="W679" s="89"/>
      <c r="X679" s="89"/>
      <c r="Y679" s="89"/>
      <c r="Z679" s="89"/>
      <c r="AA679" s="89"/>
      <c r="AB679" s="89"/>
      <c r="AC679" s="89"/>
      <c r="AD679" s="89"/>
      <c r="AE679" s="89"/>
    </row>
    <row r="680">
      <c r="A680" s="445"/>
      <c r="B680" s="420"/>
      <c r="C680" s="420"/>
      <c r="D680" s="420"/>
      <c r="E680" s="420"/>
      <c r="F680" s="420"/>
      <c r="G680" s="420"/>
      <c r="H680" s="420"/>
      <c r="I680" s="89"/>
      <c r="J680" s="89"/>
      <c r="K680" s="89"/>
      <c r="L680" s="89"/>
      <c r="M680" s="89"/>
      <c r="N680" s="89"/>
      <c r="O680" s="89"/>
      <c r="P680" s="89"/>
      <c r="Q680" s="89"/>
      <c r="R680" s="89"/>
      <c r="S680" s="89"/>
      <c r="T680" s="89"/>
      <c r="U680" s="89"/>
      <c r="V680" s="89"/>
      <c r="W680" s="89"/>
      <c r="X680" s="89"/>
      <c r="Y680" s="89"/>
      <c r="Z680" s="89"/>
      <c r="AA680" s="89"/>
      <c r="AB680" s="89"/>
      <c r="AC680" s="89"/>
      <c r="AD680" s="89"/>
      <c r="AE680" s="89"/>
    </row>
    <row r="681">
      <c r="A681" s="445"/>
      <c r="B681" s="420"/>
      <c r="C681" s="420"/>
      <c r="D681" s="420"/>
      <c r="E681" s="420"/>
      <c r="F681" s="420"/>
      <c r="G681" s="420"/>
      <c r="H681" s="420"/>
      <c r="I681" s="89"/>
      <c r="J681" s="89"/>
      <c r="K681" s="89"/>
      <c r="L681" s="89"/>
      <c r="M681" s="89"/>
      <c r="N681" s="89"/>
      <c r="O681" s="89"/>
      <c r="P681" s="89"/>
      <c r="Q681" s="89"/>
      <c r="R681" s="89"/>
      <c r="S681" s="89"/>
      <c r="T681" s="89"/>
      <c r="U681" s="89"/>
      <c r="V681" s="89"/>
      <c r="W681" s="89"/>
      <c r="X681" s="89"/>
      <c r="Y681" s="89"/>
      <c r="Z681" s="89"/>
      <c r="AA681" s="89"/>
      <c r="AB681" s="89"/>
      <c r="AC681" s="89"/>
      <c r="AD681" s="89"/>
      <c r="AE681" s="89"/>
    </row>
    <row r="682">
      <c r="A682" s="445"/>
      <c r="B682" s="420"/>
      <c r="C682" s="420"/>
      <c r="D682" s="420"/>
      <c r="E682" s="420"/>
      <c r="F682" s="420"/>
      <c r="G682" s="420"/>
      <c r="H682" s="420"/>
      <c r="I682" s="89"/>
      <c r="J682" s="89"/>
      <c r="K682" s="89"/>
      <c r="L682" s="89"/>
      <c r="M682" s="89"/>
      <c r="N682" s="89"/>
      <c r="O682" s="89"/>
      <c r="P682" s="89"/>
      <c r="Q682" s="89"/>
      <c r="R682" s="89"/>
      <c r="S682" s="89"/>
      <c r="T682" s="89"/>
      <c r="U682" s="89"/>
      <c r="V682" s="89"/>
      <c r="W682" s="89"/>
      <c r="X682" s="89"/>
      <c r="Y682" s="89"/>
      <c r="Z682" s="89"/>
      <c r="AA682" s="89"/>
      <c r="AB682" s="89"/>
      <c r="AC682" s="89"/>
      <c r="AD682" s="89"/>
      <c r="AE682" s="89"/>
    </row>
    <row r="683">
      <c r="A683" s="445"/>
      <c r="B683" s="420"/>
      <c r="C683" s="420"/>
      <c r="D683" s="420"/>
      <c r="E683" s="420"/>
      <c r="F683" s="420"/>
      <c r="G683" s="420"/>
      <c r="H683" s="420"/>
      <c r="I683" s="89"/>
      <c r="J683" s="89"/>
      <c r="K683" s="89"/>
      <c r="L683" s="89"/>
      <c r="M683" s="89"/>
      <c r="N683" s="89"/>
      <c r="O683" s="89"/>
      <c r="P683" s="89"/>
      <c r="Q683" s="89"/>
      <c r="R683" s="89"/>
      <c r="S683" s="89"/>
      <c r="T683" s="89"/>
      <c r="U683" s="89"/>
      <c r="V683" s="89"/>
      <c r="W683" s="89"/>
      <c r="X683" s="89"/>
      <c r="Y683" s="89"/>
      <c r="Z683" s="89"/>
      <c r="AA683" s="89"/>
      <c r="AB683" s="89"/>
      <c r="AC683" s="89"/>
      <c r="AD683" s="89"/>
      <c r="AE683" s="89"/>
    </row>
    <row r="684">
      <c r="A684" s="445"/>
      <c r="B684" s="420"/>
      <c r="C684" s="420"/>
      <c r="D684" s="420"/>
      <c r="E684" s="420"/>
      <c r="F684" s="420"/>
      <c r="G684" s="420"/>
      <c r="H684" s="420"/>
      <c r="I684" s="89"/>
      <c r="J684" s="89"/>
      <c r="K684" s="89"/>
      <c r="L684" s="89"/>
      <c r="M684" s="89"/>
      <c r="N684" s="89"/>
      <c r="O684" s="89"/>
      <c r="P684" s="89"/>
      <c r="Q684" s="89"/>
      <c r="R684" s="89"/>
      <c r="S684" s="89"/>
      <c r="T684" s="89"/>
      <c r="U684" s="89"/>
      <c r="V684" s="89"/>
      <c r="W684" s="89"/>
      <c r="X684" s="89"/>
      <c r="Y684" s="89"/>
      <c r="Z684" s="89"/>
      <c r="AA684" s="89"/>
      <c r="AB684" s="89"/>
      <c r="AC684" s="89"/>
      <c r="AD684" s="89"/>
      <c r="AE684" s="89"/>
    </row>
    <row r="685">
      <c r="A685" s="445"/>
      <c r="B685" s="420"/>
      <c r="C685" s="420"/>
      <c r="D685" s="420"/>
      <c r="E685" s="420"/>
      <c r="F685" s="420"/>
      <c r="G685" s="420"/>
      <c r="H685" s="420"/>
      <c r="I685" s="89"/>
      <c r="J685" s="89"/>
      <c r="K685" s="89"/>
      <c r="L685" s="89"/>
      <c r="M685" s="89"/>
      <c r="N685" s="89"/>
      <c r="O685" s="89"/>
      <c r="P685" s="89"/>
      <c r="Q685" s="89"/>
      <c r="R685" s="89"/>
      <c r="S685" s="89"/>
      <c r="T685" s="89"/>
      <c r="U685" s="89"/>
      <c r="V685" s="89"/>
      <c r="W685" s="89"/>
      <c r="X685" s="89"/>
      <c r="Y685" s="89"/>
      <c r="Z685" s="89"/>
      <c r="AA685" s="89"/>
      <c r="AB685" s="89"/>
      <c r="AC685" s="89"/>
      <c r="AD685" s="89"/>
      <c r="AE685" s="89"/>
    </row>
    <row r="686">
      <c r="A686" s="445"/>
      <c r="B686" s="420"/>
      <c r="C686" s="420"/>
      <c r="D686" s="420"/>
      <c r="E686" s="420"/>
      <c r="F686" s="420"/>
      <c r="G686" s="420"/>
      <c r="H686" s="420"/>
      <c r="I686" s="89"/>
      <c r="J686" s="89"/>
      <c r="K686" s="89"/>
      <c r="L686" s="89"/>
      <c r="M686" s="89"/>
      <c r="N686" s="89"/>
      <c r="O686" s="89"/>
      <c r="P686" s="89"/>
      <c r="Q686" s="89"/>
      <c r="R686" s="89"/>
      <c r="S686" s="89"/>
      <c r="T686" s="89"/>
      <c r="U686" s="89"/>
      <c r="V686" s="89"/>
      <c r="W686" s="89"/>
      <c r="X686" s="89"/>
      <c r="Y686" s="89"/>
      <c r="Z686" s="89"/>
      <c r="AA686" s="89"/>
      <c r="AB686" s="89"/>
      <c r="AC686" s="89"/>
      <c r="AD686" s="89"/>
      <c r="AE686" s="89"/>
    </row>
    <row r="687">
      <c r="A687" s="445"/>
      <c r="B687" s="420"/>
      <c r="C687" s="420"/>
      <c r="D687" s="420"/>
      <c r="E687" s="420"/>
      <c r="F687" s="420"/>
      <c r="G687" s="420"/>
      <c r="H687" s="420"/>
      <c r="I687" s="89"/>
      <c r="J687" s="89"/>
      <c r="K687" s="89"/>
      <c r="L687" s="89"/>
      <c r="M687" s="89"/>
      <c r="N687" s="89"/>
      <c r="O687" s="89"/>
      <c r="P687" s="89"/>
      <c r="Q687" s="89"/>
      <c r="R687" s="89"/>
      <c r="S687" s="89"/>
      <c r="T687" s="89"/>
      <c r="U687" s="89"/>
      <c r="V687" s="89"/>
      <c r="W687" s="89"/>
      <c r="X687" s="89"/>
      <c r="Y687" s="89"/>
      <c r="Z687" s="89"/>
      <c r="AA687" s="89"/>
      <c r="AB687" s="89"/>
      <c r="AC687" s="89"/>
      <c r="AD687" s="89"/>
      <c r="AE687" s="89"/>
    </row>
    <row r="688">
      <c r="A688" s="445"/>
      <c r="B688" s="420"/>
      <c r="C688" s="420"/>
      <c r="D688" s="420"/>
      <c r="E688" s="420"/>
      <c r="F688" s="420"/>
      <c r="G688" s="420"/>
      <c r="H688" s="420"/>
      <c r="I688" s="89"/>
      <c r="J688" s="89"/>
      <c r="K688" s="89"/>
      <c r="L688" s="89"/>
      <c r="M688" s="89"/>
      <c r="N688" s="89"/>
      <c r="O688" s="89"/>
      <c r="P688" s="89"/>
      <c r="Q688" s="89"/>
      <c r="R688" s="89"/>
      <c r="S688" s="89"/>
      <c r="T688" s="89"/>
      <c r="U688" s="89"/>
      <c r="V688" s="89"/>
      <c r="W688" s="89"/>
      <c r="X688" s="89"/>
      <c r="Y688" s="89"/>
      <c r="Z688" s="89"/>
      <c r="AA688" s="89"/>
      <c r="AB688" s="89"/>
      <c r="AC688" s="89"/>
      <c r="AD688" s="89"/>
      <c r="AE688" s="89"/>
    </row>
    <row r="689">
      <c r="A689" s="445"/>
      <c r="B689" s="420"/>
      <c r="C689" s="420"/>
      <c r="D689" s="420"/>
      <c r="E689" s="420"/>
      <c r="F689" s="420"/>
      <c r="G689" s="420"/>
      <c r="H689" s="420"/>
      <c r="I689" s="89"/>
      <c r="J689" s="89"/>
      <c r="K689" s="89"/>
      <c r="L689" s="89"/>
      <c r="M689" s="89"/>
      <c r="N689" s="89"/>
      <c r="O689" s="89"/>
      <c r="P689" s="89"/>
      <c r="Q689" s="89"/>
      <c r="R689" s="89"/>
      <c r="S689" s="89"/>
      <c r="T689" s="89"/>
      <c r="U689" s="89"/>
      <c r="V689" s="89"/>
      <c r="W689" s="89"/>
      <c r="X689" s="89"/>
      <c r="Y689" s="89"/>
      <c r="Z689" s="89"/>
      <c r="AA689" s="89"/>
      <c r="AB689" s="89"/>
      <c r="AC689" s="89"/>
      <c r="AD689" s="89"/>
      <c r="AE689" s="89"/>
    </row>
    <row r="690">
      <c r="A690" s="445"/>
      <c r="B690" s="420"/>
      <c r="C690" s="420"/>
      <c r="D690" s="420"/>
      <c r="E690" s="420"/>
      <c r="F690" s="420"/>
      <c r="G690" s="420"/>
      <c r="H690" s="420"/>
      <c r="I690" s="89"/>
      <c r="J690" s="89"/>
      <c r="K690" s="89"/>
      <c r="L690" s="89"/>
      <c r="M690" s="89"/>
      <c r="N690" s="89"/>
      <c r="O690" s="89"/>
      <c r="P690" s="89"/>
      <c r="Q690" s="89"/>
      <c r="R690" s="89"/>
      <c r="S690" s="89"/>
      <c r="T690" s="89"/>
      <c r="U690" s="89"/>
      <c r="V690" s="89"/>
      <c r="W690" s="89"/>
      <c r="X690" s="89"/>
      <c r="Y690" s="89"/>
      <c r="Z690" s="89"/>
      <c r="AA690" s="89"/>
      <c r="AB690" s="89"/>
      <c r="AC690" s="89"/>
      <c r="AD690" s="89"/>
      <c r="AE690" s="89"/>
    </row>
    <row r="691">
      <c r="A691" s="445"/>
      <c r="B691" s="420"/>
      <c r="C691" s="420"/>
      <c r="D691" s="420"/>
      <c r="E691" s="420"/>
      <c r="F691" s="420"/>
      <c r="G691" s="420"/>
      <c r="H691" s="420"/>
      <c r="I691" s="89"/>
      <c r="J691" s="89"/>
      <c r="K691" s="89"/>
      <c r="L691" s="89"/>
      <c r="M691" s="89"/>
      <c r="N691" s="89"/>
      <c r="O691" s="89"/>
      <c r="P691" s="89"/>
      <c r="Q691" s="89"/>
      <c r="R691" s="89"/>
      <c r="S691" s="89"/>
      <c r="T691" s="89"/>
      <c r="U691" s="89"/>
      <c r="V691" s="89"/>
      <c r="W691" s="89"/>
      <c r="X691" s="89"/>
      <c r="Y691" s="89"/>
      <c r="Z691" s="89"/>
      <c r="AA691" s="89"/>
      <c r="AB691" s="89"/>
      <c r="AC691" s="89"/>
      <c r="AD691" s="89"/>
      <c r="AE691" s="89"/>
    </row>
    <row r="692">
      <c r="A692" s="445"/>
      <c r="B692" s="420"/>
      <c r="C692" s="420"/>
      <c r="D692" s="420"/>
      <c r="E692" s="420"/>
      <c r="F692" s="420"/>
      <c r="G692" s="420"/>
      <c r="H692" s="420"/>
      <c r="I692" s="89"/>
      <c r="J692" s="89"/>
      <c r="K692" s="89"/>
      <c r="L692" s="89"/>
      <c r="M692" s="89"/>
      <c r="N692" s="89"/>
      <c r="O692" s="89"/>
      <c r="P692" s="89"/>
      <c r="Q692" s="89"/>
      <c r="R692" s="89"/>
      <c r="S692" s="89"/>
      <c r="T692" s="89"/>
      <c r="U692" s="89"/>
      <c r="V692" s="89"/>
      <c r="W692" s="89"/>
      <c r="X692" s="89"/>
      <c r="Y692" s="89"/>
      <c r="Z692" s="89"/>
      <c r="AA692" s="89"/>
      <c r="AB692" s="89"/>
      <c r="AC692" s="89"/>
      <c r="AD692" s="89"/>
      <c r="AE692" s="89"/>
    </row>
    <row r="693">
      <c r="A693" s="445"/>
      <c r="B693" s="420"/>
      <c r="C693" s="420"/>
      <c r="D693" s="420"/>
      <c r="E693" s="420"/>
      <c r="F693" s="420"/>
      <c r="G693" s="420"/>
      <c r="H693" s="420"/>
      <c r="I693" s="89"/>
      <c r="J693" s="89"/>
      <c r="K693" s="89"/>
      <c r="L693" s="89"/>
      <c r="M693" s="89"/>
      <c r="N693" s="89"/>
      <c r="O693" s="89"/>
      <c r="P693" s="89"/>
      <c r="Q693" s="89"/>
      <c r="R693" s="89"/>
      <c r="S693" s="89"/>
      <c r="T693" s="89"/>
      <c r="U693" s="89"/>
      <c r="V693" s="89"/>
      <c r="W693" s="89"/>
      <c r="X693" s="89"/>
      <c r="Y693" s="89"/>
      <c r="Z693" s="89"/>
      <c r="AA693" s="89"/>
      <c r="AB693" s="89"/>
      <c r="AC693" s="89"/>
      <c r="AD693" s="89"/>
      <c r="AE693" s="89"/>
    </row>
    <row r="694">
      <c r="A694" s="445"/>
      <c r="B694" s="420"/>
      <c r="C694" s="420"/>
      <c r="D694" s="420"/>
      <c r="E694" s="420"/>
      <c r="F694" s="420"/>
      <c r="G694" s="420"/>
      <c r="H694" s="420"/>
      <c r="I694" s="89"/>
      <c r="J694" s="89"/>
      <c r="K694" s="89"/>
      <c r="L694" s="89"/>
      <c r="M694" s="89"/>
      <c r="N694" s="89"/>
      <c r="O694" s="89"/>
      <c r="P694" s="89"/>
      <c r="Q694" s="89"/>
      <c r="R694" s="89"/>
      <c r="S694" s="89"/>
      <c r="T694" s="89"/>
      <c r="U694" s="89"/>
      <c r="V694" s="89"/>
      <c r="W694" s="89"/>
      <c r="X694" s="89"/>
      <c r="Y694" s="89"/>
      <c r="Z694" s="89"/>
      <c r="AA694" s="89"/>
      <c r="AB694" s="89"/>
      <c r="AC694" s="89"/>
      <c r="AD694" s="89"/>
      <c r="AE694" s="89"/>
    </row>
    <row r="695">
      <c r="A695" s="445"/>
      <c r="B695" s="420"/>
      <c r="C695" s="420"/>
      <c r="D695" s="420"/>
      <c r="E695" s="420"/>
      <c r="F695" s="420"/>
      <c r="G695" s="420"/>
      <c r="H695" s="420"/>
      <c r="I695" s="89"/>
      <c r="J695" s="89"/>
      <c r="K695" s="89"/>
      <c r="L695" s="89"/>
      <c r="M695" s="89"/>
      <c r="N695" s="89"/>
      <c r="O695" s="89"/>
      <c r="P695" s="89"/>
      <c r="Q695" s="89"/>
      <c r="R695" s="89"/>
      <c r="S695" s="89"/>
      <c r="T695" s="89"/>
      <c r="U695" s="89"/>
      <c r="V695" s="89"/>
      <c r="W695" s="89"/>
      <c r="X695" s="89"/>
      <c r="Y695" s="89"/>
      <c r="Z695" s="89"/>
      <c r="AA695" s="89"/>
      <c r="AB695" s="89"/>
      <c r="AC695" s="89"/>
      <c r="AD695" s="89"/>
      <c r="AE695" s="89"/>
    </row>
    <row r="696">
      <c r="A696" s="445"/>
      <c r="B696" s="420"/>
      <c r="C696" s="420"/>
      <c r="D696" s="420"/>
      <c r="E696" s="420"/>
      <c r="F696" s="420"/>
      <c r="G696" s="420"/>
      <c r="H696" s="420"/>
      <c r="I696" s="89"/>
      <c r="J696" s="89"/>
      <c r="K696" s="89"/>
      <c r="L696" s="89"/>
      <c r="M696" s="89"/>
      <c r="N696" s="89"/>
      <c r="O696" s="89"/>
      <c r="P696" s="89"/>
      <c r="Q696" s="89"/>
      <c r="R696" s="89"/>
      <c r="S696" s="89"/>
      <c r="T696" s="89"/>
      <c r="U696" s="89"/>
      <c r="V696" s="89"/>
      <c r="W696" s="89"/>
      <c r="X696" s="89"/>
      <c r="Y696" s="89"/>
      <c r="Z696" s="89"/>
      <c r="AA696" s="89"/>
      <c r="AB696" s="89"/>
      <c r="AC696" s="89"/>
      <c r="AD696" s="89"/>
      <c r="AE696" s="89"/>
    </row>
    <row r="697">
      <c r="A697" s="445"/>
      <c r="B697" s="420"/>
      <c r="C697" s="420"/>
      <c r="D697" s="420"/>
      <c r="E697" s="420"/>
      <c r="F697" s="420"/>
      <c r="G697" s="420"/>
      <c r="H697" s="420"/>
      <c r="I697" s="89"/>
      <c r="J697" s="89"/>
      <c r="K697" s="89"/>
      <c r="L697" s="89"/>
      <c r="M697" s="89"/>
      <c r="N697" s="89"/>
      <c r="O697" s="89"/>
      <c r="P697" s="89"/>
      <c r="Q697" s="89"/>
      <c r="R697" s="89"/>
      <c r="S697" s="89"/>
      <c r="T697" s="89"/>
      <c r="U697" s="89"/>
      <c r="V697" s="89"/>
      <c r="W697" s="89"/>
      <c r="X697" s="89"/>
      <c r="Y697" s="89"/>
      <c r="Z697" s="89"/>
      <c r="AA697" s="89"/>
      <c r="AB697" s="89"/>
      <c r="AC697" s="89"/>
      <c r="AD697" s="89"/>
      <c r="AE697" s="89"/>
    </row>
    <row r="698">
      <c r="A698" s="445"/>
      <c r="B698" s="420"/>
      <c r="C698" s="420"/>
      <c r="D698" s="420"/>
      <c r="E698" s="420"/>
      <c r="F698" s="420"/>
      <c r="G698" s="420"/>
      <c r="H698" s="420"/>
      <c r="I698" s="89"/>
      <c r="J698" s="89"/>
      <c r="K698" s="89"/>
      <c r="L698" s="89"/>
      <c r="M698" s="89"/>
      <c r="N698" s="89"/>
      <c r="O698" s="89"/>
      <c r="P698" s="89"/>
      <c r="Q698" s="89"/>
      <c r="R698" s="89"/>
      <c r="S698" s="89"/>
      <c r="T698" s="89"/>
      <c r="U698" s="89"/>
      <c r="V698" s="89"/>
      <c r="W698" s="89"/>
      <c r="X698" s="89"/>
      <c r="Y698" s="89"/>
      <c r="Z698" s="89"/>
      <c r="AA698" s="89"/>
      <c r="AB698" s="89"/>
      <c r="AC698" s="89"/>
      <c r="AD698" s="89"/>
      <c r="AE698" s="89"/>
    </row>
    <row r="699">
      <c r="A699" s="445"/>
      <c r="B699" s="420"/>
      <c r="C699" s="420"/>
      <c r="D699" s="420"/>
      <c r="E699" s="420"/>
      <c r="F699" s="420"/>
      <c r="G699" s="420"/>
      <c r="H699" s="420"/>
      <c r="I699" s="89"/>
      <c r="J699" s="89"/>
      <c r="K699" s="89"/>
      <c r="L699" s="89"/>
      <c r="M699" s="89"/>
      <c r="N699" s="89"/>
      <c r="O699" s="89"/>
      <c r="P699" s="89"/>
      <c r="Q699" s="89"/>
      <c r="R699" s="89"/>
      <c r="S699" s="89"/>
      <c r="T699" s="89"/>
      <c r="U699" s="89"/>
      <c r="V699" s="89"/>
      <c r="W699" s="89"/>
      <c r="X699" s="89"/>
      <c r="Y699" s="89"/>
      <c r="Z699" s="89"/>
      <c r="AA699" s="89"/>
      <c r="AB699" s="89"/>
      <c r="AC699" s="89"/>
      <c r="AD699" s="89"/>
      <c r="AE699" s="89"/>
    </row>
    <row r="700">
      <c r="A700" s="445"/>
      <c r="B700" s="420"/>
      <c r="C700" s="420"/>
      <c r="D700" s="420"/>
      <c r="E700" s="420"/>
      <c r="F700" s="420"/>
      <c r="G700" s="420"/>
      <c r="H700" s="420"/>
      <c r="I700" s="89"/>
      <c r="J700" s="89"/>
      <c r="K700" s="89"/>
      <c r="L700" s="89"/>
      <c r="M700" s="89"/>
      <c r="N700" s="89"/>
      <c r="O700" s="89"/>
      <c r="P700" s="89"/>
      <c r="Q700" s="89"/>
      <c r="R700" s="89"/>
      <c r="S700" s="89"/>
      <c r="T700" s="89"/>
      <c r="U700" s="89"/>
      <c r="V700" s="89"/>
      <c r="W700" s="89"/>
      <c r="X700" s="89"/>
      <c r="Y700" s="89"/>
      <c r="Z700" s="89"/>
      <c r="AA700" s="89"/>
      <c r="AB700" s="89"/>
      <c r="AC700" s="89"/>
      <c r="AD700" s="89"/>
      <c r="AE700" s="89"/>
    </row>
    <row r="701">
      <c r="A701" s="445"/>
      <c r="B701" s="420"/>
      <c r="C701" s="420"/>
      <c r="D701" s="420"/>
      <c r="E701" s="420"/>
      <c r="F701" s="420"/>
      <c r="G701" s="420"/>
      <c r="H701" s="420"/>
      <c r="I701" s="89"/>
      <c r="J701" s="89"/>
      <c r="K701" s="89"/>
      <c r="L701" s="89"/>
      <c r="M701" s="89"/>
      <c r="N701" s="89"/>
      <c r="O701" s="89"/>
      <c r="P701" s="89"/>
      <c r="Q701" s="89"/>
      <c r="R701" s="89"/>
      <c r="S701" s="89"/>
      <c r="T701" s="89"/>
      <c r="U701" s="89"/>
      <c r="V701" s="89"/>
      <c r="W701" s="89"/>
      <c r="X701" s="89"/>
      <c r="Y701" s="89"/>
      <c r="Z701" s="89"/>
      <c r="AA701" s="89"/>
      <c r="AB701" s="89"/>
      <c r="AC701" s="89"/>
      <c r="AD701" s="89"/>
      <c r="AE701" s="89"/>
    </row>
    <row r="702">
      <c r="A702" s="445"/>
      <c r="B702" s="420"/>
      <c r="C702" s="420"/>
      <c r="D702" s="420"/>
      <c r="E702" s="420"/>
      <c r="F702" s="420"/>
      <c r="G702" s="420"/>
      <c r="H702" s="420"/>
      <c r="I702" s="89"/>
      <c r="J702" s="89"/>
      <c r="K702" s="89"/>
      <c r="L702" s="89"/>
      <c r="M702" s="89"/>
      <c r="N702" s="89"/>
      <c r="O702" s="89"/>
      <c r="P702" s="89"/>
      <c r="Q702" s="89"/>
      <c r="R702" s="89"/>
      <c r="S702" s="89"/>
      <c r="T702" s="89"/>
      <c r="U702" s="89"/>
      <c r="V702" s="89"/>
      <c r="W702" s="89"/>
      <c r="X702" s="89"/>
      <c r="Y702" s="89"/>
      <c r="Z702" s="89"/>
      <c r="AA702" s="89"/>
      <c r="AB702" s="89"/>
      <c r="AC702" s="89"/>
      <c r="AD702" s="89"/>
      <c r="AE702" s="89"/>
    </row>
    <row r="703">
      <c r="A703" s="445"/>
      <c r="B703" s="420"/>
      <c r="C703" s="420"/>
      <c r="D703" s="420"/>
      <c r="E703" s="420"/>
      <c r="F703" s="420"/>
      <c r="G703" s="420"/>
      <c r="H703" s="420"/>
      <c r="I703" s="89"/>
      <c r="J703" s="89"/>
      <c r="K703" s="89"/>
      <c r="L703" s="89"/>
      <c r="M703" s="89"/>
      <c r="N703" s="89"/>
      <c r="O703" s="89"/>
      <c r="P703" s="89"/>
      <c r="Q703" s="89"/>
      <c r="R703" s="89"/>
      <c r="S703" s="89"/>
      <c r="T703" s="89"/>
      <c r="U703" s="89"/>
      <c r="V703" s="89"/>
      <c r="W703" s="89"/>
      <c r="X703" s="89"/>
      <c r="Y703" s="89"/>
      <c r="Z703" s="89"/>
      <c r="AA703" s="89"/>
      <c r="AB703" s="89"/>
      <c r="AC703" s="89"/>
      <c r="AD703" s="89"/>
      <c r="AE703" s="89"/>
    </row>
    <row r="704">
      <c r="A704" s="445"/>
      <c r="B704" s="420"/>
      <c r="C704" s="420"/>
      <c r="D704" s="420"/>
      <c r="E704" s="420"/>
      <c r="F704" s="420"/>
      <c r="G704" s="420"/>
      <c r="H704" s="420"/>
      <c r="I704" s="89"/>
      <c r="J704" s="89"/>
      <c r="K704" s="89"/>
      <c r="L704" s="89"/>
      <c r="M704" s="89"/>
      <c r="N704" s="89"/>
      <c r="O704" s="89"/>
      <c r="P704" s="89"/>
      <c r="Q704" s="89"/>
      <c r="R704" s="89"/>
      <c r="S704" s="89"/>
      <c r="T704" s="89"/>
      <c r="U704" s="89"/>
      <c r="V704" s="89"/>
      <c r="W704" s="89"/>
      <c r="X704" s="89"/>
      <c r="Y704" s="89"/>
      <c r="Z704" s="89"/>
      <c r="AA704" s="89"/>
      <c r="AB704" s="89"/>
      <c r="AC704" s="89"/>
      <c r="AD704" s="89"/>
      <c r="AE704" s="89"/>
    </row>
    <row r="705">
      <c r="A705" s="445"/>
      <c r="B705" s="420"/>
      <c r="C705" s="420"/>
      <c r="D705" s="420"/>
      <c r="E705" s="420"/>
      <c r="F705" s="420"/>
      <c r="G705" s="420"/>
      <c r="H705" s="420"/>
      <c r="I705" s="89"/>
      <c r="J705" s="89"/>
      <c r="K705" s="89"/>
      <c r="L705" s="89"/>
      <c r="M705" s="89"/>
      <c r="N705" s="89"/>
      <c r="O705" s="89"/>
      <c r="P705" s="89"/>
      <c r="Q705" s="89"/>
      <c r="R705" s="89"/>
      <c r="S705" s="89"/>
      <c r="T705" s="89"/>
      <c r="U705" s="89"/>
      <c r="V705" s="89"/>
      <c r="W705" s="89"/>
      <c r="X705" s="89"/>
      <c r="Y705" s="89"/>
      <c r="Z705" s="89"/>
      <c r="AA705" s="89"/>
      <c r="AB705" s="89"/>
      <c r="AC705" s="89"/>
      <c r="AD705" s="89"/>
      <c r="AE705" s="89"/>
    </row>
    <row r="706">
      <c r="A706" s="445"/>
      <c r="B706" s="420"/>
      <c r="C706" s="420"/>
      <c r="D706" s="420"/>
      <c r="E706" s="420"/>
      <c r="F706" s="420"/>
      <c r="G706" s="420"/>
      <c r="H706" s="420"/>
      <c r="I706" s="89"/>
      <c r="J706" s="89"/>
      <c r="K706" s="89"/>
      <c r="L706" s="89"/>
      <c r="M706" s="89"/>
      <c r="N706" s="89"/>
      <c r="O706" s="89"/>
      <c r="P706" s="89"/>
      <c r="Q706" s="89"/>
      <c r="R706" s="89"/>
      <c r="S706" s="89"/>
      <c r="T706" s="89"/>
      <c r="U706" s="89"/>
      <c r="V706" s="89"/>
      <c r="W706" s="89"/>
      <c r="X706" s="89"/>
      <c r="Y706" s="89"/>
      <c r="Z706" s="89"/>
      <c r="AA706" s="89"/>
      <c r="AB706" s="89"/>
      <c r="AC706" s="89"/>
      <c r="AD706" s="89"/>
      <c r="AE706" s="89"/>
    </row>
    <row r="707">
      <c r="A707" s="445"/>
      <c r="B707" s="420"/>
      <c r="C707" s="420"/>
      <c r="D707" s="420"/>
      <c r="E707" s="420"/>
      <c r="F707" s="420"/>
      <c r="G707" s="420"/>
      <c r="H707" s="420"/>
      <c r="I707" s="89"/>
      <c r="J707" s="89"/>
      <c r="K707" s="89"/>
      <c r="L707" s="89"/>
      <c r="M707" s="89"/>
      <c r="N707" s="89"/>
      <c r="O707" s="89"/>
      <c r="P707" s="89"/>
      <c r="Q707" s="89"/>
      <c r="R707" s="89"/>
      <c r="S707" s="89"/>
      <c r="T707" s="89"/>
      <c r="U707" s="89"/>
      <c r="V707" s="89"/>
      <c r="W707" s="89"/>
      <c r="X707" s="89"/>
      <c r="Y707" s="89"/>
      <c r="Z707" s="89"/>
      <c r="AA707" s="89"/>
      <c r="AB707" s="89"/>
      <c r="AC707" s="89"/>
      <c r="AD707" s="89"/>
      <c r="AE707" s="89"/>
    </row>
    <row r="708">
      <c r="A708" s="445"/>
      <c r="B708" s="420"/>
      <c r="C708" s="420"/>
      <c r="D708" s="420"/>
      <c r="E708" s="420"/>
      <c r="F708" s="420"/>
      <c r="G708" s="420"/>
      <c r="H708" s="420"/>
      <c r="I708" s="89"/>
      <c r="J708" s="89"/>
      <c r="K708" s="89"/>
      <c r="L708" s="89"/>
      <c r="M708" s="89"/>
      <c r="N708" s="89"/>
      <c r="O708" s="89"/>
      <c r="P708" s="89"/>
      <c r="Q708" s="89"/>
      <c r="R708" s="89"/>
      <c r="S708" s="89"/>
      <c r="T708" s="89"/>
      <c r="U708" s="89"/>
      <c r="V708" s="89"/>
      <c r="W708" s="89"/>
      <c r="X708" s="89"/>
      <c r="Y708" s="89"/>
      <c r="Z708" s="89"/>
      <c r="AA708" s="89"/>
      <c r="AB708" s="89"/>
      <c r="AC708" s="89"/>
      <c r="AD708" s="89"/>
      <c r="AE708" s="89"/>
    </row>
    <row r="709">
      <c r="A709" s="445"/>
      <c r="B709" s="420"/>
      <c r="C709" s="420"/>
      <c r="D709" s="420"/>
      <c r="E709" s="420"/>
      <c r="F709" s="420"/>
      <c r="G709" s="420"/>
      <c r="H709" s="420"/>
      <c r="I709" s="89"/>
      <c r="J709" s="89"/>
      <c r="K709" s="89"/>
      <c r="L709" s="89"/>
      <c r="M709" s="89"/>
      <c r="N709" s="89"/>
      <c r="O709" s="89"/>
      <c r="P709" s="89"/>
      <c r="Q709" s="89"/>
      <c r="R709" s="89"/>
      <c r="S709" s="89"/>
      <c r="T709" s="89"/>
      <c r="U709" s="89"/>
      <c r="V709" s="89"/>
      <c r="W709" s="89"/>
      <c r="X709" s="89"/>
      <c r="Y709" s="89"/>
      <c r="Z709" s="89"/>
      <c r="AA709" s="89"/>
      <c r="AB709" s="89"/>
      <c r="AC709" s="89"/>
      <c r="AD709" s="89"/>
      <c r="AE709" s="89"/>
    </row>
    <row r="710">
      <c r="A710" s="445"/>
      <c r="B710" s="420"/>
      <c r="C710" s="420"/>
      <c r="D710" s="420"/>
      <c r="E710" s="420"/>
      <c r="F710" s="420"/>
      <c r="G710" s="420"/>
      <c r="H710" s="420"/>
      <c r="I710" s="89"/>
      <c r="J710" s="89"/>
      <c r="K710" s="89"/>
      <c r="L710" s="89"/>
      <c r="M710" s="89"/>
      <c r="N710" s="89"/>
      <c r="O710" s="89"/>
      <c r="P710" s="89"/>
      <c r="Q710" s="89"/>
      <c r="R710" s="89"/>
      <c r="S710" s="89"/>
      <c r="T710" s="89"/>
      <c r="U710" s="89"/>
      <c r="V710" s="89"/>
      <c r="W710" s="89"/>
      <c r="X710" s="89"/>
      <c r="Y710" s="89"/>
      <c r="Z710" s="89"/>
      <c r="AA710" s="89"/>
      <c r="AB710" s="89"/>
      <c r="AC710" s="89"/>
      <c r="AD710" s="89"/>
      <c r="AE710" s="89"/>
    </row>
    <row r="711">
      <c r="A711" s="445"/>
      <c r="B711" s="420"/>
      <c r="C711" s="420"/>
      <c r="D711" s="420"/>
      <c r="E711" s="420"/>
      <c r="F711" s="420"/>
      <c r="G711" s="420"/>
      <c r="H711" s="420"/>
      <c r="I711" s="89"/>
      <c r="J711" s="89"/>
      <c r="K711" s="89"/>
      <c r="L711" s="89"/>
      <c r="M711" s="89"/>
      <c r="N711" s="89"/>
      <c r="O711" s="89"/>
      <c r="P711" s="89"/>
      <c r="Q711" s="89"/>
      <c r="R711" s="89"/>
      <c r="S711" s="89"/>
      <c r="T711" s="89"/>
      <c r="U711" s="89"/>
      <c r="V711" s="89"/>
      <c r="W711" s="89"/>
      <c r="X711" s="89"/>
      <c r="Y711" s="89"/>
      <c r="Z711" s="89"/>
      <c r="AA711" s="89"/>
      <c r="AB711" s="89"/>
      <c r="AC711" s="89"/>
      <c r="AD711" s="89"/>
      <c r="AE711" s="89"/>
    </row>
    <row r="712">
      <c r="A712" s="445"/>
      <c r="B712" s="420"/>
      <c r="C712" s="420"/>
      <c r="D712" s="420"/>
      <c r="E712" s="420"/>
      <c r="F712" s="420"/>
      <c r="G712" s="420"/>
      <c r="H712" s="420"/>
      <c r="I712" s="89"/>
      <c r="J712" s="89"/>
      <c r="K712" s="89"/>
      <c r="L712" s="89"/>
      <c r="M712" s="89"/>
      <c r="N712" s="89"/>
      <c r="O712" s="89"/>
      <c r="P712" s="89"/>
      <c r="Q712" s="89"/>
      <c r="R712" s="89"/>
      <c r="S712" s="89"/>
      <c r="T712" s="89"/>
      <c r="U712" s="89"/>
      <c r="V712" s="89"/>
      <c r="W712" s="89"/>
      <c r="X712" s="89"/>
      <c r="Y712" s="89"/>
      <c r="Z712" s="89"/>
      <c r="AA712" s="89"/>
      <c r="AB712" s="89"/>
      <c r="AC712" s="89"/>
      <c r="AD712" s="89"/>
      <c r="AE712" s="89"/>
    </row>
    <row r="713">
      <c r="A713" s="445"/>
      <c r="B713" s="420"/>
      <c r="C713" s="420"/>
      <c r="D713" s="420"/>
      <c r="E713" s="420"/>
      <c r="F713" s="420"/>
      <c r="G713" s="420"/>
      <c r="H713" s="420"/>
      <c r="I713" s="89"/>
      <c r="J713" s="89"/>
      <c r="K713" s="89"/>
      <c r="L713" s="89"/>
      <c r="M713" s="89"/>
      <c r="N713" s="89"/>
      <c r="O713" s="89"/>
      <c r="P713" s="89"/>
      <c r="Q713" s="89"/>
      <c r="R713" s="89"/>
      <c r="S713" s="89"/>
      <c r="T713" s="89"/>
      <c r="U713" s="89"/>
      <c r="V713" s="89"/>
      <c r="W713" s="89"/>
      <c r="X713" s="89"/>
      <c r="Y713" s="89"/>
      <c r="Z713" s="89"/>
      <c r="AA713" s="89"/>
      <c r="AB713" s="89"/>
      <c r="AC713" s="89"/>
      <c r="AD713" s="89"/>
      <c r="AE713" s="89"/>
    </row>
    <row r="714">
      <c r="A714" s="445"/>
      <c r="B714" s="420"/>
      <c r="C714" s="420"/>
      <c r="D714" s="420"/>
      <c r="E714" s="420"/>
      <c r="F714" s="420"/>
      <c r="G714" s="420"/>
      <c r="H714" s="420"/>
      <c r="I714" s="89"/>
      <c r="J714" s="89"/>
      <c r="K714" s="89"/>
      <c r="L714" s="89"/>
      <c r="M714" s="89"/>
      <c r="N714" s="89"/>
      <c r="O714" s="89"/>
      <c r="P714" s="89"/>
      <c r="Q714" s="89"/>
      <c r="R714" s="89"/>
      <c r="S714" s="89"/>
      <c r="T714" s="89"/>
      <c r="U714" s="89"/>
      <c r="V714" s="89"/>
      <c r="W714" s="89"/>
      <c r="X714" s="89"/>
      <c r="Y714" s="89"/>
      <c r="Z714" s="89"/>
      <c r="AA714" s="89"/>
      <c r="AB714" s="89"/>
      <c r="AC714" s="89"/>
      <c r="AD714" s="89"/>
      <c r="AE714" s="89"/>
    </row>
    <row r="715">
      <c r="A715" s="445"/>
      <c r="B715" s="420"/>
      <c r="C715" s="420"/>
      <c r="D715" s="420"/>
      <c r="E715" s="420"/>
      <c r="F715" s="420"/>
      <c r="G715" s="420"/>
      <c r="H715" s="420"/>
      <c r="I715" s="89"/>
      <c r="J715" s="89"/>
      <c r="K715" s="89"/>
      <c r="L715" s="89"/>
      <c r="M715" s="89"/>
      <c r="N715" s="89"/>
      <c r="O715" s="89"/>
      <c r="P715" s="89"/>
      <c r="Q715" s="89"/>
      <c r="R715" s="89"/>
      <c r="S715" s="89"/>
      <c r="T715" s="89"/>
      <c r="U715" s="89"/>
      <c r="V715" s="89"/>
      <c r="W715" s="89"/>
      <c r="X715" s="89"/>
      <c r="Y715" s="89"/>
      <c r="Z715" s="89"/>
      <c r="AA715" s="89"/>
      <c r="AB715" s="89"/>
      <c r="AC715" s="89"/>
      <c r="AD715" s="89"/>
      <c r="AE715" s="89"/>
    </row>
    <row r="716">
      <c r="A716" s="445"/>
      <c r="B716" s="420"/>
      <c r="C716" s="420"/>
      <c r="D716" s="420"/>
      <c r="E716" s="420"/>
      <c r="F716" s="420"/>
      <c r="G716" s="420"/>
      <c r="H716" s="420"/>
      <c r="I716" s="89"/>
      <c r="J716" s="89"/>
      <c r="K716" s="89"/>
      <c r="L716" s="89"/>
      <c r="M716" s="89"/>
      <c r="N716" s="89"/>
      <c r="O716" s="89"/>
      <c r="P716" s="89"/>
      <c r="Q716" s="89"/>
      <c r="R716" s="89"/>
      <c r="S716" s="89"/>
      <c r="T716" s="89"/>
      <c r="U716" s="89"/>
      <c r="V716" s="89"/>
      <c r="W716" s="89"/>
      <c r="X716" s="89"/>
      <c r="Y716" s="89"/>
      <c r="Z716" s="89"/>
      <c r="AA716" s="89"/>
      <c r="AB716" s="89"/>
      <c r="AC716" s="89"/>
      <c r="AD716" s="89"/>
      <c r="AE716" s="89"/>
    </row>
    <row r="717">
      <c r="A717" s="445"/>
      <c r="B717" s="420"/>
      <c r="C717" s="420"/>
      <c r="D717" s="420"/>
      <c r="E717" s="420"/>
      <c r="F717" s="420"/>
      <c r="G717" s="420"/>
      <c r="H717" s="420"/>
      <c r="I717" s="89"/>
      <c r="J717" s="89"/>
      <c r="K717" s="89"/>
      <c r="L717" s="89"/>
      <c r="M717" s="89"/>
      <c r="N717" s="89"/>
      <c r="O717" s="89"/>
      <c r="P717" s="89"/>
      <c r="Q717" s="89"/>
      <c r="R717" s="89"/>
      <c r="S717" s="89"/>
      <c r="T717" s="89"/>
      <c r="U717" s="89"/>
      <c r="V717" s="89"/>
      <c r="W717" s="89"/>
      <c r="X717" s="89"/>
      <c r="Y717" s="89"/>
      <c r="Z717" s="89"/>
      <c r="AA717" s="89"/>
      <c r="AB717" s="89"/>
      <c r="AC717" s="89"/>
      <c r="AD717" s="89"/>
      <c r="AE717" s="89"/>
    </row>
    <row r="718">
      <c r="A718" s="445"/>
      <c r="B718" s="420"/>
      <c r="C718" s="420"/>
      <c r="D718" s="420"/>
      <c r="E718" s="420"/>
      <c r="F718" s="420"/>
      <c r="G718" s="420"/>
      <c r="H718" s="420"/>
      <c r="I718" s="89"/>
      <c r="J718" s="89"/>
      <c r="K718" s="89"/>
      <c r="L718" s="89"/>
      <c r="M718" s="89"/>
      <c r="N718" s="89"/>
      <c r="O718" s="89"/>
      <c r="P718" s="89"/>
      <c r="Q718" s="89"/>
      <c r="R718" s="89"/>
      <c r="S718" s="89"/>
      <c r="T718" s="89"/>
      <c r="U718" s="89"/>
      <c r="V718" s="89"/>
      <c r="W718" s="89"/>
      <c r="X718" s="89"/>
      <c r="Y718" s="89"/>
      <c r="Z718" s="89"/>
      <c r="AA718" s="89"/>
      <c r="AB718" s="89"/>
      <c r="AC718" s="89"/>
      <c r="AD718" s="89"/>
      <c r="AE718" s="89"/>
    </row>
    <row r="719">
      <c r="A719" s="445"/>
      <c r="B719" s="420"/>
      <c r="C719" s="420"/>
      <c r="D719" s="420"/>
      <c r="E719" s="420"/>
      <c r="F719" s="420"/>
      <c r="G719" s="420"/>
      <c r="H719" s="420"/>
      <c r="I719" s="89"/>
      <c r="J719" s="89"/>
      <c r="K719" s="89"/>
      <c r="L719" s="89"/>
      <c r="M719" s="89"/>
      <c r="N719" s="89"/>
      <c r="O719" s="89"/>
      <c r="P719" s="89"/>
      <c r="Q719" s="89"/>
      <c r="R719" s="89"/>
      <c r="S719" s="89"/>
      <c r="T719" s="89"/>
      <c r="U719" s="89"/>
      <c r="V719" s="89"/>
      <c r="W719" s="89"/>
      <c r="X719" s="89"/>
      <c r="Y719" s="89"/>
      <c r="Z719" s="89"/>
      <c r="AA719" s="89"/>
      <c r="AB719" s="89"/>
      <c r="AC719" s="89"/>
      <c r="AD719" s="89"/>
      <c r="AE719" s="89"/>
    </row>
    <row r="720">
      <c r="A720" s="445"/>
      <c r="B720" s="420"/>
      <c r="C720" s="420"/>
      <c r="D720" s="420"/>
      <c r="E720" s="420"/>
      <c r="F720" s="420"/>
      <c r="G720" s="420"/>
      <c r="H720" s="420"/>
      <c r="I720" s="89"/>
      <c r="J720" s="89"/>
      <c r="K720" s="89"/>
      <c r="L720" s="89"/>
      <c r="M720" s="89"/>
      <c r="N720" s="89"/>
      <c r="O720" s="89"/>
      <c r="P720" s="89"/>
      <c r="Q720" s="89"/>
      <c r="R720" s="89"/>
      <c r="S720" s="89"/>
      <c r="T720" s="89"/>
      <c r="U720" s="89"/>
      <c r="V720" s="89"/>
      <c r="W720" s="89"/>
      <c r="X720" s="89"/>
      <c r="Y720" s="89"/>
      <c r="Z720" s="89"/>
      <c r="AA720" s="89"/>
      <c r="AB720" s="89"/>
      <c r="AC720" s="89"/>
      <c r="AD720" s="89"/>
      <c r="AE720" s="89"/>
    </row>
    <row r="721">
      <c r="A721" s="445"/>
      <c r="B721" s="420"/>
      <c r="C721" s="420"/>
      <c r="D721" s="420"/>
      <c r="E721" s="420"/>
      <c r="F721" s="420"/>
      <c r="G721" s="420"/>
      <c r="H721" s="420"/>
      <c r="I721" s="89"/>
      <c r="J721" s="89"/>
      <c r="K721" s="89"/>
      <c r="L721" s="89"/>
      <c r="M721" s="89"/>
      <c r="N721" s="89"/>
      <c r="O721" s="89"/>
      <c r="P721" s="89"/>
      <c r="Q721" s="89"/>
      <c r="R721" s="89"/>
      <c r="S721" s="89"/>
      <c r="T721" s="89"/>
      <c r="U721" s="89"/>
      <c r="V721" s="89"/>
      <c r="W721" s="89"/>
      <c r="X721" s="89"/>
      <c r="Y721" s="89"/>
      <c r="Z721" s="89"/>
      <c r="AA721" s="89"/>
      <c r="AB721" s="89"/>
      <c r="AC721" s="89"/>
      <c r="AD721" s="89"/>
      <c r="AE721" s="89"/>
    </row>
    <row r="722">
      <c r="A722" s="445"/>
      <c r="B722" s="420"/>
      <c r="C722" s="420"/>
      <c r="D722" s="420"/>
      <c r="E722" s="420"/>
      <c r="F722" s="420"/>
      <c r="G722" s="420"/>
      <c r="H722" s="420"/>
      <c r="I722" s="89"/>
      <c r="J722" s="89"/>
      <c r="K722" s="89"/>
      <c r="L722" s="89"/>
      <c r="M722" s="89"/>
      <c r="N722" s="89"/>
      <c r="O722" s="89"/>
      <c r="P722" s="89"/>
      <c r="Q722" s="89"/>
      <c r="R722" s="89"/>
      <c r="S722" s="89"/>
      <c r="T722" s="89"/>
      <c r="U722" s="89"/>
      <c r="V722" s="89"/>
      <c r="W722" s="89"/>
      <c r="X722" s="89"/>
      <c r="Y722" s="89"/>
      <c r="Z722" s="89"/>
      <c r="AA722" s="89"/>
      <c r="AB722" s="89"/>
      <c r="AC722" s="89"/>
      <c r="AD722" s="89"/>
      <c r="AE722" s="89"/>
    </row>
    <row r="723">
      <c r="A723" s="445"/>
      <c r="B723" s="420"/>
      <c r="C723" s="420"/>
      <c r="D723" s="420"/>
      <c r="E723" s="420"/>
      <c r="F723" s="420"/>
      <c r="G723" s="420"/>
      <c r="H723" s="420"/>
      <c r="I723" s="89"/>
      <c r="J723" s="89"/>
      <c r="K723" s="89"/>
      <c r="L723" s="89"/>
      <c r="M723" s="89"/>
      <c r="N723" s="89"/>
      <c r="O723" s="89"/>
      <c r="P723" s="89"/>
      <c r="Q723" s="89"/>
      <c r="R723" s="89"/>
      <c r="S723" s="89"/>
      <c r="T723" s="89"/>
      <c r="U723" s="89"/>
      <c r="V723" s="89"/>
      <c r="W723" s="89"/>
      <c r="X723" s="89"/>
      <c r="Y723" s="89"/>
      <c r="Z723" s="89"/>
      <c r="AA723" s="89"/>
      <c r="AB723" s="89"/>
      <c r="AC723" s="89"/>
      <c r="AD723" s="89"/>
      <c r="AE723" s="89"/>
    </row>
    <row r="724">
      <c r="A724" s="445"/>
      <c r="B724" s="420"/>
      <c r="C724" s="420"/>
      <c r="D724" s="420"/>
      <c r="E724" s="420"/>
      <c r="F724" s="420"/>
      <c r="G724" s="420"/>
      <c r="H724" s="420"/>
      <c r="I724" s="89"/>
      <c r="J724" s="89"/>
      <c r="K724" s="89"/>
      <c r="L724" s="89"/>
      <c r="M724" s="89"/>
      <c r="N724" s="89"/>
      <c r="O724" s="89"/>
      <c r="P724" s="89"/>
      <c r="Q724" s="89"/>
      <c r="R724" s="89"/>
      <c r="S724" s="89"/>
      <c r="T724" s="89"/>
      <c r="U724" s="89"/>
      <c r="V724" s="89"/>
      <c r="W724" s="89"/>
      <c r="X724" s="89"/>
      <c r="Y724" s="89"/>
      <c r="Z724" s="89"/>
      <c r="AA724" s="89"/>
      <c r="AB724" s="89"/>
      <c r="AC724" s="89"/>
      <c r="AD724" s="89"/>
      <c r="AE724" s="89"/>
    </row>
    <row r="725">
      <c r="A725" s="445"/>
      <c r="B725" s="420"/>
      <c r="C725" s="420"/>
      <c r="D725" s="420"/>
      <c r="E725" s="420"/>
      <c r="F725" s="420"/>
      <c r="G725" s="420"/>
      <c r="H725" s="420"/>
      <c r="I725" s="89"/>
      <c r="J725" s="89"/>
      <c r="K725" s="89"/>
      <c r="L725" s="89"/>
      <c r="M725" s="89"/>
      <c r="N725" s="89"/>
      <c r="O725" s="89"/>
      <c r="P725" s="89"/>
      <c r="Q725" s="89"/>
      <c r="R725" s="89"/>
      <c r="S725" s="89"/>
      <c r="T725" s="89"/>
      <c r="U725" s="89"/>
      <c r="V725" s="89"/>
      <c r="W725" s="89"/>
      <c r="X725" s="89"/>
      <c r="Y725" s="89"/>
      <c r="Z725" s="89"/>
      <c r="AA725" s="89"/>
      <c r="AB725" s="89"/>
      <c r="AC725" s="89"/>
      <c r="AD725" s="89"/>
      <c r="AE725" s="89"/>
    </row>
    <row r="726">
      <c r="A726" s="445"/>
      <c r="B726" s="420"/>
      <c r="C726" s="420"/>
      <c r="D726" s="420"/>
      <c r="E726" s="420"/>
      <c r="F726" s="420"/>
      <c r="G726" s="420"/>
      <c r="H726" s="420"/>
      <c r="I726" s="89"/>
      <c r="J726" s="89"/>
      <c r="K726" s="89"/>
      <c r="L726" s="89"/>
      <c r="M726" s="89"/>
      <c r="N726" s="89"/>
      <c r="O726" s="89"/>
      <c r="P726" s="89"/>
      <c r="Q726" s="89"/>
      <c r="R726" s="89"/>
      <c r="S726" s="89"/>
      <c r="T726" s="89"/>
      <c r="U726" s="89"/>
      <c r="V726" s="89"/>
      <c r="W726" s="89"/>
      <c r="X726" s="89"/>
      <c r="Y726" s="89"/>
      <c r="Z726" s="89"/>
      <c r="AA726" s="89"/>
      <c r="AB726" s="89"/>
      <c r="AC726" s="89"/>
      <c r="AD726" s="89"/>
      <c r="AE726" s="89"/>
    </row>
    <row r="727">
      <c r="A727" s="445"/>
      <c r="B727" s="420"/>
      <c r="C727" s="420"/>
      <c r="D727" s="420"/>
      <c r="E727" s="420"/>
      <c r="F727" s="420"/>
      <c r="G727" s="420"/>
      <c r="H727" s="420"/>
      <c r="I727" s="89"/>
      <c r="J727" s="89"/>
      <c r="K727" s="89"/>
      <c r="L727" s="89"/>
      <c r="M727" s="89"/>
      <c r="N727" s="89"/>
      <c r="O727" s="89"/>
      <c r="P727" s="89"/>
      <c r="Q727" s="89"/>
      <c r="R727" s="89"/>
      <c r="S727" s="89"/>
      <c r="T727" s="89"/>
      <c r="U727" s="89"/>
      <c r="V727" s="89"/>
      <c r="W727" s="89"/>
      <c r="X727" s="89"/>
      <c r="Y727" s="89"/>
      <c r="Z727" s="89"/>
      <c r="AA727" s="89"/>
      <c r="AB727" s="89"/>
      <c r="AC727" s="89"/>
      <c r="AD727" s="89"/>
      <c r="AE727" s="89"/>
    </row>
    <row r="728">
      <c r="A728" s="445"/>
      <c r="B728" s="420"/>
      <c r="C728" s="420"/>
      <c r="D728" s="420"/>
      <c r="E728" s="420"/>
      <c r="F728" s="420"/>
      <c r="G728" s="420"/>
      <c r="H728" s="420"/>
      <c r="I728" s="89"/>
      <c r="J728" s="89"/>
      <c r="K728" s="89"/>
      <c r="L728" s="89"/>
      <c r="M728" s="89"/>
      <c r="N728" s="89"/>
      <c r="O728" s="89"/>
      <c r="P728" s="89"/>
      <c r="Q728" s="89"/>
      <c r="R728" s="89"/>
      <c r="S728" s="89"/>
      <c r="T728" s="89"/>
      <c r="U728" s="89"/>
      <c r="V728" s="89"/>
      <c r="W728" s="89"/>
      <c r="X728" s="89"/>
      <c r="Y728" s="89"/>
      <c r="Z728" s="89"/>
      <c r="AA728" s="89"/>
      <c r="AB728" s="89"/>
      <c r="AC728" s="89"/>
      <c r="AD728" s="89"/>
      <c r="AE728" s="89"/>
    </row>
    <row r="729">
      <c r="A729" s="445"/>
      <c r="B729" s="420"/>
      <c r="C729" s="420"/>
      <c r="D729" s="420"/>
      <c r="E729" s="420"/>
      <c r="F729" s="420"/>
      <c r="G729" s="420"/>
      <c r="H729" s="420"/>
      <c r="I729" s="89"/>
      <c r="J729" s="89"/>
      <c r="K729" s="89"/>
      <c r="L729" s="89"/>
      <c r="M729" s="89"/>
      <c r="N729" s="89"/>
      <c r="O729" s="89"/>
      <c r="P729" s="89"/>
      <c r="Q729" s="89"/>
      <c r="R729" s="89"/>
      <c r="S729" s="89"/>
      <c r="T729" s="89"/>
      <c r="U729" s="89"/>
      <c r="V729" s="89"/>
      <c r="W729" s="89"/>
      <c r="X729" s="89"/>
      <c r="Y729" s="89"/>
      <c r="Z729" s="89"/>
      <c r="AA729" s="89"/>
      <c r="AB729" s="89"/>
      <c r="AC729" s="89"/>
      <c r="AD729" s="89"/>
      <c r="AE729" s="89"/>
    </row>
    <row r="730">
      <c r="A730" s="445"/>
      <c r="B730" s="420"/>
      <c r="C730" s="420"/>
      <c r="D730" s="420"/>
      <c r="E730" s="420"/>
      <c r="F730" s="420"/>
      <c r="G730" s="420"/>
      <c r="H730" s="420"/>
      <c r="I730" s="89"/>
      <c r="J730" s="89"/>
      <c r="K730" s="89"/>
      <c r="L730" s="89"/>
      <c r="M730" s="89"/>
      <c r="N730" s="89"/>
      <c r="O730" s="89"/>
      <c r="P730" s="89"/>
      <c r="Q730" s="89"/>
      <c r="R730" s="89"/>
      <c r="S730" s="89"/>
      <c r="T730" s="89"/>
      <c r="U730" s="89"/>
      <c r="V730" s="89"/>
      <c r="W730" s="89"/>
      <c r="X730" s="89"/>
      <c r="Y730" s="89"/>
      <c r="Z730" s="89"/>
      <c r="AA730" s="89"/>
      <c r="AB730" s="89"/>
      <c r="AC730" s="89"/>
      <c r="AD730" s="89"/>
      <c r="AE730" s="89"/>
    </row>
    <row r="731">
      <c r="A731" s="445"/>
      <c r="B731" s="420"/>
      <c r="C731" s="420"/>
      <c r="D731" s="420"/>
      <c r="E731" s="420"/>
      <c r="F731" s="420"/>
      <c r="G731" s="420"/>
      <c r="H731" s="420"/>
      <c r="I731" s="89"/>
      <c r="J731" s="89"/>
      <c r="K731" s="89"/>
      <c r="L731" s="89"/>
      <c r="M731" s="89"/>
      <c r="N731" s="89"/>
      <c r="O731" s="89"/>
      <c r="P731" s="89"/>
      <c r="Q731" s="89"/>
      <c r="R731" s="89"/>
      <c r="S731" s="89"/>
      <c r="T731" s="89"/>
      <c r="U731" s="89"/>
      <c r="V731" s="89"/>
      <c r="W731" s="89"/>
      <c r="X731" s="89"/>
      <c r="Y731" s="89"/>
      <c r="Z731" s="89"/>
      <c r="AA731" s="89"/>
      <c r="AB731" s="89"/>
      <c r="AC731" s="89"/>
      <c r="AD731" s="89"/>
      <c r="AE731" s="89"/>
    </row>
    <row r="732">
      <c r="A732" s="445"/>
      <c r="B732" s="420"/>
      <c r="C732" s="420"/>
      <c r="D732" s="420"/>
      <c r="E732" s="420"/>
      <c r="F732" s="420"/>
      <c r="G732" s="420"/>
      <c r="H732" s="420"/>
      <c r="I732" s="89"/>
      <c r="J732" s="89"/>
      <c r="K732" s="89"/>
      <c r="L732" s="89"/>
      <c r="M732" s="89"/>
      <c r="N732" s="89"/>
      <c r="O732" s="89"/>
      <c r="P732" s="89"/>
      <c r="Q732" s="89"/>
      <c r="R732" s="89"/>
      <c r="S732" s="89"/>
      <c r="T732" s="89"/>
      <c r="U732" s="89"/>
      <c r="V732" s="89"/>
      <c r="W732" s="89"/>
      <c r="X732" s="89"/>
      <c r="Y732" s="89"/>
      <c r="Z732" s="89"/>
      <c r="AA732" s="89"/>
      <c r="AB732" s="89"/>
      <c r="AC732" s="89"/>
      <c r="AD732" s="89"/>
      <c r="AE732" s="89"/>
    </row>
    <row r="733">
      <c r="A733" s="445"/>
      <c r="B733" s="420"/>
      <c r="C733" s="420"/>
      <c r="D733" s="420"/>
      <c r="E733" s="420"/>
      <c r="F733" s="420"/>
      <c r="G733" s="420"/>
      <c r="H733" s="420"/>
      <c r="I733" s="89"/>
      <c r="J733" s="89"/>
      <c r="K733" s="89"/>
      <c r="L733" s="89"/>
      <c r="M733" s="89"/>
      <c r="N733" s="89"/>
      <c r="O733" s="89"/>
      <c r="P733" s="89"/>
      <c r="Q733" s="89"/>
      <c r="R733" s="89"/>
      <c r="S733" s="89"/>
      <c r="T733" s="89"/>
      <c r="U733" s="89"/>
      <c r="V733" s="89"/>
      <c r="W733" s="89"/>
      <c r="X733" s="89"/>
      <c r="Y733" s="89"/>
      <c r="Z733" s="89"/>
      <c r="AA733" s="89"/>
      <c r="AB733" s="89"/>
      <c r="AC733" s="89"/>
      <c r="AD733" s="89"/>
      <c r="AE733" s="89"/>
    </row>
    <row r="734">
      <c r="A734" s="445"/>
      <c r="B734" s="420"/>
      <c r="C734" s="420"/>
      <c r="D734" s="420"/>
      <c r="E734" s="420"/>
      <c r="F734" s="420"/>
      <c r="G734" s="420"/>
      <c r="H734" s="420"/>
      <c r="I734" s="89"/>
      <c r="J734" s="89"/>
      <c r="K734" s="89"/>
      <c r="L734" s="89"/>
      <c r="M734" s="89"/>
      <c r="N734" s="89"/>
      <c r="O734" s="89"/>
      <c r="P734" s="89"/>
      <c r="Q734" s="89"/>
      <c r="R734" s="89"/>
      <c r="S734" s="89"/>
      <c r="T734" s="89"/>
      <c r="U734" s="89"/>
      <c r="V734" s="89"/>
      <c r="W734" s="89"/>
      <c r="X734" s="89"/>
      <c r="Y734" s="89"/>
      <c r="Z734" s="89"/>
      <c r="AA734" s="89"/>
      <c r="AB734" s="89"/>
      <c r="AC734" s="89"/>
      <c r="AD734" s="89"/>
      <c r="AE734" s="89"/>
    </row>
    <row r="735">
      <c r="A735" s="445"/>
      <c r="B735" s="420"/>
      <c r="C735" s="420"/>
      <c r="D735" s="420"/>
      <c r="E735" s="420"/>
      <c r="F735" s="420"/>
      <c r="G735" s="420"/>
      <c r="H735" s="420"/>
      <c r="I735" s="89"/>
      <c r="J735" s="89"/>
      <c r="K735" s="89"/>
      <c r="L735" s="89"/>
      <c r="M735" s="89"/>
      <c r="N735" s="89"/>
      <c r="O735" s="89"/>
      <c r="P735" s="89"/>
      <c r="Q735" s="89"/>
      <c r="R735" s="89"/>
      <c r="S735" s="89"/>
      <c r="T735" s="89"/>
      <c r="U735" s="89"/>
      <c r="V735" s="89"/>
      <c r="W735" s="89"/>
      <c r="X735" s="89"/>
      <c r="Y735" s="89"/>
      <c r="Z735" s="89"/>
      <c r="AA735" s="89"/>
      <c r="AB735" s="89"/>
      <c r="AC735" s="89"/>
      <c r="AD735" s="89"/>
      <c r="AE735" s="89"/>
    </row>
    <row r="736">
      <c r="A736" s="445"/>
      <c r="B736" s="420"/>
      <c r="C736" s="420"/>
      <c r="D736" s="420"/>
      <c r="E736" s="420"/>
      <c r="F736" s="420"/>
      <c r="G736" s="420"/>
      <c r="H736" s="420"/>
      <c r="I736" s="89"/>
      <c r="J736" s="89"/>
      <c r="K736" s="89"/>
      <c r="L736" s="89"/>
      <c r="M736" s="89"/>
      <c r="N736" s="89"/>
      <c r="O736" s="89"/>
      <c r="P736" s="89"/>
      <c r="Q736" s="89"/>
      <c r="R736" s="89"/>
      <c r="S736" s="89"/>
      <c r="T736" s="89"/>
      <c r="U736" s="89"/>
      <c r="V736" s="89"/>
      <c r="W736" s="89"/>
      <c r="X736" s="89"/>
      <c r="Y736" s="89"/>
      <c r="Z736" s="89"/>
      <c r="AA736" s="89"/>
      <c r="AB736" s="89"/>
      <c r="AC736" s="89"/>
      <c r="AD736" s="89"/>
      <c r="AE736" s="89"/>
    </row>
    <row r="737">
      <c r="A737" s="445"/>
      <c r="B737" s="420"/>
      <c r="C737" s="420"/>
      <c r="D737" s="420"/>
      <c r="E737" s="420"/>
      <c r="F737" s="420"/>
      <c r="G737" s="420"/>
      <c r="H737" s="420"/>
      <c r="I737" s="89"/>
      <c r="J737" s="89"/>
      <c r="K737" s="89"/>
      <c r="L737" s="89"/>
      <c r="M737" s="89"/>
      <c r="N737" s="89"/>
      <c r="O737" s="89"/>
      <c r="P737" s="89"/>
      <c r="Q737" s="89"/>
      <c r="R737" s="89"/>
      <c r="S737" s="89"/>
      <c r="T737" s="89"/>
      <c r="U737" s="89"/>
      <c r="V737" s="89"/>
      <c r="W737" s="89"/>
      <c r="X737" s="89"/>
      <c r="Y737" s="89"/>
      <c r="Z737" s="89"/>
      <c r="AA737" s="89"/>
      <c r="AB737" s="89"/>
      <c r="AC737" s="89"/>
      <c r="AD737" s="89"/>
      <c r="AE737" s="89"/>
    </row>
    <row r="738">
      <c r="A738" s="445"/>
      <c r="B738" s="420"/>
      <c r="C738" s="420"/>
      <c r="D738" s="420"/>
      <c r="E738" s="420"/>
      <c r="F738" s="420"/>
      <c r="G738" s="420"/>
      <c r="H738" s="420"/>
      <c r="I738" s="89"/>
      <c r="J738" s="89"/>
      <c r="K738" s="89"/>
      <c r="L738" s="89"/>
      <c r="M738" s="89"/>
      <c r="N738" s="89"/>
      <c r="O738" s="89"/>
      <c r="P738" s="89"/>
      <c r="Q738" s="89"/>
      <c r="R738" s="89"/>
      <c r="S738" s="89"/>
      <c r="T738" s="89"/>
      <c r="U738" s="89"/>
      <c r="V738" s="89"/>
      <c r="W738" s="89"/>
      <c r="X738" s="89"/>
      <c r="Y738" s="89"/>
      <c r="Z738" s="89"/>
      <c r="AA738" s="89"/>
      <c r="AB738" s="89"/>
      <c r="AC738" s="89"/>
      <c r="AD738" s="89"/>
      <c r="AE738" s="89"/>
    </row>
    <row r="739">
      <c r="A739" s="445"/>
      <c r="B739" s="420"/>
      <c r="C739" s="420"/>
      <c r="D739" s="420"/>
      <c r="E739" s="420"/>
      <c r="F739" s="420"/>
      <c r="G739" s="420"/>
      <c r="H739" s="420"/>
      <c r="I739" s="89"/>
      <c r="J739" s="89"/>
      <c r="K739" s="89"/>
      <c r="L739" s="89"/>
      <c r="M739" s="89"/>
      <c r="N739" s="89"/>
      <c r="O739" s="89"/>
      <c r="P739" s="89"/>
      <c r="Q739" s="89"/>
      <c r="R739" s="89"/>
      <c r="S739" s="89"/>
      <c r="T739" s="89"/>
      <c r="U739" s="89"/>
      <c r="V739" s="89"/>
      <c r="W739" s="89"/>
      <c r="X739" s="89"/>
      <c r="Y739" s="89"/>
      <c r="Z739" s="89"/>
      <c r="AA739" s="89"/>
      <c r="AB739" s="89"/>
      <c r="AC739" s="89"/>
      <c r="AD739" s="89"/>
      <c r="AE739" s="89"/>
    </row>
    <row r="740">
      <c r="A740" s="445"/>
      <c r="B740" s="420"/>
      <c r="C740" s="420"/>
      <c r="D740" s="420"/>
      <c r="E740" s="420"/>
      <c r="F740" s="420"/>
      <c r="G740" s="420"/>
      <c r="H740" s="420"/>
      <c r="I740" s="89"/>
      <c r="J740" s="89"/>
      <c r="K740" s="89"/>
      <c r="L740" s="89"/>
      <c r="M740" s="89"/>
      <c r="N740" s="89"/>
      <c r="O740" s="89"/>
      <c r="P740" s="89"/>
      <c r="Q740" s="89"/>
      <c r="R740" s="89"/>
      <c r="S740" s="89"/>
      <c r="T740" s="89"/>
      <c r="U740" s="89"/>
      <c r="V740" s="89"/>
      <c r="W740" s="89"/>
      <c r="X740" s="89"/>
      <c r="Y740" s="89"/>
      <c r="Z740" s="89"/>
      <c r="AA740" s="89"/>
      <c r="AB740" s="89"/>
      <c r="AC740" s="89"/>
      <c r="AD740" s="89"/>
      <c r="AE740" s="89"/>
    </row>
    <row r="741">
      <c r="A741" s="445"/>
      <c r="B741" s="420"/>
      <c r="C741" s="420"/>
      <c r="D741" s="420"/>
      <c r="E741" s="420"/>
      <c r="F741" s="420"/>
      <c r="G741" s="420"/>
      <c r="H741" s="420"/>
      <c r="I741" s="89"/>
      <c r="J741" s="89"/>
      <c r="K741" s="89"/>
      <c r="L741" s="89"/>
      <c r="M741" s="89"/>
      <c r="N741" s="89"/>
      <c r="O741" s="89"/>
      <c r="P741" s="89"/>
      <c r="Q741" s="89"/>
      <c r="R741" s="89"/>
      <c r="S741" s="89"/>
      <c r="T741" s="89"/>
      <c r="U741" s="89"/>
      <c r="V741" s="89"/>
      <c r="W741" s="89"/>
      <c r="X741" s="89"/>
      <c r="Y741" s="89"/>
      <c r="Z741" s="89"/>
      <c r="AA741" s="89"/>
      <c r="AB741" s="89"/>
      <c r="AC741" s="89"/>
      <c r="AD741" s="89"/>
      <c r="AE741" s="89"/>
    </row>
    <row r="742">
      <c r="A742" s="445"/>
      <c r="B742" s="420"/>
      <c r="C742" s="420"/>
      <c r="D742" s="420"/>
      <c r="E742" s="420"/>
      <c r="F742" s="420"/>
      <c r="G742" s="420"/>
      <c r="H742" s="420"/>
      <c r="I742" s="89"/>
      <c r="J742" s="89"/>
      <c r="K742" s="89"/>
      <c r="L742" s="89"/>
      <c r="M742" s="89"/>
      <c r="N742" s="89"/>
      <c r="O742" s="89"/>
      <c r="P742" s="89"/>
      <c r="Q742" s="89"/>
      <c r="R742" s="89"/>
      <c r="S742" s="89"/>
      <c r="T742" s="89"/>
      <c r="U742" s="89"/>
      <c r="V742" s="89"/>
      <c r="W742" s="89"/>
      <c r="X742" s="89"/>
      <c r="Y742" s="89"/>
      <c r="Z742" s="89"/>
      <c r="AA742" s="89"/>
      <c r="AB742" s="89"/>
      <c r="AC742" s="89"/>
      <c r="AD742" s="89"/>
      <c r="AE742" s="89"/>
    </row>
    <row r="743">
      <c r="A743" s="445"/>
      <c r="B743" s="420"/>
      <c r="C743" s="420"/>
      <c r="D743" s="420"/>
      <c r="E743" s="420"/>
      <c r="F743" s="420"/>
      <c r="G743" s="420"/>
      <c r="H743" s="420"/>
      <c r="I743" s="89"/>
      <c r="J743" s="89"/>
      <c r="K743" s="89"/>
      <c r="L743" s="89"/>
      <c r="M743" s="89"/>
      <c r="N743" s="89"/>
      <c r="O743" s="89"/>
      <c r="P743" s="89"/>
      <c r="Q743" s="89"/>
      <c r="R743" s="89"/>
      <c r="S743" s="89"/>
      <c r="T743" s="89"/>
      <c r="U743" s="89"/>
      <c r="V743" s="89"/>
      <c r="W743" s="89"/>
      <c r="X743" s="89"/>
      <c r="Y743" s="89"/>
      <c r="Z743" s="89"/>
      <c r="AA743" s="89"/>
      <c r="AB743" s="89"/>
      <c r="AC743" s="89"/>
      <c r="AD743" s="89"/>
      <c r="AE743" s="89"/>
    </row>
    <row r="744">
      <c r="A744" s="445"/>
      <c r="B744" s="420"/>
      <c r="C744" s="420"/>
      <c r="D744" s="420"/>
      <c r="E744" s="420"/>
      <c r="F744" s="420"/>
      <c r="G744" s="420"/>
      <c r="H744" s="420"/>
      <c r="I744" s="89"/>
      <c r="J744" s="89"/>
      <c r="K744" s="89"/>
      <c r="L744" s="89"/>
      <c r="M744" s="89"/>
      <c r="N744" s="89"/>
      <c r="O744" s="89"/>
      <c r="P744" s="89"/>
      <c r="Q744" s="89"/>
      <c r="R744" s="89"/>
      <c r="S744" s="89"/>
      <c r="T744" s="89"/>
      <c r="U744" s="89"/>
      <c r="V744" s="89"/>
      <c r="W744" s="89"/>
      <c r="X744" s="89"/>
      <c r="Y744" s="89"/>
      <c r="Z744" s="89"/>
      <c r="AA744" s="89"/>
      <c r="AB744" s="89"/>
      <c r="AC744" s="89"/>
      <c r="AD744" s="89"/>
      <c r="AE744" s="89"/>
    </row>
    <row r="745">
      <c r="A745" s="445"/>
      <c r="B745" s="420"/>
      <c r="C745" s="420"/>
      <c r="D745" s="420"/>
      <c r="E745" s="420"/>
      <c r="F745" s="420"/>
      <c r="G745" s="420"/>
      <c r="H745" s="420"/>
      <c r="I745" s="89"/>
      <c r="J745" s="89"/>
      <c r="K745" s="89"/>
      <c r="L745" s="89"/>
      <c r="M745" s="89"/>
      <c r="N745" s="89"/>
      <c r="O745" s="89"/>
      <c r="P745" s="89"/>
      <c r="Q745" s="89"/>
      <c r="R745" s="89"/>
      <c r="S745" s="89"/>
      <c r="T745" s="89"/>
      <c r="U745" s="89"/>
      <c r="V745" s="89"/>
      <c r="W745" s="89"/>
      <c r="X745" s="89"/>
      <c r="Y745" s="89"/>
      <c r="Z745" s="89"/>
      <c r="AA745" s="89"/>
      <c r="AB745" s="89"/>
      <c r="AC745" s="89"/>
      <c r="AD745" s="89"/>
      <c r="AE745" s="89"/>
    </row>
    <row r="746">
      <c r="A746" s="445"/>
      <c r="B746" s="420"/>
      <c r="C746" s="420"/>
      <c r="D746" s="420"/>
      <c r="E746" s="420"/>
      <c r="F746" s="420"/>
      <c r="G746" s="420"/>
      <c r="H746" s="420"/>
      <c r="I746" s="89"/>
      <c r="J746" s="89"/>
      <c r="K746" s="89"/>
      <c r="L746" s="89"/>
      <c r="M746" s="89"/>
      <c r="N746" s="89"/>
      <c r="O746" s="89"/>
      <c r="P746" s="89"/>
      <c r="Q746" s="89"/>
      <c r="R746" s="89"/>
      <c r="S746" s="89"/>
      <c r="T746" s="89"/>
      <c r="U746" s="89"/>
      <c r="V746" s="89"/>
      <c r="W746" s="89"/>
      <c r="X746" s="89"/>
      <c r="Y746" s="89"/>
      <c r="Z746" s="89"/>
      <c r="AA746" s="89"/>
      <c r="AB746" s="89"/>
      <c r="AC746" s="89"/>
      <c r="AD746" s="89"/>
      <c r="AE746" s="89"/>
    </row>
    <row r="747">
      <c r="A747" s="445"/>
      <c r="B747" s="420"/>
      <c r="C747" s="420"/>
      <c r="D747" s="420"/>
      <c r="E747" s="420"/>
      <c r="F747" s="420"/>
      <c r="G747" s="420"/>
      <c r="H747" s="420"/>
      <c r="I747" s="89"/>
      <c r="J747" s="89"/>
      <c r="K747" s="89"/>
      <c r="L747" s="89"/>
      <c r="M747" s="89"/>
      <c r="N747" s="89"/>
      <c r="O747" s="89"/>
      <c r="P747" s="89"/>
      <c r="Q747" s="89"/>
      <c r="R747" s="89"/>
      <c r="S747" s="89"/>
      <c r="T747" s="89"/>
      <c r="U747" s="89"/>
      <c r="V747" s="89"/>
      <c r="W747" s="89"/>
      <c r="X747" s="89"/>
      <c r="Y747" s="89"/>
      <c r="Z747" s="89"/>
      <c r="AA747" s="89"/>
      <c r="AB747" s="89"/>
      <c r="AC747" s="89"/>
      <c r="AD747" s="89"/>
      <c r="AE747" s="89"/>
    </row>
    <row r="748">
      <c r="A748" s="445"/>
      <c r="B748" s="420"/>
      <c r="C748" s="420"/>
      <c r="D748" s="420"/>
      <c r="E748" s="420"/>
      <c r="F748" s="420"/>
      <c r="G748" s="420"/>
      <c r="H748" s="420"/>
      <c r="I748" s="89"/>
      <c r="J748" s="89"/>
      <c r="K748" s="89"/>
      <c r="L748" s="89"/>
      <c r="M748" s="89"/>
      <c r="N748" s="89"/>
      <c r="O748" s="89"/>
      <c r="P748" s="89"/>
      <c r="Q748" s="89"/>
      <c r="R748" s="89"/>
      <c r="S748" s="89"/>
      <c r="T748" s="89"/>
      <c r="U748" s="89"/>
      <c r="V748" s="89"/>
      <c r="W748" s="89"/>
      <c r="X748" s="89"/>
      <c r="Y748" s="89"/>
      <c r="Z748" s="89"/>
      <c r="AA748" s="89"/>
      <c r="AB748" s="89"/>
      <c r="AC748" s="89"/>
      <c r="AD748" s="89"/>
      <c r="AE748" s="89"/>
    </row>
    <row r="749">
      <c r="A749" s="445"/>
      <c r="B749" s="420"/>
      <c r="C749" s="420"/>
      <c r="D749" s="420"/>
      <c r="E749" s="420"/>
      <c r="F749" s="420"/>
      <c r="G749" s="420"/>
      <c r="H749" s="420"/>
      <c r="I749" s="89"/>
      <c r="J749" s="89"/>
      <c r="K749" s="89"/>
      <c r="L749" s="89"/>
      <c r="M749" s="89"/>
      <c r="N749" s="89"/>
      <c r="O749" s="89"/>
      <c r="P749" s="89"/>
      <c r="Q749" s="89"/>
      <c r="R749" s="89"/>
      <c r="S749" s="89"/>
      <c r="T749" s="89"/>
      <c r="U749" s="89"/>
      <c r="V749" s="89"/>
      <c r="W749" s="89"/>
      <c r="X749" s="89"/>
      <c r="Y749" s="89"/>
      <c r="Z749" s="89"/>
      <c r="AA749" s="89"/>
      <c r="AB749" s="89"/>
      <c r="AC749" s="89"/>
      <c r="AD749" s="89"/>
      <c r="AE749" s="89"/>
    </row>
    <row r="750">
      <c r="A750" s="445"/>
      <c r="B750" s="420"/>
      <c r="C750" s="420"/>
      <c r="D750" s="420"/>
      <c r="E750" s="420"/>
      <c r="F750" s="420"/>
      <c r="G750" s="420"/>
      <c r="H750" s="420"/>
      <c r="I750" s="89"/>
      <c r="J750" s="89"/>
      <c r="K750" s="89"/>
      <c r="L750" s="89"/>
      <c r="M750" s="89"/>
      <c r="N750" s="89"/>
      <c r="O750" s="89"/>
      <c r="P750" s="89"/>
      <c r="Q750" s="89"/>
      <c r="R750" s="89"/>
      <c r="S750" s="89"/>
      <c r="T750" s="89"/>
      <c r="U750" s="89"/>
      <c r="V750" s="89"/>
      <c r="W750" s="89"/>
      <c r="X750" s="89"/>
      <c r="Y750" s="89"/>
      <c r="Z750" s="89"/>
      <c r="AA750" s="89"/>
      <c r="AB750" s="89"/>
      <c r="AC750" s="89"/>
      <c r="AD750" s="89"/>
      <c r="AE750" s="89"/>
    </row>
    <row r="751">
      <c r="A751" s="445"/>
      <c r="B751" s="420"/>
      <c r="C751" s="420"/>
      <c r="D751" s="420"/>
      <c r="E751" s="420"/>
      <c r="F751" s="420"/>
      <c r="G751" s="420"/>
      <c r="H751" s="420"/>
      <c r="I751" s="89"/>
      <c r="J751" s="89"/>
      <c r="K751" s="89"/>
      <c r="L751" s="89"/>
      <c r="M751" s="89"/>
      <c r="N751" s="89"/>
      <c r="O751" s="89"/>
      <c r="P751" s="89"/>
      <c r="Q751" s="89"/>
      <c r="R751" s="89"/>
      <c r="S751" s="89"/>
      <c r="T751" s="89"/>
      <c r="U751" s="89"/>
      <c r="V751" s="89"/>
      <c r="W751" s="89"/>
      <c r="X751" s="89"/>
      <c r="Y751" s="89"/>
      <c r="Z751" s="89"/>
      <c r="AA751" s="89"/>
      <c r="AB751" s="89"/>
      <c r="AC751" s="89"/>
      <c r="AD751" s="89"/>
      <c r="AE751" s="89"/>
    </row>
    <row r="752">
      <c r="A752" s="445"/>
      <c r="B752" s="420"/>
      <c r="C752" s="420"/>
      <c r="D752" s="420"/>
      <c r="E752" s="420"/>
      <c r="F752" s="420"/>
      <c r="G752" s="420"/>
      <c r="H752" s="420"/>
      <c r="I752" s="89"/>
      <c r="J752" s="89"/>
      <c r="K752" s="89"/>
      <c r="L752" s="89"/>
      <c r="M752" s="89"/>
      <c r="N752" s="89"/>
      <c r="O752" s="89"/>
      <c r="P752" s="89"/>
      <c r="Q752" s="89"/>
      <c r="R752" s="89"/>
      <c r="S752" s="89"/>
      <c r="T752" s="89"/>
      <c r="U752" s="89"/>
      <c r="V752" s="89"/>
      <c r="W752" s="89"/>
      <c r="X752" s="89"/>
      <c r="Y752" s="89"/>
      <c r="Z752" s="89"/>
      <c r="AA752" s="89"/>
      <c r="AB752" s="89"/>
      <c r="AC752" s="89"/>
      <c r="AD752" s="89"/>
      <c r="AE752" s="89"/>
    </row>
    <row r="753">
      <c r="A753" s="445"/>
      <c r="B753" s="420"/>
      <c r="C753" s="420"/>
      <c r="D753" s="420"/>
      <c r="E753" s="420"/>
      <c r="F753" s="420"/>
      <c r="G753" s="420"/>
      <c r="H753" s="420"/>
      <c r="I753" s="89"/>
      <c r="J753" s="89"/>
      <c r="K753" s="89"/>
      <c r="L753" s="89"/>
      <c r="M753" s="89"/>
      <c r="N753" s="89"/>
      <c r="O753" s="89"/>
      <c r="P753" s="89"/>
      <c r="Q753" s="89"/>
      <c r="R753" s="89"/>
      <c r="S753" s="89"/>
      <c r="T753" s="89"/>
      <c r="U753" s="89"/>
      <c r="V753" s="89"/>
      <c r="W753" s="89"/>
      <c r="X753" s="89"/>
      <c r="Y753" s="89"/>
      <c r="Z753" s="89"/>
      <c r="AA753" s="89"/>
      <c r="AB753" s="89"/>
      <c r="AC753" s="89"/>
      <c r="AD753" s="89"/>
      <c r="AE753" s="89"/>
    </row>
    <row r="754">
      <c r="A754" s="445"/>
      <c r="B754" s="420"/>
      <c r="C754" s="420"/>
      <c r="D754" s="420"/>
      <c r="E754" s="420"/>
      <c r="F754" s="420"/>
      <c r="G754" s="420"/>
      <c r="H754" s="420"/>
      <c r="I754" s="89"/>
      <c r="J754" s="89"/>
      <c r="K754" s="89"/>
      <c r="L754" s="89"/>
      <c r="M754" s="89"/>
      <c r="N754" s="89"/>
      <c r="O754" s="89"/>
      <c r="P754" s="89"/>
      <c r="Q754" s="89"/>
      <c r="R754" s="89"/>
      <c r="S754" s="89"/>
      <c r="T754" s="89"/>
      <c r="U754" s="89"/>
      <c r="V754" s="89"/>
      <c r="W754" s="89"/>
      <c r="X754" s="89"/>
      <c r="Y754" s="89"/>
      <c r="Z754" s="89"/>
      <c r="AA754" s="89"/>
      <c r="AB754" s="89"/>
      <c r="AC754" s="89"/>
      <c r="AD754" s="89"/>
      <c r="AE754" s="89"/>
    </row>
    <row r="755">
      <c r="A755" s="445"/>
      <c r="B755" s="420"/>
      <c r="C755" s="420"/>
      <c r="D755" s="420"/>
      <c r="E755" s="420"/>
      <c r="F755" s="420"/>
      <c r="G755" s="420"/>
      <c r="H755" s="420"/>
      <c r="I755" s="89"/>
      <c r="J755" s="89"/>
      <c r="K755" s="89"/>
      <c r="L755" s="89"/>
      <c r="M755" s="89"/>
      <c r="N755" s="89"/>
      <c r="O755" s="89"/>
      <c r="P755" s="89"/>
      <c r="Q755" s="89"/>
      <c r="R755" s="89"/>
      <c r="S755" s="89"/>
      <c r="T755" s="89"/>
      <c r="U755" s="89"/>
      <c r="V755" s="89"/>
      <c r="W755" s="89"/>
      <c r="X755" s="89"/>
      <c r="Y755" s="89"/>
      <c r="Z755" s="89"/>
      <c r="AA755" s="89"/>
      <c r="AB755" s="89"/>
      <c r="AC755" s="89"/>
      <c r="AD755" s="89"/>
      <c r="AE755" s="89"/>
    </row>
    <row r="756">
      <c r="A756" s="445"/>
      <c r="B756" s="420"/>
      <c r="C756" s="420"/>
      <c r="D756" s="420"/>
      <c r="E756" s="420"/>
      <c r="F756" s="420"/>
      <c r="G756" s="420"/>
      <c r="H756" s="420"/>
      <c r="I756" s="89"/>
      <c r="J756" s="89"/>
      <c r="K756" s="89"/>
      <c r="L756" s="89"/>
      <c r="M756" s="89"/>
      <c r="N756" s="89"/>
      <c r="O756" s="89"/>
      <c r="P756" s="89"/>
      <c r="Q756" s="89"/>
      <c r="R756" s="89"/>
      <c r="S756" s="89"/>
      <c r="T756" s="89"/>
      <c r="U756" s="89"/>
      <c r="V756" s="89"/>
      <c r="W756" s="89"/>
      <c r="X756" s="89"/>
      <c r="Y756" s="89"/>
      <c r="Z756" s="89"/>
      <c r="AA756" s="89"/>
      <c r="AB756" s="89"/>
      <c r="AC756" s="89"/>
      <c r="AD756" s="89"/>
      <c r="AE756" s="89"/>
    </row>
    <row r="757">
      <c r="A757" s="445"/>
      <c r="B757" s="420"/>
      <c r="C757" s="420"/>
      <c r="D757" s="420"/>
      <c r="E757" s="420"/>
      <c r="F757" s="420"/>
      <c r="G757" s="420"/>
      <c r="H757" s="420"/>
      <c r="I757" s="89"/>
      <c r="J757" s="89"/>
      <c r="K757" s="89"/>
      <c r="L757" s="89"/>
      <c r="M757" s="89"/>
      <c r="N757" s="89"/>
      <c r="O757" s="89"/>
      <c r="P757" s="89"/>
      <c r="Q757" s="89"/>
      <c r="R757" s="89"/>
      <c r="S757" s="89"/>
      <c r="T757" s="89"/>
      <c r="U757" s="89"/>
      <c r="V757" s="89"/>
      <c r="W757" s="89"/>
      <c r="X757" s="89"/>
      <c r="Y757" s="89"/>
      <c r="Z757" s="89"/>
      <c r="AA757" s="89"/>
      <c r="AB757" s="89"/>
      <c r="AC757" s="89"/>
      <c r="AD757" s="89"/>
      <c r="AE757" s="89"/>
    </row>
    <row r="758">
      <c r="A758" s="445"/>
      <c r="B758" s="420"/>
      <c r="C758" s="420"/>
      <c r="D758" s="420"/>
      <c r="E758" s="420"/>
      <c r="F758" s="420"/>
      <c r="G758" s="420"/>
      <c r="H758" s="420"/>
      <c r="I758" s="89"/>
      <c r="J758" s="89"/>
      <c r="K758" s="89"/>
      <c r="L758" s="89"/>
      <c r="M758" s="89"/>
      <c r="N758" s="89"/>
      <c r="O758" s="89"/>
      <c r="P758" s="89"/>
      <c r="Q758" s="89"/>
      <c r="R758" s="89"/>
      <c r="S758" s="89"/>
      <c r="T758" s="89"/>
      <c r="U758" s="89"/>
      <c r="V758" s="89"/>
      <c r="W758" s="89"/>
      <c r="X758" s="89"/>
      <c r="Y758" s="89"/>
      <c r="Z758" s="89"/>
      <c r="AA758" s="89"/>
      <c r="AB758" s="89"/>
      <c r="AC758" s="89"/>
      <c r="AD758" s="89"/>
      <c r="AE758" s="89"/>
    </row>
    <row r="759">
      <c r="A759" s="445"/>
      <c r="B759" s="420"/>
      <c r="C759" s="420"/>
      <c r="D759" s="420"/>
      <c r="E759" s="420"/>
      <c r="F759" s="420"/>
      <c r="G759" s="420"/>
      <c r="H759" s="420"/>
      <c r="I759" s="89"/>
      <c r="J759" s="89"/>
      <c r="K759" s="89"/>
      <c r="L759" s="89"/>
      <c r="M759" s="89"/>
      <c r="N759" s="89"/>
      <c r="O759" s="89"/>
      <c r="P759" s="89"/>
      <c r="Q759" s="89"/>
      <c r="R759" s="89"/>
      <c r="S759" s="89"/>
      <c r="T759" s="89"/>
      <c r="U759" s="89"/>
      <c r="V759" s="89"/>
      <c r="W759" s="89"/>
      <c r="X759" s="89"/>
      <c r="Y759" s="89"/>
      <c r="Z759" s="89"/>
      <c r="AA759" s="89"/>
      <c r="AB759" s="89"/>
      <c r="AC759" s="89"/>
      <c r="AD759" s="89"/>
      <c r="AE759" s="89"/>
    </row>
    <row r="760">
      <c r="A760" s="445"/>
      <c r="B760" s="420"/>
      <c r="C760" s="420"/>
      <c r="D760" s="420"/>
      <c r="E760" s="420"/>
      <c r="F760" s="420"/>
      <c r="G760" s="420"/>
      <c r="H760" s="420"/>
      <c r="I760" s="89"/>
      <c r="J760" s="89"/>
      <c r="K760" s="89"/>
      <c r="L760" s="89"/>
      <c r="M760" s="89"/>
      <c r="N760" s="89"/>
      <c r="O760" s="89"/>
      <c r="P760" s="89"/>
      <c r="Q760" s="89"/>
      <c r="R760" s="89"/>
      <c r="S760" s="89"/>
      <c r="T760" s="89"/>
      <c r="U760" s="89"/>
      <c r="V760" s="89"/>
      <c r="W760" s="89"/>
      <c r="X760" s="89"/>
      <c r="Y760" s="89"/>
      <c r="Z760" s="89"/>
      <c r="AA760" s="89"/>
      <c r="AB760" s="89"/>
      <c r="AC760" s="89"/>
      <c r="AD760" s="89"/>
      <c r="AE760" s="89"/>
    </row>
    <row r="761">
      <c r="A761" s="445"/>
      <c r="B761" s="420"/>
      <c r="C761" s="420"/>
      <c r="D761" s="420"/>
      <c r="E761" s="420"/>
      <c r="F761" s="420"/>
      <c r="G761" s="420"/>
      <c r="H761" s="420"/>
      <c r="I761" s="89"/>
      <c r="J761" s="89"/>
      <c r="K761" s="89"/>
      <c r="L761" s="89"/>
      <c r="M761" s="89"/>
      <c r="N761" s="89"/>
      <c r="O761" s="89"/>
      <c r="P761" s="89"/>
      <c r="Q761" s="89"/>
      <c r="R761" s="89"/>
      <c r="S761" s="89"/>
      <c r="T761" s="89"/>
      <c r="U761" s="89"/>
      <c r="V761" s="89"/>
      <c r="W761" s="89"/>
      <c r="X761" s="89"/>
      <c r="Y761" s="89"/>
      <c r="Z761" s="89"/>
      <c r="AA761" s="89"/>
      <c r="AB761" s="89"/>
      <c r="AC761" s="89"/>
      <c r="AD761" s="89"/>
      <c r="AE761" s="89"/>
    </row>
    <row r="762">
      <c r="A762" s="445"/>
      <c r="B762" s="420"/>
      <c r="C762" s="420"/>
      <c r="D762" s="420"/>
      <c r="E762" s="420"/>
      <c r="F762" s="420"/>
      <c r="G762" s="420"/>
      <c r="H762" s="420"/>
      <c r="I762" s="89"/>
      <c r="J762" s="89"/>
      <c r="K762" s="89"/>
      <c r="L762" s="89"/>
      <c r="M762" s="89"/>
      <c r="N762" s="89"/>
      <c r="O762" s="89"/>
      <c r="P762" s="89"/>
      <c r="Q762" s="89"/>
      <c r="R762" s="89"/>
      <c r="S762" s="89"/>
      <c r="T762" s="89"/>
      <c r="U762" s="89"/>
      <c r="V762" s="89"/>
      <c r="W762" s="89"/>
      <c r="X762" s="89"/>
      <c r="Y762" s="89"/>
      <c r="Z762" s="89"/>
      <c r="AA762" s="89"/>
      <c r="AB762" s="89"/>
      <c r="AC762" s="89"/>
      <c r="AD762" s="89"/>
      <c r="AE762" s="89"/>
    </row>
    <row r="763">
      <c r="A763" s="445"/>
      <c r="B763" s="420"/>
      <c r="C763" s="420"/>
      <c r="D763" s="420"/>
      <c r="E763" s="420"/>
      <c r="F763" s="420"/>
      <c r="G763" s="420"/>
      <c r="H763" s="420"/>
      <c r="I763" s="89"/>
      <c r="J763" s="89"/>
      <c r="K763" s="89"/>
      <c r="L763" s="89"/>
      <c r="M763" s="89"/>
      <c r="N763" s="89"/>
      <c r="O763" s="89"/>
      <c r="P763" s="89"/>
      <c r="Q763" s="89"/>
      <c r="R763" s="89"/>
      <c r="S763" s="89"/>
      <c r="T763" s="89"/>
      <c r="U763" s="89"/>
      <c r="V763" s="89"/>
      <c r="W763" s="89"/>
      <c r="X763" s="89"/>
      <c r="Y763" s="89"/>
      <c r="Z763" s="89"/>
      <c r="AA763" s="89"/>
      <c r="AB763" s="89"/>
      <c r="AC763" s="89"/>
      <c r="AD763" s="89"/>
      <c r="AE763" s="89"/>
    </row>
    <row r="764">
      <c r="A764" s="445"/>
      <c r="B764" s="420"/>
      <c r="C764" s="420"/>
      <c r="D764" s="420"/>
      <c r="E764" s="420"/>
      <c r="F764" s="420"/>
      <c r="G764" s="420"/>
      <c r="H764" s="420"/>
      <c r="I764" s="89"/>
      <c r="J764" s="89"/>
      <c r="K764" s="89"/>
      <c r="L764" s="89"/>
      <c r="M764" s="89"/>
      <c r="N764" s="89"/>
      <c r="O764" s="89"/>
      <c r="P764" s="89"/>
      <c r="Q764" s="89"/>
      <c r="R764" s="89"/>
      <c r="S764" s="89"/>
      <c r="T764" s="89"/>
      <c r="U764" s="89"/>
      <c r="V764" s="89"/>
      <c r="W764" s="89"/>
      <c r="X764" s="89"/>
      <c r="Y764" s="89"/>
      <c r="Z764" s="89"/>
      <c r="AA764" s="89"/>
      <c r="AB764" s="89"/>
      <c r="AC764" s="89"/>
      <c r="AD764" s="89"/>
      <c r="AE764" s="89"/>
    </row>
    <row r="765">
      <c r="A765" s="445"/>
      <c r="B765" s="420"/>
      <c r="C765" s="420"/>
      <c r="D765" s="420"/>
      <c r="E765" s="420"/>
      <c r="F765" s="420"/>
      <c r="G765" s="420"/>
      <c r="H765" s="420"/>
      <c r="I765" s="89"/>
      <c r="J765" s="89"/>
      <c r="K765" s="89"/>
      <c r="L765" s="89"/>
      <c r="M765" s="89"/>
      <c r="N765" s="89"/>
      <c r="O765" s="89"/>
      <c r="P765" s="89"/>
      <c r="Q765" s="89"/>
      <c r="R765" s="89"/>
      <c r="S765" s="89"/>
      <c r="T765" s="89"/>
      <c r="U765" s="89"/>
      <c r="V765" s="89"/>
      <c r="W765" s="89"/>
      <c r="X765" s="89"/>
      <c r="Y765" s="89"/>
      <c r="Z765" s="89"/>
      <c r="AA765" s="89"/>
      <c r="AB765" s="89"/>
      <c r="AC765" s="89"/>
      <c r="AD765" s="89"/>
      <c r="AE765" s="89"/>
    </row>
    <row r="766">
      <c r="A766" s="445"/>
      <c r="B766" s="420"/>
      <c r="C766" s="420"/>
      <c r="D766" s="420"/>
      <c r="E766" s="420"/>
      <c r="F766" s="420"/>
      <c r="G766" s="420"/>
      <c r="H766" s="420"/>
      <c r="I766" s="89"/>
      <c r="J766" s="89"/>
      <c r="K766" s="89"/>
      <c r="L766" s="89"/>
      <c r="M766" s="89"/>
      <c r="N766" s="89"/>
      <c r="O766" s="89"/>
      <c r="P766" s="89"/>
      <c r="Q766" s="89"/>
      <c r="R766" s="89"/>
      <c r="S766" s="89"/>
      <c r="T766" s="89"/>
      <c r="U766" s="89"/>
      <c r="V766" s="89"/>
      <c r="W766" s="89"/>
      <c r="X766" s="89"/>
      <c r="Y766" s="89"/>
      <c r="Z766" s="89"/>
      <c r="AA766" s="89"/>
      <c r="AB766" s="89"/>
      <c r="AC766" s="89"/>
      <c r="AD766" s="89"/>
      <c r="AE766" s="89"/>
    </row>
    <row r="767">
      <c r="A767" s="445"/>
      <c r="B767" s="420"/>
      <c r="C767" s="420"/>
      <c r="D767" s="420"/>
      <c r="E767" s="420"/>
      <c r="F767" s="420"/>
      <c r="G767" s="420"/>
      <c r="H767" s="420"/>
      <c r="I767" s="89"/>
      <c r="J767" s="89"/>
      <c r="K767" s="89"/>
      <c r="L767" s="89"/>
      <c r="M767" s="89"/>
      <c r="N767" s="89"/>
      <c r="O767" s="89"/>
      <c r="P767" s="89"/>
      <c r="Q767" s="89"/>
      <c r="R767" s="89"/>
      <c r="S767" s="89"/>
      <c r="T767" s="89"/>
      <c r="U767" s="89"/>
      <c r="V767" s="89"/>
      <c r="W767" s="89"/>
      <c r="X767" s="89"/>
      <c r="Y767" s="89"/>
      <c r="Z767" s="89"/>
      <c r="AA767" s="89"/>
      <c r="AB767" s="89"/>
      <c r="AC767" s="89"/>
      <c r="AD767" s="89"/>
      <c r="AE767" s="89"/>
    </row>
    <row r="768">
      <c r="A768" s="445"/>
      <c r="B768" s="420"/>
      <c r="C768" s="420"/>
      <c r="D768" s="420"/>
      <c r="E768" s="420"/>
      <c r="F768" s="420"/>
      <c r="G768" s="420"/>
      <c r="H768" s="420"/>
      <c r="I768" s="89"/>
      <c r="J768" s="89"/>
      <c r="K768" s="89"/>
      <c r="L768" s="89"/>
      <c r="M768" s="89"/>
      <c r="N768" s="89"/>
      <c r="O768" s="89"/>
      <c r="P768" s="89"/>
      <c r="Q768" s="89"/>
      <c r="R768" s="89"/>
      <c r="S768" s="89"/>
      <c r="T768" s="89"/>
      <c r="U768" s="89"/>
      <c r="V768" s="89"/>
      <c r="W768" s="89"/>
      <c r="X768" s="89"/>
      <c r="Y768" s="89"/>
      <c r="Z768" s="89"/>
      <c r="AA768" s="89"/>
      <c r="AB768" s="89"/>
      <c r="AC768" s="89"/>
      <c r="AD768" s="89"/>
      <c r="AE768" s="89"/>
    </row>
    <row r="769">
      <c r="A769" s="445"/>
      <c r="B769" s="420"/>
      <c r="C769" s="420"/>
      <c r="D769" s="420"/>
      <c r="E769" s="420"/>
      <c r="F769" s="420"/>
      <c r="G769" s="420"/>
      <c r="H769" s="420"/>
      <c r="I769" s="89"/>
      <c r="J769" s="89"/>
      <c r="K769" s="89"/>
      <c r="L769" s="89"/>
      <c r="M769" s="89"/>
      <c r="N769" s="89"/>
      <c r="O769" s="89"/>
      <c r="P769" s="89"/>
      <c r="Q769" s="89"/>
      <c r="R769" s="89"/>
      <c r="S769" s="89"/>
      <c r="T769" s="89"/>
      <c r="U769" s="89"/>
      <c r="V769" s="89"/>
      <c r="W769" s="89"/>
      <c r="X769" s="89"/>
      <c r="Y769" s="89"/>
      <c r="Z769" s="89"/>
      <c r="AA769" s="89"/>
      <c r="AB769" s="89"/>
      <c r="AC769" s="89"/>
      <c r="AD769" s="89"/>
      <c r="AE769" s="89"/>
    </row>
    <row r="770">
      <c r="A770" s="445"/>
      <c r="B770" s="420"/>
      <c r="C770" s="420"/>
      <c r="D770" s="420"/>
      <c r="E770" s="420"/>
      <c r="F770" s="420"/>
      <c r="G770" s="420"/>
      <c r="H770" s="420"/>
      <c r="I770" s="89"/>
      <c r="J770" s="89"/>
      <c r="K770" s="89"/>
      <c r="L770" s="89"/>
      <c r="M770" s="89"/>
      <c r="N770" s="89"/>
      <c r="O770" s="89"/>
      <c r="P770" s="89"/>
      <c r="Q770" s="89"/>
      <c r="R770" s="89"/>
      <c r="S770" s="89"/>
      <c r="T770" s="89"/>
      <c r="U770" s="89"/>
      <c r="V770" s="89"/>
      <c r="W770" s="89"/>
      <c r="X770" s="89"/>
      <c r="Y770" s="89"/>
      <c r="Z770" s="89"/>
      <c r="AA770" s="89"/>
      <c r="AB770" s="89"/>
      <c r="AC770" s="89"/>
      <c r="AD770" s="89"/>
      <c r="AE770" s="89"/>
    </row>
    <row r="771">
      <c r="A771" s="445"/>
      <c r="B771" s="420"/>
      <c r="C771" s="420"/>
      <c r="D771" s="420"/>
      <c r="E771" s="420"/>
      <c r="F771" s="420"/>
      <c r="G771" s="420"/>
      <c r="H771" s="420"/>
      <c r="I771" s="89"/>
      <c r="J771" s="89"/>
      <c r="K771" s="89"/>
      <c r="L771" s="89"/>
      <c r="M771" s="89"/>
      <c r="N771" s="89"/>
      <c r="O771" s="89"/>
      <c r="P771" s="89"/>
      <c r="Q771" s="89"/>
      <c r="R771" s="89"/>
      <c r="S771" s="89"/>
      <c r="T771" s="89"/>
      <c r="U771" s="89"/>
      <c r="V771" s="89"/>
      <c r="W771" s="89"/>
      <c r="X771" s="89"/>
      <c r="Y771" s="89"/>
      <c r="Z771" s="89"/>
      <c r="AA771" s="89"/>
      <c r="AB771" s="89"/>
      <c r="AC771" s="89"/>
      <c r="AD771" s="89"/>
      <c r="AE771" s="89"/>
    </row>
    <row r="772">
      <c r="A772" s="445"/>
      <c r="B772" s="420"/>
      <c r="C772" s="420"/>
      <c r="D772" s="420"/>
      <c r="E772" s="420"/>
      <c r="F772" s="420"/>
      <c r="G772" s="420"/>
      <c r="H772" s="420"/>
      <c r="I772" s="89"/>
      <c r="J772" s="89"/>
      <c r="K772" s="89"/>
      <c r="L772" s="89"/>
      <c r="M772" s="89"/>
      <c r="N772" s="89"/>
      <c r="O772" s="89"/>
      <c r="P772" s="89"/>
      <c r="Q772" s="89"/>
      <c r="R772" s="89"/>
      <c r="S772" s="89"/>
      <c r="T772" s="89"/>
      <c r="U772" s="89"/>
      <c r="V772" s="89"/>
      <c r="W772" s="89"/>
      <c r="X772" s="89"/>
      <c r="Y772" s="89"/>
      <c r="Z772" s="89"/>
      <c r="AA772" s="89"/>
      <c r="AB772" s="89"/>
      <c r="AC772" s="89"/>
      <c r="AD772" s="89"/>
      <c r="AE772" s="89"/>
    </row>
    <row r="773">
      <c r="A773" s="445"/>
      <c r="B773" s="420"/>
      <c r="C773" s="420"/>
      <c r="D773" s="420"/>
      <c r="E773" s="420"/>
      <c r="F773" s="420"/>
      <c r="G773" s="420"/>
      <c r="H773" s="420"/>
      <c r="I773" s="89"/>
      <c r="J773" s="89"/>
      <c r="K773" s="89"/>
      <c r="L773" s="89"/>
      <c r="M773" s="89"/>
      <c r="N773" s="89"/>
      <c r="O773" s="89"/>
      <c r="P773" s="89"/>
      <c r="Q773" s="89"/>
      <c r="R773" s="89"/>
      <c r="S773" s="89"/>
      <c r="T773" s="89"/>
      <c r="U773" s="89"/>
      <c r="V773" s="89"/>
      <c r="W773" s="89"/>
      <c r="X773" s="89"/>
      <c r="Y773" s="89"/>
      <c r="Z773" s="89"/>
      <c r="AA773" s="89"/>
      <c r="AB773" s="89"/>
      <c r="AC773" s="89"/>
      <c r="AD773" s="89"/>
      <c r="AE773" s="89"/>
    </row>
    <row r="774">
      <c r="A774" s="445"/>
      <c r="B774" s="420"/>
      <c r="C774" s="420"/>
      <c r="D774" s="420"/>
      <c r="E774" s="420"/>
      <c r="F774" s="420"/>
      <c r="G774" s="420"/>
      <c r="H774" s="420"/>
      <c r="I774" s="89"/>
      <c r="J774" s="89"/>
      <c r="K774" s="89"/>
      <c r="L774" s="89"/>
      <c r="M774" s="89"/>
      <c r="N774" s="89"/>
      <c r="O774" s="89"/>
      <c r="P774" s="89"/>
      <c r="Q774" s="89"/>
      <c r="R774" s="89"/>
      <c r="S774" s="89"/>
      <c r="T774" s="89"/>
      <c r="U774" s="89"/>
      <c r="V774" s="89"/>
      <c r="W774" s="89"/>
      <c r="X774" s="89"/>
      <c r="Y774" s="89"/>
      <c r="Z774" s="89"/>
      <c r="AA774" s="89"/>
      <c r="AB774" s="89"/>
      <c r="AC774" s="89"/>
      <c r="AD774" s="89"/>
      <c r="AE774" s="89"/>
    </row>
    <row r="775">
      <c r="A775" s="445"/>
      <c r="B775" s="420"/>
      <c r="C775" s="420"/>
      <c r="D775" s="420"/>
      <c r="E775" s="420"/>
      <c r="F775" s="420"/>
      <c r="G775" s="420"/>
      <c r="H775" s="420"/>
      <c r="I775" s="89"/>
      <c r="J775" s="89"/>
      <c r="K775" s="89"/>
      <c r="L775" s="89"/>
      <c r="M775" s="89"/>
      <c r="N775" s="89"/>
      <c r="O775" s="89"/>
      <c r="P775" s="89"/>
      <c r="Q775" s="89"/>
      <c r="R775" s="89"/>
      <c r="S775" s="89"/>
      <c r="T775" s="89"/>
      <c r="U775" s="89"/>
      <c r="V775" s="89"/>
      <c r="W775" s="89"/>
      <c r="X775" s="89"/>
      <c r="Y775" s="89"/>
      <c r="Z775" s="89"/>
      <c r="AA775" s="89"/>
      <c r="AB775" s="89"/>
      <c r="AC775" s="89"/>
      <c r="AD775" s="89"/>
      <c r="AE775" s="89"/>
    </row>
    <row r="776">
      <c r="A776" s="445"/>
      <c r="B776" s="420"/>
      <c r="C776" s="420"/>
      <c r="D776" s="420"/>
      <c r="E776" s="420"/>
      <c r="F776" s="420"/>
      <c r="G776" s="420"/>
      <c r="H776" s="420"/>
      <c r="I776" s="89"/>
      <c r="J776" s="89"/>
      <c r="K776" s="89"/>
      <c r="L776" s="89"/>
      <c r="M776" s="89"/>
      <c r="N776" s="89"/>
      <c r="O776" s="89"/>
      <c r="P776" s="89"/>
      <c r="Q776" s="89"/>
      <c r="R776" s="89"/>
      <c r="S776" s="89"/>
      <c r="T776" s="89"/>
      <c r="U776" s="89"/>
      <c r="V776" s="89"/>
      <c r="W776" s="89"/>
      <c r="X776" s="89"/>
      <c r="Y776" s="89"/>
      <c r="Z776" s="89"/>
      <c r="AA776" s="89"/>
      <c r="AB776" s="89"/>
      <c r="AC776" s="89"/>
      <c r="AD776" s="89"/>
      <c r="AE776" s="89"/>
    </row>
    <row r="777">
      <c r="A777" s="445"/>
      <c r="B777" s="420"/>
      <c r="C777" s="420"/>
      <c r="D777" s="420"/>
      <c r="E777" s="420"/>
      <c r="F777" s="420"/>
      <c r="G777" s="420"/>
      <c r="H777" s="420"/>
      <c r="I777" s="89"/>
      <c r="J777" s="89"/>
      <c r="K777" s="89"/>
      <c r="L777" s="89"/>
      <c r="M777" s="89"/>
      <c r="N777" s="89"/>
      <c r="O777" s="89"/>
      <c r="P777" s="89"/>
      <c r="Q777" s="89"/>
      <c r="R777" s="89"/>
      <c r="S777" s="89"/>
      <c r="T777" s="89"/>
      <c r="U777" s="89"/>
      <c r="V777" s="89"/>
      <c r="W777" s="89"/>
      <c r="X777" s="89"/>
      <c r="Y777" s="89"/>
      <c r="Z777" s="89"/>
      <c r="AA777" s="89"/>
      <c r="AB777" s="89"/>
      <c r="AC777" s="89"/>
      <c r="AD777" s="89"/>
      <c r="AE777" s="89"/>
    </row>
    <row r="778">
      <c r="A778" s="445"/>
      <c r="B778" s="420"/>
      <c r="C778" s="420"/>
      <c r="D778" s="420"/>
      <c r="E778" s="420"/>
      <c r="F778" s="420"/>
      <c r="G778" s="420"/>
      <c r="H778" s="420"/>
      <c r="I778" s="89"/>
      <c r="J778" s="89"/>
      <c r="K778" s="89"/>
      <c r="L778" s="89"/>
      <c r="M778" s="89"/>
      <c r="N778" s="89"/>
      <c r="O778" s="89"/>
      <c r="P778" s="89"/>
      <c r="Q778" s="89"/>
      <c r="R778" s="89"/>
      <c r="S778" s="89"/>
      <c r="T778" s="89"/>
      <c r="U778" s="89"/>
      <c r="V778" s="89"/>
      <c r="W778" s="89"/>
      <c r="X778" s="89"/>
      <c r="Y778" s="89"/>
      <c r="Z778" s="89"/>
      <c r="AA778" s="89"/>
      <c r="AB778" s="89"/>
      <c r="AC778" s="89"/>
      <c r="AD778" s="89"/>
      <c r="AE778" s="89"/>
    </row>
    <row r="779">
      <c r="A779" s="445"/>
      <c r="B779" s="420"/>
      <c r="C779" s="420"/>
      <c r="D779" s="420"/>
      <c r="E779" s="420"/>
      <c r="F779" s="420"/>
      <c r="G779" s="420"/>
      <c r="H779" s="420"/>
      <c r="I779" s="89"/>
      <c r="J779" s="89"/>
      <c r="K779" s="89"/>
      <c r="L779" s="89"/>
      <c r="M779" s="89"/>
      <c r="N779" s="89"/>
      <c r="O779" s="89"/>
      <c r="P779" s="89"/>
      <c r="Q779" s="89"/>
      <c r="R779" s="89"/>
      <c r="S779" s="89"/>
      <c r="T779" s="89"/>
      <c r="U779" s="89"/>
      <c r="V779" s="89"/>
      <c r="W779" s="89"/>
      <c r="X779" s="89"/>
      <c r="Y779" s="89"/>
      <c r="Z779" s="89"/>
      <c r="AA779" s="89"/>
      <c r="AB779" s="89"/>
      <c r="AC779" s="89"/>
      <c r="AD779" s="89"/>
      <c r="AE779" s="89"/>
    </row>
    <row r="780">
      <c r="A780" s="445"/>
      <c r="B780" s="420"/>
      <c r="C780" s="420"/>
      <c r="D780" s="420"/>
      <c r="E780" s="420"/>
      <c r="F780" s="420"/>
      <c r="G780" s="420"/>
      <c r="H780" s="420"/>
      <c r="I780" s="89"/>
      <c r="J780" s="89"/>
      <c r="K780" s="89"/>
      <c r="L780" s="89"/>
      <c r="M780" s="89"/>
      <c r="N780" s="89"/>
      <c r="O780" s="89"/>
      <c r="P780" s="89"/>
      <c r="Q780" s="89"/>
      <c r="R780" s="89"/>
      <c r="S780" s="89"/>
      <c r="T780" s="89"/>
      <c r="U780" s="89"/>
      <c r="V780" s="89"/>
      <c r="W780" s="89"/>
      <c r="X780" s="89"/>
      <c r="Y780" s="89"/>
      <c r="Z780" s="89"/>
      <c r="AA780" s="89"/>
      <c r="AB780" s="89"/>
      <c r="AC780" s="89"/>
      <c r="AD780" s="89"/>
      <c r="AE780" s="89"/>
    </row>
    <row r="781">
      <c r="A781" s="445"/>
      <c r="B781" s="420"/>
      <c r="C781" s="420"/>
      <c r="D781" s="420"/>
      <c r="E781" s="420"/>
      <c r="F781" s="420"/>
      <c r="G781" s="420"/>
      <c r="H781" s="420"/>
      <c r="I781" s="89"/>
      <c r="J781" s="89"/>
      <c r="K781" s="89"/>
      <c r="L781" s="89"/>
      <c r="M781" s="89"/>
      <c r="N781" s="89"/>
      <c r="O781" s="89"/>
      <c r="P781" s="89"/>
      <c r="Q781" s="89"/>
      <c r="R781" s="89"/>
      <c r="S781" s="89"/>
      <c r="T781" s="89"/>
      <c r="U781" s="89"/>
      <c r="V781" s="89"/>
      <c r="W781" s="89"/>
      <c r="X781" s="89"/>
      <c r="Y781" s="89"/>
      <c r="Z781" s="89"/>
      <c r="AA781" s="89"/>
      <c r="AB781" s="89"/>
      <c r="AC781" s="89"/>
      <c r="AD781" s="89"/>
      <c r="AE781" s="89"/>
    </row>
    <row r="782">
      <c r="A782" s="445"/>
      <c r="B782" s="420"/>
      <c r="C782" s="420"/>
      <c r="D782" s="420"/>
      <c r="E782" s="420"/>
      <c r="F782" s="420"/>
      <c r="G782" s="420"/>
      <c r="H782" s="420"/>
      <c r="I782" s="89"/>
      <c r="J782" s="89"/>
      <c r="K782" s="89"/>
      <c r="L782" s="89"/>
      <c r="M782" s="89"/>
      <c r="N782" s="89"/>
      <c r="O782" s="89"/>
      <c r="P782" s="89"/>
      <c r="Q782" s="89"/>
      <c r="R782" s="89"/>
      <c r="S782" s="89"/>
      <c r="T782" s="89"/>
      <c r="U782" s="89"/>
      <c r="V782" s="89"/>
      <c r="W782" s="89"/>
      <c r="X782" s="89"/>
      <c r="Y782" s="89"/>
      <c r="Z782" s="89"/>
      <c r="AA782" s="89"/>
      <c r="AB782" s="89"/>
      <c r="AC782" s="89"/>
      <c r="AD782" s="89"/>
      <c r="AE782" s="89"/>
    </row>
    <row r="783">
      <c r="A783" s="445"/>
      <c r="B783" s="420"/>
      <c r="C783" s="420"/>
      <c r="D783" s="420"/>
      <c r="E783" s="420"/>
      <c r="F783" s="420"/>
      <c r="G783" s="420"/>
      <c r="H783" s="420"/>
      <c r="I783" s="89"/>
      <c r="J783" s="89"/>
      <c r="K783" s="89"/>
      <c r="L783" s="89"/>
      <c r="M783" s="89"/>
      <c r="N783" s="89"/>
      <c r="O783" s="89"/>
      <c r="P783" s="89"/>
      <c r="Q783" s="89"/>
      <c r="R783" s="89"/>
      <c r="S783" s="89"/>
      <c r="T783" s="89"/>
      <c r="U783" s="89"/>
      <c r="V783" s="89"/>
      <c r="W783" s="89"/>
      <c r="X783" s="89"/>
      <c r="Y783" s="89"/>
      <c r="Z783" s="89"/>
      <c r="AA783" s="89"/>
      <c r="AB783" s="89"/>
      <c r="AC783" s="89"/>
      <c r="AD783" s="89"/>
      <c r="AE783" s="89"/>
    </row>
    <row r="784">
      <c r="A784" s="445"/>
      <c r="B784" s="420"/>
      <c r="C784" s="420"/>
      <c r="D784" s="420"/>
      <c r="E784" s="420"/>
      <c r="F784" s="420"/>
      <c r="G784" s="420"/>
      <c r="H784" s="420"/>
      <c r="I784" s="89"/>
      <c r="J784" s="89"/>
      <c r="K784" s="89"/>
      <c r="L784" s="89"/>
      <c r="M784" s="89"/>
      <c r="N784" s="89"/>
      <c r="O784" s="89"/>
      <c r="P784" s="89"/>
      <c r="Q784" s="89"/>
      <c r="R784" s="89"/>
      <c r="S784" s="89"/>
      <c r="T784" s="89"/>
      <c r="U784" s="89"/>
      <c r="V784" s="89"/>
      <c r="W784" s="89"/>
      <c r="X784" s="89"/>
      <c r="Y784" s="89"/>
      <c r="Z784" s="89"/>
      <c r="AA784" s="89"/>
      <c r="AB784" s="89"/>
      <c r="AC784" s="89"/>
      <c r="AD784" s="89"/>
      <c r="AE784" s="89"/>
    </row>
    <row r="785">
      <c r="A785" s="445"/>
      <c r="B785" s="420"/>
      <c r="C785" s="420"/>
      <c r="D785" s="420"/>
      <c r="E785" s="420"/>
      <c r="F785" s="420"/>
      <c r="G785" s="420"/>
      <c r="H785" s="420"/>
      <c r="I785" s="89"/>
      <c r="J785" s="89"/>
      <c r="K785" s="89"/>
      <c r="L785" s="89"/>
      <c r="M785" s="89"/>
      <c r="N785" s="89"/>
      <c r="O785" s="89"/>
      <c r="P785" s="89"/>
      <c r="Q785" s="89"/>
      <c r="R785" s="89"/>
      <c r="S785" s="89"/>
      <c r="T785" s="89"/>
      <c r="U785" s="89"/>
      <c r="V785" s="89"/>
      <c r="W785" s="89"/>
      <c r="X785" s="89"/>
      <c r="Y785" s="89"/>
      <c r="Z785" s="89"/>
      <c r="AA785" s="89"/>
      <c r="AB785" s="89"/>
      <c r="AC785" s="89"/>
      <c r="AD785" s="89"/>
      <c r="AE785" s="89"/>
    </row>
    <row r="786">
      <c r="A786" s="445"/>
      <c r="B786" s="420"/>
      <c r="C786" s="420"/>
      <c r="D786" s="420"/>
      <c r="E786" s="420"/>
      <c r="F786" s="420"/>
      <c r="G786" s="420"/>
      <c r="H786" s="420"/>
      <c r="I786" s="89"/>
      <c r="J786" s="89"/>
      <c r="K786" s="89"/>
      <c r="L786" s="89"/>
      <c r="M786" s="89"/>
      <c r="N786" s="89"/>
      <c r="O786" s="89"/>
      <c r="P786" s="89"/>
      <c r="Q786" s="89"/>
      <c r="R786" s="89"/>
      <c r="S786" s="89"/>
      <c r="T786" s="89"/>
      <c r="U786" s="89"/>
      <c r="V786" s="89"/>
      <c r="W786" s="89"/>
      <c r="X786" s="89"/>
      <c r="Y786" s="89"/>
      <c r="Z786" s="89"/>
      <c r="AA786" s="89"/>
      <c r="AB786" s="89"/>
      <c r="AC786" s="89"/>
      <c r="AD786" s="89"/>
      <c r="AE786" s="89"/>
    </row>
    <row r="787">
      <c r="A787" s="445"/>
      <c r="B787" s="420"/>
      <c r="C787" s="420"/>
      <c r="D787" s="420"/>
      <c r="E787" s="420"/>
      <c r="F787" s="420"/>
      <c r="G787" s="420"/>
      <c r="H787" s="420"/>
      <c r="I787" s="89"/>
      <c r="J787" s="89"/>
      <c r="K787" s="89"/>
      <c r="L787" s="89"/>
      <c r="M787" s="89"/>
      <c r="N787" s="89"/>
      <c r="O787" s="89"/>
      <c r="P787" s="89"/>
      <c r="Q787" s="89"/>
      <c r="R787" s="89"/>
      <c r="S787" s="89"/>
      <c r="T787" s="89"/>
      <c r="U787" s="89"/>
      <c r="V787" s="89"/>
      <c r="W787" s="89"/>
      <c r="X787" s="89"/>
      <c r="Y787" s="89"/>
      <c r="Z787" s="89"/>
      <c r="AA787" s="89"/>
      <c r="AB787" s="89"/>
      <c r="AC787" s="89"/>
      <c r="AD787" s="89"/>
      <c r="AE787" s="89"/>
    </row>
    <row r="788">
      <c r="A788" s="445"/>
      <c r="B788" s="420"/>
      <c r="C788" s="420"/>
      <c r="D788" s="420"/>
      <c r="E788" s="420"/>
      <c r="F788" s="420"/>
      <c r="G788" s="420"/>
      <c r="H788" s="420"/>
      <c r="I788" s="89"/>
      <c r="J788" s="89"/>
      <c r="K788" s="89"/>
      <c r="L788" s="89"/>
      <c r="M788" s="89"/>
      <c r="N788" s="89"/>
      <c r="O788" s="89"/>
      <c r="P788" s="89"/>
      <c r="Q788" s="89"/>
      <c r="R788" s="89"/>
      <c r="S788" s="89"/>
      <c r="T788" s="89"/>
      <c r="U788" s="89"/>
      <c r="V788" s="89"/>
      <c r="W788" s="89"/>
      <c r="X788" s="89"/>
      <c r="Y788" s="89"/>
      <c r="Z788" s="89"/>
      <c r="AA788" s="89"/>
      <c r="AB788" s="89"/>
      <c r="AC788" s="89"/>
      <c r="AD788" s="89"/>
      <c r="AE788" s="89"/>
    </row>
    <row r="789">
      <c r="A789" s="445"/>
      <c r="B789" s="420"/>
      <c r="C789" s="420"/>
      <c r="D789" s="420"/>
      <c r="E789" s="420"/>
      <c r="F789" s="420"/>
      <c r="G789" s="420"/>
      <c r="H789" s="420"/>
      <c r="I789" s="89"/>
      <c r="J789" s="89"/>
      <c r="K789" s="89"/>
      <c r="L789" s="89"/>
      <c r="M789" s="89"/>
      <c r="N789" s="89"/>
      <c r="O789" s="89"/>
      <c r="P789" s="89"/>
      <c r="Q789" s="89"/>
      <c r="R789" s="89"/>
      <c r="S789" s="89"/>
      <c r="T789" s="89"/>
      <c r="U789" s="89"/>
      <c r="V789" s="89"/>
      <c r="W789" s="89"/>
      <c r="X789" s="89"/>
      <c r="Y789" s="89"/>
      <c r="Z789" s="89"/>
      <c r="AA789" s="89"/>
      <c r="AB789" s="89"/>
      <c r="AC789" s="89"/>
      <c r="AD789" s="89"/>
      <c r="AE789" s="89"/>
    </row>
    <row r="790">
      <c r="A790" s="445"/>
      <c r="B790" s="420"/>
      <c r="C790" s="420"/>
      <c r="D790" s="420"/>
      <c r="E790" s="420"/>
      <c r="F790" s="420"/>
      <c r="G790" s="420"/>
      <c r="H790" s="420"/>
      <c r="I790" s="89"/>
      <c r="J790" s="89"/>
      <c r="K790" s="89"/>
      <c r="L790" s="89"/>
      <c r="M790" s="89"/>
      <c r="N790" s="89"/>
      <c r="O790" s="89"/>
      <c r="P790" s="89"/>
      <c r="Q790" s="89"/>
      <c r="R790" s="89"/>
      <c r="S790" s="89"/>
      <c r="T790" s="89"/>
      <c r="U790" s="89"/>
      <c r="V790" s="89"/>
      <c r="W790" s="89"/>
      <c r="X790" s="89"/>
      <c r="Y790" s="89"/>
      <c r="Z790" s="89"/>
      <c r="AA790" s="89"/>
      <c r="AB790" s="89"/>
      <c r="AC790" s="89"/>
      <c r="AD790" s="89"/>
      <c r="AE790" s="89"/>
    </row>
    <row r="791">
      <c r="A791" s="445"/>
      <c r="B791" s="420"/>
      <c r="C791" s="420"/>
      <c r="D791" s="420"/>
      <c r="E791" s="420"/>
      <c r="F791" s="420"/>
      <c r="G791" s="420"/>
      <c r="H791" s="420"/>
      <c r="I791" s="89"/>
      <c r="J791" s="89"/>
      <c r="K791" s="89"/>
      <c r="L791" s="89"/>
      <c r="M791" s="89"/>
      <c r="N791" s="89"/>
      <c r="O791" s="89"/>
      <c r="P791" s="89"/>
      <c r="Q791" s="89"/>
      <c r="R791" s="89"/>
      <c r="S791" s="89"/>
      <c r="T791" s="89"/>
      <c r="U791" s="89"/>
      <c r="V791" s="89"/>
      <c r="W791" s="89"/>
      <c r="X791" s="89"/>
      <c r="Y791" s="89"/>
      <c r="Z791" s="89"/>
      <c r="AA791" s="89"/>
      <c r="AB791" s="89"/>
      <c r="AC791" s="89"/>
      <c r="AD791" s="89"/>
      <c r="AE791" s="89"/>
    </row>
    <row r="792">
      <c r="A792" s="445"/>
      <c r="B792" s="420"/>
      <c r="C792" s="420"/>
      <c r="D792" s="420"/>
      <c r="E792" s="420"/>
      <c r="F792" s="420"/>
      <c r="G792" s="420"/>
      <c r="H792" s="420"/>
      <c r="I792" s="89"/>
      <c r="J792" s="89"/>
      <c r="K792" s="89"/>
      <c r="L792" s="89"/>
      <c r="M792" s="89"/>
      <c r="N792" s="89"/>
      <c r="O792" s="89"/>
      <c r="P792" s="89"/>
      <c r="Q792" s="89"/>
      <c r="R792" s="89"/>
      <c r="S792" s="89"/>
      <c r="T792" s="89"/>
      <c r="U792" s="89"/>
      <c r="V792" s="89"/>
      <c r="W792" s="89"/>
      <c r="X792" s="89"/>
      <c r="Y792" s="89"/>
      <c r="Z792" s="89"/>
      <c r="AA792" s="89"/>
      <c r="AB792" s="89"/>
      <c r="AC792" s="89"/>
      <c r="AD792" s="89"/>
      <c r="AE792" s="89"/>
    </row>
    <row r="793">
      <c r="A793" s="445"/>
      <c r="B793" s="420"/>
      <c r="C793" s="420"/>
      <c r="D793" s="420"/>
      <c r="E793" s="420"/>
      <c r="F793" s="420"/>
      <c r="G793" s="420"/>
      <c r="H793" s="420"/>
      <c r="I793" s="89"/>
      <c r="J793" s="89"/>
      <c r="K793" s="89"/>
      <c r="L793" s="89"/>
      <c r="M793" s="89"/>
      <c r="N793" s="89"/>
      <c r="O793" s="89"/>
      <c r="P793" s="89"/>
      <c r="Q793" s="89"/>
      <c r="R793" s="89"/>
      <c r="S793" s="89"/>
      <c r="T793" s="89"/>
      <c r="U793" s="89"/>
      <c r="V793" s="89"/>
      <c r="W793" s="89"/>
      <c r="X793" s="89"/>
      <c r="Y793" s="89"/>
      <c r="Z793" s="89"/>
      <c r="AA793" s="89"/>
      <c r="AB793" s="89"/>
      <c r="AC793" s="89"/>
      <c r="AD793" s="89"/>
      <c r="AE793" s="89"/>
    </row>
    <row r="794">
      <c r="A794" s="445"/>
      <c r="B794" s="420"/>
      <c r="C794" s="420"/>
      <c r="D794" s="420"/>
      <c r="E794" s="420"/>
      <c r="F794" s="420"/>
      <c r="G794" s="420"/>
      <c r="H794" s="420"/>
      <c r="I794" s="89"/>
      <c r="J794" s="89"/>
      <c r="K794" s="89"/>
      <c r="L794" s="89"/>
      <c r="M794" s="89"/>
      <c r="N794" s="89"/>
      <c r="O794" s="89"/>
      <c r="P794" s="89"/>
      <c r="Q794" s="89"/>
      <c r="R794" s="89"/>
      <c r="S794" s="89"/>
      <c r="T794" s="89"/>
      <c r="U794" s="89"/>
      <c r="V794" s="89"/>
      <c r="W794" s="89"/>
      <c r="X794" s="89"/>
      <c r="Y794" s="89"/>
      <c r="Z794" s="89"/>
      <c r="AA794" s="89"/>
      <c r="AB794" s="89"/>
      <c r="AC794" s="89"/>
      <c r="AD794" s="89"/>
      <c r="AE794" s="89"/>
    </row>
    <row r="795">
      <c r="A795" s="445"/>
      <c r="B795" s="420"/>
      <c r="C795" s="420"/>
      <c r="D795" s="420"/>
      <c r="E795" s="420"/>
      <c r="F795" s="420"/>
      <c r="G795" s="420"/>
      <c r="H795" s="420"/>
      <c r="I795" s="89"/>
      <c r="J795" s="89"/>
      <c r="K795" s="89"/>
      <c r="L795" s="89"/>
      <c r="M795" s="89"/>
      <c r="N795" s="89"/>
      <c r="O795" s="89"/>
      <c r="P795" s="89"/>
      <c r="Q795" s="89"/>
      <c r="R795" s="89"/>
      <c r="S795" s="89"/>
      <c r="T795" s="89"/>
      <c r="U795" s="89"/>
      <c r="V795" s="89"/>
      <c r="W795" s="89"/>
      <c r="X795" s="89"/>
      <c r="Y795" s="89"/>
      <c r="Z795" s="89"/>
      <c r="AA795" s="89"/>
      <c r="AB795" s="89"/>
      <c r="AC795" s="89"/>
      <c r="AD795" s="89"/>
      <c r="AE795" s="89"/>
    </row>
    <row r="796">
      <c r="A796" s="445"/>
      <c r="B796" s="420"/>
      <c r="C796" s="420"/>
      <c r="D796" s="420"/>
      <c r="E796" s="420"/>
      <c r="F796" s="420"/>
      <c r="G796" s="420"/>
      <c r="H796" s="420"/>
      <c r="I796" s="89"/>
      <c r="J796" s="89"/>
      <c r="K796" s="89"/>
      <c r="L796" s="89"/>
      <c r="M796" s="89"/>
      <c r="N796" s="89"/>
      <c r="O796" s="89"/>
      <c r="P796" s="89"/>
      <c r="Q796" s="89"/>
      <c r="R796" s="89"/>
      <c r="S796" s="89"/>
      <c r="T796" s="89"/>
      <c r="U796" s="89"/>
      <c r="V796" s="89"/>
      <c r="W796" s="89"/>
      <c r="X796" s="89"/>
      <c r="Y796" s="89"/>
      <c r="Z796" s="89"/>
      <c r="AA796" s="89"/>
      <c r="AB796" s="89"/>
      <c r="AC796" s="89"/>
      <c r="AD796" s="89"/>
      <c r="AE796" s="89"/>
    </row>
    <row r="797">
      <c r="A797" s="445"/>
      <c r="B797" s="420"/>
      <c r="C797" s="420"/>
      <c r="D797" s="420"/>
      <c r="E797" s="420"/>
      <c r="F797" s="420"/>
      <c r="G797" s="420"/>
      <c r="H797" s="420"/>
      <c r="I797" s="89"/>
      <c r="J797" s="89"/>
      <c r="K797" s="89"/>
      <c r="L797" s="89"/>
      <c r="M797" s="89"/>
      <c r="N797" s="89"/>
      <c r="O797" s="89"/>
      <c r="P797" s="89"/>
      <c r="Q797" s="89"/>
      <c r="R797" s="89"/>
      <c r="S797" s="89"/>
      <c r="T797" s="89"/>
      <c r="U797" s="89"/>
      <c r="V797" s="89"/>
      <c r="W797" s="89"/>
      <c r="X797" s="89"/>
      <c r="Y797" s="89"/>
      <c r="Z797" s="89"/>
      <c r="AA797" s="89"/>
      <c r="AB797" s="89"/>
      <c r="AC797" s="89"/>
      <c r="AD797" s="89"/>
      <c r="AE797" s="89"/>
    </row>
    <row r="798">
      <c r="A798" s="445"/>
      <c r="B798" s="420"/>
      <c r="C798" s="420"/>
      <c r="D798" s="420"/>
      <c r="E798" s="420"/>
      <c r="F798" s="420"/>
      <c r="G798" s="420"/>
      <c r="H798" s="420"/>
      <c r="I798" s="89"/>
      <c r="J798" s="89"/>
      <c r="K798" s="89"/>
      <c r="L798" s="89"/>
      <c r="M798" s="89"/>
      <c r="N798" s="89"/>
      <c r="O798" s="89"/>
      <c r="P798" s="89"/>
      <c r="Q798" s="89"/>
      <c r="R798" s="89"/>
      <c r="S798" s="89"/>
      <c r="T798" s="89"/>
      <c r="U798" s="89"/>
      <c r="V798" s="89"/>
      <c r="W798" s="89"/>
      <c r="X798" s="89"/>
      <c r="Y798" s="89"/>
      <c r="Z798" s="89"/>
      <c r="AA798" s="89"/>
      <c r="AB798" s="89"/>
      <c r="AC798" s="89"/>
      <c r="AD798" s="89"/>
      <c r="AE798" s="89"/>
    </row>
    <row r="799">
      <c r="A799" s="445"/>
      <c r="B799" s="420"/>
      <c r="C799" s="420"/>
      <c r="D799" s="420"/>
      <c r="E799" s="420"/>
      <c r="F799" s="420"/>
      <c r="G799" s="420"/>
      <c r="H799" s="420"/>
      <c r="I799" s="89"/>
      <c r="J799" s="89"/>
      <c r="K799" s="89"/>
      <c r="L799" s="89"/>
      <c r="M799" s="89"/>
      <c r="N799" s="89"/>
      <c r="O799" s="89"/>
      <c r="P799" s="89"/>
      <c r="Q799" s="89"/>
      <c r="R799" s="89"/>
      <c r="S799" s="89"/>
      <c r="T799" s="89"/>
      <c r="U799" s="89"/>
      <c r="V799" s="89"/>
      <c r="W799" s="89"/>
      <c r="X799" s="89"/>
      <c r="Y799" s="89"/>
      <c r="Z799" s="89"/>
      <c r="AA799" s="89"/>
      <c r="AB799" s="89"/>
      <c r="AC799" s="89"/>
      <c r="AD799" s="89"/>
      <c r="AE799" s="89"/>
    </row>
    <row r="800">
      <c r="A800" s="445"/>
      <c r="B800" s="420"/>
      <c r="C800" s="420"/>
      <c r="D800" s="420"/>
      <c r="E800" s="420"/>
      <c r="F800" s="420"/>
      <c r="G800" s="420"/>
      <c r="H800" s="420"/>
      <c r="I800" s="89"/>
      <c r="J800" s="89"/>
      <c r="K800" s="89"/>
      <c r="L800" s="89"/>
      <c r="M800" s="89"/>
      <c r="N800" s="89"/>
      <c r="O800" s="89"/>
      <c r="P800" s="89"/>
      <c r="Q800" s="89"/>
      <c r="R800" s="89"/>
      <c r="S800" s="89"/>
      <c r="T800" s="89"/>
      <c r="U800" s="89"/>
      <c r="V800" s="89"/>
      <c r="W800" s="89"/>
      <c r="X800" s="89"/>
      <c r="Y800" s="89"/>
      <c r="Z800" s="89"/>
      <c r="AA800" s="89"/>
      <c r="AB800" s="89"/>
      <c r="AC800" s="89"/>
      <c r="AD800" s="89"/>
      <c r="AE800" s="89"/>
    </row>
    <row r="801">
      <c r="A801" s="445"/>
      <c r="B801" s="420"/>
      <c r="C801" s="420"/>
      <c r="D801" s="420"/>
      <c r="E801" s="420"/>
      <c r="F801" s="420"/>
      <c r="G801" s="420"/>
      <c r="H801" s="420"/>
      <c r="I801" s="89"/>
      <c r="J801" s="89"/>
      <c r="K801" s="89"/>
      <c r="L801" s="89"/>
      <c r="M801" s="89"/>
      <c r="N801" s="89"/>
      <c r="O801" s="89"/>
      <c r="P801" s="89"/>
      <c r="Q801" s="89"/>
      <c r="R801" s="89"/>
      <c r="S801" s="89"/>
      <c r="T801" s="89"/>
      <c r="U801" s="89"/>
      <c r="V801" s="89"/>
      <c r="W801" s="89"/>
      <c r="X801" s="89"/>
      <c r="Y801" s="89"/>
      <c r="Z801" s="89"/>
      <c r="AA801" s="89"/>
      <c r="AB801" s="89"/>
      <c r="AC801" s="89"/>
      <c r="AD801" s="89"/>
      <c r="AE801" s="89"/>
    </row>
    <row r="802">
      <c r="A802" s="445"/>
      <c r="B802" s="420"/>
      <c r="C802" s="420"/>
      <c r="D802" s="420"/>
      <c r="E802" s="420"/>
      <c r="F802" s="420"/>
      <c r="G802" s="420"/>
      <c r="H802" s="420"/>
      <c r="I802" s="89"/>
      <c r="J802" s="89"/>
      <c r="K802" s="89"/>
      <c r="L802" s="89"/>
      <c r="M802" s="89"/>
      <c r="N802" s="89"/>
      <c r="O802" s="89"/>
      <c r="P802" s="89"/>
      <c r="Q802" s="89"/>
      <c r="R802" s="89"/>
      <c r="S802" s="89"/>
      <c r="T802" s="89"/>
      <c r="U802" s="89"/>
      <c r="V802" s="89"/>
      <c r="W802" s="89"/>
      <c r="X802" s="89"/>
      <c r="Y802" s="89"/>
      <c r="Z802" s="89"/>
      <c r="AA802" s="89"/>
      <c r="AB802" s="89"/>
      <c r="AC802" s="89"/>
      <c r="AD802" s="89"/>
      <c r="AE802" s="89"/>
    </row>
    <row r="803">
      <c r="A803" s="445"/>
      <c r="B803" s="420"/>
      <c r="C803" s="420"/>
      <c r="D803" s="420"/>
      <c r="E803" s="420"/>
      <c r="F803" s="420"/>
      <c r="G803" s="420"/>
      <c r="H803" s="420"/>
      <c r="I803" s="89"/>
      <c r="J803" s="89"/>
      <c r="K803" s="89"/>
      <c r="L803" s="89"/>
      <c r="M803" s="89"/>
      <c r="N803" s="89"/>
      <c r="O803" s="89"/>
      <c r="P803" s="89"/>
      <c r="Q803" s="89"/>
      <c r="R803" s="89"/>
      <c r="S803" s="89"/>
      <c r="T803" s="89"/>
      <c r="U803" s="89"/>
      <c r="V803" s="89"/>
      <c r="W803" s="89"/>
      <c r="X803" s="89"/>
      <c r="Y803" s="89"/>
      <c r="Z803" s="89"/>
      <c r="AA803" s="89"/>
      <c r="AB803" s="89"/>
      <c r="AC803" s="89"/>
      <c r="AD803" s="89"/>
      <c r="AE803" s="89"/>
    </row>
    <row r="804">
      <c r="A804" s="445"/>
      <c r="B804" s="420"/>
      <c r="C804" s="420"/>
      <c r="D804" s="420"/>
      <c r="E804" s="420"/>
      <c r="F804" s="420"/>
      <c r="G804" s="420"/>
      <c r="H804" s="420"/>
      <c r="I804" s="89"/>
      <c r="J804" s="89"/>
      <c r="K804" s="89"/>
      <c r="L804" s="89"/>
      <c r="M804" s="89"/>
      <c r="N804" s="89"/>
      <c r="O804" s="89"/>
      <c r="P804" s="89"/>
      <c r="Q804" s="89"/>
      <c r="R804" s="89"/>
      <c r="S804" s="89"/>
      <c r="T804" s="89"/>
      <c r="U804" s="89"/>
      <c r="V804" s="89"/>
      <c r="W804" s="89"/>
      <c r="X804" s="89"/>
      <c r="Y804" s="89"/>
      <c r="Z804" s="89"/>
      <c r="AA804" s="89"/>
      <c r="AB804" s="89"/>
      <c r="AC804" s="89"/>
      <c r="AD804" s="89"/>
      <c r="AE804" s="89"/>
    </row>
    <row r="805">
      <c r="A805" s="445"/>
      <c r="B805" s="420"/>
      <c r="C805" s="420"/>
      <c r="D805" s="420"/>
      <c r="E805" s="420"/>
      <c r="F805" s="420"/>
      <c r="G805" s="420"/>
      <c r="H805" s="420"/>
      <c r="I805" s="89"/>
      <c r="J805" s="89"/>
      <c r="K805" s="89"/>
      <c r="L805" s="89"/>
      <c r="M805" s="89"/>
      <c r="N805" s="89"/>
      <c r="O805" s="89"/>
      <c r="P805" s="89"/>
      <c r="Q805" s="89"/>
      <c r="R805" s="89"/>
      <c r="S805" s="89"/>
      <c r="T805" s="89"/>
      <c r="U805" s="89"/>
      <c r="V805" s="89"/>
      <c r="W805" s="89"/>
      <c r="X805" s="89"/>
      <c r="Y805" s="89"/>
      <c r="Z805" s="89"/>
      <c r="AA805" s="89"/>
      <c r="AB805" s="89"/>
      <c r="AC805" s="89"/>
      <c r="AD805" s="89"/>
      <c r="AE805" s="89"/>
    </row>
    <row r="806">
      <c r="A806" s="445"/>
      <c r="B806" s="420"/>
      <c r="C806" s="420"/>
      <c r="D806" s="420"/>
      <c r="E806" s="420"/>
      <c r="F806" s="420"/>
      <c r="G806" s="420"/>
      <c r="H806" s="420"/>
      <c r="I806" s="89"/>
      <c r="J806" s="89"/>
      <c r="K806" s="89"/>
      <c r="L806" s="89"/>
      <c r="M806" s="89"/>
      <c r="N806" s="89"/>
      <c r="O806" s="89"/>
      <c r="P806" s="89"/>
      <c r="Q806" s="89"/>
      <c r="R806" s="89"/>
      <c r="S806" s="89"/>
      <c r="T806" s="89"/>
      <c r="U806" s="89"/>
      <c r="V806" s="89"/>
      <c r="W806" s="89"/>
      <c r="X806" s="89"/>
      <c r="Y806" s="89"/>
      <c r="Z806" s="89"/>
      <c r="AA806" s="89"/>
      <c r="AB806" s="89"/>
      <c r="AC806" s="89"/>
      <c r="AD806" s="89"/>
      <c r="AE806" s="89"/>
    </row>
    <row r="807">
      <c r="A807" s="445"/>
      <c r="B807" s="420"/>
      <c r="C807" s="420"/>
      <c r="D807" s="420"/>
      <c r="E807" s="420"/>
      <c r="F807" s="420"/>
      <c r="G807" s="420"/>
      <c r="H807" s="420"/>
      <c r="I807" s="89"/>
      <c r="J807" s="89"/>
      <c r="K807" s="89"/>
      <c r="L807" s="89"/>
      <c r="M807" s="89"/>
      <c r="N807" s="89"/>
      <c r="O807" s="89"/>
      <c r="P807" s="89"/>
      <c r="Q807" s="89"/>
      <c r="R807" s="89"/>
      <c r="S807" s="89"/>
      <c r="T807" s="89"/>
      <c r="U807" s="89"/>
      <c r="V807" s="89"/>
      <c r="W807" s="89"/>
      <c r="X807" s="89"/>
      <c r="Y807" s="89"/>
      <c r="Z807" s="89"/>
      <c r="AA807" s="89"/>
      <c r="AB807" s="89"/>
      <c r="AC807" s="89"/>
      <c r="AD807" s="89"/>
      <c r="AE807" s="89"/>
    </row>
    <row r="808">
      <c r="A808" s="445"/>
      <c r="B808" s="420"/>
      <c r="C808" s="420"/>
      <c r="D808" s="420"/>
      <c r="E808" s="420"/>
      <c r="F808" s="420"/>
      <c r="G808" s="420"/>
      <c r="H808" s="420"/>
      <c r="I808" s="89"/>
      <c r="J808" s="89"/>
      <c r="K808" s="89"/>
      <c r="L808" s="89"/>
      <c r="M808" s="89"/>
      <c r="N808" s="89"/>
      <c r="O808" s="89"/>
      <c r="P808" s="89"/>
      <c r="Q808" s="89"/>
      <c r="R808" s="89"/>
      <c r="S808" s="89"/>
      <c r="T808" s="89"/>
      <c r="U808" s="89"/>
      <c r="V808" s="89"/>
      <c r="W808" s="89"/>
      <c r="X808" s="89"/>
      <c r="Y808" s="89"/>
      <c r="Z808" s="89"/>
      <c r="AA808" s="89"/>
      <c r="AB808" s="89"/>
      <c r="AC808" s="89"/>
      <c r="AD808" s="89"/>
      <c r="AE808" s="89"/>
    </row>
    <row r="809">
      <c r="A809" s="445"/>
      <c r="B809" s="420"/>
      <c r="C809" s="420"/>
      <c r="D809" s="420"/>
      <c r="E809" s="420"/>
      <c r="F809" s="420"/>
      <c r="G809" s="420"/>
      <c r="H809" s="420"/>
      <c r="I809" s="89"/>
      <c r="J809" s="89"/>
      <c r="K809" s="89"/>
      <c r="L809" s="89"/>
      <c r="M809" s="89"/>
      <c r="N809" s="89"/>
      <c r="O809" s="89"/>
      <c r="P809" s="89"/>
      <c r="Q809" s="89"/>
      <c r="R809" s="89"/>
      <c r="S809" s="89"/>
      <c r="T809" s="89"/>
      <c r="U809" s="89"/>
      <c r="V809" s="89"/>
      <c r="W809" s="89"/>
      <c r="X809" s="89"/>
      <c r="Y809" s="89"/>
      <c r="Z809" s="89"/>
      <c r="AA809" s="89"/>
      <c r="AB809" s="89"/>
      <c r="AC809" s="89"/>
      <c r="AD809" s="89"/>
      <c r="AE809" s="89"/>
    </row>
    <row r="810">
      <c r="A810" s="445"/>
      <c r="B810" s="420"/>
      <c r="C810" s="420"/>
      <c r="D810" s="420"/>
      <c r="E810" s="420"/>
      <c r="F810" s="420"/>
      <c r="G810" s="420"/>
      <c r="H810" s="420"/>
      <c r="I810" s="89"/>
      <c r="J810" s="89"/>
      <c r="K810" s="89"/>
      <c r="L810" s="89"/>
      <c r="M810" s="89"/>
      <c r="N810" s="89"/>
      <c r="O810" s="89"/>
      <c r="P810" s="89"/>
      <c r="Q810" s="89"/>
      <c r="R810" s="89"/>
      <c r="S810" s="89"/>
      <c r="T810" s="89"/>
      <c r="U810" s="89"/>
      <c r="V810" s="89"/>
      <c r="W810" s="89"/>
      <c r="X810" s="89"/>
      <c r="Y810" s="89"/>
      <c r="Z810" s="89"/>
      <c r="AA810" s="89"/>
      <c r="AB810" s="89"/>
      <c r="AC810" s="89"/>
      <c r="AD810" s="89"/>
      <c r="AE810" s="89"/>
    </row>
    <row r="811">
      <c r="A811" s="445"/>
      <c r="B811" s="420"/>
      <c r="C811" s="420"/>
      <c r="D811" s="420"/>
      <c r="E811" s="420"/>
      <c r="F811" s="420"/>
      <c r="G811" s="420"/>
      <c r="H811" s="420"/>
      <c r="I811" s="89"/>
      <c r="J811" s="89"/>
      <c r="K811" s="89"/>
      <c r="L811" s="89"/>
      <c r="M811" s="89"/>
      <c r="N811" s="89"/>
      <c r="O811" s="89"/>
      <c r="P811" s="89"/>
      <c r="Q811" s="89"/>
      <c r="R811" s="89"/>
      <c r="S811" s="89"/>
      <c r="T811" s="89"/>
      <c r="U811" s="89"/>
      <c r="V811" s="89"/>
      <c r="W811" s="89"/>
      <c r="X811" s="89"/>
      <c r="Y811" s="89"/>
      <c r="Z811" s="89"/>
      <c r="AA811" s="89"/>
      <c r="AB811" s="89"/>
      <c r="AC811" s="89"/>
      <c r="AD811" s="89"/>
      <c r="AE811" s="89"/>
    </row>
    <row r="812">
      <c r="A812" s="445"/>
      <c r="B812" s="420"/>
      <c r="C812" s="420"/>
      <c r="D812" s="420"/>
      <c r="E812" s="420"/>
      <c r="F812" s="420"/>
      <c r="G812" s="420"/>
      <c r="H812" s="420"/>
      <c r="I812" s="89"/>
      <c r="J812" s="89"/>
      <c r="K812" s="89"/>
      <c r="L812" s="89"/>
      <c r="M812" s="89"/>
      <c r="N812" s="89"/>
      <c r="O812" s="89"/>
      <c r="P812" s="89"/>
      <c r="Q812" s="89"/>
      <c r="R812" s="89"/>
      <c r="S812" s="89"/>
      <c r="T812" s="89"/>
      <c r="U812" s="89"/>
      <c r="V812" s="89"/>
      <c r="W812" s="89"/>
      <c r="X812" s="89"/>
      <c r="Y812" s="89"/>
      <c r="Z812" s="89"/>
      <c r="AA812" s="89"/>
      <c r="AB812" s="89"/>
      <c r="AC812" s="89"/>
      <c r="AD812" s="89"/>
      <c r="AE812" s="89"/>
    </row>
    <row r="813">
      <c r="A813" s="445"/>
      <c r="B813" s="420"/>
      <c r="C813" s="420"/>
      <c r="D813" s="420"/>
      <c r="E813" s="420"/>
      <c r="F813" s="420"/>
      <c r="G813" s="420"/>
      <c r="H813" s="420"/>
      <c r="I813" s="89"/>
      <c r="J813" s="89"/>
      <c r="K813" s="89"/>
      <c r="L813" s="89"/>
      <c r="M813" s="89"/>
      <c r="N813" s="89"/>
      <c r="O813" s="89"/>
      <c r="P813" s="89"/>
      <c r="Q813" s="89"/>
      <c r="R813" s="89"/>
      <c r="S813" s="89"/>
      <c r="T813" s="89"/>
      <c r="U813" s="89"/>
      <c r="V813" s="89"/>
      <c r="W813" s="89"/>
      <c r="X813" s="89"/>
      <c r="Y813" s="89"/>
      <c r="Z813" s="89"/>
      <c r="AA813" s="89"/>
      <c r="AB813" s="89"/>
      <c r="AC813" s="89"/>
      <c r="AD813" s="89"/>
      <c r="AE813" s="89"/>
    </row>
    <row r="814">
      <c r="A814" s="445"/>
      <c r="B814" s="420"/>
      <c r="C814" s="420"/>
      <c r="D814" s="420"/>
      <c r="E814" s="420"/>
      <c r="F814" s="420"/>
      <c r="G814" s="420"/>
      <c r="H814" s="420"/>
      <c r="I814" s="89"/>
      <c r="J814" s="89"/>
      <c r="K814" s="89"/>
      <c r="L814" s="89"/>
      <c r="M814" s="89"/>
      <c r="N814" s="89"/>
      <c r="O814" s="89"/>
      <c r="P814" s="89"/>
      <c r="Q814" s="89"/>
      <c r="R814" s="89"/>
      <c r="S814" s="89"/>
      <c r="T814" s="89"/>
      <c r="U814" s="89"/>
      <c r="V814" s="89"/>
      <c r="W814" s="89"/>
      <c r="X814" s="89"/>
      <c r="Y814" s="89"/>
      <c r="Z814" s="89"/>
      <c r="AA814" s="89"/>
      <c r="AB814" s="89"/>
      <c r="AC814" s="89"/>
      <c r="AD814" s="89"/>
      <c r="AE814" s="89"/>
    </row>
    <row r="815">
      <c r="A815" s="445"/>
      <c r="B815" s="420"/>
      <c r="C815" s="420"/>
      <c r="D815" s="420"/>
      <c r="E815" s="420"/>
      <c r="F815" s="420"/>
      <c r="G815" s="420"/>
      <c r="H815" s="420"/>
      <c r="I815" s="89"/>
      <c r="J815" s="89"/>
      <c r="K815" s="89"/>
      <c r="L815" s="89"/>
      <c r="M815" s="89"/>
      <c r="N815" s="89"/>
      <c r="O815" s="89"/>
      <c r="P815" s="89"/>
      <c r="Q815" s="89"/>
      <c r="R815" s="89"/>
      <c r="S815" s="89"/>
      <c r="T815" s="89"/>
      <c r="U815" s="89"/>
      <c r="V815" s="89"/>
      <c r="W815" s="89"/>
      <c r="X815" s="89"/>
      <c r="Y815" s="89"/>
      <c r="Z815" s="89"/>
      <c r="AA815" s="89"/>
      <c r="AB815" s="89"/>
      <c r="AC815" s="89"/>
      <c r="AD815" s="89"/>
      <c r="AE815" s="89"/>
    </row>
    <row r="816">
      <c r="A816" s="445"/>
      <c r="B816" s="420"/>
      <c r="C816" s="420"/>
      <c r="D816" s="420"/>
      <c r="E816" s="420"/>
      <c r="F816" s="420"/>
      <c r="G816" s="420"/>
      <c r="H816" s="420"/>
      <c r="I816" s="89"/>
      <c r="J816" s="89"/>
      <c r="K816" s="89"/>
      <c r="L816" s="89"/>
      <c r="M816" s="89"/>
      <c r="N816" s="89"/>
      <c r="O816" s="89"/>
      <c r="P816" s="89"/>
      <c r="Q816" s="89"/>
      <c r="R816" s="89"/>
      <c r="S816" s="89"/>
      <c r="T816" s="89"/>
      <c r="U816" s="89"/>
      <c r="V816" s="89"/>
      <c r="W816" s="89"/>
      <c r="X816" s="89"/>
      <c r="Y816" s="89"/>
      <c r="Z816" s="89"/>
      <c r="AA816" s="89"/>
      <c r="AB816" s="89"/>
      <c r="AC816" s="89"/>
      <c r="AD816" s="89"/>
      <c r="AE816" s="89"/>
    </row>
    <row r="817">
      <c r="A817" s="445"/>
      <c r="B817" s="420"/>
      <c r="C817" s="420"/>
      <c r="D817" s="420"/>
      <c r="E817" s="420"/>
      <c r="F817" s="420"/>
      <c r="G817" s="420"/>
      <c r="H817" s="420"/>
      <c r="I817" s="89"/>
      <c r="J817" s="89"/>
      <c r="K817" s="89"/>
      <c r="L817" s="89"/>
      <c r="M817" s="89"/>
      <c r="N817" s="89"/>
      <c r="O817" s="89"/>
      <c r="P817" s="89"/>
      <c r="Q817" s="89"/>
      <c r="R817" s="89"/>
      <c r="S817" s="89"/>
      <c r="T817" s="89"/>
      <c r="U817" s="89"/>
      <c r="V817" s="89"/>
      <c r="W817" s="89"/>
      <c r="X817" s="89"/>
      <c r="Y817" s="89"/>
      <c r="Z817" s="89"/>
      <c r="AA817" s="89"/>
      <c r="AB817" s="89"/>
      <c r="AC817" s="89"/>
      <c r="AD817" s="89"/>
      <c r="AE817" s="89"/>
    </row>
    <row r="818">
      <c r="A818" s="445"/>
      <c r="B818" s="420"/>
      <c r="C818" s="420"/>
      <c r="D818" s="420"/>
      <c r="E818" s="420"/>
      <c r="F818" s="420"/>
      <c r="G818" s="420"/>
      <c r="H818" s="420"/>
      <c r="I818" s="89"/>
      <c r="J818" s="89"/>
      <c r="K818" s="89"/>
      <c r="L818" s="89"/>
      <c r="M818" s="89"/>
      <c r="N818" s="89"/>
      <c r="O818" s="89"/>
      <c r="P818" s="89"/>
      <c r="Q818" s="89"/>
      <c r="R818" s="89"/>
      <c r="S818" s="89"/>
      <c r="T818" s="89"/>
      <c r="U818" s="89"/>
      <c r="V818" s="89"/>
      <c r="W818" s="89"/>
      <c r="X818" s="89"/>
      <c r="Y818" s="89"/>
      <c r="Z818" s="89"/>
      <c r="AA818" s="89"/>
      <c r="AB818" s="89"/>
      <c r="AC818" s="89"/>
      <c r="AD818" s="89"/>
      <c r="AE818" s="89"/>
    </row>
    <row r="819">
      <c r="A819" s="445"/>
      <c r="B819" s="420"/>
      <c r="C819" s="420"/>
      <c r="D819" s="420"/>
      <c r="E819" s="420"/>
      <c r="F819" s="420"/>
      <c r="G819" s="420"/>
      <c r="H819" s="420"/>
      <c r="I819" s="89"/>
      <c r="J819" s="89"/>
      <c r="K819" s="89"/>
      <c r="L819" s="89"/>
      <c r="M819" s="89"/>
      <c r="N819" s="89"/>
      <c r="O819" s="89"/>
      <c r="P819" s="89"/>
      <c r="Q819" s="89"/>
      <c r="R819" s="89"/>
      <c r="S819" s="89"/>
      <c r="T819" s="89"/>
      <c r="U819" s="89"/>
      <c r="V819" s="89"/>
      <c r="W819" s="89"/>
      <c r="X819" s="89"/>
      <c r="Y819" s="89"/>
      <c r="Z819" s="89"/>
      <c r="AA819" s="89"/>
      <c r="AB819" s="89"/>
      <c r="AC819" s="89"/>
      <c r="AD819" s="89"/>
      <c r="AE819" s="89"/>
    </row>
    <row r="820">
      <c r="A820" s="445"/>
      <c r="B820" s="420"/>
      <c r="C820" s="420"/>
      <c r="D820" s="420"/>
      <c r="E820" s="420"/>
      <c r="F820" s="420"/>
      <c r="G820" s="420"/>
      <c r="H820" s="420"/>
      <c r="I820" s="89"/>
      <c r="J820" s="89"/>
      <c r="K820" s="89"/>
      <c r="L820" s="89"/>
      <c r="M820" s="89"/>
      <c r="N820" s="89"/>
      <c r="O820" s="89"/>
      <c r="P820" s="89"/>
      <c r="Q820" s="89"/>
      <c r="R820" s="89"/>
      <c r="S820" s="89"/>
      <c r="T820" s="89"/>
      <c r="U820" s="89"/>
      <c r="V820" s="89"/>
      <c r="W820" s="89"/>
      <c r="X820" s="89"/>
      <c r="Y820" s="89"/>
      <c r="Z820" s="89"/>
      <c r="AA820" s="89"/>
      <c r="AB820" s="89"/>
      <c r="AC820" s="89"/>
      <c r="AD820" s="89"/>
      <c r="AE820" s="89"/>
    </row>
    <row r="821">
      <c r="A821" s="445"/>
      <c r="B821" s="420"/>
      <c r="C821" s="420"/>
      <c r="D821" s="420"/>
      <c r="E821" s="420"/>
      <c r="F821" s="420"/>
      <c r="G821" s="420"/>
      <c r="H821" s="420"/>
      <c r="I821" s="89"/>
      <c r="J821" s="89"/>
      <c r="K821" s="89"/>
      <c r="L821" s="89"/>
      <c r="M821" s="89"/>
      <c r="N821" s="89"/>
      <c r="O821" s="89"/>
      <c r="P821" s="89"/>
      <c r="Q821" s="89"/>
      <c r="R821" s="89"/>
      <c r="S821" s="89"/>
      <c r="T821" s="89"/>
      <c r="U821" s="89"/>
      <c r="V821" s="89"/>
      <c r="W821" s="89"/>
      <c r="X821" s="89"/>
      <c r="Y821" s="89"/>
      <c r="Z821" s="89"/>
      <c r="AA821" s="89"/>
      <c r="AB821" s="89"/>
      <c r="AC821" s="89"/>
      <c r="AD821" s="89"/>
      <c r="AE821" s="89"/>
    </row>
    <row r="822">
      <c r="A822" s="445"/>
      <c r="B822" s="420"/>
      <c r="C822" s="420"/>
      <c r="D822" s="420"/>
      <c r="E822" s="420"/>
      <c r="F822" s="420"/>
      <c r="G822" s="420"/>
      <c r="H822" s="420"/>
      <c r="I822" s="89"/>
      <c r="J822" s="89"/>
      <c r="K822" s="89"/>
      <c r="L822" s="89"/>
      <c r="M822" s="89"/>
      <c r="N822" s="89"/>
      <c r="O822" s="89"/>
      <c r="P822" s="89"/>
      <c r="Q822" s="89"/>
      <c r="R822" s="89"/>
      <c r="S822" s="89"/>
      <c r="T822" s="89"/>
      <c r="U822" s="89"/>
      <c r="V822" s="89"/>
      <c r="W822" s="89"/>
      <c r="X822" s="89"/>
      <c r="Y822" s="89"/>
      <c r="Z822" s="89"/>
      <c r="AA822" s="89"/>
      <c r="AB822" s="89"/>
      <c r="AC822" s="89"/>
      <c r="AD822" s="89"/>
      <c r="AE822" s="89"/>
    </row>
    <row r="823">
      <c r="A823" s="445"/>
      <c r="B823" s="420"/>
      <c r="C823" s="420"/>
      <c r="D823" s="420"/>
      <c r="E823" s="420"/>
      <c r="F823" s="420"/>
      <c r="G823" s="420"/>
      <c r="H823" s="420"/>
      <c r="I823" s="89"/>
      <c r="J823" s="89"/>
      <c r="K823" s="89"/>
      <c r="L823" s="89"/>
      <c r="M823" s="89"/>
      <c r="N823" s="89"/>
      <c r="O823" s="89"/>
      <c r="P823" s="89"/>
      <c r="Q823" s="89"/>
      <c r="R823" s="89"/>
      <c r="S823" s="89"/>
      <c r="T823" s="89"/>
      <c r="U823" s="89"/>
      <c r="V823" s="89"/>
      <c r="W823" s="89"/>
      <c r="X823" s="89"/>
      <c r="Y823" s="89"/>
      <c r="Z823" s="89"/>
      <c r="AA823" s="89"/>
      <c r="AB823" s="89"/>
      <c r="AC823" s="89"/>
      <c r="AD823" s="89"/>
      <c r="AE823" s="89"/>
    </row>
    <row r="824">
      <c r="A824" s="445"/>
      <c r="B824" s="420"/>
      <c r="C824" s="420"/>
      <c r="D824" s="420"/>
      <c r="E824" s="420"/>
      <c r="F824" s="420"/>
      <c r="G824" s="420"/>
      <c r="H824" s="420"/>
      <c r="I824" s="89"/>
      <c r="J824" s="89"/>
      <c r="K824" s="89"/>
      <c r="L824" s="89"/>
      <c r="M824" s="89"/>
      <c r="N824" s="89"/>
      <c r="O824" s="89"/>
      <c r="P824" s="89"/>
      <c r="Q824" s="89"/>
      <c r="R824" s="89"/>
      <c r="S824" s="89"/>
      <c r="T824" s="89"/>
      <c r="U824" s="89"/>
      <c r="V824" s="89"/>
      <c r="W824" s="89"/>
      <c r="X824" s="89"/>
      <c r="Y824" s="89"/>
      <c r="Z824" s="89"/>
      <c r="AA824" s="89"/>
      <c r="AB824" s="89"/>
      <c r="AC824" s="89"/>
      <c r="AD824" s="89"/>
      <c r="AE824" s="89"/>
    </row>
    <row r="825">
      <c r="A825" s="445"/>
      <c r="B825" s="420"/>
      <c r="C825" s="420"/>
      <c r="D825" s="420"/>
      <c r="E825" s="420"/>
      <c r="F825" s="420"/>
      <c r="G825" s="420"/>
      <c r="H825" s="420"/>
      <c r="I825" s="89"/>
      <c r="J825" s="89"/>
      <c r="K825" s="89"/>
      <c r="L825" s="89"/>
      <c r="M825" s="89"/>
      <c r="N825" s="89"/>
      <c r="O825" s="89"/>
      <c r="P825" s="89"/>
      <c r="Q825" s="89"/>
      <c r="R825" s="89"/>
      <c r="S825" s="89"/>
      <c r="T825" s="89"/>
      <c r="U825" s="89"/>
      <c r="V825" s="89"/>
      <c r="W825" s="89"/>
      <c r="X825" s="89"/>
      <c r="Y825" s="89"/>
      <c r="Z825" s="89"/>
      <c r="AA825" s="89"/>
      <c r="AB825" s="89"/>
      <c r="AC825" s="89"/>
      <c r="AD825" s="89"/>
      <c r="AE825" s="89"/>
    </row>
    <row r="826">
      <c r="A826" s="445"/>
      <c r="B826" s="420"/>
      <c r="C826" s="420"/>
      <c r="D826" s="420"/>
      <c r="E826" s="420"/>
      <c r="F826" s="420"/>
      <c r="G826" s="420"/>
      <c r="H826" s="420"/>
      <c r="I826" s="89"/>
      <c r="J826" s="89"/>
      <c r="K826" s="89"/>
      <c r="L826" s="89"/>
      <c r="M826" s="89"/>
      <c r="N826" s="89"/>
      <c r="O826" s="89"/>
      <c r="P826" s="89"/>
      <c r="Q826" s="89"/>
      <c r="R826" s="89"/>
      <c r="S826" s="89"/>
      <c r="T826" s="89"/>
      <c r="U826" s="89"/>
      <c r="V826" s="89"/>
      <c r="W826" s="89"/>
      <c r="X826" s="89"/>
      <c r="Y826" s="89"/>
      <c r="Z826" s="89"/>
      <c r="AA826" s="89"/>
      <c r="AB826" s="89"/>
      <c r="AC826" s="89"/>
      <c r="AD826" s="89"/>
      <c r="AE826" s="89"/>
    </row>
    <row r="827">
      <c r="A827" s="445"/>
      <c r="B827" s="420"/>
      <c r="C827" s="420"/>
      <c r="D827" s="420"/>
      <c r="E827" s="420"/>
      <c r="F827" s="420"/>
      <c r="G827" s="420"/>
      <c r="H827" s="420"/>
      <c r="I827" s="89"/>
      <c r="J827" s="89"/>
      <c r="K827" s="89"/>
      <c r="L827" s="89"/>
      <c r="M827" s="89"/>
      <c r="N827" s="89"/>
      <c r="O827" s="89"/>
      <c r="P827" s="89"/>
      <c r="Q827" s="89"/>
      <c r="R827" s="89"/>
      <c r="S827" s="89"/>
      <c r="T827" s="89"/>
      <c r="U827" s="89"/>
      <c r="V827" s="89"/>
      <c r="W827" s="89"/>
      <c r="X827" s="89"/>
      <c r="Y827" s="89"/>
      <c r="Z827" s="89"/>
      <c r="AA827" s="89"/>
      <c r="AB827" s="89"/>
      <c r="AC827" s="89"/>
      <c r="AD827" s="89"/>
      <c r="AE827" s="89"/>
    </row>
    <row r="828">
      <c r="A828" s="445"/>
      <c r="B828" s="420"/>
      <c r="C828" s="420"/>
      <c r="D828" s="420"/>
      <c r="E828" s="420"/>
      <c r="F828" s="420"/>
      <c r="G828" s="420"/>
      <c r="H828" s="420"/>
      <c r="I828" s="89"/>
      <c r="J828" s="89"/>
      <c r="K828" s="89"/>
      <c r="L828" s="89"/>
      <c r="M828" s="89"/>
      <c r="N828" s="89"/>
      <c r="O828" s="89"/>
      <c r="P828" s="89"/>
      <c r="Q828" s="89"/>
      <c r="R828" s="89"/>
      <c r="S828" s="89"/>
      <c r="T828" s="89"/>
      <c r="U828" s="89"/>
      <c r="V828" s="89"/>
      <c r="W828" s="89"/>
      <c r="X828" s="89"/>
      <c r="Y828" s="89"/>
      <c r="Z828" s="89"/>
      <c r="AA828" s="89"/>
      <c r="AB828" s="89"/>
      <c r="AC828" s="89"/>
      <c r="AD828" s="89"/>
      <c r="AE828" s="89"/>
    </row>
    <row r="829">
      <c r="A829" s="445"/>
      <c r="B829" s="420"/>
      <c r="C829" s="420"/>
      <c r="D829" s="420"/>
      <c r="E829" s="420"/>
      <c r="F829" s="420"/>
      <c r="G829" s="420"/>
      <c r="H829" s="420"/>
      <c r="I829" s="89"/>
      <c r="J829" s="89"/>
      <c r="K829" s="89"/>
      <c r="L829" s="89"/>
      <c r="M829" s="89"/>
      <c r="N829" s="89"/>
      <c r="O829" s="89"/>
      <c r="P829" s="89"/>
      <c r="Q829" s="89"/>
      <c r="R829" s="89"/>
      <c r="S829" s="89"/>
      <c r="T829" s="89"/>
      <c r="U829" s="89"/>
      <c r="V829" s="89"/>
      <c r="W829" s="89"/>
      <c r="X829" s="89"/>
      <c r="Y829" s="89"/>
      <c r="Z829" s="89"/>
      <c r="AA829" s="89"/>
      <c r="AB829" s="89"/>
      <c r="AC829" s="89"/>
      <c r="AD829" s="89"/>
      <c r="AE829" s="89"/>
    </row>
    <row r="830">
      <c r="A830" s="445"/>
      <c r="B830" s="420"/>
      <c r="C830" s="420"/>
      <c r="D830" s="420"/>
      <c r="E830" s="420"/>
      <c r="F830" s="420"/>
      <c r="G830" s="420"/>
      <c r="H830" s="420"/>
      <c r="I830" s="89"/>
      <c r="J830" s="89"/>
      <c r="K830" s="89"/>
      <c r="L830" s="89"/>
      <c r="M830" s="89"/>
      <c r="N830" s="89"/>
      <c r="O830" s="89"/>
      <c r="P830" s="89"/>
      <c r="Q830" s="89"/>
      <c r="R830" s="89"/>
      <c r="S830" s="89"/>
      <c r="T830" s="89"/>
      <c r="U830" s="89"/>
      <c r="V830" s="89"/>
      <c r="W830" s="89"/>
      <c r="X830" s="89"/>
      <c r="Y830" s="89"/>
      <c r="Z830" s="89"/>
      <c r="AA830" s="89"/>
      <c r="AB830" s="89"/>
      <c r="AC830" s="89"/>
      <c r="AD830" s="89"/>
      <c r="AE830" s="89"/>
    </row>
    <row r="831">
      <c r="A831" s="445"/>
      <c r="B831" s="420"/>
      <c r="C831" s="420"/>
      <c r="D831" s="420"/>
      <c r="E831" s="420"/>
      <c r="F831" s="420"/>
      <c r="G831" s="420"/>
      <c r="H831" s="420"/>
      <c r="I831" s="89"/>
      <c r="J831" s="89"/>
      <c r="K831" s="89"/>
      <c r="L831" s="89"/>
      <c r="M831" s="89"/>
      <c r="N831" s="89"/>
      <c r="O831" s="89"/>
      <c r="P831" s="89"/>
      <c r="Q831" s="89"/>
      <c r="R831" s="89"/>
      <c r="S831" s="89"/>
      <c r="T831" s="89"/>
      <c r="U831" s="89"/>
      <c r="V831" s="89"/>
      <c r="W831" s="89"/>
      <c r="X831" s="89"/>
      <c r="Y831" s="89"/>
      <c r="Z831" s="89"/>
      <c r="AA831" s="89"/>
      <c r="AB831" s="89"/>
      <c r="AC831" s="89"/>
      <c r="AD831" s="89"/>
      <c r="AE831" s="89"/>
    </row>
    <row r="832">
      <c r="A832" s="445"/>
      <c r="B832" s="420"/>
      <c r="C832" s="420"/>
      <c r="D832" s="420"/>
      <c r="E832" s="420"/>
      <c r="F832" s="420"/>
      <c r="G832" s="420"/>
      <c r="H832" s="420"/>
      <c r="I832" s="89"/>
      <c r="J832" s="89"/>
      <c r="K832" s="89"/>
      <c r="L832" s="89"/>
      <c r="M832" s="89"/>
      <c r="N832" s="89"/>
      <c r="O832" s="89"/>
      <c r="P832" s="89"/>
      <c r="Q832" s="89"/>
      <c r="R832" s="89"/>
      <c r="S832" s="89"/>
      <c r="T832" s="89"/>
      <c r="U832" s="89"/>
      <c r="V832" s="89"/>
      <c r="W832" s="89"/>
      <c r="X832" s="89"/>
      <c r="Y832" s="89"/>
      <c r="Z832" s="89"/>
      <c r="AA832" s="89"/>
      <c r="AB832" s="89"/>
      <c r="AC832" s="89"/>
      <c r="AD832" s="89"/>
      <c r="AE832" s="89"/>
    </row>
    <row r="833">
      <c r="A833" s="445"/>
      <c r="B833" s="420"/>
      <c r="C833" s="420"/>
      <c r="D833" s="420"/>
      <c r="E833" s="420"/>
      <c r="F833" s="420"/>
      <c r="G833" s="420"/>
      <c r="H833" s="420"/>
      <c r="I833" s="89"/>
      <c r="J833" s="89"/>
      <c r="K833" s="89"/>
      <c r="L833" s="89"/>
      <c r="M833" s="89"/>
      <c r="N833" s="89"/>
      <c r="O833" s="89"/>
      <c r="P833" s="89"/>
      <c r="Q833" s="89"/>
      <c r="R833" s="89"/>
      <c r="S833" s="89"/>
      <c r="T833" s="89"/>
      <c r="U833" s="89"/>
      <c r="V833" s="89"/>
      <c r="W833" s="89"/>
      <c r="X833" s="89"/>
      <c r="Y833" s="89"/>
      <c r="Z833" s="89"/>
      <c r="AA833" s="89"/>
      <c r="AB833" s="89"/>
      <c r="AC833" s="89"/>
      <c r="AD833" s="89"/>
      <c r="AE833" s="89"/>
    </row>
    <row r="834">
      <c r="A834" s="445"/>
      <c r="B834" s="420"/>
      <c r="C834" s="420"/>
      <c r="D834" s="420"/>
      <c r="E834" s="420"/>
      <c r="F834" s="420"/>
      <c r="G834" s="420"/>
      <c r="H834" s="420"/>
      <c r="I834" s="89"/>
      <c r="J834" s="89"/>
      <c r="K834" s="89"/>
      <c r="L834" s="89"/>
      <c r="M834" s="89"/>
      <c r="N834" s="89"/>
      <c r="O834" s="89"/>
      <c r="P834" s="89"/>
      <c r="Q834" s="89"/>
      <c r="R834" s="89"/>
      <c r="S834" s="89"/>
      <c r="T834" s="89"/>
      <c r="U834" s="89"/>
      <c r="V834" s="89"/>
      <c r="W834" s="89"/>
      <c r="X834" s="89"/>
      <c r="Y834" s="89"/>
      <c r="Z834" s="89"/>
      <c r="AA834" s="89"/>
      <c r="AB834" s="89"/>
      <c r="AC834" s="89"/>
      <c r="AD834" s="89"/>
      <c r="AE834" s="89"/>
    </row>
    <row r="835">
      <c r="A835" s="445"/>
      <c r="B835" s="420"/>
      <c r="C835" s="420"/>
      <c r="D835" s="420"/>
      <c r="E835" s="420"/>
      <c r="F835" s="420"/>
      <c r="G835" s="420"/>
      <c r="H835" s="420"/>
      <c r="I835" s="89"/>
      <c r="J835" s="89"/>
      <c r="K835" s="89"/>
      <c r="L835" s="89"/>
      <c r="M835" s="89"/>
      <c r="N835" s="89"/>
      <c r="O835" s="89"/>
      <c r="P835" s="89"/>
      <c r="Q835" s="89"/>
      <c r="R835" s="89"/>
      <c r="S835" s="89"/>
      <c r="T835" s="89"/>
      <c r="U835" s="89"/>
      <c r="V835" s="89"/>
      <c r="W835" s="89"/>
      <c r="X835" s="89"/>
      <c r="Y835" s="89"/>
      <c r="Z835" s="89"/>
      <c r="AA835" s="89"/>
      <c r="AB835" s="89"/>
      <c r="AC835" s="89"/>
      <c r="AD835" s="89"/>
      <c r="AE835" s="89"/>
    </row>
    <row r="836">
      <c r="A836" s="445"/>
      <c r="B836" s="420"/>
      <c r="C836" s="420"/>
      <c r="D836" s="420"/>
      <c r="E836" s="420"/>
      <c r="F836" s="420"/>
      <c r="G836" s="420"/>
      <c r="H836" s="420"/>
      <c r="I836" s="89"/>
      <c r="J836" s="89"/>
      <c r="K836" s="89"/>
      <c r="L836" s="89"/>
      <c r="M836" s="89"/>
      <c r="N836" s="89"/>
      <c r="O836" s="89"/>
      <c r="P836" s="89"/>
      <c r="Q836" s="89"/>
      <c r="R836" s="89"/>
      <c r="S836" s="89"/>
      <c r="T836" s="89"/>
      <c r="U836" s="89"/>
      <c r="V836" s="89"/>
      <c r="W836" s="89"/>
      <c r="X836" s="89"/>
      <c r="Y836" s="89"/>
      <c r="Z836" s="89"/>
      <c r="AA836" s="89"/>
      <c r="AB836" s="89"/>
      <c r="AC836" s="89"/>
      <c r="AD836" s="89"/>
      <c r="AE836" s="89"/>
    </row>
    <row r="837">
      <c r="A837" s="445"/>
      <c r="B837" s="420"/>
      <c r="C837" s="420"/>
      <c r="D837" s="420"/>
      <c r="E837" s="420"/>
      <c r="F837" s="420"/>
      <c r="G837" s="420"/>
      <c r="H837" s="420"/>
      <c r="I837" s="89"/>
      <c r="J837" s="89"/>
      <c r="K837" s="89"/>
      <c r="L837" s="89"/>
      <c r="M837" s="89"/>
      <c r="N837" s="89"/>
      <c r="O837" s="89"/>
      <c r="P837" s="89"/>
      <c r="Q837" s="89"/>
      <c r="R837" s="89"/>
      <c r="S837" s="89"/>
      <c r="T837" s="89"/>
      <c r="U837" s="89"/>
      <c r="V837" s="89"/>
      <c r="W837" s="89"/>
      <c r="X837" s="89"/>
      <c r="Y837" s="89"/>
      <c r="Z837" s="89"/>
      <c r="AA837" s="89"/>
      <c r="AB837" s="89"/>
      <c r="AC837" s="89"/>
      <c r="AD837" s="89"/>
      <c r="AE837" s="89"/>
    </row>
    <row r="838">
      <c r="A838" s="445"/>
      <c r="B838" s="420"/>
      <c r="C838" s="420"/>
      <c r="D838" s="420"/>
      <c r="E838" s="420"/>
      <c r="F838" s="420"/>
      <c r="G838" s="420"/>
      <c r="H838" s="420"/>
      <c r="I838" s="89"/>
      <c r="J838" s="89"/>
      <c r="K838" s="89"/>
      <c r="L838" s="89"/>
      <c r="M838" s="89"/>
      <c r="N838" s="89"/>
      <c r="O838" s="89"/>
      <c r="P838" s="89"/>
      <c r="Q838" s="89"/>
      <c r="R838" s="89"/>
      <c r="S838" s="89"/>
      <c r="T838" s="89"/>
      <c r="U838" s="89"/>
      <c r="V838" s="89"/>
      <c r="W838" s="89"/>
      <c r="X838" s="89"/>
      <c r="Y838" s="89"/>
      <c r="Z838" s="89"/>
      <c r="AA838" s="89"/>
      <c r="AB838" s="89"/>
      <c r="AC838" s="89"/>
      <c r="AD838" s="89"/>
      <c r="AE838" s="89"/>
    </row>
    <row r="839">
      <c r="A839" s="445"/>
      <c r="B839" s="420"/>
      <c r="C839" s="420"/>
      <c r="D839" s="420"/>
      <c r="E839" s="420"/>
      <c r="F839" s="420"/>
      <c r="G839" s="420"/>
      <c r="H839" s="420"/>
      <c r="I839" s="89"/>
      <c r="J839" s="89"/>
      <c r="K839" s="89"/>
      <c r="L839" s="89"/>
      <c r="M839" s="89"/>
      <c r="N839" s="89"/>
      <c r="O839" s="89"/>
      <c r="P839" s="89"/>
      <c r="Q839" s="89"/>
      <c r="R839" s="89"/>
      <c r="S839" s="89"/>
      <c r="T839" s="89"/>
      <c r="U839" s="89"/>
      <c r="V839" s="89"/>
      <c r="W839" s="89"/>
      <c r="X839" s="89"/>
      <c r="Y839" s="89"/>
      <c r="Z839" s="89"/>
      <c r="AA839" s="89"/>
      <c r="AB839" s="89"/>
      <c r="AC839" s="89"/>
      <c r="AD839" s="89"/>
      <c r="AE839" s="89"/>
    </row>
    <row r="840">
      <c r="A840" s="445"/>
      <c r="B840" s="420"/>
      <c r="C840" s="420"/>
      <c r="D840" s="420"/>
      <c r="E840" s="420"/>
      <c r="F840" s="420"/>
      <c r="G840" s="420"/>
      <c r="H840" s="420"/>
      <c r="I840" s="89"/>
      <c r="J840" s="89"/>
      <c r="K840" s="89"/>
      <c r="L840" s="89"/>
      <c r="M840" s="89"/>
      <c r="N840" s="89"/>
      <c r="O840" s="89"/>
      <c r="P840" s="89"/>
      <c r="Q840" s="89"/>
      <c r="R840" s="89"/>
      <c r="S840" s="89"/>
      <c r="T840" s="89"/>
      <c r="U840" s="89"/>
      <c r="V840" s="89"/>
      <c r="W840" s="89"/>
      <c r="X840" s="89"/>
      <c r="Y840" s="89"/>
      <c r="Z840" s="89"/>
      <c r="AA840" s="89"/>
      <c r="AB840" s="89"/>
      <c r="AC840" s="89"/>
      <c r="AD840" s="89"/>
      <c r="AE840" s="89"/>
    </row>
    <row r="841">
      <c r="A841" s="445"/>
      <c r="B841" s="420"/>
      <c r="C841" s="420"/>
      <c r="D841" s="420"/>
      <c r="E841" s="420"/>
      <c r="F841" s="420"/>
      <c r="G841" s="420"/>
      <c r="H841" s="420"/>
      <c r="I841" s="89"/>
      <c r="J841" s="89"/>
      <c r="K841" s="89"/>
      <c r="L841" s="89"/>
      <c r="M841" s="89"/>
      <c r="N841" s="89"/>
      <c r="O841" s="89"/>
      <c r="P841" s="89"/>
      <c r="Q841" s="89"/>
      <c r="R841" s="89"/>
      <c r="S841" s="89"/>
      <c r="T841" s="89"/>
      <c r="U841" s="89"/>
      <c r="V841" s="89"/>
      <c r="W841" s="89"/>
      <c r="X841" s="89"/>
      <c r="Y841" s="89"/>
      <c r="Z841" s="89"/>
      <c r="AA841" s="89"/>
      <c r="AB841" s="89"/>
      <c r="AC841" s="89"/>
      <c r="AD841" s="89"/>
      <c r="AE841" s="89"/>
    </row>
    <row r="842">
      <c r="A842" s="445"/>
      <c r="B842" s="420"/>
      <c r="C842" s="420"/>
      <c r="D842" s="420"/>
      <c r="E842" s="420"/>
      <c r="F842" s="420"/>
      <c r="G842" s="420"/>
      <c r="H842" s="420"/>
      <c r="I842" s="89"/>
      <c r="J842" s="89"/>
      <c r="K842" s="89"/>
      <c r="L842" s="89"/>
      <c r="M842" s="89"/>
      <c r="N842" s="89"/>
      <c r="O842" s="89"/>
      <c r="P842" s="89"/>
      <c r="Q842" s="89"/>
      <c r="R842" s="89"/>
      <c r="S842" s="89"/>
      <c r="T842" s="89"/>
      <c r="U842" s="89"/>
      <c r="V842" s="89"/>
      <c r="W842" s="89"/>
      <c r="X842" s="89"/>
      <c r="Y842" s="89"/>
      <c r="Z842" s="89"/>
      <c r="AA842" s="89"/>
      <c r="AB842" s="89"/>
      <c r="AC842" s="89"/>
      <c r="AD842" s="89"/>
      <c r="AE842" s="89"/>
    </row>
    <row r="843">
      <c r="A843" s="445"/>
      <c r="B843" s="420"/>
      <c r="C843" s="420"/>
      <c r="D843" s="420"/>
      <c r="E843" s="420"/>
      <c r="F843" s="420"/>
      <c r="G843" s="420"/>
      <c r="H843" s="420"/>
      <c r="I843" s="89"/>
      <c r="J843" s="89"/>
      <c r="K843" s="89"/>
      <c r="L843" s="89"/>
      <c r="M843" s="89"/>
      <c r="N843" s="89"/>
      <c r="O843" s="89"/>
      <c r="P843" s="89"/>
      <c r="Q843" s="89"/>
      <c r="R843" s="89"/>
      <c r="S843" s="89"/>
      <c r="T843" s="89"/>
      <c r="U843" s="89"/>
      <c r="V843" s="89"/>
      <c r="W843" s="89"/>
      <c r="X843" s="89"/>
      <c r="Y843" s="89"/>
      <c r="Z843" s="89"/>
      <c r="AA843" s="89"/>
      <c r="AB843" s="89"/>
      <c r="AC843" s="89"/>
      <c r="AD843" s="89"/>
      <c r="AE843" s="89"/>
    </row>
    <row r="844">
      <c r="A844" s="445"/>
      <c r="B844" s="420"/>
      <c r="C844" s="420"/>
      <c r="D844" s="420"/>
      <c r="E844" s="420"/>
      <c r="F844" s="420"/>
      <c r="G844" s="420"/>
      <c r="H844" s="420"/>
      <c r="I844" s="89"/>
      <c r="J844" s="89"/>
      <c r="K844" s="89"/>
      <c r="L844" s="89"/>
      <c r="M844" s="89"/>
      <c r="N844" s="89"/>
      <c r="O844" s="89"/>
      <c r="P844" s="89"/>
      <c r="Q844" s="89"/>
      <c r="R844" s="89"/>
      <c r="S844" s="89"/>
      <c r="T844" s="89"/>
      <c r="U844" s="89"/>
      <c r="V844" s="89"/>
      <c r="W844" s="89"/>
      <c r="X844" s="89"/>
      <c r="Y844" s="89"/>
      <c r="Z844" s="89"/>
      <c r="AA844" s="89"/>
      <c r="AB844" s="89"/>
      <c r="AC844" s="89"/>
      <c r="AD844" s="89"/>
      <c r="AE844" s="89"/>
    </row>
    <row r="845">
      <c r="A845" s="445"/>
      <c r="B845" s="420"/>
      <c r="C845" s="420"/>
      <c r="D845" s="420"/>
      <c r="E845" s="420"/>
      <c r="F845" s="420"/>
      <c r="G845" s="420"/>
      <c r="H845" s="420"/>
      <c r="I845" s="89"/>
      <c r="J845" s="89"/>
      <c r="K845" s="89"/>
      <c r="L845" s="89"/>
      <c r="M845" s="89"/>
      <c r="N845" s="89"/>
      <c r="O845" s="89"/>
      <c r="P845" s="89"/>
      <c r="Q845" s="89"/>
      <c r="R845" s="89"/>
      <c r="S845" s="89"/>
      <c r="T845" s="89"/>
      <c r="U845" s="89"/>
      <c r="V845" s="89"/>
      <c r="W845" s="89"/>
      <c r="X845" s="89"/>
      <c r="Y845" s="89"/>
      <c r="Z845" s="89"/>
      <c r="AA845" s="89"/>
      <c r="AB845" s="89"/>
      <c r="AC845" s="89"/>
      <c r="AD845" s="89"/>
      <c r="AE845" s="89"/>
    </row>
    <row r="846">
      <c r="A846" s="445"/>
      <c r="B846" s="420"/>
      <c r="C846" s="420"/>
      <c r="D846" s="420"/>
      <c r="E846" s="420"/>
      <c r="F846" s="420"/>
      <c r="G846" s="420"/>
      <c r="H846" s="420"/>
      <c r="I846" s="89"/>
      <c r="J846" s="89"/>
      <c r="K846" s="89"/>
      <c r="L846" s="89"/>
      <c r="M846" s="89"/>
      <c r="N846" s="89"/>
      <c r="O846" s="89"/>
      <c r="P846" s="89"/>
      <c r="Q846" s="89"/>
      <c r="R846" s="89"/>
      <c r="S846" s="89"/>
      <c r="T846" s="89"/>
      <c r="U846" s="89"/>
      <c r="V846" s="89"/>
      <c r="W846" s="89"/>
      <c r="X846" s="89"/>
      <c r="Y846" s="89"/>
      <c r="Z846" s="89"/>
      <c r="AA846" s="89"/>
      <c r="AB846" s="89"/>
      <c r="AC846" s="89"/>
      <c r="AD846" s="89"/>
      <c r="AE846" s="89"/>
    </row>
    <row r="847">
      <c r="A847" s="445"/>
      <c r="B847" s="420"/>
      <c r="C847" s="420"/>
      <c r="D847" s="420"/>
      <c r="E847" s="420"/>
      <c r="F847" s="420"/>
      <c r="G847" s="420"/>
      <c r="H847" s="420"/>
      <c r="I847" s="89"/>
      <c r="J847" s="89"/>
      <c r="K847" s="89"/>
      <c r="L847" s="89"/>
      <c r="M847" s="89"/>
      <c r="N847" s="89"/>
      <c r="O847" s="89"/>
      <c r="P847" s="89"/>
      <c r="Q847" s="89"/>
      <c r="R847" s="89"/>
      <c r="S847" s="89"/>
      <c r="T847" s="89"/>
      <c r="U847" s="89"/>
      <c r="V847" s="89"/>
      <c r="W847" s="89"/>
      <c r="X847" s="89"/>
      <c r="Y847" s="89"/>
      <c r="Z847" s="89"/>
      <c r="AA847" s="89"/>
      <c r="AB847" s="89"/>
      <c r="AC847" s="89"/>
      <c r="AD847" s="89"/>
      <c r="AE847" s="89"/>
    </row>
    <row r="848">
      <c r="A848" s="445"/>
      <c r="B848" s="420"/>
      <c r="C848" s="420"/>
      <c r="D848" s="420"/>
      <c r="E848" s="420"/>
      <c r="F848" s="420"/>
      <c r="G848" s="420"/>
      <c r="H848" s="420"/>
      <c r="I848" s="89"/>
      <c r="J848" s="89"/>
      <c r="K848" s="89"/>
      <c r="L848" s="89"/>
      <c r="M848" s="89"/>
      <c r="N848" s="89"/>
      <c r="O848" s="89"/>
      <c r="P848" s="89"/>
      <c r="Q848" s="89"/>
      <c r="R848" s="89"/>
      <c r="S848" s="89"/>
      <c r="T848" s="89"/>
      <c r="U848" s="89"/>
      <c r="V848" s="89"/>
      <c r="W848" s="89"/>
      <c r="X848" s="89"/>
      <c r="Y848" s="89"/>
      <c r="Z848" s="89"/>
      <c r="AA848" s="89"/>
      <c r="AB848" s="89"/>
      <c r="AC848" s="89"/>
      <c r="AD848" s="89"/>
      <c r="AE848" s="89"/>
    </row>
    <row r="849">
      <c r="A849" s="445"/>
      <c r="B849" s="420"/>
      <c r="C849" s="420"/>
      <c r="D849" s="420"/>
      <c r="E849" s="420"/>
      <c r="F849" s="420"/>
      <c r="G849" s="420"/>
      <c r="H849" s="420"/>
      <c r="I849" s="89"/>
      <c r="J849" s="89"/>
      <c r="K849" s="89"/>
      <c r="L849" s="89"/>
      <c r="M849" s="89"/>
      <c r="N849" s="89"/>
      <c r="O849" s="89"/>
      <c r="P849" s="89"/>
      <c r="Q849" s="89"/>
      <c r="R849" s="89"/>
      <c r="S849" s="89"/>
      <c r="T849" s="89"/>
      <c r="U849" s="89"/>
      <c r="V849" s="89"/>
      <c r="W849" s="89"/>
      <c r="X849" s="89"/>
      <c r="Y849" s="89"/>
      <c r="Z849" s="89"/>
      <c r="AA849" s="89"/>
      <c r="AB849" s="89"/>
      <c r="AC849" s="89"/>
      <c r="AD849" s="89"/>
      <c r="AE849" s="89"/>
    </row>
    <row r="850">
      <c r="A850" s="445"/>
      <c r="B850" s="420"/>
      <c r="C850" s="420"/>
      <c r="D850" s="420"/>
      <c r="E850" s="420"/>
      <c r="F850" s="420"/>
      <c r="G850" s="420"/>
      <c r="H850" s="420"/>
      <c r="I850" s="89"/>
      <c r="J850" s="89"/>
      <c r="K850" s="89"/>
      <c r="L850" s="89"/>
      <c r="M850" s="89"/>
      <c r="N850" s="89"/>
      <c r="O850" s="89"/>
      <c r="P850" s="89"/>
      <c r="Q850" s="89"/>
      <c r="R850" s="89"/>
      <c r="S850" s="89"/>
      <c r="T850" s="89"/>
      <c r="U850" s="89"/>
      <c r="V850" s="89"/>
      <c r="W850" s="89"/>
      <c r="X850" s="89"/>
      <c r="Y850" s="89"/>
      <c r="Z850" s="89"/>
      <c r="AA850" s="89"/>
      <c r="AB850" s="89"/>
      <c r="AC850" s="89"/>
      <c r="AD850" s="89"/>
      <c r="AE850" s="89"/>
    </row>
    <row r="851">
      <c r="A851" s="445"/>
      <c r="B851" s="420"/>
      <c r="C851" s="420"/>
      <c r="D851" s="420"/>
      <c r="E851" s="420"/>
      <c r="F851" s="420"/>
      <c r="G851" s="420"/>
      <c r="H851" s="420"/>
      <c r="I851" s="89"/>
      <c r="J851" s="89"/>
      <c r="K851" s="89"/>
      <c r="L851" s="89"/>
      <c r="M851" s="89"/>
      <c r="N851" s="89"/>
      <c r="O851" s="89"/>
      <c r="P851" s="89"/>
      <c r="Q851" s="89"/>
      <c r="R851" s="89"/>
      <c r="S851" s="89"/>
      <c r="T851" s="89"/>
      <c r="U851" s="89"/>
      <c r="V851" s="89"/>
      <c r="W851" s="89"/>
      <c r="X851" s="89"/>
      <c r="Y851" s="89"/>
      <c r="Z851" s="89"/>
      <c r="AA851" s="89"/>
      <c r="AB851" s="89"/>
      <c r="AC851" s="89"/>
      <c r="AD851" s="89"/>
      <c r="AE851" s="89"/>
    </row>
    <row r="852">
      <c r="A852" s="445"/>
      <c r="B852" s="420"/>
      <c r="C852" s="420"/>
      <c r="D852" s="420"/>
      <c r="E852" s="420"/>
      <c r="F852" s="420"/>
      <c r="G852" s="420"/>
      <c r="H852" s="420"/>
      <c r="I852" s="89"/>
      <c r="J852" s="89"/>
      <c r="K852" s="89"/>
      <c r="L852" s="89"/>
      <c r="M852" s="89"/>
      <c r="N852" s="89"/>
      <c r="O852" s="89"/>
      <c r="P852" s="89"/>
      <c r="Q852" s="89"/>
      <c r="R852" s="89"/>
      <c r="S852" s="89"/>
      <c r="T852" s="89"/>
      <c r="U852" s="89"/>
      <c r="V852" s="89"/>
      <c r="W852" s="89"/>
      <c r="X852" s="89"/>
      <c r="Y852" s="89"/>
      <c r="Z852" s="89"/>
      <c r="AA852" s="89"/>
      <c r="AB852" s="89"/>
      <c r="AC852" s="89"/>
      <c r="AD852" s="89"/>
      <c r="AE852" s="89"/>
    </row>
    <row r="853">
      <c r="A853" s="445"/>
      <c r="B853" s="420"/>
      <c r="C853" s="420"/>
      <c r="D853" s="420"/>
      <c r="E853" s="420"/>
      <c r="F853" s="420"/>
      <c r="G853" s="420"/>
      <c r="H853" s="420"/>
      <c r="I853" s="89"/>
      <c r="J853" s="89"/>
      <c r="K853" s="89"/>
      <c r="L853" s="89"/>
      <c r="M853" s="89"/>
      <c r="N853" s="89"/>
      <c r="O853" s="89"/>
      <c r="P853" s="89"/>
      <c r="Q853" s="89"/>
      <c r="R853" s="89"/>
      <c r="S853" s="89"/>
      <c r="T853" s="89"/>
      <c r="U853" s="89"/>
      <c r="V853" s="89"/>
      <c r="W853" s="89"/>
      <c r="X853" s="89"/>
      <c r="Y853" s="89"/>
      <c r="Z853" s="89"/>
      <c r="AA853" s="89"/>
      <c r="AB853" s="89"/>
      <c r="AC853" s="89"/>
      <c r="AD853" s="89"/>
      <c r="AE853" s="89"/>
    </row>
    <row r="854">
      <c r="A854" s="445"/>
      <c r="B854" s="420"/>
      <c r="C854" s="420"/>
      <c r="D854" s="420"/>
      <c r="E854" s="420"/>
      <c r="F854" s="420"/>
      <c r="G854" s="420"/>
      <c r="H854" s="420"/>
      <c r="I854" s="89"/>
      <c r="J854" s="89"/>
      <c r="K854" s="89"/>
      <c r="L854" s="89"/>
      <c r="M854" s="89"/>
      <c r="N854" s="89"/>
      <c r="O854" s="89"/>
      <c r="P854" s="89"/>
      <c r="Q854" s="89"/>
      <c r="R854" s="89"/>
      <c r="S854" s="89"/>
      <c r="T854" s="89"/>
      <c r="U854" s="89"/>
      <c r="V854" s="89"/>
      <c r="W854" s="89"/>
      <c r="X854" s="89"/>
      <c r="Y854" s="89"/>
      <c r="Z854" s="89"/>
      <c r="AA854" s="89"/>
      <c r="AB854" s="89"/>
      <c r="AC854" s="89"/>
      <c r="AD854" s="89"/>
      <c r="AE854" s="89"/>
    </row>
    <row r="855">
      <c r="A855" s="445"/>
      <c r="B855" s="420"/>
      <c r="C855" s="420"/>
      <c r="D855" s="420"/>
      <c r="E855" s="420"/>
      <c r="F855" s="420"/>
      <c r="G855" s="420"/>
      <c r="H855" s="420"/>
      <c r="I855" s="89"/>
      <c r="J855" s="89"/>
      <c r="K855" s="89"/>
      <c r="L855" s="89"/>
      <c r="M855" s="89"/>
      <c r="N855" s="89"/>
      <c r="O855" s="89"/>
      <c r="P855" s="89"/>
      <c r="Q855" s="89"/>
      <c r="R855" s="89"/>
      <c r="S855" s="89"/>
      <c r="T855" s="89"/>
      <c r="U855" s="89"/>
      <c r="V855" s="89"/>
      <c r="W855" s="89"/>
      <c r="X855" s="89"/>
      <c r="Y855" s="89"/>
      <c r="Z855" s="89"/>
      <c r="AA855" s="89"/>
      <c r="AB855" s="89"/>
      <c r="AC855" s="89"/>
      <c r="AD855" s="89"/>
      <c r="AE855" s="89"/>
    </row>
    <row r="856">
      <c r="A856" s="445"/>
      <c r="B856" s="420"/>
      <c r="C856" s="420"/>
      <c r="D856" s="420"/>
      <c r="E856" s="420"/>
      <c r="F856" s="420"/>
      <c r="G856" s="420"/>
      <c r="H856" s="420"/>
      <c r="I856" s="89"/>
      <c r="J856" s="89"/>
      <c r="K856" s="89"/>
      <c r="L856" s="89"/>
      <c r="M856" s="89"/>
      <c r="N856" s="89"/>
      <c r="O856" s="89"/>
      <c r="P856" s="89"/>
      <c r="Q856" s="89"/>
      <c r="R856" s="89"/>
      <c r="S856" s="89"/>
      <c r="T856" s="89"/>
      <c r="U856" s="89"/>
      <c r="V856" s="89"/>
      <c r="W856" s="89"/>
      <c r="X856" s="89"/>
      <c r="Y856" s="89"/>
      <c r="Z856" s="89"/>
      <c r="AA856" s="89"/>
      <c r="AB856" s="89"/>
      <c r="AC856" s="89"/>
      <c r="AD856" s="89"/>
      <c r="AE856" s="89"/>
    </row>
    <row r="857">
      <c r="A857" s="445"/>
      <c r="B857" s="420"/>
      <c r="C857" s="420"/>
      <c r="D857" s="420"/>
      <c r="E857" s="420"/>
      <c r="F857" s="420"/>
      <c r="G857" s="420"/>
      <c r="H857" s="420"/>
      <c r="I857" s="89"/>
      <c r="J857" s="89"/>
      <c r="K857" s="89"/>
      <c r="L857" s="89"/>
      <c r="M857" s="89"/>
      <c r="N857" s="89"/>
      <c r="O857" s="89"/>
      <c r="P857" s="89"/>
      <c r="Q857" s="89"/>
      <c r="R857" s="89"/>
      <c r="S857" s="89"/>
      <c r="T857" s="89"/>
      <c r="U857" s="89"/>
      <c r="V857" s="89"/>
      <c r="W857" s="89"/>
      <c r="X857" s="89"/>
      <c r="Y857" s="89"/>
      <c r="Z857" s="89"/>
      <c r="AA857" s="89"/>
      <c r="AB857" s="89"/>
      <c r="AC857" s="89"/>
      <c r="AD857" s="89"/>
      <c r="AE857" s="89"/>
    </row>
    <row r="858">
      <c r="A858" s="445"/>
      <c r="B858" s="420"/>
      <c r="C858" s="420"/>
      <c r="D858" s="420"/>
      <c r="E858" s="420"/>
      <c r="F858" s="420"/>
      <c r="G858" s="420"/>
      <c r="H858" s="420"/>
      <c r="I858" s="89"/>
      <c r="J858" s="89"/>
      <c r="K858" s="89"/>
      <c r="L858" s="89"/>
      <c r="M858" s="89"/>
      <c r="N858" s="89"/>
      <c r="O858" s="89"/>
      <c r="P858" s="89"/>
      <c r="Q858" s="89"/>
      <c r="R858" s="89"/>
      <c r="S858" s="89"/>
      <c r="T858" s="89"/>
      <c r="U858" s="89"/>
      <c r="V858" s="89"/>
      <c r="W858" s="89"/>
      <c r="X858" s="89"/>
      <c r="Y858" s="89"/>
      <c r="Z858" s="89"/>
      <c r="AA858" s="89"/>
      <c r="AB858" s="89"/>
      <c r="AC858" s="89"/>
      <c r="AD858" s="89"/>
      <c r="AE858" s="89"/>
    </row>
    <row r="859">
      <c r="A859" s="445"/>
      <c r="B859" s="420"/>
      <c r="C859" s="420"/>
      <c r="D859" s="420"/>
      <c r="E859" s="420"/>
      <c r="F859" s="420"/>
      <c r="G859" s="420"/>
      <c r="H859" s="420"/>
      <c r="I859" s="89"/>
      <c r="J859" s="89"/>
      <c r="K859" s="89"/>
      <c r="L859" s="89"/>
      <c r="M859" s="89"/>
      <c r="N859" s="89"/>
      <c r="O859" s="89"/>
      <c r="P859" s="89"/>
      <c r="Q859" s="89"/>
      <c r="R859" s="89"/>
      <c r="S859" s="89"/>
      <c r="T859" s="89"/>
      <c r="U859" s="89"/>
      <c r="V859" s="89"/>
      <c r="W859" s="89"/>
      <c r="X859" s="89"/>
      <c r="Y859" s="89"/>
      <c r="Z859" s="89"/>
      <c r="AA859" s="89"/>
      <c r="AB859" s="89"/>
      <c r="AC859" s="89"/>
      <c r="AD859" s="89"/>
      <c r="AE859" s="89"/>
    </row>
    <row r="860">
      <c r="A860" s="445"/>
      <c r="B860" s="420"/>
      <c r="C860" s="420"/>
      <c r="D860" s="420"/>
      <c r="E860" s="420"/>
      <c r="F860" s="420"/>
      <c r="G860" s="420"/>
      <c r="H860" s="420"/>
      <c r="I860" s="89"/>
      <c r="J860" s="89"/>
      <c r="K860" s="89"/>
      <c r="L860" s="89"/>
      <c r="M860" s="89"/>
      <c r="N860" s="89"/>
      <c r="O860" s="89"/>
      <c r="P860" s="89"/>
      <c r="Q860" s="89"/>
      <c r="R860" s="89"/>
      <c r="S860" s="89"/>
      <c r="T860" s="89"/>
      <c r="U860" s="89"/>
      <c r="V860" s="89"/>
      <c r="W860" s="89"/>
      <c r="X860" s="89"/>
      <c r="Y860" s="89"/>
      <c r="Z860" s="89"/>
      <c r="AA860" s="89"/>
      <c r="AB860" s="89"/>
      <c r="AC860" s="89"/>
      <c r="AD860" s="89"/>
      <c r="AE860" s="89"/>
    </row>
    <row r="861">
      <c r="A861" s="445"/>
      <c r="B861" s="420"/>
      <c r="C861" s="420"/>
      <c r="D861" s="420"/>
      <c r="E861" s="420"/>
      <c r="F861" s="420"/>
      <c r="G861" s="420"/>
      <c r="H861" s="420"/>
      <c r="I861" s="89"/>
      <c r="J861" s="89"/>
      <c r="K861" s="89"/>
      <c r="L861" s="89"/>
      <c r="M861" s="89"/>
      <c r="N861" s="89"/>
      <c r="O861" s="89"/>
      <c r="P861" s="89"/>
      <c r="Q861" s="89"/>
      <c r="R861" s="89"/>
      <c r="S861" s="89"/>
      <c r="T861" s="89"/>
      <c r="U861" s="89"/>
      <c r="V861" s="89"/>
      <c r="W861" s="89"/>
      <c r="X861" s="89"/>
      <c r="Y861" s="89"/>
      <c r="Z861" s="89"/>
      <c r="AA861" s="89"/>
      <c r="AB861" s="89"/>
      <c r="AC861" s="89"/>
      <c r="AD861" s="89"/>
      <c r="AE861" s="89"/>
    </row>
    <row r="862">
      <c r="A862" s="445"/>
      <c r="B862" s="420"/>
      <c r="C862" s="420"/>
      <c r="D862" s="420"/>
      <c r="E862" s="420"/>
      <c r="F862" s="420"/>
      <c r="G862" s="420"/>
      <c r="H862" s="420"/>
      <c r="I862" s="89"/>
      <c r="J862" s="89"/>
      <c r="K862" s="89"/>
      <c r="L862" s="89"/>
      <c r="M862" s="89"/>
      <c r="N862" s="89"/>
      <c r="O862" s="89"/>
      <c r="P862" s="89"/>
      <c r="Q862" s="89"/>
      <c r="R862" s="89"/>
      <c r="S862" s="89"/>
      <c r="T862" s="89"/>
      <c r="U862" s="89"/>
      <c r="V862" s="89"/>
      <c r="W862" s="89"/>
      <c r="X862" s="89"/>
      <c r="Y862" s="89"/>
      <c r="Z862" s="89"/>
      <c r="AA862" s="89"/>
      <c r="AB862" s="89"/>
      <c r="AC862" s="89"/>
      <c r="AD862" s="89"/>
      <c r="AE862" s="89"/>
    </row>
    <row r="863">
      <c r="A863" s="445"/>
      <c r="B863" s="420"/>
      <c r="C863" s="420"/>
      <c r="D863" s="420"/>
      <c r="E863" s="420"/>
      <c r="F863" s="420"/>
      <c r="G863" s="420"/>
      <c r="H863" s="420"/>
      <c r="I863" s="89"/>
      <c r="J863" s="89"/>
      <c r="K863" s="89"/>
      <c r="L863" s="89"/>
      <c r="M863" s="89"/>
      <c r="N863" s="89"/>
      <c r="O863" s="89"/>
      <c r="P863" s="89"/>
      <c r="Q863" s="89"/>
      <c r="R863" s="89"/>
      <c r="S863" s="89"/>
      <c r="T863" s="89"/>
      <c r="U863" s="89"/>
      <c r="V863" s="89"/>
      <c r="W863" s="89"/>
      <c r="X863" s="89"/>
      <c r="Y863" s="89"/>
      <c r="Z863" s="89"/>
      <c r="AA863" s="89"/>
      <c r="AB863" s="89"/>
      <c r="AC863" s="89"/>
      <c r="AD863" s="89"/>
      <c r="AE863" s="89"/>
    </row>
    <row r="864">
      <c r="A864" s="445"/>
      <c r="B864" s="420"/>
      <c r="C864" s="420"/>
      <c r="D864" s="420"/>
      <c r="E864" s="420"/>
      <c r="F864" s="420"/>
      <c r="G864" s="420"/>
      <c r="H864" s="420"/>
      <c r="I864" s="89"/>
      <c r="J864" s="89"/>
      <c r="K864" s="89"/>
      <c r="L864" s="89"/>
      <c r="M864" s="89"/>
      <c r="N864" s="89"/>
      <c r="O864" s="89"/>
      <c r="P864" s="89"/>
      <c r="Q864" s="89"/>
      <c r="R864" s="89"/>
      <c r="S864" s="89"/>
      <c r="T864" s="89"/>
      <c r="U864" s="89"/>
      <c r="V864" s="89"/>
      <c r="W864" s="89"/>
      <c r="X864" s="89"/>
      <c r="Y864" s="89"/>
      <c r="Z864" s="89"/>
      <c r="AA864" s="89"/>
      <c r="AB864" s="89"/>
      <c r="AC864" s="89"/>
      <c r="AD864" s="89"/>
      <c r="AE864" s="89"/>
    </row>
    <row r="865">
      <c r="A865" s="445"/>
      <c r="B865" s="420"/>
      <c r="C865" s="420"/>
      <c r="D865" s="420"/>
      <c r="E865" s="420"/>
      <c r="F865" s="420"/>
      <c r="G865" s="420"/>
      <c r="H865" s="420"/>
      <c r="I865" s="89"/>
      <c r="J865" s="89"/>
      <c r="K865" s="89"/>
      <c r="L865" s="89"/>
      <c r="M865" s="89"/>
      <c r="N865" s="89"/>
      <c r="O865" s="89"/>
      <c r="P865" s="89"/>
      <c r="Q865" s="89"/>
      <c r="R865" s="89"/>
      <c r="S865" s="89"/>
      <c r="T865" s="89"/>
      <c r="U865" s="89"/>
      <c r="V865" s="89"/>
      <c r="W865" s="89"/>
      <c r="X865" s="89"/>
      <c r="Y865" s="89"/>
      <c r="Z865" s="89"/>
      <c r="AA865" s="89"/>
      <c r="AB865" s="89"/>
      <c r="AC865" s="89"/>
      <c r="AD865" s="89"/>
      <c r="AE865" s="89"/>
    </row>
    <row r="866">
      <c r="A866" s="445"/>
      <c r="B866" s="420"/>
      <c r="C866" s="420"/>
      <c r="D866" s="420"/>
      <c r="E866" s="420"/>
      <c r="F866" s="420"/>
      <c r="G866" s="420"/>
      <c r="H866" s="420"/>
      <c r="I866" s="89"/>
      <c r="J866" s="89"/>
      <c r="K866" s="89"/>
      <c r="L866" s="89"/>
      <c r="M866" s="89"/>
      <c r="N866" s="89"/>
      <c r="O866" s="89"/>
      <c r="P866" s="89"/>
      <c r="Q866" s="89"/>
      <c r="R866" s="89"/>
      <c r="S866" s="89"/>
      <c r="T866" s="89"/>
      <c r="U866" s="89"/>
      <c r="V866" s="89"/>
      <c r="W866" s="89"/>
      <c r="X866" s="89"/>
      <c r="Y866" s="89"/>
      <c r="Z866" s="89"/>
      <c r="AA866" s="89"/>
      <c r="AB866" s="89"/>
      <c r="AC866" s="89"/>
      <c r="AD866" s="89"/>
      <c r="AE866" s="89"/>
    </row>
    <row r="867">
      <c r="A867" s="445"/>
      <c r="B867" s="420"/>
      <c r="C867" s="420"/>
      <c r="D867" s="420"/>
      <c r="E867" s="420"/>
      <c r="F867" s="420"/>
      <c r="G867" s="420"/>
      <c r="H867" s="420"/>
      <c r="I867" s="89"/>
      <c r="J867" s="89"/>
      <c r="K867" s="89"/>
      <c r="L867" s="89"/>
      <c r="M867" s="89"/>
      <c r="N867" s="89"/>
      <c r="O867" s="89"/>
      <c r="P867" s="89"/>
      <c r="Q867" s="89"/>
      <c r="R867" s="89"/>
      <c r="S867" s="89"/>
      <c r="T867" s="89"/>
      <c r="U867" s="89"/>
      <c r="V867" s="89"/>
      <c r="W867" s="89"/>
      <c r="X867" s="89"/>
      <c r="Y867" s="89"/>
      <c r="Z867" s="89"/>
      <c r="AA867" s="89"/>
      <c r="AB867" s="89"/>
      <c r="AC867" s="89"/>
      <c r="AD867" s="89"/>
      <c r="AE867" s="89"/>
    </row>
    <row r="868">
      <c r="A868" s="445"/>
      <c r="B868" s="420"/>
      <c r="C868" s="420"/>
      <c r="D868" s="420"/>
      <c r="E868" s="420"/>
      <c r="F868" s="420"/>
      <c r="G868" s="420"/>
      <c r="H868" s="420"/>
      <c r="I868" s="89"/>
      <c r="J868" s="89"/>
      <c r="K868" s="89"/>
      <c r="L868" s="89"/>
      <c r="M868" s="89"/>
      <c r="N868" s="89"/>
      <c r="O868" s="89"/>
      <c r="P868" s="89"/>
      <c r="Q868" s="89"/>
      <c r="R868" s="89"/>
      <c r="S868" s="89"/>
      <c r="T868" s="89"/>
      <c r="U868" s="89"/>
      <c r="V868" s="89"/>
      <c r="W868" s="89"/>
      <c r="X868" s="89"/>
      <c r="Y868" s="89"/>
      <c r="Z868" s="89"/>
      <c r="AA868" s="89"/>
      <c r="AB868" s="89"/>
      <c r="AC868" s="89"/>
      <c r="AD868" s="89"/>
      <c r="AE868" s="89"/>
    </row>
    <row r="869">
      <c r="A869" s="445"/>
      <c r="B869" s="420"/>
      <c r="C869" s="420"/>
      <c r="D869" s="420"/>
      <c r="E869" s="420"/>
      <c r="F869" s="420"/>
      <c r="G869" s="420"/>
      <c r="H869" s="420"/>
      <c r="I869" s="89"/>
      <c r="J869" s="89"/>
      <c r="K869" s="89"/>
      <c r="L869" s="89"/>
      <c r="M869" s="89"/>
      <c r="N869" s="89"/>
      <c r="O869" s="89"/>
      <c r="P869" s="89"/>
      <c r="Q869" s="89"/>
      <c r="R869" s="89"/>
      <c r="S869" s="89"/>
      <c r="T869" s="89"/>
      <c r="U869" s="89"/>
      <c r="V869" s="89"/>
      <c r="W869" s="89"/>
      <c r="X869" s="89"/>
      <c r="Y869" s="89"/>
      <c r="Z869" s="89"/>
      <c r="AA869" s="89"/>
      <c r="AB869" s="89"/>
      <c r="AC869" s="89"/>
      <c r="AD869" s="89"/>
      <c r="AE869" s="89"/>
    </row>
    <row r="870">
      <c r="A870" s="445"/>
      <c r="B870" s="420"/>
      <c r="C870" s="420"/>
      <c r="D870" s="420"/>
      <c r="E870" s="420"/>
      <c r="F870" s="420"/>
      <c r="G870" s="420"/>
      <c r="H870" s="420"/>
      <c r="I870" s="89"/>
      <c r="J870" s="89"/>
      <c r="K870" s="89"/>
      <c r="L870" s="89"/>
      <c r="M870" s="89"/>
      <c r="N870" s="89"/>
      <c r="O870" s="89"/>
      <c r="P870" s="89"/>
      <c r="Q870" s="89"/>
      <c r="R870" s="89"/>
      <c r="S870" s="89"/>
      <c r="T870" s="89"/>
      <c r="U870" s="89"/>
      <c r="V870" s="89"/>
      <c r="W870" s="89"/>
      <c r="X870" s="89"/>
      <c r="Y870" s="89"/>
      <c r="Z870" s="89"/>
      <c r="AA870" s="89"/>
      <c r="AB870" s="89"/>
      <c r="AC870" s="89"/>
      <c r="AD870" s="89"/>
      <c r="AE870" s="89"/>
    </row>
    <row r="871">
      <c r="A871" s="445"/>
      <c r="B871" s="420"/>
      <c r="C871" s="420"/>
      <c r="D871" s="420"/>
      <c r="E871" s="420"/>
      <c r="F871" s="420"/>
      <c r="G871" s="420"/>
      <c r="H871" s="420"/>
      <c r="I871" s="89"/>
      <c r="J871" s="89"/>
      <c r="K871" s="89"/>
      <c r="L871" s="89"/>
      <c r="M871" s="89"/>
      <c r="N871" s="89"/>
      <c r="O871" s="89"/>
      <c r="P871" s="89"/>
      <c r="Q871" s="89"/>
      <c r="R871" s="89"/>
      <c r="S871" s="89"/>
      <c r="T871" s="89"/>
      <c r="U871" s="89"/>
      <c r="V871" s="89"/>
      <c r="W871" s="89"/>
      <c r="X871" s="89"/>
      <c r="Y871" s="89"/>
      <c r="Z871" s="89"/>
      <c r="AA871" s="89"/>
      <c r="AB871" s="89"/>
      <c r="AC871" s="89"/>
      <c r="AD871" s="89"/>
      <c r="AE871" s="89"/>
    </row>
    <row r="872">
      <c r="A872" s="445"/>
      <c r="B872" s="420"/>
      <c r="C872" s="420"/>
      <c r="D872" s="420"/>
      <c r="E872" s="420"/>
      <c r="F872" s="420"/>
      <c r="G872" s="420"/>
      <c r="H872" s="420"/>
      <c r="I872" s="89"/>
      <c r="J872" s="89"/>
      <c r="K872" s="89"/>
      <c r="L872" s="89"/>
      <c r="M872" s="89"/>
      <c r="N872" s="89"/>
      <c r="O872" s="89"/>
      <c r="P872" s="89"/>
      <c r="Q872" s="89"/>
      <c r="R872" s="89"/>
      <c r="S872" s="89"/>
      <c r="T872" s="89"/>
      <c r="U872" s="89"/>
      <c r="V872" s="89"/>
      <c r="W872" s="89"/>
      <c r="X872" s="89"/>
      <c r="Y872" s="89"/>
      <c r="Z872" s="89"/>
      <c r="AA872" s="89"/>
      <c r="AB872" s="89"/>
      <c r="AC872" s="89"/>
      <c r="AD872" s="89"/>
      <c r="AE872" s="89"/>
    </row>
    <row r="873">
      <c r="A873" s="445"/>
      <c r="B873" s="420"/>
      <c r="C873" s="420"/>
      <c r="D873" s="420"/>
      <c r="E873" s="420"/>
      <c r="F873" s="420"/>
      <c r="G873" s="420"/>
      <c r="H873" s="420"/>
      <c r="I873" s="89"/>
      <c r="J873" s="89"/>
      <c r="K873" s="89"/>
      <c r="L873" s="89"/>
      <c r="M873" s="89"/>
      <c r="N873" s="89"/>
      <c r="O873" s="89"/>
      <c r="P873" s="89"/>
      <c r="Q873" s="89"/>
      <c r="R873" s="89"/>
      <c r="S873" s="89"/>
      <c r="T873" s="89"/>
      <c r="U873" s="89"/>
      <c r="V873" s="89"/>
      <c r="W873" s="89"/>
      <c r="X873" s="89"/>
      <c r="Y873" s="89"/>
      <c r="Z873" s="89"/>
      <c r="AA873" s="89"/>
      <c r="AB873" s="89"/>
      <c r="AC873" s="89"/>
      <c r="AD873" s="89"/>
      <c r="AE873" s="89"/>
    </row>
    <row r="874">
      <c r="A874" s="445"/>
      <c r="B874" s="420"/>
      <c r="C874" s="420"/>
      <c r="D874" s="420"/>
      <c r="E874" s="420"/>
      <c r="F874" s="420"/>
      <c r="G874" s="420"/>
      <c r="H874" s="420"/>
      <c r="I874" s="89"/>
      <c r="J874" s="89"/>
      <c r="K874" s="89"/>
      <c r="L874" s="89"/>
      <c r="M874" s="89"/>
      <c r="N874" s="89"/>
      <c r="O874" s="89"/>
      <c r="P874" s="89"/>
      <c r="Q874" s="89"/>
      <c r="R874" s="89"/>
      <c r="S874" s="89"/>
      <c r="T874" s="89"/>
      <c r="U874" s="89"/>
      <c r="V874" s="89"/>
      <c r="W874" s="89"/>
      <c r="X874" s="89"/>
      <c r="Y874" s="89"/>
      <c r="Z874" s="89"/>
      <c r="AA874" s="89"/>
      <c r="AB874" s="89"/>
      <c r="AC874" s="89"/>
      <c r="AD874" s="89"/>
      <c r="AE874" s="89"/>
    </row>
    <row r="875">
      <c r="A875" s="445"/>
      <c r="B875" s="420"/>
      <c r="C875" s="420"/>
      <c r="D875" s="420"/>
      <c r="E875" s="420"/>
      <c r="F875" s="420"/>
      <c r="G875" s="420"/>
      <c r="H875" s="420"/>
      <c r="I875" s="89"/>
      <c r="J875" s="89"/>
      <c r="K875" s="89"/>
      <c r="L875" s="89"/>
      <c r="M875" s="89"/>
      <c r="N875" s="89"/>
      <c r="O875" s="89"/>
      <c r="P875" s="89"/>
      <c r="Q875" s="89"/>
      <c r="R875" s="89"/>
      <c r="S875" s="89"/>
      <c r="T875" s="89"/>
      <c r="U875" s="89"/>
      <c r="V875" s="89"/>
      <c r="W875" s="89"/>
      <c r="X875" s="89"/>
      <c r="Y875" s="89"/>
      <c r="Z875" s="89"/>
      <c r="AA875" s="89"/>
      <c r="AB875" s="89"/>
      <c r="AC875" s="89"/>
      <c r="AD875" s="89"/>
      <c r="AE875" s="89"/>
    </row>
    <row r="876">
      <c r="A876" s="445"/>
      <c r="B876" s="420"/>
      <c r="C876" s="420"/>
      <c r="D876" s="420"/>
      <c r="E876" s="420"/>
      <c r="F876" s="420"/>
      <c r="G876" s="420"/>
      <c r="H876" s="420"/>
      <c r="I876" s="89"/>
      <c r="J876" s="89"/>
      <c r="K876" s="89"/>
      <c r="L876" s="89"/>
      <c r="M876" s="89"/>
      <c r="N876" s="89"/>
      <c r="O876" s="89"/>
      <c r="P876" s="89"/>
      <c r="Q876" s="89"/>
      <c r="R876" s="89"/>
      <c r="S876" s="89"/>
      <c r="T876" s="89"/>
      <c r="U876" s="89"/>
      <c r="V876" s="89"/>
      <c r="W876" s="89"/>
      <c r="X876" s="89"/>
      <c r="Y876" s="89"/>
      <c r="Z876" s="89"/>
      <c r="AA876" s="89"/>
      <c r="AB876" s="89"/>
      <c r="AC876" s="89"/>
      <c r="AD876" s="89"/>
      <c r="AE876" s="89"/>
    </row>
    <row r="877">
      <c r="A877" s="445"/>
      <c r="B877" s="420"/>
      <c r="C877" s="420"/>
      <c r="D877" s="420"/>
      <c r="E877" s="420"/>
      <c r="F877" s="420"/>
      <c r="G877" s="420"/>
      <c r="H877" s="420"/>
      <c r="I877" s="89"/>
      <c r="J877" s="89"/>
      <c r="K877" s="89"/>
      <c r="L877" s="89"/>
      <c r="M877" s="89"/>
      <c r="N877" s="89"/>
      <c r="O877" s="89"/>
      <c r="P877" s="89"/>
      <c r="Q877" s="89"/>
      <c r="R877" s="89"/>
      <c r="S877" s="89"/>
      <c r="T877" s="89"/>
      <c r="U877" s="89"/>
      <c r="V877" s="89"/>
      <c r="W877" s="89"/>
      <c r="X877" s="89"/>
      <c r="Y877" s="89"/>
      <c r="Z877" s="89"/>
      <c r="AA877" s="89"/>
      <c r="AB877" s="89"/>
      <c r="AC877" s="89"/>
      <c r="AD877" s="89"/>
      <c r="AE877" s="89"/>
    </row>
    <row r="878">
      <c r="A878" s="445"/>
      <c r="B878" s="420"/>
      <c r="C878" s="420"/>
      <c r="D878" s="420"/>
      <c r="E878" s="420"/>
      <c r="F878" s="420"/>
      <c r="G878" s="420"/>
      <c r="H878" s="420"/>
      <c r="I878" s="89"/>
      <c r="J878" s="89"/>
      <c r="K878" s="89"/>
      <c r="L878" s="89"/>
      <c r="M878" s="89"/>
      <c r="N878" s="89"/>
      <c r="O878" s="89"/>
      <c r="P878" s="89"/>
      <c r="Q878" s="89"/>
      <c r="R878" s="89"/>
      <c r="S878" s="89"/>
      <c r="T878" s="89"/>
      <c r="U878" s="89"/>
      <c r="V878" s="89"/>
      <c r="W878" s="89"/>
      <c r="X878" s="89"/>
      <c r="Y878" s="89"/>
      <c r="Z878" s="89"/>
      <c r="AA878" s="89"/>
      <c r="AB878" s="89"/>
      <c r="AC878" s="89"/>
      <c r="AD878" s="89"/>
      <c r="AE878" s="89"/>
    </row>
    <row r="879">
      <c r="A879" s="445"/>
      <c r="B879" s="420"/>
      <c r="C879" s="420"/>
      <c r="D879" s="420"/>
      <c r="E879" s="420"/>
      <c r="F879" s="420"/>
      <c r="G879" s="420"/>
      <c r="H879" s="420"/>
      <c r="I879" s="89"/>
      <c r="J879" s="89"/>
      <c r="K879" s="89"/>
      <c r="L879" s="89"/>
      <c r="M879" s="89"/>
      <c r="N879" s="89"/>
      <c r="O879" s="89"/>
      <c r="P879" s="89"/>
      <c r="Q879" s="89"/>
      <c r="R879" s="89"/>
      <c r="S879" s="89"/>
      <c r="T879" s="89"/>
      <c r="U879" s="89"/>
      <c r="V879" s="89"/>
      <c r="W879" s="89"/>
      <c r="X879" s="89"/>
      <c r="Y879" s="89"/>
      <c r="Z879" s="89"/>
      <c r="AA879" s="89"/>
      <c r="AB879" s="89"/>
      <c r="AC879" s="89"/>
      <c r="AD879" s="89"/>
      <c r="AE879" s="89"/>
    </row>
    <row r="880">
      <c r="A880" s="445"/>
      <c r="B880" s="420"/>
      <c r="C880" s="420"/>
      <c r="D880" s="420"/>
      <c r="E880" s="420"/>
      <c r="F880" s="420"/>
      <c r="G880" s="420"/>
      <c r="H880" s="420"/>
      <c r="I880" s="89"/>
      <c r="J880" s="89"/>
      <c r="K880" s="89"/>
      <c r="L880" s="89"/>
      <c r="M880" s="89"/>
      <c r="N880" s="89"/>
      <c r="O880" s="89"/>
      <c r="P880" s="89"/>
      <c r="Q880" s="89"/>
      <c r="R880" s="89"/>
      <c r="S880" s="89"/>
      <c r="T880" s="89"/>
      <c r="U880" s="89"/>
      <c r="V880" s="89"/>
      <c r="W880" s="89"/>
      <c r="X880" s="89"/>
      <c r="Y880" s="89"/>
      <c r="Z880" s="89"/>
      <c r="AA880" s="89"/>
      <c r="AB880" s="89"/>
      <c r="AC880" s="89"/>
      <c r="AD880" s="89"/>
      <c r="AE880" s="89"/>
    </row>
    <row r="881">
      <c r="A881" s="445"/>
      <c r="B881" s="420"/>
      <c r="C881" s="420"/>
      <c r="D881" s="420"/>
      <c r="E881" s="420"/>
      <c r="F881" s="420"/>
      <c r="G881" s="420"/>
      <c r="H881" s="420"/>
      <c r="I881" s="89"/>
      <c r="J881" s="89"/>
      <c r="K881" s="89"/>
      <c r="L881" s="89"/>
      <c r="M881" s="89"/>
      <c r="N881" s="89"/>
      <c r="O881" s="89"/>
      <c r="P881" s="89"/>
      <c r="Q881" s="89"/>
      <c r="R881" s="89"/>
      <c r="S881" s="89"/>
      <c r="T881" s="89"/>
      <c r="U881" s="89"/>
      <c r="V881" s="89"/>
      <c r="W881" s="89"/>
      <c r="X881" s="89"/>
      <c r="Y881" s="89"/>
      <c r="Z881" s="89"/>
      <c r="AA881" s="89"/>
      <c r="AB881" s="89"/>
      <c r="AC881" s="89"/>
      <c r="AD881" s="89"/>
      <c r="AE881" s="89"/>
    </row>
    <row r="882">
      <c r="A882" s="445"/>
      <c r="B882" s="420"/>
      <c r="C882" s="420"/>
      <c r="D882" s="420"/>
      <c r="E882" s="420"/>
      <c r="F882" s="420"/>
      <c r="G882" s="420"/>
      <c r="H882" s="420"/>
      <c r="I882" s="89"/>
      <c r="J882" s="89"/>
      <c r="K882" s="89"/>
      <c r="L882" s="89"/>
      <c r="M882" s="89"/>
      <c r="N882" s="89"/>
      <c r="O882" s="89"/>
      <c r="P882" s="89"/>
      <c r="Q882" s="89"/>
      <c r="R882" s="89"/>
      <c r="S882" s="89"/>
      <c r="T882" s="89"/>
      <c r="U882" s="89"/>
      <c r="V882" s="89"/>
      <c r="W882" s="89"/>
      <c r="X882" s="89"/>
      <c r="Y882" s="89"/>
      <c r="Z882" s="89"/>
      <c r="AA882" s="89"/>
      <c r="AB882" s="89"/>
      <c r="AC882" s="89"/>
      <c r="AD882" s="89"/>
      <c r="AE882" s="89"/>
    </row>
    <row r="883">
      <c r="A883" s="445"/>
      <c r="B883" s="420"/>
      <c r="C883" s="420"/>
      <c r="D883" s="420"/>
      <c r="E883" s="420"/>
      <c r="F883" s="420"/>
      <c r="G883" s="420"/>
      <c r="H883" s="420"/>
      <c r="I883" s="89"/>
      <c r="J883" s="89"/>
      <c r="K883" s="89"/>
      <c r="L883" s="89"/>
      <c r="M883" s="89"/>
      <c r="N883" s="89"/>
      <c r="O883" s="89"/>
      <c r="P883" s="89"/>
      <c r="Q883" s="89"/>
      <c r="R883" s="89"/>
      <c r="S883" s="89"/>
      <c r="T883" s="89"/>
      <c r="U883" s="89"/>
      <c r="V883" s="89"/>
      <c r="W883" s="89"/>
      <c r="X883" s="89"/>
      <c r="Y883" s="89"/>
      <c r="Z883" s="89"/>
      <c r="AA883" s="89"/>
      <c r="AB883" s="89"/>
      <c r="AC883" s="89"/>
      <c r="AD883" s="89"/>
      <c r="AE883" s="89"/>
    </row>
    <row r="884">
      <c r="A884" s="445"/>
      <c r="B884" s="420"/>
      <c r="C884" s="420"/>
      <c r="D884" s="420"/>
      <c r="E884" s="420"/>
      <c r="F884" s="420"/>
      <c r="G884" s="420"/>
      <c r="H884" s="420"/>
      <c r="I884" s="89"/>
      <c r="J884" s="89"/>
      <c r="K884" s="89"/>
      <c r="L884" s="89"/>
      <c r="M884" s="89"/>
      <c r="N884" s="89"/>
      <c r="O884" s="89"/>
      <c r="P884" s="89"/>
      <c r="Q884" s="89"/>
      <c r="R884" s="89"/>
      <c r="S884" s="89"/>
      <c r="T884" s="89"/>
      <c r="U884" s="89"/>
      <c r="V884" s="89"/>
      <c r="W884" s="89"/>
      <c r="X884" s="89"/>
      <c r="Y884" s="89"/>
      <c r="Z884" s="89"/>
      <c r="AA884" s="89"/>
      <c r="AB884" s="89"/>
      <c r="AC884" s="89"/>
      <c r="AD884" s="89"/>
      <c r="AE884" s="89"/>
    </row>
    <row r="885">
      <c r="A885" s="445"/>
      <c r="B885" s="420"/>
      <c r="C885" s="420"/>
      <c r="D885" s="420"/>
      <c r="E885" s="420"/>
      <c r="F885" s="420"/>
      <c r="G885" s="420"/>
      <c r="H885" s="420"/>
      <c r="I885" s="89"/>
      <c r="J885" s="89"/>
      <c r="K885" s="89"/>
      <c r="L885" s="89"/>
      <c r="M885" s="89"/>
      <c r="N885" s="89"/>
      <c r="O885" s="89"/>
      <c r="P885" s="89"/>
      <c r="Q885" s="89"/>
      <c r="R885" s="89"/>
      <c r="S885" s="89"/>
      <c r="T885" s="89"/>
      <c r="U885" s="89"/>
      <c r="V885" s="89"/>
      <c r="W885" s="89"/>
      <c r="X885" s="89"/>
      <c r="Y885" s="89"/>
      <c r="Z885" s="89"/>
      <c r="AA885" s="89"/>
      <c r="AB885" s="89"/>
      <c r="AC885" s="89"/>
      <c r="AD885" s="89"/>
      <c r="AE885" s="89"/>
    </row>
    <row r="886">
      <c r="A886" s="445"/>
      <c r="B886" s="420"/>
      <c r="C886" s="420"/>
      <c r="D886" s="420"/>
      <c r="E886" s="420"/>
      <c r="F886" s="420"/>
      <c r="G886" s="420"/>
      <c r="H886" s="420"/>
      <c r="I886" s="89"/>
      <c r="J886" s="89"/>
      <c r="K886" s="89"/>
      <c r="L886" s="89"/>
      <c r="M886" s="89"/>
      <c r="N886" s="89"/>
      <c r="O886" s="89"/>
      <c r="P886" s="89"/>
      <c r="Q886" s="89"/>
      <c r="R886" s="89"/>
      <c r="S886" s="89"/>
      <c r="T886" s="89"/>
      <c r="U886" s="89"/>
      <c r="V886" s="89"/>
      <c r="W886" s="89"/>
      <c r="X886" s="89"/>
      <c r="Y886" s="89"/>
      <c r="Z886" s="89"/>
      <c r="AA886" s="89"/>
      <c r="AB886" s="89"/>
      <c r="AC886" s="89"/>
      <c r="AD886" s="89"/>
      <c r="AE886" s="89"/>
    </row>
    <row r="887">
      <c r="A887" s="445"/>
      <c r="B887" s="420"/>
      <c r="C887" s="420"/>
      <c r="D887" s="420"/>
      <c r="E887" s="420"/>
      <c r="F887" s="420"/>
      <c r="G887" s="420"/>
      <c r="H887" s="420"/>
      <c r="I887" s="89"/>
      <c r="J887" s="89"/>
      <c r="K887" s="89"/>
      <c r="L887" s="89"/>
      <c r="M887" s="89"/>
      <c r="N887" s="89"/>
      <c r="O887" s="89"/>
      <c r="P887" s="89"/>
      <c r="Q887" s="89"/>
      <c r="R887" s="89"/>
      <c r="S887" s="89"/>
      <c r="T887" s="89"/>
      <c r="U887" s="89"/>
      <c r="V887" s="89"/>
      <c r="W887" s="89"/>
      <c r="X887" s="89"/>
      <c r="Y887" s="89"/>
      <c r="Z887" s="89"/>
      <c r="AA887" s="89"/>
      <c r="AB887" s="89"/>
      <c r="AC887" s="89"/>
      <c r="AD887" s="89"/>
      <c r="AE887" s="89"/>
    </row>
    <row r="888">
      <c r="A888" s="445"/>
      <c r="B888" s="420"/>
      <c r="C888" s="420"/>
      <c r="D888" s="420"/>
      <c r="E888" s="420"/>
      <c r="F888" s="420"/>
      <c r="G888" s="420"/>
      <c r="H888" s="420"/>
      <c r="I888" s="89"/>
      <c r="J888" s="89"/>
      <c r="K888" s="89"/>
      <c r="L888" s="89"/>
      <c r="M888" s="89"/>
      <c r="N888" s="89"/>
      <c r="O888" s="89"/>
      <c r="P888" s="89"/>
      <c r="Q888" s="89"/>
      <c r="R888" s="89"/>
      <c r="S888" s="89"/>
      <c r="T888" s="89"/>
      <c r="U888" s="89"/>
      <c r="V888" s="89"/>
      <c r="W888" s="89"/>
      <c r="X888" s="89"/>
      <c r="Y888" s="89"/>
      <c r="Z888" s="89"/>
      <c r="AA888" s="89"/>
      <c r="AB888" s="89"/>
      <c r="AC888" s="89"/>
      <c r="AD888" s="89"/>
      <c r="AE888" s="89"/>
    </row>
    <row r="889">
      <c r="A889" s="445"/>
      <c r="B889" s="420"/>
      <c r="C889" s="420"/>
      <c r="D889" s="420"/>
      <c r="E889" s="420"/>
      <c r="F889" s="420"/>
      <c r="G889" s="420"/>
      <c r="H889" s="420"/>
      <c r="I889" s="89"/>
      <c r="J889" s="89"/>
      <c r="K889" s="89"/>
      <c r="L889" s="89"/>
      <c r="M889" s="89"/>
      <c r="N889" s="89"/>
      <c r="O889" s="89"/>
      <c r="P889" s="89"/>
      <c r="Q889" s="89"/>
      <c r="R889" s="89"/>
      <c r="S889" s="89"/>
      <c r="T889" s="89"/>
      <c r="U889" s="89"/>
      <c r="V889" s="89"/>
      <c r="W889" s="89"/>
      <c r="X889" s="89"/>
      <c r="Y889" s="89"/>
      <c r="Z889" s="89"/>
      <c r="AA889" s="89"/>
      <c r="AB889" s="89"/>
      <c r="AC889" s="89"/>
      <c r="AD889" s="89"/>
      <c r="AE889" s="89"/>
    </row>
    <row r="890">
      <c r="A890" s="445"/>
      <c r="B890" s="420"/>
      <c r="C890" s="420"/>
      <c r="D890" s="420"/>
      <c r="E890" s="420"/>
      <c r="F890" s="420"/>
      <c r="G890" s="420"/>
      <c r="H890" s="420"/>
      <c r="I890" s="89"/>
      <c r="J890" s="89"/>
      <c r="K890" s="89"/>
      <c r="L890" s="89"/>
      <c r="M890" s="89"/>
      <c r="N890" s="89"/>
      <c r="O890" s="89"/>
      <c r="P890" s="89"/>
      <c r="Q890" s="89"/>
      <c r="R890" s="89"/>
      <c r="S890" s="89"/>
      <c r="T890" s="89"/>
      <c r="U890" s="89"/>
      <c r="V890" s="89"/>
      <c r="W890" s="89"/>
      <c r="X890" s="89"/>
      <c r="Y890" s="89"/>
      <c r="Z890" s="89"/>
      <c r="AA890" s="89"/>
      <c r="AB890" s="89"/>
      <c r="AC890" s="89"/>
      <c r="AD890" s="89"/>
      <c r="AE890" s="89"/>
    </row>
    <row r="891">
      <c r="A891" s="445"/>
      <c r="B891" s="420"/>
      <c r="C891" s="420"/>
      <c r="D891" s="420"/>
      <c r="E891" s="420"/>
      <c r="F891" s="420"/>
      <c r="G891" s="420"/>
      <c r="H891" s="420"/>
      <c r="I891" s="89"/>
      <c r="J891" s="89"/>
      <c r="K891" s="89"/>
      <c r="L891" s="89"/>
      <c r="M891" s="89"/>
      <c r="N891" s="89"/>
      <c r="O891" s="89"/>
      <c r="P891" s="89"/>
      <c r="Q891" s="89"/>
      <c r="R891" s="89"/>
      <c r="S891" s="89"/>
      <c r="T891" s="89"/>
      <c r="U891" s="89"/>
      <c r="V891" s="89"/>
      <c r="W891" s="89"/>
      <c r="X891" s="89"/>
      <c r="Y891" s="89"/>
      <c r="Z891" s="89"/>
      <c r="AA891" s="89"/>
      <c r="AB891" s="89"/>
      <c r="AC891" s="89"/>
      <c r="AD891" s="89"/>
      <c r="AE891" s="89"/>
    </row>
    <row r="892">
      <c r="A892" s="445"/>
      <c r="B892" s="420"/>
      <c r="C892" s="420"/>
      <c r="D892" s="420"/>
      <c r="E892" s="420"/>
      <c r="F892" s="420"/>
      <c r="G892" s="420"/>
      <c r="H892" s="420"/>
      <c r="I892" s="89"/>
      <c r="J892" s="89"/>
      <c r="K892" s="89"/>
      <c r="L892" s="89"/>
      <c r="M892" s="89"/>
      <c r="N892" s="89"/>
      <c r="O892" s="89"/>
      <c r="P892" s="89"/>
      <c r="Q892" s="89"/>
      <c r="R892" s="89"/>
      <c r="S892" s="89"/>
      <c r="T892" s="89"/>
      <c r="U892" s="89"/>
      <c r="V892" s="89"/>
      <c r="W892" s="89"/>
      <c r="X892" s="89"/>
      <c r="Y892" s="89"/>
      <c r="Z892" s="89"/>
      <c r="AA892" s="89"/>
      <c r="AB892" s="89"/>
      <c r="AC892" s="89"/>
      <c r="AD892" s="89"/>
      <c r="AE892" s="89"/>
    </row>
    <row r="893">
      <c r="A893" s="445"/>
      <c r="B893" s="420"/>
      <c r="C893" s="420"/>
      <c r="D893" s="420"/>
      <c r="E893" s="420"/>
      <c r="F893" s="420"/>
      <c r="G893" s="420"/>
      <c r="H893" s="420"/>
      <c r="I893" s="89"/>
      <c r="J893" s="89"/>
      <c r="K893" s="89"/>
      <c r="L893" s="89"/>
      <c r="M893" s="89"/>
      <c r="N893" s="89"/>
      <c r="O893" s="89"/>
      <c r="P893" s="89"/>
      <c r="Q893" s="89"/>
      <c r="R893" s="89"/>
      <c r="S893" s="89"/>
      <c r="T893" s="89"/>
      <c r="U893" s="89"/>
      <c r="V893" s="89"/>
      <c r="W893" s="89"/>
      <c r="X893" s="89"/>
      <c r="Y893" s="89"/>
      <c r="Z893" s="89"/>
      <c r="AA893" s="89"/>
      <c r="AB893" s="89"/>
      <c r="AC893" s="89"/>
      <c r="AD893" s="89"/>
      <c r="AE893" s="89"/>
    </row>
    <row r="894">
      <c r="A894" s="445"/>
      <c r="B894" s="420"/>
      <c r="C894" s="420"/>
      <c r="D894" s="420"/>
      <c r="E894" s="420"/>
      <c r="F894" s="420"/>
      <c r="G894" s="420"/>
      <c r="H894" s="420"/>
      <c r="I894" s="89"/>
      <c r="J894" s="89"/>
      <c r="K894" s="89"/>
      <c r="L894" s="89"/>
      <c r="M894" s="89"/>
      <c r="N894" s="89"/>
      <c r="O894" s="89"/>
      <c r="P894" s="89"/>
      <c r="Q894" s="89"/>
      <c r="R894" s="89"/>
      <c r="S894" s="89"/>
      <c r="T894" s="89"/>
      <c r="U894" s="89"/>
      <c r="V894" s="89"/>
      <c r="W894" s="89"/>
      <c r="X894" s="89"/>
      <c r="Y894" s="89"/>
      <c r="Z894" s="89"/>
      <c r="AA894" s="89"/>
      <c r="AB894" s="89"/>
      <c r="AC894" s="89"/>
      <c r="AD894" s="89"/>
      <c r="AE894" s="89"/>
    </row>
    <row r="895">
      <c r="A895" s="445"/>
      <c r="B895" s="420"/>
      <c r="C895" s="420"/>
      <c r="D895" s="420"/>
      <c r="E895" s="420"/>
      <c r="F895" s="420"/>
      <c r="G895" s="420"/>
      <c r="H895" s="420"/>
      <c r="I895" s="89"/>
      <c r="J895" s="89"/>
      <c r="K895" s="89"/>
      <c r="L895" s="89"/>
      <c r="M895" s="89"/>
      <c r="N895" s="89"/>
      <c r="O895" s="89"/>
      <c r="P895" s="89"/>
      <c r="Q895" s="89"/>
      <c r="R895" s="89"/>
      <c r="S895" s="89"/>
      <c r="T895" s="89"/>
      <c r="U895" s="89"/>
      <c r="V895" s="89"/>
      <c r="W895" s="89"/>
      <c r="X895" s="89"/>
      <c r="Y895" s="89"/>
      <c r="Z895" s="89"/>
      <c r="AA895" s="89"/>
      <c r="AB895" s="89"/>
      <c r="AC895" s="89"/>
      <c r="AD895" s="89"/>
      <c r="AE895" s="89"/>
    </row>
    <row r="896">
      <c r="A896" s="445"/>
      <c r="B896" s="420"/>
      <c r="C896" s="420"/>
      <c r="D896" s="420"/>
      <c r="E896" s="420"/>
      <c r="F896" s="420"/>
      <c r="G896" s="420"/>
      <c r="H896" s="420"/>
      <c r="I896" s="89"/>
      <c r="J896" s="89"/>
      <c r="K896" s="89"/>
      <c r="L896" s="89"/>
      <c r="M896" s="89"/>
      <c r="N896" s="89"/>
      <c r="O896" s="89"/>
      <c r="P896" s="89"/>
      <c r="Q896" s="89"/>
      <c r="R896" s="89"/>
      <c r="S896" s="89"/>
      <c r="T896" s="89"/>
      <c r="U896" s="89"/>
      <c r="V896" s="89"/>
      <c r="W896" s="89"/>
      <c r="X896" s="89"/>
      <c r="Y896" s="89"/>
      <c r="Z896" s="89"/>
      <c r="AA896" s="89"/>
      <c r="AB896" s="89"/>
      <c r="AC896" s="89"/>
      <c r="AD896" s="89"/>
      <c r="AE896" s="89"/>
    </row>
    <row r="897">
      <c r="A897" s="445"/>
      <c r="B897" s="420"/>
      <c r="C897" s="420"/>
      <c r="D897" s="420"/>
      <c r="E897" s="420"/>
      <c r="F897" s="420"/>
      <c r="G897" s="420"/>
      <c r="H897" s="420"/>
      <c r="I897" s="89"/>
      <c r="J897" s="89"/>
      <c r="K897" s="89"/>
      <c r="L897" s="89"/>
      <c r="M897" s="89"/>
      <c r="N897" s="89"/>
      <c r="O897" s="89"/>
      <c r="P897" s="89"/>
      <c r="Q897" s="89"/>
      <c r="R897" s="89"/>
      <c r="S897" s="89"/>
      <c r="T897" s="89"/>
      <c r="U897" s="89"/>
      <c r="V897" s="89"/>
      <c r="W897" s="89"/>
      <c r="X897" s="89"/>
      <c r="Y897" s="89"/>
      <c r="Z897" s="89"/>
      <c r="AA897" s="89"/>
      <c r="AB897" s="89"/>
      <c r="AC897" s="89"/>
      <c r="AD897" s="89"/>
      <c r="AE897" s="89"/>
    </row>
    <row r="898">
      <c r="A898" s="445"/>
      <c r="B898" s="420"/>
      <c r="C898" s="420"/>
      <c r="D898" s="420"/>
      <c r="E898" s="420"/>
      <c r="F898" s="420"/>
      <c r="G898" s="420"/>
      <c r="H898" s="420"/>
      <c r="I898" s="89"/>
      <c r="J898" s="89"/>
      <c r="K898" s="89"/>
      <c r="L898" s="89"/>
      <c r="M898" s="89"/>
      <c r="N898" s="89"/>
      <c r="O898" s="89"/>
      <c r="P898" s="89"/>
      <c r="Q898" s="89"/>
      <c r="R898" s="89"/>
      <c r="S898" s="89"/>
      <c r="T898" s="89"/>
      <c r="U898" s="89"/>
      <c r="V898" s="89"/>
      <c r="W898" s="89"/>
      <c r="X898" s="89"/>
      <c r="Y898" s="89"/>
      <c r="Z898" s="89"/>
      <c r="AA898" s="89"/>
      <c r="AB898" s="89"/>
      <c r="AC898" s="89"/>
      <c r="AD898" s="89"/>
      <c r="AE898" s="89"/>
    </row>
    <row r="899">
      <c r="A899" s="445"/>
      <c r="B899" s="420"/>
      <c r="C899" s="420"/>
      <c r="D899" s="420"/>
      <c r="E899" s="420"/>
      <c r="F899" s="420"/>
      <c r="G899" s="420"/>
      <c r="H899" s="420"/>
      <c r="I899" s="89"/>
      <c r="J899" s="89"/>
      <c r="K899" s="89"/>
      <c r="L899" s="89"/>
      <c r="M899" s="89"/>
      <c r="N899" s="89"/>
      <c r="O899" s="89"/>
      <c r="P899" s="89"/>
      <c r="Q899" s="89"/>
      <c r="R899" s="89"/>
      <c r="S899" s="89"/>
      <c r="T899" s="89"/>
      <c r="U899" s="89"/>
      <c r="V899" s="89"/>
      <c r="W899" s="89"/>
      <c r="X899" s="89"/>
      <c r="Y899" s="89"/>
      <c r="Z899" s="89"/>
      <c r="AA899" s="89"/>
      <c r="AB899" s="89"/>
      <c r="AC899" s="89"/>
      <c r="AD899" s="89"/>
      <c r="AE899" s="89"/>
    </row>
    <row r="900">
      <c r="A900" s="445"/>
      <c r="B900" s="420"/>
      <c r="C900" s="420"/>
      <c r="D900" s="420"/>
      <c r="E900" s="420"/>
      <c r="F900" s="420"/>
      <c r="G900" s="420"/>
      <c r="H900" s="420"/>
      <c r="I900" s="89"/>
      <c r="J900" s="89"/>
      <c r="K900" s="89"/>
      <c r="L900" s="89"/>
      <c r="M900" s="89"/>
      <c r="N900" s="89"/>
      <c r="O900" s="89"/>
      <c r="P900" s="89"/>
      <c r="Q900" s="89"/>
      <c r="R900" s="89"/>
      <c r="S900" s="89"/>
      <c r="T900" s="89"/>
      <c r="U900" s="89"/>
      <c r="V900" s="89"/>
      <c r="W900" s="89"/>
      <c r="X900" s="89"/>
      <c r="Y900" s="89"/>
      <c r="Z900" s="89"/>
      <c r="AA900" s="89"/>
      <c r="AB900" s="89"/>
      <c r="AC900" s="89"/>
      <c r="AD900" s="89"/>
      <c r="AE900" s="89"/>
    </row>
    <row r="901">
      <c r="A901" s="445"/>
      <c r="B901" s="420"/>
      <c r="C901" s="420"/>
      <c r="D901" s="420"/>
      <c r="E901" s="420"/>
      <c r="F901" s="420"/>
      <c r="G901" s="420"/>
      <c r="H901" s="420"/>
      <c r="I901" s="89"/>
      <c r="J901" s="89"/>
      <c r="K901" s="89"/>
      <c r="L901" s="89"/>
      <c r="M901" s="89"/>
      <c r="N901" s="89"/>
      <c r="O901" s="89"/>
      <c r="P901" s="89"/>
      <c r="Q901" s="89"/>
      <c r="R901" s="89"/>
      <c r="S901" s="89"/>
      <c r="T901" s="89"/>
      <c r="U901" s="89"/>
      <c r="V901" s="89"/>
      <c r="W901" s="89"/>
      <c r="X901" s="89"/>
      <c r="Y901" s="89"/>
      <c r="Z901" s="89"/>
      <c r="AA901" s="89"/>
      <c r="AB901" s="89"/>
      <c r="AC901" s="89"/>
      <c r="AD901" s="89"/>
      <c r="AE901" s="89"/>
    </row>
    <row r="902">
      <c r="A902" s="445"/>
      <c r="B902" s="420"/>
      <c r="C902" s="420"/>
      <c r="D902" s="420"/>
      <c r="E902" s="420"/>
      <c r="F902" s="420"/>
      <c r="G902" s="420"/>
      <c r="H902" s="420"/>
      <c r="I902" s="89"/>
      <c r="J902" s="89"/>
      <c r="K902" s="89"/>
      <c r="L902" s="89"/>
      <c r="M902" s="89"/>
      <c r="N902" s="89"/>
      <c r="O902" s="89"/>
      <c r="P902" s="89"/>
      <c r="Q902" s="89"/>
      <c r="R902" s="89"/>
      <c r="S902" s="89"/>
      <c r="T902" s="89"/>
      <c r="U902" s="89"/>
      <c r="V902" s="89"/>
      <c r="W902" s="89"/>
      <c r="X902" s="89"/>
      <c r="Y902" s="89"/>
      <c r="Z902" s="89"/>
      <c r="AA902" s="89"/>
      <c r="AB902" s="89"/>
      <c r="AC902" s="89"/>
      <c r="AD902" s="89"/>
      <c r="AE902" s="89"/>
    </row>
    <row r="903">
      <c r="A903" s="445"/>
      <c r="B903" s="420"/>
      <c r="C903" s="420"/>
      <c r="D903" s="420"/>
      <c r="E903" s="420"/>
      <c r="F903" s="420"/>
      <c r="G903" s="420"/>
      <c r="H903" s="420"/>
      <c r="I903" s="89"/>
      <c r="J903" s="89"/>
      <c r="K903" s="89"/>
      <c r="L903" s="89"/>
      <c r="M903" s="89"/>
      <c r="N903" s="89"/>
      <c r="O903" s="89"/>
      <c r="P903" s="89"/>
      <c r="Q903" s="89"/>
      <c r="R903" s="89"/>
      <c r="S903" s="89"/>
      <c r="T903" s="89"/>
      <c r="U903" s="89"/>
      <c r="V903" s="89"/>
      <c r="W903" s="89"/>
      <c r="X903" s="89"/>
      <c r="Y903" s="89"/>
      <c r="Z903" s="89"/>
      <c r="AA903" s="89"/>
      <c r="AB903" s="89"/>
      <c r="AC903" s="89"/>
      <c r="AD903" s="89"/>
      <c r="AE903" s="89"/>
    </row>
    <row r="904">
      <c r="A904" s="445"/>
      <c r="B904" s="420"/>
      <c r="C904" s="420"/>
      <c r="D904" s="420"/>
      <c r="E904" s="420"/>
      <c r="F904" s="420"/>
      <c r="G904" s="420"/>
      <c r="H904" s="420"/>
      <c r="I904" s="89"/>
      <c r="J904" s="89"/>
      <c r="K904" s="89"/>
      <c r="L904" s="89"/>
      <c r="M904" s="89"/>
      <c r="N904" s="89"/>
      <c r="O904" s="89"/>
      <c r="P904" s="89"/>
      <c r="Q904" s="89"/>
      <c r="R904" s="89"/>
      <c r="S904" s="89"/>
      <c r="T904" s="89"/>
      <c r="U904" s="89"/>
      <c r="V904" s="89"/>
      <c r="W904" s="89"/>
      <c r="X904" s="89"/>
      <c r="Y904" s="89"/>
      <c r="Z904" s="89"/>
      <c r="AA904" s="89"/>
      <c r="AB904" s="89"/>
      <c r="AC904" s="89"/>
      <c r="AD904" s="89"/>
      <c r="AE904" s="89"/>
    </row>
    <row r="905">
      <c r="A905" s="445"/>
      <c r="B905" s="420"/>
      <c r="C905" s="420"/>
      <c r="D905" s="420"/>
      <c r="E905" s="420"/>
      <c r="F905" s="420"/>
      <c r="G905" s="420"/>
      <c r="H905" s="420"/>
      <c r="I905" s="89"/>
      <c r="J905" s="89"/>
      <c r="K905" s="89"/>
      <c r="L905" s="89"/>
      <c r="M905" s="89"/>
      <c r="N905" s="89"/>
      <c r="O905" s="89"/>
      <c r="P905" s="89"/>
      <c r="Q905" s="89"/>
      <c r="R905" s="89"/>
      <c r="S905" s="89"/>
      <c r="T905" s="89"/>
      <c r="U905" s="89"/>
      <c r="V905" s="89"/>
      <c r="W905" s="89"/>
      <c r="X905" s="89"/>
      <c r="Y905" s="89"/>
      <c r="Z905" s="89"/>
      <c r="AA905" s="89"/>
      <c r="AB905" s="89"/>
      <c r="AC905" s="89"/>
      <c r="AD905" s="89"/>
      <c r="AE905" s="89"/>
    </row>
    <row r="906">
      <c r="A906" s="445"/>
      <c r="B906" s="420"/>
      <c r="C906" s="420"/>
      <c r="D906" s="420"/>
      <c r="E906" s="420"/>
      <c r="F906" s="420"/>
      <c r="G906" s="420"/>
      <c r="H906" s="420"/>
      <c r="I906" s="89"/>
      <c r="J906" s="89"/>
      <c r="K906" s="89"/>
      <c r="L906" s="89"/>
      <c r="M906" s="89"/>
      <c r="N906" s="89"/>
      <c r="O906" s="89"/>
      <c r="P906" s="89"/>
      <c r="Q906" s="89"/>
      <c r="R906" s="89"/>
      <c r="S906" s="89"/>
      <c r="T906" s="89"/>
      <c r="U906" s="89"/>
      <c r="V906" s="89"/>
      <c r="W906" s="89"/>
      <c r="X906" s="89"/>
      <c r="Y906" s="89"/>
      <c r="Z906" s="89"/>
      <c r="AA906" s="89"/>
      <c r="AB906" s="89"/>
      <c r="AC906" s="89"/>
      <c r="AD906" s="89"/>
      <c r="AE906" s="89"/>
    </row>
    <row r="907">
      <c r="A907" s="445"/>
      <c r="B907" s="420"/>
      <c r="C907" s="420"/>
      <c r="D907" s="420"/>
      <c r="E907" s="420"/>
      <c r="F907" s="420"/>
      <c r="G907" s="420"/>
      <c r="H907" s="420"/>
      <c r="I907" s="89"/>
      <c r="J907" s="89"/>
      <c r="K907" s="89"/>
      <c r="L907" s="89"/>
      <c r="M907" s="89"/>
      <c r="N907" s="89"/>
      <c r="O907" s="89"/>
      <c r="P907" s="89"/>
      <c r="Q907" s="89"/>
      <c r="R907" s="89"/>
      <c r="S907" s="89"/>
      <c r="T907" s="89"/>
      <c r="U907" s="89"/>
      <c r="V907" s="89"/>
      <c r="W907" s="89"/>
      <c r="X907" s="89"/>
      <c r="Y907" s="89"/>
      <c r="Z907" s="89"/>
      <c r="AA907" s="89"/>
      <c r="AB907" s="89"/>
      <c r="AC907" s="89"/>
      <c r="AD907" s="89"/>
      <c r="AE907" s="89"/>
    </row>
    <row r="908">
      <c r="A908" s="445"/>
      <c r="B908" s="420"/>
      <c r="C908" s="420"/>
      <c r="D908" s="420"/>
      <c r="E908" s="420"/>
      <c r="F908" s="420"/>
      <c r="G908" s="420"/>
      <c r="H908" s="420"/>
      <c r="I908" s="89"/>
      <c r="J908" s="89"/>
      <c r="K908" s="89"/>
      <c r="L908" s="89"/>
      <c r="M908" s="89"/>
      <c r="N908" s="89"/>
      <c r="O908" s="89"/>
      <c r="P908" s="89"/>
      <c r="Q908" s="89"/>
      <c r="R908" s="89"/>
      <c r="S908" s="89"/>
      <c r="T908" s="89"/>
      <c r="U908" s="89"/>
      <c r="V908" s="89"/>
      <c r="W908" s="89"/>
      <c r="X908" s="89"/>
      <c r="Y908" s="89"/>
      <c r="Z908" s="89"/>
      <c r="AA908" s="89"/>
      <c r="AB908" s="89"/>
      <c r="AC908" s="89"/>
      <c r="AD908" s="89"/>
      <c r="AE908" s="89"/>
    </row>
    <row r="909">
      <c r="A909" s="445"/>
      <c r="B909" s="420"/>
      <c r="C909" s="420"/>
      <c r="D909" s="420"/>
      <c r="E909" s="420"/>
      <c r="F909" s="420"/>
      <c r="G909" s="420"/>
      <c r="H909" s="420"/>
      <c r="I909" s="89"/>
      <c r="J909" s="89"/>
      <c r="K909" s="89"/>
      <c r="L909" s="89"/>
      <c r="M909" s="89"/>
      <c r="N909" s="89"/>
      <c r="O909" s="89"/>
      <c r="P909" s="89"/>
      <c r="Q909" s="89"/>
      <c r="R909" s="89"/>
      <c r="S909" s="89"/>
      <c r="T909" s="89"/>
      <c r="U909" s="89"/>
      <c r="V909" s="89"/>
      <c r="W909" s="89"/>
      <c r="X909" s="89"/>
      <c r="Y909" s="89"/>
      <c r="Z909" s="89"/>
      <c r="AA909" s="89"/>
      <c r="AB909" s="89"/>
      <c r="AC909" s="89"/>
      <c r="AD909" s="89"/>
      <c r="AE909" s="89"/>
    </row>
    <row r="910">
      <c r="A910" s="445"/>
      <c r="B910" s="420"/>
      <c r="C910" s="420"/>
      <c r="D910" s="420"/>
      <c r="E910" s="420"/>
      <c r="F910" s="420"/>
      <c r="G910" s="420"/>
      <c r="H910" s="420"/>
      <c r="I910" s="89"/>
      <c r="J910" s="89"/>
      <c r="K910" s="89"/>
      <c r="L910" s="89"/>
      <c r="M910" s="89"/>
      <c r="N910" s="89"/>
      <c r="O910" s="89"/>
      <c r="P910" s="89"/>
      <c r="Q910" s="89"/>
      <c r="R910" s="89"/>
      <c r="S910" s="89"/>
      <c r="T910" s="89"/>
      <c r="U910" s="89"/>
      <c r="V910" s="89"/>
      <c r="W910" s="89"/>
      <c r="X910" s="89"/>
      <c r="Y910" s="89"/>
      <c r="Z910" s="89"/>
      <c r="AA910" s="89"/>
      <c r="AB910" s="89"/>
      <c r="AC910" s="89"/>
      <c r="AD910" s="89"/>
      <c r="AE910" s="89"/>
    </row>
    <row r="911">
      <c r="A911" s="445"/>
      <c r="B911" s="420"/>
      <c r="C911" s="420"/>
      <c r="D911" s="420"/>
      <c r="E911" s="420"/>
      <c r="F911" s="420"/>
      <c r="G911" s="420"/>
      <c r="H911" s="420"/>
      <c r="I911" s="89"/>
      <c r="J911" s="89"/>
      <c r="K911" s="89"/>
      <c r="L911" s="89"/>
      <c r="M911" s="89"/>
      <c r="N911" s="89"/>
      <c r="O911" s="89"/>
      <c r="P911" s="89"/>
      <c r="Q911" s="89"/>
      <c r="R911" s="89"/>
      <c r="S911" s="89"/>
      <c r="T911" s="89"/>
      <c r="U911" s="89"/>
      <c r="V911" s="89"/>
      <c r="W911" s="89"/>
      <c r="X911" s="89"/>
      <c r="Y911" s="89"/>
      <c r="Z911" s="89"/>
      <c r="AA911" s="89"/>
      <c r="AB911" s="89"/>
      <c r="AC911" s="89"/>
      <c r="AD911" s="89"/>
      <c r="AE911" s="89"/>
    </row>
    <row r="912">
      <c r="A912" s="445"/>
      <c r="B912" s="420"/>
      <c r="C912" s="420"/>
      <c r="D912" s="420"/>
      <c r="E912" s="420"/>
      <c r="F912" s="420"/>
      <c r="G912" s="420"/>
      <c r="H912" s="420"/>
      <c r="I912" s="89"/>
      <c r="J912" s="89"/>
      <c r="K912" s="89"/>
      <c r="L912" s="89"/>
      <c r="M912" s="89"/>
      <c r="N912" s="89"/>
      <c r="O912" s="89"/>
      <c r="P912" s="89"/>
      <c r="Q912" s="89"/>
      <c r="R912" s="89"/>
      <c r="S912" s="89"/>
      <c r="T912" s="89"/>
      <c r="U912" s="89"/>
      <c r="V912" s="89"/>
      <c r="W912" s="89"/>
      <c r="X912" s="89"/>
      <c r="Y912" s="89"/>
      <c r="Z912" s="89"/>
      <c r="AA912" s="89"/>
      <c r="AB912" s="89"/>
      <c r="AC912" s="89"/>
      <c r="AD912" s="89"/>
      <c r="AE912" s="89"/>
    </row>
    <row r="913">
      <c r="A913" s="445"/>
      <c r="B913" s="420"/>
      <c r="C913" s="420"/>
      <c r="D913" s="420"/>
      <c r="E913" s="420"/>
      <c r="F913" s="420"/>
      <c r="G913" s="420"/>
      <c r="H913" s="420"/>
      <c r="I913" s="89"/>
      <c r="J913" s="89"/>
      <c r="K913" s="89"/>
      <c r="L913" s="89"/>
      <c r="M913" s="89"/>
      <c r="N913" s="89"/>
      <c r="O913" s="89"/>
      <c r="P913" s="89"/>
      <c r="Q913" s="89"/>
      <c r="R913" s="89"/>
      <c r="S913" s="89"/>
      <c r="T913" s="89"/>
      <c r="U913" s="89"/>
      <c r="V913" s="89"/>
      <c r="W913" s="89"/>
      <c r="X913" s="89"/>
      <c r="Y913" s="89"/>
      <c r="Z913" s="89"/>
      <c r="AA913" s="89"/>
      <c r="AB913" s="89"/>
      <c r="AC913" s="89"/>
      <c r="AD913" s="89"/>
      <c r="AE913" s="89"/>
    </row>
    <row r="914">
      <c r="A914" s="445"/>
      <c r="B914" s="420"/>
      <c r="C914" s="420"/>
      <c r="D914" s="420"/>
      <c r="E914" s="420"/>
      <c r="F914" s="420"/>
      <c r="G914" s="420"/>
      <c r="H914" s="420"/>
      <c r="I914" s="89"/>
      <c r="J914" s="89"/>
      <c r="K914" s="89"/>
      <c r="L914" s="89"/>
      <c r="M914" s="89"/>
      <c r="N914" s="89"/>
      <c r="O914" s="89"/>
      <c r="P914" s="89"/>
      <c r="Q914" s="89"/>
      <c r="R914" s="89"/>
      <c r="S914" s="89"/>
      <c r="T914" s="89"/>
      <c r="U914" s="89"/>
      <c r="V914" s="89"/>
      <c r="W914" s="89"/>
      <c r="X914" s="89"/>
      <c r="Y914" s="89"/>
      <c r="Z914" s="89"/>
      <c r="AA914" s="89"/>
      <c r="AB914" s="89"/>
      <c r="AC914" s="89"/>
      <c r="AD914" s="89"/>
      <c r="AE914" s="89"/>
    </row>
    <row r="915">
      <c r="A915" s="445"/>
      <c r="B915" s="420"/>
      <c r="C915" s="420"/>
      <c r="D915" s="420"/>
      <c r="E915" s="420"/>
      <c r="F915" s="420"/>
      <c r="G915" s="420"/>
      <c r="H915" s="420"/>
      <c r="I915" s="89"/>
      <c r="J915" s="89"/>
      <c r="K915" s="89"/>
      <c r="L915" s="89"/>
      <c r="M915" s="89"/>
      <c r="N915" s="89"/>
      <c r="O915" s="89"/>
      <c r="P915" s="89"/>
      <c r="Q915" s="89"/>
      <c r="R915" s="89"/>
      <c r="S915" s="89"/>
      <c r="T915" s="89"/>
      <c r="U915" s="89"/>
      <c r="V915" s="89"/>
      <c r="W915" s="89"/>
      <c r="X915" s="89"/>
      <c r="Y915" s="89"/>
      <c r="Z915" s="89"/>
      <c r="AA915" s="89"/>
      <c r="AB915" s="89"/>
      <c r="AC915" s="89"/>
      <c r="AD915" s="89"/>
      <c r="AE915" s="89"/>
    </row>
    <row r="916">
      <c r="A916" s="445"/>
      <c r="B916" s="420"/>
      <c r="C916" s="420"/>
      <c r="D916" s="420"/>
      <c r="E916" s="420"/>
      <c r="F916" s="420"/>
      <c r="G916" s="420"/>
      <c r="H916" s="420"/>
      <c r="I916" s="89"/>
      <c r="J916" s="89"/>
      <c r="K916" s="89"/>
      <c r="L916" s="89"/>
      <c r="M916" s="89"/>
      <c r="N916" s="89"/>
      <c r="O916" s="89"/>
      <c r="P916" s="89"/>
      <c r="Q916" s="89"/>
      <c r="R916" s="89"/>
      <c r="S916" s="89"/>
      <c r="T916" s="89"/>
      <c r="U916" s="89"/>
      <c r="V916" s="89"/>
      <c r="W916" s="89"/>
      <c r="X916" s="89"/>
      <c r="Y916" s="89"/>
      <c r="Z916" s="89"/>
      <c r="AA916" s="89"/>
      <c r="AB916" s="89"/>
      <c r="AC916" s="89"/>
      <c r="AD916" s="89"/>
      <c r="AE916" s="89"/>
    </row>
    <row r="917">
      <c r="A917" s="445"/>
      <c r="B917" s="420"/>
      <c r="C917" s="420"/>
      <c r="D917" s="420"/>
      <c r="E917" s="420"/>
      <c r="F917" s="420"/>
      <c r="G917" s="420"/>
      <c r="H917" s="420"/>
      <c r="I917" s="89"/>
      <c r="J917" s="89"/>
      <c r="K917" s="89"/>
      <c r="L917" s="89"/>
      <c r="M917" s="89"/>
      <c r="N917" s="89"/>
      <c r="O917" s="89"/>
      <c r="P917" s="89"/>
      <c r="Q917" s="89"/>
      <c r="R917" s="89"/>
      <c r="S917" s="89"/>
      <c r="T917" s="89"/>
      <c r="U917" s="89"/>
      <c r="V917" s="89"/>
      <c r="W917" s="89"/>
      <c r="X917" s="89"/>
      <c r="Y917" s="89"/>
      <c r="Z917" s="89"/>
      <c r="AA917" s="89"/>
      <c r="AB917" s="89"/>
      <c r="AC917" s="89"/>
      <c r="AD917" s="89"/>
      <c r="AE917" s="89"/>
    </row>
    <row r="918">
      <c r="A918" s="445"/>
      <c r="B918" s="420"/>
      <c r="C918" s="420"/>
      <c r="D918" s="420"/>
      <c r="E918" s="420"/>
      <c r="F918" s="420"/>
      <c r="G918" s="420"/>
      <c r="H918" s="420"/>
      <c r="I918" s="89"/>
      <c r="J918" s="89"/>
      <c r="K918" s="89"/>
      <c r="L918" s="89"/>
      <c r="M918" s="89"/>
      <c r="N918" s="89"/>
      <c r="O918" s="89"/>
      <c r="P918" s="89"/>
      <c r="Q918" s="89"/>
      <c r="R918" s="89"/>
      <c r="S918" s="89"/>
      <c r="T918" s="89"/>
      <c r="U918" s="89"/>
      <c r="V918" s="89"/>
      <c r="W918" s="89"/>
      <c r="X918" s="89"/>
      <c r="Y918" s="89"/>
      <c r="Z918" s="89"/>
      <c r="AA918" s="89"/>
      <c r="AB918" s="89"/>
      <c r="AC918" s="89"/>
      <c r="AD918" s="89"/>
      <c r="AE918" s="89"/>
    </row>
    <row r="919">
      <c r="A919" s="445"/>
      <c r="B919" s="420"/>
      <c r="C919" s="420"/>
      <c r="D919" s="420"/>
      <c r="E919" s="420"/>
      <c r="F919" s="420"/>
      <c r="G919" s="420"/>
      <c r="H919" s="420"/>
      <c r="I919" s="89"/>
      <c r="J919" s="89"/>
      <c r="K919" s="89"/>
      <c r="L919" s="89"/>
      <c r="M919" s="89"/>
      <c r="N919" s="89"/>
      <c r="O919" s="89"/>
      <c r="P919" s="89"/>
      <c r="Q919" s="89"/>
      <c r="R919" s="89"/>
      <c r="S919" s="89"/>
      <c r="T919" s="89"/>
      <c r="U919" s="89"/>
      <c r="V919" s="89"/>
      <c r="W919" s="89"/>
      <c r="X919" s="89"/>
      <c r="Y919" s="89"/>
      <c r="Z919" s="89"/>
      <c r="AA919" s="89"/>
      <c r="AB919" s="89"/>
      <c r="AC919" s="89"/>
      <c r="AD919" s="89"/>
      <c r="AE919" s="89"/>
    </row>
    <row r="920">
      <c r="A920" s="445"/>
      <c r="B920" s="420"/>
      <c r="C920" s="420"/>
      <c r="D920" s="420"/>
      <c r="E920" s="420"/>
      <c r="F920" s="420"/>
      <c r="G920" s="420"/>
      <c r="H920" s="420"/>
      <c r="I920" s="89"/>
      <c r="J920" s="89"/>
      <c r="K920" s="89"/>
      <c r="L920" s="89"/>
      <c r="M920" s="89"/>
      <c r="N920" s="89"/>
      <c r="O920" s="89"/>
      <c r="P920" s="89"/>
      <c r="Q920" s="89"/>
      <c r="R920" s="89"/>
      <c r="S920" s="89"/>
      <c r="T920" s="89"/>
      <c r="U920" s="89"/>
      <c r="V920" s="89"/>
      <c r="W920" s="89"/>
      <c r="X920" s="89"/>
      <c r="Y920" s="89"/>
      <c r="Z920" s="89"/>
      <c r="AA920" s="89"/>
      <c r="AB920" s="89"/>
      <c r="AC920" s="89"/>
      <c r="AD920" s="89"/>
      <c r="AE920" s="89"/>
    </row>
    <row r="921">
      <c r="A921" s="445"/>
      <c r="B921" s="420"/>
      <c r="C921" s="420"/>
      <c r="D921" s="420"/>
      <c r="E921" s="420"/>
      <c r="F921" s="420"/>
      <c r="G921" s="420"/>
      <c r="H921" s="420"/>
      <c r="I921" s="89"/>
      <c r="J921" s="89"/>
      <c r="K921" s="89"/>
      <c r="L921" s="89"/>
      <c r="M921" s="89"/>
      <c r="N921" s="89"/>
      <c r="O921" s="89"/>
      <c r="P921" s="89"/>
      <c r="Q921" s="89"/>
      <c r="R921" s="89"/>
      <c r="S921" s="89"/>
      <c r="T921" s="89"/>
      <c r="U921" s="89"/>
      <c r="V921" s="89"/>
      <c r="W921" s="89"/>
      <c r="X921" s="89"/>
      <c r="Y921" s="89"/>
      <c r="Z921" s="89"/>
      <c r="AA921" s="89"/>
      <c r="AB921" s="89"/>
      <c r="AC921" s="89"/>
      <c r="AD921" s="89"/>
      <c r="AE921" s="89"/>
    </row>
    <row r="922">
      <c r="A922" s="445"/>
      <c r="B922" s="420"/>
      <c r="C922" s="420"/>
      <c r="D922" s="420"/>
      <c r="E922" s="420"/>
      <c r="F922" s="420"/>
      <c r="G922" s="420"/>
      <c r="H922" s="420"/>
      <c r="I922" s="89"/>
      <c r="J922" s="89"/>
      <c r="K922" s="89"/>
      <c r="L922" s="89"/>
      <c r="M922" s="89"/>
      <c r="N922" s="89"/>
      <c r="O922" s="89"/>
      <c r="P922" s="89"/>
      <c r="Q922" s="89"/>
      <c r="R922" s="89"/>
      <c r="S922" s="89"/>
      <c r="T922" s="89"/>
      <c r="U922" s="89"/>
      <c r="V922" s="89"/>
      <c r="W922" s="89"/>
      <c r="X922" s="89"/>
      <c r="Y922" s="89"/>
      <c r="Z922" s="89"/>
      <c r="AA922" s="89"/>
      <c r="AB922" s="89"/>
      <c r="AC922" s="89"/>
      <c r="AD922" s="89"/>
      <c r="AE922" s="89"/>
    </row>
    <row r="923">
      <c r="A923" s="445"/>
      <c r="B923" s="420"/>
      <c r="C923" s="420"/>
      <c r="D923" s="420"/>
      <c r="E923" s="420"/>
      <c r="F923" s="420"/>
      <c r="G923" s="420"/>
      <c r="H923" s="420"/>
      <c r="I923" s="89"/>
      <c r="J923" s="89"/>
      <c r="K923" s="89"/>
      <c r="L923" s="89"/>
      <c r="M923" s="89"/>
      <c r="N923" s="89"/>
      <c r="O923" s="89"/>
      <c r="P923" s="89"/>
      <c r="Q923" s="89"/>
      <c r="R923" s="89"/>
      <c r="S923" s="89"/>
      <c r="T923" s="89"/>
      <c r="U923" s="89"/>
      <c r="V923" s="89"/>
      <c r="W923" s="89"/>
      <c r="X923" s="89"/>
      <c r="Y923" s="89"/>
      <c r="Z923" s="89"/>
      <c r="AA923" s="89"/>
      <c r="AB923" s="89"/>
      <c r="AC923" s="89"/>
      <c r="AD923" s="89"/>
      <c r="AE923" s="89"/>
    </row>
    <row r="924">
      <c r="A924" s="445"/>
      <c r="B924" s="420"/>
      <c r="C924" s="420"/>
      <c r="D924" s="420"/>
      <c r="E924" s="420"/>
      <c r="F924" s="420"/>
      <c r="G924" s="420"/>
      <c r="H924" s="420"/>
      <c r="I924" s="89"/>
      <c r="J924" s="89"/>
      <c r="K924" s="89"/>
      <c r="L924" s="89"/>
      <c r="M924" s="89"/>
      <c r="N924" s="89"/>
      <c r="O924" s="89"/>
      <c r="P924" s="89"/>
      <c r="Q924" s="89"/>
      <c r="R924" s="89"/>
      <c r="S924" s="89"/>
      <c r="T924" s="89"/>
      <c r="U924" s="89"/>
      <c r="V924" s="89"/>
      <c r="W924" s="89"/>
      <c r="X924" s="89"/>
      <c r="Y924" s="89"/>
      <c r="Z924" s="89"/>
      <c r="AA924" s="89"/>
      <c r="AB924" s="89"/>
      <c r="AC924" s="89"/>
      <c r="AD924" s="89"/>
      <c r="AE924" s="89"/>
    </row>
    <row r="925">
      <c r="A925" s="445"/>
      <c r="B925" s="420"/>
      <c r="C925" s="420"/>
      <c r="D925" s="420"/>
      <c r="E925" s="420"/>
      <c r="F925" s="420"/>
      <c r="G925" s="420"/>
      <c r="H925" s="420"/>
      <c r="I925" s="89"/>
      <c r="J925" s="89"/>
      <c r="K925" s="89"/>
      <c r="L925" s="89"/>
      <c r="M925" s="89"/>
      <c r="N925" s="89"/>
      <c r="O925" s="89"/>
      <c r="P925" s="89"/>
      <c r="Q925" s="89"/>
      <c r="R925" s="89"/>
      <c r="S925" s="89"/>
      <c r="T925" s="89"/>
      <c r="U925" s="89"/>
      <c r="V925" s="89"/>
      <c r="W925" s="89"/>
      <c r="X925" s="89"/>
      <c r="Y925" s="89"/>
      <c r="Z925" s="89"/>
      <c r="AA925" s="89"/>
      <c r="AB925" s="89"/>
      <c r="AC925" s="89"/>
      <c r="AD925" s="89"/>
      <c r="AE925" s="89"/>
    </row>
    <row r="926">
      <c r="A926" s="445"/>
      <c r="B926" s="420"/>
      <c r="C926" s="420"/>
      <c r="D926" s="420"/>
      <c r="E926" s="420"/>
      <c r="F926" s="420"/>
      <c r="G926" s="420"/>
      <c r="H926" s="420"/>
      <c r="I926" s="89"/>
      <c r="J926" s="89"/>
      <c r="K926" s="89"/>
      <c r="L926" s="89"/>
      <c r="M926" s="89"/>
      <c r="N926" s="89"/>
      <c r="O926" s="89"/>
      <c r="P926" s="89"/>
      <c r="Q926" s="89"/>
      <c r="R926" s="89"/>
      <c r="S926" s="89"/>
      <c r="T926" s="89"/>
      <c r="U926" s="89"/>
      <c r="V926" s="89"/>
      <c r="W926" s="89"/>
      <c r="X926" s="89"/>
      <c r="Y926" s="89"/>
      <c r="Z926" s="89"/>
      <c r="AA926" s="89"/>
      <c r="AB926" s="89"/>
      <c r="AC926" s="89"/>
      <c r="AD926" s="89"/>
      <c r="AE926" s="89"/>
    </row>
    <row r="927">
      <c r="A927" s="445"/>
      <c r="B927" s="420"/>
      <c r="C927" s="420"/>
      <c r="D927" s="420"/>
      <c r="E927" s="420"/>
      <c r="F927" s="420"/>
      <c r="G927" s="420"/>
      <c r="H927" s="420"/>
      <c r="I927" s="89"/>
      <c r="J927" s="89"/>
      <c r="K927" s="89"/>
      <c r="L927" s="89"/>
      <c r="M927" s="89"/>
      <c r="N927" s="89"/>
      <c r="O927" s="89"/>
      <c r="P927" s="89"/>
      <c r="Q927" s="89"/>
      <c r="R927" s="89"/>
      <c r="S927" s="89"/>
      <c r="T927" s="89"/>
      <c r="U927" s="89"/>
      <c r="V927" s="89"/>
      <c r="W927" s="89"/>
      <c r="X927" s="89"/>
      <c r="Y927" s="89"/>
      <c r="Z927" s="89"/>
      <c r="AA927" s="89"/>
      <c r="AB927" s="89"/>
      <c r="AC927" s="89"/>
      <c r="AD927" s="89"/>
      <c r="AE927" s="89"/>
    </row>
    <row r="928">
      <c r="A928" s="445"/>
      <c r="B928" s="420"/>
      <c r="C928" s="420"/>
      <c r="D928" s="420"/>
      <c r="E928" s="420"/>
      <c r="F928" s="420"/>
      <c r="G928" s="420"/>
      <c r="H928" s="420"/>
      <c r="I928" s="89"/>
      <c r="J928" s="89"/>
      <c r="K928" s="89"/>
      <c r="L928" s="89"/>
      <c r="M928" s="89"/>
      <c r="N928" s="89"/>
      <c r="O928" s="89"/>
      <c r="P928" s="89"/>
      <c r="Q928" s="89"/>
      <c r="R928" s="89"/>
      <c r="S928" s="89"/>
      <c r="T928" s="89"/>
      <c r="U928" s="89"/>
      <c r="V928" s="89"/>
      <c r="W928" s="89"/>
      <c r="X928" s="89"/>
      <c r="Y928" s="89"/>
      <c r="Z928" s="89"/>
      <c r="AA928" s="89"/>
      <c r="AB928" s="89"/>
      <c r="AC928" s="89"/>
      <c r="AD928" s="89"/>
      <c r="AE928" s="89"/>
    </row>
    <row r="929">
      <c r="A929" s="445"/>
      <c r="B929" s="420"/>
      <c r="C929" s="420"/>
      <c r="D929" s="420"/>
      <c r="E929" s="420"/>
      <c r="F929" s="420"/>
      <c r="G929" s="420"/>
      <c r="H929" s="420"/>
      <c r="I929" s="89"/>
      <c r="J929" s="89"/>
      <c r="K929" s="89"/>
      <c r="L929" s="89"/>
      <c r="M929" s="89"/>
      <c r="N929" s="89"/>
      <c r="O929" s="89"/>
      <c r="P929" s="89"/>
      <c r="Q929" s="89"/>
      <c r="R929" s="89"/>
      <c r="S929" s="89"/>
      <c r="T929" s="89"/>
      <c r="U929" s="89"/>
      <c r="V929" s="89"/>
      <c r="W929" s="89"/>
      <c r="X929" s="89"/>
      <c r="Y929" s="89"/>
      <c r="Z929" s="89"/>
      <c r="AA929" s="89"/>
      <c r="AB929" s="89"/>
      <c r="AC929" s="89"/>
      <c r="AD929" s="89"/>
      <c r="AE929" s="89"/>
    </row>
    <row r="930">
      <c r="A930" s="445"/>
      <c r="B930" s="420"/>
      <c r="C930" s="420"/>
      <c r="D930" s="420"/>
      <c r="E930" s="420"/>
      <c r="F930" s="420"/>
      <c r="G930" s="420"/>
      <c r="H930" s="420"/>
      <c r="I930" s="89"/>
      <c r="J930" s="89"/>
      <c r="K930" s="89"/>
      <c r="L930" s="89"/>
      <c r="M930" s="89"/>
      <c r="N930" s="89"/>
      <c r="O930" s="89"/>
      <c r="P930" s="89"/>
      <c r="Q930" s="89"/>
      <c r="R930" s="89"/>
      <c r="S930" s="89"/>
      <c r="T930" s="89"/>
      <c r="U930" s="89"/>
      <c r="V930" s="89"/>
      <c r="W930" s="89"/>
      <c r="X930" s="89"/>
      <c r="Y930" s="89"/>
      <c r="Z930" s="89"/>
      <c r="AA930" s="89"/>
      <c r="AB930" s="89"/>
      <c r="AC930" s="89"/>
      <c r="AD930" s="89"/>
      <c r="AE930" s="89"/>
    </row>
    <row r="931">
      <c r="A931" s="445"/>
      <c r="B931" s="420"/>
      <c r="C931" s="420"/>
      <c r="D931" s="420"/>
      <c r="E931" s="420"/>
      <c r="F931" s="420"/>
      <c r="G931" s="420"/>
      <c r="H931" s="420"/>
      <c r="I931" s="89"/>
      <c r="J931" s="89"/>
      <c r="K931" s="89"/>
      <c r="L931" s="89"/>
      <c r="M931" s="89"/>
      <c r="N931" s="89"/>
      <c r="O931" s="89"/>
      <c r="P931" s="89"/>
      <c r="Q931" s="89"/>
      <c r="R931" s="89"/>
      <c r="S931" s="89"/>
      <c r="T931" s="89"/>
      <c r="U931" s="89"/>
      <c r="V931" s="89"/>
      <c r="W931" s="89"/>
      <c r="X931" s="89"/>
      <c r="Y931" s="89"/>
      <c r="Z931" s="89"/>
      <c r="AA931" s="89"/>
      <c r="AB931" s="89"/>
      <c r="AC931" s="89"/>
      <c r="AD931" s="89"/>
      <c r="AE931" s="89"/>
    </row>
    <row r="932">
      <c r="A932" s="445"/>
      <c r="B932" s="420"/>
      <c r="C932" s="420"/>
      <c r="D932" s="420"/>
      <c r="E932" s="420"/>
      <c r="F932" s="420"/>
      <c r="G932" s="420"/>
      <c r="H932" s="420"/>
      <c r="I932" s="89"/>
      <c r="J932" s="89"/>
      <c r="K932" s="89"/>
      <c r="L932" s="89"/>
      <c r="M932" s="89"/>
      <c r="N932" s="89"/>
      <c r="O932" s="89"/>
      <c r="P932" s="89"/>
      <c r="Q932" s="89"/>
      <c r="R932" s="89"/>
      <c r="S932" s="89"/>
      <c r="T932" s="89"/>
      <c r="U932" s="89"/>
      <c r="V932" s="89"/>
      <c r="W932" s="89"/>
      <c r="X932" s="89"/>
      <c r="Y932" s="89"/>
      <c r="Z932" s="89"/>
      <c r="AA932" s="89"/>
      <c r="AB932" s="89"/>
      <c r="AC932" s="89"/>
      <c r="AD932" s="89"/>
      <c r="AE932" s="89"/>
    </row>
    <row r="933">
      <c r="A933" s="445"/>
      <c r="B933" s="420"/>
      <c r="C933" s="420"/>
      <c r="D933" s="420"/>
      <c r="E933" s="420"/>
      <c r="F933" s="420"/>
      <c r="G933" s="420"/>
      <c r="H933" s="420"/>
      <c r="I933" s="89"/>
      <c r="J933" s="89"/>
      <c r="K933" s="89"/>
      <c r="L933" s="89"/>
      <c r="M933" s="89"/>
      <c r="N933" s="89"/>
      <c r="O933" s="89"/>
      <c r="P933" s="89"/>
      <c r="Q933" s="89"/>
      <c r="R933" s="89"/>
      <c r="S933" s="89"/>
      <c r="T933" s="89"/>
      <c r="U933" s="89"/>
      <c r="V933" s="89"/>
      <c r="W933" s="89"/>
      <c r="X933" s="89"/>
      <c r="Y933" s="89"/>
      <c r="Z933" s="89"/>
      <c r="AA933" s="89"/>
      <c r="AB933" s="89"/>
      <c r="AC933" s="89"/>
      <c r="AD933" s="89"/>
      <c r="AE933" s="89"/>
    </row>
    <row r="934">
      <c r="A934" s="445"/>
      <c r="B934" s="420"/>
      <c r="C934" s="420"/>
      <c r="D934" s="420"/>
      <c r="E934" s="420"/>
      <c r="F934" s="420"/>
      <c r="G934" s="420"/>
      <c r="H934" s="420"/>
      <c r="I934" s="89"/>
      <c r="J934" s="89"/>
      <c r="K934" s="89"/>
      <c r="L934" s="89"/>
      <c r="M934" s="89"/>
      <c r="N934" s="89"/>
      <c r="O934" s="89"/>
      <c r="P934" s="89"/>
      <c r="Q934" s="89"/>
      <c r="R934" s="89"/>
      <c r="S934" s="89"/>
      <c r="T934" s="89"/>
      <c r="U934" s="89"/>
      <c r="V934" s="89"/>
      <c r="W934" s="89"/>
      <c r="X934" s="89"/>
      <c r="Y934" s="89"/>
      <c r="Z934" s="89"/>
      <c r="AA934" s="89"/>
      <c r="AB934" s="89"/>
      <c r="AC934" s="89"/>
      <c r="AD934" s="89"/>
      <c r="AE934" s="89"/>
    </row>
    <row r="935">
      <c r="A935" s="445"/>
      <c r="B935" s="420"/>
      <c r="C935" s="420"/>
      <c r="D935" s="420"/>
      <c r="E935" s="420"/>
      <c r="F935" s="420"/>
      <c r="G935" s="420"/>
      <c r="H935" s="420"/>
      <c r="I935" s="89"/>
      <c r="J935" s="89"/>
      <c r="K935" s="89"/>
      <c r="L935" s="89"/>
      <c r="M935" s="89"/>
      <c r="N935" s="89"/>
      <c r="O935" s="89"/>
      <c r="P935" s="89"/>
      <c r="Q935" s="89"/>
      <c r="R935" s="89"/>
      <c r="S935" s="89"/>
      <c r="T935" s="89"/>
      <c r="U935" s="89"/>
      <c r="V935" s="89"/>
      <c r="W935" s="89"/>
      <c r="X935" s="89"/>
      <c r="Y935" s="89"/>
      <c r="Z935" s="89"/>
      <c r="AA935" s="89"/>
      <c r="AB935" s="89"/>
      <c r="AC935" s="89"/>
      <c r="AD935" s="89"/>
      <c r="AE935" s="89"/>
    </row>
    <row r="936">
      <c r="A936" s="445"/>
      <c r="B936" s="420"/>
      <c r="C936" s="420"/>
      <c r="D936" s="420"/>
      <c r="E936" s="420"/>
      <c r="F936" s="420"/>
      <c r="G936" s="420"/>
      <c r="H936" s="420"/>
      <c r="I936" s="89"/>
      <c r="J936" s="89"/>
      <c r="K936" s="89"/>
      <c r="L936" s="89"/>
      <c r="M936" s="89"/>
      <c r="N936" s="89"/>
      <c r="O936" s="89"/>
      <c r="P936" s="89"/>
      <c r="Q936" s="89"/>
      <c r="R936" s="89"/>
      <c r="S936" s="89"/>
      <c r="T936" s="89"/>
      <c r="U936" s="89"/>
      <c r="V936" s="89"/>
      <c r="W936" s="89"/>
      <c r="X936" s="89"/>
      <c r="Y936" s="89"/>
      <c r="Z936" s="89"/>
      <c r="AA936" s="89"/>
      <c r="AB936" s="89"/>
      <c r="AC936" s="89"/>
      <c r="AD936" s="89"/>
      <c r="AE936" s="89"/>
    </row>
    <row r="937">
      <c r="A937" s="445"/>
      <c r="B937" s="420"/>
      <c r="C937" s="420"/>
      <c r="D937" s="420"/>
      <c r="E937" s="420"/>
      <c r="F937" s="420"/>
      <c r="G937" s="420"/>
      <c r="H937" s="420"/>
      <c r="I937" s="89"/>
      <c r="J937" s="89"/>
      <c r="K937" s="89"/>
      <c r="L937" s="89"/>
      <c r="M937" s="89"/>
      <c r="N937" s="89"/>
      <c r="O937" s="89"/>
      <c r="P937" s="89"/>
      <c r="Q937" s="89"/>
      <c r="R937" s="89"/>
      <c r="S937" s="89"/>
      <c r="T937" s="89"/>
      <c r="U937" s="89"/>
      <c r="V937" s="89"/>
      <c r="W937" s="89"/>
      <c r="X937" s="89"/>
      <c r="Y937" s="89"/>
      <c r="Z937" s="89"/>
      <c r="AA937" s="89"/>
      <c r="AB937" s="89"/>
      <c r="AC937" s="89"/>
      <c r="AD937" s="89"/>
      <c r="AE937" s="89"/>
    </row>
    <row r="938">
      <c r="A938" s="445"/>
      <c r="B938" s="420"/>
      <c r="C938" s="420"/>
      <c r="D938" s="420"/>
      <c r="E938" s="420"/>
      <c r="F938" s="420"/>
      <c r="G938" s="420"/>
      <c r="H938" s="420"/>
      <c r="I938" s="89"/>
      <c r="J938" s="89"/>
      <c r="K938" s="89"/>
      <c r="L938" s="89"/>
      <c r="M938" s="89"/>
      <c r="N938" s="89"/>
      <c r="O938" s="89"/>
      <c r="P938" s="89"/>
      <c r="Q938" s="89"/>
      <c r="R938" s="89"/>
      <c r="S938" s="89"/>
      <c r="T938" s="89"/>
      <c r="U938" s="89"/>
      <c r="V938" s="89"/>
      <c r="W938" s="89"/>
      <c r="X938" s="89"/>
      <c r="Y938" s="89"/>
      <c r="Z938" s="89"/>
      <c r="AA938" s="89"/>
      <c r="AB938" s="89"/>
      <c r="AC938" s="89"/>
      <c r="AD938" s="89"/>
      <c r="AE938" s="89"/>
    </row>
    <row r="939">
      <c r="A939" s="445"/>
      <c r="B939" s="420"/>
      <c r="C939" s="420"/>
      <c r="D939" s="420"/>
      <c r="E939" s="420"/>
      <c r="F939" s="420"/>
      <c r="G939" s="420"/>
      <c r="H939" s="420"/>
      <c r="I939" s="89"/>
      <c r="J939" s="89"/>
      <c r="K939" s="89"/>
      <c r="L939" s="89"/>
      <c r="M939" s="89"/>
      <c r="N939" s="89"/>
      <c r="O939" s="89"/>
      <c r="P939" s="89"/>
      <c r="Q939" s="89"/>
      <c r="R939" s="89"/>
      <c r="S939" s="89"/>
      <c r="T939" s="89"/>
      <c r="U939" s="89"/>
      <c r="V939" s="89"/>
      <c r="W939" s="89"/>
      <c r="X939" s="89"/>
      <c r="Y939" s="89"/>
      <c r="Z939" s="89"/>
      <c r="AA939" s="89"/>
      <c r="AB939" s="89"/>
      <c r="AC939" s="89"/>
      <c r="AD939" s="89"/>
      <c r="AE939" s="89"/>
    </row>
    <row r="940">
      <c r="A940" s="445"/>
      <c r="B940" s="420"/>
      <c r="C940" s="420"/>
      <c r="D940" s="420"/>
      <c r="E940" s="420"/>
      <c r="F940" s="420"/>
      <c r="G940" s="420"/>
      <c r="H940" s="420"/>
      <c r="I940" s="89"/>
      <c r="J940" s="89"/>
      <c r="K940" s="89"/>
      <c r="L940" s="89"/>
      <c r="M940" s="89"/>
      <c r="N940" s="89"/>
      <c r="O940" s="89"/>
      <c r="P940" s="89"/>
      <c r="Q940" s="89"/>
      <c r="R940" s="89"/>
      <c r="S940" s="89"/>
      <c r="T940" s="89"/>
      <c r="U940" s="89"/>
      <c r="V940" s="89"/>
      <c r="W940" s="89"/>
      <c r="X940" s="89"/>
      <c r="Y940" s="89"/>
      <c r="Z940" s="89"/>
      <c r="AA940" s="89"/>
      <c r="AB940" s="89"/>
      <c r="AC940" s="89"/>
      <c r="AD940" s="89"/>
      <c r="AE940" s="89"/>
    </row>
    <row r="941">
      <c r="A941" s="445"/>
      <c r="B941" s="420"/>
      <c r="C941" s="420"/>
      <c r="D941" s="420"/>
      <c r="E941" s="420"/>
      <c r="F941" s="420"/>
      <c r="G941" s="420"/>
      <c r="H941" s="420"/>
      <c r="I941" s="89"/>
      <c r="J941" s="89"/>
      <c r="K941" s="89"/>
      <c r="L941" s="89"/>
      <c r="M941" s="89"/>
      <c r="N941" s="89"/>
      <c r="O941" s="89"/>
      <c r="P941" s="89"/>
      <c r="Q941" s="89"/>
      <c r="R941" s="89"/>
      <c r="S941" s="89"/>
      <c r="T941" s="89"/>
      <c r="U941" s="89"/>
      <c r="V941" s="89"/>
      <c r="W941" s="89"/>
      <c r="X941" s="89"/>
      <c r="Y941" s="89"/>
      <c r="Z941" s="89"/>
      <c r="AA941" s="89"/>
      <c r="AB941" s="89"/>
      <c r="AC941" s="89"/>
      <c r="AD941" s="89"/>
      <c r="AE941" s="89"/>
    </row>
    <row r="942">
      <c r="A942" s="445"/>
      <c r="B942" s="420"/>
      <c r="C942" s="420"/>
      <c r="D942" s="420"/>
      <c r="E942" s="420"/>
      <c r="F942" s="420"/>
      <c r="G942" s="420"/>
      <c r="H942" s="420"/>
      <c r="I942" s="89"/>
      <c r="J942" s="89"/>
      <c r="K942" s="89"/>
      <c r="L942" s="89"/>
      <c r="M942" s="89"/>
      <c r="N942" s="89"/>
      <c r="O942" s="89"/>
      <c r="P942" s="89"/>
      <c r="Q942" s="89"/>
      <c r="R942" s="89"/>
      <c r="S942" s="89"/>
      <c r="T942" s="89"/>
      <c r="U942" s="89"/>
      <c r="V942" s="89"/>
      <c r="W942" s="89"/>
      <c r="X942" s="89"/>
      <c r="Y942" s="89"/>
      <c r="Z942" s="89"/>
      <c r="AA942" s="89"/>
      <c r="AB942" s="89"/>
      <c r="AC942" s="89"/>
      <c r="AD942" s="89"/>
      <c r="AE942" s="89"/>
    </row>
    <row r="943">
      <c r="A943" s="445"/>
      <c r="B943" s="420"/>
      <c r="C943" s="420"/>
      <c r="D943" s="420"/>
      <c r="E943" s="420"/>
      <c r="F943" s="420"/>
      <c r="G943" s="420"/>
      <c r="H943" s="420"/>
      <c r="I943" s="89"/>
      <c r="J943" s="89"/>
      <c r="K943" s="89"/>
      <c r="L943" s="89"/>
      <c r="M943" s="89"/>
      <c r="N943" s="89"/>
      <c r="O943" s="89"/>
      <c r="P943" s="89"/>
      <c r="Q943" s="89"/>
      <c r="R943" s="89"/>
      <c r="S943" s="89"/>
      <c r="T943" s="89"/>
      <c r="U943" s="89"/>
      <c r="V943" s="89"/>
      <c r="W943" s="89"/>
      <c r="X943" s="89"/>
      <c r="Y943" s="89"/>
      <c r="Z943" s="89"/>
      <c r="AA943" s="89"/>
      <c r="AB943" s="89"/>
      <c r="AC943" s="89"/>
      <c r="AD943" s="89"/>
      <c r="AE943" s="89"/>
    </row>
    <row r="944">
      <c r="A944" s="445"/>
      <c r="B944" s="420"/>
      <c r="C944" s="420"/>
      <c r="D944" s="420"/>
      <c r="E944" s="420"/>
      <c r="F944" s="420"/>
      <c r="G944" s="420"/>
      <c r="H944" s="420"/>
      <c r="I944" s="89"/>
      <c r="J944" s="89"/>
      <c r="K944" s="89"/>
      <c r="L944" s="89"/>
      <c r="M944" s="89"/>
      <c r="N944" s="89"/>
      <c r="O944" s="89"/>
      <c r="P944" s="89"/>
      <c r="Q944" s="89"/>
      <c r="R944" s="89"/>
      <c r="S944" s="89"/>
      <c r="T944" s="89"/>
      <c r="U944" s="89"/>
      <c r="V944" s="89"/>
      <c r="W944" s="89"/>
      <c r="X944" s="89"/>
      <c r="Y944" s="89"/>
      <c r="Z944" s="89"/>
      <c r="AA944" s="89"/>
      <c r="AB944" s="89"/>
      <c r="AC944" s="89"/>
      <c r="AD944" s="89"/>
      <c r="AE944" s="89"/>
    </row>
    <row r="945">
      <c r="A945" s="445"/>
      <c r="B945" s="420"/>
      <c r="C945" s="420"/>
      <c r="D945" s="420"/>
      <c r="E945" s="420"/>
      <c r="F945" s="420"/>
      <c r="G945" s="420"/>
      <c r="H945" s="420"/>
      <c r="I945" s="89"/>
      <c r="J945" s="89"/>
      <c r="K945" s="89"/>
      <c r="L945" s="89"/>
      <c r="M945" s="89"/>
      <c r="N945" s="89"/>
      <c r="O945" s="89"/>
      <c r="P945" s="89"/>
      <c r="Q945" s="89"/>
      <c r="R945" s="89"/>
      <c r="S945" s="89"/>
      <c r="T945" s="89"/>
      <c r="U945" s="89"/>
      <c r="V945" s="89"/>
      <c r="W945" s="89"/>
      <c r="X945" s="89"/>
      <c r="Y945" s="89"/>
      <c r="Z945" s="89"/>
      <c r="AA945" s="89"/>
      <c r="AB945" s="89"/>
      <c r="AC945" s="89"/>
      <c r="AD945" s="89"/>
      <c r="AE945" s="89"/>
    </row>
    <row r="946">
      <c r="A946" s="445"/>
      <c r="B946" s="420"/>
      <c r="C946" s="420"/>
      <c r="D946" s="420"/>
      <c r="E946" s="420"/>
      <c r="F946" s="420"/>
      <c r="G946" s="420"/>
      <c r="H946" s="420"/>
      <c r="I946" s="89"/>
      <c r="J946" s="89"/>
      <c r="K946" s="89"/>
      <c r="L946" s="89"/>
      <c r="M946" s="89"/>
      <c r="N946" s="89"/>
      <c r="O946" s="89"/>
      <c r="P946" s="89"/>
      <c r="Q946" s="89"/>
      <c r="R946" s="89"/>
      <c r="S946" s="89"/>
      <c r="T946" s="89"/>
      <c r="U946" s="89"/>
      <c r="V946" s="89"/>
      <c r="W946" s="89"/>
      <c r="X946" s="89"/>
      <c r="Y946" s="89"/>
      <c r="Z946" s="89"/>
      <c r="AA946" s="89"/>
      <c r="AB946" s="89"/>
      <c r="AC946" s="89"/>
      <c r="AD946" s="89"/>
      <c r="AE946" s="89"/>
    </row>
    <row r="947">
      <c r="A947" s="445"/>
      <c r="B947" s="420"/>
      <c r="C947" s="420"/>
      <c r="D947" s="420"/>
      <c r="E947" s="420"/>
      <c r="F947" s="420"/>
      <c r="G947" s="420"/>
      <c r="H947" s="420"/>
      <c r="I947" s="89"/>
      <c r="J947" s="89"/>
      <c r="K947" s="89"/>
      <c r="L947" s="89"/>
      <c r="M947" s="89"/>
      <c r="N947" s="89"/>
      <c r="O947" s="89"/>
      <c r="P947" s="89"/>
      <c r="Q947" s="89"/>
      <c r="R947" s="89"/>
      <c r="S947" s="89"/>
      <c r="T947" s="89"/>
      <c r="U947" s="89"/>
      <c r="V947" s="89"/>
      <c r="W947" s="89"/>
      <c r="X947" s="89"/>
      <c r="Y947" s="89"/>
      <c r="Z947" s="89"/>
      <c r="AA947" s="89"/>
      <c r="AB947" s="89"/>
      <c r="AC947" s="89"/>
      <c r="AD947" s="89"/>
      <c r="AE947" s="89"/>
    </row>
    <row r="948">
      <c r="A948" s="445"/>
      <c r="B948" s="420"/>
      <c r="C948" s="420"/>
      <c r="D948" s="420"/>
      <c r="E948" s="420"/>
      <c r="F948" s="420"/>
      <c r="G948" s="420"/>
      <c r="H948" s="420"/>
      <c r="I948" s="89"/>
      <c r="J948" s="89"/>
      <c r="K948" s="89"/>
      <c r="L948" s="89"/>
      <c r="M948" s="89"/>
      <c r="N948" s="89"/>
      <c r="O948" s="89"/>
      <c r="P948" s="89"/>
      <c r="Q948" s="89"/>
      <c r="R948" s="89"/>
      <c r="S948" s="89"/>
      <c r="T948" s="89"/>
      <c r="U948" s="89"/>
      <c r="V948" s="89"/>
      <c r="W948" s="89"/>
      <c r="X948" s="89"/>
      <c r="Y948" s="89"/>
      <c r="Z948" s="89"/>
      <c r="AA948" s="89"/>
      <c r="AB948" s="89"/>
      <c r="AC948" s="89"/>
      <c r="AD948" s="89"/>
      <c r="AE948" s="89"/>
    </row>
    <row r="949">
      <c r="A949" s="445"/>
      <c r="B949" s="420"/>
      <c r="C949" s="420"/>
      <c r="D949" s="420"/>
      <c r="E949" s="420"/>
      <c r="F949" s="420"/>
      <c r="G949" s="420"/>
      <c r="H949" s="420"/>
      <c r="I949" s="89"/>
      <c r="J949" s="89"/>
      <c r="K949" s="89"/>
      <c r="L949" s="89"/>
      <c r="M949" s="89"/>
      <c r="N949" s="89"/>
      <c r="O949" s="89"/>
      <c r="P949" s="89"/>
      <c r="Q949" s="89"/>
      <c r="R949" s="89"/>
      <c r="S949" s="89"/>
      <c r="T949" s="89"/>
      <c r="U949" s="89"/>
      <c r="V949" s="89"/>
      <c r="W949" s="89"/>
      <c r="X949" s="89"/>
      <c r="Y949" s="89"/>
      <c r="Z949" s="89"/>
      <c r="AA949" s="89"/>
      <c r="AB949" s="89"/>
      <c r="AC949" s="89"/>
      <c r="AD949" s="89"/>
      <c r="AE949" s="89"/>
    </row>
    <row r="950">
      <c r="A950" s="445"/>
      <c r="B950" s="420"/>
      <c r="C950" s="420"/>
      <c r="D950" s="420"/>
      <c r="E950" s="420"/>
      <c r="F950" s="420"/>
      <c r="G950" s="420"/>
      <c r="H950" s="420"/>
      <c r="I950" s="89"/>
      <c r="J950" s="89"/>
      <c r="K950" s="89"/>
      <c r="L950" s="89"/>
      <c r="M950" s="89"/>
      <c r="N950" s="89"/>
      <c r="O950" s="89"/>
      <c r="P950" s="89"/>
      <c r="Q950" s="89"/>
      <c r="R950" s="89"/>
      <c r="S950" s="89"/>
      <c r="T950" s="89"/>
      <c r="U950" s="89"/>
      <c r="V950" s="89"/>
      <c r="W950" s="89"/>
      <c r="X950" s="89"/>
      <c r="Y950" s="89"/>
      <c r="Z950" s="89"/>
      <c r="AA950" s="89"/>
      <c r="AB950" s="89"/>
      <c r="AC950" s="89"/>
      <c r="AD950" s="89"/>
      <c r="AE950" s="89"/>
    </row>
    <row r="951">
      <c r="A951" s="445"/>
      <c r="B951" s="420"/>
      <c r="C951" s="420"/>
      <c r="D951" s="420"/>
      <c r="E951" s="420"/>
      <c r="F951" s="420"/>
      <c r="G951" s="420"/>
      <c r="H951" s="420"/>
      <c r="I951" s="89"/>
      <c r="J951" s="89"/>
      <c r="K951" s="89"/>
      <c r="L951" s="89"/>
      <c r="M951" s="89"/>
      <c r="N951" s="89"/>
      <c r="O951" s="89"/>
      <c r="P951" s="89"/>
      <c r="Q951" s="89"/>
      <c r="R951" s="89"/>
      <c r="S951" s="89"/>
      <c r="T951" s="89"/>
      <c r="U951" s="89"/>
      <c r="V951" s="89"/>
      <c r="W951" s="89"/>
      <c r="X951" s="89"/>
      <c r="Y951" s="89"/>
      <c r="Z951" s="89"/>
      <c r="AA951" s="89"/>
      <c r="AB951" s="89"/>
      <c r="AC951" s="89"/>
      <c r="AD951" s="89"/>
      <c r="AE951" s="89"/>
    </row>
    <row r="952">
      <c r="A952" s="445"/>
      <c r="B952" s="420"/>
      <c r="C952" s="420"/>
      <c r="D952" s="420"/>
      <c r="E952" s="420"/>
      <c r="F952" s="420"/>
      <c r="G952" s="420"/>
      <c r="H952" s="420"/>
      <c r="I952" s="89"/>
      <c r="J952" s="89"/>
      <c r="K952" s="89"/>
      <c r="L952" s="89"/>
      <c r="M952" s="89"/>
      <c r="N952" s="89"/>
      <c r="O952" s="89"/>
      <c r="P952" s="89"/>
      <c r="Q952" s="89"/>
      <c r="R952" s="89"/>
      <c r="S952" s="89"/>
      <c r="T952" s="89"/>
      <c r="U952" s="89"/>
      <c r="V952" s="89"/>
      <c r="W952" s="89"/>
      <c r="X952" s="89"/>
      <c r="Y952" s="89"/>
      <c r="Z952" s="89"/>
      <c r="AA952" s="89"/>
      <c r="AB952" s="89"/>
      <c r="AC952" s="89"/>
      <c r="AD952" s="89"/>
      <c r="AE952" s="89"/>
    </row>
    <row r="953">
      <c r="A953" s="445"/>
      <c r="B953" s="420"/>
      <c r="C953" s="420"/>
      <c r="D953" s="420"/>
      <c r="E953" s="420"/>
      <c r="F953" s="420"/>
      <c r="G953" s="420"/>
      <c r="H953" s="420"/>
      <c r="I953" s="89"/>
      <c r="J953" s="89"/>
      <c r="K953" s="89"/>
      <c r="L953" s="89"/>
      <c r="M953" s="89"/>
      <c r="N953" s="89"/>
      <c r="O953" s="89"/>
      <c r="P953" s="89"/>
      <c r="Q953" s="89"/>
      <c r="R953" s="89"/>
      <c r="S953" s="89"/>
      <c r="T953" s="89"/>
      <c r="U953" s="89"/>
      <c r="V953" s="89"/>
      <c r="W953" s="89"/>
      <c r="X953" s="89"/>
      <c r="Y953" s="89"/>
      <c r="Z953" s="89"/>
      <c r="AA953" s="89"/>
      <c r="AB953" s="89"/>
      <c r="AC953" s="89"/>
      <c r="AD953" s="89"/>
      <c r="AE953" s="89"/>
    </row>
    <row r="954">
      <c r="A954" s="445"/>
      <c r="B954" s="420"/>
      <c r="C954" s="420"/>
      <c r="D954" s="420"/>
      <c r="E954" s="420"/>
      <c r="F954" s="420"/>
      <c r="G954" s="420"/>
      <c r="H954" s="420"/>
      <c r="I954" s="89"/>
      <c r="J954" s="89"/>
      <c r="K954" s="89"/>
      <c r="L954" s="89"/>
      <c r="M954" s="89"/>
      <c r="N954" s="89"/>
      <c r="O954" s="89"/>
      <c r="P954" s="89"/>
      <c r="Q954" s="89"/>
      <c r="R954" s="89"/>
      <c r="S954" s="89"/>
      <c r="T954" s="89"/>
      <c r="U954" s="89"/>
      <c r="V954" s="89"/>
      <c r="W954" s="89"/>
      <c r="X954" s="89"/>
      <c r="Y954" s="89"/>
      <c r="Z954" s="89"/>
      <c r="AA954" s="89"/>
      <c r="AB954" s="89"/>
      <c r="AC954" s="89"/>
      <c r="AD954" s="89"/>
      <c r="AE954" s="89"/>
    </row>
    <row r="955">
      <c r="A955" s="445"/>
      <c r="B955" s="420"/>
      <c r="C955" s="420"/>
      <c r="D955" s="420"/>
      <c r="E955" s="420"/>
      <c r="F955" s="420"/>
      <c r="G955" s="420"/>
      <c r="H955" s="420"/>
      <c r="I955" s="89"/>
      <c r="J955" s="89"/>
      <c r="K955" s="89"/>
      <c r="L955" s="89"/>
      <c r="M955" s="89"/>
      <c r="N955" s="89"/>
      <c r="O955" s="89"/>
      <c r="P955" s="89"/>
      <c r="Q955" s="89"/>
      <c r="R955" s="89"/>
      <c r="S955" s="89"/>
      <c r="T955" s="89"/>
      <c r="U955" s="89"/>
      <c r="V955" s="89"/>
      <c r="W955" s="89"/>
      <c r="X955" s="89"/>
      <c r="Y955" s="89"/>
      <c r="Z955" s="89"/>
      <c r="AA955" s="89"/>
      <c r="AB955" s="89"/>
      <c r="AC955" s="89"/>
      <c r="AD955" s="89"/>
      <c r="AE955" s="89"/>
    </row>
    <row r="956">
      <c r="A956" s="445"/>
      <c r="B956" s="420"/>
      <c r="C956" s="420"/>
      <c r="D956" s="420"/>
      <c r="E956" s="420"/>
      <c r="F956" s="420"/>
      <c r="G956" s="420"/>
      <c r="H956" s="420"/>
      <c r="I956" s="89"/>
      <c r="J956" s="89"/>
      <c r="K956" s="89"/>
      <c r="L956" s="89"/>
      <c r="M956" s="89"/>
      <c r="N956" s="89"/>
      <c r="O956" s="89"/>
      <c r="P956" s="89"/>
      <c r="Q956" s="89"/>
      <c r="R956" s="89"/>
      <c r="S956" s="89"/>
      <c r="T956" s="89"/>
      <c r="U956" s="89"/>
      <c r="V956" s="89"/>
      <c r="W956" s="89"/>
      <c r="X956" s="89"/>
      <c r="Y956" s="89"/>
      <c r="Z956" s="89"/>
      <c r="AA956" s="89"/>
      <c r="AB956" s="89"/>
      <c r="AC956" s="89"/>
      <c r="AD956" s="89"/>
      <c r="AE956" s="89"/>
    </row>
    <row r="957">
      <c r="A957" s="445"/>
      <c r="B957" s="420"/>
      <c r="C957" s="420"/>
      <c r="D957" s="420"/>
      <c r="E957" s="420"/>
      <c r="F957" s="420"/>
      <c r="G957" s="420"/>
      <c r="H957" s="420"/>
      <c r="I957" s="89"/>
      <c r="J957" s="89"/>
      <c r="K957" s="89"/>
      <c r="L957" s="89"/>
      <c r="M957" s="89"/>
      <c r="N957" s="89"/>
      <c r="O957" s="89"/>
      <c r="P957" s="89"/>
      <c r="Q957" s="89"/>
      <c r="R957" s="89"/>
      <c r="S957" s="89"/>
      <c r="T957" s="89"/>
      <c r="U957" s="89"/>
      <c r="V957" s="89"/>
      <c r="W957" s="89"/>
      <c r="X957" s="89"/>
      <c r="Y957" s="89"/>
      <c r="Z957" s="89"/>
      <c r="AA957" s="89"/>
      <c r="AB957" s="89"/>
      <c r="AC957" s="89"/>
      <c r="AD957" s="89"/>
      <c r="AE957" s="89"/>
    </row>
    <row r="958">
      <c r="A958" s="445"/>
      <c r="B958" s="420"/>
      <c r="C958" s="420"/>
      <c r="D958" s="420"/>
      <c r="E958" s="420"/>
      <c r="F958" s="420"/>
      <c r="G958" s="420"/>
      <c r="H958" s="420"/>
      <c r="I958" s="89"/>
      <c r="J958" s="89"/>
      <c r="K958" s="89"/>
      <c r="L958" s="89"/>
      <c r="M958" s="89"/>
      <c r="N958" s="89"/>
      <c r="O958" s="89"/>
      <c r="P958" s="89"/>
      <c r="Q958" s="89"/>
      <c r="R958" s="89"/>
      <c r="S958" s="89"/>
      <c r="T958" s="89"/>
      <c r="U958" s="89"/>
      <c r="V958" s="89"/>
      <c r="W958" s="89"/>
      <c r="X958" s="89"/>
      <c r="Y958" s="89"/>
      <c r="Z958" s="89"/>
      <c r="AA958" s="89"/>
      <c r="AB958" s="89"/>
      <c r="AC958" s="89"/>
      <c r="AD958" s="89"/>
      <c r="AE958" s="89"/>
    </row>
    <row r="959">
      <c r="A959" s="445"/>
      <c r="B959" s="420"/>
      <c r="C959" s="420"/>
      <c r="D959" s="420"/>
      <c r="E959" s="420"/>
      <c r="F959" s="420"/>
      <c r="G959" s="420"/>
      <c r="H959" s="420"/>
      <c r="I959" s="89"/>
      <c r="J959" s="89"/>
      <c r="K959" s="89"/>
      <c r="L959" s="89"/>
      <c r="M959" s="89"/>
      <c r="N959" s="89"/>
      <c r="O959" s="89"/>
      <c r="P959" s="89"/>
      <c r="Q959" s="89"/>
      <c r="R959" s="89"/>
      <c r="S959" s="89"/>
      <c r="T959" s="89"/>
      <c r="U959" s="89"/>
      <c r="V959" s="89"/>
      <c r="W959" s="89"/>
      <c r="X959" s="89"/>
      <c r="Y959" s="89"/>
      <c r="Z959" s="89"/>
      <c r="AA959" s="89"/>
      <c r="AB959" s="89"/>
      <c r="AC959" s="89"/>
      <c r="AD959" s="89"/>
      <c r="AE959" s="89"/>
    </row>
    <row r="960">
      <c r="A960" s="445"/>
      <c r="B960" s="420"/>
      <c r="C960" s="420"/>
      <c r="D960" s="420"/>
      <c r="E960" s="420"/>
      <c r="F960" s="420"/>
      <c r="G960" s="420"/>
      <c r="H960" s="420"/>
      <c r="I960" s="89"/>
      <c r="J960" s="89"/>
      <c r="K960" s="89"/>
      <c r="L960" s="89"/>
      <c r="M960" s="89"/>
      <c r="N960" s="89"/>
      <c r="O960" s="89"/>
      <c r="P960" s="89"/>
      <c r="Q960" s="89"/>
      <c r="R960" s="89"/>
      <c r="S960" s="89"/>
      <c r="T960" s="89"/>
      <c r="U960" s="89"/>
      <c r="V960" s="89"/>
      <c r="W960" s="89"/>
      <c r="X960" s="89"/>
      <c r="Y960" s="89"/>
      <c r="Z960" s="89"/>
      <c r="AA960" s="89"/>
      <c r="AB960" s="89"/>
      <c r="AC960" s="89"/>
      <c r="AD960" s="89"/>
      <c r="AE960" s="89"/>
    </row>
    <row r="961">
      <c r="A961" s="445"/>
      <c r="B961" s="420"/>
      <c r="C961" s="420"/>
      <c r="D961" s="420"/>
      <c r="E961" s="420"/>
      <c r="F961" s="420"/>
      <c r="G961" s="420"/>
      <c r="H961" s="420"/>
      <c r="I961" s="89"/>
      <c r="J961" s="89"/>
      <c r="K961" s="89"/>
      <c r="L961" s="89"/>
      <c r="M961" s="89"/>
      <c r="N961" s="89"/>
      <c r="O961" s="89"/>
      <c r="P961" s="89"/>
      <c r="Q961" s="89"/>
      <c r="R961" s="89"/>
      <c r="S961" s="89"/>
      <c r="T961" s="89"/>
      <c r="U961" s="89"/>
      <c r="V961" s="89"/>
      <c r="W961" s="89"/>
      <c r="X961" s="89"/>
      <c r="Y961" s="89"/>
      <c r="Z961" s="89"/>
      <c r="AA961" s="89"/>
      <c r="AB961" s="89"/>
      <c r="AC961" s="89"/>
      <c r="AD961" s="89"/>
      <c r="AE961" s="89"/>
    </row>
    <row r="962">
      <c r="A962" s="445"/>
      <c r="B962" s="420"/>
      <c r="C962" s="420"/>
      <c r="D962" s="420"/>
      <c r="E962" s="420"/>
      <c r="F962" s="420"/>
      <c r="G962" s="420"/>
      <c r="H962" s="420"/>
      <c r="I962" s="89"/>
      <c r="J962" s="89"/>
      <c r="K962" s="89"/>
      <c r="L962" s="89"/>
      <c r="M962" s="89"/>
      <c r="N962" s="89"/>
      <c r="O962" s="89"/>
      <c r="P962" s="89"/>
      <c r="Q962" s="89"/>
      <c r="R962" s="89"/>
      <c r="S962" s="89"/>
      <c r="T962" s="89"/>
      <c r="U962" s="89"/>
      <c r="V962" s="89"/>
      <c r="W962" s="89"/>
      <c r="X962" s="89"/>
      <c r="Y962" s="89"/>
      <c r="Z962" s="89"/>
      <c r="AA962" s="89"/>
      <c r="AB962" s="89"/>
      <c r="AC962" s="89"/>
      <c r="AD962" s="89"/>
      <c r="AE962" s="89"/>
    </row>
    <row r="963">
      <c r="A963" s="445"/>
      <c r="B963" s="420"/>
      <c r="C963" s="420"/>
      <c r="D963" s="420"/>
      <c r="E963" s="420"/>
      <c r="F963" s="420"/>
      <c r="G963" s="420"/>
      <c r="H963" s="420"/>
      <c r="I963" s="89"/>
      <c r="J963" s="89"/>
      <c r="K963" s="89"/>
      <c r="L963" s="89"/>
      <c r="M963" s="89"/>
      <c r="N963" s="89"/>
      <c r="O963" s="89"/>
      <c r="P963" s="89"/>
      <c r="Q963" s="89"/>
      <c r="R963" s="89"/>
      <c r="S963" s="89"/>
      <c r="T963" s="89"/>
      <c r="U963" s="89"/>
      <c r="V963" s="89"/>
      <c r="W963" s="89"/>
      <c r="X963" s="89"/>
      <c r="Y963" s="89"/>
      <c r="Z963" s="89"/>
      <c r="AA963" s="89"/>
      <c r="AB963" s="89"/>
      <c r="AC963" s="89"/>
      <c r="AD963" s="89"/>
      <c r="AE963" s="89"/>
    </row>
    <row r="964">
      <c r="A964" s="445"/>
      <c r="B964" s="420"/>
      <c r="C964" s="420"/>
      <c r="D964" s="420"/>
      <c r="E964" s="420"/>
      <c r="F964" s="420"/>
      <c r="G964" s="420"/>
      <c r="H964" s="420"/>
      <c r="I964" s="89"/>
      <c r="J964" s="89"/>
      <c r="K964" s="89"/>
      <c r="L964" s="89"/>
      <c r="M964" s="89"/>
      <c r="N964" s="89"/>
      <c r="O964" s="89"/>
      <c r="P964" s="89"/>
      <c r="Q964" s="89"/>
      <c r="R964" s="89"/>
      <c r="S964" s="89"/>
      <c r="T964" s="89"/>
      <c r="U964" s="89"/>
      <c r="V964" s="89"/>
      <c r="W964" s="89"/>
      <c r="X964" s="89"/>
      <c r="Y964" s="89"/>
      <c r="Z964" s="89"/>
      <c r="AA964" s="89"/>
      <c r="AB964" s="89"/>
      <c r="AC964" s="89"/>
      <c r="AD964" s="89"/>
      <c r="AE964" s="89"/>
    </row>
    <row r="965">
      <c r="A965" s="445"/>
      <c r="B965" s="420"/>
      <c r="C965" s="420"/>
      <c r="D965" s="420"/>
      <c r="E965" s="420"/>
      <c r="F965" s="420"/>
      <c r="G965" s="420"/>
      <c r="H965" s="420"/>
      <c r="I965" s="89"/>
      <c r="J965" s="89"/>
      <c r="K965" s="89"/>
      <c r="L965" s="89"/>
      <c r="M965" s="89"/>
      <c r="N965" s="89"/>
      <c r="O965" s="89"/>
      <c r="P965" s="89"/>
      <c r="Q965" s="89"/>
      <c r="R965" s="89"/>
      <c r="S965" s="89"/>
      <c r="T965" s="89"/>
      <c r="U965" s="89"/>
      <c r="V965" s="89"/>
      <c r="W965" s="89"/>
      <c r="X965" s="89"/>
      <c r="Y965" s="89"/>
      <c r="Z965" s="89"/>
      <c r="AA965" s="89"/>
      <c r="AB965" s="89"/>
      <c r="AC965" s="89"/>
      <c r="AD965" s="89"/>
      <c r="AE965" s="89"/>
    </row>
    <row r="966">
      <c r="A966" s="445"/>
      <c r="B966" s="420"/>
      <c r="C966" s="420"/>
      <c r="D966" s="420"/>
      <c r="E966" s="420"/>
      <c r="F966" s="420"/>
      <c r="G966" s="420"/>
      <c r="H966" s="420"/>
      <c r="I966" s="89"/>
      <c r="J966" s="89"/>
      <c r="K966" s="89"/>
      <c r="L966" s="89"/>
      <c r="M966" s="89"/>
      <c r="N966" s="89"/>
      <c r="O966" s="89"/>
      <c r="P966" s="89"/>
      <c r="Q966" s="89"/>
      <c r="R966" s="89"/>
      <c r="S966" s="89"/>
      <c r="T966" s="89"/>
      <c r="U966" s="89"/>
      <c r="V966" s="89"/>
      <c r="W966" s="89"/>
      <c r="X966" s="89"/>
      <c r="Y966" s="89"/>
      <c r="Z966" s="89"/>
      <c r="AA966" s="89"/>
      <c r="AB966" s="89"/>
      <c r="AC966" s="89"/>
      <c r="AD966" s="89"/>
      <c r="AE966" s="89"/>
    </row>
    <row r="967">
      <c r="A967" s="445"/>
      <c r="B967" s="420"/>
      <c r="C967" s="420"/>
      <c r="D967" s="420"/>
      <c r="E967" s="420"/>
      <c r="F967" s="420"/>
      <c r="G967" s="420"/>
      <c r="H967" s="420"/>
      <c r="I967" s="89"/>
      <c r="J967" s="89"/>
      <c r="K967" s="89"/>
      <c r="L967" s="89"/>
      <c r="M967" s="89"/>
      <c r="N967" s="89"/>
      <c r="O967" s="89"/>
      <c r="P967" s="89"/>
      <c r="Q967" s="89"/>
      <c r="R967" s="89"/>
      <c r="S967" s="89"/>
      <c r="T967" s="89"/>
      <c r="U967" s="89"/>
      <c r="V967" s="89"/>
      <c r="W967" s="89"/>
      <c r="X967" s="89"/>
      <c r="Y967" s="89"/>
      <c r="Z967" s="89"/>
      <c r="AA967" s="89"/>
      <c r="AB967" s="89"/>
      <c r="AC967" s="89"/>
      <c r="AD967" s="89"/>
      <c r="AE967" s="89"/>
    </row>
    <row r="968">
      <c r="A968" s="445"/>
      <c r="B968" s="420"/>
      <c r="C968" s="420"/>
      <c r="D968" s="420"/>
      <c r="E968" s="420"/>
      <c r="F968" s="420"/>
      <c r="G968" s="420"/>
      <c r="H968" s="420"/>
      <c r="I968" s="89"/>
      <c r="J968" s="89"/>
      <c r="K968" s="89"/>
      <c r="L968" s="89"/>
      <c r="M968" s="89"/>
      <c r="N968" s="89"/>
      <c r="O968" s="89"/>
      <c r="P968" s="89"/>
      <c r="Q968" s="89"/>
      <c r="R968" s="89"/>
      <c r="S968" s="89"/>
      <c r="T968" s="89"/>
      <c r="U968" s="89"/>
      <c r="V968" s="89"/>
      <c r="W968" s="89"/>
      <c r="X968" s="89"/>
      <c r="Y968" s="89"/>
      <c r="Z968" s="89"/>
      <c r="AA968" s="89"/>
      <c r="AB968" s="89"/>
      <c r="AC968" s="89"/>
      <c r="AD968" s="89"/>
      <c r="AE968" s="89"/>
    </row>
    <row r="969">
      <c r="A969" s="445"/>
      <c r="B969" s="420"/>
      <c r="C969" s="420"/>
      <c r="D969" s="420"/>
      <c r="E969" s="420"/>
      <c r="F969" s="420"/>
      <c r="G969" s="420"/>
      <c r="H969" s="420"/>
      <c r="I969" s="89"/>
      <c r="J969" s="89"/>
      <c r="K969" s="89"/>
      <c r="L969" s="89"/>
      <c r="M969" s="89"/>
      <c r="N969" s="89"/>
      <c r="O969" s="89"/>
      <c r="P969" s="89"/>
      <c r="Q969" s="89"/>
      <c r="R969" s="89"/>
      <c r="S969" s="89"/>
      <c r="T969" s="89"/>
      <c r="U969" s="89"/>
      <c r="V969" s="89"/>
      <c r="W969" s="89"/>
      <c r="X969" s="89"/>
      <c r="Y969" s="89"/>
      <c r="Z969" s="89"/>
      <c r="AA969" s="89"/>
      <c r="AB969" s="89"/>
      <c r="AC969" s="89"/>
      <c r="AD969" s="89"/>
      <c r="AE969" s="89"/>
    </row>
    <row r="970">
      <c r="A970" s="445"/>
      <c r="B970" s="420"/>
      <c r="C970" s="420"/>
      <c r="D970" s="420"/>
      <c r="E970" s="420"/>
      <c r="F970" s="420"/>
      <c r="G970" s="420"/>
      <c r="H970" s="420"/>
      <c r="I970" s="89"/>
      <c r="J970" s="89"/>
      <c r="K970" s="89"/>
      <c r="L970" s="89"/>
      <c r="M970" s="89"/>
      <c r="N970" s="89"/>
      <c r="O970" s="89"/>
      <c r="P970" s="89"/>
      <c r="Q970" s="89"/>
      <c r="R970" s="89"/>
      <c r="S970" s="89"/>
      <c r="T970" s="89"/>
      <c r="U970" s="89"/>
      <c r="V970" s="89"/>
      <c r="W970" s="89"/>
      <c r="X970" s="89"/>
      <c r="Y970" s="89"/>
      <c r="Z970" s="89"/>
      <c r="AA970" s="89"/>
      <c r="AB970" s="89"/>
      <c r="AC970" s="89"/>
      <c r="AD970" s="89"/>
      <c r="AE970" s="89"/>
    </row>
    <row r="971">
      <c r="A971" s="445"/>
      <c r="B971" s="420"/>
      <c r="C971" s="420"/>
      <c r="D971" s="420"/>
      <c r="E971" s="420"/>
      <c r="F971" s="420"/>
      <c r="G971" s="420"/>
      <c r="H971" s="420"/>
      <c r="I971" s="89"/>
      <c r="J971" s="89"/>
      <c r="K971" s="89"/>
      <c r="L971" s="89"/>
      <c r="M971" s="89"/>
      <c r="N971" s="89"/>
      <c r="O971" s="89"/>
      <c r="P971" s="89"/>
      <c r="Q971" s="89"/>
      <c r="R971" s="89"/>
      <c r="S971" s="89"/>
      <c r="T971" s="89"/>
      <c r="U971" s="89"/>
      <c r="V971" s="89"/>
      <c r="W971" s="89"/>
      <c r="X971" s="89"/>
      <c r="Y971" s="89"/>
      <c r="Z971" s="89"/>
      <c r="AA971" s="89"/>
      <c r="AB971" s="89"/>
      <c r="AC971" s="89"/>
      <c r="AD971" s="89"/>
      <c r="AE971" s="89"/>
    </row>
    <row r="972">
      <c r="A972" s="445"/>
      <c r="B972" s="420"/>
      <c r="C972" s="420"/>
      <c r="D972" s="420"/>
      <c r="E972" s="420"/>
      <c r="F972" s="420"/>
      <c r="G972" s="420"/>
      <c r="H972" s="420"/>
      <c r="I972" s="89"/>
      <c r="J972" s="89"/>
      <c r="K972" s="89"/>
      <c r="L972" s="89"/>
      <c r="M972" s="89"/>
      <c r="N972" s="89"/>
      <c r="O972" s="89"/>
      <c r="P972" s="89"/>
      <c r="Q972" s="89"/>
      <c r="R972" s="89"/>
      <c r="S972" s="89"/>
      <c r="T972" s="89"/>
      <c r="U972" s="89"/>
      <c r="V972" s="89"/>
      <c r="W972" s="89"/>
      <c r="X972" s="89"/>
      <c r="Y972" s="89"/>
      <c r="Z972" s="89"/>
      <c r="AA972" s="89"/>
      <c r="AB972" s="89"/>
      <c r="AC972" s="89"/>
      <c r="AD972" s="89"/>
      <c r="AE972" s="89"/>
    </row>
    <row r="973">
      <c r="A973" s="445"/>
      <c r="B973" s="420"/>
      <c r="C973" s="420"/>
      <c r="D973" s="420"/>
      <c r="E973" s="420"/>
      <c r="F973" s="420"/>
      <c r="G973" s="420"/>
      <c r="H973" s="420"/>
      <c r="I973" s="89"/>
      <c r="J973" s="89"/>
      <c r="K973" s="89"/>
      <c r="L973" s="89"/>
      <c r="M973" s="89"/>
      <c r="N973" s="89"/>
      <c r="O973" s="89"/>
      <c r="P973" s="89"/>
      <c r="Q973" s="89"/>
      <c r="R973" s="89"/>
      <c r="S973" s="89"/>
      <c r="T973" s="89"/>
      <c r="U973" s="89"/>
      <c r="V973" s="89"/>
      <c r="W973" s="89"/>
      <c r="X973" s="89"/>
      <c r="Y973" s="89"/>
      <c r="Z973" s="89"/>
      <c r="AA973" s="89"/>
      <c r="AB973" s="89"/>
      <c r="AC973" s="89"/>
      <c r="AD973" s="89"/>
      <c r="AE973" s="89"/>
    </row>
    <row r="974">
      <c r="A974" s="445"/>
      <c r="B974" s="420"/>
      <c r="C974" s="420"/>
      <c r="D974" s="420"/>
      <c r="E974" s="420"/>
      <c r="F974" s="420"/>
      <c r="G974" s="420"/>
      <c r="H974" s="420"/>
      <c r="I974" s="89"/>
      <c r="J974" s="89"/>
      <c r="K974" s="89"/>
      <c r="L974" s="89"/>
      <c r="M974" s="89"/>
      <c r="N974" s="89"/>
      <c r="O974" s="89"/>
      <c r="P974" s="89"/>
      <c r="Q974" s="89"/>
      <c r="R974" s="89"/>
      <c r="S974" s="89"/>
      <c r="T974" s="89"/>
      <c r="U974" s="89"/>
      <c r="V974" s="89"/>
      <c r="W974" s="89"/>
      <c r="X974" s="89"/>
      <c r="Y974" s="89"/>
      <c r="Z974" s="89"/>
      <c r="AA974" s="89"/>
      <c r="AB974" s="89"/>
      <c r="AC974" s="89"/>
      <c r="AD974" s="89"/>
      <c r="AE974" s="89"/>
    </row>
    <row r="975">
      <c r="A975" s="445"/>
      <c r="B975" s="420"/>
      <c r="C975" s="420"/>
      <c r="D975" s="420"/>
      <c r="E975" s="420"/>
      <c r="F975" s="420"/>
      <c r="G975" s="420"/>
      <c r="H975" s="420"/>
      <c r="I975" s="89"/>
      <c r="J975" s="89"/>
      <c r="K975" s="89"/>
      <c r="L975" s="89"/>
      <c r="M975" s="89"/>
      <c r="N975" s="89"/>
      <c r="O975" s="89"/>
      <c r="P975" s="89"/>
      <c r="Q975" s="89"/>
      <c r="R975" s="89"/>
      <c r="S975" s="89"/>
      <c r="T975" s="89"/>
      <c r="U975" s="89"/>
      <c r="V975" s="89"/>
      <c r="W975" s="89"/>
      <c r="X975" s="89"/>
      <c r="Y975" s="89"/>
      <c r="Z975" s="89"/>
      <c r="AA975" s="89"/>
      <c r="AB975" s="89"/>
      <c r="AC975" s="89"/>
      <c r="AD975" s="89"/>
      <c r="AE975" s="89"/>
    </row>
    <row r="976">
      <c r="A976" s="445"/>
      <c r="B976" s="420"/>
      <c r="C976" s="420"/>
      <c r="D976" s="420"/>
      <c r="E976" s="420"/>
      <c r="F976" s="420"/>
      <c r="G976" s="420"/>
      <c r="H976" s="420"/>
      <c r="I976" s="89"/>
      <c r="J976" s="89"/>
      <c r="K976" s="89"/>
      <c r="L976" s="89"/>
      <c r="M976" s="89"/>
      <c r="N976" s="89"/>
      <c r="O976" s="89"/>
      <c r="P976" s="89"/>
      <c r="Q976" s="89"/>
      <c r="R976" s="89"/>
      <c r="S976" s="89"/>
      <c r="T976" s="89"/>
      <c r="U976" s="89"/>
      <c r="V976" s="89"/>
      <c r="W976" s="89"/>
      <c r="X976" s="89"/>
      <c r="Y976" s="89"/>
      <c r="Z976" s="89"/>
      <c r="AA976" s="89"/>
      <c r="AB976" s="89"/>
      <c r="AC976" s="89"/>
      <c r="AD976" s="89"/>
      <c r="AE976" s="89"/>
    </row>
    <row r="977">
      <c r="A977" s="445"/>
      <c r="B977" s="420"/>
      <c r="C977" s="420"/>
      <c r="D977" s="420"/>
      <c r="E977" s="420"/>
      <c r="F977" s="420"/>
      <c r="G977" s="420"/>
      <c r="H977" s="420"/>
      <c r="I977" s="89"/>
      <c r="J977" s="89"/>
      <c r="K977" s="89"/>
      <c r="L977" s="89"/>
      <c r="M977" s="89"/>
      <c r="N977" s="89"/>
      <c r="O977" s="89"/>
      <c r="P977" s="89"/>
      <c r="Q977" s="89"/>
      <c r="R977" s="89"/>
      <c r="S977" s="89"/>
      <c r="T977" s="89"/>
      <c r="U977" s="89"/>
      <c r="V977" s="89"/>
      <c r="W977" s="89"/>
      <c r="X977" s="89"/>
      <c r="Y977" s="89"/>
      <c r="Z977" s="89"/>
      <c r="AA977" s="89"/>
      <c r="AB977" s="89"/>
      <c r="AC977" s="89"/>
      <c r="AD977" s="89"/>
      <c r="AE977" s="89"/>
    </row>
    <row r="978">
      <c r="A978" s="445"/>
      <c r="B978" s="420"/>
      <c r="C978" s="420"/>
      <c r="D978" s="420"/>
      <c r="E978" s="420"/>
      <c r="F978" s="420"/>
      <c r="G978" s="420"/>
      <c r="H978" s="420"/>
      <c r="I978" s="89"/>
      <c r="J978" s="89"/>
      <c r="K978" s="89"/>
      <c r="L978" s="89"/>
      <c r="M978" s="89"/>
      <c r="N978" s="89"/>
      <c r="O978" s="89"/>
      <c r="P978" s="89"/>
      <c r="Q978" s="89"/>
      <c r="R978" s="89"/>
      <c r="S978" s="89"/>
      <c r="T978" s="89"/>
      <c r="U978" s="89"/>
      <c r="V978" s="89"/>
      <c r="W978" s="89"/>
      <c r="X978" s="89"/>
      <c r="Y978" s="89"/>
      <c r="Z978" s="89"/>
      <c r="AA978" s="89"/>
      <c r="AB978" s="89"/>
      <c r="AC978" s="89"/>
      <c r="AD978" s="89"/>
      <c r="AE978" s="89"/>
    </row>
    <row r="979">
      <c r="A979" s="445"/>
      <c r="B979" s="420"/>
      <c r="C979" s="420"/>
      <c r="D979" s="420"/>
      <c r="E979" s="420"/>
      <c r="F979" s="420"/>
      <c r="G979" s="420"/>
      <c r="H979" s="420"/>
      <c r="I979" s="89"/>
      <c r="J979" s="89"/>
      <c r="K979" s="89"/>
      <c r="L979" s="89"/>
      <c r="M979" s="89"/>
      <c r="N979" s="89"/>
      <c r="O979" s="89"/>
      <c r="P979" s="89"/>
      <c r="Q979" s="89"/>
      <c r="R979" s="89"/>
      <c r="S979" s="89"/>
      <c r="T979" s="89"/>
      <c r="U979" s="89"/>
      <c r="V979" s="89"/>
      <c r="W979" s="89"/>
      <c r="X979" s="89"/>
      <c r="Y979" s="89"/>
      <c r="Z979" s="89"/>
      <c r="AA979" s="89"/>
      <c r="AB979" s="89"/>
      <c r="AC979" s="89"/>
      <c r="AD979" s="89"/>
      <c r="AE979" s="89"/>
    </row>
    <row r="980">
      <c r="A980" s="445"/>
      <c r="B980" s="420"/>
      <c r="C980" s="420"/>
      <c r="D980" s="420"/>
      <c r="E980" s="420"/>
      <c r="F980" s="420"/>
      <c r="G980" s="420"/>
      <c r="H980" s="420"/>
      <c r="I980" s="89"/>
      <c r="J980" s="89"/>
      <c r="K980" s="89"/>
      <c r="L980" s="89"/>
      <c r="M980" s="89"/>
      <c r="N980" s="89"/>
      <c r="O980" s="89"/>
      <c r="P980" s="89"/>
      <c r="Q980" s="89"/>
      <c r="R980" s="89"/>
      <c r="S980" s="89"/>
      <c r="T980" s="89"/>
      <c r="U980" s="89"/>
      <c r="V980" s="89"/>
      <c r="W980" s="89"/>
      <c r="X980" s="89"/>
      <c r="Y980" s="89"/>
      <c r="Z980" s="89"/>
      <c r="AA980" s="89"/>
      <c r="AB980" s="89"/>
      <c r="AC980" s="89"/>
      <c r="AD980" s="89"/>
      <c r="AE980" s="89"/>
    </row>
    <row r="981">
      <c r="A981" s="445"/>
      <c r="B981" s="420"/>
      <c r="C981" s="420"/>
      <c r="D981" s="420"/>
      <c r="E981" s="420"/>
      <c r="F981" s="420"/>
      <c r="G981" s="420"/>
      <c r="H981" s="420"/>
      <c r="I981" s="89"/>
      <c r="J981" s="89"/>
      <c r="K981" s="89"/>
      <c r="L981" s="89"/>
      <c r="M981" s="89"/>
      <c r="N981" s="89"/>
      <c r="O981" s="89"/>
      <c r="P981" s="89"/>
      <c r="Q981" s="89"/>
      <c r="R981" s="89"/>
      <c r="S981" s="89"/>
      <c r="T981" s="89"/>
      <c r="U981" s="89"/>
      <c r="V981" s="89"/>
      <c r="W981" s="89"/>
      <c r="X981" s="89"/>
      <c r="Y981" s="89"/>
      <c r="Z981" s="89"/>
      <c r="AA981" s="89"/>
      <c r="AB981" s="89"/>
      <c r="AC981" s="89"/>
      <c r="AD981" s="89"/>
      <c r="AE981" s="89"/>
    </row>
    <row r="982">
      <c r="A982" s="445"/>
      <c r="B982" s="420"/>
      <c r="C982" s="420"/>
      <c r="D982" s="420"/>
      <c r="E982" s="420"/>
      <c r="F982" s="420"/>
      <c r="G982" s="420"/>
      <c r="H982" s="420"/>
      <c r="I982" s="89"/>
      <c r="J982" s="89"/>
      <c r="K982" s="89"/>
      <c r="L982" s="89"/>
      <c r="M982" s="89"/>
      <c r="N982" s="89"/>
      <c r="O982" s="89"/>
      <c r="P982" s="89"/>
      <c r="Q982" s="89"/>
      <c r="R982" s="89"/>
      <c r="S982" s="89"/>
      <c r="T982" s="89"/>
      <c r="U982" s="89"/>
      <c r="V982" s="89"/>
      <c r="W982" s="89"/>
      <c r="X982" s="89"/>
      <c r="Y982" s="89"/>
      <c r="Z982" s="89"/>
      <c r="AA982" s="89"/>
      <c r="AB982" s="89"/>
      <c r="AC982" s="89"/>
      <c r="AD982" s="89"/>
      <c r="AE982" s="89"/>
    </row>
    <row r="983">
      <c r="A983" s="445"/>
      <c r="B983" s="420"/>
      <c r="C983" s="420"/>
      <c r="D983" s="420"/>
      <c r="E983" s="420"/>
      <c r="F983" s="420"/>
      <c r="G983" s="420"/>
      <c r="H983" s="420"/>
      <c r="I983" s="89"/>
      <c r="J983" s="89"/>
      <c r="K983" s="89"/>
      <c r="L983" s="89"/>
      <c r="M983" s="89"/>
      <c r="N983" s="89"/>
      <c r="O983" s="89"/>
      <c r="P983" s="89"/>
      <c r="Q983" s="89"/>
      <c r="R983" s="89"/>
      <c r="S983" s="89"/>
      <c r="T983" s="89"/>
      <c r="U983" s="89"/>
      <c r="V983" s="89"/>
      <c r="W983" s="89"/>
      <c r="X983" s="89"/>
      <c r="Y983" s="89"/>
      <c r="Z983" s="89"/>
      <c r="AA983" s="89"/>
      <c r="AB983" s="89"/>
      <c r="AC983" s="89"/>
      <c r="AD983" s="89"/>
      <c r="AE983" s="89"/>
    </row>
    <row r="984">
      <c r="A984" s="445"/>
      <c r="B984" s="420"/>
      <c r="C984" s="420"/>
      <c r="D984" s="420"/>
      <c r="E984" s="420"/>
      <c r="F984" s="420"/>
      <c r="G984" s="420"/>
      <c r="H984" s="420"/>
      <c r="I984" s="89"/>
      <c r="J984" s="89"/>
      <c r="K984" s="89"/>
      <c r="L984" s="89"/>
      <c r="M984" s="89"/>
      <c r="N984" s="89"/>
      <c r="O984" s="89"/>
      <c r="P984" s="89"/>
      <c r="Q984" s="89"/>
      <c r="R984" s="89"/>
      <c r="S984" s="89"/>
      <c r="T984" s="89"/>
      <c r="U984" s="89"/>
      <c r="V984" s="89"/>
      <c r="W984" s="89"/>
      <c r="X984" s="89"/>
      <c r="Y984" s="89"/>
      <c r="Z984" s="89"/>
      <c r="AA984" s="89"/>
      <c r="AB984" s="89"/>
      <c r="AC984" s="89"/>
      <c r="AD984" s="89"/>
      <c r="AE984" s="89"/>
    </row>
    <row r="985">
      <c r="A985" s="445"/>
      <c r="B985" s="420"/>
      <c r="C985" s="420"/>
      <c r="D985" s="420"/>
      <c r="E985" s="420"/>
      <c r="F985" s="420"/>
      <c r="G985" s="420"/>
      <c r="H985" s="420"/>
      <c r="I985" s="89"/>
      <c r="J985" s="89"/>
      <c r="K985" s="89"/>
      <c r="L985" s="89"/>
      <c r="M985" s="89"/>
      <c r="N985" s="89"/>
      <c r="O985" s="89"/>
      <c r="P985" s="89"/>
      <c r="Q985" s="89"/>
      <c r="R985" s="89"/>
      <c r="S985" s="89"/>
      <c r="T985" s="89"/>
      <c r="U985" s="89"/>
      <c r="V985" s="89"/>
      <c r="W985" s="89"/>
      <c r="X985" s="89"/>
      <c r="Y985" s="89"/>
      <c r="Z985" s="89"/>
      <c r="AA985" s="89"/>
      <c r="AB985" s="89"/>
      <c r="AC985" s="89"/>
      <c r="AD985" s="89"/>
      <c r="AE985" s="89"/>
    </row>
    <row r="986">
      <c r="A986" s="445"/>
      <c r="B986" s="420"/>
      <c r="C986" s="420"/>
      <c r="D986" s="420"/>
      <c r="E986" s="420"/>
      <c r="F986" s="420"/>
      <c r="G986" s="420"/>
      <c r="H986" s="420"/>
      <c r="I986" s="89"/>
      <c r="J986" s="89"/>
      <c r="K986" s="89"/>
      <c r="L986" s="89"/>
      <c r="M986" s="89"/>
      <c r="N986" s="89"/>
      <c r="O986" s="89"/>
      <c r="P986" s="89"/>
      <c r="Q986" s="89"/>
      <c r="R986" s="89"/>
      <c r="S986" s="89"/>
      <c r="T986" s="89"/>
      <c r="U986" s="89"/>
      <c r="V986" s="89"/>
      <c r="W986" s="89"/>
      <c r="X986" s="89"/>
      <c r="Y986" s="89"/>
      <c r="Z986" s="89"/>
      <c r="AA986" s="89"/>
      <c r="AB986" s="89"/>
      <c r="AC986" s="89"/>
      <c r="AD986" s="89"/>
      <c r="AE986" s="89"/>
    </row>
    <row r="987">
      <c r="A987" s="445"/>
      <c r="B987" s="420"/>
      <c r="C987" s="420"/>
      <c r="D987" s="420"/>
      <c r="E987" s="420"/>
      <c r="F987" s="420"/>
      <c r="G987" s="420"/>
      <c r="H987" s="420"/>
      <c r="I987" s="89"/>
      <c r="J987" s="89"/>
      <c r="K987" s="89"/>
      <c r="L987" s="89"/>
      <c r="M987" s="89"/>
      <c r="N987" s="89"/>
      <c r="O987" s="89"/>
      <c r="P987" s="89"/>
      <c r="Q987" s="89"/>
      <c r="R987" s="89"/>
      <c r="S987" s="89"/>
      <c r="T987" s="89"/>
      <c r="U987" s="89"/>
      <c r="V987" s="89"/>
      <c r="W987" s="89"/>
      <c r="X987" s="89"/>
      <c r="Y987" s="89"/>
      <c r="Z987" s="89"/>
      <c r="AA987" s="89"/>
      <c r="AB987" s="89"/>
      <c r="AC987" s="89"/>
      <c r="AD987" s="89"/>
      <c r="AE987" s="89"/>
    </row>
    <row r="988">
      <c r="A988" s="445"/>
      <c r="B988" s="420"/>
      <c r="C988" s="420"/>
      <c r="D988" s="420"/>
      <c r="E988" s="420"/>
      <c r="F988" s="420"/>
      <c r="G988" s="420"/>
      <c r="H988" s="420"/>
      <c r="I988" s="89"/>
      <c r="J988" s="89"/>
      <c r="K988" s="89"/>
      <c r="L988" s="89"/>
      <c r="M988" s="89"/>
      <c r="N988" s="89"/>
      <c r="O988" s="89"/>
      <c r="P988" s="89"/>
      <c r="Q988" s="89"/>
      <c r="R988" s="89"/>
      <c r="S988" s="89"/>
      <c r="T988" s="89"/>
      <c r="U988" s="89"/>
      <c r="V988" s="89"/>
      <c r="W988" s="89"/>
      <c r="X988" s="89"/>
      <c r="Y988" s="89"/>
      <c r="Z988" s="89"/>
      <c r="AA988" s="89"/>
      <c r="AB988" s="89"/>
      <c r="AC988" s="89"/>
      <c r="AD988" s="89"/>
      <c r="AE988" s="89"/>
    </row>
    <row r="989">
      <c r="A989" s="445"/>
      <c r="B989" s="420"/>
      <c r="C989" s="420"/>
      <c r="D989" s="420"/>
      <c r="E989" s="420"/>
      <c r="F989" s="420"/>
      <c r="G989" s="420"/>
      <c r="H989" s="420"/>
      <c r="I989" s="89"/>
      <c r="J989" s="89"/>
      <c r="K989" s="89"/>
      <c r="L989" s="89"/>
      <c r="M989" s="89"/>
      <c r="N989" s="89"/>
      <c r="O989" s="89"/>
      <c r="P989" s="89"/>
      <c r="Q989" s="89"/>
      <c r="R989" s="89"/>
      <c r="S989" s="89"/>
      <c r="T989" s="89"/>
      <c r="U989" s="89"/>
      <c r="V989" s="89"/>
      <c r="W989" s="89"/>
      <c r="X989" s="89"/>
      <c r="Y989" s="89"/>
      <c r="Z989" s="89"/>
      <c r="AA989" s="89"/>
      <c r="AB989" s="89"/>
      <c r="AC989" s="89"/>
      <c r="AD989" s="89"/>
      <c r="AE989" s="89"/>
    </row>
    <row r="990">
      <c r="A990" s="445"/>
      <c r="B990" s="420"/>
      <c r="C990" s="420"/>
      <c r="D990" s="420"/>
      <c r="E990" s="420"/>
      <c r="F990" s="420"/>
      <c r="G990" s="420"/>
      <c r="H990" s="420"/>
      <c r="I990" s="89"/>
      <c r="J990" s="89"/>
      <c r="K990" s="89"/>
      <c r="L990" s="89"/>
      <c r="M990" s="89"/>
      <c r="N990" s="89"/>
      <c r="O990" s="89"/>
      <c r="P990" s="89"/>
      <c r="Q990" s="89"/>
      <c r="R990" s="89"/>
      <c r="S990" s="89"/>
      <c r="T990" s="89"/>
      <c r="U990" s="89"/>
      <c r="V990" s="89"/>
      <c r="W990" s="89"/>
      <c r="X990" s="89"/>
      <c r="Y990" s="89"/>
      <c r="Z990" s="89"/>
      <c r="AA990" s="89"/>
      <c r="AB990" s="89"/>
      <c r="AC990" s="89"/>
      <c r="AD990" s="89"/>
      <c r="AE990" s="89"/>
    </row>
    <row r="991">
      <c r="A991" s="445"/>
      <c r="B991" s="420"/>
      <c r="C991" s="420"/>
      <c r="D991" s="420"/>
      <c r="E991" s="420"/>
      <c r="F991" s="420"/>
      <c r="G991" s="420"/>
      <c r="H991" s="420"/>
      <c r="I991" s="89"/>
      <c r="J991" s="89"/>
      <c r="K991" s="89"/>
      <c r="L991" s="89"/>
      <c r="M991" s="89"/>
      <c r="N991" s="89"/>
      <c r="O991" s="89"/>
      <c r="P991" s="89"/>
      <c r="Q991" s="89"/>
      <c r="R991" s="89"/>
      <c r="S991" s="89"/>
      <c r="T991" s="89"/>
      <c r="U991" s="89"/>
      <c r="V991" s="89"/>
      <c r="W991" s="89"/>
      <c r="X991" s="89"/>
      <c r="Y991" s="89"/>
      <c r="Z991" s="89"/>
      <c r="AA991" s="89"/>
      <c r="AB991" s="89"/>
      <c r="AC991" s="89"/>
      <c r="AD991" s="89"/>
      <c r="AE991" s="89"/>
    </row>
    <row r="992">
      <c r="A992" s="445"/>
      <c r="B992" s="420"/>
      <c r="C992" s="420"/>
      <c r="D992" s="420"/>
      <c r="E992" s="420"/>
      <c r="F992" s="420"/>
      <c r="G992" s="420"/>
      <c r="H992" s="420"/>
      <c r="I992" s="89"/>
      <c r="J992" s="89"/>
      <c r="K992" s="89"/>
      <c r="L992" s="89"/>
      <c r="M992" s="89"/>
      <c r="N992" s="89"/>
      <c r="O992" s="89"/>
      <c r="P992" s="89"/>
      <c r="Q992" s="89"/>
      <c r="R992" s="89"/>
      <c r="S992" s="89"/>
      <c r="T992" s="89"/>
      <c r="U992" s="89"/>
      <c r="V992" s="89"/>
      <c r="W992" s="89"/>
      <c r="X992" s="89"/>
      <c r="Y992" s="89"/>
      <c r="Z992" s="89"/>
      <c r="AA992" s="89"/>
      <c r="AB992" s="89"/>
      <c r="AC992" s="89"/>
      <c r="AD992" s="89"/>
      <c r="AE992" s="89"/>
    </row>
    <row r="993">
      <c r="A993" s="445"/>
      <c r="B993" s="420"/>
      <c r="C993" s="420"/>
      <c r="D993" s="420"/>
      <c r="E993" s="420"/>
      <c r="F993" s="420"/>
      <c r="G993" s="420"/>
      <c r="H993" s="420"/>
      <c r="I993" s="89"/>
      <c r="J993" s="89"/>
      <c r="K993" s="89"/>
      <c r="L993" s="89"/>
      <c r="M993" s="89"/>
      <c r="N993" s="89"/>
      <c r="O993" s="89"/>
      <c r="P993" s="89"/>
      <c r="Q993" s="89"/>
      <c r="R993" s="89"/>
      <c r="S993" s="89"/>
      <c r="T993" s="89"/>
      <c r="U993" s="89"/>
      <c r="V993" s="89"/>
      <c r="W993" s="89"/>
      <c r="X993" s="89"/>
      <c r="Y993" s="89"/>
      <c r="Z993" s="89"/>
      <c r="AA993" s="89"/>
      <c r="AB993" s="89"/>
      <c r="AC993" s="89"/>
      <c r="AD993" s="89"/>
      <c r="AE993" s="89"/>
    </row>
    <row r="994">
      <c r="A994" s="445"/>
      <c r="B994" s="420"/>
      <c r="C994" s="420"/>
      <c r="D994" s="420"/>
      <c r="E994" s="420"/>
      <c r="F994" s="420"/>
      <c r="G994" s="420"/>
      <c r="H994" s="420"/>
      <c r="I994" s="89"/>
      <c r="J994" s="89"/>
      <c r="K994" s="89"/>
      <c r="L994" s="89"/>
      <c r="M994" s="89"/>
      <c r="N994" s="89"/>
      <c r="O994" s="89"/>
      <c r="P994" s="89"/>
      <c r="Q994" s="89"/>
      <c r="R994" s="89"/>
      <c r="S994" s="89"/>
      <c r="T994" s="89"/>
      <c r="U994" s="89"/>
      <c r="V994" s="89"/>
      <c r="W994" s="89"/>
      <c r="X994" s="89"/>
      <c r="Y994" s="89"/>
      <c r="Z994" s="89"/>
      <c r="AA994" s="89"/>
      <c r="AB994" s="89"/>
      <c r="AC994" s="89"/>
      <c r="AD994" s="89"/>
      <c r="AE994" s="89"/>
    </row>
    <row r="995">
      <c r="A995" s="445"/>
      <c r="B995" s="420"/>
      <c r="C995" s="420"/>
      <c r="D995" s="420"/>
      <c r="E995" s="420"/>
      <c r="F995" s="420"/>
      <c r="G995" s="420"/>
      <c r="H995" s="420"/>
      <c r="I995" s="89"/>
      <c r="J995" s="89"/>
      <c r="K995" s="89"/>
      <c r="L995" s="89"/>
      <c r="M995" s="89"/>
      <c r="N995" s="89"/>
      <c r="O995" s="89"/>
      <c r="P995" s="89"/>
      <c r="Q995" s="89"/>
      <c r="R995" s="89"/>
      <c r="S995" s="89"/>
      <c r="T995" s="89"/>
      <c r="U995" s="89"/>
      <c r="V995" s="89"/>
      <c r="W995" s="89"/>
      <c r="X995" s="89"/>
      <c r="Y995" s="89"/>
      <c r="Z995" s="89"/>
      <c r="AA995" s="89"/>
      <c r="AB995" s="89"/>
      <c r="AC995" s="89"/>
      <c r="AD995" s="89"/>
      <c r="AE995" s="89"/>
    </row>
    <row r="996">
      <c r="A996" s="445"/>
      <c r="B996" s="420"/>
      <c r="C996" s="420"/>
      <c r="D996" s="420"/>
      <c r="E996" s="420"/>
      <c r="F996" s="420"/>
      <c r="G996" s="420"/>
      <c r="H996" s="420"/>
      <c r="I996" s="89"/>
      <c r="J996" s="89"/>
      <c r="K996" s="89"/>
      <c r="L996" s="89"/>
      <c r="M996" s="89"/>
      <c r="N996" s="89"/>
      <c r="O996" s="89"/>
      <c r="P996" s="89"/>
      <c r="Q996" s="89"/>
      <c r="R996" s="89"/>
      <c r="S996" s="89"/>
      <c r="T996" s="89"/>
      <c r="U996" s="89"/>
      <c r="V996" s="89"/>
      <c r="W996" s="89"/>
      <c r="X996" s="89"/>
      <c r="Y996" s="89"/>
      <c r="Z996" s="89"/>
      <c r="AA996" s="89"/>
      <c r="AB996" s="89"/>
      <c r="AC996" s="89"/>
      <c r="AD996" s="89"/>
      <c r="AE996" s="89"/>
    </row>
    <row r="997">
      <c r="A997" s="445"/>
      <c r="B997" s="420"/>
      <c r="C997" s="420"/>
      <c r="D997" s="420"/>
      <c r="E997" s="420"/>
      <c r="F997" s="420"/>
      <c r="G997" s="420"/>
      <c r="H997" s="420"/>
      <c r="I997" s="89"/>
      <c r="J997" s="89"/>
      <c r="K997" s="89"/>
      <c r="L997" s="89"/>
      <c r="M997" s="89"/>
      <c r="N997" s="89"/>
      <c r="O997" s="89"/>
      <c r="P997" s="89"/>
      <c r="Q997" s="89"/>
      <c r="R997" s="89"/>
      <c r="S997" s="89"/>
      <c r="T997" s="89"/>
      <c r="U997" s="89"/>
      <c r="V997" s="89"/>
      <c r="W997" s="89"/>
      <c r="X997" s="89"/>
      <c r="Y997" s="89"/>
      <c r="Z997" s="89"/>
      <c r="AA997" s="89"/>
      <c r="AB997" s="89"/>
      <c r="AC997" s="89"/>
      <c r="AD997" s="89"/>
      <c r="AE997" s="89"/>
    </row>
    <row r="998">
      <c r="A998" s="445"/>
      <c r="B998" s="420"/>
      <c r="C998" s="420"/>
      <c r="D998" s="420"/>
      <c r="E998" s="420"/>
      <c r="F998" s="420"/>
      <c r="G998" s="420"/>
      <c r="H998" s="420"/>
      <c r="I998" s="89"/>
      <c r="J998" s="89"/>
      <c r="K998" s="89"/>
      <c r="L998" s="89"/>
      <c r="M998" s="89"/>
      <c r="N998" s="89"/>
      <c r="O998" s="89"/>
      <c r="P998" s="89"/>
      <c r="Q998" s="89"/>
      <c r="R998" s="89"/>
      <c r="S998" s="89"/>
      <c r="T998" s="89"/>
      <c r="U998" s="89"/>
      <c r="V998" s="89"/>
      <c r="W998" s="89"/>
      <c r="X998" s="89"/>
      <c r="Y998" s="89"/>
      <c r="Z998" s="89"/>
      <c r="AA998" s="89"/>
      <c r="AB998" s="89"/>
      <c r="AC998" s="89"/>
      <c r="AD998" s="89"/>
      <c r="AE998" s="89"/>
    </row>
    <row r="999">
      <c r="A999" s="445"/>
      <c r="B999" s="420"/>
      <c r="C999" s="420"/>
      <c r="D999" s="420"/>
      <c r="E999" s="420"/>
      <c r="F999" s="420"/>
      <c r="G999" s="420"/>
      <c r="H999" s="420"/>
      <c r="I999" s="89"/>
      <c r="J999" s="89"/>
      <c r="K999" s="89"/>
      <c r="L999" s="89"/>
      <c r="M999" s="89"/>
      <c r="N999" s="89"/>
      <c r="O999" s="89"/>
      <c r="P999" s="89"/>
      <c r="Q999" s="89"/>
      <c r="R999" s="89"/>
      <c r="S999" s="89"/>
      <c r="T999" s="89"/>
      <c r="U999" s="89"/>
      <c r="V999" s="89"/>
      <c r="W999" s="89"/>
      <c r="X999" s="89"/>
      <c r="Y999" s="89"/>
      <c r="Z999" s="89"/>
      <c r="AA999" s="89"/>
      <c r="AB999" s="89"/>
      <c r="AC999" s="89"/>
      <c r="AD999" s="89"/>
      <c r="AE999" s="89"/>
    </row>
  </sheetData>
  <autoFilter ref="$A$1:$AE$999"/>
  <dataValidations>
    <dataValidation type="list" allowBlank="1" sqref="H142:H999">
      <formula1>'Våra Verkstäder'!$B:$B</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3" max="3" width="39.88"/>
  </cols>
  <sheetData>
    <row r="1">
      <c r="A1" s="439" t="s">
        <v>6146</v>
      </c>
    </row>
    <row r="2">
      <c r="A2" s="446" t="s">
        <v>6273</v>
      </c>
    </row>
    <row r="3">
      <c r="A3" s="446" t="s">
        <v>6276</v>
      </c>
    </row>
    <row r="4">
      <c r="A4" s="446" t="s">
        <v>6278</v>
      </c>
    </row>
    <row r="5">
      <c r="A5" s="446" t="s">
        <v>6279</v>
      </c>
    </row>
    <row r="6">
      <c r="A6" s="446" t="s">
        <v>5771</v>
      </c>
    </row>
    <row r="7">
      <c r="A7" s="446" t="s">
        <v>4937</v>
      </c>
    </row>
    <row r="8">
      <c r="A8" s="446" t="s">
        <v>4925</v>
      </c>
    </row>
    <row r="9">
      <c r="A9" s="446" t="s">
        <v>6285</v>
      </c>
    </row>
    <row r="10">
      <c r="A10" s="446" t="s">
        <v>6287</v>
      </c>
    </row>
    <row r="11">
      <c r="A11" s="446" t="s">
        <v>6289</v>
      </c>
    </row>
    <row r="12">
      <c r="A12" s="446" t="s">
        <v>6291</v>
      </c>
    </row>
    <row r="13">
      <c r="A13" s="446" t="s">
        <v>6293</v>
      </c>
    </row>
    <row r="14">
      <c r="A14" s="446" t="s">
        <v>6294</v>
      </c>
    </row>
    <row r="15">
      <c r="A15" s="446" t="s">
        <v>6296</v>
      </c>
    </row>
    <row r="16">
      <c r="A16" s="446" t="s">
        <v>6298</v>
      </c>
    </row>
    <row r="17">
      <c r="A17" s="446" t="s">
        <v>6301</v>
      </c>
    </row>
    <row r="18">
      <c r="A18" s="446" t="s">
        <v>6303</v>
      </c>
    </row>
    <row r="19">
      <c r="A19" s="446" t="s">
        <v>6305</v>
      </c>
    </row>
    <row r="20">
      <c r="A20" s="446" t="s">
        <v>4851</v>
      </c>
    </row>
    <row r="21">
      <c r="A21" s="446" t="s">
        <v>6308</v>
      </c>
    </row>
    <row r="22">
      <c r="A22" s="446" t="s">
        <v>6310</v>
      </c>
    </row>
    <row r="23">
      <c r="A23" s="446" t="s">
        <v>6312</v>
      </c>
    </row>
    <row r="24">
      <c r="A24" s="446" t="s">
        <v>6315</v>
      </c>
    </row>
    <row r="25">
      <c r="A25" s="446" t="s">
        <v>6317</v>
      </c>
    </row>
    <row r="26">
      <c r="A26" s="446" t="s">
        <v>6319</v>
      </c>
    </row>
    <row r="27">
      <c r="A27" s="446" t="s">
        <v>6321</v>
      </c>
    </row>
    <row r="28">
      <c r="A28" s="446" t="s">
        <v>4843</v>
      </c>
    </row>
    <row r="29">
      <c r="A29" s="446" t="s">
        <v>6324</v>
      </c>
    </row>
    <row r="30">
      <c r="A30" s="446" t="s">
        <v>6326</v>
      </c>
    </row>
    <row r="31">
      <c r="A31" s="446" t="s">
        <v>6328</v>
      </c>
    </row>
    <row r="32">
      <c r="A32" s="446" t="s">
        <v>6331</v>
      </c>
    </row>
    <row r="33">
      <c r="A33" s="446" t="s">
        <v>6333</v>
      </c>
    </row>
    <row r="34">
      <c r="A34" s="446" t="s">
        <v>6335</v>
      </c>
    </row>
    <row r="35">
      <c r="A35" s="446" t="s">
        <v>6337</v>
      </c>
    </row>
    <row r="36">
      <c r="A36" s="446" t="s">
        <v>6339</v>
      </c>
    </row>
    <row r="37">
      <c r="A37" s="446" t="s">
        <v>6341</v>
      </c>
    </row>
    <row r="38">
      <c r="A38" s="446" t="s">
        <v>6343</v>
      </c>
    </row>
    <row r="39">
      <c r="A39" s="446" t="s">
        <v>6345</v>
      </c>
    </row>
    <row r="40">
      <c r="A40" s="446" t="s">
        <v>6347</v>
      </c>
    </row>
    <row r="41">
      <c r="A41" s="446" t="s">
        <v>6349</v>
      </c>
    </row>
    <row r="42">
      <c r="A42" s="446" t="s">
        <v>6351</v>
      </c>
    </row>
    <row r="43">
      <c r="A43" s="446" t="s">
        <v>6352</v>
      </c>
    </row>
    <row r="44">
      <c r="A44" s="446" t="s">
        <v>6354</v>
      </c>
    </row>
    <row r="45">
      <c r="A45" s="446" t="s">
        <v>6357</v>
      </c>
    </row>
    <row r="46">
      <c r="A46" s="446" t="s">
        <v>6359</v>
      </c>
    </row>
    <row r="47">
      <c r="A47" s="446" t="s">
        <v>6361</v>
      </c>
    </row>
    <row r="48">
      <c r="A48" s="446" t="s">
        <v>6363</v>
      </c>
    </row>
    <row r="49">
      <c r="A49" s="446" t="s">
        <v>6365</v>
      </c>
    </row>
    <row r="50">
      <c r="A50" s="446" t="s">
        <v>6367</v>
      </c>
    </row>
    <row r="51">
      <c r="A51" s="446" t="s">
        <v>6369</v>
      </c>
    </row>
    <row r="52">
      <c r="A52" s="446" t="s">
        <v>6371</v>
      </c>
    </row>
    <row r="53">
      <c r="A53" s="446" t="s">
        <v>6374</v>
      </c>
    </row>
    <row r="54">
      <c r="A54" s="446" t="s">
        <v>6376</v>
      </c>
    </row>
    <row r="55">
      <c r="A55" s="446" t="s">
        <v>6378</v>
      </c>
    </row>
    <row r="56">
      <c r="A56" s="446" t="s">
        <v>6380</v>
      </c>
    </row>
    <row r="57">
      <c r="A57" s="446" t="s">
        <v>6382</v>
      </c>
    </row>
    <row r="58">
      <c r="A58" s="446" t="s">
        <v>6383</v>
      </c>
    </row>
    <row r="59">
      <c r="A59" s="446" t="s">
        <v>6385</v>
      </c>
    </row>
    <row r="60">
      <c r="A60" s="446" t="s">
        <v>6387</v>
      </c>
    </row>
    <row r="61">
      <c r="A61" s="446" t="s">
        <v>6389</v>
      </c>
    </row>
    <row r="62">
      <c r="A62" s="446" t="s">
        <v>6392</v>
      </c>
    </row>
    <row r="63">
      <c r="A63" s="446" t="s">
        <v>6394</v>
      </c>
    </row>
    <row r="64">
      <c r="A64" s="446" t="s">
        <v>6396</v>
      </c>
    </row>
    <row r="65">
      <c r="A65" s="446" t="s">
        <v>6398</v>
      </c>
    </row>
    <row r="66">
      <c r="A66" s="446" t="s">
        <v>6400</v>
      </c>
    </row>
    <row r="67">
      <c r="A67" s="446" t="s">
        <v>6402</v>
      </c>
    </row>
    <row r="68">
      <c r="A68" s="446" t="s">
        <v>6404</v>
      </c>
    </row>
    <row r="69">
      <c r="A69" s="446" t="s">
        <v>6405</v>
      </c>
    </row>
    <row r="70">
      <c r="A70" s="446" t="s">
        <v>6408</v>
      </c>
    </row>
    <row r="71">
      <c r="A71" s="446" t="s">
        <v>6410</v>
      </c>
    </row>
    <row r="72">
      <c r="A72" s="446" t="s">
        <v>6412</v>
      </c>
    </row>
    <row r="73">
      <c r="A73" s="446" t="s">
        <v>6414</v>
      </c>
    </row>
    <row r="74">
      <c r="A74" s="446" t="s">
        <v>6416</v>
      </c>
    </row>
    <row r="75">
      <c r="A75" s="446" t="s">
        <v>6417</v>
      </c>
    </row>
    <row r="76">
      <c r="A76" s="446" t="s">
        <v>6418</v>
      </c>
    </row>
    <row r="77">
      <c r="A77" s="446" t="s">
        <v>6420</v>
      </c>
    </row>
    <row r="78">
      <c r="A78" s="446" t="s">
        <v>6423</v>
      </c>
    </row>
    <row r="79">
      <c r="A79" s="446" t="s">
        <v>6425</v>
      </c>
    </row>
    <row r="80">
      <c r="A80" s="446" t="s">
        <v>6427</v>
      </c>
    </row>
    <row r="81">
      <c r="A81" s="446" t="s">
        <v>6429</v>
      </c>
    </row>
    <row r="82">
      <c r="A82" s="446" t="s">
        <v>6431</v>
      </c>
    </row>
    <row r="83">
      <c r="A83" s="446" t="s">
        <v>6433</v>
      </c>
    </row>
    <row r="84">
      <c r="A84" s="446" t="s">
        <v>6434</v>
      </c>
    </row>
    <row r="85">
      <c r="A85" s="446" t="s">
        <v>6436</v>
      </c>
    </row>
    <row r="86">
      <c r="A86" s="446" t="s">
        <v>6438</v>
      </c>
    </row>
    <row r="87">
      <c r="A87" s="446" t="s">
        <v>6440</v>
      </c>
    </row>
    <row r="88">
      <c r="A88" s="446" t="s">
        <v>6442</v>
      </c>
    </row>
    <row r="89">
      <c r="A89" s="446" t="s">
        <v>6444</v>
      </c>
    </row>
    <row r="90">
      <c r="A90" s="446" t="s">
        <v>6446</v>
      </c>
    </row>
    <row r="91">
      <c r="A91" s="446" t="s">
        <v>6448</v>
      </c>
    </row>
    <row r="92">
      <c r="A92" s="446" t="s">
        <v>6450</v>
      </c>
    </row>
    <row r="93">
      <c r="A93" s="446" t="s">
        <v>6452</v>
      </c>
    </row>
    <row r="94">
      <c r="A94" s="446" t="s">
        <v>6454</v>
      </c>
    </row>
    <row r="95">
      <c r="A95" s="446" t="s">
        <v>6456</v>
      </c>
    </row>
    <row r="96">
      <c r="A96" s="446" t="s">
        <v>6458</v>
      </c>
    </row>
    <row r="97">
      <c r="A97" s="446" t="s">
        <v>6460</v>
      </c>
    </row>
    <row r="98">
      <c r="A98" s="446" t="s">
        <v>6462</v>
      </c>
    </row>
    <row r="99">
      <c r="A99" s="446" t="s">
        <v>6464</v>
      </c>
    </row>
    <row r="100">
      <c r="A100" s="446" t="s">
        <v>6467</v>
      </c>
    </row>
    <row r="101">
      <c r="A101" s="446" t="s">
        <v>6469</v>
      </c>
    </row>
    <row r="102">
      <c r="A102" s="446" t="s">
        <v>6471</v>
      </c>
    </row>
    <row r="103">
      <c r="A103" s="446" t="s">
        <v>6473</v>
      </c>
    </row>
    <row r="104">
      <c r="A104" s="446" t="s">
        <v>6475</v>
      </c>
    </row>
    <row r="105">
      <c r="A105" s="446" t="s">
        <v>6477</v>
      </c>
    </row>
    <row r="106">
      <c r="A106" s="446" t="s">
        <v>6479</v>
      </c>
    </row>
    <row r="107">
      <c r="A107" s="446" t="s">
        <v>4644</v>
      </c>
    </row>
    <row r="108">
      <c r="A108" s="446" t="s">
        <v>6481</v>
      </c>
    </row>
    <row r="109">
      <c r="A109" s="446" t="s">
        <v>6483</v>
      </c>
    </row>
    <row r="110">
      <c r="A110" s="446" t="s">
        <v>6485</v>
      </c>
    </row>
    <row r="111">
      <c r="A111" s="446" t="s">
        <v>6487</v>
      </c>
    </row>
    <row r="112">
      <c r="A112" s="446" t="s">
        <v>6489</v>
      </c>
    </row>
    <row r="113">
      <c r="A113" s="446" t="s">
        <v>6491</v>
      </c>
    </row>
    <row r="114">
      <c r="A114" s="446" t="s">
        <v>6493</v>
      </c>
    </row>
    <row r="115">
      <c r="A115" s="446" t="s">
        <v>6495</v>
      </c>
    </row>
    <row r="116">
      <c r="A116" s="446" t="s">
        <v>6497</v>
      </c>
    </row>
    <row r="117">
      <c r="A117" s="446" t="s">
        <v>6499</v>
      </c>
    </row>
    <row r="118">
      <c r="A118" s="446" t="s">
        <v>6501</v>
      </c>
    </row>
    <row r="119">
      <c r="A119" s="446" t="s">
        <v>6503</v>
      </c>
    </row>
    <row r="120">
      <c r="A120" s="446" t="s">
        <v>6504</v>
      </c>
    </row>
    <row r="121">
      <c r="A121" s="446" t="s">
        <v>6506</v>
      </c>
    </row>
    <row r="122">
      <c r="A122" s="446" t="s">
        <v>6508</v>
      </c>
    </row>
    <row r="123">
      <c r="A123" s="446" t="s">
        <v>6509</v>
      </c>
    </row>
    <row r="124">
      <c r="A124" s="446" t="s">
        <v>6511</v>
      </c>
    </row>
    <row r="125">
      <c r="A125" s="446" t="s">
        <v>6513</v>
      </c>
    </row>
    <row r="126">
      <c r="A126" s="446" t="s">
        <v>6515</v>
      </c>
    </row>
    <row r="127">
      <c r="A127" s="446" t="s">
        <v>6517</v>
      </c>
    </row>
    <row r="128">
      <c r="A128" s="446" t="s">
        <v>6519</v>
      </c>
    </row>
    <row r="129">
      <c r="A129" s="446" t="s">
        <v>4458</v>
      </c>
    </row>
    <row r="130">
      <c r="A130" s="446" t="s">
        <v>6522</v>
      </c>
    </row>
    <row r="131">
      <c r="A131" s="446" t="s">
        <v>6525</v>
      </c>
    </row>
    <row r="132">
      <c r="A132" s="446" t="s">
        <v>6527</v>
      </c>
    </row>
    <row r="133">
      <c r="A133" s="446" t="s">
        <v>6529</v>
      </c>
    </row>
    <row r="134">
      <c r="A134" s="446" t="s">
        <v>4419</v>
      </c>
    </row>
    <row r="135">
      <c r="A135" s="446" t="s">
        <v>6532</v>
      </c>
    </row>
    <row r="136">
      <c r="A136" s="446" t="s">
        <v>6534</v>
      </c>
    </row>
    <row r="137">
      <c r="A137" s="446" t="s">
        <v>6536</v>
      </c>
    </row>
    <row r="138">
      <c r="A138" s="446" t="s">
        <v>4647</v>
      </c>
    </row>
    <row r="139">
      <c r="A139" s="446" t="s">
        <v>6539</v>
      </c>
    </row>
    <row r="140">
      <c r="A140" s="446" t="s">
        <v>6541</v>
      </c>
    </row>
    <row r="141">
      <c r="A141" s="446" t="s">
        <v>6542</v>
      </c>
    </row>
    <row r="142">
      <c r="A142" s="446" t="s">
        <v>6544</v>
      </c>
    </row>
    <row r="143">
      <c r="A143" s="446" t="s">
        <v>4667</v>
      </c>
    </row>
    <row r="144">
      <c r="A144" s="446" t="s">
        <v>4638</v>
      </c>
    </row>
    <row r="145">
      <c r="A145" s="446" t="s">
        <v>6549</v>
      </c>
    </row>
    <row r="146">
      <c r="A146" s="446" t="s">
        <v>6552</v>
      </c>
    </row>
    <row r="147">
      <c r="A147" s="446" t="s">
        <v>6554</v>
      </c>
    </row>
    <row r="148">
      <c r="A148" s="446" t="s">
        <v>6556</v>
      </c>
    </row>
    <row r="149">
      <c r="A149" s="446" t="s">
        <v>6558</v>
      </c>
    </row>
    <row r="150">
      <c r="A150" s="446" t="s">
        <v>6560</v>
      </c>
    </row>
    <row r="151">
      <c r="A151" s="446" t="s">
        <v>6563</v>
      </c>
    </row>
    <row r="152">
      <c r="A152" s="446" t="s">
        <v>6565</v>
      </c>
    </row>
    <row r="153">
      <c r="A153" s="446" t="s">
        <v>6567</v>
      </c>
    </row>
    <row r="154">
      <c r="A154" s="446" t="s">
        <v>6569</v>
      </c>
    </row>
    <row r="155">
      <c r="A155" s="446" t="s">
        <v>6571</v>
      </c>
    </row>
    <row r="156">
      <c r="A156" s="446" t="s">
        <v>6573</v>
      </c>
    </row>
    <row r="157">
      <c r="A157" s="446" t="s">
        <v>6575</v>
      </c>
    </row>
    <row r="158">
      <c r="A158" s="446" t="s">
        <v>6577</v>
      </c>
    </row>
    <row r="159">
      <c r="A159" s="446" t="s">
        <v>6580</v>
      </c>
    </row>
    <row r="160">
      <c r="A160" s="446" t="s">
        <v>6582</v>
      </c>
    </row>
    <row r="161">
      <c r="A161" s="446" t="s">
        <v>6584</v>
      </c>
    </row>
    <row r="162">
      <c r="A162" s="446" t="s">
        <v>6586</v>
      </c>
    </row>
    <row r="163">
      <c r="A163" s="446" t="s">
        <v>4327</v>
      </c>
    </row>
    <row r="164">
      <c r="A164" s="446" t="s">
        <v>6589</v>
      </c>
    </row>
    <row r="165">
      <c r="A165" s="446" t="s">
        <v>6591</v>
      </c>
    </row>
    <row r="166">
      <c r="A166" s="446" t="s">
        <v>6593</v>
      </c>
    </row>
    <row r="167">
      <c r="A167" s="446" t="s">
        <v>6595</v>
      </c>
    </row>
    <row r="168">
      <c r="A168" s="446" t="s">
        <v>6597</v>
      </c>
    </row>
    <row r="169">
      <c r="A169" s="446" t="s">
        <v>6599</v>
      </c>
    </row>
    <row r="170">
      <c r="A170" s="446" t="s">
        <v>6602</v>
      </c>
    </row>
    <row r="171">
      <c r="A171" s="446" t="s">
        <v>6604</v>
      </c>
    </row>
    <row r="172">
      <c r="A172" s="446" t="s">
        <v>6606</v>
      </c>
    </row>
    <row r="173">
      <c r="A173" s="446" t="s">
        <v>6608</v>
      </c>
    </row>
    <row r="174">
      <c r="A174" s="446" t="s">
        <v>4284</v>
      </c>
    </row>
    <row r="175">
      <c r="A175" s="446" t="s">
        <v>6611</v>
      </c>
    </row>
    <row r="176">
      <c r="A176" s="446" t="s">
        <v>6613</v>
      </c>
    </row>
    <row r="177">
      <c r="A177" s="446" t="s">
        <v>6615</v>
      </c>
    </row>
    <row r="178">
      <c r="A178" s="446" t="s">
        <v>4374</v>
      </c>
    </row>
    <row r="179">
      <c r="A179" s="446" t="s">
        <v>6618</v>
      </c>
    </row>
    <row r="180">
      <c r="A180" s="446" t="s">
        <v>6620</v>
      </c>
    </row>
    <row r="181">
      <c r="A181" s="446" t="s">
        <v>6623</v>
      </c>
    </row>
    <row r="182">
      <c r="A182" s="446" t="s">
        <v>6625</v>
      </c>
    </row>
    <row r="183">
      <c r="A183" s="446" t="s">
        <v>4250</v>
      </c>
    </row>
    <row r="184">
      <c r="A184" s="446" t="s">
        <v>6630</v>
      </c>
    </row>
    <row r="185">
      <c r="A185" s="446" t="s">
        <v>6631</v>
      </c>
    </row>
    <row r="186">
      <c r="A186" s="446" t="s">
        <v>6633</v>
      </c>
    </row>
    <row r="187">
      <c r="A187" s="446" t="s">
        <v>6635</v>
      </c>
    </row>
    <row r="188">
      <c r="A188" s="446" t="s">
        <v>6638</v>
      </c>
    </row>
    <row r="189">
      <c r="A189" s="446" t="s">
        <v>6642</v>
      </c>
    </row>
    <row r="190">
      <c r="A190" s="446" t="s">
        <v>6644</v>
      </c>
    </row>
    <row r="191">
      <c r="A191" s="446" t="s">
        <v>4345</v>
      </c>
    </row>
    <row r="192">
      <c r="A192" s="446" t="s">
        <v>6647</v>
      </c>
    </row>
    <row r="193">
      <c r="A193" s="446" t="s">
        <v>6649</v>
      </c>
    </row>
    <row r="194">
      <c r="A194" s="446" t="s">
        <v>6651</v>
      </c>
    </row>
    <row r="195">
      <c r="A195" s="446" t="s">
        <v>6653</v>
      </c>
    </row>
    <row r="196">
      <c r="A196" s="446" t="s">
        <v>6656</v>
      </c>
    </row>
    <row r="197">
      <c r="A197" s="446" t="s">
        <v>6658</v>
      </c>
    </row>
    <row r="198">
      <c r="A198" s="446" t="s">
        <v>6660</v>
      </c>
    </row>
    <row r="199">
      <c r="A199" s="446" t="s">
        <v>6662</v>
      </c>
    </row>
    <row r="200">
      <c r="A200" s="446" t="s">
        <v>6663</v>
      </c>
    </row>
    <row r="201">
      <c r="A201" s="446" t="s">
        <v>4307</v>
      </c>
    </row>
    <row r="202">
      <c r="A202" s="446" t="s">
        <v>6665</v>
      </c>
    </row>
    <row r="203">
      <c r="A203" s="446" t="s">
        <v>6668</v>
      </c>
    </row>
    <row r="204">
      <c r="A204" s="446" t="s">
        <v>6670</v>
      </c>
    </row>
    <row r="205">
      <c r="A205" s="446" t="s">
        <v>6672</v>
      </c>
    </row>
    <row r="206">
      <c r="A206" s="446" t="s">
        <v>6674</v>
      </c>
    </row>
    <row r="207">
      <c r="A207" s="446" t="s">
        <v>6676</v>
      </c>
    </row>
    <row r="208">
      <c r="A208" s="446" t="s">
        <v>6677</v>
      </c>
    </row>
    <row r="209">
      <c r="A209" s="446" t="s">
        <v>4133</v>
      </c>
    </row>
    <row r="210">
      <c r="A210" s="446" t="s">
        <v>6681</v>
      </c>
    </row>
    <row r="211">
      <c r="A211" s="446" t="s">
        <v>6683</v>
      </c>
    </row>
    <row r="212">
      <c r="A212" s="446" t="s">
        <v>6684</v>
      </c>
    </row>
    <row r="213">
      <c r="A213" s="446" t="s">
        <v>4304</v>
      </c>
    </row>
    <row r="214">
      <c r="A214" s="446" t="s">
        <v>6687</v>
      </c>
    </row>
    <row r="215">
      <c r="A215" s="446" t="s">
        <v>6689</v>
      </c>
    </row>
    <row r="216">
      <c r="A216" s="446" t="s">
        <v>6691</v>
      </c>
    </row>
    <row r="217">
      <c r="A217" s="446" t="s">
        <v>6693</v>
      </c>
    </row>
    <row r="218">
      <c r="A218" s="446" t="s">
        <v>6696</v>
      </c>
    </row>
    <row r="219">
      <c r="A219" s="446" t="s">
        <v>4063</v>
      </c>
    </row>
    <row r="220">
      <c r="A220" s="446" t="s">
        <v>6699</v>
      </c>
    </row>
    <row r="221">
      <c r="A221" s="446" t="s">
        <v>6701</v>
      </c>
    </row>
    <row r="222">
      <c r="A222" s="446" t="s">
        <v>6703</v>
      </c>
    </row>
    <row r="223">
      <c r="A223" s="446" t="s">
        <v>6705</v>
      </c>
    </row>
    <row r="224">
      <c r="A224" s="446" t="s">
        <v>6707</v>
      </c>
    </row>
    <row r="225">
      <c r="A225" s="446" t="s">
        <v>6709</v>
      </c>
    </row>
    <row r="226">
      <c r="A226" s="446" t="s">
        <v>6712</v>
      </c>
    </row>
    <row r="227">
      <c r="A227" s="446" t="s">
        <v>6714</v>
      </c>
    </row>
    <row r="228">
      <c r="A228" s="446" t="s">
        <v>6716</v>
      </c>
    </row>
    <row r="229">
      <c r="A229" s="446" t="s">
        <v>6718</v>
      </c>
    </row>
    <row r="230">
      <c r="A230" s="446" t="s">
        <v>6720</v>
      </c>
    </row>
    <row r="231">
      <c r="A231" s="446" t="s">
        <v>6722</v>
      </c>
    </row>
    <row r="232">
      <c r="A232" s="446" t="s">
        <v>6724</v>
      </c>
    </row>
    <row r="233">
      <c r="A233" s="446" t="s">
        <v>6726</v>
      </c>
    </row>
    <row r="234">
      <c r="A234" s="446" t="s">
        <v>6729</v>
      </c>
    </row>
    <row r="235">
      <c r="A235" s="446" t="s">
        <v>6731</v>
      </c>
    </row>
    <row r="236">
      <c r="A236" s="446" t="s">
        <v>3992</v>
      </c>
    </row>
    <row r="237">
      <c r="A237" s="446" t="s">
        <v>6734</v>
      </c>
    </row>
    <row r="238">
      <c r="A238" s="446" t="s">
        <v>6736</v>
      </c>
    </row>
    <row r="239">
      <c r="A239" s="446" t="s">
        <v>6738</v>
      </c>
    </row>
    <row r="240">
      <c r="A240" s="446" t="s">
        <v>6740</v>
      </c>
    </row>
    <row r="241">
      <c r="A241" s="446" t="s">
        <v>6742</v>
      </c>
    </row>
    <row r="242">
      <c r="A242" s="446" t="s">
        <v>6744</v>
      </c>
    </row>
    <row r="243">
      <c r="A243" s="446" t="s">
        <v>3837</v>
      </c>
    </row>
    <row r="244">
      <c r="A244" s="446" t="s">
        <v>6749</v>
      </c>
    </row>
    <row r="245">
      <c r="A245" s="446" t="s">
        <v>6751</v>
      </c>
    </row>
    <row r="246">
      <c r="A246" s="446" t="s">
        <v>6753</v>
      </c>
    </row>
    <row r="247">
      <c r="A247" s="446" t="s">
        <v>6755</v>
      </c>
    </row>
    <row r="248">
      <c r="A248" s="446" t="s">
        <v>6757</v>
      </c>
    </row>
    <row r="249">
      <c r="A249" s="446" t="s">
        <v>6759</v>
      </c>
    </row>
    <row r="250">
      <c r="A250" s="446" t="s">
        <v>6761</v>
      </c>
    </row>
    <row r="251">
      <c r="A251" s="446" t="s">
        <v>6763</v>
      </c>
    </row>
    <row r="252">
      <c r="A252" s="446" t="s">
        <v>6766</v>
      </c>
    </row>
    <row r="253">
      <c r="A253" s="446" t="s">
        <v>6769</v>
      </c>
    </row>
    <row r="254">
      <c r="A254" s="446" t="s">
        <v>6772</v>
      </c>
    </row>
    <row r="255">
      <c r="A255" s="446" t="s">
        <v>6774</v>
      </c>
    </row>
    <row r="256">
      <c r="A256" s="446" t="s">
        <v>6776</v>
      </c>
    </row>
    <row r="257">
      <c r="A257" s="446" t="s">
        <v>6778</v>
      </c>
    </row>
    <row r="258">
      <c r="A258" s="446" t="s">
        <v>6780</v>
      </c>
    </row>
    <row r="259">
      <c r="A259" s="446" t="s">
        <v>6782</v>
      </c>
    </row>
    <row r="260">
      <c r="A260" s="446" t="s">
        <v>6785</v>
      </c>
    </row>
    <row r="261">
      <c r="A261" s="446" t="s">
        <v>6788</v>
      </c>
    </row>
    <row r="262">
      <c r="A262" s="446" t="s">
        <v>6790</v>
      </c>
    </row>
    <row r="263">
      <c r="A263" s="446" t="s">
        <v>6792</v>
      </c>
    </row>
    <row r="264">
      <c r="A264" s="446" t="s">
        <v>6794</v>
      </c>
    </row>
    <row r="265">
      <c r="A265" s="446" t="s">
        <v>6796</v>
      </c>
    </row>
    <row r="266">
      <c r="A266" s="446" t="s">
        <v>6798</v>
      </c>
    </row>
    <row r="267">
      <c r="A267" s="446" t="s">
        <v>6800</v>
      </c>
    </row>
    <row r="268">
      <c r="A268" s="446" t="s">
        <v>6802</v>
      </c>
    </row>
    <row r="269">
      <c r="A269" s="446" t="s">
        <v>6804</v>
      </c>
    </row>
    <row r="270">
      <c r="A270" s="446" t="s">
        <v>6026</v>
      </c>
    </row>
    <row r="271">
      <c r="A271" s="446" t="s">
        <v>6808</v>
      </c>
    </row>
    <row r="272">
      <c r="A272" s="446" t="s">
        <v>6811</v>
      </c>
    </row>
    <row r="273">
      <c r="A273" s="446" t="s">
        <v>6813</v>
      </c>
    </row>
    <row r="274">
      <c r="A274" s="446" t="s">
        <v>6815</v>
      </c>
    </row>
    <row r="275">
      <c r="A275" s="446" t="s">
        <v>6817</v>
      </c>
    </row>
    <row r="276">
      <c r="A276" s="446" t="s">
        <v>6819</v>
      </c>
    </row>
    <row r="277">
      <c r="A277" s="446" t="s">
        <v>6821</v>
      </c>
    </row>
    <row r="278">
      <c r="A278" s="446" t="s">
        <v>6823</v>
      </c>
    </row>
    <row r="279">
      <c r="A279" s="446" t="s">
        <v>6825</v>
      </c>
    </row>
    <row r="280">
      <c r="A280" s="446" t="s">
        <v>6828</v>
      </c>
    </row>
    <row r="281">
      <c r="A281" s="446" t="s">
        <v>6830</v>
      </c>
    </row>
    <row r="282">
      <c r="A282" s="446" t="s">
        <v>6832</v>
      </c>
    </row>
    <row r="283">
      <c r="A283" s="446" t="s">
        <v>3707</v>
      </c>
    </row>
    <row r="284">
      <c r="A284" s="446" t="s">
        <v>3514</v>
      </c>
    </row>
    <row r="285">
      <c r="A285" s="446" t="s">
        <v>6836</v>
      </c>
    </row>
    <row r="286">
      <c r="A286" s="446" t="s">
        <v>6838</v>
      </c>
    </row>
    <row r="287">
      <c r="A287" s="446" t="s">
        <v>6841</v>
      </c>
    </row>
    <row r="288">
      <c r="A288" s="446" t="s">
        <v>6844</v>
      </c>
    </row>
    <row r="289">
      <c r="A289" s="446" t="s">
        <v>6846</v>
      </c>
    </row>
    <row r="290">
      <c r="A290" s="446" t="s">
        <v>6848</v>
      </c>
    </row>
    <row r="291">
      <c r="A291" s="446" t="s">
        <v>6850</v>
      </c>
    </row>
    <row r="292">
      <c r="A292" s="446" t="s">
        <v>6851</v>
      </c>
    </row>
    <row r="293">
      <c r="A293" s="446" t="s">
        <v>6853</v>
      </c>
    </row>
    <row r="294">
      <c r="A294" s="446" t="s">
        <v>6855</v>
      </c>
    </row>
    <row r="295">
      <c r="A295" s="446" t="s">
        <v>6859</v>
      </c>
    </row>
    <row r="296">
      <c r="A296" s="446" t="s">
        <v>6861</v>
      </c>
    </row>
    <row r="297">
      <c r="A297" s="446" t="s">
        <v>6863</v>
      </c>
    </row>
    <row r="298">
      <c r="A298" s="446" t="s">
        <v>6866</v>
      </c>
    </row>
    <row r="299">
      <c r="A299" s="446" t="s">
        <v>6870</v>
      </c>
    </row>
    <row r="300">
      <c r="A300" s="446" t="s">
        <v>6872</v>
      </c>
    </row>
    <row r="301">
      <c r="A301" s="446" t="s">
        <v>6874</v>
      </c>
    </row>
    <row r="302">
      <c r="A302" s="446" t="s">
        <v>6876</v>
      </c>
    </row>
    <row r="303">
      <c r="A303" s="446" t="s">
        <v>6878</v>
      </c>
    </row>
    <row r="304">
      <c r="A304" s="446" t="s">
        <v>6880</v>
      </c>
    </row>
    <row r="305">
      <c r="A305" s="446" t="s">
        <v>6882</v>
      </c>
    </row>
    <row r="306">
      <c r="A306" s="446" t="s">
        <v>6885</v>
      </c>
    </row>
    <row r="307">
      <c r="A307" s="446" t="s">
        <v>6889</v>
      </c>
    </row>
    <row r="308">
      <c r="A308" s="446" t="s">
        <v>6189</v>
      </c>
    </row>
    <row r="309">
      <c r="A309" s="446" t="s">
        <v>3307</v>
      </c>
    </row>
    <row r="310">
      <c r="A310" s="446" t="s">
        <v>6893</v>
      </c>
    </row>
    <row r="311">
      <c r="A311" s="446" t="s">
        <v>6895</v>
      </c>
    </row>
    <row r="312">
      <c r="A312" s="446" t="s">
        <v>6897</v>
      </c>
    </row>
    <row r="313">
      <c r="A313" s="446" t="s">
        <v>6899</v>
      </c>
    </row>
    <row r="314">
      <c r="A314" s="446" t="s">
        <v>6903</v>
      </c>
    </row>
    <row r="315">
      <c r="A315" s="446" t="s">
        <v>6905</v>
      </c>
    </row>
    <row r="316">
      <c r="A316" s="446" t="s">
        <v>6907</v>
      </c>
    </row>
    <row r="317">
      <c r="A317" s="446" t="s">
        <v>6909</v>
      </c>
    </row>
    <row r="318">
      <c r="A318" s="446" t="s">
        <v>6911</v>
      </c>
    </row>
    <row r="319">
      <c r="A319" s="446" t="s">
        <v>6913</v>
      </c>
    </row>
    <row r="320">
      <c r="A320" s="446" t="s">
        <v>6915</v>
      </c>
    </row>
    <row r="321">
      <c r="A321" s="446" t="s">
        <v>6917</v>
      </c>
    </row>
    <row r="322">
      <c r="A322" s="446" t="s">
        <v>6908</v>
      </c>
    </row>
    <row r="323">
      <c r="A323" s="446" t="s">
        <v>6912</v>
      </c>
    </row>
    <row r="324">
      <c r="A324" s="446" t="s">
        <v>6904</v>
      </c>
    </row>
    <row r="325">
      <c r="A325" s="446" t="s">
        <v>6894</v>
      </c>
    </row>
    <row r="326">
      <c r="A326" s="446" t="s">
        <v>6896</v>
      </c>
    </row>
    <row r="327">
      <c r="A327" s="446" t="s">
        <v>6891</v>
      </c>
    </row>
    <row r="328">
      <c r="A328" s="446" t="s">
        <v>6890</v>
      </c>
    </row>
    <row r="329">
      <c r="A329" s="446" t="s">
        <v>6887</v>
      </c>
    </row>
    <row r="330">
      <c r="A330" s="446" t="s">
        <v>6877</v>
      </c>
    </row>
    <row r="331">
      <c r="A331" s="446" t="s">
        <v>6864</v>
      </c>
    </row>
    <row r="332">
      <c r="A332" s="446" t="s">
        <v>6847</v>
      </c>
    </row>
    <row r="333">
      <c r="A333" s="446" t="s">
        <v>6849</v>
      </c>
    </row>
    <row r="334">
      <c r="A334" s="446" t="s">
        <v>6845</v>
      </c>
    </row>
    <row r="335">
      <c r="A335" s="446" t="s">
        <v>6839</v>
      </c>
    </row>
    <row r="336">
      <c r="A336" s="446" t="s">
        <v>6842</v>
      </c>
    </row>
    <row r="337">
      <c r="A337" s="446" t="s">
        <v>6837</v>
      </c>
    </row>
    <row r="338">
      <c r="A338" s="446" t="s">
        <v>6834</v>
      </c>
    </row>
    <row r="339">
      <c r="A339" s="446" t="s">
        <v>6833</v>
      </c>
    </row>
    <row r="340">
      <c r="A340" s="446" t="s">
        <v>6831</v>
      </c>
    </row>
    <row r="341">
      <c r="A341" s="446" t="s">
        <v>6829</v>
      </c>
    </row>
    <row r="342">
      <c r="A342" s="446" t="s">
        <v>6824</v>
      </c>
    </row>
    <row r="343">
      <c r="A343" s="446" t="s">
        <v>6818</v>
      </c>
    </row>
    <row r="344">
      <c r="A344" s="446" t="s">
        <v>6812</v>
      </c>
    </row>
    <row r="345">
      <c r="A345" s="446" t="s">
        <v>6765</v>
      </c>
    </row>
    <row r="346">
      <c r="A346" s="446" t="s">
        <v>6767</v>
      </c>
    </row>
    <row r="347">
      <c r="A347" s="446" t="s">
        <v>6752</v>
      </c>
    </row>
    <row r="348">
      <c r="A348" s="446" t="s">
        <v>6754</v>
      </c>
    </row>
    <row r="349">
      <c r="A349" s="446" t="s">
        <v>6745</v>
      </c>
    </row>
    <row r="350">
      <c r="A350" s="446" t="s">
        <v>6741</v>
      </c>
    </row>
    <row r="351">
      <c r="A351" s="446" t="s">
        <v>6737</v>
      </c>
    </row>
    <row r="352">
      <c r="A352" s="446" t="s">
        <v>6732</v>
      </c>
    </row>
    <row r="353">
      <c r="A353" s="446" t="s">
        <v>6730</v>
      </c>
    </row>
    <row r="354">
      <c r="A354" s="446" t="s">
        <v>6727</v>
      </c>
    </row>
    <row r="355">
      <c r="A355" s="446" t="s">
        <v>6721</v>
      </c>
    </row>
    <row r="356">
      <c r="A356" s="446" t="s">
        <v>6717</v>
      </c>
    </row>
    <row r="357">
      <c r="A357" s="446" t="s">
        <v>6713</v>
      </c>
    </row>
    <row r="358">
      <c r="A358" s="446" t="s">
        <v>6711</v>
      </c>
    </row>
    <row r="359">
      <c r="A359" s="446" t="s">
        <v>6702</v>
      </c>
    </row>
    <row r="360">
      <c r="A360" s="446" t="s">
        <v>6704</v>
      </c>
    </row>
    <row r="361">
      <c r="A361" s="446" t="s">
        <v>6700</v>
      </c>
    </row>
    <row r="362">
      <c r="A362" s="446" t="s">
        <v>6698</v>
      </c>
    </row>
    <row r="363">
      <c r="A363" s="446" t="s">
        <v>6697</v>
      </c>
    </row>
    <row r="364">
      <c r="A364" s="446" t="s">
        <v>6692</v>
      </c>
    </row>
    <row r="365">
      <c r="A365" s="446" t="s">
        <v>6688</v>
      </c>
    </row>
    <row r="366">
      <c r="A366" s="446" t="s">
        <v>6682</v>
      </c>
    </row>
    <row r="367">
      <c r="A367" s="446" t="s">
        <v>6685</v>
      </c>
    </row>
    <row r="368">
      <c r="A368" s="446" t="s">
        <v>6678</v>
      </c>
    </row>
    <row r="369">
      <c r="A369" s="446" t="s">
        <v>6675</v>
      </c>
    </row>
    <row r="370">
      <c r="A370" s="446" t="s">
        <v>6671</v>
      </c>
    </row>
    <row r="371">
      <c r="A371" s="446" t="s">
        <v>6673</v>
      </c>
    </row>
    <row r="372">
      <c r="A372" s="446" t="s">
        <v>6669</v>
      </c>
    </row>
    <row r="373">
      <c r="A373" s="446" t="s">
        <v>2902</v>
      </c>
    </row>
    <row r="374">
      <c r="A374" s="446" t="s">
        <v>6661</v>
      </c>
    </row>
    <row r="375">
      <c r="A375" s="446" t="s">
        <v>6659</v>
      </c>
    </row>
    <row r="376">
      <c r="A376" s="446" t="s">
        <v>6654</v>
      </c>
    </row>
    <row r="377">
      <c r="A377" s="446" t="s">
        <v>6646</v>
      </c>
    </row>
    <row r="378">
      <c r="A378" s="446" t="s">
        <v>6639</v>
      </c>
    </row>
    <row r="379">
      <c r="A379" s="446" t="s">
        <v>6629</v>
      </c>
    </row>
    <row r="380">
      <c r="A380" s="446" t="s">
        <v>2715</v>
      </c>
    </row>
    <row r="381">
      <c r="A381" s="446" t="s">
        <v>6634</v>
      </c>
    </row>
    <row r="382">
      <c r="A382" s="446" t="s">
        <v>6610</v>
      </c>
    </row>
    <row r="383">
      <c r="A383" s="446" t="s">
        <v>6605</v>
      </c>
    </row>
    <row r="384">
      <c r="A384" s="446" t="s">
        <v>6607</v>
      </c>
    </row>
    <row r="385">
      <c r="A385" s="446" t="s">
        <v>6594</v>
      </c>
    </row>
    <row r="386">
      <c r="A386" s="446" t="s">
        <v>6588</v>
      </c>
    </row>
    <row r="387">
      <c r="A387" s="446" t="s">
        <v>6583</v>
      </c>
    </row>
    <row r="388">
      <c r="A388" s="446" t="s">
        <v>6576</v>
      </c>
    </row>
    <row r="389">
      <c r="A389" s="446" t="s">
        <v>6568</v>
      </c>
    </row>
    <row r="390">
      <c r="A390" s="446" t="s">
        <v>6547</v>
      </c>
    </row>
    <row r="391">
      <c r="A391" s="446" t="s">
        <v>6546</v>
      </c>
    </row>
    <row r="392">
      <c r="A392" s="446" t="s">
        <v>2772</v>
      </c>
    </row>
    <row r="393">
      <c r="A393" s="446" t="s">
        <v>6533</v>
      </c>
    </row>
    <row r="394">
      <c r="A394" s="446" t="s">
        <v>6535</v>
      </c>
    </row>
    <row r="395">
      <c r="A395" s="446" t="s">
        <v>6507</v>
      </c>
    </row>
    <row r="396">
      <c r="A396" s="446" t="s">
        <v>2520</v>
      </c>
    </row>
    <row r="397">
      <c r="A397" s="446" t="s">
        <v>2462</v>
      </c>
    </row>
    <row r="398">
      <c r="A398" s="446" t="s">
        <v>6484</v>
      </c>
    </row>
    <row r="399">
      <c r="A399" s="446" t="s">
        <v>6486</v>
      </c>
    </row>
    <row r="400">
      <c r="A400" s="446" t="s">
        <v>6488</v>
      </c>
    </row>
    <row r="401">
      <c r="A401" s="446" t="s">
        <v>6476</v>
      </c>
    </row>
    <row r="402">
      <c r="A402" s="446" t="s">
        <v>6457</v>
      </c>
    </row>
    <row r="403">
      <c r="A403" s="446" t="s">
        <v>6449</v>
      </c>
    </row>
    <row r="404">
      <c r="A404" s="446" t="s">
        <v>6441</v>
      </c>
    </row>
    <row r="405">
      <c r="A405" s="446" t="s">
        <v>6432</v>
      </c>
    </row>
    <row r="406">
      <c r="A406" s="446" t="s">
        <v>2322</v>
      </c>
    </row>
    <row r="407">
      <c r="A407" s="446" t="s">
        <v>6419</v>
      </c>
    </row>
    <row r="408">
      <c r="A408" s="446" t="s">
        <v>2081</v>
      </c>
    </row>
    <row r="409">
      <c r="A409" s="446" t="s">
        <v>2115</v>
      </c>
    </row>
    <row r="410">
      <c r="A410" s="446" t="s">
        <v>1921</v>
      </c>
    </row>
    <row r="411">
      <c r="A411" s="446" t="s">
        <v>6403</v>
      </c>
    </row>
    <row r="412">
      <c r="A412" s="446" t="s">
        <v>6401</v>
      </c>
    </row>
    <row r="413">
      <c r="A413" s="446" t="s">
        <v>6386</v>
      </c>
    </row>
    <row r="414">
      <c r="A414" s="446" t="s">
        <v>6388</v>
      </c>
    </row>
    <row r="415">
      <c r="A415" s="446" t="s">
        <v>6355</v>
      </c>
    </row>
    <row r="416">
      <c r="A416" s="446" t="s">
        <v>6358</v>
      </c>
    </row>
    <row r="417">
      <c r="A417" s="446" t="s">
        <v>6360</v>
      </c>
    </row>
    <row r="418">
      <c r="A418" s="446" t="s">
        <v>6362</v>
      </c>
    </row>
    <row r="419">
      <c r="A419" s="446" t="s">
        <v>6353</v>
      </c>
    </row>
    <row r="420">
      <c r="A420" s="446" t="s">
        <v>6327</v>
      </c>
    </row>
    <row r="421">
      <c r="A421" s="446" t="s">
        <v>6330</v>
      </c>
    </row>
    <row r="422">
      <c r="A422" s="446" t="s">
        <v>6318</v>
      </c>
    </row>
    <row r="423">
      <c r="A423" s="446" t="s">
        <v>6295</v>
      </c>
    </row>
    <row r="424">
      <c r="A424" s="446" t="s">
        <v>374</v>
      </c>
    </row>
    <row r="425">
      <c r="A425" s="446" t="s">
        <v>6290</v>
      </c>
    </row>
    <row r="426">
      <c r="A426" s="446" t="s">
        <v>6286</v>
      </c>
    </row>
    <row r="427">
      <c r="A427" s="446" t="s">
        <v>6282</v>
      </c>
    </row>
    <row r="428">
      <c r="A428" s="446" t="s">
        <v>6280</v>
      </c>
    </row>
    <row r="429">
      <c r="A429" s="446" t="s">
        <v>6277</v>
      </c>
    </row>
    <row r="430">
      <c r="A430" s="446" t="s">
        <v>6513</v>
      </c>
    </row>
    <row r="431">
      <c r="A431" s="446" t="s">
        <v>7026</v>
      </c>
    </row>
    <row r="432">
      <c r="A432" s="446" t="s">
        <v>7026</v>
      </c>
    </row>
    <row r="433">
      <c r="A433" s="446" t="s">
        <v>7031</v>
      </c>
    </row>
    <row r="434">
      <c r="A434" s="446" t="s">
        <v>7031</v>
      </c>
    </row>
    <row r="435">
      <c r="A435" s="446" t="s">
        <v>7034</v>
      </c>
    </row>
    <row r="436">
      <c r="A436" s="446" t="s">
        <v>7034</v>
      </c>
    </row>
    <row r="437">
      <c r="A437" s="446" t="s">
        <v>6494</v>
      </c>
    </row>
    <row r="438">
      <c r="A438" s="446" t="s">
        <v>6494</v>
      </c>
    </row>
    <row r="439">
      <c r="A439" s="446" t="s">
        <v>6496</v>
      </c>
    </row>
    <row r="440">
      <c r="A440" s="446" t="s">
        <v>7038</v>
      </c>
    </row>
    <row r="441">
      <c r="A441" s="446" t="s">
        <v>7040</v>
      </c>
    </row>
    <row r="442">
      <c r="A442" s="446" t="s">
        <v>7041</v>
      </c>
    </row>
    <row r="443">
      <c r="A443" s="446" t="s">
        <v>7041</v>
      </c>
    </row>
    <row r="444">
      <c r="A444" s="446" t="s">
        <v>6424</v>
      </c>
    </row>
    <row r="445">
      <c r="A445" s="446" t="s">
        <v>6424</v>
      </c>
    </row>
    <row r="446">
      <c r="A446" s="446" t="s">
        <v>7047</v>
      </c>
    </row>
    <row r="447">
      <c r="A447" s="446" t="s">
        <v>6419</v>
      </c>
    </row>
    <row r="448">
      <c r="A448" s="446" t="s">
        <v>7050</v>
      </c>
    </row>
    <row r="449">
      <c r="A449" s="446" t="s">
        <v>7052</v>
      </c>
    </row>
    <row r="450">
      <c r="A450" s="446" t="s">
        <v>6778</v>
      </c>
    </row>
    <row r="451">
      <c r="A451" s="446" t="s">
        <v>6778</v>
      </c>
    </row>
    <row r="452">
      <c r="A452" s="446" t="s">
        <v>7057</v>
      </c>
    </row>
    <row r="453">
      <c r="A453" s="446" t="s">
        <v>6520</v>
      </c>
    </row>
    <row r="454">
      <c r="A454" s="446" t="s">
        <v>6520</v>
      </c>
    </row>
    <row r="455">
      <c r="A455" s="446" t="s">
        <v>6465</v>
      </c>
    </row>
    <row r="456">
      <c r="A456" s="446" t="s">
        <v>6465</v>
      </c>
    </row>
    <row r="457">
      <c r="A457" s="446" t="s">
        <v>6465</v>
      </c>
    </row>
    <row r="458">
      <c r="A458" s="446" t="s">
        <v>6297</v>
      </c>
    </row>
    <row r="459">
      <c r="A459" s="446" t="s">
        <v>6297</v>
      </c>
    </row>
    <row r="460">
      <c r="A460" s="446" t="s">
        <v>6297</v>
      </c>
    </row>
    <row r="461">
      <c r="A461" s="446" t="s">
        <v>7065</v>
      </c>
    </row>
    <row r="462">
      <c r="A462" s="446" t="s">
        <v>7065</v>
      </c>
    </row>
    <row r="463">
      <c r="A463" s="446" t="s">
        <v>7069</v>
      </c>
    </row>
    <row r="464">
      <c r="A464" s="446" t="s">
        <v>7069</v>
      </c>
    </row>
    <row r="465">
      <c r="A465" s="446" t="s">
        <v>7072</v>
      </c>
    </row>
    <row r="466">
      <c r="A466" s="446" t="s">
        <v>7072</v>
      </c>
    </row>
    <row r="467">
      <c r="A467" s="446" t="s">
        <v>7073</v>
      </c>
    </row>
    <row r="468">
      <c r="A468" s="446" t="s">
        <v>7073</v>
      </c>
    </row>
    <row r="469">
      <c r="A469" s="446" t="s">
        <v>7079</v>
      </c>
    </row>
    <row r="470">
      <c r="A470" s="446" t="s">
        <v>7079</v>
      </c>
    </row>
    <row r="471">
      <c r="A471" s="446" t="s">
        <v>7081</v>
      </c>
    </row>
    <row r="472">
      <c r="A472" s="446" t="s">
        <v>7081</v>
      </c>
    </row>
    <row r="473">
      <c r="A473" s="446" t="s">
        <v>6490</v>
      </c>
    </row>
    <row r="474">
      <c r="A474" s="446" t="s">
        <v>6490</v>
      </c>
    </row>
    <row r="475">
      <c r="A475" s="446" t="s">
        <v>6480</v>
      </c>
    </row>
    <row r="476">
      <c r="A476" s="446" t="s">
        <v>6480</v>
      </c>
    </row>
    <row r="477">
      <c r="A477" s="446" t="s">
        <v>7088</v>
      </c>
    </row>
    <row r="478">
      <c r="A478" s="446" t="s">
        <v>7088</v>
      </c>
    </row>
    <row r="479">
      <c r="A479" s="446" t="s">
        <v>7089</v>
      </c>
    </row>
    <row r="480">
      <c r="A480" s="446" t="s">
        <v>7089</v>
      </c>
    </row>
    <row r="481">
      <c r="A481" s="446" t="s">
        <v>4209</v>
      </c>
    </row>
    <row r="482">
      <c r="A482" s="446" t="s">
        <v>4209</v>
      </c>
    </row>
    <row r="483">
      <c r="A483" s="446" t="s">
        <v>4209</v>
      </c>
    </row>
    <row r="484">
      <c r="A484" s="446" t="s">
        <v>7093</v>
      </c>
    </row>
    <row r="485">
      <c r="A485" s="446" t="s">
        <v>7093</v>
      </c>
    </row>
    <row r="486">
      <c r="A486" s="446" t="s">
        <v>7093</v>
      </c>
    </row>
    <row r="487">
      <c r="A487" s="446" t="s">
        <v>7096</v>
      </c>
    </row>
    <row r="488">
      <c r="A488" s="446" t="s">
        <v>7096</v>
      </c>
    </row>
    <row r="489">
      <c r="A489" s="446" t="s">
        <v>7096</v>
      </c>
    </row>
    <row r="490">
      <c r="A490" s="446" t="s">
        <v>7099</v>
      </c>
    </row>
    <row r="491">
      <c r="A491" s="446" t="s">
        <v>7099</v>
      </c>
    </row>
    <row r="492">
      <c r="A492" s="446" t="s">
        <v>7099</v>
      </c>
    </row>
    <row r="493">
      <c r="A493" s="446" t="s">
        <v>7100</v>
      </c>
    </row>
    <row r="494">
      <c r="A494" s="446" t="s">
        <v>7100</v>
      </c>
    </row>
    <row r="495">
      <c r="A495" s="446" t="s">
        <v>7100</v>
      </c>
    </row>
    <row r="496">
      <c r="A496" s="446" t="s">
        <v>7105</v>
      </c>
    </row>
    <row r="497">
      <c r="A497" s="446" t="s">
        <v>7108</v>
      </c>
    </row>
    <row r="498">
      <c r="A498" s="446" t="s">
        <v>7111</v>
      </c>
    </row>
    <row r="499">
      <c r="A499" s="446" t="s">
        <v>7111</v>
      </c>
    </row>
    <row r="500">
      <c r="A500" s="446" t="s">
        <v>6144</v>
      </c>
    </row>
    <row r="501">
      <c r="A501" s="446" t="s">
        <v>6144</v>
      </c>
    </row>
    <row r="502">
      <c r="A502" s="446" t="s">
        <v>7111</v>
      </c>
    </row>
    <row r="503">
      <c r="A503" s="446" t="s">
        <v>7111</v>
      </c>
    </row>
    <row r="504">
      <c r="A504" s="446" t="s">
        <v>7116</v>
      </c>
    </row>
    <row r="505">
      <c r="A505" s="446" t="s">
        <v>7116</v>
      </c>
    </row>
    <row r="506">
      <c r="A506" s="446" t="s">
        <v>7120</v>
      </c>
    </row>
    <row r="507">
      <c r="A507" s="446" t="s">
        <v>7120</v>
      </c>
    </row>
    <row r="508">
      <c r="A508" s="446" t="s">
        <v>7123</v>
      </c>
    </row>
    <row r="509">
      <c r="A509" s="446" t="s">
        <v>7123</v>
      </c>
    </row>
    <row r="510">
      <c r="A510" s="446" t="s">
        <v>7123</v>
      </c>
    </row>
    <row r="511">
      <c r="A511" s="446" t="s">
        <v>7128</v>
      </c>
    </row>
    <row r="512">
      <c r="A512" s="446" t="s">
        <v>7128</v>
      </c>
    </row>
    <row r="513">
      <c r="A513" s="446" t="s">
        <v>7131</v>
      </c>
    </row>
    <row r="514">
      <c r="A514" s="446" t="s">
        <v>7132</v>
      </c>
    </row>
    <row r="515">
      <c r="A515" s="446" t="s">
        <v>7132</v>
      </c>
    </row>
    <row r="516">
      <c r="A516" s="446" t="s">
        <v>7132</v>
      </c>
    </row>
    <row r="517">
      <c r="A517" s="446" t="s">
        <v>7134</v>
      </c>
    </row>
    <row r="518">
      <c r="A518" s="446" t="s">
        <v>7134</v>
      </c>
    </row>
    <row r="519">
      <c r="A519" s="446" t="s">
        <v>7136</v>
      </c>
    </row>
    <row r="520">
      <c r="A520" s="446" t="s">
        <v>7138</v>
      </c>
    </row>
    <row r="521">
      <c r="A521" s="446" t="s">
        <v>7138</v>
      </c>
    </row>
    <row r="522">
      <c r="A522" s="446" t="s">
        <v>7140</v>
      </c>
    </row>
    <row r="523">
      <c r="A523" s="446" t="s">
        <v>7140</v>
      </c>
    </row>
    <row r="524">
      <c r="A524" s="446" t="s">
        <v>7143</v>
      </c>
    </row>
    <row r="525">
      <c r="A525" s="446" t="s">
        <v>7143</v>
      </c>
    </row>
    <row r="526">
      <c r="A526" s="446" t="s">
        <v>7143</v>
      </c>
    </row>
    <row r="527">
      <c r="A527" s="446" t="s">
        <v>7147</v>
      </c>
    </row>
    <row r="528">
      <c r="A528" s="446" t="s">
        <v>7147</v>
      </c>
    </row>
    <row r="529">
      <c r="A529" s="446" t="s">
        <v>7147</v>
      </c>
    </row>
    <row r="530">
      <c r="A530" s="446" t="s">
        <v>7150</v>
      </c>
    </row>
    <row r="531">
      <c r="A531" s="446" t="s">
        <v>7150</v>
      </c>
    </row>
    <row r="532">
      <c r="A532" s="446" t="s">
        <v>7152</v>
      </c>
    </row>
    <row r="533">
      <c r="A533" s="446" t="s">
        <v>7152</v>
      </c>
    </row>
    <row r="534">
      <c r="A534" s="446" t="s">
        <v>7153</v>
      </c>
    </row>
    <row r="535">
      <c r="A535" s="446" t="s">
        <v>7153</v>
      </c>
    </row>
    <row r="536">
      <c r="A536" s="446" t="s">
        <v>7153</v>
      </c>
    </row>
    <row r="537">
      <c r="A537" s="446" t="s">
        <v>7153</v>
      </c>
    </row>
    <row r="538">
      <c r="A538" s="446" t="s">
        <v>7160</v>
      </c>
    </row>
    <row r="539">
      <c r="A539" s="446" t="s">
        <v>7160</v>
      </c>
    </row>
    <row r="540">
      <c r="A540" s="446" t="s">
        <v>4772</v>
      </c>
    </row>
    <row r="541">
      <c r="A541" s="446" t="s">
        <v>4772</v>
      </c>
    </row>
    <row r="542">
      <c r="A542" s="446" t="s">
        <v>4772</v>
      </c>
    </row>
    <row r="543">
      <c r="A543" s="446" t="s">
        <v>4772</v>
      </c>
    </row>
    <row r="544">
      <c r="A544" s="446" t="s">
        <v>7166</v>
      </c>
    </row>
    <row r="545">
      <c r="A545" s="446" t="s">
        <v>7166</v>
      </c>
    </row>
    <row r="546">
      <c r="A546" s="446" t="s">
        <v>4438</v>
      </c>
    </row>
    <row r="547">
      <c r="A547" s="446" t="s">
        <v>4438</v>
      </c>
    </row>
    <row r="548">
      <c r="A548" s="446" t="s">
        <v>4399</v>
      </c>
    </row>
    <row r="549">
      <c r="A549" s="446" t="s">
        <v>4399</v>
      </c>
    </row>
    <row r="550">
      <c r="A550" s="446" t="s">
        <v>4399</v>
      </c>
    </row>
    <row r="551">
      <c r="A551" s="446" t="s">
        <v>7170</v>
      </c>
    </row>
    <row r="552">
      <c r="A552" s="446" t="s">
        <v>7170</v>
      </c>
    </row>
    <row r="553">
      <c r="A553" s="446" t="s">
        <v>7172</v>
      </c>
    </row>
    <row r="554">
      <c r="A554" s="446" t="s">
        <v>7172</v>
      </c>
    </row>
    <row r="555">
      <c r="A555" s="446" t="s">
        <v>7172</v>
      </c>
    </row>
    <row r="556">
      <c r="A556" s="446" t="s">
        <v>7176</v>
      </c>
    </row>
    <row r="557">
      <c r="A557" s="446" t="s">
        <v>7176</v>
      </c>
    </row>
    <row r="558">
      <c r="A558" s="446" t="s">
        <v>4332</v>
      </c>
    </row>
    <row r="559">
      <c r="A559" s="446" t="s">
        <v>4332</v>
      </c>
    </row>
    <row r="560">
      <c r="A560" s="446" t="s">
        <v>7181</v>
      </c>
    </row>
    <row r="561">
      <c r="A561" s="446" t="s">
        <v>7181</v>
      </c>
    </row>
    <row r="562">
      <c r="A562" s="446" t="s">
        <v>7181</v>
      </c>
    </row>
    <row r="563">
      <c r="A563" s="446" t="s">
        <v>7187</v>
      </c>
    </row>
    <row r="564">
      <c r="A564" s="446" t="s">
        <v>7187</v>
      </c>
    </row>
    <row r="565">
      <c r="A565" s="446" t="s">
        <v>7093</v>
      </c>
    </row>
    <row r="566">
      <c r="A566" s="446" t="s">
        <v>7093</v>
      </c>
    </row>
    <row r="567">
      <c r="A567" s="446" t="s">
        <v>7189</v>
      </c>
    </row>
    <row r="568">
      <c r="A568" s="446" t="s">
        <v>7189</v>
      </c>
    </row>
    <row r="569">
      <c r="A569" s="446" t="s">
        <v>7189</v>
      </c>
    </row>
    <row r="570">
      <c r="A570" s="446" t="s">
        <v>7195</v>
      </c>
    </row>
    <row r="571">
      <c r="A571" s="446" t="s">
        <v>7195</v>
      </c>
    </row>
    <row r="572">
      <c r="A572" s="446" t="s">
        <v>7198</v>
      </c>
    </row>
    <row r="573">
      <c r="A573" s="446" t="s">
        <v>7198</v>
      </c>
    </row>
    <row r="574">
      <c r="A574" s="446" t="s">
        <v>7202</v>
      </c>
    </row>
    <row r="575">
      <c r="A575" s="446" t="s">
        <v>7202</v>
      </c>
    </row>
    <row r="576">
      <c r="A576" s="446" t="s">
        <v>7204</v>
      </c>
    </row>
    <row r="577">
      <c r="A577" s="446" t="s">
        <v>7204</v>
      </c>
    </row>
    <row r="578">
      <c r="A578" s="446" t="s">
        <v>7208</v>
      </c>
    </row>
    <row r="579">
      <c r="A579" s="446" t="s">
        <v>7208</v>
      </c>
    </row>
    <row r="580">
      <c r="A580" s="446" t="s">
        <v>7211</v>
      </c>
    </row>
    <row r="581">
      <c r="A581" s="446" t="s">
        <v>7211</v>
      </c>
    </row>
    <row r="582">
      <c r="A582" s="446" t="s">
        <v>7214</v>
      </c>
    </row>
    <row r="583">
      <c r="A583" s="446" t="s">
        <v>7214</v>
      </c>
    </row>
    <row r="584">
      <c r="A584" s="446" t="s">
        <v>7214</v>
      </c>
    </row>
    <row r="585">
      <c r="A585" s="446" t="s">
        <v>4054</v>
      </c>
    </row>
    <row r="586">
      <c r="A586" s="446" t="s">
        <v>4054</v>
      </c>
    </row>
    <row r="587">
      <c r="A587" s="446" t="s">
        <v>3909</v>
      </c>
    </row>
    <row r="588">
      <c r="A588" s="446" t="s">
        <v>3909</v>
      </c>
    </row>
    <row r="589">
      <c r="A589" s="446" t="s">
        <v>3909</v>
      </c>
    </row>
    <row r="590">
      <c r="A590" s="446" t="s">
        <v>1196</v>
      </c>
    </row>
    <row r="591">
      <c r="A591" s="446" t="s">
        <v>1196</v>
      </c>
    </row>
    <row r="592">
      <c r="A592" s="446" t="s">
        <v>7167</v>
      </c>
    </row>
    <row r="593">
      <c r="A593" s="446" t="s">
        <v>7167</v>
      </c>
    </row>
    <row r="594">
      <c r="A594" s="446" t="s">
        <v>7151</v>
      </c>
    </row>
    <row r="595">
      <c r="A595" s="446" t="s">
        <v>7095</v>
      </c>
    </row>
    <row r="596">
      <c r="A596" s="446" t="s">
        <v>7095</v>
      </c>
    </row>
    <row r="597">
      <c r="A597" s="446" t="s">
        <v>7095</v>
      </c>
    </row>
    <row r="598">
      <c r="A598" s="446" t="s">
        <v>7090</v>
      </c>
    </row>
    <row r="599">
      <c r="A599" s="446" t="s">
        <v>7090</v>
      </c>
    </row>
    <row r="600">
      <c r="A600" s="446" t="s">
        <v>7232</v>
      </c>
    </row>
    <row r="601">
      <c r="A601" s="446" t="s">
        <v>7232</v>
      </c>
    </row>
    <row r="602">
      <c r="A602" s="446" t="s">
        <v>7087</v>
      </c>
    </row>
    <row r="603">
      <c r="A603" s="446" t="s">
        <v>7087</v>
      </c>
    </row>
    <row r="604">
      <c r="A604" s="446" t="s">
        <v>7063</v>
      </c>
    </row>
    <row r="605">
      <c r="A605" s="446" t="s">
        <v>7063</v>
      </c>
    </row>
    <row r="606">
      <c r="A606" s="446" t="s">
        <v>7027</v>
      </c>
    </row>
    <row r="607">
      <c r="A607" s="446" t="s">
        <v>7027</v>
      </c>
    </row>
    <row r="608">
      <c r="A608" s="446" t="s">
        <v>6949</v>
      </c>
    </row>
    <row r="609">
      <c r="A609" s="446" t="s">
        <v>6949</v>
      </c>
    </row>
    <row r="610">
      <c r="A610" s="446" t="s">
        <v>6939</v>
      </c>
    </row>
    <row r="611">
      <c r="A611" s="446" t="s">
        <v>6939</v>
      </c>
    </row>
    <row r="612">
      <c r="A612" s="446" t="s">
        <v>6995</v>
      </c>
    </row>
    <row r="613">
      <c r="A613" s="446" t="s">
        <v>6995</v>
      </c>
    </row>
    <row r="614">
      <c r="A614" s="446" t="s">
        <v>6929</v>
      </c>
    </row>
    <row r="615">
      <c r="A615" s="446" t="s">
        <v>6927</v>
      </c>
    </row>
    <row r="616">
      <c r="A616" s="446" t="s">
        <v>6929</v>
      </c>
    </row>
    <row r="617">
      <c r="A617" s="446" t="s">
        <v>6929</v>
      </c>
    </row>
    <row r="618">
      <c r="A618" s="446" t="s">
        <v>6927</v>
      </c>
    </row>
    <row r="619">
      <c r="A619" s="446" t="s">
        <v>6927</v>
      </c>
    </row>
    <row r="620">
      <c r="A620" s="446" t="s">
        <v>6926</v>
      </c>
    </row>
    <row r="621">
      <c r="A621" s="446" t="s">
        <v>7253</v>
      </c>
    </row>
    <row r="622">
      <c r="A622" s="446" t="s">
        <v>7253</v>
      </c>
    </row>
    <row r="623">
      <c r="A623" s="446" t="s">
        <v>6472</v>
      </c>
    </row>
    <row r="624">
      <c r="A624" s="446" t="s">
        <v>6441</v>
      </c>
    </row>
    <row r="625">
      <c r="A625" s="446" t="s">
        <v>6441</v>
      </c>
    </row>
    <row r="626">
      <c r="A626" s="446" t="s">
        <v>6441</v>
      </c>
    </row>
    <row r="627">
      <c r="A627" s="446" t="s">
        <v>6364</v>
      </c>
    </row>
    <row r="628">
      <c r="A628" s="446" t="s">
        <v>6364</v>
      </c>
    </row>
    <row r="629">
      <c r="A629" s="446" t="s">
        <v>7261</v>
      </c>
    </row>
    <row r="630">
      <c r="A630" s="446" t="s">
        <v>7261</v>
      </c>
    </row>
    <row r="631">
      <c r="A631" s="446" t="s">
        <v>6320</v>
      </c>
    </row>
    <row r="632">
      <c r="A632" s="446" t="s">
        <v>6320</v>
      </c>
    </row>
    <row r="633">
      <c r="A633" s="446" t="s">
        <v>6320</v>
      </c>
    </row>
    <row r="634">
      <c r="A634" s="446" t="s">
        <v>413</v>
      </c>
    </row>
    <row r="635">
      <c r="A635" s="446" t="s">
        <v>413</v>
      </c>
    </row>
    <row r="636">
      <c r="A636" s="446" t="s">
        <v>413</v>
      </c>
    </row>
    <row r="637">
      <c r="A637" s="446" t="s">
        <v>6302</v>
      </c>
    </row>
    <row r="638">
      <c r="A638" s="446" t="s">
        <v>6302</v>
      </c>
    </row>
    <row r="639">
      <c r="A639" s="446" t="s">
        <v>6302</v>
      </c>
    </row>
    <row r="640">
      <c r="A640" s="446" t="s">
        <v>6292</v>
      </c>
    </row>
    <row r="641">
      <c r="A641" s="446" t="s">
        <v>7219</v>
      </c>
    </row>
    <row r="642">
      <c r="A642" s="446" t="s">
        <v>7275</v>
      </c>
    </row>
    <row r="643">
      <c r="A643" s="446" t="s">
        <v>7277</v>
      </c>
    </row>
    <row r="644">
      <c r="A644" s="446" t="s">
        <v>7277</v>
      </c>
    </row>
    <row r="645">
      <c r="A645" s="446" t="s">
        <v>7280</v>
      </c>
    </row>
    <row r="646">
      <c r="A646" s="446" t="s">
        <v>7283</v>
      </c>
    </row>
    <row r="647">
      <c r="A647" s="446" t="s">
        <v>1828</v>
      </c>
    </row>
    <row r="648">
      <c r="A648" s="446" t="s">
        <v>1828</v>
      </c>
    </row>
    <row r="649">
      <c r="A649" s="446" t="s">
        <v>7287</v>
      </c>
    </row>
    <row r="650">
      <c r="A650" s="446" t="s">
        <v>7289</v>
      </c>
    </row>
    <row r="651">
      <c r="A651" s="446" t="s">
        <v>7287</v>
      </c>
    </row>
    <row r="652">
      <c r="A652" s="446" t="s">
        <v>7289</v>
      </c>
    </row>
    <row r="653">
      <c r="A653" s="446" t="s">
        <v>7293</v>
      </c>
    </row>
    <row r="654">
      <c r="A654" s="446" t="s">
        <v>7296</v>
      </c>
    </row>
    <row r="655">
      <c r="A655" s="446" t="s">
        <v>7298</v>
      </c>
    </row>
    <row r="656">
      <c r="A656" s="446" t="s">
        <v>7300</v>
      </c>
    </row>
    <row r="657">
      <c r="A657" s="446" t="s">
        <v>7302</v>
      </c>
    </row>
    <row r="658">
      <c r="A658" s="446" t="s">
        <v>7305</v>
      </c>
    </row>
    <row r="659">
      <c r="A659" s="446" t="s">
        <v>7308</v>
      </c>
    </row>
    <row r="660">
      <c r="A660" s="446" t="s">
        <v>7310</v>
      </c>
    </row>
    <row r="661">
      <c r="A661" s="446" t="s">
        <v>7310</v>
      </c>
    </row>
    <row r="662">
      <c r="A662" s="446" t="s">
        <v>7311</v>
      </c>
    </row>
    <row r="663">
      <c r="A663" s="446" t="s">
        <v>7313</v>
      </c>
    </row>
    <row r="664">
      <c r="A664" s="446" t="s">
        <v>7313</v>
      </c>
    </row>
    <row r="665">
      <c r="A665" s="446" t="s">
        <v>7317</v>
      </c>
    </row>
    <row r="666">
      <c r="A666" s="446" t="s">
        <v>6353</v>
      </c>
    </row>
    <row r="667">
      <c r="A667" s="446" t="s">
        <v>7320</v>
      </c>
    </row>
    <row r="668">
      <c r="A668" s="446" t="s">
        <v>7322</v>
      </c>
    </row>
    <row r="669">
      <c r="A669" s="446" t="s">
        <v>7322</v>
      </c>
    </row>
    <row r="670">
      <c r="A670" s="446" t="s">
        <v>7322</v>
      </c>
    </row>
    <row r="671">
      <c r="A671" s="446" t="s">
        <v>7326</v>
      </c>
    </row>
    <row r="672">
      <c r="A672" s="446" t="s">
        <v>7329</v>
      </c>
    </row>
    <row r="673">
      <c r="A673" s="446" t="s">
        <v>7331</v>
      </c>
    </row>
    <row r="674">
      <c r="A674" s="446" t="s">
        <v>7331</v>
      </c>
    </row>
    <row r="675">
      <c r="A675" s="446" t="s">
        <v>7331</v>
      </c>
    </row>
    <row r="676">
      <c r="A676" s="446" t="s">
        <v>7331</v>
      </c>
    </row>
    <row r="677">
      <c r="A677" s="446" t="s">
        <v>7331</v>
      </c>
    </row>
    <row r="678">
      <c r="A678" s="446" t="s">
        <v>7331</v>
      </c>
    </row>
    <row r="679">
      <c r="A679" s="446" t="s">
        <v>6278</v>
      </c>
    </row>
    <row r="680">
      <c r="A680" s="446" t="s">
        <v>6278</v>
      </c>
    </row>
    <row r="681">
      <c r="A681" s="446" t="s">
        <v>6278</v>
      </c>
    </row>
    <row r="682">
      <c r="A682" s="446" t="s">
        <v>6279</v>
      </c>
    </row>
    <row r="683">
      <c r="A683" s="446" t="s">
        <v>6279</v>
      </c>
    </row>
    <row r="684">
      <c r="A684" s="446" t="s">
        <v>6279</v>
      </c>
    </row>
    <row r="685">
      <c r="A685" s="446" t="s">
        <v>5785</v>
      </c>
    </row>
    <row r="686">
      <c r="A686" s="446" t="s">
        <v>5785</v>
      </c>
    </row>
    <row r="687">
      <c r="A687" s="446" t="s">
        <v>5785</v>
      </c>
    </row>
    <row r="688">
      <c r="A688" s="446" t="s">
        <v>5771</v>
      </c>
    </row>
    <row r="689">
      <c r="A689" s="446" t="s">
        <v>7346</v>
      </c>
    </row>
    <row r="690">
      <c r="A690" s="446" t="s">
        <v>7346</v>
      </c>
    </row>
    <row r="691">
      <c r="A691" s="446" t="s">
        <v>5299</v>
      </c>
    </row>
    <row r="692">
      <c r="A692" s="446" t="s">
        <v>5299</v>
      </c>
    </row>
    <row r="693">
      <c r="A693" s="446" t="s">
        <v>4937</v>
      </c>
    </row>
    <row r="694">
      <c r="A694" s="446" t="s">
        <v>4937</v>
      </c>
    </row>
    <row r="695">
      <c r="A695" s="446" t="s">
        <v>4925</v>
      </c>
    </row>
    <row r="696">
      <c r="A696" s="446" t="s">
        <v>4925</v>
      </c>
    </row>
    <row r="697">
      <c r="A697" s="446" t="s">
        <v>7353</v>
      </c>
    </row>
    <row r="698">
      <c r="A698" s="446" t="s">
        <v>7353</v>
      </c>
    </row>
    <row r="699">
      <c r="A699" s="446" t="s">
        <v>7355</v>
      </c>
    </row>
    <row r="700">
      <c r="A700" s="446" t="s">
        <v>7355</v>
      </c>
    </row>
    <row r="701">
      <c r="A701" s="446" t="s">
        <v>7310</v>
      </c>
    </row>
    <row r="702">
      <c r="A702" s="446" t="s">
        <v>7310</v>
      </c>
    </row>
    <row r="703">
      <c r="A703" s="446" t="s">
        <v>7358</v>
      </c>
    </row>
    <row r="704">
      <c r="A704" s="446" t="s">
        <v>7358</v>
      </c>
    </row>
    <row r="705">
      <c r="A705" s="446" t="s">
        <v>7358</v>
      </c>
    </row>
    <row r="706">
      <c r="A706" s="446" t="s">
        <v>7360</v>
      </c>
    </row>
    <row r="707">
      <c r="A707" s="446" t="s">
        <v>7360</v>
      </c>
    </row>
    <row r="708">
      <c r="A708" s="446" t="s">
        <v>6285</v>
      </c>
    </row>
    <row r="709">
      <c r="A709" s="446" t="s">
        <v>6285</v>
      </c>
    </row>
    <row r="710">
      <c r="A710" s="446" t="s">
        <v>4887</v>
      </c>
    </row>
    <row r="711">
      <c r="A711" s="446" t="s">
        <v>4887</v>
      </c>
    </row>
    <row r="712">
      <c r="A712" s="446" t="s">
        <v>6289</v>
      </c>
    </row>
    <row r="713">
      <c r="A713" s="446" t="s">
        <v>6289</v>
      </c>
    </row>
    <row r="714">
      <c r="A714" s="446" t="s">
        <v>6287</v>
      </c>
    </row>
    <row r="715">
      <c r="A715" s="446" t="s">
        <v>6287</v>
      </c>
    </row>
    <row r="716">
      <c r="A716" s="446" t="s">
        <v>7370</v>
      </c>
    </row>
    <row r="717">
      <c r="A717" s="446" t="s">
        <v>7370</v>
      </c>
    </row>
    <row r="718">
      <c r="A718" s="446" t="s">
        <v>7371</v>
      </c>
    </row>
    <row r="719">
      <c r="A719" s="446" t="s">
        <v>7373</v>
      </c>
    </row>
    <row r="720">
      <c r="A720" s="446" t="s">
        <v>7373</v>
      </c>
    </row>
    <row r="721">
      <c r="A721" s="446" t="s">
        <v>7376</v>
      </c>
    </row>
    <row r="722">
      <c r="A722" s="446" t="s">
        <v>7376</v>
      </c>
    </row>
    <row r="723">
      <c r="A723" s="446" t="s">
        <v>7379</v>
      </c>
    </row>
    <row r="724">
      <c r="A724" s="446" t="s">
        <v>7382</v>
      </c>
    </row>
    <row r="725">
      <c r="A725" s="446" t="s">
        <v>7384</v>
      </c>
    </row>
    <row r="726">
      <c r="A726" s="446" t="s">
        <v>7384</v>
      </c>
    </row>
    <row r="727">
      <c r="A727" s="446" t="s">
        <v>6291</v>
      </c>
    </row>
    <row r="728">
      <c r="A728" s="446" t="s">
        <v>6291</v>
      </c>
    </row>
    <row r="729">
      <c r="A729" s="446" t="s">
        <v>7385</v>
      </c>
    </row>
    <row r="730">
      <c r="A730" s="446" t="s">
        <v>4603</v>
      </c>
    </row>
    <row r="731">
      <c r="A731" s="446" t="s">
        <v>4603</v>
      </c>
    </row>
    <row r="732">
      <c r="A732" s="446" t="s">
        <v>7390</v>
      </c>
    </row>
    <row r="733">
      <c r="A733" s="446" t="s">
        <v>7390</v>
      </c>
    </row>
    <row r="734">
      <c r="A734" s="446" t="s">
        <v>7393</v>
      </c>
    </row>
    <row r="735">
      <c r="A735" s="446" t="s">
        <v>7393</v>
      </c>
    </row>
    <row r="736">
      <c r="A736" s="446" t="s">
        <v>7397</v>
      </c>
    </row>
    <row r="737">
      <c r="A737" s="446" t="s">
        <v>7399</v>
      </c>
    </row>
    <row r="738">
      <c r="A738" s="446" t="s">
        <v>7399</v>
      </c>
    </row>
    <row r="739">
      <c r="A739" s="446" t="s">
        <v>6293</v>
      </c>
    </row>
    <row r="740">
      <c r="A740" s="446" t="s">
        <v>7401</v>
      </c>
    </row>
    <row r="741">
      <c r="A741" s="446" t="s">
        <v>7403</v>
      </c>
    </row>
    <row r="742">
      <c r="A742" s="446" t="s">
        <v>7403</v>
      </c>
    </row>
    <row r="743">
      <c r="A743" s="446" t="s">
        <v>7407</v>
      </c>
    </row>
    <row r="744">
      <c r="A744" s="446" t="s">
        <v>7410</v>
      </c>
    </row>
    <row r="745">
      <c r="A745" s="446" t="s">
        <v>7413</v>
      </c>
    </row>
    <row r="746">
      <c r="A746" s="446" t="s">
        <v>7413</v>
      </c>
    </row>
    <row r="747">
      <c r="A747" s="446" t="s">
        <v>7414</v>
      </c>
    </row>
    <row r="748">
      <c r="A748" s="446" t="s">
        <v>7416</v>
      </c>
    </row>
    <row r="749">
      <c r="A749" s="446" t="s">
        <v>7416</v>
      </c>
    </row>
    <row r="750">
      <c r="A750" s="446" t="s">
        <v>7417</v>
      </c>
    </row>
    <row r="751">
      <c r="A751" s="446" t="s">
        <v>7417</v>
      </c>
    </row>
    <row r="752">
      <c r="A752" s="446" t="s">
        <v>7420</v>
      </c>
    </row>
    <row r="753">
      <c r="A753" s="446" t="s">
        <v>7420</v>
      </c>
    </row>
    <row r="754">
      <c r="A754" s="446" t="s">
        <v>7422</v>
      </c>
    </row>
    <row r="755">
      <c r="A755" s="446" t="s">
        <v>7422</v>
      </c>
    </row>
    <row r="756">
      <c r="A756" s="446" t="s">
        <v>7423</v>
      </c>
    </row>
    <row r="757">
      <c r="A757" s="446" t="s">
        <v>7423</v>
      </c>
    </row>
    <row r="758">
      <c r="A758" s="446" t="s">
        <v>7426</v>
      </c>
    </row>
    <row r="759">
      <c r="A759" s="446" t="s">
        <v>7428</v>
      </c>
    </row>
    <row r="760">
      <c r="A760" s="446" t="s">
        <v>7430</v>
      </c>
    </row>
    <row r="761">
      <c r="A761" s="446" t="s">
        <v>7430</v>
      </c>
    </row>
    <row r="762">
      <c r="A762" s="446" t="s">
        <v>7433</v>
      </c>
    </row>
    <row r="763">
      <c r="A763" s="446" t="s">
        <v>7433</v>
      </c>
    </row>
    <row r="764">
      <c r="A764" s="446" t="s">
        <v>6303</v>
      </c>
    </row>
    <row r="765">
      <c r="A765" s="446" t="s">
        <v>6303</v>
      </c>
    </row>
    <row r="766">
      <c r="A766" s="446" t="s">
        <v>7438</v>
      </c>
    </row>
    <row r="767">
      <c r="A767" s="446" t="s">
        <v>6301</v>
      </c>
    </row>
    <row r="768">
      <c r="A768" s="446" t="s">
        <v>7440</v>
      </c>
    </row>
    <row r="769">
      <c r="A769" s="446" t="s">
        <v>6298</v>
      </c>
    </row>
    <row r="770">
      <c r="A770" s="446" t="s">
        <v>6298</v>
      </c>
    </row>
    <row r="771">
      <c r="A771" s="446" t="s">
        <v>7444</v>
      </c>
    </row>
    <row r="772">
      <c r="A772" s="446" t="s">
        <v>7444</v>
      </c>
    </row>
    <row r="773">
      <c r="A773" s="446" t="s">
        <v>7446</v>
      </c>
    </row>
    <row r="774">
      <c r="A774" s="446" t="s">
        <v>7446</v>
      </c>
    </row>
    <row r="775">
      <c r="A775" s="446" t="s">
        <v>7449</v>
      </c>
    </row>
    <row r="776">
      <c r="A776" s="446" t="s">
        <v>7451</v>
      </c>
    </row>
    <row r="777">
      <c r="A777" s="446" t="s">
        <v>7452</v>
      </c>
    </row>
    <row r="778">
      <c r="A778" s="446" t="s">
        <v>7454</v>
      </c>
    </row>
    <row r="779">
      <c r="A779" s="446" t="s">
        <v>7454</v>
      </c>
    </row>
    <row r="780">
      <c r="A780" s="446" t="s">
        <v>7456</v>
      </c>
    </row>
    <row r="781">
      <c r="A781" s="446" t="s">
        <v>7456</v>
      </c>
    </row>
    <row r="782">
      <c r="A782" s="446" t="s">
        <v>7460</v>
      </c>
    </row>
    <row r="783">
      <c r="A783" s="446" t="s">
        <v>7460</v>
      </c>
    </row>
    <row r="784">
      <c r="A784" s="446" t="s">
        <v>7462</v>
      </c>
    </row>
    <row r="785">
      <c r="A785" s="446" t="s">
        <v>7462</v>
      </c>
    </row>
    <row r="786">
      <c r="A786" s="446" t="s">
        <v>7465</v>
      </c>
    </row>
    <row r="787">
      <c r="A787" s="446" t="s">
        <v>7468</v>
      </c>
    </row>
    <row r="788">
      <c r="A788" s="446" t="s">
        <v>7470</v>
      </c>
    </row>
    <row r="789">
      <c r="A789" s="446" t="s">
        <v>7470</v>
      </c>
    </row>
    <row r="790">
      <c r="A790" s="446" t="s">
        <v>7473</v>
      </c>
    </row>
    <row r="791">
      <c r="A791" s="446" t="s">
        <v>7475</v>
      </c>
    </row>
    <row r="792">
      <c r="A792" s="446" t="s">
        <v>7475</v>
      </c>
    </row>
    <row r="793">
      <c r="A793" s="446" t="s">
        <v>6305</v>
      </c>
    </row>
    <row r="794">
      <c r="A794" s="446" t="s">
        <v>7479</v>
      </c>
    </row>
    <row r="795">
      <c r="A795" s="446" t="s">
        <v>7480</v>
      </c>
    </row>
    <row r="796">
      <c r="A796" s="446" t="s">
        <v>7480</v>
      </c>
    </row>
    <row r="797">
      <c r="A797" s="446" t="s">
        <v>7482</v>
      </c>
    </row>
    <row r="798">
      <c r="A798" s="446" t="s">
        <v>7482</v>
      </c>
    </row>
    <row r="799">
      <c r="A799" s="446" t="s">
        <v>7485</v>
      </c>
    </row>
    <row r="800">
      <c r="A800" s="446" t="s">
        <v>7486</v>
      </c>
    </row>
    <row r="801">
      <c r="A801" s="446" t="s">
        <v>7488</v>
      </c>
    </row>
    <row r="802">
      <c r="A802" s="446" t="s">
        <v>7488</v>
      </c>
    </row>
    <row r="803">
      <c r="A803" s="446" t="s">
        <v>7490</v>
      </c>
    </row>
    <row r="804">
      <c r="A804" s="446" t="s">
        <v>7490</v>
      </c>
    </row>
    <row r="805">
      <c r="A805" s="446" t="s">
        <v>7492</v>
      </c>
    </row>
    <row r="806">
      <c r="A806" s="446" t="s">
        <v>7492</v>
      </c>
    </row>
    <row r="807">
      <c r="A807" s="446" t="s">
        <v>7492</v>
      </c>
    </row>
    <row r="808">
      <c r="A808" s="446" t="s">
        <v>6308</v>
      </c>
    </row>
    <row r="809">
      <c r="A809" s="446" t="s">
        <v>6308</v>
      </c>
    </row>
    <row r="810">
      <c r="A810" s="446" t="s">
        <v>7498</v>
      </c>
    </row>
    <row r="811">
      <c r="A811" s="446" t="s">
        <v>7500</v>
      </c>
    </row>
    <row r="812">
      <c r="A812" s="446" t="s">
        <v>7501</v>
      </c>
    </row>
    <row r="813">
      <c r="A813" s="446" t="s">
        <v>7501</v>
      </c>
    </row>
    <row r="814">
      <c r="A814" s="446" t="s">
        <v>7505</v>
      </c>
    </row>
    <row r="815">
      <c r="A815" s="446" t="s">
        <v>7506</v>
      </c>
    </row>
    <row r="816">
      <c r="A816" s="446" t="s">
        <v>7508</v>
      </c>
    </row>
    <row r="817">
      <c r="A817" s="446" t="s">
        <v>7508</v>
      </c>
    </row>
    <row r="818">
      <c r="A818" s="446" t="s">
        <v>7511</v>
      </c>
    </row>
    <row r="819">
      <c r="A819" s="446" t="s">
        <v>7511</v>
      </c>
    </row>
    <row r="820">
      <c r="A820" s="446" t="s">
        <v>7514</v>
      </c>
    </row>
    <row r="821">
      <c r="A821" s="446" t="s">
        <v>6315</v>
      </c>
    </row>
    <row r="822">
      <c r="A822" s="446" t="s">
        <v>6315</v>
      </c>
    </row>
    <row r="823">
      <c r="A823" s="446" t="s">
        <v>7517</v>
      </c>
    </row>
    <row r="824">
      <c r="A824" s="446" t="s">
        <v>7517</v>
      </c>
    </row>
    <row r="825">
      <c r="A825" s="446" t="s">
        <v>6321</v>
      </c>
    </row>
    <row r="826">
      <c r="A826" s="446" t="s">
        <v>6321</v>
      </c>
    </row>
    <row r="827">
      <c r="A827" s="446" t="s">
        <v>7520</v>
      </c>
    </row>
    <row r="828">
      <c r="A828" s="446" t="s">
        <v>7520</v>
      </c>
    </row>
    <row r="829">
      <c r="A829" s="446" t="s">
        <v>6319</v>
      </c>
    </row>
    <row r="830">
      <c r="A830" s="446" t="s">
        <v>7524</v>
      </c>
    </row>
    <row r="831">
      <c r="A831" s="446" t="s">
        <v>7524</v>
      </c>
    </row>
    <row r="832">
      <c r="A832" s="446" t="s">
        <v>4843</v>
      </c>
    </row>
    <row r="833">
      <c r="A833" s="446" t="s">
        <v>7526</v>
      </c>
    </row>
    <row r="834">
      <c r="A834" s="446" t="s">
        <v>7528</v>
      </c>
    </row>
    <row r="835">
      <c r="A835" s="446" t="s">
        <v>6333</v>
      </c>
    </row>
    <row r="836">
      <c r="A836" s="446" t="s">
        <v>6333</v>
      </c>
    </row>
    <row r="837">
      <c r="A837" s="446" t="s">
        <v>6331</v>
      </c>
    </row>
    <row r="838">
      <c r="A838" s="446" t="s">
        <v>6331</v>
      </c>
    </row>
    <row r="839">
      <c r="A839" s="446" t="s">
        <v>6328</v>
      </c>
    </row>
    <row r="840">
      <c r="A840" s="446" t="s">
        <v>6326</v>
      </c>
    </row>
    <row r="841">
      <c r="A841" s="446" t="s">
        <v>7536</v>
      </c>
    </row>
    <row r="842">
      <c r="A842" s="446" t="s">
        <v>7536</v>
      </c>
    </row>
    <row r="843">
      <c r="A843" s="446" t="s">
        <v>7536</v>
      </c>
    </row>
    <row r="844">
      <c r="A844" s="446" t="s">
        <v>7539</v>
      </c>
    </row>
    <row r="845">
      <c r="A845" s="446" t="s">
        <v>7539</v>
      </c>
    </row>
    <row r="846">
      <c r="A846" s="446" t="s">
        <v>7542</v>
      </c>
    </row>
    <row r="847">
      <c r="A847" s="446" t="s">
        <v>6337</v>
      </c>
    </row>
    <row r="848">
      <c r="A848" s="446" t="s">
        <v>6337</v>
      </c>
    </row>
    <row r="849">
      <c r="A849" s="446" t="s">
        <v>6337</v>
      </c>
    </row>
    <row r="850">
      <c r="A850" s="446" t="s">
        <v>5404</v>
      </c>
    </row>
    <row r="851">
      <c r="A851" s="446" t="s">
        <v>5404</v>
      </c>
    </row>
    <row r="852">
      <c r="A852" s="446" t="s">
        <v>5404</v>
      </c>
    </row>
    <row r="853">
      <c r="A853" s="446" t="s">
        <v>6335</v>
      </c>
    </row>
    <row r="854">
      <c r="A854" s="446" t="s">
        <v>6335</v>
      </c>
    </row>
    <row r="855">
      <c r="A855" s="446" t="s">
        <v>6335</v>
      </c>
    </row>
    <row r="856">
      <c r="A856" s="446" t="s">
        <v>7554</v>
      </c>
    </row>
    <row r="857">
      <c r="A857" s="446" t="s">
        <v>7554</v>
      </c>
    </row>
    <row r="858">
      <c r="A858" s="446" t="s">
        <v>7557</v>
      </c>
    </row>
    <row r="859">
      <c r="A859" s="446" t="s">
        <v>7557</v>
      </c>
    </row>
    <row r="860">
      <c r="A860" s="446" t="s">
        <v>7557</v>
      </c>
    </row>
    <row r="861">
      <c r="A861" s="446" t="s">
        <v>6341</v>
      </c>
    </row>
    <row r="862">
      <c r="A862" s="446" t="s">
        <v>6341</v>
      </c>
    </row>
    <row r="863">
      <c r="A863" s="446" t="s">
        <v>6341</v>
      </c>
    </row>
    <row r="864">
      <c r="A864" s="446" t="s">
        <v>7559</v>
      </c>
    </row>
    <row r="865">
      <c r="A865" s="446" t="s">
        <v>7561</v>
      </c>
    </row>
    <row r="866">
      <c r="A866" s="446" t="s">
        <v>7561</v>
      </c>
    </row>
    <row r="867">
      <c r="A867" s="446" t="s">
        <v>7561</v>
      </c>
    </row>
    <row r="868">
      <c r="A868" s="446" t="s">
        <v>7565</v>
      </c>
    </row>
    <row r="869">
      <c r="A869" s="446" t="s">
        <v>7565</v>
      </c>
    </row>
    <row r="870">
      <c r="A870" s="446" t="s">
        <v>6349</v>
      </c>
    </row>
    <row r="871">
      <c r="A871" s="446" t="s">
        <v>6351</v>
      </c>
    </row>
    <row r="872">
      <c r="A872" s="446" t="s">
        <v>7570</v>
      </c>
    </row>
    <row r="873">
      <c r="A873" s="446" t="s">
        <v>7570</v>
      </c>
    </row>
    <row r="874">
      <c r="A874" s="446" t="s">
        <v>7572</v>
      </c>
    </row>
    <row r="875">
      <c r="A875" s="446" t="s">
        <v>7573</v>
      </c>
    </row>
    <row r="876">
      <c r="A876" s="446" t="s">
        <v>7573</v>
      </c>
    </row>
    <row r="877">
      <c r="A877" s="446" t="s">
        <v>7577</v>
      </c>
    </row>
    <row r="878">
      <c r="A878" s="446" t="s">
        <v>7577</v>
      </c>
    </row>
    <row r="879">
      <c r="A879" s="446" t="s">
        <v>7579</v>
      </c>
    </row>
    <row r="880">
      <c r="A880" s="446" t="s">
        <v>7579</v>
      </c>
    </row>
    <row r="881">
      <c r="A881" s="446" t="s">
        <v>7582</v>
      </c>
    </row>
    <row r="882">
      <c r="A882" s="446" t="s">
        <v>7585</v>
      </c>
    </row>
    <row r="883">
      <c r="A883" s="446" t="s">
        <v>7585</v>
      </c>
    </row>
    <row r="884">
      <c r="A884" s="446" t="s">
        <v>4797</v>
      </c>
    </row>
    <row r="885">
      <c r="A885" s="446" t="s">
        <v>4797</v>
      </c>
    </row>
    <row r="886">
      <c r="A886" s="446" t="s">
        <v>6352</v>
      </c>
    </row>
    <row r="887">
      <c r="A887" s="446" t="s">
        <v>6354</v>
      </c>
    </row>
    <row r="888">
      <c r="A888" s="446" t="s">
        <v>7588</v>
      </c>
    </row>
    <row r="889">
      <c r="A889" s="446" t="s">
        <v>7588</v>
      </c>
    </row>
    <row r="890">
      <c r="A890" s="446" t="s">
        <v>7592</v>
      </c>
    </row>
    <row r="891">
      <c r="A891" s="446" t="s">
        <v>7592</v>
      </c>
    </row>
    <row r="892">
      <c r="A892" s="446" t="s">
        <v>4779</v>
      </c>
    </row>
    <row r="893">
      <c r="A893" s="446" t="s">
        <v>4779</v>
      </c>
    </row>
    <row r="894">
      <c r="A894" s="446" t="s">
        <v>7596</v>
      </c>
    </row>
    <row r="895">
      <c r="A895" s="446" t="s">
        <v>7596</v>
      </c>
    </row>
    <row r="896">
      <c r="A896" s="446" t="s">
        <v>7597</v>
      </c>
    </row>
    <row r="897">
      <c r="A897" s="446" t="s">
        <v>7597</v>
      </c>
    </row>
    <row r="898">
      <c r="A898" s="446" t="s">
        <v>7601</v>
      </c>
    </row>
    <row r="899">
      <c r="A899" s="446" t="s">
        <v>7602</v>
      </c>
    </row>
    <row r="900">
      <c r="A900" s="446" t="s">
        <v>7603</v>
      </c>
    </row>
    <row r="901">
      <c r="A901" s="446" t="s">
        <v>7603</v>
      </c>
    </row>
    <row r="902">
      <c r="A902" s="446" t="s">
        <v>7603</v>
      </c>
    </row>
    <row r="903">
      <c r="A903" s="446" t="s">
        <v>6361</v>
      </c>
    </row>
    <row r="904">
      <c r="A904" s="446" t="s">
        <v>7605</v>
      </c>
    </row>
    <row r="905">
      <c r="A905" s="446" t="s">
        <v>6365</v>
      </c>
    </row>
    <row r="906">
      <c r="A906" s="446" t="s">
        <v>6363</v>
      </c>
    </row>
    <row r="907">
      <c r="A907" s="446" t="s">
        <v>6363</v>
      </c>
    </row>
    <row r="908">
      <c r="A908" s="446" t="s">
        <v>7609</v>
      </c>
    </row>
    <row r="909">
      <c r="A909" s="446" t="s">
        <v>7610</v>
      </c>
    </row>
    <row r="910">
      <c r="A910" s="446" t="s">
        <v>7610</v>
      </c>
    </row>
    <row r="911">
      <c r="A911" s="446" t="s">
        <v>6367</v>
      </c>
    </row>
    <row r="912">
      <c r="A912" s="446" t="s">
        <v>7614</v>
      </c>
    </row>
    <row r="913">
      <c r="A913" s="446" t="s">
        <v>7614</v>
      </c>
    </row>
    <row r="914">
      <c r="A914" s="446" t="s">
        <v>6369</v>
      </c>
    </row>
    <row r="915">
      <c r="A915" s="446" t="s">
        <v>7619</v>
      </c>
    </row>
    <row r="916">
      <c r="A916" s="446" t="s">
        <v>7619</v>
      </c>
    </row>
    <row r="917">
      <c r="A917" s="446" t="s">
        <v>6371</v>
      </c>
    </row>
    <row r="918">
      <c r="A918" s="446" t="s">
        <v>6380</v>
      </c>
    </row>
    <row r="919">
      <c r="A919" s="446" t="s">
        <v>6380</v>
      </c>
    </row>
    <row r="920">
      <c r="A920" s="446" t="s">
        <v>6378</v>
      </c>
    </row>
    <row r="921">
      <c r="A921" s="446" t="s">
        <v>6376</v>
      </c>
    </row>
    <row r="922">
      <c r="A922" s="446" t="s">
        <v>7624</v>
      </c>
    </row>
    <row r="923">
      <c r="A923" s="446" t="s">
        <v>7624</v>
      </c>
    </row>
    <row r="924">
      <c r="A924" s="446" t="s">
        <v>7626</v>
      </c>
    </row>
    <row r="925">
      <c r="A925" s="446" t="s">
        <v>7626</v>
      </c>
    </row>
    <row r="926">
      <c r="A926" s="446" t="s">
        <v>6382</v>
      </c>
    </row>
    <row r="927">
      <c r="A927" s="446" t="s">
        <v>7626</v>
      </c>
    </row>
    <row r="928">
      <c r="A928" s="446" t="s">
        <v>7629</v>
      </c>
    </row>
    <row r="929">
      <c r="A929" s="446" t="s">
        <v>7629</v>
      </c>
    </row>
    <row r="930">
      <c r="A930" s="446" t="s">
        <v>7632</v>
      </c>
    </row>
    <row r="931">
      <c r="A931" s="446" t="s">
        <v>7632</v>
      </c>
    </row>
    <row r="932">
      <c r="A932" s="446" t="s">
        <v>6385</v>
      </c>
    </row>
    <row r="933">
      <c r="A933" s="446" t="s">
        <v>7635</v>
      </c>
    </row>
    <row r="934">
      <c r="A934" s="446" t="s">
        <v>7635</v>
      </c>
    </row>
    <row r="935">
      <c r="A935" s="446" t="s">
        <v>7637</v>
      </c>
    </row>
    <row r="936">
      <c r="A936" s="446" t="s">
        <v>7637</v>
      </c>
    </row>
    <row r="937">
      <c r="A937" s="446" t="s">
        <v>7640</v>
      </c>
    </row>
    <row r="938">
      <c r="A938" s="446" t="s">
        <v>7640</v>
      </c>
    </row>
    <row r="939">
      <c r="A939" s="446" t="s">
        <v>7643</v>
      </c>
    </row>
    <row r="940">
      <c r="A940" s="446" t="s">
        <v>7643</v>
      </c>
    </row>
    <row r="941">
      <c r="A941" s="446" t="s">
        <v>7646</v>
      </c>
    </row>
    <row r="942">
      <c r="A942" s="446" t="s">
        <v>7646</v>
      </c>
    </row>
    <row r="943">
      <c r="A943" s="446" t="s">
        <v>6387</v>
      </c>
    </row>
    <row r="944">
      <c r="A944" s="446" t="s">
        <v>6387</v>
      </c>
    </row>
    <row r="945">
      <c r="A945" s="446" t="s">
        <v>7649</v>
      </c>
    </row>
    <row r="946">
      <c r="A946" s="446" t="s">
        <v>7649</v>
      </c>
    </row>
    <row r="947">
      <c r="A947" s="446" t="s">
        <v>7649</v>
      </c>
    </row>
    <row r="948">
      <c r="A948" s="446" t="s">
        <v>7650</v>
      </c>
    </row>
    <row r="949">
      <c r="A949" s="446" t="s">
        <v>7650</v>
      </c>
    </row>
    <row r="950">
      <c r="A950" s="446" t="s">
        <v>7650</v>
      </c>
    </row>
    <row r="951">
      <c r="A951" s="446" t="s">
        <v>7650</v>
      </c>
    </row>
    <row r="952">
      <c r="A952" s="446" t="s">
        <v>7650</v>
      </c>
    </row>
    <row r="953">
      <c r="A953" s="446" t="s">
        <v>6396</v>
      </c>
    </row>
    <row r="954">
      <c r="A954" s="446" t="s">
        <v>6396</v>
      </c>
    </row>
    <row r="955">
      <c r="A955" s="446" t="s">
        <v>6394</v>
      </c>
    </row>
    <row r="956">
      <c r="A956" s="446" t="s">
        <v>7655</v>
      </c>
    </row>
    <row r="957">
      <c r="A957" s="446" t="s">
        <v>7655</v>
      </c>
    </row>
    <row r="958">
      <c r="A958" s="446" t="s">
        <v>7656</v>
      </c>
    </row>
    <row r="959">
      <c r="A959" s="446" t="s">
        <v>7658</v>
      </c>
    </row>
    <row r="960">
      <c r="A960" s="446" t="s">
        <v>7656</v>
      </c>
    </row>
    <row r="961">
      <c r="A961" s="446" t="s">
        <v>7661</v>
      </c>
    </row>
    <row r="962">
      <c r="A962" s="446" t="s">
        <v>7664</v>
      </c>
    </row>
    <row r="963">
      <c r="A963" s="446" t="s">
        <v>7665</v>
      </c>
    </row>
    <row r="964">
      <c r="A964" s="446" t="s">
        <v>7665</v>
      </c>
    </row>
    <row r="965">
      <c r="A965" s="446" t="s">
        <v>6402</v>
      </c>
    </row>
    <row r="966">
      <c r="A966" s="446" t="s">
        <v>6402</v>
      </c>
    </row>
    <row r="967">
      <c r="A967" s="446" t="s">
        <v>7668</v>
      </c>
    </row>
    <row r="968">
      <c r="A968" s="446" t="s">
        <v>7670</v>
      </c>
    </row>
    <row r="969">
      <c r="A969" s="446" t="s">
        <v>7672</v>
      </c>
    </row>
    <row r="970">
      <c r="A970" s="446" t="s">
        <v>7672</v>
      </c>
    </row>
    <row r="971">
      <c r="A971" s="446" t="s">
        <v>7674</v>
      </c>
    </row>
    <row r="972">
      <c r="A972" s="446" t="s">
        <v>7674</v>
      </c>
    </row>
    <row r="973">
      <c r="A973" s="446" t="s">
        <v>7678</v>
      </c>
    </row>
    <row r="974">
      <c r="A974" s="446" t="s">
        <v>7678</v>
      </c>
    </row>
    <row r="975">
      <c r="A975" s="446" t="s">
        <v>6410</v>
      </c>
    </row>
    <row r="976">
      <c r="A976" s="446" t="s">
        <v>6410</v>
      </c>
    </row>
    <row r="977">
      <c r="A977" s="446" t="s">
        <v>6408</v>
      </c>
    </row>
    <row r="978">
      <c r="A978" s="446" t="s">
        <v>6408</v>
      </c>
    </row>
    <row r="979">
      <c r="A979" s="446" t="s">
        <v>7683</v>
      </c>
    </row>
    <row r="980">
      <c r="A980" s="446" t="s">
        <v>7683</v>
      </c>
    </row>
    <row r="981">
      <c r="A981" s="446" t="s">
        <v>7686</v>
      </c>
    </row>
    <row r="982">
      <c r="A982" s="446" t="s">
        <v>7686</v>
      </c>
    </row>
    <row r="983">
      <c r="A983" s="446" t="s">
        <v>6412</v>
      </c>
    </row>
    <row r="984">
      <c r="A984" s="446" t="s">
        <v>6412</v>
      </c>
    </row>
    <row r="985">
      <c r="A985" s="446" t="s">
        <v>7691</v>
      </c>
    </row>
    <row r="986">
      <c r="A986" s="446" t="s">
        <v>7691</v>
      </c>
    </row>
    <row r="987">
      <c r="A987" s="446" t="s">
        <v>7694</v>
      </c>
    </row>
    <row r="988">
      <c r="A988" s="446" t="s">
        <v>7694</v>
      </c>
    </row>
    <row r="989">
      <c r="A989" s="446" t="s">
        <v>6414</v>
      </c>
    </row>
    <row r="990">
      <c r="A990" s="446" t="s">
        <v>6416</v>
      </c>
    </row>
    <row r="991">
      <c r="A991" s="446" t="s">
        <v>6416</v>
      </c>
    </row>
    <row r="992">
      <c r="A992" s="446" t="s">
        <v>6418</v>
      </c>
    </row>
    <row r="993">
      <c r="A993" s="446" t="s">
        <v>6418</v>
      </c>
    </row>
    <row r="994">
      <c r="A994" s="446" t="s">
        <v>6417</v>
      </c>
    </row>
    <row r="995">
      <c r="A995" s="446" t="s">
        <v>6417</v>
      </c>
    </row>
    <row r="996">
      <c r="A996" s="446" t="s">
        <v>7702</v>
      </c>
    </row>
    <row r="997">
      <c r="A997" s="446" t="s">
        <v>7702</v>
      </c>
    </row>
    <row r="998">
      <c r="A998" s="446" t="s">
        <v>7705</v>
      </c>
    </row>
    <row r="999">
      <c r="A999" s="446" t="s">
        <v>7705</v>
      </c>
    </row>
    <row r="1000">
      <c r="A1000" s="446" t="s">
        <v>7708</v>
      </c>
    </row>
    <row r="1001">
      <c r="A1001" s="446" t="s">
        <v>7708</v>
      </c>
    </row>
    <row r="1002">
      <c r="A1002" s="446" t="s">
        <v>7710</v>
      </c>
    </row>
    <row r="1003">
      <c r="A1003" s="446" t="s">
        <v>7710</v>
      </c>
    </row>
    <row r="1004">
      <c r="A1004" s="446" t="s">
        <v>7712</v>
      </c>
    </row>
    <row r="1005">
      <c r="A1005" s="446" t="s">
        <v>7712</v>
      </c>
    </row>
    <row r="1006">
      <c r="A1006" s="446" t="s">
        <v>7715</v>
      </c>
    </row>
    <row r="1007">
      <c r="A1007" s="446" t="s">
        <v>7716</v>
      </c>
    </row>
    <row r="1008">
      <c r="A1008" s="446" t="s">
        <v>7716</v>
      </c>
    </row>
    <row r="1009">
      <c r="A1009" s="446" t="s">
        <v>6427</v>
      </c>
    </row>
    <row r="1010">
      <c r="A1010" s="446" t="s">
        <v>6425</v>
      </c>
    </row>
    <row r="1011">
      <c r="A1011" s="446" t="s">
        <v>7719</v>
      </c>
    </row>
    <row r="1012">
      <c r="A1012" s="446" t="s">
        <v>7719</v>
      </c>
    </row>
    <row r="1013">
      <c r="A1013" s="446" t="s">
        <v>7720</v>
      </c>
    </row>
    <row r="1014">
      <c r="A1014" s="446" t="s">
        <v>7720</v>
      </c>
    </row>
    <row r="1015">
      <c r="A1015" s="446" t="s">
        <v>7311</v>
      </c>
    </row>
    <row r="1016">
      <c r="A1016" s="446" t="s">
        <v>7721</v>
      </c>
    </row>
    <row r="1017">
      <c r="A1017" s="446" t="s">
        <v>7721</v>
      </c>
    </row>
    <row r="1018">
      <c r="A1018" s="446" t="s">
        <v>7724</v>
      </c>
    </row>
    <row r="1019">
      <c r="A1019" s="446" t="s">
        <v>6429</v>
      </c>
    </row>
    <row r="1020">
      <c r="A1020" s="446" t="s">
        <v>7726</v>
      </c>
    </row>
    <row r="1021">
      <c r="A1021" s="446" t="s">
        <v>7727</v>
      </c>
    </row>
    <row r="1022">
      <c r="A1022" s="446" t="s">
        <v>7728</v>
      </c>
    </row>
    <row r="1023">
      <c r="A1023" s="446" t="s">
        <v>7729</v>
      </c>
    </row>
    <row r="1024">
      <c r="A1024" s="446" t="s">
        <v>7729</v>
      </c>
    </row>
    <row r="1025">
      <c r="A1025" s="446" t="s">
        <v>7730</v>
      </c>
    </row>
    <row r="1026">
      <c r="A1026" s="446" t="s">
        <v>7730</v>
      </c>
    </row>
    <row r="1027">
      <c r="A1027" s="446" t="s">
        <v>7734</v>
      </c>
    </row>
    <row r="1028">
      <c r="A1028" s="446" t="s">
        <v>7734</v>
      </c>
    </row>
    <row r="1029">
      <c r="A1029" s="446" t="s">
        <v>7737</v>
      </c>
    </row>
    <row r="1030">
      <c r="A1030" s="446" t="s">
        <v>6431</v>
      </c>
    </row>
    <row r="1031">
      <c r="A1031" s="446" t="s">
        <v>6431</v>
      </c>
    </row>
    <row r="1032">
      <c r="A1032" s="446" t="s">
        <v>7739</v>
      </c>
    </row>
    <row r="1033">
      <c r="A1033" s="446" t="s">
        <v>7739</v>
      </c>
    </row>
    <row r="1034">
      <c r="A1034" s="446" t="s">
        <v>6433</v>
      </c>
    </row>
    <row r="1035">
      <c r="A1035" s="446" t="s">
        <v>6433</v>
      </c>
    </row>
    <row r="1036">
      <c r="A1036" s="446" t="s">
        <v>7740</v>
      </c>
    </row>
    <row r="1037">
      <c r="A1037" s="446" t="s">
        <v>7741</v>
      </c>
    </row>
    <row r="1038">
      <c r="A1038" s="446" t="s">
        <v>7741</v>
      </c>
    </row>
    <row r="1039">
      <c r="A1039" s="446" t="s">
        <v>6434</v>
      </c>
    </row>
    <row r="1040">
      <c r="A1040" s="446" t="s">
        <v>6434</v>
      </c>
    </row>
    <row r="1041">
      <c r="A1041" s="446" t="s">
        <v>6436</v>
      </c>
    </row>
    <row r="1042">
      <c r="A1042" s="446" t="s">
        <v>6436</v>
      </c>
    </row>
    <row r="1043">
      <c r="A1043" s="446" t="s">
        <v>6438</v>
      </c>
    </row>
    <row r="1044">
      <c r="A1044" s="446" t="s">
        <v>6438</v>
      </c>
    </row>
    <row r="1045">
      <c r="A1045" s="446" t="s">
        <v>6442</v>
      </c>
    </row>
    <row r="1046">
      <c r="A1046" s="446" t="s">
        <v>6442</v>
      </c>
    </row>
    <row r="1047">
      <c r="A1047" s="446" t="s">
        <v>7751</v>
      </c>
    </row>
    <row r="1048">
      <c r="A1048" s="446" t="s">
        <v>6444</v>
      </c>
    </row>
    <row r="1049">
      <c r="A1049" s="446" t="s">
        <v>6444</v>
      </c>
    </row>
    <row r="1050">
      <c r="A1050" s="446" t="s">
        <v>6446</v>
      </c>
    </row>
    <row r="1051">
      <c r="A1051" s="446" t="s">
        <v>6448</v>
      </c>
    </row>
    <row r="1052">
      <c r="A1052" s="446" t="s">
        <v>6454</v>
      </c>
    </row>
    <row r="1053">
      <c r="A1053" s="446" t="s">
        <v>6454</v>
      </c>
    </row>
    <row r="1054">
      <c r="A1054" s="446" t="s">
        <v>6454</v>
      </c>
    </row>
    <row r="1055">
      <c r="A1055" s="446" t="s">
        <v>6452</v>
      </c>
    </row>
    <row r="1056">
      <c r="A1056" s="446" t="s">
        <v>6452</v>
      </c>
    </row>
    <row r="1057">
      <c r="A1057" s="446" t="s">
        <v>6450</v>
      </c>
    </row>
    <row r="1058">
      <c r="A1058" s="446" t="s">
        <v>6450</v>
      </c>
    </row>
    <row r="1059">
      <c r="A1059" s="446" t="s">
        <v>7756</v>
      </c>
    </row>
    <row r="1060">
      <c r="A1060" s="446" t="s">
        <v>7758</v>
      </c>
    </row>
    <row r="1061">
      <c r="A1061" s="446" t="s">
        <v>7759</v>
      </c>
    </row>
    <row r="1062">
      <c r="A1062" s="446" t="s">
        <v>7759</v>
      </c>
    </row>
    <row r="1063">
      <c r="A1063" s="446" t="s">
        <v>7761</v>
      </c>
    </row>
    <row r="1064">
      <c r="A1064" s="446" t="s">
        <v>7762</v>
      </c>
    </row>
    <row r="1065">
      <c r="A1065" s="446" t="s">
        <v>7763</v>
      </c>
    </row>
    <row r="1066">
      <c r="A1066" s="446" t="s">
        <v>7765</v>
      </c>
    </row>
    <row r="1067">
      <c r="A1067" s="446" t="s">
        <v>7765</v>
      </c>
    </row>
    <row r="1068">
      <c r="A1068" s="446" t="s">
        <v>4854</v>
      </c>
    </row>
    <row r="1069">
      <c r="A1069" s="446" t="s">
        <v>4670</v>
      </c>
    </row>
    <row r="1070">
      <c r="A1070" s="446" t="s">
        <v>4670</v>
      </c>
    </row>
    <row r="1071">
      <c r="A1071" s="446" t="s">
        <v>7769</v>
      </c>
    </row>
    <row r="1072">
      <c r="A1072" s="446" t="s">
        <v>7769</v>
      </c>
    </row>
    <row r="1073">
      <c r="A1073" s="446" t="s">
        <v>7772</v>
      </c>
    </row>
    <row r="1074">
      <c r="A1074" s="446" t="s">
        <v>7775</v>
      </c>
    </row>
    <row r="1075">
      <c r="A1075" s="446" t="s">
        <v>6460</v>
      </c>
    </row>
    <row r="1076">
      <c r="A1076" s="446" t="s">
        <v>6460</v>
      </c>
    </row>
    <row r="1077">
      <c r="A1077" s="446" t="s">
        <v>7776</v>
      </c>
    </row>
    <row r="1078">
      <c r="A1078" s="446" t="s">
        <v>7771</v>
      </c>
    </row>
    <row r="1079">
      <c r="A1079" s="446" t="s">
        <v>7770</v>
      </c>
    </row>
    <row r="1080">
      <c r="A1080" s="446" t="s">
        <v>7768</v>
      </c>
    </row>
    <row r="1081">
      <c r="A1081" s="446" t="s">
        <v>7287</v>
      </c>
    </row>
    <row r="1082">
      <c r="A1082" s="446" t="s">
        <v>7287</v>
      </c>
    </row>
    <row r="1083">
      <c r="A1083" s="446" t="s">
        <v>7289</v>
      </c>
    </row>
    <row r="1084">
      <c r="A1084" s="446" t="s">
        <v>7289</v>
      </c>
    </row>
    <row r="1085">
      <c r="A1085" s="446" t="s">
        <v>7289</v>
      </c>
    </row>
    <row r="1086">
      <c r="A1086" s="446" t="s">
        <v>7289</v>
      </c>
    </row>
    <row r="1087">
      <c r="A1087" s="446" t="s">
        <v>7764</v>
      </c>
    </row>
    <row r="1088">
      <c r="A1088" s="446" t="s">
        <v>6462</v>
      </c>
    </row>
    <row r="1089">
      <c r="A1089" s="446" t="s">
        <v>6467</v>
      </c>
    </row>
    <row r="1090">
      <c r="A1090" s="446" t="s">
        <v>6467</v>
      </c>
    </row>
    <row r="1091">
      <c r="A1091" s="446" t="s">
        <v>6464</v>
      </c>
    </row>
    <row r="1092">
      <c r="A1092" s="446" t="s">
        <v>7757</v>
      </c>
    </row>
    <row r="1093">
      <c r="A1093" s="446" t="s">
        <v>7788</v>
      </c>
    </row>
    <row r="1094">
      <c r="A1094" s="446" t="s">
        <v>7788</v>
      </c>
    </row>
    <row r="1095">
      <c r="A1095" s="446" t="s">
        <v>6475</v>
      </c>
    </row>
    <row r="1096">
      <c r="A1096" s="446" t="s">
        <v>6475</v>
      </c>
    </row>
    <row r="1097">
      <c r="A1097" s="446" t="s">
        <v>7754</v>
      </c>
    </row>
    <row r="1098">
      <c r="A1098" s="446" t="s">
        <v>7754</v>
      </c>
    </row>
    <row r="1099">
      <c r="A1099" s="446" t="s">
        <v>6473</v>
      </c>
    </row>
    <row r="1100">
      <c r="A1100" s="446" t="s">
        <v>6473</v>
      </c>
    </row>
    <row r="1101">
      <c r="A1101" s="446" t="s">
        <v>4644</v>
      </c>
    </row>
    <row r="1102">
      <c r="A1102" s="446" t="s">
        <v>4644</v>
      </c>
    </row>
    <row r="1103">
      <c r="A1103" s="446" t="s">
        <v>6479</v>
      </c>
    </row>
    <row r="1104">
      <c r="A1104" s="446" t="s">
        <v>7752</v>
      </c>
    </row>
    <row r="1105">
      <c r="A1105" s="446" t="s">
        <v>7752</v>
      </c>
    </row>
    <row r="1106">
      <c r="A1106" s="446" t="s">
        <v>6477</v>
      </c>
    </row>
    <row r="1107">
      <c r="A1107" s="446" t="s">
        <v>6477</v>
      </c>
    </row>
    <row r="1108">
      <c r="A1108" s="446" t="s">
        <v>7714</v>
      </c>
    </row>
    <row r="1109">
      <c r="A1109" s="446" t="s">
        <v>7746</v>
      </c>
    </row>
    <row r="1110">
      <c r="A1110" s="446" t="s">
        <v>4633</v>
      </c>
    </row>
    <row r="1111">
      <c r="A1111" s="446" t="s">
        <v>4633</v>
      </c>
    </row>
    <row r="1112">
      <c r="A1112" s="446" t="s">
        <v>7744</v>
      </c>
    </row>
    <row r="1113">
      <c r="A1113" s="446" t="s">
        <v>7744</v>
      </c>
    </row>
    <row r="1114">
      <c r="A1114" s="446" t="s">
        <v>7743</v>
      </c>
    </row>
    <row r="1115">
      <c r="A1115" s="446" t="s">
        <v>7743</v>
      </c>
    </row>
    <row r="1116">
      <c r="A1116" s="446" t="s">
        <v>7742</v>
      </c>
    </row>
    <row r="1117">
      <c r="A1117" s="446" t="s">
        <v>6487</v>
      </c>
    </row>
    <row r="1118">
      <c r="A1118" s="446" t="s">
        <v>6487</v>
      </c>
    </row>
    <row r="1119">
      <c r="A1119" s="446" t="s">
        <v>6485</v>
      </c>
    </row>
    <row r="1120">
      <c r="A1120" s="446" t="s">
        <v>6491</v>
      </c>
    </row>
    <row r="1121">
      <c r="A1121" s="446" t="s">
        <v>6491</v>
      </c>
    </row>
    <row r="1122">
      <c r="A1122" s="446" t="s">
        <v>6489</v>
      </c>
    </row>
    <row r="1123">
      <c r="A1123" s="446" t="s">
        <v>6489</v>
      </c>
    </row>
    <row r="1124">
      <c r="A1124" s="446" t="s">
        <v>6493</v>
      </c>
    </row>
    <row r="1125">
      <c r="A1125" s="446" t="s">
        <v>6493</v>
      </c>
    </row>
    <row r="1126">
      <c r="A1126" s="446" t="s">
        <v>7731</v>
      </c>
    </row>
    <row r="1127">
      <c r="A1127" s="446" t="s">
        <v>7731</v>
      </c>
    </row>
    <row r="1128">
      <c r="A1128" s="446" t="s">
        <v>6495</v>
      </c>
    </row>
    <row r="1129">
      <c r="A1129" s="446" t="s">
        <v>6495</v>
      </c>
    </row>
    <row r="1130">
      <c r="A1130" s="446" t="s">
        <v>6497</v>
      </c>
    </row>
    <row r="1131">
      <c r="A1131" s="446" t="s">
        <v>6497</v>
      </c>
    </row>
    <row r="1132">
      <c r="A1132" s="446" t="s">
        <v>6497</v>
      </c>
    </row>
    <row r="1133">
      <c r="A1133" s="446" t="s">
        <v>6497</v>
      </c>
    </row>
    <row r="1134">
      <c r="A1134" s="446" t="s">
        <v>6501</v>
      </c>
    </row>
    <row r="1135">
      <c r="A1135" s="446" t="s">
        <v>6501</v>
      </c>
    </row>
    <row r="1136">
      <c r="A1136" s="446" t="s">
        <v>6499</v>
      </c>
    </row>
    <row r="1137">
      <c r="A1137" s="446" t="s">
        <v>6499</v>
      </c>
    </row>
    <row r="1138">
      <c r="A1138" s="446" t="s">
        <v>7725</v>
      </c>
    </row>
    <row r="1139">
      <c r="A1139" s="446" t="s">
        <v>6503</v>
      </c>
    </row>
    <row r="1140">
      <c r="A1140" s="446" t="s">
        <v>6503</v>
      </c>
    </row>
    <row r="1141">
      <c r="A1141" s="446" t="s">
        <v>7723</v>
      </c>
    </row>
    <row r="1142">
      <c r="A1142" s="446" t="s">
        <v>7722</v>
      </c>
    </row>
    <row r="1143">
      <c r="A1143" s="446" t="s">
        <v>7722</v>
      </c>
    </row>
    <row r="1144">
      <c r="A1144" s="446" t="s">
        <v>7722</v>
      </c>
    </row>
    <row r="1145">
      <c r="A1145" s="446" t="s">
        <v>7722</v>
      </c>
    </row>
    <row r="1146">
      <c r="A1146" s="446" t="s">
        <v>6506</v>
      </c>
    </row>
    <row r="1147">
      <c r="A1147" s="446" t="s">
        <v>4621</v>
      </c>
    </row>
    <row r="1148">
      <c r="A1148" s="446" t="s">
        <v>4621</v>
      </c>
    </row>
    <row r="1149">
      <c r="A1149" s="446" t="s">
        <v>6508</v>
      </c>
    </row>
    <row r="1150">
      <c r="A1150" s="446" t="s">
        <v>6513</v>
      </c>
    </row>
    <row r="1151">
      <c r="A1151" s="446" t="s">
        <v>6511</v>
      </c>
    </row>
    <row r="1152">
      <c r="A1152" s="446" t="s">
        <v>6511</v>
      </c>
    </row>
    <row r="1153">
      <c r="A1153" s="446" t="s">
        <v>6509</v>
      </c>
    </row>
    <row r="1154">
      <c r="A1154" s="446" t="s">
        <v>6509</v>
      </c>
    </row>
    <row r="1155">
      <c r="A1155" s="446" t="s">
        <v>7717</v>
      </c>
    </row>
    <row r="1156">
      <c r="A1156" s="446" t="s">
        <v>7717</v>
      </c>
    </row>
    <row r="1157">
      <c r="A1157" s="446" t="s">
        <v>6515</v>
      </c>
    </row>
    <row r="1158">
      <c r="A1158" s="446" t="s">
        <v>7713</v>
      </c>
    </row>
    <row r="1159">
      <c r="A1159" s="446" t="s">
        <v>7707</v>
      </c>
    </row>
    <row r="1160">
      <c r="A1160" s="446" t="s">
        <v>7707</v>
      </c>
    </row>
    <row r="1161">
      <c r="A1161" s="446" t="s">
        <v>7706</v>
      </c>
    </row>
    <row r="1162">
      <c r="A1162" s="446" t="s">
        <v>7706</v>
      </c>
    </row>
    <row r="1163">
      <c r="A1163" s="446" t="s">
        <v>7807</v>
      </c>
    </row>
    <row r="1164">
      <c r="A1164" s="446" t="s">
        <v>7807</v>
      </c>
    </row>
    <row r="1165">
      <c r="A1165" s="446" t="s">
        <v>7808</v>
      </c>
    </row>
    <row r="1166">
      <c r="A1166" s="446" t="s">
        <v>7809</v>
      </c>
    </row>
    <row r="1167">
      <c r="A1167" s="446" t="s">
        <v>7695</v>
      </c>
    </row>
    <row r="1168">
      <c r="A1168" s="446" t="s">
        <v>7695</v>
      </c>
    </row>
    <row r="1169">
      <c r="A1169" s="446" t="s">
        <v>7693</v>
      </c>
    </row>
    <row r="1170">
      <c r="A1170" s="446" t="s">
        <v>7692</v>
      </c>
    </row>
    <row r="1171">
      <c r="A1171" s="446" t="s">
        <v>7690</v>
      </c>
    </row>
    <row r="1172">
      <c r="A1172" s="446" t="s">
        <v>7690</v>
      </c>
    </row>
    <row r="1173">
      <c r="A1173" s="446" t="s">
        <v>7689</v>
      </c>
    </row>
    <row r="1174">
      <c r="A1174" s="446" t="s">
        <v>7689</v>
      </c>
    </row>
    <row r="1175">
      <c r="A1175" s="446" t="s">
        <v>7689</v>
      </c>
    </row>
    <row r="1176">
      <c r="A1176" s="446" t="s">
        <v>7687</v>
      </c>
    </row>
    <row r="1177">
      <c r="A1177" s="446" t="s">
        <v>7687</v>
      </c>
    </row>
    <row r="1178">
      <c r="A1178" s="446" t="s">
        <v>7685</v>
      </c>
    </row>
    <row r="1179">
      <c r="A1179" s="446" t="s">
        <v>7681</v>
      </c>
    </row>
    <row r="1180">
      <c r="A1180" s="446" t="s">
        <v>7681</v>
      </c>
    </row>
    <row r="1181">
      <c r="A1181" s="446" t="s">
        <v>4458</v>
      </c>
    </row>
    <row r="1182">
      <c r="A1182" s="446" t="s">
        <v>4458</v>
      </c>
    </row>
    <row r="1183">
      <c r="A1183" s="446" t="s">
        <v>7675</v>
      </c>
    </row>
    <row r="1184">
      <c r="A1184" s="446" t="s">
        <v>7675</v>
      </c>
    </row>
    <row r="1185">
      <c r="A1185" s="446" t="s">
        <v>6522</v>
      </c>
    </row>
    <row r="1186">
      <c r="A1186" s="446" t="s">
        <v>6522</v>
      </c>
    </row>
    <row r="1187">
      <c r="A1187" s="446" t="s">
        <v>7673</v>
      </c>
    </row>
    <row r="1188">
      <c r="A1188" s="446" t="s">
        <v>7673</v>
      </c>
    </row>
    <row r="1189">
      <c r="A1189" s="446" t="s">
        <v>7671</v>
      </c>
    </row>
    <row r="1190">
      <c r="A1190" s="446" t="s">
        <v>7671</v>
      </c>
    </row>
    <row r="1191">
      <c r="A1191" s="446" t="s">
        <v>6525</v>
      </c>
    </row>
    <row r="1192">
      <c r="A1192" s="446" t="s">
        <v>6525</v>
      </c>
    </row>
    <row r="1193">
      <c r="A1193" s="446" t="s">
        <v>6527</v>
      </c>
    </row>
    <row r="1194">
      <c r="A1194" s="446" t="s">
        <v>4433</v>
      </c>
    </row>
    <row r="1195">
      <c r="A1195" s="446" t="s">
        <v>4433</v>
      </c>
    </row>
    <row r="1196">
      <c r="A1196" s="446" t="s">
        <v>6529</v>
      </c>
    </row>
    <row r="1197">
      <c r="A1197" s="446" t="s">
        <v>6529</v>
      </c>
    </row>
    <row r="1198">
      <c r="A1198" s="446" t="s">
        <v>4419</v>
      </c>
    </row>
    <row r="1199">
      <c r="A1199" s="446" t="s">
        <v>4419</v>
      </c>
    </row>
    <row r="1200">
      <c r="A1200" s="446" t="s">
        <v>7657</v>
      </c>
    </row>
    <row r="1201">
      <c r="A1201" s="446" t="s">
        <v>7657</v>
      </c>
    </row>
    <row r="1202">
      <c r="A1202" s="446" t="s">
        <v>6532</v>
      </c>
    </row>
    <row r="1203">
      <c r="A1203" s="446" t="s">
        <v>6534</v>
      </c>
    </row>
    <row r="1204">
      <c r="A1204" s="446" t="s">
        <v>6534</v>
      </c>
    </row>
    <row r="1205">
      <c r="A1205" s="446" t="s">
        <v>6534</v>
      </c>
    </row>
    <row r="1206">
      <c r="A1206" s="446" t="s">
        <v>6536</v>
      </c>
    </row>
    <row r="1207">
      <c r="A1207" s="446" t="s">
        <v>6536</v>
      </c>
    </row>
    <row r="1208">
      <c r="A1208" s="446" t="s">
        <v>7653</v>
      </c>
    </row>
    <row r="1209">
      <c r="A1209" s="446" t="s">
        <v>7651</v>
      </c>
    </row>
    <row r="1210">
      <c r="A1210" s="446" t="s">
        <v>7651</v>
      </c>
    </row>
    <row r="1211">
      <c r="A1211" s="446" t="s">
        <v>4667</v>
      </c>
    </row>
    <row r="1212">
      <c r="A1212" s="446" t="s">
        <v>4647</v>
      </c>
    </row>
    <row r="1213">
      <c r="A1213" s="446" t="s">
        <v>4647</v>
      </c>
    </row>
    <row r="1214">
      <c r="A1214" s="446" t="s">
        <v>4647</v>
      </c>
    </row>
    <row r="1215">
      <c r="A1215" s="446" t="s">
        <v>6539</v>
      </c>
    </row>
    <row r="1216">
      <c r="A1216" s="446" t="s">
        <v>6539</v>
      </c>
    </row>
    <row r="1217">
      <c r="A1217" s="446" t="s">
        <v>6541</v>
      </c>
    </row>
    <row r="1218">
      <c r="A1218" s="446" t="s">
        <v>6542</v>
      </c>
    </row>
    <row r="1219">
      <c r="A1219" s="446" t="s">
        <v>6544</v>
      </c>
    </row>
    <row r="1220">
      <c r="A1220" s="446" t="s">
        <v>6544</v>
      </c>
    </row>
    <row r="1221">
      <c r="A1221" s="446" t="s">
        <v>7645</v>
      </c>
    </row>
    <row r="1222">
      <c r="A1222" s="446" t="s">
        <v>7645</v>
      </c>
    </row>
    <row r="1223">
      <c r="A1223" s="446" t="s">
        <v>4638</v>
      </c>
    </row>
    <row r="1224">
      <c r="A1224" s="446" t="s">
        <v>4638</v>
      </c>
    </row>
    <row r="1225">
      <c r="A1225" s="446" t="s">
        <v>7642</v>
      </c>
    </row>
    <row r="1226">
      <c r="A1226" s="446" t="s">
        <v>7642</v>
      </c>
    </row>
    <row r="1227">
      <c r="A1227" s="446" t="s">
        <v>7641</v>
      </c>
    </row>
    <row r="1228">
      <c r="A1228" s="446" t="s">
        <v>7677</v>
      </c>
    </row>
    <row r="1229">
      <c r="A1229" s="446" t="s">
        <v>7677</v>
      </c>
    </row>
    <row r="1230">
      <c r="A1230" s="446" t="s">
        <v>7666</v>
      </c>
    </row>
    <row r="1231">
      <c r="A1231" s="446" t="s">
        <v>4667</v>
      </c>
    </row>
    <row r="1232">
      <c r="A1232" s="446" t="s">
        <v>7684</v>
      </c>
    </row>
    <row r="1233">
      <c r="A1233" s="446" t="s">
        <v>7684</v>
      </c>
    </row>
    <row r="1234">
      <c r="A1234" s="446" t="s">
        <v>7682</v>
      </c>
    </row>
    <row r="1235">
      <c r="A1235" s="446" t="s">
        <v>7682</v>
      </c>
    </row>
    <row r="1236">
      <c r="A1236" s="446" t="s">
        <v>6552</v>
      </c>
    </row>
    <row r="1237">
      <c r="A1237" s="446" t="s">
        <v>6549</v>
      </c>
    </row>
    <row r="1238">
      <c r="A1238" s="446" t="s">
        <v>6554</v>
      </c>
    </row>
    <row r="1239">
      <c r="A1239" s="446" t="s">
        <v>6554</v>
      </c>
    </row>
    <row r="1240">
      <c r="A1240" s="446" t="s">
        <v>6554</v>
      </c>
    </row>
    <row r="1241">
      <c r="A1241" s="446" t="s">
        <v>7633</v>
      </c>
    </row>
    <row r="1242">
      <c r="A1242" s="446" t="s">
        <v>7631</v>
      </c>
    </row>
    <row r="1243">
      <c r="A1243" s="446" t="s">
        <v>7630</v>
      </c>
    </row>
    <row r="1244">
      <c r="A1244" s="446" t="s">
        <v>7630</v>
      </c>
    </row>
    <row r="1245">
      <c r="A1245" s="446" t="s">
        <v>7630</v>
      </c>
    </row>
    <row r="1246">
      <c r="A1246" s="446" t="s">
        <v>6558</v>
      </c>
    </row>
    <row r="1247">
      <c r="A1247" s="446" t="s">
        <v>6563</v>
      </c>
    </row>
    <row r="1248">
      <c r="A1248" s="446" t="s">
        <v>6563</v>
      </c>
    </row>
    <row r="1249">
      <c r="A1249" s="446" t="s">
        <v>6569</v>
      </c>
    </row>
    <row r="1250">
      <c r="A1250" s="446" t="s">
        <v>7617</v>
      </c>
    </row>
    <row r="1251">
      <c r="A1251" s="446" t="s">
        <v>7615</v>
      </c>
    </row>
    <row r="1252">
      <c r="A1252" s="446" t="s">
        <v>7615</v>
      </c>
    </row>
    <row r="1253">
      <c r="A1253" s="446" t="s">
        <v>7612</v>
      </c>
    </row>
    <row r="1254">
      <c r="A1254" s="446" t="s">
        <v>7612</v>
      </c>
    </row>
    <row r="1255">
      <c r="A1255" s="446" t="s">
        <v>7611</v>
      </c>
    </row>
    <row r="1256">
      <c r="A1256" s="446" t="s">
        <v>7611</v>
      </c>
    </row>
    <row r="1257">
      <c r="A1257" s="446" t="s">
        <v>6573</v>
      </c>
    </row>
    <row r="1258">
      <c r="A1258" s="446" t="s">
        <v>6573</v>
      </c>
    </row>
    <row r="1259">
      <c r="A1259" s="446" t="s">
        <v>6571</v>
      </c>
    </row>
    <row r="1260">
      <c r="A1260" s="446" t="s">
        <v>6575</v>
      </c>
    </row>
    <row r="1261">
      <c r="A1261" s="446" t="s">
        <v>6575</v>
      </c>
    </row>
    <row r="1262">
      <c r="A1262" s="446" t="s">
        <v>7604</v>
      </c>
    </row>
    <row r="1263">
      <c r="A1263" s="446" t="s">
        <v>7604</v>
      </c>
    </row>
    <row r="1264">
      <c r="A1264" s="446" t="s">
        <v>6580</v>
      </c>
    </row>
    <row r="1265">
      <c r="A1265" s="446" t="s">
        <v>7600</v>
      </c>
    </row>
    <row r="1266">
      <c r="A1266" s="446" t="s">
        <v>7600</v>
      </c>
    </row>
    <row r="1267">
      <c r="A1267" s="446" t="s">
        <v>7600</v>
      </c>
    </row>
    <row r="1268">
      <c r="A1268" s="446" t="s">
        <v>4339</v>
      </c>
    </row>
    <row r="1269">
      <c r="A1269" s="446" t="s">
        <v>4339</v>
      </c>
    </row>
    <row r="1270">
      <c r="A1270" s="446" t="s">
        <v>7595</v>
      </c>
    </row>
    <row r="1271">
      <c r="A1271" s="446" t="s">
        <v>7595</v>
      </c>
    </row>
    <row r="1272">
      <c r="A1272" s="446" t="s">
        <v>7593</v>
      </c>
    </row>
    <row r="1273">
      <c r="A1273" s="446" t="s">
        <v>7593</v>
      </c>
    </row>
    <row r="1274">
      <c r="A1274" s="446" t="s">
        <v>7591</v>
      </c>
    </row>
    <row r="1275">
      <c r="A1275" s="446" t="s">
        <v>7591</v>
      </c>
    </row>
    <row r="1276">
      <c r="A1276" s="446" t="s">
        <v>7587</v>
      </c>
    </row>
    <row r="1277">
      <c r="A1277" s="446" t="s">
        <v>7586</v>
      </c>
    </row>
    <row r="1278">
      <c r="A1278" s="446" t="s">
        <v>7586</v>
      </c>
    </row>
    <row r="1279">
      <c r="A1279" s="446" t="s">
        <v>7586</v>
      </c>
    </row>
    <row r="1280">
      <c r="A1280" s="446" t="s">
        <v>7574</v>
      </c>
    </row>
    <row r="1281">
      <c r="A1281" s="446" t="s">
        <v>7574</v>
      </c>
    </row>
    <row r="1282">
      <c r="A1282" s="446" t="s">
        <v>7863</v>
      </c>
    </row>
    <row r="1283">
      <c r="A1283" s="446" t="s">
        <v>7863</v>
      </c>
    </row>
    <row r="1284">
      <c r="A1284" s="446" t="s">
        <v>4327</v>
      </c>
    </row>
    <row r="1285">
      <c r="A1285" s="446" t="s">
        <v>7580</v>
      </c>
    </row>
    <row r="1286">
      <c r="A1286" s="446" t="s">
        <v>7580</v>
      </c>
    </row>
    <row r="1287">
      <c r="A1287" s="446" t="s">
        <v>6586</v>
      </c>
    </row>
    <row r="1288">
      <c r="A1288" s="446" t="s">
        <v>6593</v>
      </c>
    </row>
    <row r="1289">
      <c r="A1289" s="446" t="s">
        <v>6591</v>
      </c>
    </row>
    <row r="1290">
      <c r="A1290" s="446" t="s">
        <v>6591</v>
      </c>
    </row>
    <row r="1291">
      <c r="A1291" s="446" t="s">
        <v>6589</v>
      </c>
    </row>
    <row r="1292">
      <c r="A1292" s="446" t="s">
        <v>7571</v>
      </c>
    </row>
    <row r="1293">
      <c r="A1293" s="446" t="s">
        <v>7578</v>
      </c>
    </row>
    <row r="1294">
      <c r="A1294" s="446" t="s">
        <v>6595</v>
      </c>
    </row>
    <row r="1295">
      <c r="A1295" s="446" t="s">
        <v>7562</v>
      </c>
    </row>
    <row r="1296">
      <c r="A1296" s="446" t="s">
        <v>7562</v>
      </c>
    </row>
    <row r="1297">
      <c r="A1297" s="446" t="s">
        <v>6597</v>
      </c>
    </row>
    <row r="1298">
      <c r="A1298" s="446" t="s">
        <v>7560</v>
      </c>
    </row>
    <row r="1299">
      <c r="A1299" s="446" t="s">
        <v>6602</v>
      </c>
    </row>
    <row r="1300">
      <c r="A1300" s="446" t="s">
        <v>6602</v>
      </c>
    </row>
    <row r="1301">
      <c r="A1301" s="446" t="s">
        <v>6599</v>
      </c>
    </row>
    <row r="1302">
      <c r="A1302" s="446" t="s">
        <v>6608</v>
      </c>
    </row>
    <row r="1303">
      <c r="A1303" s="446" t="s">
        <v>6608</v>
      </c>
    </row>
    <row r="1304">
      <c r="A1304" s="446" t="s">
        <v>6606</v>
      </c>
    </row>
    <row r="1305">
      <c r="A1305" s="446" t="s">
        <v>6604</v>
      </c>
    </row>
    <row r="1306">
      <c r="A1306" s="446" t="s">
        <v>6604</v>
      </c>
    </row>
    <row r="1307">
      <c r="A1307" s="446" t="s">
        <v>7553</v>
      </c>
    </row>
    <row r="1308">
      <c r="A1308" s="446" t="s">
        <v>7553</v>
      </c>
    </row>
    <row r="1309">
      <c r="A1309" s="446" t="s">
        <v>4288</v>
      </c>
    </row>
    <row r="1310">
      <c r="A1310" s="446" t="s">
        <v>4288</v>
      </c>
    </row>
    <row r="1311">
      <c r="A1311" s="446" t="s">
        <v>4284</v>
      </c>
    </row>
    <row r="1312">
      <c r="A1312" s="446" t="s">
        <v>7552</v>
      </c>
    </row>
    <row r="1313">
      <c r="A1313" s="446" t="s">
        <v>7552</v>
      </c>
    </row>
    <row r="1314">
      <c r="A1314" s="446" t="s">
        <v>7538</v>
      </c>
    </row>
    <row r="1315">
      <c r="A1315" s="446" t="s">
        <v>7538</v>
      </c>
    </row>
    <row r="1316">
      <c r="A1316" s="446" t="s">
        <v>7537</v>
      </c>
    </row>
    <row r="1317">
      <c r="A1317" s="446" t="s">
        <v>7535</v>
      </c>
    </row>
    <row r="1318">
      <c r="A1318" s="446" t="s">
        <v>6615</v>
      </c>
    </row>
    <row r="1319">
      <c r="A1319" s="446" t="s">
        <v>6615</v>
      </c>
    </row>
    <row r="1320">
      <c r="A1320" s="446" t="s">
        <v>6615</v>
      </c>
    </row>
    <row r="1321">
      <c r="A1321" s="446" t="s">
        <v>7532</v>
      </c>
    </row>
    <row r="1322">
      <c r="A1322" s="446" t="s">
        <v>7531</v>
      </c>
    </row>
    <row r="1323">
      <c r="A1323" s="446" t="s">
        <v>7531</v>
      </c>
    </row>
    <row r="1324">
      <c r="A1324" s="446" t="s">
        <v>7530</v>
      </c>
    </row>
    <row r="1325">
      <c r="A1325" s="446" t="s">
        <v>7530</v>
      </c>
    </row>
    <row r="1326">
      <c r="A1326" s="446" t="s">
        <v>7530</v>
      </c>
    </row>
    <row r="1327">
      <c r="A1327" s="446" t="s">
        <v>7527</v>
      </c>
    </row>
    <row r="1328">
      <c r="A1328" s="446" t="s">
        <v>7527</v>
      </c>
    </row>
    <row r="1329">
      <c r="A1329" s="446" t="s">
        <v>4374</v>
      </c>
    </row>
    <row r="1330">
      <c r="A1330" s="446" t="s">
        <v>6620</v>
      </c>
    </row>
    <row r="1331">
      <c r="A1331" s="446" t="s">
        <v>7523</v>
      </c>
    </row>
    <row r="1332">
      <c r="A1332" s="446" t="s">
        <v>7523</v>
      </c>
    </row>
    <row r="1333">
      <c r="A1333" s="446" t="s">
        <v>7521</v>
      </c>
    </row>
    <row r="1334">
      <c r="A1334" s="446" t="s">
        <v>6623</v>
      </c>
    </row>
    <row r="1335">
      <c r="A1335" s="446" t="s">
        <v>7518</v>
      </c>
    </row>
    <row r="1336">
      <c r="A1336" s="446" t="s">
        <v>7518</v>
      </c>
    </row>
    <row r="1337">
      <c r="A1337" s="446" t="s">
        <v>7515</v>
      </c>
    </row>
    <row r="1338">
      <c r="A1338" s="446" t="s">
        <v>7515</v>
      </c>
    </row>
    <row r="1339">
      <c r="A1339" s="446" t="s">
        <v>4250</v>
      </c>
    </row>
    <row r="1340">
      <c r="A1340" s="446" t="s">
        <v>7510</v>
      </c>
    </row>
    <row r="1341">
      <c r="A1341" s="446" t="s">
        <v>7502</v>
      </c>
    </row>
    <row r="1342">
      <c r="A1342" s="446" t="s">
        <v>6631</v>
      </c>
    </row>
    <row r="1343">
      <c r="A1343" s="446" t="s">
        <v>6631</v>
      </c>
    </row>
    <row r="1344">
      <c r="A1344" s="446" t="s">
        <v>6633</v>
      </c>
    </row>
    <row r="1345">
      <c r="A1345" s="446" t="s">
        <v>6633</v>
      </c>
    </row>
    <row r="1346">
      <c r="A1346" s="446" t="s">
        <v>7459</v>
      </c>
    </row>
    <row r="1347">
      <c r="A1347" s="446" t="s">
        <v>7455</v>
      </c>
    </row>
    <row r="1348">
      <c r="A1348" s="446" t="s">
        <v>7453</v>
      </c>
    </row>
    <row r="1349">
      <c r="A1349" s="446" t="s">
        <v>7453</v>
      </c>
    </row>
    <row r="1350">
      <c r="A1350" s="446" t="s">
        <v>6638</v>
      </c>
    </row>
    <row r="1351">
      <c r="A1351" s="446" t="s">
        <v>6638</v>
      </c>
    </row>
    <row r="1352">
      <c r="A1352" s="446" t="s">
        <v>4345</v>
      </c>
    </row>
    <row r="1353">
      <c r="A1353" s="446" t="s">
        <v>4345</v>
      </c>
    </row>
    <row r="1354">
      <c r="A1354" s="446" t="s">
        <v>4345</v>
      </c>
    </row>
    <row r="1355">
      <c r="A1355" s="446" t="s">
        <v>4345</v>
      </c>
    </row>
    <row r="1356">
      <c r="A1356" s="446" t="s">
        <v>7447</v>
      </c>
    </row>
    <row r="1357">
      <c r="A1357" s="446" t="s">
        <v>6644</v>
      </c>
    </row>
    <row r="1358">
      <c r="A1358" s="446" t="s">
        <v>7445</v>
      </c>
    </row>
    <row r="1359">
      <c r="A1359" s="446" t="s">
        <v>7445</v>
      </c>
    </row>
    <row r="1360">
      <c r="A1360" s="446" t="s">
        <v>7442</v>
      </c>
    </row>
    <row r="1361">
      <c r="A1361" s="446" t="s">
        <v>7442</v>
      </c>
    </row>
    <row r="1362">
      <c r="A1362" s="446" t="s">
        <v>7442</v>
      </c>
    </row>
    <row r="1363">
      <c r="A1363" s="446" t="s">
        <v>7441</v>
      </c>
    </row>
    <row r="1364">
      <c r="A1364" s="446" t="s">
        <v>7441</v>
      </c>
    </row>
    <row r="1365">
      <c r="A1365" s="446" t="s">
        <v>7441</v>
      </c>
    </row>
    <row r="1366">
      <c r="A1366" s="446" t="s">
        <v>6649</v>
      </c>
    </row>
    <row r="1367">
      <c r="A1367" s="446" t="s">
        <v>6649</v>
      </c>
    </row>
    <row r="1368">
      <c r="A1368" s="446" t="s">
        <v>6649</v>
      </c>
    </row>
    <row r="1369">
      <c r="A1369" s="446" t="s">
        <v>7439</v>
      </c>
    </row>
    <row r="1370">
      <c r="A1370" s="446" t="s">
        <v>7439</v>
      </c>
    </row>
    <row r="1371">
      <c r="A1371" s="446" t="s">
        <v>7439</v>
      </c>
    </row>
    <row r="1372">
      <c r="A1372" s="446" t="s">
        <v>7435</v>
      </c>
    </row>
    <row r="1373">
      <c r="A1373" s="446" t="s">
        <v>7435</v>
      </c>
    </row>
    <row r="1374">
      <c r="A1374" s="446" t="s">
        <v>7432</v>
      </c>
    </row>
    <row r="1375">
      <c r="A1375" s="446" t="s">
        <v>7432</v>
      </c>
    </row>
    <row r="1376">
      <c r="A1376" s="446" t="s">
        <v>4236</v>
      </c>
    </row>
    <row r="1377">
      <c r="A1377" s="446" t="s">
        <v>4236</v>
      </c>
    </row>
    <row r="1378">
      <c r="A1378" s="446" t="s">
        <v>7415</v>
      </c>
    </row>
    <row r="1379">
      <c r="A1379" s="446" t="s">
        <v>7415</v>
      </c>
    </row>
    <row r="1380">
      <c r="A1380" s="446" t="s">
        <v>6658</v>
      </c>
    </row>
    <row r="1381">
      <c r="A1381" s="446" t="s">
        <v>6658</v>
      </c>
    </row>
    <row r="1382">
      <c r="A1382" s="446" t="s">
        <v>6658</v>
      </c>
    </row>
    <row r="1383">
      <c r="A1383" s="446" t="s">
        <v>6656</v>
      </c>
    </row>
    <row r="1384">
      <c r="A1384" s="446" t="s">
        <v>7404</v>
      </c>
    </row>
    <row r="1385">
      <c r="A1385" s="446" t="s">
        <v>7402</v>
      </c>
    </row>
    <row r="1386">
      <c r="A1386" s="446" t="s">
        <v>6660</v>
      </c>
    </row>
    <row r="1387">
      <c r="A1387" s="446" t="s">
        <v>6660</v>
      </c>
    </row>
    <row r="1388">
      <c r="A1388" s="446" t="s">
        <v>7400</v>
      </c>
    </row>
    <row r="1389">
      <c r="A1389" s="446" t="s">
        <v>7400</v>
      </c>
    </row>
    <row r="1390">
      <c r="A1390" s="446" t="s">
        <v>7394</v>
      </c>
    </row>
    <row r="1391">
      <c r="A1391" s="446" t="s">
        <v>7394</v>
      </c>
    </row>
    <row r="1392">
      <c r="A1392" s="446" t="s">
        <v>7392</v>
      </c>
    </row>
    <row r="1393">
      <c r="A1393" s="446" t="s">
        <v>7392</v>
      </c>
    </row>
    <row r="1394">
      <c r="A1394" s="446" t="s">
        <v>7391</v>
      </c>
    </row>
    <row r="1395">
      <c r="A1395" s="446" t="s">
        <v>7391</v>
      </c>
    </row>
    <row r="1396">
      <c r="A1396" s="446" t="s">
        <v>7388</v>
      </c>
    </row>
    <row r="1397">
      <c r="A1397" s="446" t="s">
        <v>7388</v>
      </c>
    </row>
    <row r="1398">
      <c r="A1398" s="446" t="s">
        <v>7386</v>
      </c>
    </row>
    <row r="1399">
      <c r="A1399" s="446" t="s">
        <v>7928</v>
      </c>
    </row>
    <row r="1400">
      <c r="A1400" s="446" t="s">
        <v>6663</v>
      </c>
    </row>
    <row r="1401">
      <c r="A1401" s="446" t="s">
        <v>6663</v>
      </c>
    </row>
    <row r="1402">
      <c r="A1402" s="446" t="s">
        <v>4307</v>
      </c>
    </row>
    <row r="1403">
      <c r="A1403" s="446" t="s">
        <v>4307</v>
      </c>
    </row>
    <row r="1404">
      <c r="A1404" s="446" t="s">
        <v>7383</v>
      </c>
    </row>
    <row r="1405">
      <c r="A1405" s="446" t="s">
        <v>7383</v>
      </c>
    </row>
    <row r="1406">
      <c r="A1406" s="446" t="s">
        <v>7381</v>
      </c>
    </row>
    <row r="1407">
      <c r="A1407" s="446" t="s">
        <v>7381</v>
      </c>
    </row>
    <row r="1408">
      <c r="A1408" s="446" t="s">
        <v>7375</v>
      </c>
    </row>
    <row r="1409">
      <c r="A1409" s="446" t="s">
        <v>7375</v>
      </c>
    </row>
    <row r="1410">
      <c r="A1410" s="446" t="s">
        <v>6670</v>
      </c>
    </row>
    <row r="1411">
      <c r="A1411" s="446" t="s">
        <v>7372</v>
      </c>
    </row>
    <row r="1412">
      <c r="A1412" s="446" t="s">
        <v>7372</v>
      </c>
    </row>
    <row r="1413">
      <c r="A1413" s="446" t="s">
        <v>6668</v>
      </c>
    </row>
    <row r="1414">
      <c r="A1414" s="446" t="s">
        <v>6668</v>
      </c>
    </row>
    <row r="1415">
      <c r="A1415" s="446" t="s">
        <v>6668</v>
      </c>
    </row>
    <row r="1416">
      <c r="A1416" s="446" t="s">
        <v>6665</v>
      </c>
    </row>
    <row r="1417">
      <c r="A1417" s="446" t="s">
        <v>6665</v>
      </c>
    </row>
    <row r="1418">
      <c r="A1418" s="446" t="s">
        <v>7368</v>
      </c>
    </row>
    <row r="1419">
      <c r="A1419" s="446" t="s">
        <v>7368</v>
      </c>
    </row>
    <row r="1420">
      <c r="A1420" s="446" t="s">
        <v>7368</v>
      </c>
    </row>
    <row r="1421">
      <c r="A1421" s="446" t="s">
        <v>6672</v>
      </c>
    </row>
    <row r="1422">
      <c r="A1422" s="446" t="s">
        <v>6681</v>
      </c>
    </row>
    <row r="1423">
      <c r="A1423" s="446" t="s">
        <v>6681</v>
      </c>
    </row>
    <row r="1424">
      <c r="A1424" s="446" t="s">
        <v>4304</v>
      </c>
    </row>
    <row r="1425">
      <c r="A1425" s="446" t="s">
        <v>4304</v>
      </c>
    </row>
    <row r="1426">
      <c r="A1426" s="446" t="s">
        <v>6684</v>
      </c>
    </row>
    <row r="1427">
      <c r="A1427" s="446" t="s">
        <v>6684</v>
      </c>
    </row>
    <row r="1428">
      <c r="A1428" s="446" t="s">
        <v>6683</v>
      </c>
    </row>
    <row r="1429">
      <c r="A1429" s="446" t="s">
        <v>6683</v>
      </c>
    </row>
    <row r="1430">
      <c r="A1430" s="446" t="s">
        <v>7354</v>
      </c>
    </row>
    <row r="1431">
      <c r="A1431" s="446" t="s">
        <v>7350</v>
      </c>
    </row>
    <row r="1432">
      <c r="A1432" s="446" t="s">
        <v>7350</v>
      </c>
    </row>
    <row r="1433">
      <c r="A1433" s="446" t="s">
        <v>6689</v>
      </c>
    </row>
    <row r="1434">
      <c r="A1434" s="446" t="s">
        <v>6689</v>
      </c>
    </row>
    <row r="1435">
      <c r="A1435" s="446" t="s">
        <v>6687</v>
      </c>
    </row>
    <row r="1436">
      <c r="A1436" s="446" t="s">
        <v>7348</v>
      </c>
    </row>
    <row r="1437">
      <c r="A1437" s="446" t="s">
        <v>7348</v>
      </c>
    </row>
    <row r="1438">
      <c r="A1438" s="446" t="s">
        <v>7341</v>
      </c>
    </row>
    <row r="1439">
      <c r="A1439" s="446" t="s">
        <v>7341</v>
      </c>
    </row>
    <row r="1440">
      <c r="A1440" s="446" t="s">
        <v>7340</v>
      </c>
    </row>
    <row r="1441">
      <c r="A1441" s="446" t="s">
        <v>7340</v>
      </c>
    </row>
    <row r="1442">
      <c r="A1442" s="446" t="s">
        <v>7340</v>
      </c>
    </row>
    <row r="1443">
      <c r="A1443" s="446" t="s">
        <v>6696</v>
      </c>
    </row>
    <row r="1444">
      <c r="A1444" s="446" t="s">
        <v>6696</v>
      </c>
    </row>
    <row r="1445">
      <c r="A1445" s="446" t="s">
        <v>6693</v>
      </c>
    </row>
    <row r="1446">
      <c r="A1446" s="446" t="s">
        <v>6693</v>
      </c>
    </row>
    <row r="1447">
      <c r="A1447" s="446" t="s">
        <v>6693</v>
      </c>
    </row>
    <row r="1448">
      <c r="A1448" s="446" t="s">
        <v>6691</v>
      </c>
    </row>
    <row r="1449">
      <c r="A1449" s="446" t="s">
        <v>7336</v>
      </c>
    </row>
    <row r="1450">
      <c r="A1450" s="446" t="s">
        <v>7335</v>
      </c>
    </row>
    <row r="1451">
      <c r="A1451" s="446" t="s">
        <v>7335</v>
      </c>
    </row>
    <row r="1452">
      <c r="A1452" s="446" t="s">
        <v>7328</v>
      </c>
    </row>
    <row r="1453">
      <c r="A1453" s="446" t="s">
        <v>7328</v>
      </c>
    </row>
    <row r="1454">
      <c r="A1454" s="446" t="s">
        <v>7328</v>
      </c>
    </row>
    <row r="1455">
      <c r="A1455" s="446" t="s">
        <v>7323</v>
      </c>
    </row>
    <row r="1456">
      <c r="A1456" s="446" t="s">
        <v>7315</v>
      </c>
    </row>
    <row r="1457">
      <c r="A1457" s="446" t="s">
        <v>4063</v>
      </c>
    </row>
    <row r="1458">
      <c r="A1458" s="446" t="s">
        <v>4063</v>
      </c>
    </row>
    <row r="1459">
      <c r="A1459" s="446" t="s">
        <v>6699</v>
      </c>
    </row>
    <row r="1460">
      <c r="A1460" s="446" t="s">
        <v>6699</v>
      </c>
    </row>
    <row r="1461">
      <c r="A1461" s="446" t="s">
        <v>6699</v>
      </c>
    </row>
    <row r="1462">
      <c r="A1462" s="446" t="s">
        <v>7309</v>
      </c>
    </row>
    <row r="1463">
      <c r="A1463" s="446" t="s">
        <v>7306</v>
      </c>
    </row>
    <row r="1464">
      <c r="A1464" s="446" t="s">
        <v>6701</v>
      </c>
    </row>
    <row r="1465">
      <c r="A1465" s="446" t="s">
        <v>6701</v>
      </c>
    </row>
    <row r="1466">
      <c r="A1466" s="446" t="s">
        <v>7291</v>
      </c>
    </row>
    <row r="1467">
      <c r="A1467" s="446" t="s">
        <v>7288</v>
      </c>
    </row>
    <row r="1468">
      <c r="A1468" s="446" t="s">
        <v>7288</v>
      </c>
    </row>
    <row r="1469">
      <c r="A1469" s="446" t="s">
        <v>6705</v>
      </c>
    </row>
    <row r="1470">
      <c r="A1470" s="446" t="s">
        <v>6705</v>
      </c>
    </row>
    <row r="1471">
      <c r="A1471" s="446" t="s">
        <v>6703</v>
      </c>
    </row>
    <row r="1472">
      <c r="A1472" s="446" t="s">
        <v>7284</v>
      </c>
    </row>
    <row r="1473">
      <c r="A1473" s="446" t="s">
        <v>7284</v>
      </c>
    </row>
    <row r="1474">
      <c r="A1474" s="446" t="s">
        <v>7281</v>
      </c>
    </row>
    <row r="1475">
      <c r="A1475" s="446" t="s">
        <v>7281</v>
      </c>
    </row>
    <row r="1476">
      <c r="A1476" s="446" t="s">
        <v>7278</v>
      </c>
    </row>
    <row r="1477">
      <c r="A1477" s="446" t="s">
        <v>7278</v>
      </c>
    </row>
    <row r="1478">
      <c r="A1478" s="446" t="s">
        <v>7266</v>
      </c>
    </row>
    <row r="1479">
      <c r="A1479" s="446" t="s">
        <v>7265</v>
      </c>
    </row>
    <row r="1480">
      <c r="A1480" s="446" t="s">
        <v>7265</v>
      </c>
    </row>
    <row r="1481">
      <c r="A1481" s="446" t="s">
        <v>7264</v>
      </c>
    </row>
    <row r="1482">
      <c r="A1482" s="446" t="s">
        <v>7264</v>
      </c>
    </row>
    <row r="1483">
      <c r="A1483" s="446" t="s">
        <v>6707</v>
      </c>
    </row>
    <row r="1484">
      <c r="A1484" s="446" t="s">
        <v>6707</v>
      </c>
    </row>
    <row r="1485">
      <c r="A1485" s="446" t="s">
        <v>7262</v>
      </c>
    </row>
    <row r="1486">
      <c r="A1486" s="446" t="s">
        <v>7262</v>
      </c>
    </row>
    <row r="1487">
      <c r="A1487" s="446" t="s">
        <v>7262</v>
      </c>
    </row>
    <row r="1488">
      <c r="A1488" s="446" t="s">
        <v>7262</v>
      </c>
    </row>
    <row r="1489">
      <c r="A1489" s="446" t="s">
        <v>6714</v>
      </c>
    </row>
    <row r="1490">
      <c r="A1490" s="446" t="s">
        <v>7279</v>
      </c>
    </row>
    <row r="1491">
      <c r="A1491" s="446" t="s">
        <v>7279</v>
      </c>
    </row>
    <row r="1492">
      <c r="A1492" s="446" t="s">
        <v>7278</v>
      </c>
    </row>
    <row r="1493">
      <c r="A1493" s="446" t="s">
        <v>7259</v>
      </c>
    </row>
    <row r="1494">
      <c r="A1494" s="446" t="s">
        <v>7258</v>
      </c>
    </row>
    <row r="1495">
      <c r="A1495" s="446" t="s">
        <v>7256</v>
      </c>
    </row>
    <row r="1496">
      <c r="A1496" s="446" t="s">
        <v>7254</v>
      </c>
    </row>
    <row r="1497">
      <c r="A1497" s="446" t="s">
        <v>7254</v>
      </c>
    </row>
    <row r="1498">
      <c r="A1498" s="446" t="s">
        <v>7252</v>
      </c>
    </row>
    <row r="1499">
      <c r="A1499" s="446" t="s">
        <v>7252</v>
      </c>
    </row>
    <row r="1500">
      <c r="A1500" s="446" t="s">
        <v>7248</v>
      </c>
    </row>
    <row r="1501">
      <c r="A1501" s="446" t="s">
        <v>7968</v>
      </c>
    </row>
    <row r="1502">
      <c r="A1502" s="446" t="s">
        <v>7968</v>
      </c>
    </row>
    <row r="1503">
      <c r="A1503" s="446" t="s">
        <v>6718</v>
      </c>
    </row>
    <row r="1504">
      <c r="A1504" s="446" t="s">
        <v>7969</v>
      </c>
    </row>
    <row r="1505">
      <c r="A1505" s="446" t="s">
        <v>6716</v>
      </c>
    </row>
    <row r="1506">
      <c r="A1506" s="446" t="s">
        <v>7971</v>
      </c>
    </row>
    <row r="1507">
      <c r="A1507" s="446" t="s">
        <v>7972</v>
      </c>
    </row>
    <row r="1508">
      <c r="A1508" s="446" t="s">
        <v>7244</v>
      </c>
    </row>
    <row r="1509">
      <c r="A1509" s="446" t="s">
        <v>7244</v>
      </c>
    </row>
    <row r="1510">
      <c r="A1510" s="446" t="s">
        <v>7243</v>
      </c>
    </row>
    <row r="1511">
      <c r="A1511" s="446" t="s">
        <v>7242</v>
      </c>
    </row>
    <row r="1512">
      <c r="A1512" s="446" t="s">
        <v>7242</v>
      </c>
    </row>
    <row r="1513">
      <c r="A1513" s="446" t="s">
        <v>7239</v>
      </c>
    </row>
    <row r="1514">
      <c r="A1514" s="446" t="s">
        <v>7239</v>
      </c>
    </row>
    <row r="1515">
      <c r="A1515" s="446" t="s">
        <v>7236</v>
      </c>
    </row>
    <row r="1516">
      <c r="A1516" s="446" t="s">
        <v>7236</v>
      </c>
    </row>
    <row r="1517">
      <c r="A1517" s="446" t="s">
        <v>7236</v>
      </c>
    </row>
    <row r="1518">
      <c r="A1518" s="446" t="s">
        <v>7235</v>
      </c>
    </row>
    <row r="1519">
      <c r="A1519" s="446" t="s">
        <v>7223</v>
      </c>
    </row>
    <row r="1520">
      <c r="A1520" s="446" t="s">
        <v>7223</v>
      </c>
    </row>
    <row r="1521">
      <c r="A1521" s="446" t="s">
        <v>7222</v>
      </c>
    </row>
    <row r="1522">
      <c r="A1522" s="446" t="s">
        <v>7222</v>
      </c>
    </row>
    <row r="1523">
      <c r="A1523" s="446" t="s">
        <v>7222</v>
      </c>
    </row>
    <row r="1524">
      <c r="A1524" s="446" t="s">
        <v>7222</v>
      </c>
    </row>
    <row r="1525">
      <c r="A1525" s="446" t="s">
        <v>3992</v>
      </c>
    </row>
    <row r="1526">
      <c r="A1526" s="446" t="s">
        <v>3992</v>
      </c>
    </row>
    <row r="1527">
      <c r="A1527" s="446" t="s">
        <v>7221</v>
      </c>
    </row>
    <row r="1528">
      <c r="A1528" s="446" t="s">
        <v>7221</v>
      </c>
    </row>
    <row r="1529">
      <c r="A1529" s="446" t="s">
        <v>7220</v>
      </c>
    </row>
    <row r="1530">
      <c r="A1530" s="446" t="s">
        <v>7978</v>
      </c>
    </row>
    <row r="1531">
      <c r="A1531" s="446" t="s">
        <v>7978</v>
      </c>
    </row>
    <row r="1532">
      <c r="A1532" s="446" t="s">
        <v>7217</v>
      </c>
    </row>
    <row r="1533">
      <c r="A1533" s="446" t="s">
        <v>3951</v>
      </c>
    </row>
    <row r="1534">
      <c r="A1534" s="446" t="s">
        <v>3951</v>
      </c>
    </row>
    <row r="1535">
      <c r="A1535" s="446" t="s">
        <v>3951</v>
      </c>
    </row>
    <row r="1536">
      <c r="A1536" s="446" t="s">
        <v>3951</v>
      </c>
    </row>
    <row r="1537">
      <c r="A1537" s="446" t="s">
        <v>7215</v>
      </c>
    </row>
    <row r="1538">
      <c r="A1538" s="446" t="s">
        <v>7215</v>
      </c>
    </row>
    <row r="1539">
      <c r="A1539" s="446" t="s">
        <v>7215</v>
      </c>
    </row>
    <row r="1540">
      <c r="A1540" s="446" t="s">
        <v>6738</v>
      </c>
    </row>
    <row r="1541">
      <c r="A1541" s="446" t="s">
        <v>6738</v>
      </c>
    </row>
    <row r="1542">
      <c r="A1542" s="446" t="s">
        <v>6736</v>
      </c>
    </row>
    <row r="1543">
      <c r="A1543" s="446" t="s">
        <v>7213</v>
      </c>
    </row>
    <row r="1544">
      <c r="A1544" s="446" t="s">
        <v>7213</v>
      </c>
    </row>
    <row r="1545">
      <c r="A1545" s="446" t="s">
        <v>7210</v>
      </c>
    </row>
    <row r="1546">
      <c r="A1546" s="446" t="s">
        <v>7210</v>
      </c>
    </row>
    <row r="1547">
      <c r="A1547" s="446" t="s">
        <v>7206</v>
      </c>
    </row>
    <row r="1548">
      <c r="A1548" s="446" t="s">
        <v>7206</v>
      </c>
    </row>
    <row r="1549">
      <c r="A1549" s="446" t="s">
        <v>7203</v>
      </c>
    </row>
    <row r="1550">
      <c r="A1550" s="446" t="s">
        <v>7203</v>
      </c>
    </row>
    <row r="1551">
      <c r="A1551" s="446" t="s">
        <v>6742</v>
      </c>
    </row>
    <row r="1552">
      <c r="A1552" s="446" t="s">
        <v>6742</v>
      </c>
    </row>
    <row r="1553">
      <c r="A1553" s="446" t="s">
        <v>6740</v>
      </c>
    </row>
    <row r="1554">
      <c r="A1554" s="446" t="s">
        <v>7981</v>
      </c>
    </row>
    <row r="1555">
      <c r="A1555" s="446" t="s">
        <v>7188</v>
      </c>
    </row>
    <row r="1556">
      <c r="A1556" s="446" t="s">
        <v>6744</v>
      </c>
    </row>
    <row r="1557">
      <c r="A1557" s="446" t="s">
        <v>6744</v>
      </c>
    </row>
    <row r="1558">
      <c r="A1558" s="446" t="s">
        <v>7178</v>
      </c>
    </row>
    <row r="1559">
      <c r="A1559" s="446" t="s">
        <v>3860</v>
      </c>
    </row>
    <row r="1560">
      <c r="A1560" s="446" t="s">
        <v>3860</v>
      </c>
    </row>
    <row r="1561">
      <c r="A1561" s="446" t="s">
        <v>3860</v>
      </c>
    </row>
    <row r="1562">
      <c r="A1562" s="446" t="s">
        <v>3860</v>
      </c>
    </row>
    <row r="1563">
      <c r="A1563" s="446" t="s">
        <v>3839</v>
      </c>
    </row>
    <row r="1564">
      <c r="A1564" s="446" t="s">
        <v>3839</v>
      </c>
    </row>
    <row r="1565">
      <c r="A1565" s="446" t="s">
        <v>3837</v>
      </c>
    </row>
    <row r="1566">
      <c r="A1566" s="446" t="s">
        <v>3837</v>
      </c>
    </row>
    <row r="1567">
      <c r="A1567" s="446" t="s">
        <v>7169</v>
      </c>
    </row>
    <row r="1568">
      <c r="A1568" s="446" t="s">
        <v>7983</v>
      </c>
    </row>
    <row r="1569">
      <c r="A1569" s="446" t="s">
        <v>7983</v>
      </c>
    </row>
    <row r="1570">
      <c r="A1570" s="446" t="s">
        <v>6749</v>
      </c>
    </row>
    <row r="1571">
      <c r="A1571" s="446" t="s">
        <v>6753</v>
      </c>
    </row>
    <row r="1572">
      <c r="A1572" s="446" t="s">
        <v>6753</v>
      </c>
    </row>
    <row r="1573">
      <c r="A1573" s="446" t="s">
        <v>6751</v>
      </c>
    </row>
    <row r="1574">
      <c r="A1574" s="446" t="s">
        <v>6751</v>
      </c>
    </row>
    <row r="1575">
      <c r="A1575" s="446" t="s">
        <v>6755</v>
      </c>
    </row>
    <row r="1576">
      <c r="A1576" s="446" t="s">
        <v>7164</v>
      </c>
    </row>
    <row r="1577">
      <c r="A1577" s="446" t="s">
        <v>7164</v>
      </c>
    </row>
    <row r="1578">
      <c r="A1578" s="446" t="s">
        <v>7163</v>
      </c>
    </row>
    <row r="1579">
      <c r="A1579" s="446" t="s">
        <v>7162</v>
      </c>
    </row>
    <row r="1580">
      <c r="A1580" s="446" t="s">
        <v>7162</v>
      </c>
    </row>
    <row r="1581">
      <c r="A1581" s="446" t="s">
        <v>7159</v>
      </c>
    </row>
    <row r="1582">
      <c r="A1582" s="446" t="s">
        <v>7158</v>
      </c>
    </row>
    <row r="1583">
      <c r="A1583" s="446" t="s">
        <v>7156</v>
      </c>
    </row>
    <row r="1584">
      <c r="A1584" s="446" t="s">
        <v>7156</v>
      </c>
    </row>
    <row r="1585">
      <c r="A1585" s="446" t="s">
        <v>7156</v>
      </c>
    </row>
    <row r="1586">
      <c r="A1586" s="446" t="s">
        <v>7154</v>
      </c>
    </row>
    <row r="1587">
      <c r="A1587" s="446" t="s">
        <v>7154</v>
      </c>
    </row>
    <row r="1588">
      <c r="A1588" s="446" t="s">
        <v>7154</v>
      </c>
    </row>
    <row r="1589">
      <c r="A1589" s="446" t="s">
        <v>6759</v>
      </c>
    </row>
    <row r="1590">
      <c r="A1590" s="446" t="s">
        <v>6757</v>
      </c>
    </row>
    <row r="1591">
      <c r="A1591" s="446" t="s">
        <v>6761</v>
      </c>
    </row>
    <row r="1592">
      <c r="A1592" s="446" t="s">
        <v>6761</v>
      </c>
    </row>
    <row r="1593">
      <c r="A1593" s="446" t="s">
        <v>7149</v>
      </c>
    </row>
    <row r="1594">
      <c r="A1594" s="446" t="s">
        <v>6763</v>
      </c>
    </row>
    <row r="1595">
      <c r="A1595" s="446" t="s">
        <v>6763</v>
      </c>
    </row>
    <row r="1596">
      <c r="A1596" s="446" t="s">
        <v>6763</v>
      </c>
    </row>
    <row r="1597">
      <c r="A1597" s="446" t="s">
        <v>7145</v>
      </c>
    </row>
    <row r="1598">
      <c r="A1598" s="446" t="s">
        <v>7145</v>
      </c>
    </row>
    <row r="1599">
      <c r="A1599" s="446" t="s">
        <v>7142</v>
      </c>
    </row>
    <row r="1600">
      <c r="A1600" s="446" t="s">
        <v>7142</v>
      </c>
    </row>
    <row r="1601">
      <c r="A1601" s="446" t="s">
        <v>7141</v>
      </c>
    </row>
    <row r="1602">
      <c r="A1602" s="446" t="s">
        <v>7139</v>
      </c>
    </row>
    <row r="1603">
      <c r="A1603" s="446" t="s">
        <v>7122</v>
      </c>
    </row>
    <row r="1604">
      <c r="A1604" s="446" t="s">
        <v>7119</v>
      </c>
    </row>
    <row r="1605">
      <c r="A1605" s="446" t="s">
        <v>6772</v>
      </c>
    </row>
    <row r="1606">
      <c r="A1606" s="446" t="s">
        <v>7114</v>
      </c>
    </row>
    <row r="1607">
      <c r="A1607" s="446" t="s">
        <v>7114</v>
      </c>
    </row>
    <row r="1608">
      <c r="A1608" s="446" t="s">
        <v>7112</v>
      </c>
    </row>
    <row r="1609">
      <c r="A1609" s="446" t="s">
        <v>7112</v>
      </c>
    </row>
    <row r="1610">
      <c r="A1610" s="446" t="s">
        <v>6778</v>
      </c>
    </row>
    <row r="1611">
      <c r="A1611" s="446" t="s">
        <v>6778</v>
      </c>
    </row>
    <row r="1612">
      <c r="A1612" s="446" t="s">
        <v>6776</v>
      </c>
    </row>
    <row r="1613">
      <c r="A1613" s="446" t="s">
        <v>6776</v>
      </c>
    </row>
    <row r="1614">
      <c r="A1614" s="446" t="s">
        <v>7104</v>
      </c>
    </row>
    <row r="1615">
      <c r="A1615" s="446" t="s">
        <v>7104</v>
      </c>
    </row>
    <row r="1616">
      <c r="A1616" s="446" t="s">
        <v>6788</v>
      </c>
    </row>
    <row r="1617">
      <c r="A1617" s="446" t="s">
        <v>6788</v>
      </c>
    </row>
    <row r="1618">
      <c r="A1618" s="446" t="s">
        <v>6785</v>
      </c>
    </row>
    <row r="1619">
      <c r="A1619" s="446" t="s">
        <v>6782</v>
      </c>
    </row>
    <row r="1620">
      <c r="A1620" s="446" t="s">
        <v>7098</v>
      </c>
    </row>
    <row r="1621">
      <c r="A1621" s="446" t="s">
        <v>7097</v>
      </c>
    </row>
    <row r="1622">
      <c r="A1622" s="446" t="s">
        <v>6790</v>
      </c>
    </row>
    <row r="1623">
      <c r="A1623" s="446" t="s">
        <v>6794</v>
      </c>
    </row>
    <row r="1624">
      <c r="A1624" s="446" t="s">
        <v>6794</v>
      </c>
    </row>
    <row r="1625">
      <c r="A1625" s="446" t="s">
        <v>6796</v>
      </c>
    </row>
    <row r="1626">
      <c r="A1626" s="446" t="s">
        <v>6796</v>
      </c>
    </row>
    <row r="1627">
      <c r="A1627" s="446" t="s">
        <v>6796</v>
      </c>
    </row>
    <row r="1628">
      <c r="A1628" s="446" t="s">
        <v>7092</v>
      </c>
    </row>
    <row r="1629">
      <c r="A1629" s="446" t="s">
        <v>7092</v>
      </c>
    </row>
    <row r="1630">
      <c r="A1630" s="446" t="s">
        <v>6798</v>
      </c>
    </row>
    <row r="1631">
      <c r="A1631" s="446" t="s">
        <v>6798</v>
      </c>
    </row>
    <row r="1632">
      <c r="A1632" s="446" t="s">
        <v>6800</v>
      </c>
    </row>
    <row r="1633">
      <c r="A1633" s="446" t="s">
        <v>6800</v>
      </c>
    </row>
    <row r="1634">
      <c r="A1634" s="446" t="s">
        <v>7086</v>
      </c>
    </row>
    <row r="1635">
      <c r="A1635" s="446" t="s">
        <v>7086</v>
      </c>
    </row>
    <row r="1636">
      <c r="A1636" s="446" t="s">
        <v>6804</v>
      </c>
    </row>
    <row r="1637">
      <c r="A1637" s="446" t="s">
        <v>7082</v>
      </c>
    </row>
    <row r="1638">
      <c r="A1638" s="446" t="s">
        <v>7082</v>
      </c>
    </row>
    <row r="1639">
      <c r="A1639" s="446" t="s">
        <v>6026</v>
      </c>
    </row>
    <row r="1640">
      <c r="A1640" s="446" t="s">
        <v>6026</v>
      </c>
    </row>
    <row r="1641">
      <c r="A1641" s="446" t="s">
        <v>7080</v>
      </c>
    </row>
    <row r="1642">
      <c r="A1642" s="446" t="s">
        <v>7080</v>
      </c>
    </row>
    <row r="1643">
      <c r="A1643" s="446" t="s">
        <v>6808</v>
      </c>
    </row>
    <row r="1644">
      <c r="A1644" s="446" t="s">
        <v>7077</v>
      </c>
    </row>
    <row r="1645">
      <c r="A1645" s="446" t="s">
        <v>6813</v>
      </c>
    </row>
    <row r="1646">
      <c r="A1646" s="446" t="s">
        <v>6813</v>
      </c>
    </row>
    <row r="1647">
      <c r="A1647" s="446" t="s">
        <v>6811</v>
      </c>
    </row>
    <row r="1648">
      <c r="A1648" s="446" t="s">
        <v>6811</v>
      </c>
    </row>
    <row r="1649">
      <c r="A1649" s="446" t="s">
        <v>7071</v>
      </c>
    </row>
    <row r="1650">
      <c r="A1650" s="446" t="s">
        <v>7070</v>
      </c>
    </row>
    <row r="1651">
      <c r="A1651" s="446" t="s">
        <v>6819</v>
      </c>
    </row>
    <row r="1652">
      <c r="A1652" s="446" t="s">
        <v>6817</v>
      </c>
    </row>
    <row r="1653">
      <c r="A1653" s="446" t="s">
        <v>6817</v>
      </c>
    </row>
    <row r="1654">
      <c r="A1654" s="446" t="s">
        <v>7062</v>
      </c>
    </row>
    <row r="1655">
      <c r="A1655" s="446" t="s">
        <v>7062</v>
      </c>
    </row>
    <row r="1656">
      <c r="A1656" s="446" t="s">
        <v>6823</v>
      </c>
    </row>
    <row r="1657">
      <c r="A1657" s="446" t="s">
        <v>6823</v>
      </c>
    </row>
    <row r="1658">
      <c r="A1658" s="446" t="s">
        <v>7053</v>
      </c>
    </row>
    <row r="1659">
      <c r="A1659" s="446" t="s">
        <v>7049</v>
      </c>
    </row>
    <row r="1660">
      <c r="A1660" s="446" t="s">
        <v>7049</v>
      </c>
    </row>
    <row r="1661">
      <c r="A1661" s="446" t="s">
        <v>7046</v>
      </c>
    </row>
    <row r="1662">
      <c r="A1662" s="446" t="s">
        <v>7046</v>
      </c>
    </row>
    <row r="1663">
      <c r="A1663" s="446" t="s">
        <v>7045</v>
      </c>
    </row>
    <row r="1664">
      <c r="A1664" s="446" t="s">
        <v>7043</v>
      </c>
    </row>
    <row r="1665">
      <c r="A1665" s="446" t="s">
        <v>7043</v>
      </c>
    </row>
    <row r="1666">
      <c r="A1666" s="446" t="s">
        <v>7043</v>
      </c>
    </row>
    <row r="1667">
      <c r="A1667" s="446" t="s">
        <v>7039</v>
      </c>
    </row>
    <row r="1668">
      <c r="A1668" s="446" t="s">
        <v>7039</v>
      </c>
    </row>
    <row r="1669">
      <c r="A1669" s="446" t="s">
        <v>6836</v>
      </c>
    </row>
    <row r="1670">
      <c r="A1670" s="446" t="s">
        <v>6836</v>
      </c>
    </row>
    <row r="1671">
      <c r="A1671" s="446" t="s">
        <v>3514</v>
      </c>
    </row>
    <row r="1672">
      <c r="A1672" s="446" t="s">
        <v>3707</v>
      </c>
    </row>
    <row r="1673">
      <c r="A1673" s="446" t="s">
        <v>7035</v>
      </c>
    </row>
    <row r="1674">
      <c r="A1674" s="446" t="s">
        <v>7035</v>
      </c>
    </row>
    <row r="1675">
      <c r="A1675" s="446" t="s">
        <v>7033</v>
      </c>
    </row>
    <row r="1676">
      <c r="A1676" s="446" t="s">
        <v>7033</v>
      </c>
    </row>
    <row r="1677">
      <c r="A1677" s="446" t="s">
        <v>7032</v>
      </c>
    </row>
    <row r="1678">
      <c r="A1678" s="446" t="s">
        <v>7032</v>
      </c>
    </row>
    <row r="1679">
      <c r="A1679" s="446" t="s">
        <v>7025</v>
      </c>
    </row>
    <row r="1680">
      <c r="A1680" s="446" t="s">
        <v>7025</v>
      </c>
    </row>
    <row r="1681">
      <c r="A1681" s="446" t="s">
        <v>7023</v>
      </c>
    </row>
    <row r="1682">
      <c r="A1682" s="446" t="s">
        <v>7023</v>
      </c>
    </row>
    <row r="1683">
      <c r="A1683" s="446" t="s">
        <v>6841</v>
      </c>
    </row>
    <row r="1684">
      <c r="A1684" s="446" t="s">
        <v>6841</v>
      </c>
    </row>
    <row r="1685">
      <c r="A1685" s="446" t="s">
        <v>7022</v>
      </c>
    </row>
    <row r="1686">
      <c r="A1686" s="446" t="s">
        <v>7022</v>
      </c>
    </row>
    <row r="1687">
      <c r="A1687" s="446" t="s">
        <v>7020</v>
      </c>
    </row>
    <row r="1688">
      <c r="A1688" s="446" t="s">
        <v>7020</v>
      </c>
    </row>
    <row r="1689">
      <c r="A1689" s="446" t="s">
        <v>7019</v>
      </c>
    </row>
    <row r="1690">
      <c r="A1690" s="446" t="s">
        <v>7018</v>
      </c>
    </row>
    <row r="1691">
      <c r="A1691" s="446" t="s">
        <v>3459</v>
      </c>
    </row>
    <row r="1692">
      <c r="A1692" s="446" t="s">
        <v>7014</v>
      </c>
    </row>
    <row r="1693">
      <c r="A1693" s="446" t="s">
        <v>7008</v>
      </c>
    </row>
    <row r="1694">
      <c r="A1694" s="446" t="s">
        <v>7008</v>
      </c>
    </row>
    <row r="1695">
      <c r="A1695" s="446" t="s">
        <v>6846</v>
      </c>
    </row>
    <row r="1696">
      <c r="A1696" s="446" t="s">
        <v>6846</v>
      </c>
    </row>
    <row r="1697">
      <c r="A1697" s="446" t="s">
        <v>7007</v>
      </c>
    </row>
    <row r="1698">
      <c r="A1698" s="446" t="s">
        <v>7007</v>
      </c>
    </row>
    <row r="1699">
      <c r="A1699" s="446" t="s">
        <v>7007</v>
      </c>
    </row>
    <row r="1700">
      <c r="A1700" s="446" t="s">
        <v>7005</v>
      </c>
    </row>
    <row r="1701">
      <c r="A1701" s="446" t="s">
        <v>8005</v>
      </c>
    </row>
    <row r="1702">
      <c r="A1702" s="446" t="s">
        <v>8005</v>
      </c>
    </row>
    <row r="1703">
      <c r="A1703" s="446" t="s">
        <v>6850</v>
      </c>
    </row>
    <row r="1704">
      <c r="A1704" s="446" t="s">
        <v>6993</v>
      </c>
    </row>
    <row r="1705">
      <c r="A1705" s="446" t="s">
        <v>6993</v>
      </c>
    </row>
    <row r="1706">
      <c r="A1706" s="446" t="s">
        <v>6992</v>
      </c>
    </row>
    <row r="1707">
      <c r="A1707" s="446" t="s">
        <v>6991</v>
      </c>
    </row>
    <row r="1708">
      <c r="A1708" s="446" t="s">
        <v>6990</v>
      </c>
    </row>
    <row r="1709">
      <c r="A1709" s="446" t="s">
        <v>6990</v>
      </c>
    </row>
    <row r="1710">
      <c r="A1710" s="446" t="s">
        <v>6851</v>
      </c>
    </row>
    <row r="1711">
      <c r="A1711" s="446" t="s">
        <v>6851</v>
      </c>
    </row>
    <row r="1712">
      <c r="A1712" s="446" t="s">
        <v>6986</v>
      </c>
    </row>
    <row r="1713">
      <c r="A1713" s="446" t="s">
        <v>6986</v>
      </c>
    </row>
    <row r="1714">
      <c r="A1714" s="446" t="s">
        <v>6984</v>
      </c>
    </row>
    <row r="1715">
      <c r="A1715" s="446" t="s">
        <v>6984</v>
      </c>
    </row>
    <row r="1716">
      <c r="A1716" s="446" t="s">
        <v>6982</v>
      </c>
    </row>
    <row r="1717">
      <c r="A1717" s="446" t="s">
        <v>6982</v>
      </c>
    </row>
    <row r="1718">
      <c r="A1718" s="446" t="s">
        <v>6859</v>
      </c>
    </row>
    <row r="1719">
      <c r="A1719" s="446" t="s">
        <v>6859</v>
      </c>
    </row>
    <row r="1720">
      <c r="A1720" s="446" t="s">
        <v>6859</v>
      </c>
    </row>
    <row r="1721">
      <c r="A1721" s="446" t="s">
        <v>6855</v>
      </c>
    </row>
    <row r="1722">
      <c r="A1722" s="446" t="s">
        <v>6855</v>
      </c>
    </row>
    <row r="1723">
      <c r="A1723" s="446" t="s">
        <v>6853</v>
      </c>
    </row>
    <row r="1724">
      <c r="A1724" s="446" t="s">
        <v>6853</v>
      </c>
    </row>
    <row r="1725">
      <c r="A1725" s="446" t="s">
        <v>6870</v>
      </c>
    </row>
    <row r="1726">
      <c r="A1726" s="446" t="s">
        <v>6870</v>
      </c>
    </row>
    <row r="1727">
      <c r="A1727" s="446" t="s">
        <v>6866</v>
      </c>
    </row>
    <row r="1728">
      <c r="A1728" s="446" t="s">
        <v>6866</v>
      </c>
    </row>
    <row r="1729">
      <c r="A1729" s="446" t="s">
        <v>6866</v>
      </c>
    </row>
    <row r="1730">
      <c r="A1730" s="446" t="s">
        <v>6863</v>
      </c>
    </row>
    <row r="1731">
      <c r="A1731" s="446" t="s">
        <v>6863</v>
      </c>
    </row>
    <row r="1732">
      <c r="A1732" s="446" t="s">
        <v>6861</v>
      </c>
    </row>
    <row r="1733">
      <c r="A1733" s="446" t="s">
        <v>6861</v>
      </c>
    </row>
    <row r="1734">
      <c r="A1734" s="446" t="s">
        <v>6975</v>
      </c>
    </row>
    <row r="1735">
      <c r="A1735" s="446" t="s">
        <v>6975</v>
      </c>
    </row>
    <row r="1736">
      <c r="A1736" s="446" t="s">
        <v>6975</v>
      </c>
    </row>
    <row r="1737">
      <c r="A1737" s="446" t="s">
        <v>6872</v>
      </c>
    </row>
    <row r="1738">
      <c r="A1738" s="446" t="s">
        <v>6872</v>
      </c>
    </row>
    <row r="1739">
      <c r="A1739" s="446" t="s">
        <v>6974</v>
      </c>
    </row>
    <row r="1740">
      <c r="A1740" s="446" t="s">
        <v>6974</v>
      </c>
    </row>
    <row r="1741">
      <c r="A1741" s="446" t="s">
        <v>6974</v>
      </c>
    </row>
    <row r="1742">
      <c r="A1742" s="446" t="s">
        <v>6874</v>
      </c>
    </row>
    <row r="1743">
      <c r="A1743" s="446" t="s">
        <v>6874</v>
      </c>
    </row>
    <row r="1744">
      <c r="A1744" s="446" t="s">
        <v>6874</v>
      </c>
    </row>
    <row r="1745">
      <c r="A1745" s="446" t="s">
        <v>6971</v>
      </c>
    </row>
    <row r="1746">
      <c r="A1746" s="446" t="s">
        <v>6971</v>
      </c>
    </row>
    <row r="1747">
      <c r="A1747" s="446" t="s">
        <v>6882</v>
      </c>
    </row>
    <row r="1748">
      <c r="A1748" s="446" t="s">
        <v>6882</v>
      </c>
    </row>
    <row r="1749">
      <c r="A1749" s="446" t="s">
        <v>6882</v>
      </c>
    </row>
    <row r="1750">
      <c r="A1750" s="446" t="s">
        <v>6880</v>
      </c>
    </row>
    <row r="1751">
      <c r="A1751" s="446" t="s">
        <v>6880</v>
      </c>
    </row>
    <row r="1752">
      <c r="A1752" s="446" t="s">
        <v>6880</v>
      </c>
    </row>
    <row r="1753">
      <c r="A1753" s="446" t="s">
        <v>6878</v>
      </c>
    </row>
    <row r="1754">
      <c r="A1754" s="446" t="s">
        <v>6878</v>
      </c>
    </row>
    <row r="1755">
      <c r="A1755" s="446" t="s">
        <v>6876</v>
      </c>
    </row>
    <row r="1756">
      <c r="A1756" s="446" t="s">
        <v>6876</v>
      </c>
    </row>
    <row r="1757">
      <c r="A1757" s="446" t="s">
        <v>6885</v>
      </c>
    </row>
    <row r="1758">
      <c r="A1758" s="446" t="s">
        <v>6967</v>
      </c>
    </row>
    <row r="1759">
      <c r="A1759" s="446" t="s">
        <v>6967</v>
      </c>
    </row>
    <row r="1760">
      <c r="A1760" s="446" t="s">
        <v>6966</v>
      </c>
    </row>
    <row r="1761">
      <c r="A1761" s="446" t="s">
        <v>6966</v>
      </c>
    </row>
    <row r="1762">
      <c r="A1762" s="446" t="s">
        <v>3307</v>
      </c>
    </row>
    <row r="1763">
      <c r="A1763" s="446" t="s">
        <v>3307</v>
      </c>
    </row>
    <row r="1764">
      <c r="A1764" s="446" t="s">
        <v>6189</v>
      </c>
    </row>
    <row r="1765">
      <c r="A1765" s="446" t="s">
        <v>6189</v>
      </c>
    </row>
    <row r="1766">
      <c r="A1766" s="446" t="s">
        <v>6889</v>
      </c>
    </row>
    <row r="1767">
      <c r="A1767" s="446" t="s">
        <v>6961</v>
      </c>
    </row>
    <row r="1768">
      <c r="A1768" s="446" t="s">
        <v>6961</v>
      </c>
    </row>
    <row r="1769">
      <c r="A1769" s="446" t="s">
        <v>6960</v>
      </c>
    </row>
    <row r="1770">
      <c r="A1770" s="446" t="s">
        <v>6893</v>
      </c>
    </row>
    <row r="1771">
      <c r="A1771" s="446" t="s">
        <v>6893</v>
      </c>
    </row>
    <row r="1772">
      <c r="A1772" s="446" t="s">
        <v>6957</v>
      </c>
    </row>
    <row r="1773">
      <c r="A1773" s="446" t="s">
        <v>6899</v>
      </c>
    </row>
    <row r="1774">
      <c r="A1774" s="446" t="s">
        <v>6899</v>
      </c>
    </row>
    <row r="1775">
      <c r="A1775" s="446" t="s">
        <v>6899</v>
      </c>
    </row>
    <row r="1776">
      <c r="A1776" s="446" t="s">
        <v>6897</v>
      </c>
    </row>
    <row r="1777">
      <c r="A1777" s="446" t="s">
        <v>6895</v>
      </c>
    </row>
    <row r="1778">
      <c r="A1778" s="446" t="s">
        <v>6947</v>
      </c>
    </row>
    <row r="1779">
      <c r="A1779" s="446" t="s">
        <v>6947</v>
      </c>
    </row>
    <row r="1780">
      <c r="A1780" s="446" t="s">
        <v>6944</v>
      </c>
    </row>
    <row r="1781">
      <c r="A1781" s="446" t="s">
        <v>6943</v>
      </c>
    </row>
    <row r="1782">
      <c r="A1782" s="446" t="s">
        <v>6941</v>
      </c>
    </row>
    <row r="1783">
      <c r="A1783" s="446" t="s">
        <v>6940</v>
      </c>
    </row>
    <row r="1784">
      <c r="A1784" s="446" t="s">
        <v>8016</v>
      </c>
    </row>
    <row r="1785">
      <c r="A1785" s="446" t="s">
        <v>6905</v>
      </c>
    </row>
    <row r="1786">
      <c r="A1786" s="446" t="s">
        <v>6905</v>
      </c>
    </row>
    <row r="1787">
      <c r="A1787" s="446" t="s">
        <v>6907</v>
      </c>
    </row>
    <row r="1788">
      <c r="A1788" s="446" t="s">
        <v>6907</v>
      </c>
    </row>
    <row r="1789">
      <c r="A1789" s="446" t="s">
        <v>6935</v>
      </c>
    </row>
    <row r="1790">
      <c r="A1790" s="446" t="s">
        <v>6934</v>
      </c>
    </row>
    <row r="1791">
      <c r="A1791" s="446" t="s">
        <v>6934</v>
      </c>
    </row>
    <row r="1792">
      <c r="A1792" s="446" t="s">
        <v>6933</v>
      </c>
    </row>
    <row r="1793">
      <c r="A1793" s="446" t="s">
        <v>6933</v>
      </c>
    </row>
    <row r="1794">
      <c r="A1794" s="446" t="s">
        <v>6931</v>
      </c>
    </row>
    <row r="1795">
      <c r="A1795" s="446" t="s">
        <v>6931</v>
      </c>
    </row>
    <row r="1796">
      <c r="A1796" s="446" t="s">
        <v>6931</v>
      </c>
    </row>
    <row r="1797">
      <c r="A1797" s="446" t="s">
        <v>6931</v>
      </c>
    </row>
    <row r="1798">
      <c r="A1798" s="446" t="s">
        <v>8020</v>
      </c>
    </row>
    <row r="1799">
      <c r="A1799" s="446" t="s">
        <v>6913</v>
      </c>
    </row>
    <row r="1800">
      <c r="A1800" s="446" t="s">
        <v>6913</v>
      </c>
    </row>
    <row r="1801">
      <c r="A1801" s="446" t="s">
        <v>6911</v>
      </c>
    </row>
    <row r="1802">
      <c r="A1802" s="446" t="s">
        <v>6911</v>
      </c>
    </row>
    <row r="1803">
      <c r="A1803" s="446" t="s">
        <v>6925</v>
      </c>
    </row>
    <row r="1804">
      <c r="A1804" s="446" t="s">
        <v>6915</v>
      </c>
    </row>
    <row r="1805">
      <c r="A1805" s="446" t="s">
        <v>6924</v>
      </c>
    </row>
    <row r="1806">
      <c r="A1806" s="446" t="s">
        <v>6924</v>
      </c>
    </row>
    <row r="1807">
      <c r="A1807" s="446" t="s">
        <v>6923</v>
      </c>
    </row>
    <row r="1808">
      <c r="A1808" s="446" t="s">
        <v>6921</v>
      </c>
    </row>
    <row r="1809">
      <c r="A1809" s="446" t="s">
        <v>6921</v>
      </c>
    </row>
    <row r="1810">
      <c r="A1810" s="446" t="s">
        <v>6920</v>
      </c>
    </row>
    <row r="1811">
      <c r="A1811" s="446" t="s">
        <v>6917</v>
      </c>
    </row>
    <row r="1812">
      <c r="A1812" s="446" t="s">
        <v>6919</v>
      </c>
    </row>
    <row r="1813">
      <c r="A1813" s="446" t="s">
        <v>6919</v>
      </c>
    </row>
    <row r="1814">
      <c r="A1814" s="446" t="s">
        <v>6918</v>
      </c>
    </row>
    <row r="1815">
      <c r="A1815" s="446" t="s">
        <v>6916</v>
      </c>
    </row>
    <row r="1816">
      <c r="A1816" s="446" t="s">
        <v>6917</v>
      </c>
    </row>
    <row r="1817">
      <c r="A1817" s="446" t="s">
        <v>6917</v>
      </c>
    </row>
    <row r="1818">
      <c r="A1818" s="446" t="s">
        <v>6914</v>
      </c>
    </row>
    <row r="1819">
      <c r="A1819" s="446" t="s">
        <v>6914</v>
      </c>
    </row>
    <row r="1820">
      <c r="A1820" s="446" t="s">
        <v>6912</v>
      </c>
    </row>
    <row r="1821">
      <c r="A1821" s="446" t="s">
        <v>6910</v>
      </c>
    </row>
    <row r="1822">
      <c r="A1822" s="446" t="s">
        <v>6910</v>
      </c>
    </row>
    <row r="1823">
      <c r="A1823" s="446" t="s">
        <v>6904</v>
      </c>
    </row>
    <row r="1824">
      <c r="A1824" s="446" t="s">
        <v>6904</v>
      </c>
    </row>
    <row r="1825">
      <c r="A1825" s="446" t="s">
        <v>6901</v>
      </c>
    </row>
    <row r="1826">
      <c r="A1826" s="446" t="s">
        <v>6892</v>
      </c>
    </row>
    <row r="1827">
      <c r="A1827" s="446" t="s">
        <v>6892</v>
      </c>
    </row>
    <row r="1828">
      <c r="A1828" s="446" t="s">
        <v>6891</v>
      </c>
    </row>
    <row r="1829">
      <c r="A1829" s="446" t="s">
        <v>6891</v>
      </c>
    </row>
    <row r="1830">
      <c r="A1830" s="446" t="s">
        <v>6887</v>
      </c>
    </row>
    <row r="1831">
      <c r="A1831" s="446" t="s">
        <v>6883</v>
      </c>
    </row>
    <row r="1832">
      <c r="A1832" s="446" t="s">
        <v>6883</v>
      </c>
    </row>
    <row r="1833">
      <c r="A1833" s="446" t="s">
        <v>6879</v>
      </c>
    </row>
    <row r="1834">
      <c r="A1834" s="446" t="s">
        <v>8026</v>
      </c>
    </row>
    <row r="1835">
      <c r="A1835" s="446" t="s">
        <v>6875</v>
      </c>
    </row>
    <row r="1836">
      <c r="A1836" s="446" t="s">
        <v>6875</v>
      </c>
    </row>
    <row r="1837">
      <c r="A1837" s="446" t="s">
        <v>6875</v>
      </c>
    </row>
    <row r="1838">
      <c r="A1838" s="446" t="s">
        <v>6873</v>
      </c>
    </row>
    <row r="1839">
      <c r="A1839" s="446" t="s">
        <v>6868</v>
      </c>
    </row>
    <row r="1840">
      <c r="A1840" s="446" t="s">
        <v>6868</v>
      </c>
    </row>
    <row r="1841">
      <c r="A1841" s="446" t="s">
        <v>6868</v>
      </c>
    </row>
    <row r="1842">
      <c r="A1842" s="446" t="s">
        <v>6864</v>
      </c>
    </row>
    <row r="1843">
      <c r="A1843" s="446" t="s">
        <v>6864</v>
      </c>
    </row>
    <row r="1844">
      <c r="A1844" s="446" t="s">
        <v>6857</v>
      </c>
    </row>
    <row r="1845">
      <c r="A1845" s="446" t="s">
        <v>6852</v>
      </c>
    </row>
    <row r="1846">
      <c r="A1846" s="446" t="s">
        <v>6852</v>
      </c>
    </row>
    <row r="1847">
      <c r="A1847" s="446" t="s">
        <v>6849</v>
      </c>
    </row>
    <row r="1848">
      <c r="A1848" s="446" t="s">
        <v>6847</v>
      </c>
    </row>
    <row r="1849">
      <c r="A1849" s="446" t="s">
        <v>6845</v>
      </c>
    </row>
    <row r="1850">
      <c r="A1850" s="446" t="s">
        <v>6842</v>
      </c>
    </row>
    <row r="1851">
      <c r="A1851" s="446" t="s">
        <v>6839</v>
      </c>
    </row>
    <row r="1852">
      <c r="A1852" s="446" t="s">
        <v>6837</v>
      </c>
    </row>
    <row r="1853">
      <c r="A1853" s="446" t="s">
        <v>6835</v>
      </c>
    </row>
    <row r="1854">
      <c r="A1854" s="446" t="s">
        <v>6834</v>
      </c>
    </row>
    <row r="1855">
      <c r="A1855" s="446" t="s">
        <v>6834</v>
      </c>
    </row>
    <row r="1856">
      <c r="A1856" s="446" t="s">
        <v>6831</v>
      </c>
    </row>
    <row r="1857">
      <c r="A1857" s="446" t="s">
        <v>6831</v>
      </c>
    </row>
    <row r="1858">
      <c r="A1858" s="446" t="s">
        <v>6829</v>
      </c>
    </row>
    <row r="1859">
      <c r="A1859" s="446" t="s">
        <v>6829</v>
      </c>
    </row>
    <row r="1860">
      <c r="A1860" s="446" t="s">
        <v>6826</v>
      </c>
    </row>
    <row r="1861">
      <c r="A1861" s="446" t="s">
        <v>6826</v>
      </c>
    </row>
    <row r="1862">
      <c r="A1862" s="446" t="s">
        <v>6824</v>
      </c>
    </row>
    <row r="1863">
      <c r="A1863" s="446" t="s">
        <v>6824</v>
      </c>
    </row>
    <row r="1864">
      <c r="A1864" s="446" t="s">
        <v>6818</v>
      </c>
    </row>
    <row r="1865">
      <c r="A1865" s="446" t="s">
        <v>6818</v>
      </c>
    </row>
    <row r="1866">
      <c r="A1866" s="446" t="s">
        <v>6818</v>
      </c>
    </row>
    <row r="1867">
      <c r="A1867" s="446" t="s">
        <v>6812</v>
      </c>
    </row>
    <row r="1868">
      <c r="A1868" s="446" t="s">
        <v>6809</v>
      </c>
    </row>
    <row r="1869">
      <c r="A1869" s="446" t="s">
        <v>6809</v>
      </c>
    </row>
    <row r="1870">
      <c r="A1870" s="446" t="s">
        <v>6795</v>
      </c>
    </row>
    <row r="1871">
      <c r="A1871" s="446" t="s">
        <v>6786</v>
      </c>
    </row>
    <row r="1872">
      <c r="A1872" s="446" t="s">
        <v>6786</v>
      </c>
    </row>
    <row r="1873">
      <c r="A1873" s="446" t="s">
        <v>6784</v>
      </c>
    </row>
    <row r="1874">
      <c r="A1874" s="446" t="s">
        <v>6784</v>
      </c>
    </row>
    <row r="1875">
      <c r="A1875" s="446" t="s">
        <v>6781</v>
      </c>
    </row>
    <row r="1876">
      <c r="A1876" s="446" t="s">
        <v>6781</v>
      </c>
    </row>
    <row r="1877">
      <c r="A1877" s="446" t="s">
        <v>6773</v>
      </c>
    </row>
    <row r="1878">
      <c r="A1878" s="446" t="s">
        <v>6773</v>
      </c>
    </row>
    <row r="1879">
      <c r="A1879" s="446" t="s">
        <v>6771</v>
      </c>
    </row>
    <row r="1880">
      <c r="A1880" s="446" t="s">
        <v>6771</v>
      </c>
    </row>
    <row r="1881">
      <c r="A1881" s="446" t="s">
        <v>6767</v>
      </c>
    </row>
    <row r="1882">
      <c r="A1882" s="446" t="s">
        <v>6765</v>
      </c>
    </row>
    <row r="1883">
      <c r="A1883" s="446" t="s">
        <v>6762</v>
      </c>
    </row>
    <row r="1884">
      <c r="A1884" s="446" t="s">
        <v>6762</v>
      </c>
    </row>
    <row r="1885">
      <c r="A1885" s="446" t="s">
        <v>6760</v>
      </c>
    </row>
    <row r="1886">
      <c r="A1886" s="446" t="s">
        <v>6758</v>
      </c>
    </row>
    <row r="1887">
      <c r="A1887" s="446" t="s">
        <v>6758</v>
      </c>
    </row>
    <row r="1888">
      <c r="A1888" s="446" t="s">
        <v>6756</v>
      </c>
    </row>
    <row r="1889">
      <c r="A1889" s="446" t="s">
        <v>6754</v>
      </c>
    </row>
    <row r="1890">
      <c r="A1890" s="446" t="s">
        <v>6754</v>
      </c>
    </row>
    <row r="1891">
      <c r="A1891" s="446" t="s">
        <v>6746</v>
      </c>
    </row>
    <row r="1892">
      <c r="A1892" s="446" t="s">
        <v>6745</v>
      </c>
    </row>
    <row r="1893">
      <c r="A1893" s="446" t="s">
        <v>6745</v>
      </c>
    </row>
    <row r="1894">
      <c r="A1894" s="446" t="s">
        <v>3000</v>
      </c>
    </row>
    <row r="1895">
      <c r="A1895" s="446" t="s">
        <v>3000</v>
      </c>
    </row>
    <row r="1896">
      <c r="A1896" s="446" t="s">
        <v>6741</v>
      </c>
    </row>
    <row r="1897">
      <c r="A1897" s="446" t="s">
        <v>6739</v>
      </c>
    </row>
    <row r="1898">
      <c r="A1898" s="446" t="s">
        <v>6737</v>
      </c>
    </row>
    <row r="1899">
      <c r="A1899" s="446" t="s">
        <v>6704</v>
      </c>
    </row>
    <row r="1900">
      <c r="A1900" s="446" t="s">
        <v>6704</v>
      </c>
    </row>
    <row r="1901">
      <c r="A1901" s="446" t="s">
        <v>6719</v>
      </c>
    </row>
    <row r="1902">
      <c r="A1902" s="446" t="s">
        <v>6719</v>
      </c>
    </row>
    <row r="1903">
      <c r="A1903" s="446" t="s">
        <v>6719</v>
      </c>
    </row>
    <row r="1904">
      <c r="A1904" s="446" t="s">
        <v>6733</v>
      </c>
    </row>
    <row r="1905">
      <c r="A1905" s="446" t="s">
        <v>6732</v>
      </c>
    </row>
    <row r="1906">
      <c r="A1906" s="446" t="s">
        <v>6730</v>
      </c>
    </row>
    <row r="1907">
      <c r="A1907" s="446" t="s">
        <v>6730</v>
      </c>
    </row>
    <row r="1908">
      <c r="A1908" s="446" t="s">
        <v>6727</v>
      </c>
    </row>
    <row r="1909">
      <c r="A1909" s="446" t="s">
        <v>6727</v>
      </c>
    </row>
    <row r="1910">
      <c r="A1910" s="446" t="s">
        <v>6725</v>
      </c>
    </row>
    <row r="1911">
      <c r="A1911" s="446" t="s">
        <v>6721</v>
      </c>
    </row>
    <row r="1912">
      <c r="A1912" s="446" t="s">
        <v>6721</v>
      </c>
    </row>
    <row r="1913">
      <c r="A1913" s="446" t="s">
        <v>6717</v>
      </c>
    </row>
    <row r="1914">
      <c r="A1914" s="446" t="s">
        <v>6717</v>
      </c>
    </row>
    <row r="1915">
      <c r="A1915" s="446" t="s">
        <v>6715</v>
      </c>
    </row>
    <row r="1916">
      <c r="A1916" s="446" t="s">
        <v>6713</v>
      </c>
    </row>
    <row r="1917">
      <c r="A1917" s="446" t="s">
        <v>6711</v>
      </c>
    </row>
    <row r="1918">
      <c r="A1918" s="446" t="s">
        <v>6708</v>
      </c>
    </row>
    <row r="1919">
      <c r="A1919" s="446" t="s">
        <v>6708</v>
      </c>
    </row>
    <row r="1920">
      <c r="A1920" s="446" t="s">
        <v>6706</v>
      </c>
    </row>
    <row r="1921">
      <c r="A1921" s="446" t="s">
        <v>6706</v>
      </c>
    </row>
    <row r="1922">
      <c r="A1922" s="446" t="s">
        <v>6704</v>
      </c>
    </row>
    <row r="1923">
      <c r="A1923" s="446" t="s">
        <v>6700</v>
      </c>
    </row>
    <row r="1924">
      <c r="A1924" s="446" t="s">
        <v>6700</v>
      </c>
    </row>
    <row r="1925">
      <c r="A1925" s="446" t="s">
        <v>6698</v>
      </c>
    </row>
    <row r="1926">
      <c r="A1926" s="446" t="s">
        <v>6698</v>
      </c>
    </row>
    <row r="1927">
      <c r="A1927" s="446" t="s">
        <v>6697</v>
      </c>
    </row>
    <row r="1928">
      <c r="A1928" s="446" t="s">
        <v>6697</v>
      </c>
    </row>
    <row r="1929">
      <c r="A1929" s="446" t="s">
        <v>6694</v>
      </c>
    </row>
    <row r="1930">
      <c r="A1930" s="446" t="s">
        <v>6694</v>
      </c>
    </row>
    <row r="1931">
      <c r="A1931" s="446" t="s">
        <v>6690</v>
      </c>
    </row>
    <row r="1932">
      <c r="A1932" s="446" t="s">
        <v>6690</v>
      </c>
    </row>
    <row r="1933">
      <c r="A1933" s="446" t="s">
        <v>6688</v>
      </c>
    </row>
    <row r="1934">
      <c r="A1934" s="446" t="s">
        <v>6688</v>
      </c>
    </row>
    <row r="1935">
      <c r="A1935" s="446" t="s">
        <v>6685</v>
      </c>
    </row>
    <row r="1936">
      <c r="A1936" s="446" t="s">
        <v>6685</v>
      </c>
    </row>
    <row r="1937">
      <c r="A1937" s="446" t="s">
        <v>2936</v>
      </c>
    </row>
    <row r="1938">
      <c r="A1938" s="446" t="s">
        <v>2936</v>
      </c>
    </row>
    <row r="1939">
      <c r="A1939" s="446" t="s">
        <v>6682</v>
      </c>
    </row>
    <row r="1940">
      <c r="A1940" s="446" t="s">
        <v>6680</v>
      </c>
    </row>
    <row r="1941">
      <c r="A1941" s="446" t="s">
        <v>6678</v>
      </c>
    </row>
    <row r="1942">
      <c r="A1942" s="446" t="s">
        <v>2868</v>
      </c>
    </row>
    <row r="1943">
      <c r="A1943" s="446" t="s">
        <v>2868</v>
      </c>
    </row>
    <row r="1944">
      <c r="A1944" s="446" t="s">
        <v>6675</v>
      </c>
    </row>
    <row r="1945">
      <c r="A1945" s="446" t="s">
        <v>6675</v>
      </c>
    </row>
    <row r="1946">
      <c r="A1946" s="446" t="s">
        <v>6673</v>
      </c>
    </row>
    <row r="1947">
      <c r="A1947" s="446" t="s">
        <v>6673</v>
      </c>
    </row>
    <row r="1948">
      <c r="A1948" s="446" t="s">
        <v>6673</v>
      </c>
    </row>
    <row r="1949">
      <c r="A1949" s="446" t="s">
        <v>6671</v>
      </c>
    </row>
    <row r="1950">
      <c r="A1950" s="446" t="s">
        <v>6671</v>
      </c>
    </row>
    <row r="1951">
      <c r="A1951" s="446" t="s">
        <v>6669</v>
      </c>
    </row>
    <row r="1952">
      <c r="A1952" s="446" t="s">
        <v>6669</v>
      </c>
    </row>
    <row r="1953">
      <c r="A1953" s="446" t="s">
        <v>6666</v>
      </c>
    </row>
    <row r="1954">
      <c r="A1954" s="446" t="s">
        <v>6666</v>
      </c>
    </row>
    <row r="1955">
      <c r="A1955" s="446" t="s">
        <v>2840</v>
      </c>
    </row>
    <row r="1956">
      <c r="A1956" s="446" t="s">
        <v>2840</v>
      </c>
    </row>
    <row r="1957">
      <c r="A1957" s="446" t="s">
        <v>2902</v>
      </c>
    </row>
    <row r="1958">
      <c r="A1958" s="446" t="s">
        <v>2902</v>
      </c>
    </row>
    <row r="1959">
      <c r="A1959" s="446" t="s">
        <v>6659</v>
      </c>
    </row>
    <row r="1960">
      <c r="A1960" s="446" t="s">
        <v>6659</v>
      </c>
    </row>
    <row r="1961">
      <c r="A1961" s="446" t="s">
        <v>6659</v>
      </c>
    </row>
    <row r="1962">
      <c r="A1962" s="446" t="s">
        <v>6657</v>
      </c>
    </row>
    <row r="1963">
      <c r="A1963" s="446" t="s">
        <v>6657</v>
      </c>
    </row>
    <row r="1964">
      <c r="A1964" s="446" t="s">
        <v>6654</v>
      </c>
    </row>
    <row r="1965">
      <c r="A1965" s="446" t="s">
        <v>6646</v>
      </c>
    </row>
    <row r="1966">
      <c r="A1966" s="446" t="s">
        <v>6646</v>
      </c>
    </row>
    <row r="1967">
      <c r="A1967" s="446" t="s">
        <v>6645</v>
      </c>
    </row>
    <row r="1968">
      <c r="A1968" s="446" t="s">
        <v>6645</v>
      </c>
    </row>
    <row r="1969">
      <c r="A1969" s="446" t="s">
        <v>6643</v>
      </c>
    </row>
    <row r="1970">
      <c r="A1970" s="446" t="s">
        <v>6643</v>
      </c>
    </row>
    <row r="1971">
      <c r="A1971" s="446" t="s">
        <v>6639</v>
      </c>
    </row>
    <row r="1972">
      <c r="A1972" s="446" t="s">
        <v>6636</v>
      </c>
    </row>
    <row r="1973">
      <c r="A1973" s="446" t="s">
        <v>2715</v>
      </c>
    </row>
    <row r="1974">
      <c r="A1974" s="446" t="s">
        <v>2715</v>
      </c>
    </row>
    <row r="1975">
      <c r="A1975" s="446" t="s">
        <v>6629</v>
      </c>
    </row>
    <row r="1976">
      <c r="A1976" s="446" t="s">
        <v>6627</v>
      </c>
    </row>
    <row r="1977">
      <c r="A1977" s="446" t="s">
        <v>6624</v>
      </c>
    </row>
    <row r="1978">
      <c r="A1978" s="446" t="s">
        <v>6621</v>
      </c>
    </row>
    <row r="1979">
      <c r="A1979" s="446" t="s">
        <v>6621</v>
      </c>
    </row>
    <row r="1980">
      <c r="A1980" s="446" t="s">
        <v>6621</v>
      </c>
    </row>
    <row r="1981">
      <c r="A1981" s="446" t="s">
        <v>6617</v>
      </c>
    </row>
    <row r="1982">
      <c r="A1982" s="446" t="s">
        <v>6614</v>
      </c>
    </row>
    <row r="1983">
      <c r="A1983" s="446" t="s">
        <v>6614</v>
      </c>
    </row>
    <row r="1984">
      <c r="A1984" s="446" t="s">
        <v>6607</v>
      </c>
    </row>
    <row r="1985">
      <c r="A1985" s="446" t="s">
        <v>6607</v>
      </c>
    </row>
    <row r="1986">
      <c r="A1986" s="446" t="s">
        <v>6605</v>
      </c>
    </row>
    <row r="1987">
      <c r="A1987" s="446" t="s">
        <v>6605</v>
      </c>
    </row>
    <row r="1988">
      <c r="A1988" s="446" t="s">
        <v>6588</v>
      </c>
    </row>
    <row r="1989">
      <c r="A1989" s="446" t="s">
        <v>6588</v>
      </c>
    </row>
    <row r="1990">
      <c r="A1990" s="446" t="s">
        <v>6583</v>
      </c>
    </row>
    <row r="1991">
      <c r="A1991" s="446" t="s">
        <v>6583</v>
      </c>
    </row>
    <row r="1992">
      <c r="A1992" s="446" t="s">
        <v>6578</v>
      </c>
    </row>
    <row r="1993">
      <c r="A1993" s="446" t="s">
        <v>6576</v>
      </c>
    </row>
    <row r="1994">
      <c r="A1994" s="446" t="s">
        <v>6576</v>
      </c>
    </row>
    <row r="1995">
      <c r="A1995" s="446" t="s">
        <v>6574</v>
      </c>
    </row>
    <row r="1996">
      <c r="A1996" s="446" t="s">
        <v>6574</v>
      </c>
    </row>
    <row r="1997">
      <c r="A1997" s="446" t="s">
        <v>6570</v>
      </c>
    </row>
    <row r="1998">
      <c r="A1998" s="446" t="s">
        <v>6570</v>
      </c>
    </row>
    <row r="1999">
      <c r="A1999" s="446" t="s">
        <v>6561</v>
      </c>
    </row>
    <row r="2000">
      <c r="A2000" s="446" t="s">
        <v>6561</v>
      </c>
    </row>
    <row r="2001">
      <c r="A2001" s="446" t="s">
        <v>6559</v>
      </c>
    </row>
    <row r="2002">
      <c r="A2002" s="446" t="s">
        <v>6559</v>
      </c>
    </row>
    <row r="2003">
      <c r="A2003" s="446" t="s">
        <v>6550</v>
      </c>
    </row>
    <row r="2004">
      <c r="A2004" s="446" t="s">
        <v>6550</v>
      </c>
    </row>
    <row r="2005">
      <c r="A2005" s="446" t="s">
        <v>6547</v>
      </c>
    </row>
    <row r="2006">
      <c r="A2006" s="446" t="s">
        <v>6547</v>
      </c>
    </row>
    <row r="2007">
      <c r="A2007" s="446" t="s">
        <v>6547</v>
      </c>
    </row>
    <row r="2008">
      <c r="A2008" s="446" t="s">
        <v>6546</v>
      </c>
    </row>
    <row r="2009">
      <c r="A2009" s="446" t="s">
        <v>6546</v>
      </c>
    </row>
    <row r="2010">
      <c r="A2010" s="446" t="s">
        <v>6546</v>
      </c>
    </row>
    <row r="2011">
      <c r="A2011" s="446" t="s">
        <v>6545</v>
      </c>
    </row>
    <row r="2012">
      <c r="A2012" s="446" t="s">
        <v>6545</v>
      </c>
    </row>
    <row r="2013">
      <c r="A2013" s="446" t="s">
        <v>6543</v>
      </c>
    </row>
    <row r="2014">
      <c r="A2014" s="446" t="s">
        <v>6543</v>
      </c>
    </row>
    <row r="2015">
      <c r="A2015" s="446" t="s">
        <v>2772</v>
      </c>
    </row>
    <row r="2016">
      <c r="A2016" s="446" t="s">
        <v>2772</v>
      </c>
    </row>
    <row r="2017">
      <c r="A2017" s="446" t="s">
        <v>2772</v>
      </c>
    </row>
    <row r="2018">
      <c r="A2018" s="446" t="s">
        <v>6540</v>
      </c>
    </row>
    <row r="2019">
      <c r="A2019" s="446" t="s">
        <v>6535</v>
      </c>
    </row>
    <row r="2020">
      <c r="A2020" s="446" t="s">
        <v>6518</v>
      </c>
    </row>
    <row r="2021">
      <c r="A2021" s="446" t="s">
        <v>6516</v>
      </c>
    </row>
    <row r="2022">
      <c r="A2022" s="446" t="s">
        <v>6516</v>
      </c>
    </row>
    <row r="2023">
      <c r="A2023" s="446" t="s">
        <v>6514</v>
      </c>
    </row>
    <row r="2024">
      <c r="A2024" s="446" t="s">
        <v>6514</v>
      </c>
    </row>
    <row r="2025">
      <c r="A2025" s="446" t="s">
        <v>6514</v>
      </c>
    </row>
    <row r="2026">
      <c r="A2026" s="446" t="s">
        <v>6512</v>
      </c>
    </row>
    <row r="2027">
      <c r="A2027" s="446" t="s">
        <v>6512</v>
      </c>
    </row>
    <row r="2028">
      <c r="A2028" s="446" t="s">
        <v>6512</v>
      </c>
    </row>
    <row r="2029">
      <c r="A2029" s="446" t="s">
        <v>6510</v>
      </c>
    </row>
    <row r="2030">
      <c r="A2030" s="446" t="s">
        <v>6510</v>
      </c>
    </row>
    <row r="2031">
      <c r="A2031" s="446" t="s">
        <v>2520</v>
      </c>
    </row>
    <row r="2032">
      <c r="A2032" s="446" t="s">
        <v>2520</v>
      </c>
    </row>
    <row r="2033">
      <c r="A2033" s="446" t="s">
        <v>2520</v>
      </c>
    </row>
    <row r="2034">
      <c r="A2034" s="446" t="s">
        <v>6507</v>
      </c>
    </row>
    <row r="2035">
      <c r="A2035" s="446" t="s">
        <v>6505</v>
      </c>
    </row>
    <row r="2036">
      <c r="A2036" s="446" t="s">
        <v>6505</v>
      </c>
    </row>
    <row r="2037">
      <c r="A2037" s="446" t="s">
        <v>2462</v>
      </c>
    </row>
    <row r="2038">
      <c r="A2038" s="446" t="s">
        <v>2462</v>
      </c>
    </row>
    <row r="2039">
      <c r="A2039" s="446" t="s">
        <v>2462</v>
      </c>
    </row>
    <row r="2040">
      <c r="A2040" s="446" t="s">
        <v>2433</v>
      </c>
    </row>
    <row r="2041">
      <c r="A2041" s="446" t="s">
        <v>2433</v>
      </c>
    </row>
    <row r="2042">
      <c r="A2042" s="446" t="s">
        <v>6488</v>
      </c>
    </row>
    <row r="2043">
      <c r="A2043" s="446" t="s">
        <v>6488</v>
      </c>
    </row>
    <row r="2044">
      <c r="A2044" s="446" t="s">
        <v>6486</v>
      </c>
    </row>
    <row r="2045">
      <c r="A2045" s="446" t="s">
        <v>6486</v>
      </c>
    </row>
    <row r="2046">
      <c r="A2046" s="446" t="s">
        <v>6484</v>
      </c>
    </row>
    <row r="2047">
      <c r="A2047" s="446" t="s">
        <v>6484</v>
      </c>
    </row>
    <row r="2048">
      <c r="A2048" s="446" t="s">
        <v>2407</v>
      </c>
    </row>
    <row r="2049">
      <c r="A2049" s="446" t="s">
        <v>2407</v>
      </c>
    </row>
    <row r="2050">
      <c r="A2050" s="446" t="s">
        <v>6478</v>
      </c>
    </row>
    <row r="2051">
      <c r="A2051" s="446" t="s">
        <v>6478</v>
      </c>
    </row>
    <row r="2052">
      <c r="A2052" s="446" t="s">
        <v>6476</v>
      </c>
    </row>
    <row r="2053">
      <c r="A2053" s="446" t="s">
        <v>6476</v>
      </c>
    </row>
    <row r="2054">
      <c r="A2054" s="446" t="s">
        <v>6476</v>
      </c>
    </row>
    <row r="2055">
      <c r="A2055" s="446" t="s">
        <v>6470</v>
      </c>
    </row>
    <row r="2056">
      <c r="A2056" s="446" t="s">
        <v>6470</v>
      </c>
    </row>
    <row r="2057">
      <c r="A2057" s="446" t="s">
        <v>6461</v>
      </c>
    </row>
    <row r="2058">
      <c r="A2058" s="446" t="s">
        <v>6459</v>
      </c>
    </row>
    <row r="2059">
      <c r="A2059" s="446" t="s">
        <v>6457</v>
      </c>
    </row>
    <row r="2060">
      <c r="A2060" s="446" t="s">
        <v>6457</v>
      </c>
    </row>
    <row r="2061">
      <c r="A2061" s="446" t="s">
        <v>6455</v>
      </c>
    </row>
    <row r="2062">
      <c r="A2062" s="446" t="s">
        <v>6455</v>
      </c>
    </row>
    <row r="2063">
      <c r="A2063" s="446" t="s">
        <v>6451</v>
      </c>
    </row>
    <row r="2064">
      <c r="A2064" s="446" t="s">
        <v>6449</v>
      </c>
    </row>
    <row r="2065">
      <c r="A2065" s="446" t="s">
        <v>6447</v>
      </c>
    </row>
    <row r="2066">
      <c r="A2066" s="446" t="s">
        <v>6447</v>
      </c>
    </row>
    <row r="2067">
      <c r="A2067" s="446" t="s">
        <v>6445</v>
      </c>
    </row>
    <row r="2068">
      <c r="A2068" s="446" t="s">
        <v>6445</v>
      </c>
    </row>
    <row r="2069">
      <c r="A2069" s="446" t="s">
        <v>6437</v>
      </c>
    </row>
    <row r="2070">
      <c r="A2070" s="446" t="s">
        <v>6437</v>
      </c>
    </row>
    <row r="2071">
      <c r="A2071" s="446" t="s">
        <v>6435</v>
      </c>
    </row>
    <row r="2072">
      <c r="A2072" s="446" t="s">
        <v>6435</v>
      </c>
    </row>
    <row r="2073">
      <c r="A2073" s="446" t="s">
        <v>2322</v>
      </c>
    </row>
    <row r="2074">
      <c r="A2074" s="446" t="s">
        <v>2322</v>
      </c>
    </row>
    <row r="2075">
      <c r="A2075" s="446" t="s">
        <v>6428</v>
      </c>
    </row>
    <row r="2076">
      <c r="A2076" s="446" t="s">
        <v>6428</v>
      </c>
    </row>
    <row r="2077">
      <c r="A2077" s="446" t="s">
        <v>6426</v>
      </c>
    </row>
    <row r="2078">
      <c r="A2078" s="446" t="s">
        <v>6426</v>
      </c>
    </row>
    <row r="2079">
      <c r="A2079" s="446" t="s">
        <v>6424</v>
      </c>
    </row>
    <row r="2080">
      <c r="A2080" s="446" t="s">
        <v>7047</v>
      </c>
    </row>
    <row r="2081">
      <c r="A2081" s="446" t="s">
        <v>7047</v>
      </c>
    </row>
    <row r="2082">
      <c r="A2082" s="446" t="s">
        <v>2115</v>
      </c>
    </row>
    <row r="2083">
      <c r="A2083" s="446" t="s">
        <v>2115</v>
      </c>
    </row>
    <row r="2084">
      <c r="A2084" s="446" t="s">
        <v>2081</v>
      </c>
    </row>
    <row r="2085">
      <c r="A2085" s="446" t="s">
        <v>6409</v>
      </c>
    </row>
    <row r="2086">
      <c r="A2086" s="446" t="s">
        <v>6409</v>
      </c>
    </row>
    <row r="2087">
      <c r="A2087" s="446" t="s">
        <v>6409</v>
      </c>
    </row>
    <row r="2088">
      <c r="A2088" s="446" t="s">
        <v>6407</v>
      </c>
    </row>
    <row r="2089">
      <c r="A2089" s="446" t="s">
        <v>1921</v>
      </c>
    </row>
    <row r="2090">
      <c r="A2090" s="446" t="s">
        <v>1921</v>
      </c>
    </row>
    <row r="2091">
      <c r="A2091" s="446" t="s">
        <v>1921</v>
      </c>
    </row>
    <row r="2092">
      <c r="A2092" s="446" t="s">
        <v>6403</v>
      </c>
    </row>
    <row r="2093">
      <c r="A2093" s="446" t="s">
        <v>6403</v>
      </c>
    </row>
    <row r="2094">
      <c r="A2094" s="446" t="s">
        <v>6399</v>
      </c>
    </row>
    <row r="2095">
      <c r="A2095" s="446" t="s">
        <v>6399</v>
      </c>
    </row>
    <row r="2096">
      <c r="A2096" s="446" t="s">
        <v>6393</v>
      </c>
    </row>
    <row r="2097">
      <c r="A2097" s="446" t="s">
        <v>6393</v>
      </c>
    </row>
    <row r="2098">
      <c r="A2098" s="446" t="s">
        <v>6390</v>
      </c>
    </row>
    <row r="2099">
      <c r="A2099" s="446" t="s">
        <v>6390</v>
      </c>
    </row>
    <row r="2100">
      <c r="A2100" s="446" t="s">
        <v>6388</v>
      </c>
    </row>
    <row r="2101">
      <c r="A2101" s="446" t="s">
        <v>6388</v>
      </c>
    </row>
    <row r="2102">
      <c r="A2102" s="446" t="s">
        <v>6388</v>
      </c>
    </row>
    <row r="2103">
      <c r="A2103" s="446" t="s">
        <v>6386</v>
      </c>
    </row>
    <row r="2104">
      <c r="A2104" s="446" t="s">
        <v>6386</v>
      </c>
    </row>
    <row r="2105">
      <c r="A2105" s="446" t="s">
        <v>6386</v>
      </c>
    </row>
    <row r="2106">
      <c r="A2106" s="446" t="s">
        <v>6381</v>
      </c>
    </row>
    <row r="2107">
      <c r="A2107" s="446" t="s">
        <v>6381</v>
      </c>
    </row>
    <row r="2108">
      <c r="A2108" s="446" t="s">
        <v>6381</v>
      </c>
    </row>
    <row r="2109">
      <c r="A2109" s="446" t="s">
        <v>6379</v>
      </c>
    </row>
    <row r="2110">
      <c r="A2110" s="446" t="s">
        <v>6379</v>
      </c>
    </row>
    <row r="2111">
      <c r="A2111" s="446" t="s">
        <v>6379</v>
      </c>
    </row>
    <row r="2112">
      <c r="A2112" s="446" t="s">
        <v>6375</v>
      </c>
    </row>
    <row r="2113">
      <c r="A2113" s="446" t="s">
        <v>6375</v>
      </c>
    </row>
    <row r="2114">
      <c r="A2114" s="446" t="s">
        <v>6372</v>
      </c>
    </row>
    <row r="2115">
      <c r="A2115" s="446" t="s">
        <v>6372</v>
      </c>
    </row>
    <row r="2116">
      <c r="A2116" s="446" t="s">
        <v>6370</v>
      </c>
    </row>
    <row r="2117">
      <c r="A2117" s="446" t="s">
        <v>6370</v>
      </c>
    </row>
    <row r="2118">
      <c r="A2118" s="446" t="s">
        <v>6366</v>
      </c>
    </row>
    <row r="2119">
      <c r="A2119" s="446" t="s">
        <v>6366</v>
      </c>
    </row>
    <row r="2120">
      <c r="A2120" s="446" t="s">
        <v>6366</v>
      </c>
    </row>
    <row r="2121">
      <c r="A2121" s="446" t="s">
        <v>6362</v>
      </c>
    </row>
    <row r="2122">
      <c r="A2122" s="446" t="s">
        <v>6362</v>
      </c>
    </row>
    <row r="2123">
      <c r="A2123" s="446" t="s">
        <v>6362</v>
      </c>
    </row>
    <row r="2124">
      <c r="A2124" s="446" t="s">
        <v>6360</v>
      </c>
    </row>
    <row r="2125">
      <c r="A2125" s="446" t="s">
        <v>6360</v>
      </c>
    </row>
    <row r="2126">
      <c r="A2126" s="446" t="s">
        <v>6358</v>
      </c>
    </row>
    <row r="2127">
      <c r="A2127" s="446" t="s">
        <v>6358</v>
      </c>
    </row>
    <row r="2128">
      <c r="A2128" s="446" t="s">
        <v>6355</v>
      </c>
    </row>
    <row r="2129">
      <c r="A2129" s="446" t="s">
        <v>6355</v>
      </c>
    </row>
    <row r="2130">
      <c r="A2130" s="446" t="s">
        <v>6353</v>
      </c>
    </row>
    <row r="2131">
      <c r="A2131" s="446" t="s">
        <v>6353</v>
      </c>
    </row>
    <row r="2132">
      <c r="A2132" s="446" t="s">
        <v>5816</v>
      </c>
    </row>
    <row r="2133">
      <c r="A2133" s="446" t="s">
        <v>5816</v>
      </c>
    </row>
    <row r="2134">
      <c r="A2134" s="446" t="s">
        <v>5816</v>
      </c>
    </row>
    <row r="2135">
      <c r="A2135" s="446" t="s">
        <v>6350</v>
      </c>
    </row>
    <row r="2136">
      <c r="A2136" s="446" t="s">
        <v>6350</v>
      </c>
    </row>
    <row r="2137">
      <c r="A2137" s="446" t="s">
        <v>6348</v>
      </c>
    </row>
    <row r="2138">
      <c r="A2138" s="446" t="s">
        <v>6348</v>
      </c>
    </row>
    <row r="2139">
      <c r="A2139" s="446" t="s">
        <v>6346</v>
      </c>
    </row>
    <row r="2140">
      <c r="A2140" s="446" t="s">
        <v>6346</v>
      </c>
    </row>
    <row r="2141">
      <c r="A2141" s="446" t="s">
        <v>6340</v>
      </c>
    </row>
    <row r="2142">
      <c r="A2142" s="446" t="s">
        <v>6338</v>
      </c>
    </row>
    <row r="2143">
      <c r="A2143" s="446" t="s">
        <v>6338</v>
      </c>
    </row>
    <row r="2144">
      <c r="A2144" s="446" t="s">
        <v>6336</v>
      </c>
    </row>
    <row r="2145">
      <c r="A2145" s="446" t="s">
        <v>6336</v>
      </c>
    </row>
    <row r="2146">
      <c r="A2146" s="446" t="s">
        <v>6336</v>
      </c>
    </row>
    <row r="2147">
      <c r="A2147" s="446" t="s">
        <v>6336</v>
      </c>
    </row>
    <row r="2148">
      <c r="A2148" s="446" t="s">
        <v>6332</v>
      </c>
    </row>
    <row r="2149">
      <c r="A2149" s="446" t="s">
        <v>6332</v>
      </c>
    </row>
    <row r="2150">
      <c r="A2150" s="446" t="s">
        <v>6327</v>
      </c>
    </row>
    <row r="2151">
      <c r="A2151" s="446" t="s">
        <v>6327</v>
      </c>
    </row>
    <row r="2152">
      <c r="A2152" s="446" t="s">
        <v>374</v>
      </c>
    </row>
    <row r="2153">
      <c r="A2153" s="446" t="s">
        <v>374</v>
      </c>
    </row>
    <row r="2154">
      <c r="A2154" s="446" t="s">
        <v>8072</v>
      </c>
    </row>
    <row r="2155">
      <c r="A2155" s="446" t="s">
        <v>6288</v>
      </c>
    </row>
    <row r="2156">
      <c r="A2156" s="446" t="s">
        <v>6288</v>
      </c>
    </row>
    <row r="2157">
      <c r="A2157" s="446" t="s">
        <v>6286</v>
      </c>
    </row>
    <row r="2158">
      <c r="A2158" s="446" t="s">
        <v>6286</v>
      </c>
    </row>
    <row r="2159">
      <c r="A2159" s="446" t="s">
        <v>6283</v>
      </c>
    </row>
    <row r="2160">
      <c r="A2160" s="446" t="s">
        <v>6282</v>
      </c>
    </row>
    <row r="2161">
      <c r="A2161" s="446" t="s">
        <v>6281</v>
      </c>
    </row>
    <row r="2162">
      <c r="A2162" s="446" t="s">
        <v>6280</v>
      </c>
    </row>
    <row r="2163">
      <c r="A2163" s="446" t="s">
        <v>6280</v>
      </c>
    </row>
    <row r="2164">
      <c r="A2164" s="446" t="s">
        <v>7495</v>
      </c>
    </row>
    <row r="2165">
      <c r="A2165" s="446" t="s">
        <v>7487</v>
      </c>
    </row>
    <row r="2166">
      <c r="A2166" s="446" t="s">
        <v>7481</v>
      </c>
    </row>
    <row r="2167">
      <c r="A2167" s="446" t="s">
        <v>7478</v>
      </c>
    </row>
    <row r="2168">
      <c r="A2168" s="446" t="s">
        <v>7469</v>
      </c>
    </row>
    <row r="2169">
      <c r="A2169" s="446" t="s">
        <v>7474</v>
      </c>
    </row>
    <row r="2170">
      <c r="A2170" s="446" t="s">
        <v>7496</v>
      </c>
    </row>
    <row r="2171">
      <c r="A2171" s="446" t="s">
        <v>7476</v>
      </c>
    </row>
    <row r="2172">
      <c r="A2172" s="446" t="s">
        <v>7472</v>
      </c>
    </row>
    <row r="2173">
      <c r="A2173" s="446" t="s">
        <v>7494</v>
      </c>
    </row>
    <row r="2174">
      <c r="A2174" s="446" t="s">
        <v>7491</v>
      </c>
    </row>
    <row r="2175">
      <c r="A2175" s="446" t="s">
        <v>7494</v>
      </c>
    </row>
    <row r="2176">
      <c r="A2176" s="446" t="s">
        <v>7497</v>
      </c>
    </row>
    <row r="2177">
      <c r="A2177" s="446" t="s">
        <v>7489</v>
      </c>
    </row>
    <row r="2178">
      <c r="A2178" s="446" t="s">
        <v>7483</v>
      </c>
    </row>
    <row r="2179">
      <c r="A2179" s="446" t="s">
        <v>7471</v>
      </c>
    </row>
    <row r="2180">
      <c r="A2180" s="446" t="s">
        <v>7467</v>
      </c>
    </row>
    <row r="2181">
      <c r="A2181" s="446" t="s">
        <v>6273</v>
      </c>
    </row>
    <row r="2182">
      <c r="A2182" s="446" t="s">
        <v>6273</v>
      </c>
    </row>
    <row r="2183">
      <c r="A2183" s="446" t="s">
        <v>6273</v>
      </c>
    </row>
    <row r="2184">
      <c r="A2184" s="446" t="s">
        <v>6273</v>
      </c>
    </row>
    <row r="2185">
      <c r="A2185" s="446" t="s">
        <v>6273</v>
      </c>
    </row>
    <row r="2186">
      <c r="A2186" s="446" t="s">
        <v>6278</v>
      </c>
    </row>
    <row r="2187">
      <c r="A2187" s="446" t="s">
        <v>6278</v>
      </c>
    </row>
    <row r="2188">
      <c r="A2188" s="446" t="s">
        <v>6278</v>
      </c>
    </row>
    <row r="2189">
      <c r="A2189" s="446" t="s">
        <v>6278</v>
      </c>
    </row>
    <row r="2190">
      <c r="A2190" s="446" t="s">
        <v>6276</v>
      </c>
    </row>
    <row r="2191">
      <c r="A2191" s="446" t="s">
        <v>6276</v>
      </c>
    </row>
    <row r="2192">
      <c r="A2192" s="446" t="s">
        <v>6276</v>
      </c>
    </row>
    <row r="2193">
      <c r="A2193" s="446" t="s">
        <v>6276</v>
      </c>
    </row>
    <row r="2194">
      <c r="A2194" s="446" t="s">
        <v>6276</v>
      </c>
    </row>
    <row r="2195">
      <c r="A2195" s="446" t="s">
        <v>6279</v>
      </c>
    </row>
    <row r="2196">
      <c r="A2196" s="446" t="s">
        <v>6279</v>
      </c>
    </row>
    <row r="2197">
      <c r="A2197" s="446" t="s">
        <v>6279</v>
      </c>
    </row>
    <row r="2198">
      <c r="A2198" s="446" t="s">
        <v>6279</v>
      </c>
    </row>
    <row r="2199">
      <c r="A2199" s="446" t="s">
        <v>6279</v>
      </c>
    </row>
    <row r="2200">
      <c r="A2200" s="446" t="s">
        <v>6279</v>
      </c>
    </row>
    <row r="2201">
      <c r="A2201" s="446" t="s">
        <v>7938</v>
      </c>
    </row>
    <row r="2202">
      <c r="A2202" s="446" t="s">
        <v>7938</v>
      </c>
    </row>
    <row r="2203">
      <c r="A2203" s="446" t="s">
        <v>7937</v>
      </c>
    </row>
    <row r="2204">
      <c r="A2204" s="446" t="s">
        <v>7935</v>
      </c>
    </row>
    <row r="2205">
      <c r="A2205" s="446" t="s">
        <v>5785</v>
      </c>
    </row>
    <row r="2206">
      <c r="A2206" s="446" t="s">
        <v>5785</v>
      </c>
    </row>
    <row r="2207">
      <c r="A2207" s="446" t="s">
        <v>5785</v>
      </c>
    </row>
    <row r="2208">
      <c r="A2208" s="446" t="s">
        <v>5785</v>
      </c>
    </row>
    <row r="2209">
      <c r="A2209" s="446" t="s">
        <v>5785</v>
      </c>
    </row>
    <row r="2210">
      <c r="A2210" s="446" t="s">
        <v>5785</v>
      </c>
    </row>
    <row r="2211">
      <c r="A2211" s="446" t="s">
        <v>5771</v>
      </c>
    </row>
    <row r="2212">
      <c r="A2212" s="446" t="s">
        <v>5771</v>
      </c>
    </row>
    <row r="2213">
      <c r="A2213" s="446" t="s">
        <v>5771</v>
      </c>
    </row>
    <row r="2214">
      <c r="A2214" s="446" t="s">
        <v>5771</v>
      </c>
    </row>
    <row r="2215">
      <c r="A2215" s="446" t="s">
        <v>5771</v>
      </c>
    </row>
    <row r="2216">
      <c r="A2216" s="446" t="s">
        <v>5771</v>
      </c>
    </row>
    <row r="2217">
      <c r="A2217" s="446" t="s">
        <v>5299</v>
      </c>
    </row>
    <row r="2218">
      <c r="A2218" s="446" t="s">
        <v>5299</v>
      </c>
    </row>
    <row r="2219">
      <c r="A2219" s="446" t="s">
        <v>4937</v>
      </c>
    </row>
    <row r="2220">
      <c r="A2220" s="446" t="s">
        <v>4937</v>
      </c>
    </row>
    <row r="2221">
      <c r="A2221" s="446" t="s">
        <v>4937</v>
      </c>
    </row>
    <row r="2222">
      <c r="A2222" s="446" t="s">
        <v>4937</v>
      </c>
    </row>
    <row r="2223">
      <c r="A2223" s="446" t="s">
        <v>4937</v>
      </c>
    </row>
    <row r="2224">
      <c r="A2224" s="446" t="s">
        <v>4937</v>
      </c>
    </row>
    <row r="2225">
      <c r="A2225" s="446" t="s">
        <v>7355</v>
      </c>
    </row>
    <row r="2226">
      <c r="A2226" s="446" t="s">
        <v>4925</v>
      </c>
    </row>
    <row r="2227">
      <c r="A2227" s="446" t="s">
        <v>4925</v>
      </c>
    </row>
    <row r="2228">
      <c r="A2228" s="446" t="s">
        <v>4925</v>
      </c>
    </row>
    <row r="2229">
      <c r="A2229" s="446" t="s">
        <v>7353</v>
      </c>
    </row>
    <row r="2230">
      <c r="A2230" s="446" t="s">
        <v>7353</v>
      </c>
    </row>
    <row r="2231">
      <c r="A2231" s="446" t="s">
        <v>7353</v>
      </c>
    </row>
    <row r="2232">
      <c r="A2232" s="446" t="s">
        <v>7353</v>
      </c>
    </row>
    <row r="2233">
      <c r="A2233" s="446" t="s">
        <v>7353</v>
      </c>
    </row>
    <row r="2234">
      <c r="A2234" s="446" t="s">
        <v>7933</v>
      </c>
    </row>
    <row r="2235">
      <c r="A2235" s="446" t="s">
        <v>4897</v>
      </c>
    </row>
    <row r="2236">
      <c r="A2236" s="446" t="s">
        <v>4897</v>
      </c>
    </row>
    <row r="2237">
      <c r="A2237" s="446" t="s">
        <v>4897</v>
      </c>
    </row>
    <row r="2238">
      <c r="A2238" s="446" t="s">
        <v>4897</v>
      </c>
    </row>
    <row r="2239">
      <c r="A2239" s="446" t="s">
        <v>7358</v>
      </c>
    </row>
    <row r="2240">
      <c r="A2240" s="446" t="s">
        <v>7358</v>
      </c>
    </row>
    <row r="2241">
      <c r="A2241" s="446" t="s">
        <v>7358</v>
      </c>
    </row>
    <row r="2242">
      <c r="A2242" s="446" t="s">
        <v>7358</v>
      </c>
    </row>
    <row r="2243">
      <c r="A2243" s="446" t="s">
        <v>7931</v>
      </c>
    </row>
    <row r="2244">
      <c r="A2244" s="446" t="s">
        <v>6285</v>
      </c>
    </row>
    <row r="2245">
      <c r="A2245" s="446" t="s">
        <v>6285</v>
      </c>
    </row>
    <row r="2246">
      <c r="A2246" s="446" t="s">
        <v>6285</v>
      </c>
    </row>
    <row r="2247">
      <c r="A2247" s="446" t="s">
        <v>4887</v>
      </c>
    </row>
    <row r="2248">
      <c r="A2248" s="446" t="s">
        <v>4887</v>
      </c>
    </row>
    <row r="2249">
      <c r="A2249" s="446" t="s">
        <v>4887</v>
      </c>
    </row>
    <row r="2250">
      <c r="A2250" s="446" t="s">
        <v>4887</v>
      </c>
    </row>
    <row r="2251">
      <c r="A2251" s="446" t="s">
        <v>7370</v>
      </c>
    </row>
    <row r="2252">
      <c r="A2252" s="446" t="s">
        <v>7370</v>
      </c>
    </row>
    <row r="2253">
      <c r="A2253" s="446" t="s">
        <v>6289</v>
      </c>
    </row>
    <row r="2254">
      <c r="A2254" s="446" t="s">
        <v>6289</v>
      </c>
    </row>
    <row r="2255">
      <c r="A2255" s="446" t="s">
        <v>6289</v>
      </c>
    </row>
    <row r="2256">
      <c r="A2256" s="446" t="s">
        <v>6289</v>
      </c>
    </row>
    <row r="2257">
      <c r="A2257" s="446" t="s">
        <v>6289</v>
      </c>
    </row>
    <row r="2258">
      <c r="A2258" s="446" t="s">
        <v>6289</v>
      </c>
    </row>
    <row r="2259">
      <c r="A2259" s="446" t="s">
        <v>6287</v>
      </c>
    </row>
    <row r="2260">
      <c r="A2260" s="446" t="s">
        <v>6287</v>
      </c>
    </row>
    <row r="2261">
      <c r="A2261" s="446" t="s">
        <v>6287</v>
      </c>
    </row>
    <row r="2262">
      <c r="A2262" s="446" t="s">
        <v>7371</v>
      </c>
    </row>
    <row r="2263">
      <c r="A2263" s="446" t="s">
        <v>7371</v>
      </c>
    </row>
    <row r="2264">
      <c r="A2264" s="446" t="s">
        <v>7371</v>
      </c>
    </row>
    <row r="2265">
      <c r="A2265" s="446" t="s">
        <v>7371</v>
      </c>
    </row>
    <row r="2266">
      <c r="A2266" s="446" t="s">
        <v>7371</v>
      </c>
    </row>
    <row r="2267">
      <c r="A2267" s="446" t="s">
        <v>7373</v>
      </c>
    </row>
    <row r="2268">
      <c r="A2268" s="446" t="s">
        <v>7373</v>
      </c>
    </row>
    <row r="2269">
      <c r="A2269" s="446" t="s">
        <v>7373</v>
      </c>
    </row>
    <row r="2270">
      <c r="A2270" s="446" t="s">
        <v>7373</v>
      </c>
    </row>
    <row r="2271">
      <c r="A2271" s="446" t="s">
        <v>7373</v>
      </c>
    </row>
    <row r="2272">
      <c r="A2272" s="446" t="s">
        <v>7925</v>
      </c>
    </row>
    <row r="2273">
      <c r="A2273" s="446" t="s">
        <v>7925</v>
      </c>
    </row>
    <row r="2274">
      <c r="A2274" s="446" t="s">
        <v>7925</v>
      </c>
    </row>
    <row r="2275">
      <c r="A2275" s="446" t="s">
        <v>7924</v>
      </c>
    </row>
    <row r="2276">
      <c r="A2276" s="446" t="s">
        <v>7382</v>
      </c>
    </row>
    <row r="2277">
      <c r="A2277" s="446" t="s">
        <v>8095</v>
      </c>
    </row>
    <row r="2278">
      <c r="A2278" s="446" t="s">
        <v>8095</v>
      </c>
    </row>
    <row r="2279">
      <c r="A2279" s="446" t="s">
        <v>8095</v>
      </c>
    </row>
    <row r="2280">
      <c r="A2280" s="446" t="s">
        <v>8096</v>
      </c>
    </row>
    <row r="2281">
      <c r="A2281" s="446" t="s">
        <v>7393</v>
      </c>
    </row>
    <row r="2282">
      <c r="A2282" s="446" t="s">
        <v>7393</v>
      </c>
    </row>
    <row r="2283">
      <c r="A2283" s="446" t="s">
        <v>7393</v>
      </c>
    </row>
    <row r="2284">
      <c r="A2284" s="446" t="s">
        <v>7393</v>
      </c>
    </row>
    <row r="2285">
      <c r="A2285" s="446" t="s">
        <v>7921</v>
      </c>
    </row>
    <row r="2286">
      <c r="A2286" s="446" t="s">
        <v>7917</v>
      </c>
    </row>
    <row r="2287">
      <c r="A2287" s="446" t="s">
        <v>7917</v>
      </c>
    </row>
    <row r="2288">
      <c r="A2288" s="446" t="s">
        <v>6293</v>
      </c>
    </row>
    <row r="2289">
      <c r="A2289" s="446" t="s">
        <v>6293</v>
      </c>
    </row>
    <row r="2290">
      <c r="A2290" s="446" t="s">
        <v>6293</v>
      </c>
    </row>
    <row r="2291">
      <c r="A2291" s="446" t="s">
        <v>6293</v>
      </c>
    </row>
    <row r="2292">
      <c r="A2292" s="446" t="s">
        <v>6293</v>
      </c>
    </row>
    <row r="2293">
      <c r="A2293" s="446" t="s">
        <v>6293</v>
      </c>
    </row>
    <row r="2294">
      <c r="A2294" s="446" t="s">
        <v>7403</v>
      </c>
    </row>
    <row r="2295">
      <c r="A2295" s="446" t="s">
        <v>7403</v>
      </c>
    </row>
    <row r="2296">
      <c r="A2296" s="446" t="s">
        <v>7403</v>
      </c>
    </row>
    <row r="2297">
      <c r="A2297" s="446" t="s">
        <v>8098</v>
      </c>
    </row>
    <row r="2298">
      <c r="A2298" s="446" t="s">
        <v>8098</v>
      </c>
    </row>
    <row r="2299">
      <c r="A2299" s="446" t="s">
        <v>7410</v>
      </c>
    </row>
    <row r="2300">
      <c r="A2300" s="446" t="s">
        <v>7916</v>
      </c>
    </row>
    <row r="2301">
      <c r="A2301" s="446" t="s">
        <v>7417</v>
      </c>
    </row>
    <row r="2302">
      <c r="A2302" s="446" t="s">
        <v>7417</v>
      </c>
    </row>
    <row r="2303">
      <c r="A2303" s="446" t="s">
        <v>7417</v>
      </c>
    </row>
    <row r="2304">
      <c r="A2304" s="446" t="s">
        <v>7413</v>
      </c>
    </row>
    <row r="2305">
      <c r="A2305" s="446" t="s">
        <v>7413</v>
      </c>
    </row>
    <row r="2306">
      <c r="A2306" s="446" t="s">
        <v>7413</v>
      </c>
    </row>
    <row r="2307">
      <c r="A2307" s="446" t="s">
        <v>7413</v>
      </c>
    </row>
    <row r="2308">
      <c r="A2308" s="446" t="s">
        <v>7413</v>
      </c>
    </row>
    <row r="2309">
      <c r="A2309" s="446" t="s">
        <v>7416</v>
      </c>
    </row>
    <row r="2310">
      <c r="A2310" s="446" t="s">
        <v>7416</v>
      </c>
    </row>
    <row r="2311">
      <c r="A2311" s="446" t="s">
        <v>7416</v>
      </c>
    </row>
    <row r="2312">
      <c r="A2312" s="446" t="s">
        <v>7416</v>
      </c>
    </row>
    <row r="2313">
      <c r="A2313" s="446" t="s">
        <v>7416</v>
      </c>
    </row>
    <row r="2314">
      <c r="A2314" s="446" t="s">
        <v>7914</v>
      </c>
    </row>
    <row r="2315">
      <c r="A2315" s="446" t="s">
        <v>7420</v>
      </c>
    </row>
    <row r="2316">
      <c r="A2316" s="446" t="s">
        <v>7420</v>
      </c>
    </row>
    <row r="2317">
      <c r="A2317" s="446" t="s">
        <v>7422</v>
      </c>
    </row>
    <row r="2318">
      <c r="A2318" s="446" t="s">
        <v>7422</v>
      </c>
    </row>
    <row r="2319">
      <c r="A2319" s="446" t="s">
        <v>7912</v>
      </c>
    </row>
    <row r="2320">
      <c r="A2320" s="446" t="s">
        <v>7912</v>
      </c>
    </row>
    <row r="2321">
      <c r="A2321" s="446" t="s">
        <v>7911</v>
      </c>
    </row>
    <row r="2322">
      <c r="A2322" s="446" t="s">
        <v>7911</v>
      </c>
    </row>
    <row r="2323">
      <c r="A2323" s="446" t="s">
        <v>7428</v>
      </c>
    </row>
    <row r="2324">
      <c r="A2324" s="446" t="s">
        <v>7428</v>
      </c>
    </row>
    <row r="2325">
      <c r="A2325" s="446" t="s">
        <v>7428</v>
      </c>
    </row>
    <row r="2326">
      <c r="A2326" s="446" t="s">
        <v>7430</v>
      </c>
    </row>
    <row r="2327">
      <c r="A2327" s="446" t="s">
        <v>7430</v>
      </c>
    </row>
    <row r="2328">
      <c r="A2328" s="446" t="s">
        <v>7907</v>
      </c>
    </row>
    <row r="2329">
      <c r="A2329" s="446" t="s">
        <v>7907</v>
      </c>
    </row>
    <row r="2330">
      <c r="A2330" s="446" t="s">
        <v>7913</v>
      </c>
    </row>
    <row r="2331">
      <c r="A2331" s="446" t="s">
        <v>7913</v>
      </c>
    </row>
    <row r="2332">
      <c r="A2332" s="446" t="s">
        <v>6296</v>
      </c>
    </row>
    <row r="2333">
      <c r="A2333" s="446" t="s">
        <v>6296</v>
      </c>
    </row>
    <row r="2334">
      <c r="A2334" s="446" t="s">
        <v>6294</v>
      </c>
    </row>
    <row r="2335">
      <c r="A2335" s="446" t="s">
        <v>6294</v>
      </c>
    </row>
    <row r="2336">
      <c r="A2336" s="446" t="s">
        <v>6294</v>
      </c>
    </row>
    <row r="2337">
      <c r="A2337" s="446" t="s">
        <v>7906</v>
      </c>
    </row>
    <row r="2338">
      <c r="A2338" s="446" t="s">
        <v>7906</v>
      </c>
    </row>
    <row r="2339">
      <c r="A2339" s="446" t="s">
        <v>7906</v>
      </c>
    </row>
    <row r="2340">
      <c r="A2340" s="446" t="s">
        <v>7905</v>
      </c>
    </row>
    <row r="2341">
      <c r="A2341" s="446" t="s">
        <v>7905</v>
      </c>
    </row>
    <row r="2342">
      <c r="A2342" s="446" t="s">
        <v>6298</v>
      </c>
    </row>
    <row r="2343">
      <c r="A2343" s="446" t="s">
        <v>6298</v>
      </c>
    </row>
    <row r="2344">
      <c r="A2344" s="446" t="s">
        <v>6298</v>
      </c>
    </row>
    <row r="2345">
      <c r="A2345" s="446" t="s">
        <v>6298</v>
      </c>
    </row>
    <row r="2346">
      <c r="A2346" s="446" t="s">
        <v>6298</v>
      </c>
    </row>
    <row r="2347">
      <c r="A2347" s="446" t="s">
        <v>6298</v>
      </c>
    </row>
    <row r="2348">
      <c r="A2348" s="446" t="s">
        <v>7902</v>
      </c>
    </row>
    <row r="2349">
      <c r="A2349" s="446" t="s">
        <v>7902</v>
      </c>
    </row>
    <row r="2350">
      <c r="A2350" s="446" t="s">
        <v>7900</v>
      </c>
    </row>
    <row r="2351">
      <c r="A2351" s="446" t="s">
        <v>7900</v>
      </c>
    </row>
    <row r="2352">
      <c r="A2352" s="446" t="s">
        <v>8103</v>
      </c>
    </row>
    <row r="2353">
      <c r="A2353" s="446" t="s">
        <v>8103</v>
      </c>
    </row>
    <row r="2354">
      <c r="A2354" s="446" t="s">
        <v>6303</v>
      </c>
    </row>
    <row r="2355">
      <c r="A2355" s="446" t="s">
        <v>6303</v>
      </c>
    </row>
    <row r="2356">
      <c r="A2356" s="446" t="s">
        <v>6303</v>
      </c>
    </row>
    <row r="2357">
      <c r="A2357" s="446" t="s">
        <v>6303</v>
      </c>
    </row>
    <row r="2358">
      <c r="A2358" s="446" t="s">
        <v>6301</v>
      </c>
    </row>
    <row r="2359">
      <c r="A2359" s="446" t="s">
        <v>6301</v>
      </c>
    </row>
    <row r="2360">
      <c r="A2360" s="446" t="s">
        <v>6301</v>
      </c>
    </row>
    <row r="2361">
      <c r="A2361" s="446" t="s">
        <v>6301</v>
      </c>
    </row>
    <row r="2362">
      <c r="A2362" s="446" t="s">
        <v>6301</v>
      </c>
    </row>
    <row r="2363">
      <c r="A2363" s="446" t="s">
        <v>7454</v>
      </c>
    </row>
    <row r="2364">
      <c r="A2364" s="446" t="s">
        <v>7454</v>
      </c>
    </row>
    <row r="2365">
      <c r="A2365" s="446" t="s">
        <v>7454</v>
      </c>
    </row>
    <row r="2366">
      <c r="A2366" s="446" t="s">
        <v>7454</v>
      </c>
    </row>
    <row r="2367">
      <c r="A2367" s="446" t="s">
        <v>7454</v>
      </c>
    </row>
    <row r="2368">
      <c r="A2368" s="446" t="s">
        <v>7454</v>
      </c>
    </row>
    <row r="2369">
      <c r="A2369" s="446" t="s">
        <v>7898</v>
      </c>
    </row>
    <row r="2370">
      <c r="A2370" s="446" t="s">
        <v>7898</v>
      </c>
    </row>
    <row r="2371">
      <c r="A2371" s="446" t="s">
        <v>7897</v>
      </c>
    </row>
    <row r="2372">
      <c r="A2372" s="446" t="s">
        <v>7897</v>
      </c>
    </row>
    <row r="2373">
      <c r="A2373" s="446" t="s">
        <v>8107</v>
      </c>
    </row>
    <row r="2374">
      <c r="A2374" s="446" t="s">
        <v>8107</v>
      </c>
    </row>
    <row r="2375">
      <c r="A2375" s="446" t="s">
        <v>7446</v>
      </c>
    </row>
    <row r="2376">
      <c r="A2376" s="446" t="s">
        <v>7446</v>
      </c>
    </row>
    <row r="2377">
      <c r="A2377" s="446" t="s">
        <v>7446</v>
      </c>
    </row>
    <row r="2378">
      <c r="A2378" s="446" t="s">
        <v>7446</v>
      </c>
    </row>
    <row r="2379">
      <c r="A2379" s="446" t="s">
        <v>7451</v>
      </c>
    </row>
    <row r="2380">
      <c r="A2380" s="446" t="s">
        <v>7451</v>
      </c>
    </row>
    <row r="2381">
      <c r="A2381" s="446" t="s">
        <v>7451</v>
      </c>
    </row>
    <row r="2382">
      <c r="A2382" s="446" t="s">
        <v>7451</v>
      </c>
    </row>
    <row r="2383">
      <c r="A2383" s="446" t="s">
        <v>7451</v>
      </c>
    </row>
    <row r="2384">
      <c r="A2384" s="446" t="s">
        <v>8112</v>
      </c>
    </row>
    <row r="2385">
      <c r="A2385" s="446" t="s">
        <v>8112</v>
      </c>
    </row>
    <row r="2386">
      <c r="A2386" s="446" t="s">
        <v>7895</v>
      </c>
    </row>
    <row r="2387">
      <c r="A2387" s="446" t="s">
        <v>7895</v>
      </c>
    </row>
    <row r="2388">
      <c r="A2388" s="446" t="s">
        <v>7894</v>
      </c>
    </row>
    <row r="2389">
      <c r="A2389" s="446" t="s">
        <v>7894</v>
      </c>
    </row>
    <row r="2390">
      <c r="A2390" s="446" t="s">
        <v>7460</v>
      </c>
    </row>
    <row r="2391">
      <c r="A2391" s="446" t="s">
        <v>7460</v>
      </c>
    </row>
    <row r="2392">
      <c r="A2392" s="446" t="s">
        <v>7893</v>
      </c>
    </row>
    <row r="2393">
      <c r="A2393" s="446" t="s">
        <v>7893</v>
      </c>
    </row>
    <row r="2394">
      <c r="A2394" s="446" t="s">
        <v>7893</v>
      </c>
    </row>
    <row r="2395">
      <c r="A2395" s="446" t="s">
        <v>7893</v>
      </c>
    </row>
    <row r="2396">
      <c r="A2396" s="446" t="s">
        <v>7892</v>
      </c>
    </row>
    <row r="2397">
      <c r="A2397" s="446" t="s">
        <v>7462</v>
      </c>
    </row>
    <row r="2398">
      <c r="A2398" s="446" t="s">
        <v>7462</v>
      </c>
    </row>
    <row r="2399">
      <c r="A2399" s="446" t="s">
        <v>7462</v>
      </c>
    </row>
    <row r="2400">
      <c r="A2400" s="446" t="s">
        <v>7462</v>
      </c>
    </row>
    <row r="2401">
      <c r="A2401" s="446" t="s">
        <v>7468</v>
      </c>
    </row>
    <row r="2402">
      <c r="A2402" s="446" t="s">
        <v>7468</v>
      </c>
    </row>
    <row r="2403">
      <c r="A2403" s="446" t="s">
        <v>7468</v>
      </c>
    </row>
    <row r="2404">
      <c r="A2404" s="446" t="s">
        <v>7468</v>
      </c>
    </row>
    <row r="2405">
      <c r="A2405" s="446" t="s">
        <v>7468</v>
      </c>
    </row>
    <row r="2406">
      <c r="A2406" s="446" t="s">
        <v>7468</v>
      </c>
    </row>
    <row r="2407">
      <c r="A2407" s="446" t="s">
        <v>8116</v>
      </c>
    </row>
    <row r="2408">
      <c r="A2408" s="446" t="s">
        <v>7887</v>
      </c>
    </row>
    <row r="2409">
      <c r="A2409" s="446" t="s">
        <v>8117</v>
      </c>
    </row>
    <row r="2410">
      <c r="A2410" s="446" t="s">
        <v>8117</v>
      </c>
    </row>
    <row r="2411">
      <c r="A2411" s="446" t="s">
        <v>8117</v>
      </c>
    </row>
    <row r="2412">
      <c r="A2412" s="446" t="s">
        <v>8117</v>
      </c>
    </row>
    <row r="2413">
      <c r="A2413" s="446" t="s">
        <v>8117</v>
      </c>
    </row>
    <row r="2414">
      <c r="A2414" s="446" t="s">
        <v>4851</v>
      </c>
    </row>
    <row r="2415">
      <c r="A2415" s="446" t="s">
        <v>4851</v>
      </c>
    </row>
    <row r="2416">
      <c r="A2416" s="446" t="s">
        <v>6305</v>
      </c>
    </row>
    <row r="2417">
      <c r="A2417" s="446" t="s">
        <v>6305</v>
      </c>
    </row>
    <row r="2418">
      <c r="A2418" s="446" t="s">
        <v>6305</v>
      </c>
    </row>
    <row r="2419">
      <c r="A2419" s="446" t="s">
        <v>6305</v>
      </c>
    </row>
    <row r="2420">
      <c r="A2420" s="446" t="s">
        <v>6305</v>
      </c>
    </row>
    <row r="2421">
      <c r="A2421" s="446" t="s">
        <v>6305</v>
      </c>
    </row>
    <row r="2422">
      <c r="A2422" s="446" t="s">
        <v>8119</v>
      </c>
    </row>
    <row r="2423">
      <c r="A2423" s="446" t="s">
        <v>8119</v>
      </c>
    </row>
    <row r="2424">
      <c r="A2424" s="446" t="s">
        <v>8119</v>
      </c>
    </row>
    <row r="2425">
      <c r="A2425" s="446" t="s">
        <v>7886</v>
      </c>
    </row>
    <row r="2426">
      <c r="A2426" s="446" t="s">
        <v>7480</v>
      </c>
    </row>
    <row r="2427">
      <c r="A2427" s="446" t="s">
        <v>7480</v>
      </c>
    </row>
    <row r="2428">
      <c r="A2428" s="446" t="s">
        <v>7480</v>
      </c>
    </row>
    <row r="2429">
      <c r="A2429" s="446" t="s">
        <v>8120</v>
      </c>
    </row>
    <row r="2430">
      <c r="A2430" s="446" t="s">
        <v>8120</v>
      </c>
    </row>
    <row r="2431">
      <c r="A2431" s="446" t="s">
        <v>8122</v>
      </c>
    </row>
    <row r="2432">
      <c r="A2432" s="446" t="s">
        <v>8122</v>
      </c>
    </row>
    <row r="2433">
      <c r="A2433" s="446" t="s">
        <v>8122</v>
      </c>
    </row>
    <row r="2434">
      <c r="A2434" s="446" t="s">
        <v>8122</v>
      </c>
    </row>
    <row r="2435">
      <c r="A2435" s="446" t="s">
        <v>8123</v>
      </c>
    </row>
    <row r="2436">
      <c r="A2436" s="446" t="s">
        <v>8123</v>
      </c>
    </row>
    <row r="2437">
      <c r="A2437" s="446" t="s">
        <v>8123</v>
      </c>
    </row>
    <row r="2438">
      <c r="A2438" s="446" t="s">
        <v>8123</v>
      </c>
    </row>
    <row r="2439">
      <c r="A2439" s="446" t="s">
        <v>8123</v>
      </c>
    </row>
    <row r="2440">
      <c r="A2440" s="446" t="s">
        <v>8124</v>
      </c>
    </row>
    <row r="2441">
      <c r="A2441" s="446" t="s">
        <v>8124</v>
      </c>
    </row>
    <row r="2442">
      <c r="A2442" s="446" t="s">
        <v>8124</v>
      </c>
    </row>
    <row r="2443">
      <c r="A2443" s="446" t="s">
        <v>8124</v>
      </c>
    </row>
    <row r="2444">
      <c r="A2444" s="446" t="s">
        <v>8124</v>
      </c>
    </row>
    <row r="2445">
      <c r="A2445" s="446" t="s">
        <v>7488</v>
      </c>
    </row>
    <row r="2446">
      <c r="A2446" s="446" t="s">
        <v>7488</v>
      </c>
    </row>
    <row r="2447">
      <c r="A2447" s="446" t="s">
        <v>7492</v>
      </c>
    </row>
    <row r="2448">
      <c r="A2448" s="446" t="s">
        <v>7492</v>
      </c>
    </row>
    <row r="2449">
      <c r="A2449" s="446" t="s">
        <v>7492</v>
      </c>
    </row>
    <row r="2450">
      <c r="A2450" s="446" t="s">
        <v>7884</v>
      </c>
    </row>
    <row r="2451">
      <c r="A2451" s="446" t="s">
        <v>7884</v>
      </c>
    </row>
    <row r="2452">
      <c r="A2452" s="446" t="s">
        <v>7883</v>
      </c>
    </row>
    <row r="2453">
      <c r="A2453" s="446" t="s">
        <v>7889</v>
      </c>
    </row>
    <row r="2454">
      <c r="A2454" s="446" t="s">
        <v>7882</v>
      </c>
    </row>
    <row r="2455">
      <c r="A2455" s="446" t="s">
        <v>7882</v>
      </c>
    </row>
    <row r="2456">
      <c r="A2456" s="446" t="s">
        <v>6308</v>
      </c>
    </row>
    <row r="2457">
      <c r="A2457" s="446" t="s">
        <v>6308</v>
      </c>
    </row>
    <row r="2458">
      <c r="A2458" s="446" t="s">
        <v>6308</v>
      </c>
    </row>
    <row r="2459">
      <c r="A2459" s="446" t="s">
        <v>7880</v>
      </c>
    </row>
    <row r="2460">
      <c r="A2460" s="446" t="s">
        <v>7880</v>
      </c>
    </row>
    <row r="2461">
      <c r="A2461" s="446" t="s">
        <v>8127</v>
      </c>
    </row>
    <row r="2462">
      <c r="A2462" s="446" t="s">
        <v>8127</v>
      </c>
    </row>
    <row r="2463">
      <c r="A2463" s="446" t="s">
        <v>8127</v>
      </c>
    </row>
    <row r="2464">
      <c r="A2464" s="446" t="s">
        <v>8128</v>
      </c>
    </row>
    <row r="2465">
      <c r="A2465" s="446" t="s">
        <v>8128</v>
      </c>
    </row>
    <row r="2466">
      <c r="A2466" s="446" t="s">
        <v>7879</v>
      </c>
    </row>
    <row r="2467">
      <c r="A2467" s="446" t="s">
        <v>7879</v>
      </c>
    </row>
    <row r="2468">
      <c r="A2468" s="446" t="s">
        <v>7878</v>
      </c>
    </row>
    <row r="2469">
      <c r="A2469" s="446" t="s">
        <v>7878</v>
      </c>
    </row>
    <row r="2470">
      <c r="A2470" s="446" t="s">
        <v>7505</v>
      </c>
    </row>
    <row r="2471">
      <c r="A2471" s="446" t="s">
        <v>7877</v>
      </c>
    </row>
    <row r="2472">
      <c r="A2472" s="446" t="s">
        <v>6310</v>
      </c>
    </row>
    <row r="2473">
      <c r="A2473" s="446" t="s">
        <v>6310</v>
      </c>
    </row>
    <row r="2474">
      <c r="A2474" s="446" t="s">
        <v>6310</v>
      </c>
    </row>
    <row r="2475">
      <c r="A2475" s="446" t="s">
        <v>6310</v>
      </c>
    </row>
    <row r="2476">
      <c r="A2476" s="446" t="s">
        <v>6312</v>
      </c>
    </row>
    <row r="2477">
      <c r="A2477" s="446" t="s">
        <v>6312</v>
      </c>
    </row>
    <row r="2478">
      <c r="A2478" s="446" t="s">
        <v>6312</v>
      </c>
    </row>
    <row r="2479">
      <c r="A2479" s="446" t="s">
        <v>8130</v>
      </c>
    </row>
    <row r="2480">
      <c r="A2480" s="446" t="s">
        <v>7873</v>
      </c>
    </row>
    <row r="2481">
      <c r="A2481" s="446" t="s">
        <v>7873</v>
      </c>
    </row>
    <row r="2482">
      <c r="A2482" s="446" t="s">
        <v>7514</v>
      </c>
    </row>
    <row r="2483">
      <c r="A2483" s="446" t="s">
        <v>6315</v>
      </c>
    </row>
    <row r="2484">
      <c r="A2484" s="446" t="s">
        <v>6315</v>
      </c>
    </row>
    <row r="2485">
      <c r="A2485" s="446" t="s">
        <v>6317</v>
      </c>
    </row>
    <row r="2486">
      <c r="A2486" s="446" t="s">
        <v>6317</v>
      </c>
    </row>
    <row r="2487">
      <c r="A2487" s="446" t="s">
        <v>6317</v>
      </c>
    </row>
    <row r="2488">
      <c r="A2488" s="446" t="s">
        <v>6319</v>
      </c>
    </row>
    <row r="2489">
      <c r="A2489" s="446" t="s">
        <v>6319</v>
      </c>
    </row>
    <row r="2490">
      <c r="A2490" s="446" t="s">
        <v>6319</v>
      </c>
    </row>
    <row r="2491">
      <c r="A2491" s="446" t="s">
        <v>6319</v>
      </c>
    </row>
    <row r="2492">
      <c r="A2492" s="446" t="s">
        <v>7517</v>
      </c>
    </row>
    <row r="2493">
      <c r="A2493" s="446" t="s">
        <v>6321</v>
      </c>
    </row>
    <row r="2494">
      <c r="A2494" s="446" t="s">
        <v>6321</v>
      </c>
    </row>
    <row r="2495">
      <c r="A2495" s="446" t="s">
        <v>6321</v>
      </c>
    </row>
    <row r="2496">
      <c r="A2496" s="446" t="s">
        <v>6321</v>
      </c>
    </row>
    <row r="2497">
      <c r="A2497" s="446" t="s">
        <v>6321</v>
      </c>
    </row>
    <row r="2498">
      <c r="A2498" s="446" t="s">
        <v>7520</v>
      </c>
    </row>
    <row r="2499">
      <c r="A2499" s="446" t="s">
        <v>7520</v>
      </c>
    </row>
    <row r="2500">
      <c r="A2500" s="446" t="s">
        <v>7520</v>
      </c>
    </row>
    <row r="2501">
      <c r="A2501" s="446" t="s">
        <v>7520</v>
      </c>
    </row>
    <row r="2502">
      <c r="A2502" s="446" t="s">
        <v>7524</v>
      </c>
    </row>
    <row r="2503">
      <c r="A2503" s="446" t="s">
        <v>7524</v>
      </c>
    </row>
    <row r="2504">
      <c r="A2504" s="446" t="s">
        <v>7524</v>
      </c>
    </row>
    <row r="2505">
      <c r="A2505" s="446" t="s">
        <v>7524</v>
      </c>
    </row>
    <row r="2506">
      <c r="A2506" s="446" t="s">
        <v>7524</v>
      </c>
    </row>
    <row r="2507">
      <c r="A2507" s="446" t="s">
        <v>4843</v>
      </c>
    </row>
    <row r="2508">
      <c r="A2508" s="446" t="s">
        <v>4843</v>
      </c>
    </row>
    <row r="2509">
      <c r="A2509" s="446" t="s">
        <v>4843</v>
      </c>
    </row>
    <row r="2510">
      <c r="A2510" s="446" t="s">
        <v>4843</v>
      </c>
    </row>
    <row r="2511">
      <c r="A2511" s="446" t="s">
        <v>4843</v>
      </c>
    </row>
    <row r="2512">
      <c r="A2512" s="446" t="s">
        <v>7871</v>
      </c>
    </row>
    <row r="2513">
      <c r="A2513" s="446" t="s">
        <v>7871</v>
      </c>
    </row>
    <row r="2514">
      <c r="A2514" s="446" t="s">
        <v>7871</v>
      </c>
    </row>
    <row r="2515">
      <c r="A2515" s="446" t="s">
        <v>7871</v>
      </c>
    </row>
    <row r="2516">
      <c r="A2516" s="446" t="s">
        <v>6324</v>
      </c>
    </row>
    <row r="2517">
      <c r="A2517" s="446" t="s">
        <v>6324</v>
      </c>
    </row>
    <row r="2518">
      <c r="A2518" s="446" t="s">
        <v>6324</v>
      </c>
    </row>
    <row r="2519">
      <c r="A2519" s="446" t="s">
        <v>6324</v>
      </c>
    </row>
    <row r="2520">
      <c r="A2520" s="446" t="s">
        <v>6324</v>
      </c>
    </row>
    <row r="2521">
      <c r="A2521" s="446" t="s">
        <v>7526</v>
      </c>
    </row>
    <row r="2522">
      <c r="A2522" s="446" t="s">
        <v>7870</v>
      </c>
    </row>
    <row r="2523">
      <c r="A2523" s="446" t="s">
        <v>7528</v>
      </c>
    </row>
    <row r="2524">
      <c r="A2524" s="446" t="s">
        <v>6326</v>
      </c>
    </row>
    <row r="2525">
      <c r="A2525" s="446" t="s">
        <v>6326</v>
      </c>
    </row>
    <row r="2526">
      <c r="A2526" s="446" t="s">
        <v>6333</v>
      </c>
    </row>
    <row r="2527">
      <c r="A2527" s="446" t="s">
        <v>6333</v>
      </c>
    </row>
    <row r="2528">
      <c r="A2528" s="446" t="s">
        <v>6333</v>
      </c>
    </row>
    <row r="2529">
      <c r="A2529" s="446" t="s">
        <v>6333</v>
      </c>
    </row>
    <row r="2530">
      <c r="A2530" s="446" t="s">
        <v>6331</v>
      </c>
    </row>
    <row r="2531">
      <c r="A2531" s="446" t="s">
        <v>6331</v>
      </c>
    </row>
    <row r="2532">
      <c r="A2532" s="446" t="s">
        <v>6331</v>
      </c>
    </row>
    <row r="2533">
      <c r="A2533" s="446" t="s">
        <v>6331</v>
      </c>
    </row>
    <row r="2534">
      <c r="A2534" s="446" t="s">
        <v>6331</v>
      </c>
    </row>
    <row r="2535">
      <c r="A2535" s="446" t="s">
        <v>6328</v>
      </c>
    </row>
    <row r="2536">
      <c r="A2536" s="446" t="s">
        <v>6328</v>
      </c>
    </row>
    <row r="2537">
      <c r="A2537" s="446" t="s">
        <v>6328</v>
      </c>
    </row>
    <row r="2538">
      <c r="A2538" s="446" t="s">
        <v>6328</v>
      </c>
    </row>
    <row r="2539">
      <c r="A2539" s="446" t="s">
        <v>7539</v>
      </c>
    </row>
    <row r="2540">
      <c r="A2540" s="446" t="s">
        <v>7539</v>
      </c>
    </row>
    <row r="2541">
      <c r="A2541" s="446" t="s">
        <v>7865</v>
      </c>
    </row>
    <row r="2542">
      <c r="A2542" s="446" t="s">
        <v>7867</v>
      </c>
    </row>
    <row r="2543">
      <c r="A2543" s="446" t="s">
        <v>7867</v>
      </c>
    </row>
    <row r="2544">
      <c r="A2544" s="446" t="s">
        <v>7861</v>
      </c>
    </row>
    <row r="2545">
      <c r="A2545" s="446" t="s">
        <v>7861</v>
      </c>
    </row>
    <row r="2546">
      <c r="A2546" s="446" t="s">
        <v>7860</v>
      </c>
    </row>
    <row r="2547">
      <c r="A2547" s="446" t="s">
        <v>6337</v>
      </c>
    </row>
    <row r="2548">
      <c r="A2548" s="446" t="s">
        <v>5404</v>
      </c>
    </row>
    <row r="2549">
      <c r="A2549" s="446" t="s">
        <v>5404</v>
      </c>
    </row>
    <row r="2550">
      <c r="A2550" s="446" t="s">
        <v>5404</v>
      </c>
    </row>
    <row r="2551">
      <c r="A2551" s="446" t="s">
        <v>6335</v>
      </c>
    </row>
    <row r="2552">
      <c r="A2552" s="446" t="s">
        <v>6335</v>
      </c>
    </row>
    <row r="2553">
      <c r="A2553" s="446" t="s">
        <v>7554</v>
      </c>
    </row>
    <row r="2554">
      <c r="A2554" s="446" t="s">
        <v>7554</v>
      </c>
    </row>
    <row r="2555">
      <c r="A2555" s="446" t="s">
        <v>7859</v>
      </c>
    </row>
    <row r="2556">
      <c r="A2556" s="446" t="s">
        <v>7557</v>
      </c>
    </row>
    <row r="2557">
      <c r="A2557" s="446" t="s">
        <v>7557</v>
      </c>
    </row>
    <row r="2558">
      <c r="A2558" s="446" t="s">
        <v>7557</v>
      </c>
    </row>
    <row r="2559">
      <c r="A2559" s="446" t="s">
        <v>7858</v>
      </c>
    </row>
    <row r="2560">
      <c r="A2560" s="446" t="s">
        <v>6339</v>
      </c>
    </row>
    <row r="2561">
      <c r="A2561" s="446" t="s">
        <v>7275</v>
      </c>
    </row>
    <row r="2562">
      <c r="A2562" s="446" t="s">
        <v>6341</v>
      </c>
    </row>
    <row r="2563">
      <c r="A2563" s="446" t="s">
        <v>6341</v>
      </c>
    </row>
    <row r="2564">
      <c r="A2564" s="446" t="s">
        <v>7854</v>
      </c>
    </row>
    <row r="2565">
      <c r="A2565" s="446" t="s">
        <v>7559</v>
      </c>
    </row>
    <row r="2566">
      <c r="A2566" s="446" t="s">
        <v>7559</v>
      </c>
    </row>
    <row r="2567">
      <c r="A2567" s="446" t="s">
        <v>7852</v>
      </c>
    </row>
    <row r="2568">
      <c r="A2568" s="446" t="s">
        <v>6345</v>
      </c>
    </row>
    <row r="2569">
      <c r="A2569" s="446" t="s">
        <v>6345</v>
      </c>
    </row>
    <row r="2570">
      <c r="A2570" s="446" t="s">
        <v>6345</v>
      </c>
    </row>
    <row r="2571">
      <c r="A2571" s="446" t="s">
        <v>6345</v>
      </c>
    </row>
    <row r="2572">
      <c r="A2572" s="446" t="s">
        <v>6343</v>
      </c>
    </row>
    <row r="2573">
      <c r="A2573" s="446" t="s">
        <v>6343</v>
      </c>
    </row>
    <row r="2574">
      <c r="A2574" s="446" t="s">
        <v>7851</v>
      </c>
    </row>
    <row r="2575">
      <c r="A2575" s="446" t="s">
        <v>7851</v>
      </c>
    </row>
    <row r="2576">
      <c r="A2576" s="446" t="s">
        <v>7561</v>
      </c>
    </row>
    <row r="2577">
      <c r="A2577" s="446" t="s">
        <v>7561</v>
      </c>
    </row>
    <row r="2578">
      <c r="A2578" s="446" t="s">
        <v>7561</v>
      </c>
    </row>
    <row r="2579">
      <c r="A2579" s="446" t="s">
        <v>7561</v>
      </c>
    </row>
    <row r="2580">
      <c r="A2580" s="446" t="s">
        <v>7565</v>
      </c>
    </row>
    <row r="2581">
      <c r="A2581" s="446" t="s">
        <v>7565</v>
      </c>
    </row>
    <row r="2582">
      <c r="A2582" s="446" t="s">
        <v>7848</v>
      </c>
    </row>
    <row r="2583">
      <c r="A2583" s="446" t="s">
        <v>7848</v>
      </c>
    </row>
    <row r="2584">
      <c r="A2584" s="446" t="s">
        <v>6347</v>
      </c>
    </row>
    <row r="2585">
      <c r="A2585" s="446" t="s">
        <v>6347</v>
      </c>
    </row>
    <row r="2586">
      <c r="A2586" s="446" t="s">
        <v>6347</v>
      </c>
    </row>
    <row r="2587">
      <c r="A2587" s="446" t="s">
        <v>7846</v>
      </c>
    </row>
    <row r="2588">
      <c r="A2588" s="446" t="s">
        <v>7846</v>
      </c>
    </row>
    <row r="2589">
      <c r="A2589" s="446" t="s">
        <v>4813</v>
      </c>
    </row>
    <row r="2590">
      <c r="A2590" s="446" t="s">
        <v>4813</v>
      </c>
    </row>
    <row r="2591">
      <c r="A2591" s="446" t="s">
        <v>6349</v>
      </c>
    </row>
    <row r="2592">
      <c r="A2592" s="446" t="s">
        <v>6349</v>
      </c>
    </row>
    <row r="2593">
      <c r="A2593" s="446" t="s">
        <v>6349</v>
      </c>
    </row>
    <row r="2594">
      <c r="A2594" s="446" t="s">
        <v>6349</v>
      </c>
    </row>
    <row r="2595">
      <c r="A2595" s="446" t="s">
        <v>7845</v>
      </c>
    </row>
    <row r="2596">
      <c r="A2596" s="446" t="s">
        <v>7845</v>
      </c>
    </row>
    <row r="2597">
      <c r="A2597" s="446" t="s">
        <v>6351</v>
      </c>
    </row>
    <row r="2598">
      <c r="A2598" s="446" t="s">
        <v>7570</v>
      </c>
    </row>
    <row r="2599">
      <c r="A2599" s="446" t="s">
        <v>7570</v>
      </c>
    </row>
    <row r="2600">
      <c r="A2600" s="446" t="s">
        <v>7844</v>
      </c>
    </row>
    <row r="2601">
      <c r="A2601" s="446" t="s">
        <v>7844</v>
      </c>
    </row>
    <row r="2602">
      <c r="A2602" s="446" t="s">
        <v>7573</v>
      </c>
    </row>
    <row r="2603">
      <c r="A2603" s="446" t="s">
        <v>7573</v>
      </c>
    </row>
    <row r="2604">
      <c r="A2604" s="446" t="s">
        <v>7577</v>
      </c>
    </row>
    <row r="2605">
      <c r="A2605" s="446" t="s">
        <v>7577</v>
      </c>
    </row>
    <row r="2606">
      <c r="A2606" s="446" t="s">
        <v>7577</v>
      </c>
    </row>
    <row r="2607">
      <c r="A2607" s="446" t="s">
        <v>7577</v>
      </c>
    </row>
    <row r="2608">
      <c r="A2608" s="446" t="s">
        <v>7585</v>
      </c>
    </row>
    <row r="2609">
      <c r="A2609" s="446" t="s">
        <v>7585</v>
      </c>
    </row>
    <row r="2610">
      <c r="A2610" s="446" t="s">
        <v>7579</v>
      </c>
    </row>
    <row r="2611">
      <c r="A2611" s="446" t="s">
        <v>7579</v>
      </c>
    </row>
    <row r="2612">
      <c r="A2612" s="446" t="s">
        <v>7579</v>
      </c>
    </row>
    <row r="2613">
      <c r="A2613" s="446" t="s">
        <v>7579</v>
      </c>
    </row>
    <row r="2614">
      <c r="A2614" s="446" t="s">
        <v>7579</v>
      </c>
    </row>
    <row r="2615">
      <c r="A2615" s="446" t="s">
        <v>7579</v>
      </c>
    </row>
    <row r="2616">
      <c r="A2616" s="446" t="s">
        <v>7582</v>
      </c>
    </row>
    <row r="2617">
      <c r="A2617" s="446" t="s">
        <v>7582</v>
      </c>
    </row>
    <row r="2618">
      <c r="A2618" s="446" t="s">
        <v>7582</v>
      </c>
    </row>
    <row r="2619">
      <c r="A2619" s="446" t="s">
        <v>7582</v>
      </c>
    </row>
    <row r="2620">
      <c r="A2620" s="446" t="s">
        <v>7582</v>
      </c>
    </row>
    <row r="2621">
      <c r="A2621" s="446" t="s">
        <v>7839</v>
      </c>
    </row>
    <row r="2622">
      <c r="A2622" s="446" t="s">
        <v>7839</v>
      </c>
    </row>
    <row r="2623">
      <c r="A2623" s="446" t="s">
        <v>7839</v>
      </c>
    </row>
    <row r="2624">
      <c r="A2624" s="446" t="s">
        <v>4797</v>
      </c>
    </row>
    <row r="2625">
      <c r="A2625" s="446" t="s">
        <v>4797</v>
      </c>
    </row>
    <row r="2626">
      <c r="A2626" s="446" t="s">
        <v>4797</v>
      </c>
    </row>
    <row r="2627">
      <c r="A2627" s="446" t="s">
        <v>4797</v>
      </c>
    </row>
    <row r="2628">
      <c r="A2628" s="446" t="s">
        <v>4797</v>
      </c>
    </row>
    <row r="2629">
      <c r="A2629" s="446" t="s">
        <v>4797</v>
      </c>
    </row>
    <row r="2630">
      <c r="A2630" s="446" t="s">
        <v>6352</v>
      </c>
    </row>
    <row r="2631">
      <c r="A2631" s="446" t="s">
        <v>6352</v>
      </c>
    </row>
    <row r="2632">
      <c r="A2632" s="446" t="s">
        <v>6352</v>
      </c>
    </row>
    <row r="2633">
      <c r="A2633" s="446" t="s">
        <v>6352</v>
      </c>
    </row>
    <row r="2634">
      <c r="A2634" s="446" t="s">
        <v>6352</v>
      </c>
    </row>
    <row r="2635">
      <c r="A2635" s="446" t="s">
        <v>7588</v>
      </c>
    </row>
    <row r="2636">
      <c r="A2636" s="446" t="s">
        <v>7588</v>
      </c>
    </row>
    <row r="2637">
      <c r="A2637" s="446" t="s">
        <v>6354</v>
      </c>
    </row>
    <row r="2638">
      <c r="A2638" s="446" t="s">
        <v>6354</v>
      </c>
    </row>
    <row r="2639">
      <c r="A2639" s="446" t="s">
        <v>6354</v>
      </c>
    </row>
    <row r="2640">
      <c r="A2640" s="446" t="s">
        <v>7597</v>
      </c>
    </row>
    <row r="2641">
      <c r="A2641" s="446" t="s">
        <v>7597</v>
      </c>
    </row>
    <row r="2642">
      <c r="A2642" s="446" t="s">
        <v>7592</v>
      </c>
    </row>
    <row r="2643">
      <c r="A2643" s="446" t="s">
        <v>7597</v>
      </c>
    </row>
    <row r="2644">
      <c r="A2644" s="446" t="s">
        <v>7597</v>
      </c>
    </row>
    <row r="2645">
      <c r="A2645" s="446" t="s">
        <v>7592</v>
      </c>
    </row>
    <row r="2646">
      <c r="A2646" s="446" t="s">
        <v>7601</v>
      </c>
    </row>
    <row r="2647">
      <c r="A2647" s="446" t="s">
        <v>7601</v>
      </c>
    </row>
    <row r="2648">
      <c r="A2648" s="446" t="s">
        <v>7601</v>
      </c>
    </row>
    <row r="2649">
      <c r="A2649" s="446" t="s">
        <v>7601</v>
      </c>
    </row>
    <row r="2650">
      <c r="A2650" s="446" t="s">
        <v>7601</v>
      </c>
    </row>
    <row r="2651">
      <c r="A2651" s="446" t="s">
        <v>7602</v>
      </c>
    </row>
    <row r="2652">
      <c r="A2652" s="446" t="s">
        <v>7834</v>
      </c>
    </row>
    <row r="2653">
      <c r="A2653" s="446" t="s">
        <v>7834</v>
      </c>
    </row>
    <row r="2654">
      <c r="A2654" s="446" t="s">
        <v>7836</v>
      </c>
    </row>
    <row r="2655">
      <c r="A2655" s="446" t="s">
        <v>7836</v>
      </c>
    </row>
    <row r="2656">
      <c r="A2656" s="446" t="s">
        <v>7836</v>
      </c>
    </row>
    <row r="2657">
      <c r="A2657" s="446" t="s">
        <v>7835</v>
      </c>
    </row>
    <row r="2658">
      <c r="A2658" s="446" t="s">
        <v>7835</v>
      </c>
    </row>
    <row r="2659">
      <c r="A2659" s="446" t="s">
        <v>7835</v>
      </c>
    </row>
    <row r="2660">
      <c r="A2660" s="446" t="s">
        <v>6359</v>
      </c>
    </row>
    <row r="2661">
      <c r="A2661" s="446" t="s">
        <v>6357</v>
      </c>
    </row>
    <row r="2662">
      <c r="A2662" s="446" t="s">
        <v>7603</v>
      </c>
    </row>
    <row r="2663">
      <c r="A2663" s="446" t="s">
        <v>5375</v>
      </c>
    </row>
    <row r="2664">
      <c r="A2664" s="446" t="s">
        <v>5375</v>
      </c>
    </row>
    <row r="2665">
      <c r="A2665" s="446" t="s">
        <v>6361</v>
      </c>
    </row>
    <row r="2666">
      <c r="A2666" s="446" t="s">
        <v>6361</v>
      </c>
    </row>
    <row r="2667">
      <c r="A2667" s="446" t="s">
        <v>6361</v>
      </c>
    </row>
    <row r="2668">
      <c r="A2668" s="446" t="s">
        <v>7605</v>
      </c>
    </row>
    <row r="2669">
      <c r="A2669" s="446" t="s">
        <v>7605</v>
      </c>
    </row>
    <row r="2670">
      <c r="A2670" s="446" t="s">
        <v>7605</v>
      </c>
    </row>
    <row r="2671">
      <c r="A2671" s="446" t="s">
        <v>7605</v>
      </c>
    </row>
    <row r="2672">
      <c r="A2672" s="446" t="s">
        <v>7605</v>
      </c>
    </row>
    <row r="2673">
      <c r="A2673" s="446" t="s">
        <v>7832</v>
      </c>
    </row>
    <row r="2674">
      <c r="A2674" s="446" t="s">
        <v>7832</v>
      </c>
    </row>
    <row r="2675">
      <c r="A2675" s="446" t="s">
        <v>6365</v>
      </c>
    </row>
    <row r="2676">
      <c r="A2676" s="446" t="s">
        <v>6363</v>
      </c>
    </row>
    <row r="2677">
      <c r="A2677" s="446" t="s">
        <v>7831</v>
      </c>
    </row>
    <row r="2678">
      <c r="A2678" s="446" t="s">
        <v>7830</v>
      </c>
    </row>
    <row r="2679">
      <c r="A2679" s="446" t="s">
        <v>7609</v>
      </c>
    </row>
    <row r="2680">
      <c r="A2680" s="446" t="s">
        <v>8155</v>
      </c>
    </row>
    <row r="2681">
      <c r="A2681" s="446" t="s">
        <v>7609</v>
      </c>
    </row>
    <row r="2682">
      <c r="A2682" s="446" t="s">
        <v>7609</v>
      </c>
    </row>
    <row r="2683">
      <c r="A2683" s="446" t="s">
        <v>7829</v>
      </c>
    </row>
    <row r="2684">
      <c r="A2684" s="446" t="s">
        <v>7827</v>
      </c>
    </row>
    <row r="2685">
      <c r="A2685" s="446" t="s">
        <v>7610</v>
      </c>
    </row>
    <row r="2686">
      <c r="A2686" s="446" t="s">
        <v>7610</v>
      </c>
    </row>
    <row r="2687">
      <c r="A2687" s="446" t="s">
        <v>6367</v>
      </c>
    </row>
    <row r="2688">
      <c r="A2688" s="446" t="s">
        <v>6367</v>
      </c>
    </row>
    <row r="2689">
      <c r="A2689" s="446" t="s">
        <v>6367</v>
      </c>
    </row>
    <row r="2690">
      <c r="A2690" s="446" t="s">
        <v>6367</v>
      </c>
    </row>
    <row r="2691">
      <c r="A2691" s="446" t="s">
        <v>7614</v>
      </c>
    </row>
    <row r="2692">
      <c r="A2692" s="446" t="s">
        <v>7614</v>
      </c>
    </row>
    <row r="2693">
      <c r="A2693" s="446" t="s">
        <v>6369</v>
      </c>
    </row>
    <row r="2694">
      <c r="A2694" s="446" t="s">
        <v>6369</v>
      </c>
    </row>
    <row r="2695">
      <c r="A2695" s="446" t="s">
        <v>7619</v>
      </c>
    </row>
    <row r="2696">
      <c r="A2696" s="446" t="s">
        <v>7619</v>
      </c>
    </row>
    <row r="2697">
      <c r="A2697" s="446" t="s">
        <v>7619</v>
      </c>
    </row>
    <row r="2698">
      <c r="A2698" s="446" t="s">
        <v>6371</v>
      </c>
    </row>
    <row r="2699">
      <c r="A2699" s="446" t="s">
        <v>6371</v>
      </c>
    </row>
    <row r="2700">
      <c r="A2700" s="446" t="s">
        <v>6376</v>
      </c>
    </row>
    <row r="2701">
      <c r="A2701" s="446" t="s">
        <v>6376</v>
      </c>
    </row>
    <row r="2702">
      <c r="A2702" s="446" t="s">
        <v>6380</v>
      </c>
    </row>
    <row r="2703">
      <c r="A2703" s="446" t="s">
        <v>6380</v>
      </c>
    </row>
    <row r="2704">
      <c r="A2704" s="446" t="s">
        <v>6380</v>
      </c>
    </row>
    <row r="2705">
      <c r="A2705" s="446" t="s">
        <v>6380</v>
      </c>
    </row>
    <row r="2706">
      <c r="A2706" s="446" t="s">
        <v>6378</v>
      </c>
    </row>
    <row r="2707">
      <c r="A2707" s="446" t="s">
        <v>6378</v>
      </c>
    </row>
    <row r="2708">
      <c r="A2708" s="446" t="s">
        <v>6378</v>
      </c>
    </row>
    <row r="2709">
      <c r="A2709" s="446" t="s">
        <v>6382</v>
      </c>
    </row>
    <row r="2710">
      <c r="A2710" s="446" t="s">
        <v>6382</v>
      </c>
    </row>
    <row r="2711">
      <c r="A2711" s="446" t="s">
        <v>7626</v>
      </c>
    </row>
    <row r="2712">
      <c r="A2712" s="446" t="s">
        <v>7626</v>
      </c>
    </row>
    <row r="2713">
      <c r="A2713" s="446" t="s">
        <v>7632</v>
      </c>
    </row>
    <row r="2714">
      <c r="A2714" s="446" t="s">
        <v>6383</v>
      </c>
    </row>
    <row r="2715">
      <c r="A2715" s="446" t="s">
        <v>6385</v>
      </c>
    </row>
    <row r="2716">
      <c r="A2716" s="446" t="s">
        <v>6385</v>
      </c>
    </row>
    <row r="2717">
      <c r="A2717" s="446" t="s">
        <v>7635</v>
      </c>
    </row>
    <row r="2718">
      <c r="A2718" s="446" t="s">
        <v>7635</v>
      </c>
    </row>
    <row r="2719">
      <c r="A2719" s="446" t="s">
        <v>7635</v>
      </c>
    </row>
    <row r="2720">
      <c r="A2720" s="446" t="s">
        <v>7643</v>
      </c>
    </row>
    <row r="2721">
      <c r="A2721" s="446" t="s">
        <v>7643</v>
      </c>
    </row>
    <row r="2722">
      <c r="A2722" s="446" t="s">
        <v>7822</v>
      </c>
    </row>
    <row r="2723">
      <c r="A2723" s="446" t="s">
        <v>7822</v>
      </c>
    </row>
    <row r="2724">
      <c r="A2724" s="446" t="s">
        <v>7637</v>
      </c>
    </row>
    <row r="2725">
      <c r="A2725" s="446" t="s">
        <v>7637</v>
      </c>
    </row>
    <row r="2726">
      <c r="A2726" s="446" t="s">
        <v>7646</v>
      </c>
    </row>
    <row r="2727">
      <c r="A2727" s="446" t="s">
        <v>7646</v>
      </c>
    </row>
    <row r="2728">
      <c r="A2728" s="446" t="s">
        <v>7646</v>
      </c>
    </row>
    <row r="2729">
      <c r="A2729" s="446" t="s">
        <v>7646</v>
      </c>
    </row>
    <row r="2730">
      <c r="A2730" s="446" t="s">
        <v>7646</v>
      </c>
    </row>
    <row r="2731">
      <c r="A2731" s="446" t="s">
        <v>6387</v>
      </c>
    </row>
    <row r="2732">
      <c r="A2732" s="446" t="s">
        <v>6387</v>
      </c>
    </row>
    <row r="2733">
      <c r="A2733" s="446" t="s">
        <v>7820</v>
      </c>
    </row>
    <row r="2734">
      <c r="A2734" s="446" t="s">
        <v>7313</v>
      </c>
    </row>
    <row r="2735">
      <c r="A2735" s="446" t="s">
        <v>7313</v>
      </c>
    </row>
    <row r="2736">
      <c r="A2736" s="446" t="s">
        <v>7821</v>
      </c>
    </row>
    <row r="2737">
      <c r="A2737" s="446" t="s">
        <v>7821</v>
      </c>
    </row>
    <row r="2738">
      <c r="A2738" s="446" t="s">
        <v>7821</v>
      </c>
    </row>
    <row r="2739">
      <c r="A2739" s="446" t="s">
        <v>7821</v>
      </c>
    </row>
    <row r="2740">
      <c r="A2740" s="446" t="s">
        <v>7817</v>
      </c>
    </row>
    <row r="2741">
      <c r="A2741" s="446" t="s">
        <v>7818</v>
      </c>
    </row>
    <row r="2742">
      <c r="A2742" s="446" t="s">
        <v>6389</v>
      </c>
    </row>
    <row r="2743">
      <c r="A2743" s="446" t="s">
        <v>6389</v>
      </c>
    </row>
    <row r="2744">
      <c r="A2744" s="446" t="s">
        <v>6389</v>
      </c>
    </row>
    <row r="2745">
      <c r="A2745" s="446" t="s">
        <v>6392</v>
      </c>
    </row>
    <row r="2746">
      <c r="A2746" s="446" t="s">
        <v>7816</v>
      </c>
    </row>
    <row r="2747">
      <c r="A2747" s="446" t="s">
        <v>7816</v>
      </c>
    </row>
    <row r="2748">
      <c r="A2748" s="446" t="s">
        <v>7815</v>
      </c>
    </row>
    <row r="2749">
      <c r="A2749" s="446" t="s">
        <v>7649</v>
      </c>
    </row>
    <row r="2750">
      <c r="A2750" s="446" t="s">
        <v>7649</v>
      </c>
    </row>
    <row r="2751">
      <c r="A2751" s="446" t="s">
        <v>7649</v>
      </c>
    </row>
    <row r="2752">
      <c r="A2752" s="446" t="s">
        <v>6394</v>
      </c>
    </row>
    <row r="2753">
      <c r="A2753" s="446" t="s">
        <v>6394</v>
      </c>
    </row>
    <row r="2754">
      <c r="A2754" s="446" t="s">
        <v>6394</v>
      </c>
    </row>
    <row r="2755">
      <c r="A2755" s="446" t="s">
        <v>6394</v>
      </c>
    </row>
    <row r="2756">
      <c r="A2756" s="446" t="s">
        <v>7650</v>
      </c>
    </row>
    <row r="2757">
      <c r="A2757" s="446" t="s">
        <v>7650</v>
      </c>
    </row>
    <row r="2758">
      <c r="A2758" s="446" t="s">
        <v>6396</v>
      </c>
    </row>
    <row r="2759">
      <c r="A2759" s="446" t="s">
        <v>6396</v>
      </c>
    </row>
    <row r="2760">
      <c r="A2760" s="446" t="s">
        <v>6396</v>
      </c>
    </row>
    <row r="2761">
      <c r="A2761" s="446" t="s">
        <v>7813</v>
      </c>
    </row>
    <row r="2762">
      <c r="A2762" s="446" t="s">
        <v>8170</v>
      </c>
    </row>
    <row r="2763">
      <c r="A2763" s="446" t="s">
        <v>7813</v>
      </c>
    </row>
    <row r="2764">
      <c r="A2764" s="446" t="s">
        <v>8170</v>
      </c>
    </row>
    <row r="2765">
      <c r="A2765" s="446" t="s">
        <v>7658</v>
      </c>
    </row>
    <row r="2766">
      <c r="A2766" s="446" t="s">
        <v>7658</v>
      </c>
    </row>
    <row r="2767">
      <c r="A2767" s="446" t="s">
        <v>7656</v>
      </c>
    </row>
    <row r="2768">
      <c r="A2768" s="446" t="s">
        <v>7661</v>
      </c>
    </row>
    <row r="2769">
      <c r="A2769" s="446" t="s">
        <v>7661</v>
      </c>
    </row>
    <row r="2770">
      <c r="A2770" s="446" t="s">
        <v>7661</v>
      </c>
    </row>
    <row r="2771">
      <c r="A2771" s="446" t="s">
        <v>7661</v>
      </c>
    </row>
    <row r="2772">
      <c r="A2772" s="446" t="s">
        <v>7664</v>
      </c>
    </row>
    <row r="2773">
      <c r="A2773" s="446" t="s">
        <v>6400</v>
      </c>
    </row>
    <row r="2774">
      <c r="A2774" s="446" t="s">
        <v>6400</v>
      </c>
    </row>
    <row r="2775">
      <c r="A2775" s="446" t="s">
        <v>6400</v>
      </c>
    </row>
    <row r="2776">
      <c r="A2776" s="446" t="s">
        <v>6402</v>
      </c>
    </row>
    <row r="2777">
      <c r="A2777" s="446" t="s">
        <v>6402</v>
      </c>
    </row>
    <row r="2778">
      <c r="A2778" s="446" t="s">
        <v>6402</v>
      </c>
    </row>
    <row r="2779">
      <c r="A2779" s="446" t="s">
        <v>8173</v>
      </c>
    </row>
    <row r="2780">
      <c r="A2780" s="446" t="s">
        <v>6404</v>
      </c>
    </row>
    <row r="2781">
      <c r="A2781" s="446" t="s">
        <v>6404</v>
      </c>
    </row>
    <row r="2782">
      <c r="A2782" s="446" t="s">
        <v>6405</v>
      </c>
    </row>
    <row r="2783">
      <c r="A2783" s="446" t="s">
        <v>7810</v>
      </c>
    </row>
    <row r="2784">
      <c r="A2784" s="446" t="s">
        <v>7812</v>
      </c>
    </row>
    <row r="2785">
      <c r="A2785" s="446" t="s">
        <v>7678</v>
      </c>
    </row>
    <row r="2786">
      <c r="A2786" s="446" t="s">
        <v>7678</v>
      </c>
    </row>
    <row r="2787">
      <c r="A2787" s="446" t="s">
        <v>7678</v>
      </c>
    </row>
    <row r="2788">
      <c r="A2788" s="446" t="s">
        <v>6410</v>
      </c>
    </row>
    <row r="2789">
      <c r="A2789" s="446" t="s">
        <v>6410</v>
      </c>
    </row>
    <row r="2790">
      <c r="A2790" s="446" t="s">
        <v>6410</v>
      </c>
    </row>
    <row r="2791">
      <c r="A2791" s="446" t="s">
        <v>6410</v>
      </c>
    </row>
    <row r="2792">
      <c r="A2792" s="446" t="s">
        <v>6410</v>
      </c>
    </row>
    <row r="2793">
      <c r="A2793" s="446" t="s">
        <v>6408</v>
      </c>
    </row>
    <row r="2794">
      <c r="A2794" s="446" t="s">
        <v>6408</v>
      </c>
    </row>
    <row r="2795">
      <c r="A2795" s="446" t="s">
        <v>6408</v>
      </c>
    </row>
    <row r="2796">
      <c r="A2796" s="446" t="s">
        <v>7686</v>
      </c>
    </row>
    <row r="2797">
      <c r="A2797" s="446" t="s">
        <v>7686</v>
      </c>
    </row>
    <row r="2798">
      <c r="A2798" s="446" t="s">
        <v>6412</v>
      </c>
    </row>
    <row r="2799">
      <c r="A2799" s="446" t="s">
        <v>6412</v>
      </c>
    </row>
    <row r="2800">
      <c r="A2800" s="446" t="s">
        <v>6412</v>
      </c>
    </row>
    <row r="2801">
      <c r="A2801" s="446" t="s">
        <v>7806</v>
      </c>
    </row>
    <row r="2802">
      <c r="A2802" s="446" t="s">
        <v>7694</v>
      </c>
    </row>
    <row r="2803">
      <c r="A2803" s="446" t="s">
        <v>7694</v>
      </c>
    </row>
    <row r="2804">
      <c r="A2804" s="446" t="s">
        <v>6414</v>
      </c>
    </row>
    <row r="2805">
      <c r="A2805" s="446" t="s">
        <v>6414</v>
      </c>
    </row>
    <row r="2806">
      <c r="A2806" s="446" t="s">
        <v>6414</v>
      </c>
    </row>
    <row r="2807">
      <c r="A2807" s="446" t="s">
        <v>6414</v>
      </c>
    </row>
    <row r="2808">
      <c r="A2808" s="446" t="s">
        <v>7803</v>
      </c>
    </row>
    <row r="2809">
      <c r="A2809" s="446" t="s">
        <v>7802</v>
      </c>
    </row>
    <row r="2810">
      <c r="A2810" s="446" t="s">
        <v>6416</v>
      </c>
    </row>
    <row r="2811">
      <c r="A2811" s="446" t="s">
        <v>6416</v>
      </c>
    </row>
    <row r="2812">
      <c r="A2812" s="446" t="s">
        <v>7801</v>
      </c>
    </row>
    <row r="2813">
      <c r="A2813" s="446" t="s">
        <v>8178</v>
      </c>
    </row>
    <row r="2814">
      <c r="A2814" s="446" t="s">
        <v>7702</v>
      </c>
    </row>
    <row r="2815">
      <c r="A2815" s="446" t="s">
        <v>7702</v>
      </c>
    </row>
    <row r="2816">
      <c r="A2816" s="446" t="s">
        <v>6418</v>
      </c>
    </row>
    <row r="2817">
      <c r="A2817" s="446" t="s">
        <v>6418</v>
      </c>
    </row>
    <row r="2818">
      <c r="A2818" s="446" t="s">
        <v>6418</v>
      </c>
    </row>
    <row r="2819">
      <c r="A2819" s="446" t="s">
        <v>6417</v>
      </c>
    </row>
    <row r="2820">
      <c r="A2820" s="446" t="s">
        <v>6417</v>
      </c>
    </row>
    <row r="2821">
      <c r="A2821" s="446" t="s">
        <v>6417</v>
      </c>
    </row>
    <row r="2822">
      <c r="A2822" s="446" t="s">
        <v>7800</v>
      </c>
    </row>
    <row r="2823">
      <c r="A2823" s="446" t="s">
        <v>8179</v>
      </c>
    </row>
    <row r="2824">
      <c r="A2824" s="446" t="s">
        <v>7710</v>
      </c>
    </row>
    <row r="2825">
      <c r="A2825" s="446" t="s">
        <v>7710</v>
      </c>
    </row>
    <row r="2826">
      <c r="A2826" s="446" t="s">
        <v>7705</v>
      </c>
    </row>
    <row r="2827">
      <c r="A2827" s="446" t="s">
        <v>7705</v>
      </c>
    </row>
    <row r="2828">
      <c r="A2828" s="446" t="s">
        <v>7705</v>
      </c>
    </row>
    <row r="2829">
      <c r="A2829" s="446" t="s">
        <v>7708</v>
      </c>
    </row>
    <row r="2830">
      <c r="A2830" s="446" t="s">
        <v>7708</v>
      </c>
    </row>
    <row r="2831">
      <c r="A2831" s="446" t="s">
        <v>7708</v>
      </c>
    </row>
    <row r="2832">
      <c r="A2832" s="446" t="s">
        <v>6420</v>
      </c>
    </row>
    <row r="2833">
      <c r="A2833" s="446" t="s">
        <v>6420</v>
      </c>
    </row>
    <row r="2834">
      <c r="A2834" s="446" t="s">
        <v>6423</v>
      </c>
    </row>
    <row r="2835">
      <c r="A2835" s="446" t="s">
        <v>6423</v>
      </c>
    </row>
    <row r="2836">
      <c r="A2836" s="446" t="s">
        <v>7715</v>
      </c>
    </row>
    <row r="2837">
      <c r="A2837" s="446" t="s">
        <v>7716</v>
      </c>
    </row>
    <row r="2838">
      <c r="A2838" s="446" t="s">
        <v>7716</v>
      </c>
    </row>
    <row r="2839">
      <c r="A2839" s="446" t="s">
        <v>6427</v>
      </c>
    </row>
    <row r="2840">
      <c r="A2840" s="446" t="s">
        <v>6427</v>
      </c>
    </row>
    <row r="2841">
      <c r="A2841" s="446" t="s">
        <v>6427</v>
      </c>
    </row>
    <row r="2842">
      <c r="A2842" s="446" t="s">
        <v>6425</v>
      </c>
    </row>
    <row r="2843">
      <c r="A2843" s="446" t="s">
        <v>6425</v>
      </c>
    </row>
    <row r="2844">
      <c r="A2844" s="446" t="s">
        <v>7311</v>
      </c>
    </row>
    <row r="2845">
      <c r="A2845" s="446" t="s">
        <v>7311</v>
      </c>
    </row>
    <row r="2846">
      <c r="A2846" s="446" t="s">
        <v>7719</v>
      </c>
    </row>
    <row r="2847">
      <c r="A2847" s="446" t="s">
        <v>7719</v>
      </c>
    </row>
    <row r="2848">
      <c r="A2848" s="446" t="s">
        <v>7720</v>
      </c>
    </row>
    <row r="2849">
      <c r="A2849" s="446" t="s">
        <v>7720</v>
      </c>
    </row>
    <row r="2850">
      <c r="A2850" s="446" t="s">
        <v>6429</v>
      </c>
    </row>
    <row r="2851">
      <c r="A2851" s="446" t="s">
        <v>6429</v>
      </c>
    </row>
    <row r="2852">
      <c r="A2852" s="446" t="s">
        <v>6429</v>
      </c>
    </row>
    <row r="2853">
      <c r="A2853" s="446" t="s">
        <v>6429</v>
      </c>
    </row>
    <row r="2854">
      <c r="A2854" s="446" t="s">
        <v>7796</v>
      </c>
    </row>
    <row r="2855">
      <c r="A2855" s="446" t="s">
        <v>7795</v>
      </c>
    </row>
    <row r="2856">
      <c r="A2856" s="446" t="s">
        <v>7797</v>
      </c>
    </row>
    <row r="2857">
      <c r="A2857" s="446" t="s">
        <v>7797</v>
      </c>
    </row>
    <row r="2858">
      <c r="A2858" s="446" t="s">
        <v>7724</v>
      </c>
    </row>
    <row r="2859">
      <c r="A2859" s="446" t="s">
        <v>7724</v>
      </c>
    </row>
    <row r="2860">
      <c r="A2860" s="446" t="s">
        <v>7726</v>
      </c>
    </row>
    <row r="2861">
      <c r="A2861" s="446" t="s">
        <v>7726</v>
      </c>
    </row>
    <row r="2862">
      <c r="A2862" s="446" t="s">
        <v>7726</v>
      </c>
    </row>
    <row r="2863">
      <c r="A2863" s="446" t="s">
        <v>7729</v>
      </c>
    </row>
    <row r="2864">
      <c r="A2864" s="446" t="s">
        <v>7730</v>
      </c>
    </row>
    <row r="2865">
      <c r="A2865" s="446" t="s">
        <v>7730</v>
      </c>
    </row>
    <row r="2866">
      <c r="A2866" s="446" t="s">
        <v>6431</v>
      </c>
    </row>
    <row r="2867">
      <c r="A2867" s="446" t="s">
        <v>7734</v>
      </c>
    </row>
    <row r="2868">
      <c r="A2868" s="446" t="s">
        <v>7734</v>
      </c>
    </row>
    <row r="2869">
      <c r="A2869" s="446" t="s">
        <v>7737</v>
      </c>
    </row>
    <row r="2870">
      <c r="A2870" s="446" t="s">
        <v>7737</v>
      </c>
    </row>
    <row r="2871">
      <c r="A2871" s="446" t="s">
        <v>7737</v>
      </c>
    </row>
    <row r="2872">
      <c r="A2872" s="446" t="s">
        <v>7737</v>
      </c>
    </row>
    <row r="2873">
      <c r="A2873" s="446" t="s">
        <v>7737</v>
      </c>
    </row>
    <row r="2874">
      <c r="A2874" s="446" t="s">
        <v>7739</v>
      </c>
    </row>
    <row r="2875">
      <c r="A2875" s="446" t="s">
        <v>7739</v>
      </c>
    </row>
    <row r="2876">
      <c r="A2876" s="446" t="s">
        <v>6433</v>
      </c>
    </row>
    <row r="2877">
      <c r="A2877" s="446" t="s">
        <v>6433</v>
      </c>
    </row>
    <row r="2878">
      <c r="A2878" s="446" t="s">
        <v>7740</v>
      </c>
    </row>
    <row r="2879">
      <c r="A2879" s="446" t="s">
        <v>7792</v>
      </c>
    </row>
    <row r="2880">
      <c r="A2880" s="446" t="s">
        <v>7791</v>
      </c>
    </row>
    <row r="2881">
      <c r="A2881" s="446" t="s">
        <v>7790</v>
      </c>
    </row>
    <row r="2882">
      <c r="A2882" s="446" t="s">
        <v>7790</v>
      </c>
    </row>
    <row r="2883">
      <c r="A2883" s="446" t="s">
        <v>7789</v>
      </c>
    </row>
    <row r="2884">
      <c r="A2884" s="446" t="s">
        <v>7789</v>
      </c>
    </row>
    <row r="2885">
      <c r="A2885" s="446" t="s">
        <v>7740</v>
      </c>
    </row>
    <row r="2886">
      <c r="A2886" s="446" t="s">
        <v>7740</v>
      </c>
    </row>
    <row r="2887">
      <c r="A2887" s="446" t="s">
        <v>7740</v>
      </c>
    </row>
    <row r="2888">
      <c r="A2888" s="446" t="s">
        <v>7792</v>
      </c>
    </row>
    <row r="2889">
      <c r="A2889" s="446" t="s">
        <v>6436</v>
      </c>
    </row>
    <row r="2890">
      <c r="A2890" s="446" t="s">
        <v>6436</v>
      </c>
    </row>
    <row r="2891">
      <c r="A2891" s="446" t="s">
        <v>6436</v>
      </c>
    </row>
    <row r="2892">
      <c r="A2892" s="446" t="s">
        <v>6436</v>
      </c>
    </row>
    <row r="2893">
      <c r="A2893" s="446" t="s">
        <v>6436</v>
      </c>
    </row>
    <row r="2894">
      <c r="A2894" s="446" t="s">
        <v>6440</v>
      </c>
    </row>
    <row r="2895">
      <c r="A2895" s="446" t="s">
        <v>6438</v>
      </c>
    </row>
    <row r="2896">
      <c r="A2896" s="446" t="s">
        <v>6438</v>
      </c>
    </row>
    <row r="2897">
      <c r="A2897" s="446" t="s">
        <v>6440</v>
      </c>
    </row>
    <row r="2898">
      <c r="A2898" s="446" t="s">
        <v>6440</v>
      </c>
    </row>
    <row r="2899">
      <c r="A2899" s="446" t="s">
        <v>6442</v>
      </c>
    </row>
    <row r="2900">
      <c r="A2900" s="446" t="s">
        <v>6442</v>
      </c>
    </row>
    <row r="2901">
      <c r="A2901" s="446" t="s">
        <v>6444</v>
      </c>
    </row>
    <row r="2902">
      <c r="A2902" s="446" t="s">
        <v>6444</v>
      </c>
    </row>
    <row r="2903">
      <c r="A2903" s="446" t="s">
        <v>6446</v>
      </c>
    </row>
    <row r="2904">
      <c r="A2904" s="446" t="s">
        <v>6446</v>
      </c>
    </row>
    <row r="2905">
      <c r="A2905" s="446" t="s">
        <v>6446</v>
      </c>
    </row>
    <row r="2906">
      <c r="A2906" s="446" t="s">
        <v>6446</v>
      </c>
    </row>
    <row r="2907">
      <c r="A2907" s="446" t="s">
        <v>6446</v>
      </c>
    </row>
    <row r="2908">
      <c r="A2908" s="446" t="s">
        <v>6446</v>
      </c>
    </row>
    <row r="2909">
      <c r="A2909" s="446" t="s">
        <v>6446</v>
      </c>
    </row>
    <row r="2910">
      <c r="A2910" s="446" t="s">
        <v>6448</v>
      </c>
    </row>
    <row r="2911">
      <c r="A2911" s="446" t="s">
        <v>6448</v>
      </c>
    </row>
    <row r="2912">
      <c r="A2912" s="446" t="s">
        <v>6448</v>
      </c>
    </row>
    <row r="2913">
      <c r="A2913" s="446" t="s">
        <v>6448</v>
      </c>
    </row>
    <row r="2914">
      <c r="A2914" s="446" t="s">
        <v>6448</v>
      </c>
    </row>
    <row r="2915">
      <c r="A2915" s="446" t="s">
        <v>6450</v>
      </c>
    </row>
    <row r="2916">
      <c r="A2916" s="446" t="s">
        <v>6450</v>
      </c>
    </row>
    <row r="2917">
      <c r="A2917" s="446" t="s">
        <v>6450</v>
      </c>
    </row>
    <row r="2918">
      <c r="A2918" s="446" t="s">
        <v>6454</v>
      </c>
    </row>
    <row r="2919">
      <c r="A2919" s="446" t="s">
        <v>6454</v>
      </c>
    </row>
    <row r="2920">
      <c r="A2920" s="446" t="s">
        <v>6454</v>
      </c>
    </row>
    <row r="2921">
      <c r="A2921" s="446" t="s">
        <v>6454</v>
      </c>
    </row>
    <row r="2922">
      <c r="A2922" s="446" t="s">
        <v>6454</v>
      </c>
    </row>
    <row r="2923">
      <c r="A2923" s="446" t="s">
        <v>6452</v>
      </c>
    </row>
    <row r="2924">
      <c r="A2924" s="446" t="s">
        <v>6452</v>
      </c>
    </row>
    <row r="2925">
      <c r="A2925" s="446" t="s">
        <v>6452</v>
      </c>
    </row>
    <row r="2926">
      <c r="A2926" s="446" t="s">
        <v>6452</v>
      </c>
    </row>
    <row r="2927">
      <c r="A2927" s="446" t="s">
        <v>6452</v>
      </c>
    </row>
    <row r="2928">
      <c r="A2928" s="446" t="s">
        <v>7756</v>
      </c>
    </row>
    <row r="2929">
      <c r="A2929" s="446" t="s">
        <v>7759</v>
      </c>
    </row>
    <row r="2930">
      <c r="A2930" s="446" t="s">
        <v>7759</v>
      </c>
    </row>
    <row r="2931">
      <c r="A2931" s="446" t="s">
        <v>7761</v>
      </c>
    </row>
    <row r="2932">
      <c r="A2932" s="446" t="s">
        <v>7762</v>
      </c>
    </row>
    <row r="2933">
      <c r="A2933" s="446" t="s">
        <v>7762</v>
      </c>
    </row>
    <row r="2934">
      <c r="A2934" s="446" t="s">
        <v>7762</v>
      </c>
    </row>
    <row r="2935">
      <c r="A2935" s="446" t="s">
        <v>7762</v>
      </c>
    </row>
    <row r="2936">
      <c r="A2936" s="446" t="s">
        <v>7763</v>
      </c>
    </row>
    <row r="2937">
      <c r="A2937" s="446" t="s">
        <v>7763</v>
      </c>
    </row>
    <row r="2938">
      <c r="A2938" s="446" t="s">
        <v>7763</v>
      </c>
    </row>
    <row r="2939">
      <c r="A2939" s="446" t="s">
        <v>7763</v>
      </c>
    </row>
    <row r="2940">
      <c r="A2940" s="446" t="s">
        <v>7763</v>
      </c>
    </row>
    <row r="2941">
      <c r="A2941" s="446" t="s">
        <v>7763</v>
      </c>
    </row>
    <row r="2942">
      <c r="A2942" s="446" t="s">
        <v>7763</v>
      </c>
    </row>
    <row r="2943">
      <c r="A2943" s="446" t="s">
        <v>7765</v>
      </c>
    </row>
    <row r="2944">
      <c r="A2944" s="446" t="s">
        <v>7765</v>
      </c>
    </row>
    <row r="2945">
      <c r="A2945" s="446" t="s">
        <v>7765</v>
      </c>
    </row>
    <row r="2946">
      <c r="A2946" s="446" t="s">
        <v>7787</v>
      </c>
    </row>
    <row r="2947">
      <c r="A2947" s="446" t="s">
        <v>4854</v>
      </c>
    </row>
    <row r="2948">
      <c r="A2948" s="446" t="s">
        <v>4854</v>
      </c>
    </row>
    <row r="2949">
      <c r="A2949" s="446" t="s">
        <v>4854</v>
      </c>
    </row>
    <row r="2950">
      <c r="A2950" s="446" t="s">
        <v>4854</v>
      </c>
    </row>
    <row r="2951">
      <c r="A2951" s="446" t="s">
        <v>4854</v>
      </c>
    </row>
    <row r="2952">
      <c r="A2952" s="446" t="s">
        <v>4854</v>
      </c>
    </row>
    <row r="2953">
      <c r="A2953" s="446" t="s">
        <v>4670</v>
      </c>
    </row>
    <row r="2954">
      <c r="A2954" s="446" t="s">
        <v>4670</v>
      </c>
    </row>
    <row r="2955">
      <c r="A2955" s="446" t="s">
        <v>4670</v>
      </c>
    </row>
    <row r="2956">
      <c r="A2956" s="446" t="s">
        <v>4670</v>
      </c>
    </row>
    <row r="2957">
      <c r="A2957" s="446" t="s">
        <v>4670</v>
      </c>
    </row>
    <row r="2958">
      <c r="A2958" s="446" t="s">
        <v>7769</v>
      </c>
    </row>
    <row r="2959">
      <c r="A2959" s="446" t="s">
        <v>7769</v>
      </c>
    </row>
    <row r="2960">
      <c r="A2960" s="446" t="s">
        <v>7769</v>
      </c>
    </row>
    <row r="2961">
      <c r="A2961" s="446" t="s">
        <v>7785</v>
      </c>
    </row>
    <row r="2962">
      <c r="A2962" s="446" t="s">
        <v>7785</v>
      </c>
    </row>
    <row r="2963">
      <c r="A2963" s="446" t="s">
        <v>7772</v>
      </c>
    </row>
    <row r="2964">
      <c r="A2964" s="446" t="s">
        <v>7772</v>
      </c>
    </row>
    <row r="2965">
      <c r="A2965" s="446" t="s">
        <v>7772</v>
      </c>
    </row>
    <row r="2966">
      <c r="A2966" s="446" t="s">
        <v>7772</v>
      </c>
    </row>
    <row r="2967">
      <c r="A2967" s="446" t="s">
        <v>7772</v>
      </c>
    </row>
    <row r="2968">
      <c r="A2968" s="446" t="s">
        <v>7772</v>
      </c>
    </row>
    <row r="2969">
      <c r="A2969" s="446" t="s">
        <v>7784</v>
      </c>
    </row>
    <row r="2970">
      <c r="A2970" s="446" t="s">
        <v>7784</v>
      </c>
    </row>
    <row r="2971">
      <c r="A2971" s="446" t="s">
        <v>7783</v>
      </c>
    </row>
    <row r="2972">
      <c r="A2972" s="446" t="s">
        <v>7783</v>
      </c>
    </row>
    <row r="2973">
      <c r="A2973" s="446" t="s">
        <v>7781</v>
      </c>
    </row>
    <row r="2974">
      <c r="A2974" s="446" t="s">
        <v>7780</v>
      </c>
    </row>
    <row r="2975">
      <c r="A2975" s="446" t="s">
        <v>7779</v>
      </c>
    </row>
    <row r="2976">
      <c r="A2976" s="446" t="s">
        <v>7775</v>
      </c>
    </row>
    <row r="2977">
      <c r="A2977" s="446" t="s">
        <v>7778</v>
      </c>
    </row>
    <row r="2978">
      <c r="A2978" s="446" t="s">
        <v>6456</v>
      </c>
    </row>
    <row r="2979">
      <c r="A2979" s="446" t="s">
        <v>7777</v>
      </c>
    </row>
    <row r="2980">
      <c r="A2980" s="446" t="s">
        <v>6460</v>
      </c>
    </row>
    <row r="2981">
      <c r="A2981" s="446" t="s">
        <v>6460</v>
      </c>
    </row>
    <row r="2982">
      <c r="A2982" s="446" t="s">
        <v>7771</v>
      </c>
    </row>
    <row r="2983">
      <c r="A2983" s="446" t="s">
        <v>7776</v>
      </c>
    </row>
    <row r="2984">
      <c r="A2984" s="446" t="s">
        <v>7773</v>
      </c>
    </row>
    <row r="2985">
      <c r="A2985" s="446" t="s">
        <v>7773</v>
      </c>
    </row>
    <row r="2986">
      <c r="A2986" s="446" t="s">
        <v>7767</v>
      </c>
    </row>
    <row r="2987">
      <c r="A2987" s="446" t="s">
        <v>7766</v>
      </c>
    </row>
    <row r="2988">
      <c r="A2988" s="446" t="s">
        <v>7766</v>
      </c>
    </row>
    <row r="2989">
      <c r="A2989" s="446" t="s">
        <v>7764</v>
      </c>
    </row>
    <row r="2990">
      <c r="A2990" s="446" t="s">
        <v>6462</v>
      </c>
    </row>
    <row r="2991">
      <c r="A2991" s="446" t="s">
        <v>6462</v>
      </c>
    </row>
    <row r="2992">
      <c r="A2992" s="446" t="s">
        <v>6462</v>
      </c>
    </row>
    <row r="2993">
      <c r="A2993" s="446" t="s">
        <v>6462</v>
      </c>
    </row>
    <row r="2994">
      <c r="A2994" s="446" t="s">
        <v>6464</v>
      </c>
    </row>
    <row r="2995">
      <c r="A2995" s="446" t="s">
        <v>6467</v>
      </c>
    </row>
    <row r="2996">
      <c r="A2996" s="446" t="s">
        <v>6467</v>
      </c>
    </row>
    <row r="2997">
      <c r="A2997" s="446" t="s">
        <v>6467</v>
      </c>
    </row>
    <row r="2998">
      <c r="A2998" s="446" t="s">
        <v>6467</v>
      </c>
    </row>
    <row r="2999">
      <c r="A2999" s="446" t="s">
        <v>6467</v>
      </c>
    </row>
    <row r="3000">
      <c r="A3000" s="446" t="s">
        <v>6469</v>
      </c>
    </row>
    <row r="3001">
      <c r="A3001" s="446" t="s">
        <v>6469</v>
      </c>
    </row>
    <row r="3002">
      <c r="A3002" s="446" t="s">
        <v>6471</v>
      </c>
    </row>
    <row r="3003">
      <c r="A3003" s="446" t="s">
        <v>6471</v>
      </c>
    </row>
    <row r="3004">
      <c r="A3004" s="446" t="s">
        <v>6471</v>
      </c>
    </row>
    <row r="3005">
      <c r="A3005" s="446" t="s">
        <v>7757</v>
      </c>
    </row>
    <row r="3006">
      <c r="A3006" s="446" t="s">
        <v>7757</v>
      </c>
    </row>
    <row r="3007">
      <c r="A3007" s="446" t="s">
        <v>7757</v>
      </c>
    </row>
    <row r="3008">
      <c r="A3008" s="446" t="s">
        <v>7757</v>
      </c>
    </row>
    <row r="3009">
      <c r="A3009" s="446" t="s">
        <v>7755</v>
      </c>
    </row>
    <row r="3010">
      <c r="A3010" s="446" t="s">
        <v>7755</v>
      </c>
    </row>
    <row r="3011">
      <c r="A3011" s="446" t="s">
        <v>7755</v>
      </c>
    </row>
    <row r="3012">
      <c r="A3012" s="446" t="s">
        <v>7755</v>
      </c>
    </row>
    <row r="3013">
      <c r="A3013" s="446" t="s">
        <v>7755</v>
      </c>
    </row>
    <row r="3014">
      <c r="A3014" s="446" t="s">
        <v>6473</v>
      </c>
    </row>
    <row r="3015">
      <c r="A3015" s="446" t="s">
        <v>6473</v>
      </c>
    </row>
    <row r="3016">
      <c r="A3016" s="446" t="s">
        <v>6475</v>
      </c>
    </row>
    <row r="3017">
      <c r="A3017" s="446" t="s">
        <v>6475</v>
      </c>
    </row>
    <row r="3018">
      <c r="A3018" s="446" t="s">
        <v>6475</v>
      </c>
    </row>
    <row r="3019">
      <c r="A3019" s="446" t="s">
        <v>6475</v>
      </c>
    </row>
    <row r="3020">
      <c r="A3020" s="446" t="s">
        <v>7754</v>
      </c>
    </row>
    <row r="3021">
      <c r="A3021" s="446" t="s">
        <v>7754</v>
      </c>
    </row>
    <row r="3022">
      <c r="A3022" s="446" t="s">
        <v>7754</v>
      </c>
    </row>
    <row r="3023">
      <c r="A3023" s="446" t="s">
        <v>7754</v>
      </c>
    </row>
    <row r="3024">
      <c r="A3024" s="446" t="s">
        <v>7754</v>
      </c>
    </row>
    <row r="3025">
      <c r="A3025" s="446" t="s">
        <v>7752</v>
      </c>
    </row>
    <row r="3026">
      <c r="A3026" s="446" t="s">
        <v>7752</v>
      </c>
    </row>
    <row r="3027">
      <c r="A3027" s="446" t="s">
        <v>6477</v>
      </c>
    </row>
    <row r="3028">
      <c r="A3028" s="446" t="s">
        <v>6477</v>
      </c>
    </row>
    <row r="3029">
      <c r="A3029" s="446" t="s">
        <v>6477</v>
      </c>
    </row>
    <row r="3030">
      <c r="A3030" s="446" t="s">
        <v>4644</v>
      </c>
    </row>
    <row r="3031">
      <c r="A3031" s="446" t="s">
        <v>4644</v>
      </c>
    </row>
    <row r="3032">
      <c r="A3032" s="446" t="s">
        <v>4644</v>
      </c>
    </row>
    <row r="3033">
      <c r="A3033" s="446" t="s">
        <v>6479</v>
      </c>
    </row>
    <row r="3034">
      <c r="A3034" s="446" t="s">
        <v>6479</v>
      </c>
    </row>
    <row r="3035">
      <c r="A3035" s="446" t="s">
        <v>6479</v>
      </c>
    </row>
    <row r="3036">
      <c r="A3036" s="446" t="s">
        <v>6479</v>
      </c>
    </row>
    <row r="3037">
      <c r="A3037" s="446" t="s">
        <v>7750</v>
      </c>
    </row>
    <row r="3038">
      <c r="A3038" s="446" t="s">
        <v>7750</v>
      </c>
    </row>
    <row r="3039">
      <c r="A3039" s="446" t="s">
        <v>7750</v>
      </c>
    </row>
    <row r="3040">
      <c r="A3040" s="446" t="s">
        <v>7750</v>
      </c>
    </row>
    <row r="3041">
      <c r="A3041" s="446" t="s">
        <v>7750</v>
      </c>
    </row>
    <row r="3042">
      <c r="A3042" s="446" t="s">
        <v>6481</v>
      </c>
    </row>
    <row r="3043">
      <c r="A3043" s="446" t="s">
        <v>7749</v>
      </c>
    </row>
    <row r="3044">
      <c r="A3044" s="446" t="s">
        <v>7748</v>
      </c>
    </row>
    <row r="3045">
      <c r="A3045" s="446" t="s">
        <v>4633</v>
      </c>
    </row>
    <row r="3046">
      <c r="A3046" s="446" t="s">
        <v>7744</v>
      </c>
    </row>
    <row r="3047">
      <c r="A3047" s="446" t="s">
        <v>7747</v>
      </c>
    </row>
    <row r="3048">
      <c r="A3048" s="446" t="s">
        <v>4633</v>
      </c>
    </row>
    <row r="3049">
      <c r="A3049" s="446" t="s">
        <v>4633</v>
      </c>
    </row>
    <row r="3050">
      <c r="A3050" s="446" t="s">
        <v>7744</v>
      </c>
    </row>
    <row r="3051">
      <c r="A3051" s="446" t="s">
        <v>7744</v>
      </c>
    </row>
    <row r="3052">
      <c r="A3052" s="446" t="s">
        <v>7742</v>
      </c>
    </row>
    <row r="3053">
      <c r="A3053" s="446" t="s">
        <v>7742</v>
      </c>
    </row>
    <row r="3054">
      <c r="A3054" s="446" t="s">
        <v>6487</v>
      </c>
    </row>
    <row r="3055">
      <c r="A3055" s="446" t="s">
        <v>6487</v>
      </c>
    </row>
    <row r="3056">
      <c r="A3056" s="446" t="s">
        <v>6487</v>
      </c>
    </row>
    <row r="3057">
      <c r="A3057" s="446" t="s">
        <v>6487</v>
      </c>
    </row>
    <row r="3058">
      <c r="A3058" s="446" t="s">
        <v>6485</v>
      </c>
    </row>
    <row r="3059">
      <c r="A3059" s="446" t="s">
        <v>6485</v>
      </c>
    </row>
    <row r="3060">
      <c r="A3060" s="446" t="s">
        <v>6485</v>
      </c>
    </row>
    <row r="3061">
      <c r="A3061" s="446" t="s">
        <v>6485</v>
      </c>
    </row>
    <row r="3062">
      <c r="A3062" s="446" t="s">
        <v>6485</v>
      </c>
    </row>
    <row r="3063">
      <c r="A3063" s="446" t="s">
        <v>6483</v>
      </c>
    </row>
    <row r="3064">
      <c r="A3064" s="446" t="s">
        <v>6483</v>
      </c>
    </row>
    <row r="3065">
      <c r="A3065" s="446" t="s">
        <v>6483</v>
      </c>
    </row>
    <row r="3066">
      <c r="A3066" s="446" t="s">
        <v>6491</v>
      </c>
    </row>
    <row r="3067">
      <c r="A3067" s="446" t="s">
        <v>6491</v>
      </c>
    </row>
    <row r="3068">
      <c r="A3068" s="446" t="s">
        <v>6491</v>
      </c>
    </row>
    <row r="3069">
      <c r="A3069" s="446" t="s">
        <v>6491</v>
      </c>
    </row>
    <row r="3070">
      <c r="A3070" s="446" t="s">
        <v>6491</v>
      </c>
    </row>
    <row r="3071">
      <c r="A3071" s="446" t="s">
        <v>6489</v>
      </c>
    </row>
    <row r="3072">
      <c r="A3072" s="446" t="s">
        <v>6489</v>
      </c>
    </row>
    <row r="3073">
      <c r="A3073" s="446" t="s">
        <v>6489</v>
      </c>
    </row>
    <row r="3074">
      <c r="A3074" s="446" t="s">
        <v>7738</v>
      </c>
    </row>
    <row r="3075">
      <c r="A3075" s="446" t="s">
        <v>7738</v>
      </c>
    </row>
    <row r="3076">
      <c r="A3076" s="446" t="s">
        <v>7738</v>
      </c>
    </row>
    <row r="3077">
      <c r="A3077" s="446" t="s">
        <v>6493</v>
      </c>
    </row>
    <row r="3078">
      <c r="A3078" s="446" t="s">
        <v>6493</v>
      </c>
    </row>
    <row r="3079">
      <c r="A3079" s="446" t="s">
        <v>6493</v>
      </c>
    </row>
    <row r="3080">
      <c r="A3080" s="446" t="s">
        <v>6493</v>
      </c>
    </row>
    <row r="3081">
      <c r="A3081" s="446" t="s">
        <v>7736</v>
      </c>
    </row>
    <row r="3082">
      <c r="A3082" s="446" t="s">
        <v>7735</v>
      </c>
    </row>
    <row r="3083">
      <c r="A3083" s="446" t="s">
        <v>6495</v>
      </c>
    </row>
    <row r="3084">
      <c r="A3084" s="446" t="s">
        <v>6495</v>
      </c>
    </row>
    <row r="3085">
      <c r="A3085" s="446" t="s">
        <v>6495</v>
      </c>
    </row>
    <row r="3086">
      <c r="A3086" s="446" t="s">
        <v>6495</v>
      </c>
    </row>
    <row r="3087">
      <c r="A3087" s="446" t="s">
        <v>7733</v>
      </c>
    </row>
    <row r="3088">
      <c r="A3088" s="446" t="s">
        <v>7733</v>
      </c>
    </row>
    <row r="3089">
      <c r="A3089" s="446" t="s">
        <v>7731</v>
      </c>
    </row>
    <row r="3090">
      <c r="A3090" s="446" t="s">
        <v>7731</v>
      </c>
    </row>
    <row r="3091">
      <c r="A3091" s="446" t="s">
        <v>7731</v>
      </c>
    </row>
    <row r="3092">
      <c r="A3092" s="446" t="s">
        <v>7731</v>
      </c>
    </row>
    <row r="3093">
      <c r="A3093" s="446" t="s">
        <v>6501</v>
      </c>
    </row>
    <row r="3094">
      <c r="A3094" s="446" t="s">
        <v>6501</v>
      </c>
    </row>
    <row r="3095">
      <c r="A3095" s="446" t="s">
        <v>6501</v>
      </c>
    </row>
    <row r="3096">
      <c r="A3096" s="446" t="s">
        <v>6501</v>
      </c>
    </row>
    <row r="3097">
      <c r="A3097" s="446" t="s">
        <v>6501</v>
      </c>
    </row>
    <row r="3098">
      <c r="A3098" s="446" t="s">
        <v>6499</v>
      </c>
    </row>
    <row r="3099">
      <c r="A3099" s="446" t="s">
        <v>6499</v>
      </c>
    </row>
    <row r="3100">
      <c r="A3100" s="446" t="s">
        <v>7725</v>
      </c>
    </row>
    <row r="3101">
      <c r="A3101" s="446" t="s">
        <v>7725</v>
      </c>
    </row>
    <row r="3102">
      <c r="A3102" s="446" t="s">
        <v>7725</v>
      </c>
    </row>
    <row r="3103">
      <c r="A3103" s="446" t="s">
        <v>7725</v>
      </c>
    </row>
    <row r="3104">
      <c r="A3104" s="446" t="s">
        <v>7725</v>
      </c>
    </row>
    <row r="3105">
      <c r="A3105" s="446" t="s">
        <v>6503</v>
      </c>
    </row>
    <row r="3106">
      <c r="A3106" s="446" t="s">
        <v>6503</v>
      </c>
    </row>
    <row r="3107">
      <c r="A3107" s="446" t="s">
        <v>6503</v>
      </c>
    </row>
    <row r="3108">
      <c r="A3108" s="446" t="s">
        <v>7723</v>
      </c>
    </row>
    <row r="3109">
      <c r="A3109" s="446" t="s">
        <v>7723</v>
      </c>
    </row>
    <row r="3110">
      <c r="A3110" s="446" t="s">
        <v>6504</v>
      </c>
    </row>
    <row r="3111">
      <c r="A3111" s="446" t="s">
        <v>6506</v>
      </c>
    </row>
    <row r="3112">
      <c r="A3112" s="446" t="s">
        <v>6506</v>
      </c>
    </row>
    <row r="3113">
      <c r="A3113" s="446" t="s">
        <v>6506</v>
      </c>
    </row>
    <row r="3114">
      <c r="A3114" s="446" t="s">
        <v>6506</v>
      </c>
    </row>
    <row r="3115">
      <c r="A3115" s="446" t="s">
        <v>6506</v>
      </c>
    </row>
    <row r="3116">
      <c r="A3116" s="446" t="s">
        <v>4621</v>
      </c>
    </row>
    <row r="3117">
      <c r="A3117" s="446" t="s">
        <v>4621</v>
      </c>
    </row>
    <row r="3118">
      <c r="A3118" s="446" t="s">
        <v>4621</v>
      </c>
    </row>
    <row r="3119">
      <c r="A3119" s="446" t="s">
        <v>4621</v>
      </c>
    </row>
    <row r="3120">
      <c r="A3120" s="446" t="s">
        <v>6508</v>
      </c>
    </row>
    <row r="3121">
      <c r="A3121" s="446" t="s">
        <v>6508</v>
      </c>
    </row>
    <row r="3122">
      <c r="A3122" s="446" t="s">
        <v>6508</v>
      </c>
    </row>
    <row r="3123">
      <c r="A3123" s="446" t="s">
        <v>6508</v>
      </c>
    </row>
    <row r="3124">
      <c r="A3124" s="446" t="s">
        <v>6508</v>
      </c>
    </row>
    <row r="3125">
      <c r="A3125" s="446" t="s">
        <v>6509</v>
      </c>
    </row>
    <row r="3126">
      <c r="A3126" s="446" t="s">
        <v>6509</v>
      </c>
    </row>
    <row r="3127">
      <c r="A3127" s="446" t="s">
        <v>6509</v>
      </c>
    </row>
    <row r="3128">
      <c r="A3128" s="446" t="s">
        <v>7718</v>
      </c>
    </row>
    <row r="3129">
      <c r="A3129" s="446" t="s">
        <v>6513</v>
      </c>
    </row>
    <row r="3130">
      <c r="A3130" s="446" t="s">
        <v>6511</v>
      </c>
    </row>
    <row r="3131">
      <c r="A3131" s="446" t="s">
        <v>6511</v>
      </c>
    </row>
    <row r="3132">
      <c r="A3132" s="446" t="s">
        <v>6511</v>
      </c>
    </row>
    <row r="3133">
      <c r="A3133" s="446" t="s">
        <v>6511</v>
      </c>
    </row>
    <row r="3134">
      <c r="A3134" s="446" t="s">
        <v>6511</v>
      </c>
    </row>
    <row r="3135">
      <c r="A3135" s="446" t="s">
        <v>7717</v>
      </c>
    </row>
    <row r="3136">
      <c r="A3136" s="446" t="s">
        <v>7717</v>
      </c>
    </row>
    <row r="3137">
      <c r="A3137" s="446" t="s">
        <v>6515</v>
      </c>
    </row>
    <row r="3138">
      <c r="A3138" s="446" t="s">
        <v>6515</v>
      </c>
    </row>
    <row r="3139">
      <c r="A3139" s="446" t="s">
        <v>6515</v>
      </c>
    </row>
    <row r="3140">
      <c r="A3140" s="446" t="s">
        <v>6515</v>
      </c>
    </row>
    <row r="3141">
      <c r="A3141" s="446" t="s">
        <v>6515</v>
      </c>
    </row>
    <row r="3142">
      <c r="A3142" s="446" t="s">
        <v>6515</v>
      </c>
    </row>
    <row r="3143">
      <c r="A3143" s="446" t="s">
        <v>7703</v>
      </c>
    </row>
    <row r="3144">
      <c r="A3144" s="446" t="s">
        <v>7808</v>
      </c>
    </row>
    <row r="3145">
      <c r="A3145" s="446" t="s">
        <v>7809</v>
      </c>
    </row>
    <row r="3146">
      <c r="A3146" s="446" t="s">
        <v>7808</v>
      </c>
    </row>
    <row r="3147">
      <c r="A3147" s="446" t="s">
        <v>7808</v>
      </c>
    </row>
    <row r="3148">
      <c r="A3148" s="446" t="s">
        <v>7809</v>
      </c>
    </row>
    <row r="3149">
      <c r="A3149" s="446" t="s">
        <v>7809</v>
      </c>
    </row>
    <row r="3150">
      <c r="A3150" s="446" t="s">
        <v>7701</v>
      </c>
    </row>
    <row r="3151">
      <c r="A3151" s="446" t="s">
        <v>7701</v>
      </c>
    </row>
    <row r="3152">
      <c r="A3152" s="446" t="s">
        <v>7700</v>
      </c>
    </row>
    <row r="3153">
      <c r="A3153" s="446" t="s">
        <v>7699</v>
      </c>
    </row>
    <row r="3154">
      <c r="A3154" s="446" t="s">
        <v>7699</v>
      </c>
    </row>
    <row r="3155">
      <c r="A3155" s="446" t="s">
        <v>7699</v>
      </c>
    </row>
    <row r="3156">
      <c r="A3156" s="446" t="s">
        <v>7699</v>
      </c>
    </row>
    <row r="3157">
      <c r="A3157" s="446" t="s">
        <v>7698</v>
      </c>
    </row>
    <row r="3158">
      <c r="A3158" s="446" t="s">
        <v>7697</v>
      </c>
    </row>
    <row r="3159">
      <c r="A3159" s="446" t="s">
        <v>8222</v>
      </c>
    </row>
    <row r="3160">
      <c r="A3160" s="446" t="s">
        <v>7693</v>
      </c>
    </row>
    <row r="3161">
      <c r="A3161" s="446" t="s">
        <v>7693</v>
      </c>
    </row>
    <row r="3162">
      <c r="A3162" s="446" t="s">
        <v>7696</v>
      </c>
    </row>
    <row r="3163">
      <c r="A3163" s="446" t="s">
        <v>7696</v>
      </c>
    </row>
    <row r="3164">
      <c r="A3164" s="446" t="s">
        <v>7695</v>
      </c>
    </row>
    <row r="3165">
      <c r="A3165" s="446" t="s">
        <v>7695</v>
      </c>
    </row>
    <row r="3166">
      <c r="A3166" s="446" t="s">
        <v>7695</v>
      </c>
    </row>
    <row r="3167">
      <c r="A3167" s="446" t="s">
        <v>7695</v>
      </c>
    </row>
    <row r="3168">
      <c r="A3168" s="446" t="s">
        <v>7695</v>
      </c>
    </row>
    <row r="3169">
      <c r="A3169" s="446" t="s">
        <v>7690</v>
      </c>
    </row>
    <row r="3170">
      <c r="A3170" s="446" t="s">
        <v>7690</v>
      </c>
    </row>
    <row r="3171">
      <c r="A3171" s="446" t="s">
        <v>7690</v>
      </c>
    </row>
    <row r="3172">
      <c r="A3172" s="446" t="s">
        <v>7692</v>
      </c>
    </row>
    <row r="3173">
      <c r="A3173" s="446" t="s">
        <v>7692</v>
      </c>
    </row>
    <row r="3174">
      <c r="A3174" s="446" t="s">
        <v>7692</v>
      </c>
    </row>
    <row r="3175">
      <c r="A3175" s="446" t="s">
        <v>7692</v>
      </c>
    </row>
    <row r="3176">
      <c r="A3176" s="446" t="s">
        <v>7692</v>
      </c>
    </row>
    <row r="3177">
      <c r="A3177" s="446" t="s">
        <v>7689</v>
      </c>
    </row>
    <row r="3178">
      <c r="A3178" s="446" t="s">
        <v>7689</v>
      </c>
    </row>
    <row r="3179">
      <c r="A3179" s="446" t="s">
        <v>7689</v>
      </c>
    </row>
    <row r="3180">
      <c r="A3180" s="446" t="s">
        <v>7689</v>
      </c>
    </row>
    <row r="3181">
      <c r="A3181" s="446" t="s">
        <v>7689</v>
      </c>
    </row>
    <row r="3182">
      <c r="A3182" s="446" t="s">
        <v>7688</v>
      </c>
    </row>
    <row r="3183">
      <c r="A3183" s="446" t="s">
        <v>7688</v>
      </c>
    </row>
    <row r="3184">
      <c r="A3184" s="446" t="s">
        <v>7685</v>
      </c>
    </row>
    <row r="3185">
      <c r="A3185" s="446" t="s">
        <v>7685</v>
      </c>
    </row>
    <row r="3186">
      <c r="A3186" s="446" t="s">
        <v>7685</v>
      </c>
    </row>
    <row r="3187">
      <c r="A3187" s="446" t="s">
        <v>7685</v>
      </c>
    </row>
    <row r="3188">
      <c r="A3188" s="446" t="s">
        <v>7685</v>
      </c>
    </row>
    <row r="3189">
      <c r="A3189" s="446" t="s">
        <v>7681</v>
      </c>
    </row>
    <row r="3190">
      <c r="A3190" s="446" t="s">
        <v>7681</v>
      </c>
    </row>
    <row r="3191">
      <c r="A3191" s="446" t="s">
        <v>7681</v>
      </c>
    </row>
    <row r="3192">
      <c r="A3192" s="446" t="s">
        <v>7681</v>
      </c>
    </row>
    <row r="3193">
      <c r="A3193" s="446" t="s">
        <v>6519</v>
      </c>
    </row>
    <row r="3194">
      <c r="A3194" s="446" t="s">
        <v>6519</v>
      </c>
    </row>
    <row r="3195">
      <c r="A3195" s="446" t="s">
        <v>6519</v>
      </c>
    </row>
    <row r="3196">
      <c r="A3196" s="446" t="s">
        <v>4458</v>
      </c>
    </row>
    <row r="3197">
      <c r="A3197" s="446" t="s">
        <v>4458</v>
      </c>
    </row>
    <row r="3198">
      <c r="A3198" s="446" t="s">
        <v>4458</v>
      </c>
    </row>
    <row r="3199">
      <c r="A3199" s="446" t="s">
        <v>7677</v>
      </c>
    </row>
    <row r="3200">
      <c r="A3200" s="446" t="s">
        <v>7675</v>
      </c>
    </row>
    <row r="3201">
      <c r="A3201" s="446" t="s">
        <v>7675</v>
      </c>
    </row>
    <row r="3202">
      <c r="A3202" s="446" t="s">
        <v>7675</v>
      </c>
    </row>
    <row r="3203">
      <c r="A3203" s="446" t="s">
        <v>6522</v>
      </c>
    </row>
    <row r="3204">
      <c r="A3204" s="446" t="s">
        <v>6522</v>
      </c>
    </row>
    <row r="3205">
      <c r="A3205" s="446" t="s">
        <v>6522</v>
      </c>
    </row>
    <row r="3206">
      <c r="A3206" s="446" t="s">
        <v>7673</v>
      </c>
    </row>
    <row r="3207">
      <c r="A3207" s="446" t="s">
        <v>7671</v>
      </c>
    </row>
    <row r="3208">
      <c r="A3208" s="446" t="s">
        <v>7671</v>
      </c>
    </row>
    <row r="3209">
      <c r="A3209" s="446" t="s">
        <v>7671</v>
      </c>
    </row>
    <row r="3210">
      <c r="A3210" s="446" t="s">
        <v>7669</v>
      </c>
    </row>
    <row r="3211">
      <c r="A3211" s="446" t="s">
        <v>6525</v>
      </c>
    </row>
    <row r="3212">
      <c r="A3212" s="446" t="s">
        <v>6527</v>
      </c>
    </row>
    <row r="3213">
      <c r="A3213" s="446" t="s">
        <v>6527</v>
      </c>
    </row>
    <row r="3214">
      <c r="A3214" s="446" t="s">
        <v>6527</v>
      </c>
    </row>
    <row r="3215">
      <c r="A3215" s="446" t="s">
        <v>4433</v>
      </c>
    </row>
    <row r="3216">
      <c r="A3216" s="446" t="s">
        <v>4433</v>
      </c>
    </row>
    <row r="3217">
      <c r="A3217" s="446" t="s">
        <v>6529</v>
      </c>
    </row>
    <row r="3218">
      <c r="A3218" s="446" t="s">
        <v>6529</v>
      </c>
    </row>
    <row r="3219">
      <c r="A3219" s="446" t="s">
        <v>6529</v>
      </c>
    </row>
    <row r="3220">
      <c r="A3220" s="446" t="s">
        <v>6529</v>
      </c>
    </row>
    <row r="3221">
      <c r="A3221" s="446" t="s">
        <v>6529</v>
      </c>
    </row>
    <row r="3222">
      <c r="A3222" s="446" t="s">
        <v>4419</v>
      </c>
    </row>
    <row r="3223">
      <c r="A3223" s="446" t="s">
        <v>4419</v>
      </c>
    </row>
    <row r="3224">
      <c r="A3224" s="446" t="s">
        <v>7659</v>
      </c>
    </row>
    <row r="3225">
      <c r="A3225" s="446" t="s">
        <v>7659</v>
      </c>
    </row>
    <row r="3226">
      <c r="A3226" s="446" t="s">
        <v>7659</v>
      </c>
    </row>
    <row r="3227">
      <c r="A3227" s="446" t="s">
        <v>7657</v>
      </c>
    </row>
    <row r="3228">
      <c r="A3228" s="446" t="s">
        <v>7657</v>
      </c>
    </row>
    <row r="3229">
      <c r="A3229" s="446" t="s">
        <v>7657</v>
      </c>
    </row>
    <row r="3230">
      <c r="A3230" s="446" t="s">
        <v>7657</v>
      </c>
    </row>
    <row r="3231">
      <c r="A3231" s="446" t="s">
        <v>7657</v>
      </c>
    </row>
    <row r="3232">
      <c r="A3232" s="446" t="s">
        <v>8233</v>
      </c>
    </row>
    <row r="3233">
      <c r="A3233" s="446" t="s">
        <v>6532</v>
      </c>
    </row>
    <row r="3234">
      <c r="A3234" s="446" t="s">
        <v>6532</v>
      </c>
    </row>
    <row r="3235">
      <c r="A3235" s="446" t="s">
        <v>6532</v>
      </c>
    </row>
    <row r="3236">
      <c r="A3236" s="446" t="s">
        <v>6534</v>
      </c>
    </row>
    <row r="3237">
      <c r="A3237" s="446" t="s">
        <v>6534</v>
      </c>
    </row>
    <row r="3238">
      <c r="A3238" s="446" t="s">
        <v>6534</v>
      </c>
    </row>
    <row r="3239">
      <c r="A3239" s="446" t="s">
        <v>6534</v>
      </c>
    </row>
    <row r="3240">
      <c r="A3240" s="446" t="s">
        <v>6534</v>
      </c>
    </row>
    <row r="3241">
      <c r="A3241" s="446" t="s">
        <v>7654</v>
      </c>
    </row>
    <row r="3242">
      <c r="A3242" s="446" t="s">
        <v>6536</v>
      </c>
    </row>
    <row r="3243">
      <c r="A3243" s="446" t="s">
        <v>6536</v>
      </c>
    </row>
    <row r="3244">
      <c r="A3244" s="446" t="s">
        <v>6536</v>
      </c>
    </row>
    <row r="3245">
      <c r="A3245" s="446" t="s">
        <v>7653</v>
      </c>
    </row>
    <row r="3246">
      <c r="A3246" s="446" t="s">
        <v>7652</v>
      </c>
    </row>
    <row r="3247">
      <c r="A3247" s="446" t="s">
        <v>4647</v>
      </c>
    </row>
    <row r="3248">
      <c r="A3248" s="446" t="s">
        <v>4647</v>
      </c>
    </row>
    <row r="3249">
      <c r="A3249" s="446" t="s">
        <v>4647</v>
      </c>
    </row>
    <row r="3250">
      <c r="A3250" s="446" t="s">
        <v>6539</v>
      </c>
    </row>
    <row r="3251">
      <c r="A3251" s="446" t="s">
        <v>6539</v>
      </c>
    </row>
    <row r="3252">
      <c r="A3252" s="446" t="s">
        <v>6539</v>
      </c>
    </row>
    <row r="3253">
      <c r="A3253" s="446" t="s">
        <v>6539</v>
      </c>
    </row>
    <row r="3254">
      <c r="A3254" s="446" t="s">
        <v>6541</v>
      </c>
    </row>
    <row r="3255">
      <c r="A3255" s="446" t="s">
        <v>6541</v>
      </c>
    </row>
    <row r="3256">
      <c r="A3256" s="446" t="s">
        <v>6541</v>
      </c>
    </row>
    <row r="3257">
      <c r="A3257" s="446" t="s">
        <v>6541</v>
      </c>
    </row>
    <row r="3258">
      <c r="A3258" s="446" t="s">
        <v>7648</v>
      </c>
    </row>
    <row r="3259">
      <c r="A3259" s="446" t="s">
        <v>7647</v>
      </c>
    </row>
    <row r="3260">
      <c r="A3260" s="446" t="s">
        <v>7647</v>
      </c>
    </row>
    <row r="3261">
      <c r="A3261" s="446" t="s">
        <v>6542</v>
      </c>
    </row>
    <row r="3262">
      <c r="A3262" s="446" t="s">
        <v>6542</v>
      </c>
    </row>
    <row r="3263">
      <c r="A3263" s="446" t="s">
        <v>6544</v>
      </c>
    </row>
    <row r="3264">
      <c r="A3264" s="446" t="s">
        <v>6544</v>
      </c>
    </row>
    <row r="3265">
      <c r="A3265" s="446" t="s">
        <v>6544</v>
      </c>
    </row>
    <row r="3266">
      <c r="A3266" s="446" t="s">
        <v>6544</v>
      </c>
    </row>
    <row r="3267">
      <c r="A3267" s="446" t="s">
        <v>7645</v>
      </c>
    </row>
    <row r="3268">
      <c r="A3268" s="446" t="s">
        <v>7645</v>
      </c>
    </row>
    <row r="3269">
      <c r="A3269" s="446" t="s">
        <v>4638</v>
      </c>
    </row>
    <row r="3270">
      <c r="A3270" s="446" t="s">
        <v>7639</v>
      </c>
    </row>
    <row r="3271">
      <c r="A3271" s="446" t="s">
        <v>7639</v>
      </c>
    </row>
    <row r="3272">
      <c r="A3272" s="446" t="s">
        <v>7638</v>
      </c>
    </row>
    <row r="3273">
      <c r="A3273" s="446" t="s">
        <v>7677</v>
      </c>
    </row>
    <row r="3274">
      <c r="A3274" s="446" t="s">
        <v>7677</v>
      </c>
    </row>
    <row r="3275">
      <c r="A3275" s="446" t="s">
        <v>7677</v>
      </c>
    </row>
    <row r="3276">
      <c r="A3276" s="446" t="s">
        <v>7677</v>
      </c>
    </row>
    <row r="3277">
      <c r="A3277" s="446" t="s">
        <v>7667</v>
      </c>
    </row>
    <row r="3278">
      <c r="A3278" s="446" t="s">
        <v>7667</v>
      </c>
    </row>
    <row r="3279">
      <c r="A3279" s="446" t="s">
        <v>7667</v>
      </c>
    </row>
    <row r="3280">
      <c r="A3280" s="446" t="s">
        <v>7666</v>
      </c>
    </row>
    <row r="3281">
      <c r="A3281" s="446" t="s">
        <v>7666</v>
      </c>
    </row>
    <row r="3282">
      <c r="A3282" s="446" t="s">
        <v>4667</v>
      </c>
    </row>
    <row r="3283">
      <c r="A3283" s="446" t="s">
        <v>4667</v>
      </c>
    </row>
    <row r="3284">
      <c r="A3284" s="446" t="s">
        <v>4667</v>
      </c>
    </row>
    <row r="3285">
      <c r="A3285" s="446" t="s">
        <v>4667</v>
      </c>
    </row>
    <row r="3286">
      <c r="A3286" s="446" t="s">
        <v>4667</v>
      </c>
    </row>
    <row r="3287">
      <c r="A3287" s="446" t="s">
        <v>4638</v>
      </c>
    </row>
    <row r="3288">
      <c r="A3288" s="446" t="s">
        <v>4638</v>
      </c>
    </row>
    <row r="3289">
      <c r="A3289" s="446" t="s">
        <v>7636</v>
      </c>
    </row>
    <row r="3290">
      <c r="A3290" s="446" t="s">
        <v>7684</v>
      </c>
    </row>
    <row r="3291">
      <c r="A3291" s="446" t="s">
        <v>7684</v>
      </c>
    </row>
    <row r="3292">
      <c r="A3292" s="446" t="s">
        <v>7684</v>
      </c>
    </row>
    <row r="3293">
      <c r="A3293" s="446" t="s">
        <v>7684</v>
      </c>
    </row>
    <row r="3294">
      <c r="A3294" s="446" t="s">
        <v>7682</v>
      </c>
    </row>
    <row r="3295">
      <c r="A3295" s="446" t="s">
        <v>7682</v>
      </c>
    </row>
    <row r="3296">
      <c r="A3296" s="446" t="s">
        <v>7682</v>
      </c>
    </row>
    <row r="3297">
      <c r="A3297" s="446" t="s">
        <v>7642</v>
      </c>
    </row>
    <row r="3298">
      <c r="A3298" s="446" t="s">
        <v>6549</v>
      </c>
    </row>
    <row r="3299">
      <c r="A3299" s="446" t="s">
        <v>6549</v>
      </c>
    </row>
    <row r="3300">
      <c r="A3300" s="446" t="s">
        <v>6549</v>
      </c>
    </row>
    <row r="3301">
      <c r="A3301" s="446" t="s">
        <v>6549</v>
      </c>
    </row>
    <row r="3302">
      <c r="A3302" s="446" t="s">
        <v>6549</v>
      </c>
    </row>
    <row r="3303">
      <c r="A3303" s="446" t="s">
        <v>6549</v>
      </c>
    </row>
    <row r="3304">
      <c r="A3304" s="446" t="s">
        <v>6552</v>
      </c>
    </row>
    <row r="3305">
      <c r="A3305" s="446" t="s">
        <v>6552</v>
      </c>
    </row>
    <row r="3306">
      <c r="A3306" s="446" t="s">
        <v>6552</v>
      </c>
    </row>
    <row r="3307">
      <c r="A3307" s="446" t="s">
        <v>6552</v>
      </c>
    </row>
    <row r="3308">
      <c r="A3308" s="446" t="s">
        <v>6552</v>
      </c>
    </row>
    <row r="3309">
      <c r="A3309" s="446" t="s">
        <v>6552</v>
      </c>
    </row>
    <row r="3310">
      <c r="A3310" s="446" t="s">
        <v>6554</v>
      </c>
    </row>
    <row r="3311">
      <c r="A3311" s="446" t="s">
        <v>6554</v>
      </c>
    </row>
    <row r="3312">
      <c r="A3312" s="446" t="s">
        <v>6554</v>
      </c>
    </row>
    <row r="3313">
      <c r="A3313" s="446" t="s">
        <v>6554</v>
      </c>
    </row>
    <row r="3314">
      <c r="A3314" s="446" t="s">
        <v>7633</v>
      </c>
    </row>
    <row r="3315">
      <c r="A3315" s="446" t="s">
        <v>7631</v>
      </c>
    </row>
    <row r="3316">
      <c r="A3316" s="446" t="s">
        <v>7631</v>
      </c>
    </row>
    <row r="3317">
      <c r="A3317" s="446" t="s">
        <v>7631</v>
      </c>
    </row>
    <row r="3318">
      <c r="A3318" s="446" t="s">
        <v>7630</v>
      </c>
    </row>
    <row r="3319">
      <c r="A3319" s="446" t="s">
        <v>7630</v>
      </c>
    </row>
    <row r="3320">
      <c r="A3320" s="446" t="s">
        <v>7630</v>
      </c>
    </row>
    <row r="3321">
      <c r="A3321" s="446" t="s">
        <v>7630</v>
      </c>
    </row>
    <row r="3322">
      <c r="A3322" s="446" t="s">
        <v>7627</v>
      </c>
    </row>
    <row r="3323">
      <c r="A3323" s="446" t="s">
        <v>7627</v>
      </c>
    </row>
    <row r="3324">
      <c r="A3324" s="446" t="s">
        <v>7627</v>
      </c>
    </row>
    <row r="3325">
      <c r="A3325" s="446" t="s">
        <v>7627</v>
      </c>
    </row>
    <row r="3326">
      <c r="A3326" s="446" t="s">
        <v>7625</v>
      </c>
    </row>
    <row r="3327">
      <c r="A3327" s="446" t="s">
        <v>7625</v>
      </c>
    </row>
    <row r="3328">
      <c r="A3328" s="446" t="s">
        <v>6558</v>
      </c>
    </row>
    <row r="3329">
      <c r="A3329" s="446" t="s">
        <v>6558</v>
      </c>
    </row>
    <row r="3330">
      <c r="A3330" s="446" t="s">
        <v>6558</v>
      </c>
    </row>
    <row r="3331">
      <c r="A3331" s="446" t="s">
        <v>6558</v>
      </c>
    </row>
    <row r="3332">
      <c r="A3332" s="446" t="s">
        <v>6558</v>
      </c>
    </row>
    <row r="3333">
      <c r="A3333" s="446" t="s">
        <v>6556</v>
      </c>
    </row>
    <row r="3334">
      <c r="A3334" s="446" t="s">
        <v>6556</v>
      </c>
    </row>
    <row r="3335">
      <c r="A3335" s="446" t="s">
        <v>6556</v>
      </c>
    </row>
    <row r="3336">
      <c r="A3336" s="446" t="s">
        <v>6556</v>
      </c>
    </row>
    <row r="3337">
      <c r="A3337" s="446" t="s">
        <v>6563</v>
      </c>
    </row>
    <row r="3338">
      <c r="A3338" s="446" t="s">
        <v>6563</v>
      </c>
    </row>
    <row r="3339">
      <c r="A3339" s="446" t="s">
        <v>7630</v>
      </c>
    </row>
    <row r="3340">
      <c r="A3340" s="446" t="s">
        <v>6563</v>
      </c>
    </row>
    <row r="3341">
      <c r="A3341" s="446" t="s">
        <v>6560</v>
      </c>
    </row>
    <row r="3342">
      <c r="A3342" s="446" t="s">
        <v>6560</v>
      </c>
    </row>
    <row r="3343">
      <c r="A3343" s="446" t="s">
        <v>6560</v>
      </c>
    </row>
    <row r="3344">
      <c r="A3344" s="446" t="s">
        <v>6560</v>
      </c>
    </row>
    <row r="3345">
      <c r="A3345" s="446" t="s">
        <v>7623</v>
      </c>
    </row>
    <row r="3346">
      <c r="A3346" s="446" t="s">
        <v>7623</v>
      </c>
    </row>
    <row r="3347">
      <c r="A3347" s="446" t="s">
        <v>7622</v>
      </c>
    </row>
    <row r="3348">
      <c r="A3348" s="446" t="s">
        <v>7621</v>
      </c>
    </row>
    <row r="3349">
      <c r="A3349" s="446" t="s">
        <v>6565</v>
      </c>
    </row>
    <row r="3350">
      <c r="A3350" s="446" t="s">
        <v>6565</v>
      </c>
    </row>
    <row r="3351">
      <c r="A3351" s="446" t="s">
        <v>6567</v>
      </c>
    </row>
    <row r="3352">
      <c r="A3352" s="446" t="s">
        <v>6567</v>
      </c>
    </row>
    <row r="3353">
      <c r="A3353" s="446" t="s">
        <v>7620</v>
      </c>
    </row>
    <row r="3354">
      <c r="A3354" s="446" t="s">
        <v>7620</v>
      </c>
    </row>
    <row r="3355">
      <c r="A3355" s="446" t="s">
        <v>6569</v>
      </c>
    </row>
    <row r="3356">
      <c r="A3356" s="446" t="s">
        <v>6569</v>
      </c>
    </row>
    <row r="3357">
      <c r="A3357" s="446" t="s">
        <v>6569</v>
      </c>
    </row>
    <row r="3358">
      <c r="A3358" s="446" t="s">
        <v>6569</v>
      </c>
    </row>
    <row r="3359">
      <c r="A3359" s="446" t="s">
        <v>7617</v>
      </c>
    </row>
    <row r="3360">
      <c r="A3360" s="446" t="s">
        <v>7617</v>
      </c>
    </row>
    <row r="3361">
      <c r="A3361" s="446" t="s">
        <v>7616</v>
      </c>
    </row>
    <row r="3362">
      <c r="A3362" s="446" t="s">
        <v>7615</v>
      </c>
    </row>
    <row r="3363">
      <c r="A3363" s="446" t="s">
        <v>7615</v>
      </c>
    </row>
    <row r="3364">
      <c r="A3364" s="446" t="s">
        <v>7615</v>
      </c>
    </row>
    <row r="3365">
      <c r="A3365" s="446" t="s">
        <v>7615</v>
      </c>
    </row>
    <row r="3366">
      <c r="A3366" s="446" t="s">
        <v>7615</v>
      </c>
    </row>
    <row r="3367">
      <c r="A3367" s="446" t="s">
        <v>7615</v>
      </c>
    </row>
    <row r="3368">
      <c r="A3368" s="446" t="s">
        <v>7613</v>
      </c>
    </row>
    <row r="3369">
      <c r="A3369" s="446" t="s">
        <v>7613</v>
      </c>
    </row>
    <row r="3370">
      <c r="A3370" s="446" t="s">
        <v>7613</v>
      </c>
    </row>
    <row r="3371">
      <c r="A3371" s="446" t="s">
        <v>7611</v>
      </c>
    </row>
    <row r="3372">
      <c r="A3372" s="446" t="s">
        <v>7611</v>
      </c>
    </row>
    <row r="3373">
      <c r="A3373" s="446" t="s">
        <v>7611</v>
      </c>
    </row>
    <row r="3374">
      <c r="A3374" s="446" t="s">
        <v>7611</v>
      </c>
    </row>
    <row r="3375">
      <c r="A3375" s="446" t="s">
        <v>6573</v>
      </c>
    </row>
    <row r="3376">
      <c r="A3376" s="446" t="s">
        <v>6573</v>
      </c>
    </row>
    <row r="3377">
      <c r="A3377" s="446" t="s">
        <v>6573</v>
      </c>
    </row>
    <row r="3378">
      <c r="A3378" s="446" t="s">
        <v>6573</v>
      </c>
    </row>
    <row r="3379">
      <c r="A3379" s="446" t="s">
        <v>6573</v>
      </c>
    </row>
    <row r="3380">
      <c r="A3380" s="446" t="s">
        <v>6571</v>
      </c>
    </row>
    <row r="3381">
      <c r="A3381" s="446" t="s">
        <v>6571</v>
      </c>
    </row>
    <row r="3382">
      <c r="A3382" s="446" t="s">
        <v>7608</v>
      </c>
    </row>
    <row r="3383">
      <c r="A3383" s="446" t="s">
        <v>6575</v>
      </c>
    </row>
    <row r="3384">
      <c r="A3384" s="446" t="s">
        <v>6575</v>
      </c>
    </row>
    <row r="3385">
      <c r="A3385" s="446" t="s">
        <v>6575</v>
      </c>
    </row>
    <row r="3386">
      <c r="A3386" s="446" t="s">
        <v>6575</v>
      </c>
    </row>
    <row r="3387">
      <c r="A3387" s="446" t="s">
        <v>6575</v>
      </c>
    </row>
    <row r="3388">
      <c r="A3388" s="446" t="s">
        <v>6575</v>
      </c>
    </row>
    <row r="3389">
      <c r="A3389" s="446" t="s">
        <v>6575</v>
      </c>
    </row>
    <row r="3390">
      <c r="A3390" s="446" t="s">
        <v>4351</v>
      </c>
    </row>
    <row r="3391">
      <c r="A3391" s="446" t="s">
        <v>4351</v>
      </c>
    </row>
    <row r="3392">
      <c r="A3392" s="446" t="s">
        <v>7604</v>
      </c>
    </row>
    <row r="3393">
      <c r="A3393" s="446" t="s">
        <v>7604</v>
      </c>
    </row>
    <row r="3394">
      <c r="A3394" s="446" t="s">
        <v>7604</v>
      </c>
    </row>
    <row r="3395">
      <c r="A3395" s="446" t="s">
        <v>7604</v>
      </c>
    </row>
    <row r="3396">
      <c r="A3396" s="446" t="s">
        <v>7604</v>
      </c>
    </row>
    <row r="3397">
      <c r="A3397" s="446" t="s">
        <v>7604</v>
      </c>
    </row>
    <row r="3398">
      <c r="A3398" s="446" t="s">
        <v>7604</v>
      </c>
    </row>
    <row r="3399">
      <c r="A3399" s="446" t="s">
        <v>7606</v>
      </c>
    </row>
    <row r="3400">
      <c r="A3400" s="446" t="s">
        <v>7606</v>
      </c>
    </row>
    <row r="3401">
      <c r="A3401" s="446" t="s">
        <v>6580</v>
      </c>
    </row>
    <row r="3402">
      <c r="A3402" s="446" t="s">
        <v>6580</v>
      </c>
    </row>
    <row r="3403">
      <c r="A3403" s="446" t="s">
        <v>6580</v>
      </c>
    </row>
    <row r="3404">
      <c r="A3404" s="446" t="s">
        <v>6577</v>
      </c>
    </row>
    <row r="3405">
      <c r="A3405" s="446" t="s">
        <v>6577</v>
      </c>
    </row>
    <row r="3406">
      <c r="A3406" s="446" t="s">
        <v>7600</v>
      </c>
    </row>
    <row r="3407">
      <c r="A3407" s="446" t="s">
        <v>7600</v>
      </c>
    </row>
    <row r="3408">
      <c r="A3408" s="446" t="s">
        <v>7599</v>
      </c>
    </row>
    <row r="3409">
      <c r="A3409" s="446" t="s">
        <v>7599</v>
      </c>
    </row>
    <row r="3410">
      <c r="A3410" s="446" t="s">
        <v>7599</v>
      </c>
    </row>
    <row r="3411">
      <c r="A3411" s="446" t="s">
        <v>7599</v>
      </c>
    </row>
    <row r="3412">
      <c r="A3412" s="446" t="s">
        <v>7599</v>
      </c>
    </row>
    <row r="3413">
      <c r="A3413" s="446" t="s">
        <v>7599</v>
      </c>
    </row>
    <row r="3414">
      <c r="A3414" s="446" t="s">
        <v>6582</v>
      </c>
    </row>
    <row r="3415">
      <c r="A3415" s="446" t="s">
        <v>6582</v>
      </c>
    </row>
    <row r="3416">
      <c r="A3416" s="446" t="s">
        <v>6582</v>
      </c>
    </row>
    <row r="3417">
      <c r="A3417" s="446" t="s">
        <v>6582</v>
      </c>
    </row>
    <row r="3418">
      <c r="A3418" s="446" t="s">
        <v>7595</v>
      </c>
    </row>
    <row r="3419">
      <c r="A3419" s="446" t="s">
        <v>7595</v>
      </c>
    </row>
    <row r="3420">
      <c r="A3420" s="446" t="s">
        <v>7595</v>
      </c>
    </row>
    <row r="3421">
      <c r="A3421" s="446" t="s">
        <v>7594</v>
      </c>
    </row>
    <row r="3422">
      <c r="A3422" s="446" t="s">
        <v>7591</v>
      </c>
    </row>
    <row r="3423">
      <c r="A3423" s="446" t="s">
        <v>7591</v>
      </c>
    </row>
    <row r="3424">
      <c r="A3424" s="446" t="s">
        <v>7593</v>
      </c>
    </row>
    <row r="3425">
      <c r="A3425" s="446" t="s">
        <v>7593</v>
      </c>
    </row>
    <row r="3426">
      <c r="A3426" s="446" t="s">
        <v>7593</v>
      </c>
    </row>
    <row r="3427">
      <c r="A3427" s="446" t="s">
        <v>6584</v>
      </c>
    </row>
    <row r="3428">
      <c r="A3428" s="446" t="s">
        <v>6584</v>
      </c>
    </row>
    <row r="3429">
      <c r="A3429" s="446" t="s">
        <v>7591</v>
      </c>
    </row>
    <row r="3430">
      <c r="A3430" s="446" t="s">
        <v>7591</v>
      </c>
    </row>
    <row r="3431">
      <c r="A3431" s="446" t="s">
        <v>7591</v>
      </c>
    </row>
    <row r="3432">
      <c r="A3432" s="446" t="s">
        <v>7591</v>
      </c>
    </row>
    <row r="3433">
      <c r="A3433" s="446" t="s">
        <v>7589</v>
      </c>
    </row>
    <row r="3434">
      <c r="A3434" s="446" t="s">
        <v>7586</v>
      </c>
    </row>
    <row r="3435">
      <c r="A3435" s="446" t="s">
        <v>7586</v>
      </c>
    </row>
    <row r="3436">
      <c r="A3436" s="446" t="s">
        <v>7586</v>
      </c>
    </row>
    <row r="3437">
      <c r="A3437" s="446" t="s">
        <v>7581</v>
      </c>
    </row>
    <row r="3438">
      <c r="A3438" s="446" t="s">
        <v>7581</v>
      </c>
    </row>
    <row r="3439">
      <c r="A3439" s="446" t="s">
        <v>7574</v>
      </c>
    </row>
    <row r="3440">
      <c r="A3440" s="446" t="s">
        <v>7574</v>
      </c>
    </row>
    <row r="3441">
      <c r="A3441" s="446" t="s">
        <v>7574</v>
      </c>
    </row>
    <row r="3442">
      <c r="A3442" s="446" t="s">
        <v>7574</v>
      </c>
    </row>
    <row r="3443">
      <c r="A3443" s="446" t="s">
        <v>7568</v>
      </c>
    </row>
    <row r="3444">
      <c r="A3444" s="446" t="s">
        <v>7568</v>
      </c>
    </row>
    <row r="3445">
      <c r="A3445" s="446" t="s">
        <v>7568</v>
      </c>
    </row>
    <row r="3446">
      <c r="A3446" s="446" t="s">
        <v>4327</v>
      </c>
    </row>
    <row r="3447">
      <c r="A3447" s="446" t="s">
        <v>4327</v>
      </c>
    </row>
    <row r="3448">
      <c r="A3448" s="446" t="s">
        <v>4327</v>
      </c>
    </row>
    <row r="3449">
      <c r="A3449" s="446" t="s">
        <v>4327</v>
      </c>
    </row>
    <row r="3450">
      <c r="A3450" s="446" t="s">
        <v>4327</v>
      </c>
    </row>
    <row r="3451">
      <c r="A3451" s="446" t="s">
        <v>4327</v>
      </c>
    </row>
    <row r="3452">
      <c r="A3452" s="446" t="s">
        <v>4327</v>
      </c>
    </row>
    <row r="3453">
      <c r="A3453" s="446" t="s">
        <v>7580</v>
      </c>
    </row>
    <row r="3454">
      <c r="A3454" s="446" t="s">
        <v>7580</v>
      </c>
    </row>
    <row r="3455">
      <c r="A3455" s="446" t="s">
        <v>7580</v>
      </c>
    </row>
    <row r="3456">
      <c r="A3456" s="446" t="s">
        <v>7580</v>
      </c>
    </row>
    <row r="3457">
      <c r="A3457" s="446" t="s">
        <v>7580</v>
      </c>
    </row>
    <row r="3458">
      <c r="A3458" s="446" t="s">
        <v>7580</v>
      </c>
    </row>
    <row r="3459">
      <c r="A3459" s="446" t="s">
        <v>6586</v>
      </c>
    </row>
    <row r="3460">
      <c r="A3460" s="446" t="s">
        <v>6586</v>
      </c>
    </row>
    <row r="3461">
      <c r="A3461" s="446" t="s">
        <v>6586</v>
      </c>
    </row>
    <row r="3462">
      <c r="A3462" s="446" t="s">
        <v>6586</v>
      </c>
    </row>
    <row r="3463">
      <c r="A3463" s="446" t="s">
        <v>6586</v>
      </c>
    </row>
    <row r="3464">
      <c r="A3464" s="446" t="s">
        <v>7567</v>
      </c>
    </row>
    <row r="3465">
      <c r="A3465" s="446" t="s">
        <v>6591</v>
      </c>
    </row>
    <row r="3466">
      <c r="A3466" s="446" t="s">
        <v>6591</v>
      </c>
    </row>
    <row r="3467">
      <c r="A3467" s="446" t="s">
        <v>6591</v>
      </c>
    </row>
    <row r="3468">
      <c r="A3468" s="446" t="s">
        <v>6591</v>
      </c>
    </row>
    <row r="3469">
      <c r="A3469" s="446" t="s">
        <v>6591</v>
      </c>
    </row>
    <row r="3470">
      <c r="A3470" s="446" t="s">
        <v>6589</v>
      </c>
    </row>
    <row r="3471">
      <c r="A3471" s="446" t="s">
        <v>6589</v>
      </c>
    </row>
    <row r="3472">
      <c r="A3472" s="446" t="s">
        <v>6589</v>
      </c>
    </row>
    <row r="3473">
      <c r="A3473" s="446" t="s">
        <v>6589</v>
      </c>
    </row>
    <row r="3474">
      <c r="A3474" s="446" t="s">
        <v>6589</v>
      </c>
    </row>
    <row r="3475">
      <c r="A3475" s="446" t="s">
        <v>6589</v>
      </c>
    </row>
    <row r="3476">
      <c r="A3476" s="446" t="s">
        <v>7571</v>
      </c>
    </row>
    <row r="3477">
      <c r="A3477" s="446" t="s">
        <v>7571</v>
      </c>
    </row>
    <row r="3478">
      <c r="A3478" s="446" t="s">
        <v>7571</v>
      </c>
    </row>
    <row r="3479">
      <c r="A3479" s="446" t="s">
        <v>7571</v>
      </c>
    </row>
    <row r="3480">
      <c r="A3480" s="446" t="s">
        <v>7566</v>
      </c>
    </row>
    <row r="3481">
      <c r="A3481" s="446" t="s">
        <v>7566</v>
      </c>
    </row>
    <row r="3482">
      <c r="A3482" s="446" t="s">
        <v>7583</v>
      </c>
    </row>
    <row r="3483">
      <c r="A3483" s="446" t="s">
        <v>7578</v>
      </c>
    </row>
    <row r="3484">
      <c r="A3484" s="446" t="s">
        <v>7578</v>
      </c>
    </row>
    <row r="3485">
      <c r="A3485" s="446" t="s">
        <v>7578</v>
      </c>
    </row>
    <row r="3486">
      <c r="A3486" s="446" t="s">
        <v>7578</v>
      </c>
    </row>
    <row r="3487">
      <c r="A3487" s="446" t="s">
        <v>6595</v>
      </c>
    </row>
    <row r="3488">
      <c r="A3488" s="446" t="s">
        <v>6595</v>
      </c>
    </row>
    <row r="3489">
      <c r="A3489" s="446" t="s">
        <v>6595</v>
      </c>
    </row>
    <row r="3490">
      <c r="A3490" s="446" t="s">
        <v>6595</v>
      </c>
    </row>
    <row r="3491">
      <c r="A3491" s="446" t="s">
        <v>6595</v>
      </c>
    </row>
    <row r="3492">
      <c r="A3492" s="446" t="s">
        <v>7576</v>
      </c>
    </row>
    <row r="3493">
      <c r="A3493" s="446" t="s">
        <v>7569</v>
      </c>
    </row>
    <row r="3494">
      <c r="A3494" s="446" t="s">
        <v>7569</v>
      </c>
    </row>
    <row r="3495">
      <c r="A3495" s="446" t="s">
        <v>7569</v>
      </c>
    </row>
    <row r="3496">
      <c r="A3496" s="446" t="s">
        <v>7569</v>
      </c>
    </row>
    <row r="3497">
      <c r="A3497" s="446" t="s">
        <v>7563</v>
      </c>
    </row>
    <row r="3498">
      <c r="A3498" s="446" t="s">
        <v>7563</v>
      </c>
    </row>
    <row r="3499">
      <c r="A3499" s="446" t="s">
        <v>7563</v>
      </c>
    </row>
    <row r="3500">
      <c r="A3500" s="446" t="s">
        <v>7562</v>
      </c>
    </row>
    <row r="3501">
      <c r="A3501" s="446" t="s">
        <v>7562</v>
      </c>
    </row>
    <row r="3502">
      <c r="A3502" s="446" t="s">
        <v>6597</v>
      </c>
    </row>
    <row r="3503">
      <c r="A3503" s="446" t="s">
        <v>6597</v>
      </c>
    </row>
    <row r="3504">
      <c r="A3504" s="446" t="s">
        <v>6597</v>
      </c>
    </row>
    <row r="3505">
      <c r="A3505" s="446" t="s">
        <v>6597</v>
      </c>
    </row>
    <row r="3506">
      <c r="A3506" s="446" t="s">
        <v>6597</v>
      </c>
    </row>
    <row r="3507">
      <c r="A3507" s="446" t="s">
        <v>6597</v>
      </c>
    </row>
    <row r="3508">
      <c r="A3508" s="446" t="s">
        <v>7560</v>
      </c>
    </row>
    <row r="3509">
      <c r="A3509" s="446" t="s">
        <v>7560</v>
      </c>
    </row>
    <row r="3510">
      <c r="A3510" s="446" t="s">
        <v>7560</v>
      </c>
    </row>
    <row r="3511">
      <c r="A3511" s="446" t="s">
        <v>7560</v>
      </c>
    </row>
    <row r="3512">
      <c r="A3512" s="446" t="s">
        <v>6602</v>
      </c>
    </row>
    <row r="3513">
      <c r="A3513" s="446" t="s">
        <v>6602</v>
      </c>
    </row>
    <row r="3514">
      <c r="A3514" s="446" t="s">
        <v>6602</v>
      </c>
    </row>
    <row r="3515">
      <c r="A3515" s="446" t="s">
        <v>6602</v>
      </c>
    </row>
    <row r="3516">
      <c r="A3516" s="446" t="s">
        <v>6599</v>
      </c>
    </row>
    <row r="3517">
      <c r="A3517" s="446" t="s">
        <v>6599</v>
      </c>
    </row>
    <row r="3518">
      <c r="A3518" s="446" t="s">
        <v>6599</v>
      </c>
    </row>
    <row r="3519">
      <c r="A3519" s="446" t="s">
        <v>6608</v>
      </c>
    </row>
    <row r="3520">
      <c r="A3520" s="446" t="s">
        <v>6606</v>
      </c>
    </row>
    <row r="3521">
      <c r="A3521" s="446" t="s">
        <v>6606</v>
      </c>
    </row>
    <row r="3522">
      <c r="A3522" s="446" t="s">
        <v>6606</v>
      </c>
    </row>
    <row r="3523">
      <c r="A3523" s="446" t="s">
        <v>6606</v>
      </c>
    </row>
    <row r="3524">
      <c r="A3524" s="446" t="s">
        <v>6606</v>
      </c>
    </row>
    <row r="3525">
      <c r="A3525" s="446" t="s">
        <v>6604</v>
      </c>
    </row>
    <row r="3526">
      <c r="A3526" s="446" t="s">
        <v>6604</v>
      </c>
    </row>
    <row r="3527">
      <c r="A3527" s="446" t="s">
        <v>6604</v>
      </c>
    </row>
    <row r="3528">
      <c r="A3528" s="446" t="s">
        <v>6604</v>
      </c>
    </row>
    <row r="3529">
      <c r="A3529" s="446" t="s">
        <v>7556</v>
      </c>
    </row>
    <row r="3530">
      <c r="A3530" s="446" t="s">
        <v>7556</v>
      </c>
    </row>
    <row r="3531">
      <c r="A3531" s="446" t="s">
        <v>7555</v>
      </c>
    </row>
    <row r="3532">
      <c r="A3532" s="446" t="s">
        <v>7553</v>
      </c>
    </row>
    <row r="3533">
      <c r="A3533" s="446" t="s">
        <v>7553</v>
      </c>
    </row>
    <row r="3534">
      <c r="A3534" s="446" t="s">
        <v>4288</v>
      </c>
    </row>
    <row r="3535">
      <c r="A3535" s="446" t="s">
        <v>4288</v>
      </c>
    </row>
    <row r="3536">
      <c r="A3536" s="446" t="s">
        <v>4288</v>
      </c>
    </row>
    <row r="3537">
      <c r="A3537" s="446" t="s">
        <v>4284</v>
      </c>
    </row>
    <row r="3538">
      <c r="A3538" s="446" t="s">
        <v>4284</v>
      </c>
    </row>
    <row r="3539">
      <c r="A3539" s="446" t="s">
        <v>4284</v>
      </c>
    </row>
    <row r="3540">
      <c r="A3540" s="446" t="s">
        <v>7552</v>
      </c>
    </row>
    <row r="3541">
      <c r="A3541" s="446" t="s">
        <v>7552</v>
      </c>
    </row>
    <row r="3542">
      <c r="A3542" s="446" t="s">
        <v>7551</v>
      </c>
    </row>
    <row r="3543">
      <c r="A3543" s="446" t="s">
        <v>7551</v>
      </c>
    </row>
    <row r="3544">
      <c r="A3544" s="446" t="s">
        <v>7547</v>
      </c>
    </row>
    <row r="3545">
      <c r="A3545" s="446" t="s">
        <v>7546</v>
      </c>
    </row>
    <row r="3546">
      <c r="A3546" s="446" t="s">
        <v>6611</v>
      </c>
    </row>
    <row r="3547">
      <c r="A3547" s="446" t="s">
        <v>6611</v>
      </c>
    </row>
    <row r="3548">
      <c r="A3548" s="446" t="s">
        <v>7543</v>
      </c>
    </row>
    <row r="3549">
      <c r="A3549" s="446" t="s">
        <v>7541</v>
      </c>
    </row>
    <row r="3550">
      <c r="A3550" s="446" t="s">
        <v>7541</v>
      </c>
    </row>
    <row r="3551">
      <c r="A3551" s="446" t="s">
        <v>7540</v>
      </c>
    </row>
    <row r="3552">
      <c r="A3552" s="446" t="s">
        <v>7540</v>
      </c>
    </row>
    <row r="3553">
      <c r="A3553" s="446" t="s">
        <v>7545</v>
      </c>
    </row>
    <row r="3554">
      <c r="A3554" s="446" t="s">
        <v>7545</v>
      </c>
    </row>
    <row r="3555">
      <c r="A3555" s="446" t="s">
        <v>6613</v>
      </c>
    </row>
    <row r="3556">
      <c r="A3556" s="446" t="s">
        <v>6613</v>
      </c>
    </row>
    <row r="3557">
      <c r="A3557" s="446" t="s">
        <v>7538</v>
      </c>
    </row>
    <row r="3558">
      <c r="A3558" s="446" t="s">
        <v>7538</v>
      </c>
    </row>
    <row r="3559">
      <c r="A3559" s="446" t="s">
        <v>7538</v>
      </c>
    </row>
    <row r="3560">
      <c r="A3560" s="446" t="s">
        <v>7533</v>
      </c>
    </row>
    <row r="3561">
      <c r="A3561" s="446" t="s">
        <v>7535</v>
      </c>
    </row>
    <row r="3562">
      <c r="A3562" s="446" t="s">
        <v>6615</v>
      </c>
    </row>
    <row r="3563">
      <c r="A3563" s="446" t="s">
        <v>6615</v>
      </c>
    </row>
    <row r="3564">
      <c r="A3564" s="446" t="s">
        <v>6615</v>
      </c>
    </row>
    <row r="3565">
      <c r="A3565" s="446" t="s">
        <v>6615</v>
      </c>
    </row>
    <row r="3566">
      <c r="A3566" s="446" t="s">
        <v>7532</v>
      </c>
    </row>
    <row r="3567">
      <c r="A3567" s="446" t="s">
        <v>7532</v>
      </c>
    </row>
    <row r="3568">
      <c r="A3568" s="446" t="s">
        <v>7532</v>
      </c>
    </row>
    <row r="3569">
      <c r="A3569" s="446" t="s">
        <v>7532</v>
      </c>
    </row>
    <row r="3570">
      <c r="A3570" s="446" t="s">
        <v>7532</v>
      </c>
    </row>
    <row r="3571">
      <c r="A3571" s="446" t="s">
        <v>7531</v>
      </c>
    </row>
    <row r="3572">
      <c r="A3572" s="446" t="s">
        <v>7531</v>
      </c>
    </row>
    <row r="3573">
      <c r="A3573" s="446" t="s">
        <v>7531</v>
      </c>
    </row>
    <row r="3574">
      <c r="A3574" s="446" t="s">
        <v>7531</v>
      </c>
    </row>
    <row r="3575">
      <c r="A3575" s="446" t="s">
        <v>7530</v>
      </c>
    </row>
    <row r="3576">
      <c r="A3576" s="446" t="s">
        <v>7530</v>
      </c>
    </row>
    <row r="3577">
      <c r="A3577" s="446" t="s">
        <v>7529</v>
      </c>
    </row>
    <row r="3578">
      <c r="A3578" s="446" t="s">
        <v>7527</v>
      </c>
    </row>
    <row r="3579">
      <c r="A3579" s="446" t="s">
        <v>7527</v>
      </c>
    </row>
    <row r="3580">
      <c r="A3580" s="446" t="s">
        <v>4374</v>
      </c>
    </row>
    <row r="3581">
      <c r="A3581" s="446" t="s">
        <v>4374</v>
      </c>
    </row>
    <row r="3582">
      <c r="A3582" s="446" t="s">
        <v>4374</v>
      </c>
    </row>
    <row r="3583">
      <c r="A3583" s="446" t="s">
        <v>4374</v>
      </c>
    </row>
    <row r="3584">
      <c r="A3584" s="446" t="s">
        <v>6618</v>
      </c>
    </row>
    <row r="3585">
      <c r="A3585" s="446" t="s">
        <v>6618</v>
      </c>
    </row>
    <row r="3586">
      <c r="A3586" s="446" t="s">
        <v>6618</v>
      </c>
    </row>
    <row r="3587">
      <c r="A3587" s="446" t="s">
        <v>7522</v>
      </c>
    </row>
    <row r="3588">
      <c r="A3588" s="446" t="s">
        <v>7521</v>
      </c>
    </row>
    <row r="3589">
      <c r="A3589" s="446" t="s">
        <v>7518</v>
      </c>
    </row>
    <row r="3590">
      <c r="A3590" s="446" t="s">
        <v>7518</v>
      </c>
    </row>
    <row r="3591">
      <c r="A3591" s="446" t="s">
        <v>6623</v>
      </c>
    </row>
    <row r="3592">
      <c r="A3592" s="446" t="s">
        <v>6623</v>
      </c>
    </row>
    <row r="3593">
      <c r="A3593" s="446" t="s">
        <v>6623</v>
      </c>
    </row>
    <row r="3594">
      <c r="A3594" s="446" t="s">
        <v>6623</v>
      </c>
    </row>
    <row r="3595">
      <c r="A3595" s="446" t="s">
        <v>7516</v>
      </c>
    </row>
    <row r="3596">
      <c r="A3596" s="446" t="s">
        <v>7515</v>
      </c>
    </row>
    <row r="3597">
      <c r="A3597" s="446" t="s">
        <v>7515</v>
      </c>
    </row>
    <row r="3598">
      <c r="A3598" s="446" t="s">
        <v>7515</v>
      </c>
    </row>
    <row r="3599">
      <c r="A3599" s="446" t="s">
        <v>6625</v>
      </c>
    </row>
    <row r="3600">
      <c r="A3600" s="446" t="s">
        <v>6625</v>
      </c>
    </row>
    <row r="3601">
      <c r="A3601" s="446" t="s">
        <v>7512</v>
      </c>
    </row>
    <row r="3602">
      <c r="A3602" s="446" t="s">
        <v>4250</v>
      </c>
    </row>
    <row r="3603">
      <c r="A3603" s="446" t="s">
        <v>4250</v>
      </c>
    </row>
    <row r="3604">
      <c r="A3604" s="446" t="s">
        <v>7510</v>
      </c>
    </row>
    <row r="3605">
      <c r="A3605" s="446" t="s">
        <v>7509</v>
      </c>
    </row>
    <row r="3606">
      <c r="A3606" s="446" t="s">
        <v>7509</v>
      </c>
    </row>
    <row r="3607">
      <c r="A3607" s="446" t="s">
        <v>7509</v>
      </c>
    </row>
    <row r="3608">
      <c r="A3608" s="446" t="s">
        <v>7507</v>
      </c>
    </row>
    <row r="3609">
      <c r="A3609" s="446" t="s">
        <v>6630</v>
      </c>
    </row>
    <row r="3610">
      <c r="A3610" s="446" t="s">
        <v>6630</v>
      </c>
    </row>
    <row r="3611">
      <c r="A3611" s="446" t="s">
        <v>7504</v>
      </c>
    </row>
    <row r="3612">
      <c r="A3612" s="446" t="s">
        <v>7504</v>
      </c>
    </row>
    <row r="3613">
      <c r="A3613" s="446" t="s">
        <v>7502</v>
      </c>
    </row>
    <row r="3614">
      <c r="A3614" s="446" t="s">
        <v>7502</v>
      </c>
    </row>
    <row r="3615">
      <c r="A3615" s="446" t="s">
        <v>7499</v>
      </c>
    </row>
    <row r="3616">
      <c r="A3616" s="446" t="s">
        <v>7499</v>
      </c>
    </row>
    <row r="3617">
      <c r="A3617" s="446" t="s">
        <v>6631</v>
      </c>
    </row>
    <row r="3618">
      <c r="A3618" s="446" t="s">
        <v>6631</v>
      </c>
    </row>
    <row r="3619">
      <c r="A3619" s="446" t="s">
        <v>7464</v>
      </c>
    </row>
    <row r="3620">
      <c r="A3620" s="446" t="s">
        <v>7464</v>
      </c>
    </row>
    <row r="3621">
      <c r="A3621" s="446" t="s">
        <v>7463</v>
      </c>
    </row>
    <row r="3622">
      <c r="A3622" s="446" t="s">
        <v>6633</v>
      </c>
    </row>
    <row r="3623">
      <c r="A3623" s="446" t="s">
        <v>6633</v>
      </c>
    </row>
    <row r="3624">
      <c r="A3624" s="446" t="s">
        <v>6633</v>
      </c>
    </row>
    <row r="3625">
      <c r="A3625" s="446" t="s">
        <v>7461</v>
      </c>
    </row>
    <row r="3626">
      <c r="A3626" s="446" t="s">
        <v>7459</v>
      </c>
    </row>
    <row r="3627">
      <c r="A3627" s="446" t="s">
        <v>7457</v>
      </c>
    </row>
    <row r="3628">
      <c r="A3628" s="446" t="s">
        <v>7455</v>
      </c>
    </row>
    <row r="3629">
      <c r="A3629" s="446" t="s">
        <v>7455</v>
      </c>
    </row>
    <row r="3630">
      <c r="A3630" s="446" t="s">
        <v>6635</v>
      </c>
    </row>
    <row r="3631">
      <c r="A3631" s="446" t="s">
        <v>6635</v>
      </c>
    </row>
    <row r="3632">
      <c r="A3632" s="446" t="s">
        <v>6635</v>
      </c>
    </row>
    <row r="3633">
      <c r="A3633" s="446" t="s">
        <v>6638</v>
      </c>
    </row>
    <row r="3634">
      <c r="A3634" s="446" t="s">
        <v>7453</v>
      </c>
    </row>
    <row r="3635">
      <c r="A3635" s="446" t="s">
        <v>7453</v>
      </c>
    </row>
    <row r="3636">
      <c r="A3636" s="446" t="s">
        <v>7453</v>
      </c>
    </row>
    <row r="3637">
      <c r="A3637" s="446" t="s">
        <v>7453</v>
      </c>
    </row>
    <row r="3638">
      <c r="A3638" s="446" t="s">
        <v>6642</v>
      </c>
    </row>
    <row r="3639">
      <c r="A3639" s="446" t="s">
        <v>6642</v>
      </c>
    </row>
    <row r="3640">
      <c r="A3640" s="446" t="s">
        <v>6642</v>
      </c>
    </row>
    <row r="3641">
      <c r="A3641" s="446" t="s">
        <v>6642</v>
      </c>
    </row>
    <row r="3642">
      <c r="A3642" s="446" t="s">
        <v>4345</v>
      </c>
    </row>
    <row r="3643">
      <c r="A3643" s="446" t="s">
        <v>4345</v>
      </c>
    </row>
    <row r="3644">
      <c r="A3644" s="446" t="s">
        <v>7447</v>
      </c>
    </row>
    <row r="3645">
      <c r="A3645" s="446" t="s">
        <v>7447</v>
      </c>
    </row>
    <row r="3646">
      <c r="A3646" s="446" t="s">
        <v>6644</v>
      </c>
    </row>
    <row r="3647">
      <c r="A3647" s="446" t="s">
        <v>6644</v>
      </c>
    </row>
    <row r="3648">
      <c r="A3648" s="446" t="s">
        <v>6644</v>
      </c>
    </row>
    <row r="3649">
      <c r="A3649" s="446" t="s">
        <v>6644</v>
      </c>
    </row>
    <row r="3650">
      <c r="A3650" s="446" t="s">
        <v>7442</v>
      </c>
    </row>
    <row r="3651">
      <c r="A3651" s="446" t="s">
        <v>7445</v>
      </c>
    </row>
    <row r="3652">
      <c r="A3652" s="446" t="s">
        <v>7445</v>
      </c>
    </row>
    <row r="3653">
      <c r="A3653" s="446" t="s">
        <v>7445</v>
      </c>
    </row>
    <row r="3654">
      <c r="A3654" s="446" t="s">
        <v>7445</v>
      </c>
    </row>
    <row r="3655">
      <c r="A3655" s="446" t="s">
        <v>7445</v>
      </c>
    </row>
    <row r="3656">
      <c r="A3656" s="446" t="s">
        <v>7445</v>
      </c>
    </row>
    <row r="3657">
      <c r="A3657" s="446" t="s">
        <v>7445</v>
      </c>
    </row>
    <row r="3658">
      <c r="A3658" s="446" t="s">
        <v>7443</v>
      </c>
    </row>
    <row r="3659">
      <c r="A3659" s="446" t="s">
        <v>7443</v>
      </c>
    </row>
    <row r="3660">
      <c r="A3660" s="446" t="s">
        <v>7443</v>
      </c>
    </row>
    <row r="3661">
      <c r="A3661" s="446" t="s">
        <v>6647</v>
      </c>
    </row>
    <row r="3662">
      <c r="A3662" s="446" t="s">
        <v>6647</v>
      </c>
    </row>
    <row r="3663">
      <c r="A3663" s="446" t="s">
        <v>6647</v>
      </c>
    </row>
    <row r="3664">
      <c r="A3664" s="446" t="s">
        <v>6649</v>
      </c>
    </row>
    <row r="3665">
      <c r="A3665" s="446" t="s">
        <v>6649</v>
      </c>
    </row>
    <row r="3666">
      <c r="A3666" s="446" t="s">
        <v>7439</v>
      </c>
    </row>
    <row r="3667">
      <c r="A3667" s="446" t="s">
        <v>7439</v>
      </c>
    </row>
    <row r="3668">
      <c r="A3668" s="446" t="s">
        <v>7439</v>
      </c>
    </row>
    <row r="3669">
      <c r="A3669" s="446" t="s">
        <v>7439</v>
      </c>
    </row>
    <row r="3670">
      <c r="A3670" s="446" t="s">
        <v>7437</v>
      </c>
    </row>
    <row r="3671">
      <c r="A3671" s="446" t="s">
        <v>7437</v>
      </c>
    </row>
    <row r="3672">
      <c r="A3672" s="446" t="s">
        <v>7437</v>
      </c>
    </row>
    <row r="3673">
      <c r="A3673" s="446" t="s">
        <v>7435</v>
      </c>
    </row>
    <row r="3674">
      <c r="A3674" s="446" t="s">
        <v>7435</v>
      </c>
    </row>
    <row r="3675">
      <c r="A3675" s="446" t="s">
        <v>7434</v>
      </c>
    </row>
    <row r="3676">
      <c r="A3676" s="446" t="s">
        <v>7429</v>
      </c>
    </row>
    <row r="3677">
      <c r="A3677" s="446" t="s">
        <v>7427</v>
      </c>
    </row>
    <row r="3678">
      <c r="A3678" s="446" t="s">
        <v>7432</v>
      </c>
    </row>
    <row r="3679">
      <c r="A3679" s="446" t="s">
        <v>6651</v>
      </c>
    </row>
    <row r="3680">
      <c r="A3680" s="446" t="s">
        <v>6651</v>
      </c>
    </row>
    <row r="3681">
      <c r="A3681" s="446" t="s">
        <v>7429</v>
      </c>
    </row>
    <row r="3682">
      <c r="A3682" s="446" t="s">
        <v>7425</v>
      </c>
    </row>
    <row r="3683">
      <c r="A3683" s="446" t="s">
        <v>7425</v>
      </c>
    </row>
    <row r="3684">
      <c r="A3684" s="446" t="s">
        <v>7425</v>
      </c>
    </row>
    <row r="3685">
      <c r="A3685" s="446" t="s">
        <v>7424</v>
      </c>
    </row>
    <row r="3686">
      <c r="A3686" s="446" t="s">
        <v>7424</v>
      </c>
    </row>
    <row r="3687">
      <c r="A3687" s="446" t="s">
        <v>7424</v>
      </c>
    </row>
    <row r="3688">
      <c r="A3688" s="446" t="s">
        <v>4236</v>
      </c>
    </row>
    <row r="3689">
      <c r="A3689" s="446" t="s">
        <v>4236</v>
      </c>
    </row>
    <row r="3690">
      <c r="A3690" s="446" t="s">
        <v>4236</v>
      </c>
    </row>
    <row r="3691">
      <c r="A3691" s="446" t="s">
        <v>4236</v>
      </c>
    </row>
    <row r="3692">
      <c r="A3692" s="446" t="s">
        <v>4236</v>
      </c>
    </row>
    <row r="3693">
      <c r="A3693" s="446" t="s">
        <v>8292</v>
      </c>
    </row>
    <row r="3694">
      <c r="A3694" s="446" t="s">
        <v>8293</v>
      </c>
    </row>
    <row r="3695">
      <c r="A3695" s="446" t="s">
        <v>8293</v>
      </c>
    </row>
    <row r="3696">
      <c r="A3696" s="446" t="s">
        <v>8292</v>
      </c>
    </row>
    <row r="3697">
      <c r="A3697" s="446" t="s">
        <v>7418</v>
      </c>
    </row>
    <row r="3698">
      <c r="A3698" s="446" t="s">
        <v>8294</v>
      </c>
    </row>
    <row r="3699">
      <c r="A3699" s="446" t="s">
        <v>6653</v>
      </c>
    </row>
    <row r="3700">
      <c r="A3700" s="446" t="s">
        <v>6656</v>
      </c>
    </row>
    <row r="3701">
      <c r="A3701" s="446" t="s">
        <v>6656</v>
      </c>
    </row>
    <row r="3702">
      <c r="A3702" s="446" t="s">
        <v>6656</v>
      </c>
    </row>
    <row r="3703">
      <c r="A3703" s="446" t="s">
        <v>6656</v>
      </c>
    </row>
    <row r="3704">
      <c r="A3704" s="446" t="s">
        <v>7415</v>
      </c>
    </row>
    <row r="3705">
      <c r="A3705" s="446" t="s">
        <v>7415</v>
      </c>
    </row>
    <row r="3706">
      <c r="A3706" s="446" t="s">
        <v>6658</v>
      </c>
    </row>
    <row r="3707">
      <c r="A3707" s="446" t="s">
        <v>6658</v>
      </c>
    </row>
    <row r="3708">
      <c r="A3708" s="446" t="s">
        <v>6658</v>
      </c>
    </row>
    <row r="3709">
      <c r="A3709" s="446" t="s">
        <v>6658</v>
      </c>
    </row>
    <row r="3710">
      <c r="A3710" s="446" t="s">
        <v>6658</v>
      </c>
    </row>
    <row r="3711">
      <c r="A3711" s="446" t="s">
        <v>7412</v>
      </c>
    </row>
    <row r="3712">
      <c r="A3712" s="446" t="s">
        <v>7412</v>
      </c>
    </row>
    <row r="3713">
      <c r="A3713" s="446" t="s">
        <v>7412</v>
      </c>
    </row>
    <row r="3714">
      <c r="A3714" s="446" t="s">
        <v>7412</v>
      </c>
    </row>
    <row r="3715">
      <c r="A3715" s="446" t="s">
        <v>7412</v>
      </c>
    </row>
    <row r="3716">
      <c r="A3716" s="446" t="s">
        <v>7408</v>
      </c>
    </row>
    <row r="3717">
      <c r="A3717" s="446" t="s">
        <v>6660</v>
      </c>
    </row>
    <row r="3718">
      <c r="A3718" s="446" t="s">
        <v>6660</v>
      </c>
    </row>
    <row r="3719">
      <c r="A3719" s="446" t="s">
        <v>6660</v>
      </c>
    </row>
    <row r="3720">
      <c r="A3720" s="446" t="s">
        <v>7406</v>
      </c>
    </row>
    <row r="3721">
      <c r="A3721" s="446" t="s">
        <v>7406</v>
      </c>
    </row>
    <row r="3722">
      <c r="A3722" s="446" t="s">
        <v>7404</v>
      </c>
    </row>
    <row r="3723">
      <c r="A3723" s="446" t="s">
        <v>7402</v>
      </c>
    </row>
    <row r="3724">
      <c r="A3724" s="446" t="s">
        <v>7400</v>
      </c>
    </row>
    <row r="3725">
      <c r="A3725" s="446" t="s">
        <v>7398</v>
      </c>
    </row>
    <row r="3726">
      <c r="A3726" s="446" t="s">
        <v>7398</v>
      </c>
    </row>
    <row r="3727">
      <c r="A3727" s="446" t="s">
        <v>7398</v>
      </c>
    </row>
    <row r="3728">
      <c r="A3728" s="446" t="s">
        <v>7396</v>
      </c>
    </row>
    <row r="3729">
      <c r="A3729" s="446" t="s">
        <v>7396</v>
      </c>
    </row>
    <row r="3730">
      <c r="A3730" s="446" t="s">
        <v>8308</v>
      </c>
    </row>
    <row r="3731">
      <c r="A3731" s="446" t="s">
        <v>7394</v>
      </c>
    </row>
    <row r="3732">
      <c r="A3732" s="446" t="s">
        <v>7394</v>
      </c>
    </row>
    <row r="3733">
      <c r="A3733" s="446" t="s">
        <v>7392</v>
      </c>
    </row>
    <row r="3734">
      <c r="A3734" s="446" t="s">
        <v>7387</v>
      </c>
    </row>
    <row r="3735">
      <c r="A3735" s="446" t="s">
        <v>7387</v>
      </c>
    </row>
    <row r="3736">
      <c r="A3736" s="446" t="s">
        <v>7387</v>
      </c>
    </row>
    <row r="3737">
      <c r="A3737" s="446" t="s">
        <v>7391</v>
      </c>
    </row>
    <row r="3738">
      <c r="A3738" s="446" t="s">
        <v>7391</v>
      </c>
    </row>
    <row r="3739">
      <c r="A3739" s="446" t="s">
        <v>7388</v>
      </c>
    </row>
    <row r="3740">
      <c r="A3740" s="446" t="s">
        <v>7388</v>
      </c>
    </row>
    <row r="3741">
      <c r="A3741" s="446" t="s">
        <v>7388</v>
      </c>
    </row>
    <row r="3742">
      <c r="A3742" s="446" t="s">
        <v>7388</v>
      </c>
    </row>
    <row r="3743">
      <c r="A3743" s="446" t="s">
        <v>7388</v>
      </c>
    </row>
    <row r="3744">
      <c r="A3744" s="446" t="s">
        <v>6662</v>
      </c>
    </row>
    <row r="3745">
      <c r="A3745" s="446" t="s">
        <v>6662</v>
      </c>
    </row>
    <row r="3746">
      <c r="A3746" s="446" t="s">
        <v>6662</v>
      </c>
    </row>
    <row r="3747">
      <c r="A3747" s="446" t="s">
        <v>6662</v>
      </c>
    </row>
    <row r="3748">
      <c r="A3748" s="446" t="s">
        <v>6662</v>
      </c>
    </row>
    <row r="3749">
      <c r="A3749" s="446" t="s">
        <v>4307</v>
      </c>
    </row>
    <row r="3750">
      <c r="A3750" s="446" t="s">
        <v>4307</v>
      </c>
    </row>
    <row r="3751">
      <c r="A3751" s="446" t="s">
        <v>7383</v>
      </c>
    </row>
    <row r="3752">
      <c r="A3752" s="446" t="s">
        <v>7381</v>
      </c>
    </row>
    <row r="3753">
      <c r="A3753" s="446" t="s">
        <v>7377</v>
      </c>
    </row>
    <row r="3754">
      <c r="A3754" s="446" t="s">
        <v>7378</v>
      </c>
    </row>
    <row r="3755">
      <c r="A3755" s="446" t="s">
        <v>6665</v>
      </c>
    </row>
    <row r="3756">
      <c r="A3756" s="446" t="s">
        <v>6665</v>
      </c>
    </row>
    <row r="3757">
      <c r="A3757" s="446" t="s">
        <v>6665</v>
      </c>
    </row>
    <row r="3758">
      <c r="A3758" s="446" t="s">
        <v>6665</v>
      </c>
    </row>
    <row r="3759">
      <c r="A3759" s="446" t="s">
        <v>7369</v>
      </c>
    </row>
    <row r="3760">
      <c r="A3760" s="446" t="s">
        <v>6670</v>
      </c>
    </row>
    <row r="3761">
      <c r="A3761" s="446" t="s">
        <v>6670</v>
      </c>
    </row>
    <row r="3762">
      <c r="A3762" s="446" t="s">
        <v>7372</v>
      </c>
    </row>
    <row r="3763">
      <c r="A3763" s="446" t="s">
        <v>6670</v>
      </c>
    </row>
    <row r="3764">
      <c r="A3764" s="446" t="s">
        <v>7372</v>
      </c>
    </row>
    <row r="3765">
      <c r="A3765" s="446" t="s">
        <v>7372</v>
      </c>
    </row>
    <row r="3766">
      <c r="A3766" s="446" t="s">
        <v>6668</v>
      </c>
    </row>
    <row r="3767">
      <c r="A3767" s="446" t="s">
        <v>6668</v>
      </c>
    </row>
    <row r="3768">
      <c r="A3768" s="446" t="s">
        <v>6668</v>
      </c>
    </row>
    <row r="3769">
      <c r="A3769" s="446" t="s">
        <v>6668</v>
      </c>
    </row>
    <row r="3770">
      <c r="A3770" s="446" t="s">
        <v>6668</v>
      </c>
    </row>
    <row r="3771">
      <c r="A3771" s="446" t="s">
        <v>6672</v>
      </c>
    </row>
    <row r="3772">
      <c r="A3772" s="446" t="s">
        <v>6672</v>
      </c>
    </row>
    <row r="3773">
      <c r="A3773" s="446" t="s">
        <v>6672</v>
      </c>
    </row>
    <row r="3774">
      <c r="A3774" s="446" t="s">
        <v>6672</v>
      </c>
    </row>
    <row r="3775">
      <c r="A3775" s="446" t="s">
        <v>6672</v>
      </c>
    </row>
    <row r="3776">
      <c r="A3776" s="446" t="s">
        <v>7364</v>
      </c>
    </row>
    <row r="3777">
      <c r="A3777" s="446" t="s">
        <v>7364</v>
      </c>
    </row>
    <row r="3778">
      <c r="A3778" s="446" t="s">
        <v>7368</v>
      </c>
    </row>
    <row r="3779">
      <c r="A3779" s="446" t="s">
        <v>7368</v>
      </c>
    </row>
    <row r="3780">
      <c r="A3780" s="446" t="s">
        <v>7368</v>
      </c>
    </row>
    <row r="3781">
      <c r="A3781" s="446" t="s">
        <v>7368</v>
      </c>
    </row>
    <row r="3782">
      <c r="A3782" s="446" t="s">
        <v>7368</v>
      </c>
    </row>
    <row r="3783">
      <c r="A3783" s="446" t="s">
        <v>7368</v>
      </c>
    </row>
    <row r="3784">
      <c r="A3784" s="446" t="s">
        <v>6674</v>
      </c>
    </row>
    <row r="3785">
      <c r="A3785" s="446" t="s">
        <v>6674</v>
      </c>
    </row>
    <row r="3786">
      <c r="A3786" s="446" t="s">
        <v>6674</v>
      </c>
    </row>
    <row r="3787">
      <c r="A3787" s="446" t="s">
        <v>6674</v>
      </c>
    </row>
    <row r="3788">
      <c r="A3788" s="446" t="s">
        <v>6674</v>
      </c>
    </row>
    <row r="3789">
      <c r="A3789" s="446" t="s">
        <v>6674</v>
      </c>
    </row>
    <row r="3790">
      <c r="A3790" s="446" t="s">
        <v>6674</v>
      </c>
    </row>
    <row r="3791">
      <c r="A3791" s="446" t="s">
        <v>7363</v>
      </c>
    </row>
    <row r="3792">
      <c r="A3792" s="446" t="s">
        <v>8322</v>
      </c>
    </row>
    <row r="3793">
      <c r="A3793" s="446" t="s">
        <v>8322</v>
      </c>
    </row>
    <row r="3794">
      <c r="A3794" s="446" t="s">
        <v>6676</v>
      </c>
    </row>
    <row r="3795">
      <c r="A3795" s="446" t="s">
        <v>6676</v>
      </c>
    </row>
    <row r="3796">
      <c r="A3796" s="446" t="s">
        <v>7345</v>
      </c>
    </row>
    <row r="3797">
      <c r="A3797" s="446" t="s">
        <v>7362</v>
      </c>
    </row>
    <row r="3798">
      <c r="A3798" s="446" t="s">
        <v>7362</v>
      </c>
    </row>
    <row r="3799">
      <c r="A3799" s="446" t="s">
        <v>7361</v>
      </c>
    </row>
    <row r="3800">
      <c r="A3800" s="446" t="s">
        <v>5947</v>
      </c>
    </row>
    <row r="3801">
      <c r="A3801" s="446" t="s">
        <v>7349</v>
      </c>
    </row>
    <row r="3802">
      <c r="A3802" s="446" t="s">
        <v>7349</v>
      </c>
    </row>
    <row r="3803">
      <c r="A3803" s="446" t="s">
        <v>7349</v>
      </c>
    </row>
    <row r="3804">
      <c r="A3804" s="446" t="s">
        <v>7349</v>
      </c>
    </row>
    <row r="3805">
      <c r="A3805" s="446" t="s">
        <v>6677</v>
      </c>
    </row>
    <row r="3806">
      <c r="A3806" s="446" t="s">
        <v>6677</v>
      </c>
    </row>
    <row r="3807">
      <c r="A3807" s="446" t="s">
        <v>7343</v>
      </c>
    </row>
    <row r="3808">
      <c r="A3808" s="446" t="s">
        <v>7343</v>
      </c>
    </row>
    <row r="3809">
      <c r="A3809" s="446" t="s">
        <v>7342</v>
      </c>
    </row>
    <row r="3810">
      <c r="A3810" s="446" t="s">
        <v>8327</v>
      </c>
    </row>
    <row r="3811">
      <c r="A3811" s="446" t="s">
        <v>8327</v>
      </c>
    </row>
    <row r="3812">
      <c r="A3812" s="446" t="s">
        <v>4133</v>
      </c>
    </row>
    <row r="3813">
      <c r="A3813" s="446" t="s">
        <v>4133</v>
      </c>
    </row>
    <row r="3814">
      <c r="A3814" s="446" t="s">
        <v>6681</v>
      </c>
    </row>
    <row r="3815">
      <c r="A3815" s="446" t="s">
        <v>6681</v>
      </c>
    </row>
    <row r="3816">
      <c r="A3816" s="446" t="s">
        <v>6681</v>
      </c>
    </row>
    <row r="3817">
      <c r="A3817" s="446" t="s">
        <v>7356</v>
      </c>
    </row>
    <row r="3818">
      <c r="A3818" s="446" t="s">
        <v>7356</v>
      </c>
    </row>
    <row r="3819">
      <c r="A3819" s="446" t="s">
        <v>7354</v>
      </c>
    </row>
    <row r="3820">
      <c r="A3820" s="446" t="s">
        <v>7354</v>
      </c>
    </row>
    <row r="3821">
      <c r="A3821" s="446" t="s">
        <v>7354</v>
      </c>
    </row>
    <row r="3822">
      <c r="A3822" s="446" t="s">
        <v>7354</v>
      </c>
    </row>
    <row r="3823">
      <c r="A3823" s="446" t="s">
        <v>7354</v>
      </c>
    </row>
    <row r="3824">
      <c r="A3824" s="446" t="s">
        <v>4304</v>
      </c>
    </row>
    <row r="3825">
      <c r="A3825" s="446" t="s">
        <v>4304</v>
      </c>
    </row>
    <row r="3826">
      <c r="A3826" s="446" t="s">
        <v>6684</v>
      </c>
    </row>
    <row r="3827">
      <c r="A3827" s="446" t="s">
        <v>6684</v>
      </c>
    </row>
    <row r="3828">
      <c r="A3828" s="446" t="s">
        <v>6684</v>
      </c>
    </row>
    <row r="3829">
      <c r="A3829" s="446" t="s">
        <v>6684</v>
      </c>
    </row>
    <row r="3830">
      <c r="A3830" s="446" t="s">
        <v>6684</v>
      </c>
    </row>
    <row r="3831">
      <c r="A3831" s="446" t="s">
        <v>6684</v>
      </c>
    </row>
    <row r="3832">
      <c r="A3832" s="446" t="s">
        <v>6683</v>
      </c>
    </row>
    <row r="3833">
      <c r="A3833" s="446" t="s">
        <v>6683</v>
      </c>
    </row>
    <row r="3834">
      <c r="A3834" s="446" t="s">
        <v>6683</v>
      </c>
    </row>
    <row r="3835">
      <c r="A3835" s="446" t="s">
        <v>6683</v>
      </c>
    </row>
    <row r="3836">
      <c r="A3836" s="446" t="s">
        <v>6683</v>
      </c>
    </row>
    <row r="3837">
      <c r="A3837" s="446" t="s">
        <v>7352</v>
      </c>
    </row>
    <row r="3838">
      <c r="A3838" s="446" t="s">
        <v>7352</v>
      </c>
    </row>
    <row r="3839">
      <c r="A3839" s="446" t="s">
        <v>6687</v>
      </c>
    </row>
    <row r="3840">
      <c r="A3840" s="446" t="s">
        <v>6687</v>
      </c>
    </row>
    <row r="3841">
      <c r="A3841" s="446" t="s">
        <v>6687</v>
      </c>
    </row>
    <row r="3842">
      <c r="A3842" s="446" t="s">
        <v>6687</v>
      </c>
    </row>
    <row r="3843">
      <c r="A3843" s="446" t="s">
        <v>6687</v>
      </c>
    </row>
    <row r="3844">
      <c r="A3844" s="446" t="s">
        <v>7351</v>
      </c>
    </row>
    <row r="3845">
      <c r="A3845" s="446" t="s">
        <v>7351</v>
      </c>
    </row>
    <row r="3846">
      <c r="A3846" s="446" t="s">
        <v>7350</v>
      </c>
    </row>
    <row r="3847">
      <c r="A3847" s="446" t="s">
        <v>7350</v>
      </c>
    </row>
    <row r="3848">
      <c r="A3848" s="446" t="s">
        <v>7350</v>
      </c>
    </row>
    <row r="3849">
      <c r="A3849" s="446" t="s">
        <v>7350</v>
      </c>
    </row>
    <row r="3850">
      <c r="A3850" s="446" t="s">
        <v>7350</v>
      </c>
    </row>
    <row r="3851">
      <c r="A3851" s="446" t="s">
        <v>7350</v>
      </c>
    </row>
    <row r="3852">
      <c r="A3852" s="446" t="s">
        <v>6689</v>
      </c>
    </row>
    <row r="3853">
      <c r="A3853" s="446" t="s">
        <v>6689</v>
      </c>
    </row>
    <row r="3854">
      <c r="A3854" s="446" t="s">
        <v>6689</v>
      </c>
    </row>
    <row r="3855">
      <c r="A3855" s="446" t="s">
        <v>6689</v>
      </c>
    </row>
    <row r="3856">
      <c r="A3856" s="446" t="s">
        <v>6689</v>
      </c>
    </row>
    <row r="3857">
      <c r="A3857" s="446" t="s">
        <v>8335</v>
      </c>
    </row>
    <row r="3858">
      <c r="A3858" s="446" t="s">
        <v>8335</v>
      </c>
    </row>
    <row r="3859">
      <c r="A3859" s="446" t="s">
        <v>7341</v>
      </c>
    </row>
    <row r="3860">
      <c r="A3860" s="446" t="s">
        <v>7341</v>
      </c>
    </row>
    <row r="3861">
      <c r="A3861" s="446" t="s">
        <v>7341</v>
      </c>
    </row>
    <row r="3862">
      <c r="A3862" s="446" t="s">
        <v>7340</v>
      </c>
    </row>
    <row r="3863">
      <c r="A3863" s="446" t="s">
        <v>7340</v>
      </c>
    </row>
    <row r="3864">
      <c r="A3864" s="446" t="s">
        <v>7340</v>
      </c>
    </row>
    <row r="3865">
      <c r="A3865" s="446" t="s">
        <v>7340</v>
      </c>
    </row>
    <row r="3866">
      <c r="A3866" s="446" t="s">
        <v>6691</v>
      </c>
    </row>
    <row r="3867">
      <c r="A3867" s="446" t="s">
        <v>6691</v>
      </c>
    </row>
    <row r="3868">
      <c r="A3868" s="446" t="s">
        <v>6691</v>
      </c>
    </row>
    <row r="3869">
      <c r="A3869" s="446" t="s">
        <v>6691</v>
      </c>
    </row>
    <row r="3870">
      <c r="A3870" s="446" t="s">
        <v>6696</v>
      </c>
    </row>
    <row r="3871">
      <c r="A3871" s="446" t="s">
        <v>6696</v>
      </c>
    </row>
    <row r="3872">
      <c r="A3872" s="446" t="s">
        <v>6693</v>
      </c>
    </row>
    <row r="3873">
      <c r="A3873" s="446" t="s">
        <v>6693</v>
      </c>
    </row>
    <row r="3874">
      <c r="A3874" s="446" t="s">
        <v>6693</v>
      </c>
    </row>
    <row r="3875">
      <c r="A3875" s="446" t="s">
        <v>6693</v>
      </c>
    </row>
    <row r="3876">
      <c r="A3876" s="446" t="s">
        <v>7338</v>
      </c>
    </row>
    <row r="3877">
      <c r="A3877" s="446" t="s">
        <v>7337</v>
      </c>
    </row>
    <row r="3878">
      <c r="A3878" s="446" t="s">
        <v>7336</v>
      </c>
    </row>
    <row r="3879">
      <c r="A3879" s="446" t="s">
        <v>7336</v>
      </c>
    </row>
    <row r="3880">
      <c r="A3880" s="446" t="s">
        <v>7334</v>
      </c>
    </row>
    <row r="3881">
      <c r="A3881" s="446" t="s">
        <v>7334</v>
      </c>
    </row>
    <row r="3882">
      <c r="A3882" s="446" t="s">
        <v>7333</v>
      </c>
    </row>
    <row r="3883">
      <c r="A3883" s="446" t="s">
        <v>7333</v>
      </c>
    </row>
    <row r="3884">
      <c r="A3884" s="446" t="s">
        <v>7332</v>
      </c>
    </row>
    <row r="3885">
      <c r="A3885" s="446" t="s">
        <v>7330</v>
      </c>
    </row>
    <row r="3886">
      <c r="A3886" s="446" t="s">
        <v>7330</v>
      </c>
    </row>
    <row r="3887">
      <c r="A3887" s="446" t="s">
        <v>7330</v>
      </c>
    </row>
    <row r="3888">
      <c r="A3888" s="446" t="s">
        <v>7328</v>
      </c>
    </row>
    <row r="3889">
      <c r="A3889" s="446" t="s">
        <v>7328</v>
      </c>
    </row>
    <row r="3890">
      <c r="A3890" s="446" t="s">
        <v>7328</v>
      </c>
    </row>
    <row r="3891">
      <c r="A3891" s="446" t="s">
        <v>7328</v>
      </c>
    </row>
    <row r="3892">
      <c r="A3892" s="446" t="s">
        <v>7325</v>
      </c>
    </row>
    <row r="3893">
      <c r="A3893" s="446" t="s">
        <v>7325</v>
      </c>
    </row>
    <row r="3894">
      <c r="A3894" s="446" t="s">
        <v>7323</v>
      </c>
    </row>
    <row r="3895">
      <c r="A3895" s="446" t="s">
        <v>7324</v>
      </c>
    </row>
    <row r="3896">
      <c r="A3896" s="446" t="s">
        <v>7324</v>
      </c>
    </row>
    <row r="3897">
      <c r="A3897" s="446" t="s">
        <v>7321</v>
      </c>
    </row>
    <row r="3898">
      <c r="A3898" s="446" t="s">
        <v>7321</v>
      </c>
    </row>
    <row r="3899">
      <c r="A3899" s="446" t="s">
        <v>7319</v>
      </c>
    </row>
    <row r="3900">
      <c r="A3900" s="446" t="s">
        <v>7319</v>
      </c>
    </row>
    <row r="3901">
      <c r="A3901" s="446" t="s">
        <v>7318</v>
      </c>
    </row>
    <row r="3902">
      <c r="A3902" s="446" t="s">
        <v>7314</v>
      </c>
    </row>
    <row r="3903">
      <c r="A3903" s="446" t="s">
        <v>7314</v>
      </c>
    </row>
    <row r="3904">
      <c r="A3904" s="446" t="s">
        <v>7315</v>
      </c>
    </row>
    <row r="3905">
      <c r="A3905" s="446" t="s">
        <v>7312</v>
      </c>
    </row>
    <row r="3906">
      <c r="A3906" s="446" t="s">
        <v>7312</v>
      </c>
    </row>
    <row r="3907">
      <c r="A3907" s="446" t="s">
        <v>7312</v>
      </c>
    </row>
    <row r="3908">
      <c r="A3908" s="446" t="s">
        <v>7312</v>
      </c>
    </row>
    <row r="3909">
      <c r="A3909" s="446" t="s">
        <v>7312</v>
      </c>
    </row>
    <row r="3910">
      <c r="A3910" s="446" t="s">
        <v>4063</v>
      </c>
    </row>
    <row r="3911">
      <c r="A3911" s="446" t="s">
        <v>4063</v>
      </c>
    </row>
    <row r="3912">
      <c r="A3912" s="446" t="s">
        <v>4063</v>
      </c>
    </row>
    <row r="3913">
      <c r="A3913" s="446" t="s">
        <v>4063</v>
      </c>
    </row>
    <row r="3914">
      <c r="A3914" s="446" t="s">
        <v>4063</v>
      </c>
    </row>
    <row r="3915">
      <c r="A3915" s="446" t="s">
        <v>7309</v>
      </c>
    </row>
    <row r="3916">
      <c r="A3916" s="446" t="s">
        <v>7309</v>
      </c>
    </row>
    <row r="3917">
      <c r="A3917" s="446" t="s">
        <v>7306</v>
      </c>
    </row>
    <row r="3918">
      <c r="A3918" s="446" t="s">
        <v>7303</v>
      </c>
    </row>
    <row r="3919">
      <c r="A3919" s="446" t="s">
        <v>7303</v>
      </c>
    </row>
    <row r="3920">
      <c r="A3920" s="446" t="s">
        <v>7301</v>
      </c>
    </row>
    <row r="3921">
      <c r="A3921" s="446" t="s">
        <v>7299</v>
      </c>
    </row>
    <row r="3922">
      <c r="A3922" s="446" t="s">
        <v>7299</v>
      </c>
    </row>
    <row r="3923">
      <c r="A3923" s="446" t="s">
        <v>7297</v>
      </c>
    </row>
    <row r="3924">
      <c r="A3924" s="446" t="s">
        <v>7297</v>
      </c>
    </row>
    <row r="3925">
      <c r="A3925" s="446" t="s">
        <v>7294</v>
      </c>
    </row>
    <row r="3926">
      <c r="A3926" s="446" t="s">
        <v>7294</v>
      </c>
    </row>
    <row r="3927">
      <c r="A3927" s="446" t="s">
        <v>6701</v>
      </c>
    </row>
    <row r="3928">
      <c r="A3928" s="446" t="s">
        <v>6701</v>
      </c>
    </row>
    <row r="3929">
      <c r="A3929" s="446" t="s">
        <v>7291</v>
      </c>
    </row>
    <row r="3930">
      <c r="A3930" s="446" t="s">
        <v>7291</v>
      </c>
    </row>
    <row r="3931">
      <c r="A3931" s="446" t="s">
        <v>7291</v>
      </c>
    </row>
    <row r="3932">
      <c r="A3932" s="446" t="s">
        <v>7291</v>
      </c>
    </row>
    <row r="3933">
      <c r="A3933" s="446" t="s">
        <v>7291</v>
      </c>
    </row>
    <row r="3934">
      <c r="A3934" s="446" t="s">
        <v>7290</v>
      </c>
    </row>
    <row r="3935">
      <c r="A3935" s="446" t="s">
        <v>7288</v>
      </c>
    </row>
    <row r="3936">
      <c r="A3936" s="446" t="s">
        <v>7288</v>
      </c>
    </row>
    <row r="3937">
      <c r="A3937" s="446" t="s">
        <v>6705</v>
      </c>
    </row>
    <row r="3938">
      <c r="A3938" s="446" t="s">
        <v>6705</v>
      </c>
    </row>
    <row r="3939">
      <c r="A3939" s="446" t="s">
        <v>6705</v>
      </c>
    </row>
    <row r="3940">
      <c r="A3940" s="446" t="s">
        <v>6703</v>
      </c>
    </row>
    <row r="3941">
      <c r="A3941" s="446" t="s">
        <v>6703</v>
      </c>
    </row>
    <row r="3942">
      <c r="A3942" s="446" t="s">
        <v>6703</v>
      </c>
    </row>
    <row r="3943">
      <c r="A3943" s="446" t="s">
        <v>7284</v>
      </c>
    </row>
    <row r="3944">
      <c r="A3944" s="446" t="s">
        <v>7284</v>
      </c>
    </row>
    <row r="3945">
      <c r="A3945" s="446" t="s">
        <v>7284</v>
      </c>
    </row>
    <row r="3946">
      <c r="A3946" s="446" t="s">
        <v>7284</v>
      </c>
    </row>
    <row r="3947">
      <c r="A3947" s="446" t="s">
        <v>7284</v>
      </c>
    </row>
    <row r="3948">
      <c r="A3948" s="446" t="s">
        <v>7281</v>
      </c>
    </row>
    <row r="3949">
      <c r="A3949" s="446" t="s">
        <v>7281</v>
      </c>
    </row>
    <row r="3950">
      <c r="A3950" s="446" t="s">
        <v>7281</v>
      </c>
    </row>
    <row r="3951">
      <c r="A3951" s="446" t="s">
        <v>7278</v>
      </c>
    </row>
    <row r="3952">
      <c r="A3952" s="446" t="s">
        <v>7278</v>
      </c>
    </row>
    <row r="3953">
      <c r="A3953" s="446" t="s">
        <v>7276</v>
      </c>
    </row>
    <row r="3954">
      <c r="A3954" s="446" t="s">
        <v>7276</v>
      </c>
    </row>
    <row r="3955">
      <c r="A3955" s="446" t="s">
        <v>7274</v>
      </c>
    </row>
    <row r="3956">
      <c r="A3956" s="446" t="s">
        <v>7274</v>
      </c>
    </row>
    <row r="3957">
      <c r="A3957" s="446" t="s">
        <v>7272</v>
      </c>
    </row>
    <row r="3958">
      <c r="A3958" s="446" t="s">
        <v>7270</v>
      </c>
    </row>
    <row r="3959">
      <c r="A3959" s="446" t="s">
        <v>7270</v>
      </c>
    </row>
    <row r="3960">
      <c r="A3960" s="446" t="s">
        <v>7268</v>
      </c>
    </row>
    <row r="3961">
      <c r="A3961" s="446" t="s">
        <v>7267</v>
      </c>
    </row>
    <row r="3962">
      <c r="A3962" s="446" t="s">
        <v>7267</v>
      </c>
    </row>
    <row r="3963">
      <c r="A3963" s="446" t="s">
        <v>7265</v>
      </c>
    </row>
    <row r="3964">
      <c r="A3964" s="446" t="s">
        <v>8351</v>
      </c>
    </row>
    <row r="3965">
      <c r="A3965" s="446" t="s">
        <v>7266</v>
      </c>
    </row>
    <row r="3966">
      <c r="A3966" s="446" t="s">
        <v>7266</v>
      </c>
    </row>
    <row r="3967">
      <c r="A3967" s="446" t="s">
        <v>7265</v>
      </c>
    </row>
    <row r="3968">
      <c r="A3968" s="446" t="s">
        <v>7265</v>
      </c>
    </row>
    <row r="3969">
      <c r="A3969" s="446" t="s">
        <v>7265</v>
      </c>
    </row>
    <row r="3970">
      <c r="A3970" s="446" t="s">
        <v>7264</v>
      </c>
    </row>
    <row r="3971">
      <c r="A3971" s="446" t="s">
        <v>7264</v>
      </c>
    </row>
    <row r="3972">
      <c r="A3972" s="446" t="s">
        <v>6709</v>
      </c>
    </row>
    <row r="3973">
      <c r="A3973" s="446" t="s">
        <v>6707</v>
      </c>
    </row>
    <row r="3974">
      <c r="A3974" s="446" t="s">
        <v>6707</v>
      </c>
    </row>
    <row r="3975">
      <c r="A3975" s="446" t="s">
        <v>6712</v>
      </c>
    </row>
    <row r="3976">
      <c r="A3976" s="446" t="s">
        <v>6712</v>
      </c>
    </row>
    <row r="3977">
      <c r="A3977" s="446" t="s">
        <v>6714</v>
      </c>
    </row>
    <row r="3978">
      <c r="A3978" s="446" t="s">
        <v>6714</v>
      </c>
    </row>
    <row r="3979">
      <c r="A3979" s="446" t="s">
        <v>6714</v>
      </c>
    </row>
    <row r="3980">
      <c r="A3980" s="446" t="s">
        <v>6714</v>
      </c>
    </row>
    <row r="3981">
      <c r="A3981" s="446" t="s">
        <v>7260</v>
      </c>
    </row>
    <row r="3982">
      <c r="A3982" s="446" t="s">
        <v>7260</v>
      </c>
    </row>
    <row r="3983">
      <c r="A3983" s="446" t="s">
        <v>7279</v>
      </c>
    </row>
    <row r="3984">
      <c r="A3984" s="446" t="s">
        <v>7279</v>
      </c>
    </row>
    <row r="3985">
      <c r="A3985" s="446" t="s">
        <v>7278</v>
      </c>
    </row>
    <row r="3986">
      <c r="A3986" s="446" t="s">
        <v>7278</v>
      </c>
    </row>
    <row r="3987">
      <c r="A3987" s="446" t="s">
        <v>6714</v>
      </c>
    </row>
    <row r="3988">
      <c r="A3988" s="446" t="s">
        <v>7259</v>
      </c>
    </row>
    <row r="3989">
      <c r="A3989" s="446" t="s">
        <v>7259</v>
      </c>
    </row>
    <row r="3990">
      <c r="A3990" s="446" t="s">
        <v>8353</v>
      </c>
    </row>
    <row r="3991">
      <c r="A3991" s="446" t="s">
        <v>7258</v>
      </c>
    </row>
    <row r="3992">
      <c r="A3992" s="446" t="s">
        <v>7258</v>
      </c>
    </row>
    <row r="3993">
      <c r="A3993" s="446" t="s">
        <v>7256</v>
      </c>
    </row>
    <row r="3994">
      <c r="A3994" s="446" t="s">
        <v>7255</v>
      </c>
    </row>
    <row r="3995">
      <c r="A3995" s="446" t="s">
        <v>7255</v>
      </c>
    </row>
    <row r="3996">
      <c r="A3996" s="446" t="s">
        <v>7255</v>
      </c>
    </row>
    <row r="3997">
      <c r="A3997" s="446" t="s">
        <v>7250</v>
      </c>
    </row>
    <row r="3998">
      <c r="A3998" s="446" t="s">
        <v>7034</v>
      </c>
    </row>
    <row r="3999">
      <c r="A3999" s="446" t="s">
        <v>7711</v>
      </c>
    </row>
    <row r="4000">
      <c r="A4000" s="446" t="s">
        <v>7709</v>
      </c>
    </row>
    <row r="4001">
      <c r="A4001" s="446" t="s">
        <v>7704</v>
      </c>
    </row>
    <row r="4002">
      <c r="A4002" s="446" t="s">
        <v>7707</v>
      </c>
    </row>
    <row r="4003">
      <c r="A4003" s="446" t="s">
        <v>7706</v>
      </c>
    </row>
    <row r="4004">
      <c r="A4004" s="446" t="s">
        <v>7706</v>
      </c>
    </row>
    <row r="4005">
      <c r="A4005" s="446" t="s">
        <v>7969</v>
      </c>
    </row>
    <row r="4006">
      <c r="A4006" s="446" t="s">
        <v>7969</v>
      </c>
    </row>
    <row r="4007">
      <c r="A4007" s="446" t="s">
        <v>7969</v>
      </c>
    </row>
    <row r="4008">
      <c r="A4008" s="446" t="s">
        <v>7969</v>
      </c>
    </row>
    <row r="4009">
      <c r="A4009" s="446" t="s">
        <v>7968</v>
      </c>
    </row>
    <row r="4010">
      <c r="A4010" s="446" t="s">
        <v>7968</v>
      </c>
    </row>
    <row r="4011">
      <c r="A4011" s="446" t="s">
        <v>7968</v>
      </c>
    </row>
    <row r="4012">
      <c r="A4012" s="446" t="s">
        <v>7968</v>
      </c>
    </row>
    <row r="4013">
      <c r="A4013" s="446" t="s">
        <v>7968</v>
      </c>
    </row>
    <row r="4014">
      <c r="A4014" s="446" t="s">
        <v>7807</v>
      </c>
    </row>
    <row r="4015">
      <c r="A4015" s="446" t="s">
        <v>7807</v>
      </c>
    </row>
    <row r="4016">
      <c r="A4016" s="446" t="s">
        <v>7807</v>
      </c>
    </row>
    <row r="4017">
      <c r="A4017" s="446" t="s">
        <v>7807</v>
      </c>
    </row>
    <row r="4018">
      <c r="A4018" s="446" t="s">
        <v>7971</v>
      </c>
    </row>
    <row r="4019">
      <c r="A4019" s="446" t="s">
        <v>7971</v>
      </c>
    </row>
    <row r="4020">
      <c r="A4020" s="446" t="s">
        <v>7247</v>
      </c>
    </row>
    <row r="4021">
      <c r="A4021" s="446" t="s">
        <v>7246</v>
      </c>
    </row>
    <row r="4022">
      <c r="A4022" s="446" t="s">
        <v>7972</v>
      </c>
    </row>
    <row r="4023">
      <c r="A4023" s="446" t="s">
        <v>7244</v>
      </c>
    </row>
    <row r="4024">
      <c r="A4024" s="446" t="s">
        <v>7244</v>
      </c>
    </row>
    <row r="4025">
      <c r="A4025" s="446" t="s">
        <v>7243</v>
      </c>
    </row>
    <row r="4026">
      <c r="A4026" s="446" t="s">
        <v>6724</v>
      </c>
    </row>
    <row r="4027">
      <c r="A4027" s="446" t="s">
        <v>6724</v>
      </c>
    </row>
    <row r="4028">
      <c r="A4028" s="446" t="s">
        <v>7239</v>
      </c>
    </row>
    <row r="4029">
      <c r="A4029" s="446" t="s">
        <v>7239</v>
      </c>
    </row>
    <row r="4030">
      <c r="A4030" s="446" t="s">
        <v>6726</v>
      </c>
    </row>
    <row r="4031">
      <c r="A4031" s="446" t="s">
        <v>6726</v>
      </c>
    </row>
    <row r="4032">
      <c r="A4032" s="446" t="s">
        <v>6729</v>
      </c>
    </row>
    <row r="4033">
      <c r="A4033" s="446" t="s">
        <v>7237</v>
      </c>
    </row>
    <row r="4034">
      <c r="A4034" s="446" t="s">
        <v>7236</v>
      </c>
    </row>
    <row r="4035">
      <c r="A4035" s="446" t="s">
        <v>7234</v>
      </c>
    </row>
    <row r="4036">
      <c r="A4036" s="446" t="s">
        <v>7233</v>
      </c>
    </row>
    <row r="4037">
      <c r="A4037" s="446" t="s">
        <v>7230</v>
      </c>
    </row>
    <row r="4038">
      <c r="A4038" s="446" t="s">
        <v>6731</v>
      </c>
    </row>
    <row r="4039">
      <c r="A4039" s="446" t="s">
        <v>6731</v>
      </c>
    </row>
    <row r="4040">
      <c r="A4040" s="446" t="s">
        <v>6731</v>
      </c>
    </row>
    <row r="4041">
      <c r="A4041" s="446" t="s">
        <v>7228</v>
      </c>
    </row>
    <row r="4042">
      <c r="A4042" s="446" t="s">
        <v>7227</v>
      </c>
    </row>
    <row r="4043">
      <c r="A4043" s="446" t="s">
        <v>7226</v>
      </c>
    </row>
    <row r="4044">
      <c r="A4044" s="446" t="s">
        <v>7225</v>
      </c>
    </row>
    <row r="4045">
      <c r="A4045" s="446" t="s">
        <v>7223</v>
      </c>
    </row>
    <row r="4046">
      <c r="A4046" s="446" t="s">
        <v>7223</v>
      </c>
    </row>
    <row r="4047">
      <c r="A4047" s="446" t="s">
        <v>7223</v>
      </c>
    </row>
    <row r="4048">
      <c r="A4048" s="446" t="s">
        <v>7223</v>
      </c>
    </row>
    <row r="4049">
      <c r="A4049" s="446" t="s">
        <v>7223</v>
      </c>
    </row>
    <row r="4050">
      <c r="A4050" s="446" t="s">
        <v>7220</v>
      </c>
    </row>
    <row r="4051">
      <c r="A4051" s="446" t="s">
        <v>3992</v>
      </c>
    </row>
    <row r="4052">
      <c r="A4052" s="446" t="s">
        <v>3992</v>
      </c>
    </row>
    <row r="4053">
      <c r="A4053" s="446" t="s">
        <v>3992</v>
      </c>
    </row>
    <row r="4054">
      <c r="A4054" s="446" t="s">
        <v>3992</v>
      </c>
    </row>
    <row r="4055">
      <c r="A4055" s="446" t="s">
        <v>3992</v>
      </c>
    </row>
    <row r="4056">
      <c r="A4056" s="446" t="s">
        <v>7221</v>
      </c>
    </row>
    <row r="4057">
      <c r="A4057" s="446" t="s">
        <v>7221</v>
      </c>
    </row>
    <row r="4058">
      <c r="A4058" s="446" t="s">
        <v>7221</v>
      </c>
    </row>
    <row r="4059">
      <c r="A4059" s="446" t="s">
        <v>7221</v>
      </c>
    </row>
    <row r="4060">
      <c r="A4060" s="446" t="s">
        <v>7221</v>
      </c>
    </row>
    <row r="4061">
      <c r="A4061" s="446" t="s">
        <v>7978</v>
      </c>
    </row>
    <row r="4062">
      <c r="A4062" s="446" t="s">
        <v>7978</v>
      </c>
    </row>
    <row r="4063">
      <c r="A4063" s="446" t="s">
        <v>7217</v>
      </c>
    </row>
    <row r="4064">
      <c r="A4064" s="446" t="s">
        <v>7217</v>
      </c>
    </row>
    <row r="4065">
      <c r="A4065" s="446" t="s">
        <v>7217</v>
      </c>
    </row>
    <row r="4066">
      <c r="A4066" s="446" t="s">
        <v>6734</v>
      </c>
    </row>
    <row r="4067">
      <c r="A4067" s="446" t="s">
        <v>7215</v>
      </c>
    </row>
    <row r="4068">
      <c r="A4068" s="446" t="s">
        <v>7215</v>
      </c>
    </row>
    <row r="4069">
      <c r="A4069" s="446" t="s">
        <v>7215</v>
      </c>
    </row>
    <row r="4070">
      <c r="A4070" s="446" t="s">
        <v>6738</v>
      </c>
    </row>
    <row r="4071">
      <c r="A4071" s="446" t="s">
        <v>6738</v>
      </c>
    </row>
    <row r="4072">
      <c r="A4072" s="446" t="s">
        <v>6738</v>
      </c>
    </row>
    <row r="4073">
      <c r="A4073" s="446" t="s">
        <v>6738</v>
      </c>
    </row>
    <row r="4074">
      <c r="A4074" s="446" t="s">
        <v>6738</v>
      </c>
    </row>
    <row r="4075">
      <c r="A4075" s="446" t="s">
        <v>6736</v>
      </c>
    </row>
    <row r="4076">
      <c r="A4076" s="446" t="s">
        <v>6736</v>
      </c>
    </row>
    <row r="4077">
      <c r="A4077" s="446" t="s">
        <v>6736</v>
      </c>
    </row>
    <row r="4078">
      <c r="A4078" s="446" t="s">
        <v>6736</v>
      </c>
    </row>
    <row r="4079">
      <c r="A4079" s="446" t="s">
        <v>6736</v>
      </c>
    </row>
    <row r="4080">
      <c r="A4080" s="446" t="s">
        <v>7213</v>
      </c>
    </row>
    <row r="4081">
      <c r="A4081" s="446" t="s">
        <v>7213</v>
      </c>
    </row>
    <row r="4082">
      <c r="A4082" s="446" t="s">
        <v>7213</v>
      </c>
    </row>
    <row r="4083">
      <c r="A4083" s="446" t="s">
        <v>7210</v>
      </c>
    </row>
    <row r="4084">
      <c r="A4084" s="446" t="s">
        <v>7210</v>
      </c>
    </row>
    <row r="4085">
      <c r="A4085" s="446" t="s">
        <v>7209</v>
      </c>
    </row>
    <row r="4086">
      <c r="A4086" s="446" t="s">
        <v>7209</v>
      </c>
    </row>
    <row r="4087">
      <c r="A4087" s="446" t="s">
        <v>7205</v>
      </c>
    </row>
    <row r="4088">
      <c r="A4088" s="446" t="s">
        <v>7205</v>
      </c>
    </row>
    <row r="4089">
      <c r="A4089" s="446" t="s">
        <v>7205</v>
      </c>
    </row>
    <row r="4090">
      <c r="A4090" s="446" t="s">
        <v>7203</v>
      </c>
    </row>
    <row r="4091">
      <c r="A4091" s="446" t="s">
        <v>7203</v>
      </c>
    </row>
    <row r="4092">
      <c r="A4092" s="446" t="s">
        <v>7201</v>
      </c>
    </row>
    <row r="4093">
      <c r="A4093" s="446" t="s">
        <v>7201</v>
      </c>
    </row>
    <row r="4094">
      <c r="A4094" s="446" t="s">
        <v>7201</v>
      </c>
    </row>
    <row r="4095">
      <c r="A4095" s="446" t="s">
        <v>7201</v>
      </c>
    </row>
    <row r="4096">
      <c r="A4096" s="446" t="s">
        <v>7199</v>
      </c>
    </row>
    <row r="4097">
      <c r="A4097" s="446" t="s">
        <v>7197</v>
      </c>
    </row>
    <row r="4098">
      <c r="A4098" s="446" t="s">
        <v>7197</v>
      </c>
    </row>
    <row r="4099">
      <c r="A4099" s="446" t="s">
        <v>7196</v>
      </c>
    </row>
    <row r="4100">
      <c r="A4100" s="446" t="s">
        <v>7194</v>
      </c>
    </row>
    <row r="4101">
      <c r="A4101" s="446" t="s">
        <v>7194</v>
      </c>
    </row>
    <row r="4102">
      <c r="A4102" s="446" t="s">
        <v>7191</v>
      </c>
    </row>
    <row r="4103">
      <c r="A4103" s="446" t="s">
        <v>6742</v>
      </c>
    </row>
    <row r="4104">
      <c r="A4104" s="446" t="s">
        <v>6742</v>
      </c>
    </row>
    <row r="4105">
      <c r="A4105" s="446" t="s">
        <v>6742</v>
      </c>
    </row>
    <row r="4106">
      <c r="A4106" s="446" t="s">
        <v>6740</v>
      </c>
    </row>
    <row r="4107">
      <c r="A4107" s="446" t="s">
        <v>6740</v>
      </c>
    </row>
    <row r="4108">
      <c r="A4108" s="446" t="s">
        <v>6740</v>
      </c>
    </row>
    <row r="4109">
      <c r="A4109" s="446" t="s">
        <v>6740</v>
      </c>
    </row>
    <row r="4110">
      <c r="A4110" s="446" t="s">
        <v>6740</v>
      </c>
    </row>
    <row r="4111">
      <c r="A4111" s="446" t="s">
        <v>7188</v>
      </c>
    </row>
    <row r="4112">
      <c r="A4112" s="446" t="s">
        <v>7188</v>
      </c>
    </row>
    <row r="4113">
      <c r="A4113" s="446" t="s">
        <v>7188</v>
      </c>
    </row>
    <row r="4114">
      <c r="A4114" s="446" t="s">
        <v>7188</v>
      </c>
    </row>
    <row r="4115">
      <c r="A4115" s="446" t="s">
        <v>7185</v>
      </c>
    </row>
    <row r="4116">
      <c r="A4116" s="446" t="s">
        <v>7185</v>
      </c>
    </row>
    <row r="4117">
      <c r="A4117" s="446" t="s">
        <v>7182</v>
      </c>
    </row>
    <row r="4118">
      <c r="A4118" s="446" t="s">
        <v>7182</v>
      </c>
    </row>
    <row r="4119">
      <c r="A4119" s="446" t="s">
        <v>7182</v>
      </c>
    </row>
    <row r="4120">
      <c r="A4120" s="446" t="s">
        <v>7182</v>
      </c>
    </row>
    <row r="4121">
      <c r="A4121" s="446" t="s">
        <v>7179</v>
      </c>
    </row>
    <row r="4122">
      <c r="A4122" s="446" t="s">
        <v>7179</v>
      </c>
    </row>
    <row r="4123">
      <c r="A4123" s="446" t="s">
        <v>6744</v>
      </c>
    </row>
    <row r="4124">
      <c r="A4124" s="446" t="s">
        <v>7178</v>
      </c>
    </row>
    <row r="4125">
      <c r="A4125" s="446" t="s">
        <v>7177</v>
      </c>
    </row>
    <row r="4126">
      <c r="A4126" s="446" t="s">
        <v>7175</v>
      </c>
    </row>
    <row r="4127">
      <c r="A4127" s="446" t="s">
        <v>7174</v>
      </c>
    </row>
    <row r="4128">
      <c r="A4128" s="446" t="s">
        <v>7174</v>
      </c>
    </row>
    <row r="4129">
      <c r="A4129" s="446" t="s">
        <v>7173</v>
      </c>
    </row>
    <row r="4130">
      <c r="A4130" s="446" t="s">
        <v>7173</v>
      </c>
    </row>
    <row r="4131">
      <c r="A4131" s="446" t="s">
        <v>3839</v>
      </c>
    </row>
    <row r="4132">
      <c r="A4132" s="446" t="s">
        <v>3839</v>
      </c>
    </row>
    <row r="4133">
      <c r="A4133" s="446" t="s">
        <v>3839</v>
      </c>
    </row>
    <row r="4134">
      <c r="A4134" s="446" t="s">
        <v>3839</v>
      </c>
    </row>
    <row r="4135">
      <c r="A4135" s="446" t="s">
        <v>3837</v>
      </c>
    </row>
    <row r="4136">
      <c r="A4136" s="446" t="s">
        <v>3837</v>
      </c>
    </row>
    <row r="4137">
      <c r="A4137" s="446" t="s">
        <v>3837</v>
      </c>
    </row>
    <row r="4138">
      <c r="A4138" s="446" t="s">
        <v>3759</v>
      </c>
    </row>
    <row r="4139">
      <c r="A4139" s="446" t="s">
        <v>3759</v>
      </c>
    </row>
    <row r="4140">
      <c r="A4140" s="446" t="s">
        <v>3759</v>
      </c>
    </row>
    <row r="4141">
      <c r="A4141" s="446" t="s">
        <v>7169</v>
      </c>
    </row>
    <row r="4142">
      <c r="A4142" s="446" t="s">
        <v>7169</v>
      </c>
    </row>
    <row r="4143">
      <c r="A4143" s="446" t="s">
        <v>7169</v>
      </c>
    </row>
    <row r="4144">
      <c r="A4144" s="446" t="s">
        <v>6749</v>
      </c>
    </row>
    <row r="4145">
      <c r="A4145" s="446" t="s">
        <v>6749</v>
      </c>
    </row>
    <row r="4146">
      <c r="A4146" s="446" t="s">
        <v>6749</v>
      </c>
    </row>
    <row r="4147">
      <c r="A4147" s="446" t="s">
        <v>6749</v>
      </c>
    </row>
    <row r="4148">
      <c r="A4148" s="446" t="s">
        <v>6749</v>
      </c>
    </row>
    <row r="4149">
      <c r="A4149" s="446" t="s">
        <v>7983</v>
      </c>
    </row>
    <row r="4150">
      <c r="A4150" s="446" t="s">
        <v>7983</v>
      </c>
    </row>
    <row r="4151">
      <c r="A4151" s="446" t="s">
        <v>7983</v>
      </c>
    </row>
    <row r="4152">
      <c r="A4152" s="446" t="s">
        <v>7983</v>
      </c>
    </row>
    <row r="4153">
      <c r="A4153" s="446" t="s">
        <v>6753</v>
      </c>
    </row>
    <row r="4154">
      <c r="A4154" s="446" t="s">
        <v>6753</v>
      </c>
    </row>
    <row r="4155">
      <c r="A4155" s="446" t="s">
        <v>6753</v>
      </c>
    </row>
    <row r="4156">
      <c r="A4156" s="446" t="s">
        <v>6753</v>
      </c>
    </row>
    <row r="4157">
      <c r="A4157" s="446" t="s">
        <v>6751</v>
      </c>
    </row>
    <row r="4158">
      <c r="A4158" s="446" t="s">
        <v>6751</v>
      </c>
    </row>
    <row r="4159">
      <c r="A4159" s="446" t="s">
        <v>6751</v>
      </c>
    </row>
    <row r="4160">
      <c r="A4160" s="446" t="s">
        <v>6751</v>
      </c>
    </row>
    <row r="4161">
      <c r="A4161" s="446" t="s">
        <v>7165</v>
      </c>
    </row>
    <row r="4162">
      <c r="A4162" s="446" t="s">
        <v>7165</v>
      </c>
    </row>
    <row r="4163">
      <c r="A4163" s="446" t="s">
        <v>7165</v>
      </c>
    </row>
    <row r="4164">
      <c r="A4164" s="446" t="s">
        <v>7165</v>
      </c>
    </row>
    <row r="4165">
      <c r="A4165" s="446" t="s">
        <v>7165</v>
      </c>
    </row>
    <row r="4166">
      <c r="A4166" s="446" t="s">
        <v>7164</v>
      </c>
    </row>
    <row r="4167">
      <c r="A4167" s="446" t="s">
        <v>7164</v>
      </c>
    </row>
    <row r="4168">
      <c r="A4168" s="446" t="s">
        <v>7164</v>
      </c>
    </row>
    <row r="4169">
      <c r="A4169" s="446" t="s">
        <v>7164</v>
      </c>
    </row>
    <row r="4170">
      <c r="A4170" s="446" t="s">
        <v>6755</v>
      </c>
    </row>
    <row r="4171">
      <c r="A4171" s="446" t="s">
        <v>6755</v>
      </c>
    </row>
    <row r="4172">
      <c r="A4172" s="446" t="s">
        <v>6755</v>
      </c>
    </row>
    <row r="4173">
      <c r="A4173" s="446" t="s">
        <v>7162</v>
      </c>
    </row>
    <row r="4174">
      <c r="A4174" s="446" t="s">
        <v>7161</v>
      </c>
    </row>
    <row r="4175">
      <c r="A4175" s="446" t="s">
        <v>7161</v>
      </c>
    </row>
    <row r="4176">
      <c r="A4176" s="446" t="s">
        <v>7159</v>
      </c>
    </row>
    <row r="4177">
      <c r="A4177" s="446" t="s">
        <v>7159</v>
      </c>
    </row>
    <row r="4178">
      <c r="A4178" s="446" t="s">
        <v>7159</v>
      </c>
    </row>
    <row r="4179">
      <c r="A4179" s="446" t="s">
        <v>7159</v>
      </c>
    </row>
    <row r="4180">
      <c r="A4180" s="446" t="s">
        <v>7159</v>
      </c>
    </row>
    <row r="4181">
      <c r="A4181" s="446" t="s">
        <v>6759</v>
      </c>
    </row>
    <row r="4182">
      <c r="A4182" s="446" t="s">
        <v>6759</v>
      </c>
    </row>
    <row r="4183">
      <c r="A4183" s="446" t="s">
        <v>6759</v>
      </c>
    </row>
    <row r="4184">
      <c r="A4184" s="446" t="s">
        <v>6759</v>
      </c>
    </row>
    <row r="4185">
      <c r="A4185" s="446" t="s">
        <v>6757</v>
      </c>
    </row>
    <row r="4186">
      <c r="A4186" s="446" t="s">
        <v>6757</v>
      </c>
    </row>
    <row r="4187">
      <c r="A4187" s="446" t="s">
        <v>7156</v>
      </c>
    </row>
    <row r="4188">
      <c r="A4188" s="446" t="s">
        <v>7156</v>
      </c>
    </row>
    <row r="4189">
      <c r="A4189" s="446" t="s">
        <v>7156</v>
      </c>
    </row>
    <row r="4190">
      <c r="A4190" s="446" t="s">
        <v>7156</v>
      </c>
    </row>
    <row r="4191">
      <c r="A4191" s="446" t="s">
        <v>7154</v>
      </c>
    </row>
    <row r="4192">
      <c r="A4192" s="446" t="s">
        <v>7154</v>
      </c>
    </row>
    <row r="4193">
      <c r="A4193" s="446" t="s">
        <v>7154</v>
      </c>
    </row>
    <row r="4194">
      <c r="A4194" s="446" t="s">
        <v>7154</v>
      </c>
    </row>
    <row r="4195">
      <c r="A4195" s="446" t="s">
        <v>7154</v>
      </c>
    </row>
    <row r="4196">
      <c r="A4196" s="446" t="s">
        <v>6761</v>
      </c>
    </row>
    <row r="4197">
      <c r="A4197" s="446" t="s">
        <v>6761</v>
      </c>
    </row>
    <row r="4198">
      <c r="A4198" s="446" t="s">
        <v>6761</v>
      </c>
    </row>
    <row r="4199">
      <c r="A4199" s="446" t="s">
        <v>6761</v>
      </c>
    </row>
    <row r="4200">
      <c r="A4200" s="446" t="s">
        <v>7149</v>
      </c>
    </row>
    <row r="4201">
      <c r="A4201" s="446" t="s">
        <v>7149</v>
      </c>
    </row>
    <row r="4202">
      <c r="A4202" s="446" t="s">
        <v>7149</v>
      </c>
    </row>
    <row r="4203">
      <c r="A4203" s="446" t="s">
        <v>7149</v>
      </c>
    </row>
    <row r="4204">
      <c r="A4204" s="446" t="s">
        <v>7149</v>
      </c>
    </row>
    <row r="4205">
      <c r="A4205" s="446" t="s">
        <v>6763</v>
      </c>
    </row>
    <row r="4206">
      <c r="A4206" s="446" t="s">
        <v>6763</v>
      </c>
    </row>
    <row r="4207">
      <c r="A4207" s="446" t="s">
        <v>6763</v>
      </c>
    </row>
    <row r="4208">
      <c r="A4208" s="446" t="s">
        <v>6763</v>
      </c>
    </row>
    <row r="4209">
      <c r="A4209" s="446" t="s">
        <v>7148</v>
      </c>
    </row>
    <row r="4210">
      <c r="A4210" s="446" t="s">
        <v>7145</v>
      </c>
    </row>
    <row r="4211">
      <c r="A4211" s="446" t="s">
        <v>7145</v>
      </c>
    </row>
    <row r="4212">
      <c r="A4212" s="446" t="s">
        <v>3718</v>
      </c>
    </row>
    <row r="4213">
      <c r="A4213" s="446" t="s">
        <v>3718</v>
      </c>
    </row>
    <row r="4214">
      <c r="A4214" s="446" t="s">
        <v>3718</v>
      </c>
    </row>
    <row r="4215">
      <c r="A4215" s="446" t="s">
        <v>7139</v>
      </c>
    </row>
    <row r="4216">
      <c r="A4216" s="446" t="s">
        <v>7142</v>
      </c>
    </row>
    <row r="4217">
      <c r="A4217" s="446" t="s">
        <v>7142</v>
      </c>
    </row>
    <row r="4218">
      <c r="A4218" s="446" t="s">
        <v>7142</v>
      </c>
    </row>
    <row r="4219">
      <c r="A4219" s="446" t="s">
        <v>7142</v>
      </c>
    </row>
    <row r="4220">
      <c r="A4220" s="446" t="s">
        <v>7141</v>
      </c>
    </row>
    <row r="4221">
      <c r="A4221" s="446" t="s">
        <v>7141</v>
      </c>
    </row>
    <row r="4222">
      <c r="A4222" s="446" t="s">
        <v>7141</v>
      </c>
    </row>
    <row r="4223">
      <c r="A4223" s="446" t="s">
        <v>7141</v>
      </c>
    </row>
    <row r="4224">
      <c r="A4224" s="446" t="s">
        <v>7137</v>
      </c>
    </row>
    <row r="4225">
      <c r="A4225" s="446" t="s">
        <v>7127</v>
      </c>
    </row>
    <row r="4226">
      <c r="A4226" s="446" t="s">
        <v>8376</v>
      </c>
    </row>
    <row r="4227">
      <c r="A4227" s="446" t="s">
        <v>7130</v>
      </c>
    </row>
    <row r="4228">
      <c r="A4228" s="446" t="s">
        <v>7130</v>
      </c>
    </row>
    <row r="4229">
      <c r="A4229" s="446" t="s">
        <v>7129</v>
      </c>
    </row>
    <row r="4230">
      <c r="A4230" s="446" t="s">
        <v>7126</v>
      </c>
    </row>
    <row r="4231">
      <c r="A4231" s="446" t="s">
        <v>7126</v>
      </c>
    </row>
    <row r="4232">
      <c r="A4232" s="446" t="s">
        <v>7124</v>
      </c>
    </row>
    <row r="4233">
      <c r="A4233" s="446" t="s">
        <v>7121</v>
      </c>
    </row>
    <row r="4234">
      <c r="A4234" s="446" t="s">
        <v>7121</v>
      </c>
    </row>
    <row r="4235">
      <c r="A4235" s="446" t="s">
        <v>7121</v>
      </c>
    </row>
    <row r="4236">
      <c r="A4236" s="446" t="s">
        <v>7121</v>
      </c>
    </row>
    <row r="4237">
      <c r="A4237" s="446" t="s">
        <v>7121</v>
      </c>
    </row>
    <row r="4238">
      <c r="A4238" s="446" t="s">
        <v>7119</v>
      </c>
    </row>
    <row r="4239">
      <c r="A4239" s="446" t="s">
        <v>7119</v>
      </c>
    </row>
    <row r="4240">
      <c r="A4240" s="446" t="s">
        <v>7122</v>
      </c>
    </row>
    <row r="4241">
      <c r="A4241" s="446" t="s">
        <v>6774</v>
      </c>
    </row>
    <row r="4242">
      <c r="A4242" s="446" t="s">
        <v>6774</v>
      </c>
    </row>
    <row r="4243">
      <c r="A4243" s="446" t="s">
        <v>6772</v>
      </c>
    </row>
    <row r="4244">
      <c r="A4244" s="446" t="s">
        <v>6772</v>
      </c>
    </row>
    <row r="4245">
      <c r="A4245" s="446" t="s">
        <v>6772</v>
      </c>
    </row>
    <row r="4246">
      <c r="A4246" s="446" t="s">
        <v>6772</v>
      </c>
    </row>
    <row r="4247">
      <c r="A4247" s="446" t="s">
        <v>7114</v>
      </c>
    </row>
    <row r="4248">
      <c r="A4248" s="446" t="s">
        <v>7113</v>
      </c>
    </row>
    <row r="4249">
      <c r="A4249" s="446" t="s">
        <v>6776</v>
      </c>
    </row>
    <row r="4250">
      <c r="A4250" s="446" t="s">
        <v>6776</v>
      </c>
    </row>
    <row r="4251">
      <c r="A4251" s="446" t="s">
        <v>6776</v>
      </c>
    </row>
    <row r="4252">
      <c r="A4252" s="446" t="s">
        <v>6776</v>
      </c>
    </row>
    <row r="4253">
      <c r="A4253" s="446" t="s">
        <v>6776</v>
      </c>
    </row>
    <row r="4254">
      <c r="A4254" s="446" t="s">
        <v>7110</v>
      </c>
    </row>
    <row r="4255">
      <c r="A4255" s="446" t="s">
        <v>7110</v>
      </c>
    </row>
    <row r="4256">
      <c r="A4256" s="446" t="s">
        <v>7110</v>
      </c>
    </row>
    <row r="4257">
      <c r="A4257" s="446" t="s">
        <v>7110</v>
      </c>
    </row>
    <row r="4258">
      <c r="A4258" s="446" t="s">
        <v>6780</v>
      </c>
    </row>
    <row r="4259">
      <c r="A4259" s="446" t="s">
        <v>6780</v>
      </c>
    </row>
    <row r="4260">
      <c r="A4260" s="446" t="s">
        <v>7104</v>
      </c>
    </row>
    <row r="4261">
      <c r="A4261" s="446" t="s">
        <v>7104</v>
      </c>
    </row>
    <row r="4262">
      <c r="A4262" s="446" t="s">
        <v>7104</v>
      </c>
    </row>
    <row r="4263">
      <c r="A4263" s="446" t="s">
        <v>7104</v>
      </c>
    </row>
    <row r="4264">
      <c r="A4264" s="446" t="s">
        <v>7104</v>
      </c>
    </row>
    <row r="4265">
      <c r="A4265" s="446" t="s">
        <v>7102</v>
      </c>
    </row>
    <row r="4266">
      <c r="A4266" s="446" t="s">
        <v>7102</v>
      </c>
    </row>
    <row r="4267">
      <c r="A4267" s="446" t="s">
        <v>7101</v>
      </c>
    </row>
    <row r="4268">
      <c r="A4268" s="446" t="s">
        <v>7101</v>
      </c>
    </row>
    <row r="4269">
      <c r="A4269" s="446" t="s">
        <v>6788</v>
      </c>
    </row>
    <row r="4270">
      <c r="A4270" s="446" t="s">
        <v>6788</v>
      </c>
    </row>
    <row r="4271">
      <c r="A4271" s="446" t="s">
        <v>6788</v>
      </c>
    </row>
    <row r="4272">
      <c r="A4272" s="446" t="s">
        <v>6788</v>
      </c>
    </row>
    <row r="4273">
      <c r="A4273" s="446" t="s">
        <v>6788</v>
      </c>
    </row>
    <row r="4274">
      <c r="A4274" s="446" t="s">
        <v>6785</v>
      </c>
    </row>
    <row r="4275">
      <c r="A4275" s="446" t="s">
        <v>6785</v>
      </c>
    </row>
    <row r="4276">
      <c r="A4276" s="446" t="s">
        <v>6785</v>
      </c>
    </row>
    <row r="4277">
      <c r="A4277" s="446" t="s">
        <v>6785</v>
      </c>
    </row>
    <row r="4278">
      <c r="A4278" s="446" t="s">
        <v>6785</v>
      </c>
    </row>
    <row r="4279">
      <c r="A4279" s="446" t="s">
        <v>6782</v>
      </c>
    </row>
    <row r="4280">
      <c r="A4280" s="446" t="s">
        <v>6782</v>
      </c>
    </row>
    <row r="4281">
      <c r="A4281" s="446" t="s">
        <v>6782</v>
      </c>
    </row>
    <row r="4282">
      <c r="A4282" s="446" t="s">
        <v>6782</v>
      </c>
    </row>
    <row r="4283">
      <c r="A4283" s="446" t="s">
        <v>6790</v>
      </c>
    </row>
    <row r="4284">
      <c r="A4284" s="446" t="s">
        <v>6790</v>
      </c>
    </row>
    <row r="4285">
      <c r="A4285" s="446" t="s">
        <v>6790</v>
      </c>
    </row>
    <row r="4286">
      <c r="A4286" s="446" t="s">
        <v>6790</v>
      </c>
    </row>
    <row r="4287">
      <c r="A4287" s="446" t="s">
        <v>6790</v>
      </c>
    </row>
    <row r="4288">
      <c r="A4288" s="446" t="s">
        <v>7094</v>
      </c>
    </row>
    <row r="4289">
      <c r="A4289" s="446" t="s">
        <v>6794</v>
      </c>
    </row>
    <row r="4290">
      <c r="A4290" s="446" t="s">
        <v>6794</v>
      </c>
    </row>
    <row r="4291">
      <c r="A4291" s="446" t="s">
        <v>6794</v>
      </c>
    </row>
    <row r="4292">
      <c r="A4292" s="446" t="s">
        <v>6794</v>
      </c>
    </row>
    <row r="4293">
      <c r="A4293" s="446" t="s">
        <v>6794</v>
      </c>
    </row>
    <row r="4294">
      <c r="A4294" s="446" t="s">
        <v>6794</v>
      </c>
    </row>
    <row r="4295">
      <c r="A4295" s="446" t="s">
        <v>6796</v>
      </c>
    </row>
    <row r="4296">
      <c r="A4296" s="446" t="s">
        <v>6796</v>
      </c>
    </row>
    <row r="4297">
      <c r="A4297" s="446" t="s">
        <v>6796</v>
      </c>
    </row>
    <row r="4298">
      <c r="A4298" s="446" t="s">
        <v>6796</v>
      </c>
    </row>
    <row r="4299">
      <c r="A4299" s="446" t="s">
        <v>7092</v>
      </c>
    </row>
    <row r="4300">
      <c r="A4300" s="446" t="s">
        <v>7092</v>
      </c>
    </row>
    <row r="4301">
      <c r="A4301" s="446" t="s">
        <v>7092</v>
      </c>
    </row>
    <row r="4302">
      <c r="A4302" s="446" t="s">
        <v>7092</v>
      </c>
    </row>
    <row r="4303">
      <c r="A4303" s="446" t="s">
        <v>7092</v>
      </c>
    </row>
    <row r="4304">
      <c r="A4304" s="446" t="s">
        <v>6798</v>
      </c>
    </row>
    <row r="4305">
      <c r="A4305" s="446" t="s">
        <v>6798</v>
      </c>
    </row>
    <row r="4306">
      <c r="A4306" s="446" t="s">
        <v>6798</v>
      </c>
    </row>
    <row r="4307">
      <c r="A4307" s="446" t="s">
        <v>6798</v>
      </c>
    </row>
    <row r="4308">
      <c r="A4308" s="446" t="s">
        <v>6798</v>
      </c>
    </row>
    <row r="4309">
      <c r="A4309" s="446" t="s">
        <v>6798</v>
      </c>
    </row>
    <row r="4310">
      <c r="A4310" s="446" t="s">
        <v>6802</v>
      </c>
    </row>
    <row r="4311">
      <c r="A4311" s="446" t="s">
        <v>6802</v>
      </c>
    </row>
    <row r="4312">
      <c r="A4312" s="446" t="s">
        <v>6800</v>
      </c>
    </row>
    <row r="4313">
      <c r="A4313" s="446" t="s">
        <v>6800</v>
      </c>
    </row>
    <row r="4314">
      <c r="A4314" s="446" t="s">
        <v>6800</v>
      </c>
    </row>
    <row r="4315">
      <c r="A4315" s="446" t="s">
        <v>6800</v>
      </c>
    </row>
    <row r="4316">
      <c r="A4316" s="446" t="s">
        <v>6800</v>
      </c>
    </row>
    <row r="4317">
      <c r="A4317" s="446" t="s">
        <v>7086</v>
      </c>
    </row>
    <row r="4318">
      <c r="A4318" s="446" t="s">
        <v>7086</v>
      </c>
    </row>
    <row r="4319">
      <c r="A4319" s="446" t="s">
        <v>7086</v>
      </c>
    </row>
    <row r="4320">
      <c r="A4320" s="446" t="s">
        <v>6804</v>
      </c>
    </row>
    <row r="4321">
      <c r="A4321" s="446" t="s">
        <v>6804</v>
      </c>
    </row>
    <row r="4322">
      <c r="A4322" s="446" t="s">
        <v>7083</v>
      </c>
    </row>
    <row r="4323">
      <c r="A4323" s="446" t="s">
        <v>7082</v>
      </c>
    </row>
    <row r="4324">
      <c r="A4324" s="446" t="s">
        <v>7082</v>
      </c>
    </row>
    <row r="4325">
      <c r="A4325" s="446" t="s">
        <v>6026</v>
      </c>
    </row>
    <row r="4326">
      <c r="A4326" s="446" t="s">
        <v>6026</v>
      </c>
    </row>
    <row r="4327">
      <c r="A4327" s="446" t="s">
        <v>6026</v>
      </c>
    </row>
    <row r="4328">
      <c r="A4328" s="446" t="s">
        <v>6026</v>
      </c>
    </row>
    <row r="4329">
      <c r="A4329" s="446" t="s">
        <v>6808</v>
      </c>
    </row>
    <row r="4330">
      <c r="A4330" s="446" t="s">
        <v>6808</v>
      </c>
    </row>
    <row r="4331">
      <c r="A4331" s="446" t="s">
        <v>6808</v>
      </c>
    </row>
    <row r="4332">
      <c r="A4332" s="446" t="s">
        <v>7074</v>
      </c>
    </row>
    <row r="4333">
      <c r="A4333" s="446" t="s">
        <v>6813</v>
      </c>
    </row>
    <row r="4334">
      <c r="A4334" s="446" t="s">
        <v>6813</v>
      </c>
    </row>
    <row r="4335">
      <c r="A4335" s="446" t="s">
        <v>6813</v>
      </c>
    </row>
    <row r="4336">
      <c r="A4336" s="446" t="s">
        <v>6813</v>
      </c>
    </row>
    <row r="4337">
      <c r="A4337" s="446" t="s">
        <v>6813</v>
      </c>
    </row>
    <row r="4338">
      <c r="A4338" s="446" t="s">
        <v>6811</v>
      </c>
    </row>
    <row r="4339">
      <c r="A4339" s="446" t="s">
        <v>6811</v>
      </c>
    </row>
    <row r="4340">
      <c r="A4340" s="446" t="s">
        <v>6811</v>
      </c>
    </row>
    <row r="4341">
      <c r="A4341" s="446" t="s">
        <v>6815</v>
      </c>
    </row>
    <row r="4342">
      <c r="A4342" s="446" t="s">
        <v>6815</v>
      </c>
    </row>
    <row r="4343">
      <c r="A4343" s="446" t="s">
        <v>6819</v>
      </c>
    </row>
    <row r="4344">
      <c r="A4344" s="446" t="s">
        <v>6819</v>
      </c>
    </row>
    <row r="4345">
      <c r="A4345" s="446" t="s">
        <v>6817</v>
      </c>
    </row>
    <row r="4346">
      <c r="A4346" s="446" t="s">
        <v>6817</v>
      </c>
    </row>
    <row r="4347">
      <c r="A4347" s="446" t="s">
        <v>6817</v>
      </c>
    </row>
    <row r="4348">
      <c r="A4348" s="446" t="s">
        <v>6821</v>
      </c>
    </row>
    <row r="4349">
      <c r="A4349" s="446" t="s">
        <v>7061</v>
      </c>
    </row>
    <row r="4350">
      <c r="A4350" s="446" t="s">
        <v>7061</v>
      </c>
    </row>
    <row r="4351">
      <c r="A4351" s="446" t="s">
        <v>6823</v>
      </c>
    </row>
    <row r="4352">
      <c r="A4352" s="446" t="s">
        <v>7058</v>
      </c>
    </row>
    <row r="4353">
      <c r="A4353" s="446" t="s">
        <v>7058</v>
      </c>
    </row>
    <row r="4354">
      <c r="A4354" s="446" t="s">
        <v>7060</v>
      </c>
    </row>
    <row r="4355">
      <c r="A4355" s="446" t="s">
        <v>7060</v>
      </c>
    </row>
    <row r="4356">
      <c r="A4356" s="446" t="s">
        <v>7060</v>
      </c>
    </row>
    <row r="4357">
      <c r="A4357" s="446" t="s">
        <v>7060</v>
      </c>
    </row>
    <row r="4358">
      <c r="A4358" s="446" t="s">
        <v>6825</v>
      </c>
    </row>
    <row r="4359">
      <c r="A4359" s="446" t="s">
        <v>6825</v>
      </c>
    </row>
    <row r="4360">
      <c r="A4360" s="446" t="s">
        <v>7056</v>
      </c>
    </row>
    <row r="4361">
      <c r="A4361" s="446" t="s">
        <v>7055</v>
      </c>
    </row>
    <row r="4362">
      <c r="A4362" s="446" t="s">
        <v>7055</v>
      </c>
    </row>
    <row r="4363">
      <c r="A4363" s="446" t="s">
        <v>7051</v>
      </c>
    </row>
    <row r="4364">
      <c r="A4364" s="446" t="s">
        <v>7048</v>
      </c>
    </row>
    <row r="4365">
      <c r="A4365" s="446" t="s">
        <v>7048</v>
      </c>
    </row>
    <row r="4366">
      <c r="A4366" s="446" t="s">
        <v>7046</v>
      </c>
    </row>
    <row r="4367">
      <c r="A4367" s="446" t="s">
        <v>7046</v>
      </c>
    </row>
    <row r="4368">
      <c r="A4368" s="446" t="s">
        <v>7046</v>
      </c>
    </row>
    <row r="4369">
      <c r="A4369" s="446" t="s">
        <v>7046</v>
      </c>
    </row>
    <row r="4370">
      <c r="A4370" s="446" t="s">
        <v>7045</v>
      </c>
    </row>
    <row r="4371">
      <c r="A4371" s="446" t="s">
        <v>7045</v>
      </c>
    </row>
    <row r="4372">
      <c r="A4372" s="446" t="s">
        <v>7045</v>
      </c>
    </row>
    <row r="4373">
      <c r="A4373" s="446" t="s">
        <v>6828</v>
      </c>
    </row>
    <row r="4374">
      <c r="A4374" s="446" t="s">
        <v>6828</v>
      </c>
    </row>
    <row r="4375">
      <c r="A4375" s="446" t="s">
        <v>6830</v>
      </c>
    </row>
    <row r="4376">
      <c r="A4376" s="446" t="s">
        <v>6830</v>
      </c>
    </row>
    <row r="4377">
      <c r="A4377" s="446" t="s">
        <v>7039</v>
      </c>
    </row>
    <row r="4378">
      <c r="A4378" s="446" t="s">
        <v>7039</v>
      </c>
    </row>
    <row r="4379">
      <c r="A4379" s="446" t="s">
        <v>7039</v>
      </c>
    </row>
    <row r="4380">
      <c r="A4380" s="446" t="s">
        <v>7039</v>
      </c>
    </row>
    <row r="4381">
      <c r="A4381" s="446" t="s">
        <v>7039</v>
      </c>
    </row>
    <row r="4382">
      <c r="A4382" s="446" t="s">
        <v>6832</v>
      </c>
    </row>
    <row r="4383">
      <c r="A4383" s="446" t="s">
        <v>6832</v>
      </c>
    </row>
    <row r="4384">
      <c r="A4384" s="446" t="s">
        <v>6832</v>
      </c>
    </row>
    <row r="4385">
      <c r="A4385" s="446" t="s">
        <v>6836</v>
      </c>
    </row>
    <row r="4386">
      <c r="A4386" s="446" t="s">
        <v>6836</v>
      </c>
    </row>
    <row r="4387">
      <c r="A4387" s="446" t="s">
        <v>6836</v>
      </c>
    </row>
    <row r="4388">
      <c r="A4388" s="446" t="s">
        <v>6836</v>
      </c>
    </row>
    <row r="4389">
      <c r="A4389" s="446" t="s">
        <v>6836</v>
      </c>
    </row>
    <row r="4390">
      <c r="A4390" s="446" t="s">
        <v>3514</v>
      </c>
    </row>
    <row r="4391">
      <c r="A4391" s="446" t="s">
        <v>3514</v>
      </c>
    </row>
    <row r="4392">
      <c r="A4392" s="446" t="s">
        <v>3514</v>
      </c>
    </row>
    <row r="4393">
      <c r="A4393" s="446" t="s">
        <v>3514</v>
      </c>
    </row>
    <row r="4394">
      <c r="A4394" s="446" t="s">
        <v>3514</v>
      </c>
    </row>
    <row r="4395">
      <c r="A4395" s="446" t="s">
        <v>3514</v>
      </c>
    </row>
    <row r="4396">
      <c r="A4396" s="446" t="s">
        <v>3707</v>
      </c>
    </row>
    <row r="4397">
      <c r="A4397" s="446" t="s">
        <v>3707</v>
      </c>
    </row>
    <row r="4398">
      <c r="A4398" s="446" t="s">
        <v>3707</v>
      </c>
    </row>
    <row r="4399">
      <c r="A4399" s="446" t="s">
        <v>3707</v>
      </c>
    </row>
    <row r="4400">
      <c r="A4400" s="446" t="s">
        <v>3707</v>
      </c>
    </row>
    <row r="4401">
      <c r="A4401" s="446" t="s">
        <v>7030</v>
      </c>
    </row>
    <row r="4402">
      <c r="A4402" s="446" t="s">
        <v>7030</v>
      </c>
    </row>
    <row r="4403">
      <c r="A4403" s="446" t="s">
        <v>7032</v>
      </c>
    </row>
    <row r="4404">
      <c r="A4404" s="446" t="s">
        <v>7032</v>
      </c>
    </row>
    <row r="4405">
      <c r="A4405" s="446" t="s">
        <v>7022</v>
      </c>
    </row>
    <row r="4406">
      <c r="A4406" s="446" t="s">
        <v>7022</v>
      </c>
    </row>
    <row r="4407">
      <c r="A4407" s="446" t="s">
        <v>7022</v>
      </c>
    </row>
    <row r="4408">
      <c r="A4408" s="446" t="s">
        <v>7025</v>
      </c>
    </row>
    <row r="4409">
      <c r="A4409" s="446" t="s">
        <v>7025</v>
      </c>
    </row>
    <row r="4410">
      <c r="A4410" s="446" t="s">
        <v>7025</v>
      </c>
    </row>
    <row r="4411">
      <c r="A4411" s="446" t="s">
        <v>7025</v>
      </c>
    </row>
    <row r="4412">
      <c r="A4412" s="446" t="s">
        <v>7025</v>
      </c>
    </row>
    <row r="4413">
      <c r="A4413" s="446" t="s">
        <v>7023</v>
      </c>
    </row>
    <row r="4414">
      <c r="A4414" s="446" t="s">
        <v>7023</v>
      </c>
    </row>
    <row r="4415">
      <c r="A4415" s="446" t="s">
        <v>7023</v>
      </c>
    </row>
    <row r="4416">
      <c r="A4416" s="446" t="s">
        <v>7023</v>
      </c>
    </row>
    <row r="4417">
      <c r="A4417" s="446" t="s">
        <v>6841</v>
      </c>
    </row>
    <row r="4418">
      <c r="A4418" s="446" t="s">
        <v>6841</v>
      </c>
    </row>
    <row r="4419">
      <c r="A4419" s="446" t="s">
        <v>7020</v>
      </c>
    </row>
    <row r="4420">
      <c r="A4420" s="446" t="s">
        <v>7020</v>
      </c>
    </row>
    <row r="4421">
      <c r="A4421" s="446" t="s">
        <v>6838</v>
      </c>
    </row>
    <row r="4422">
      <c r="A4422" s="446" t="s">
        <v>6838</v>
      </c>
    </row>
    <row r="4423">
      <c r="A4423" s="446" t="s">
        <v>7017</v>
      </c>
    </row>
    <row r="4424">
      <c r="A4424" s="446" t="s">
        <v>7017</v>
      </c>
    </row>
    <row r="4425">
      <c r="A4425" s="446" t="s">
        <v>7016</v>
      </c>
    </row>
    <row r="4426">
      <c r="A4426" s="446" t="s">
        <v>7016</v>
      </c>
    </row>
    <row r="4427">
      <c r="A4427" s="446" t="s">
        <v>7019</v>
      </c>
    </row>
    <row r="4428">
      <c r="A4428" s="446" t="s">
        <v>7019</v>
      </c>
    </row>
    <row r="4429">
      <c r="A4429" s="446" t="s">
        <v>7019</v>
      </c>
    </row>
    <row r="4430">
      <c r="A4430" s="446" t="s">
        <v>7019</v>
      </c>
    </row>
    <row r="4431">
      <c r="A4431" s="446" t="s">
        <v>7019</v>
      </c>
    </row>
    <row r="4432">
      <c r="A4432" s="446" t="s">
        <v>7018</v>
      </c>
    </row>
    <row r="4433">
      <c r="A4433" s="446" t="s">
        <v>7018</v>
      </c>
    </row>
    <row r="4434">
      <c r="A4434" s="446" t="s">
        <v>7018</v>
      </c>
    </row>
    <row r="4435">
      <c r="A4435" s="446" t="s">
        <v>7018</v>
      </c>
    </row>
    <row r="4436">
      <c r="A4436" s="446" t="s">
        <v>7012</v>
      </c>
    </row>
    <row r="4437">
      <c r="A4437" s="446" t="s">
        <v>3459</v>
      </c>
    </row>
    <row r="4438">
      <c r="A4438" s="446" t="s">
        <v>3459</v>
      </c>
    </row>
    <row r="4439">
      <c r="A4439" s="446" t="s">
        <v>3459</v>
      </c>
    </row>
    <row r="4440">
      <c r="A4440" s="446" t="s">
        <v>3459</v>
      </c>
    </row>
    <row r="4441">
      <c r="A4441" s="446" t="s">
        <v>3459</v>
      </c>
    </row>
    <row r="4442">
      <c r="A4442" s="446" t="s">
        <v>7014</v>
      </c>
    </row>
    <row r="4443">
      <c r="A4443" s="446" t="s">
        <v>7014</v>
      </c>
    </row>
    <row r="4444">
      <c r="A4444" s="446" t="s">
        <v>7014</v>
      </c>
    </row>
    <row r="4445">
      <c r="A4445" s="446" t="s">
        <v>7014</v>
      </c>
    </row>
    <row r="4446">
      <c r="A4446" s="446" t="s">
        <v>7014</v>
      </c>
    </row>
    <row r="4447">
      <c r="A4447" s="446" t="s">
        <v>7011</v>
      </c>
    </row>
    <row r="4448">
      <c r="A4448" s="446" t="s">
        <v>7011</v>
      </c>
    </row>
    <row r="4449">
      <c r="A4449" s="446" t="s">
        <v>7010</v>
      </c>
    </row>
    <row r="4450">
      <c r="A4450" s="446" t="s">
        <v>7010</v>
      </c>
    </row>
    <row r="4451">
      <c r="A4451" s="446" t="s">
        <v>7009</v>
      </c>
    </row>
    <row r="4452">
      <c r="A4452" s="446" t="s">
        <v>7009</v>
      </c>
    </row>
    <row r="4453">
      <c r="A4453" s="446" t="s">
        <v>7008</v>
      </c>
    </row>
    <row r="4454">
      <c r="A4454" s="446" t="s">
        <v>7008</v>
      </c>
    </row>
    <row r="4455">
      <c r="A4455" s="446" t="s">
        <v>7008</v>
      </c>
    </row>
    <row r="4456">
      <c r="A4456" s="446" t="s">
        <v>6846</v>
      </c>
    </row>
    <row r="4457">
      <c r="A4457" s="446" t="s">
        <v>6846</v>
      </c>
    </row>
    <row r="4458">
      <c r="A4458" s="446" t="s">
        <v>6846</v>
      </c>
    </row>
    <row r="4459">
      <c r="A4459" s="446" t="s">
        <v>6844</v>
      </c>
    </row>
    <row r="4460">
      <c r="A4460" s="446" t="s">
        <v>6844</v>
      </c>
    </row>
    <row r="4461">
      <c r="A4461" s="446" t="s">
        <v>7003</v>
      </c>
    </row>
    <row r="4462">
      <c r="A4462" s="446" t="s">
        <v>7001</v>
      </c>
    </row>
    <row r="4463">
      <c r="A4463" s="446" t="s">
        <v>7000</v>
      </c>
    </row>
    <row r="4464">
      <c r="A4464" s="446" t="s">
        <v>7007</v>
      </c>
    </row>
    <row r="4465">
      <c r="A4465" s="446" t="s">
        <v>7007</v>
      </c>
    </row>
    <row r="4466">
      <c r="A4466" s="446" t="s">
        <v>6848</v>
      </c>
    </row>
    <row r="4467">
      <c r="A4467" s="446" t="s">
        <v>6848</v>
      </c>
    </row>
    <row r="4468">
      <c r="A4468" s="446" t="s">
        <v>7005</v>
      </c>
    </row>
    <row r="4469">
      <c r="A4469" s="446" t="s">
        <v>7002</v>
      </c>
    </row>
    <row r="4470">
      <c r="A4470" s="446" t="s">
        <v>7006</v>
      </c>
    </row>
    <row r="4471">
      <c r="A4471" s="446" t="s">
        <v>7007</v>
      </c>
    </row>
    <row r="4472">
      <c r="A4472" s="446" t="s">
        <v>6848</v>
      </c>
    </row>
    <row r="4473">
      <c r="A4473" s="446" t="s">
        <v>6848</v>
      </c>
    </row>
    <row r="4474">
      <c r="A4474" s="446" t="s">
        <v>6999</v>
      </c>
    </row>
    <row r="4475">
      <c r="A4475" s="446" t="s">
        <v>6996</v>
      </c>
    </row>
    <row r="4476">
      <c r="A4476" s="446" t="s">
        <v>6850</v>
      </c>
    </row>
    <row r="4477">
      <c r="A4477" s="446" t="s">
        <v>6850</v>
      </c>
    </row>
    <row r="4478">
      <c r="A4478" s="446" t="s">
        <v>6850</v>
      </c>
    </row>
    <row r="4479">
      <c r="A4479" s="446" t="s">
        <v>6850</v>
      </c>
    </row>
    <row r="4480">
      <c r="A4480" s="446" t="s">
        <v>6990</v>
      </c>
    </row>
    <row r="4481">
      <c r="A4481" s="446" t="s">
        <v>6990</v>
      </c>
    </row>
    <row r="4482">
      <c r="A4482" s="446" t="s">
        <v>6992</v>
      </c>
    </row>
    <row r="4483">
      <c r="A4483" s="446" t="s">
        <v>6992</v>
      </c>
    </row>
    <row r="4484">
      <c r="A4484" s="446" t="s">
        <v>6991</v>
      </c>
    </row>
    <row r="4485">
      <c r="A4485" s="446" t="s">
        <v>6991</v>
      </c>
    </row>
    <row r="4486">
      <c r="A4486" s="446" t="s">
        <v>6991</v>
      </c>
    </row>
    <row r="4487">
      <c r="A4487" s="446" t="s">
        <v>6984</v>
      </c>
    </row>
    <row r="4488">
      <c r="A4488" s="446" t="s">
        <v>6984</v>
      </c>
    </row>
    <row r="4489">
      <c r="A4489" s="446" t="s">
        <v>6983</v>
      </c>
    </row>
    <row r="4490">
      <c r="A4490" s="446" t="s">
        <v>6983</v>
      </c>
    </row>
    <row r="4491">
      <c r="A4491" s="446" t="s">
        <v>6983</v>
      </c>
    </row>
    <row r="4492">
      <c r="A4492" s="446" t="s">
        <v>6988</v>
      </c>
    </row>
    <row r="4493">
      <c r="A4493" s="446" t="s">
        <v>6988</v>
      </c>
    </row>
    <row r="4494">
      <c r="A4494" s="446" t="s">
        <v>6851</v>
      </c>
    </row>
    <row r="4495">
      <c r="A4495" s="446" t="s">
        <v>6851</v>
      </c>
    </row>
    <row r="4496">
      <c r="A4496" s="446" t="s">
        <v>6851</v>
      </c>
    </row>
    <row r="4497">
      <c r="A4497" s="446" t="s">
        <v>6851</v>
      </c>
    </row>
    <row r="4498">
      <c r="A4498" s="446" t="s">
        <v>6986</v>
      </c>
    </row>
    <row r="4499">
      <c r="A4499" s="446" t="s">
        <v>6986</v>
      </c>
    </row>
    <row r="4500">
      <c r="A4500" s="446" t="s">
        <v>6986</v>
      </c>
    </row>
    <row r="4501">
      <c r="A4501" s="446" t="s">
        <v>6986</v>
      </c>
    </row>
    <row r="4502">
      <c r="A4502" s="446" t="s">
        <v>6853</v>
      </c>
    </row>
    <row r="4503">
      <c r="A4503" s="446" t="s">
        <v>6853</v>
      </c>
    </row>
    <row r="4504">
      <c r="A4504" s="446" t="s">
        <v>6853</v>
      </c>
    </row>
    <row r="4505">
      <c r="A4505" s="446" t="s">
        <v>6982</v>
      </c>
    </row>
    <row r="4506">
      <c r="A4506" s="446" t="s">
        <v>6982</v>
      </c>
    </row>
    <row r="4507">
      <c r="A4507" s="446" t="s">
        <v>6859</v>
      </c>
    </row>
    <row r="4508">
      <c r="A4508" s="446" t="s">
        <v>6859</v>
      </c>
    </row>
    <row r="4509">
      <c r="A4509" s="446" t="s">
        <v>6859</v>
      </c>
    </row>
    <row r="4510">
      <c r="A4510" s="446" t="s">
        <v>6859</v>
      </c>
    </row>
    <row r="4511">
      <c r="A4511" s="446" t="s">
        <v>6859</v>
      </c>
    </row>
    <row r="4512">
      <c r="A4512" s="446" t="s">
        <v>6855</v>
      </c>
    </row>
    <row r="4513">
      <c r="A4513" s="446" t="s">
        <v>6855</v>
      </c>
    </row>
    <row r="4514">
      <c r="A4514" s="446" t="s">
        <v>6855</v>
      </c>
    </row>
    <row r="4515">
      <c r="A4515" s="446" t="s">
        <v>6855</v>
      </c>
    </row>
    <row r="4516">
      <c r="A4516" s="446" t="s">
        <v>6855</v>
      </c>
    </row>
    <row r="4517">
      <c r="A4517" s="446" t="s">
        <v>6855</v>
      </c>
    </row>
    <row r="4518">
      <c r="A4518" s="446" t="s">
        <v>6861</v>
      </c>
    </row>
    <row r="4519">
      <c r="A4519" s="446" t="s">
        <v>6861</v>
      </c>
    </row>
    <row r="4520">
      <c r="A4520" s="446" t="s">
        <v>6978</v>
      </c>
    </row>
    <row r="4521">
      <c r="A4521" s="446" t="s">
        <v>6978</v>
      </c>
    </row>
    <row r="4522">
      <c r="A4522" s="446" t="s">
        <v>6866</v>
      </c>
    </row>
    <row r="4523">
      <c r="A4523" s="446" t="s">
        <v>6866</v>
      </c>
    </row>
    <row r="4524">
      <c r="A4524" s="446" t="s">
        <v>6866</v>
      </c>
    </row>
    <row r="4525">
      <c r="A4525" s="446" t="s">
        <v>6863</v>
      </c>
    </row>
    <row r="4526">
      <c r="A4526" s="446" t="s">
        <v>6863</v>
      </c>
    </row>
    <row r="4527">
      <c r="A4527" s="446" t="s">
        <v>6863</v>
      </c>
    </row>
    <row r="4528">
      <c r="A4528" s="446" t="s">
        <v>6863</v>
      </c>
    </row>
    <row r="4529">
      <c r="A4529" s="446" t="s">
        <v>6863</v>
      </c>
    </row>
    <row r="4530">
      <c r="A4530" s="446" t="s">
        <v>6872</v>
      </c>
    </row>
    <row r="4531">
      <c r="A4531" s="446" t="s">
        <v>6975</v>
      </c>
    </row>
    <row r="4532">
      <c r="A4532" s="446" t="s">
        <v>6975</v>
      </c>
    </row>
    <row r="4533">
      <c r="A4533" s="446" t="s">
        <v>6975</v>
      </c>
    </row>
    <row r="4534">
      <c r="A4534" s="446" t="s">
        <v>6974</v>
      </c>
    </row>
    <row r="4535">
      <c r="A4535" s="446" t="s">
        <v>6974</v>
      </c>
    </row>
    <row r="4536">
      <c r="A4536" s="446" t="s">
        <v>6974</v>
      </c>
    </row>
    <row r="4537">
      <c r="A4537" s="446" t="s">
        <v>6974</v>
      </c>
    </row>
    <row r="4538">
      <c r="A4538" s="446" t="s">
        <v>6874</v>
      </c>
    </row>
    <row r="4539">
      <c r="A4539" s="446" t="s">
        <v>6874</v>
      </c>
    </row>
    <row r="4540">
      <c r="A4540" s="446" t="s">
        <v>6874</v>
      </c>
    </row>
    <row r="4541">
      <c r="A4541" s="446" t="s">
        <v>6874</v>
      </c>
    </row>
    <row r="4542">
      <c r="A4542" s="446" t="s">
        <v>6874</v>
      </c>
    </row>
    <row r="4543">
      <c r="A4543" s="446" t="s">
        <v>6972</v>
      </c>
    </row>
    <row r="4544">
      <c r="A4544" s="446" t="s">
        <v>6971</v>
      </c>
    </row>
    <row r="4545">
      <c r="A4545" s="446" t="s">
        <v>6876</v>
      </c>
    </row>
    <row r="4546">
      <c r="A4546" s="446" t="s">
        <v>6876</v>
      </c>
    </row>
    <row r="4547">
      <c r="A4547" s="446" t="s">
        <v>6876</v>
      </c>
    </row>
    <row r="4548">
      <c r="A4548" s="446" t="s">
        <v>6880</v>
      </c>
    </row>
    <row r="4549">
      <c r="A4549" s="446" t="s">
        <v>6880</v>
      </c>
    </row>
    <row r="4550">
      <c r="A4550" s="446" t="s">
        <v>6880</v>
      </c>
    </row>
    <row r="4551">
      <c r="A4551" s="446" t="s">
        <v>6880</v>
      </c>
    </row>
    <row r="4552">
      <c r="A4552" s="446" t="s">
        <v>6880</v>
      </c>
    </row>
    <row r="4553">
      <c r="A4553" s="446" t="s">
        <v>6878</v>
      </c>
    </row>
    <row r="4554">
      <c r="A4554" s="446" t="s">
        <v>6878</v>
      </c>
    </row>
    <row r="4555">
      <c r="A4555" s="446" t="s">
        <v>6878</v>
      </c>
    </row>
    <row r="4556">
      <c r="A4556" s="446" t="s">
        <v>6878</v>
      </c>
    </row>
    <row r="4557">
      <c r="A4557" s="446" t="s">
        <v>6878</v>
      </c>
    </row>
    <row r="4558">
      <c r="A4558" s="446" t="s">
        <v>6885</v>
      </c>
    </row>
    <row r="4559">
      <c r="A4559" s="446" t="s">
        <v>6885</v>
      </c>
    </row>
    <row r="4560">
      <c r="A4560" s="446" t="s">
        <v>6885</v>
      </c>
    </row>
    <row r="4561">
      <c r="A4561" s="446" t="s">
        <v>6885</v>
      </c>
    </row>
    <row r="4562">
      <c r="A4562" s="446" t="s">
        <v>6885</v>
      </c>
    </row>
    <row r="4563">
      <c r="A4563" s="446" t="s">
        <v>6885</v>
      </c>
    </row>
    <row r="4564">
      <c r="A4564" s="446" t="s">
        <v>6965</v>
      </c>
    </row>
    <row r="4565">
      <c r="A4565" s="446" t="s">
        <v>6965</v>
      </c>
    </row>
    <row r="4566">
      <c r="A4566" s="446" t="s">
        <v>6967</v>
      </c>
    </row>
    <row r="4567">
      <c r="A4567" s="446" t="s">
        <v>6967</v>
      </c>
    </row>
    <row r="4568">
      <c r="A4568" s="446" t="s">
        <v>6966</v>
      </c>
    </row>
    <row r="4569">
      <c r="A4569" s="446" t="s">
        <v>6966</v>
      </c>
    </row>
    <row r="4570">
      <c r="A4570" s="446" t="s">
        <v>6966</v>
      </c>
    </row>
    <row r="4571">
      <c r="A4571" s="446" t="s">
        <v>6966</v>
      </c>
    </row>
    <row r="4572">
      <c r="A4572" s="446" t="s">
        <v>6889</v>
      </c>
    </row>
    <row r="4573">
      <c r="A4573" s="446" t="s">
        <v>6889</v>
      </c>
    </row>
    <row r="4574">
      <c r="A4574" s="446" t="s">
        <v>6889</v>
      </c>
    </row>
    <row r="4575">
      <c r="A4575" s="446" t="s">
        <v>3307</v>
      </c>
    </row>
    <row r="4576">
      <c r="A4576" s="446" t="s">
        <v>3307</v>
      </c>
    </row>
    <row r="4577">
      <c r="A4577" s="446" t="s">
        <v>3307</v>
      </c>
    </row>
    <row r="4578">
      <c r="A4578" s="446" t="s">
        <v>3307</v>
      </c>
    </row>
    <row r="4579">
      <c r="A4579" s="446" t="s">
        <v>6189</v>
      </c>
    </row>
    <row r="4580">
      <c r="A4580" s="446" t="s">
        <v>6189</v>
      </c>
    </row>
    <row r="4581">
      <c r="A4581" s="446" t="s">
        <v>6189</v>
      </c>
    </row>
    <row r="4582">
      <c r="A4582" s="446" t="s">
        <v>6189</v>
      </c>
    </row>
    <row r="4583">
      <c r="A4583" s="446" t="s">
        <v>6893</v>
      </c>
    </row>
    <row r="4584">
      <c r="A4584" s="446" t="s">
        <v>6893</v>
      </c>
    </row>
    <row r="4585">
      <c r="A4585" s="446" t="s">
        <v>6893</v>
      </c>
    </row>
    <row r="4586">
      <c r="A4586" s="446" t="s">
        <v>6893</v>
      </c>
    </row>
    <row r="4587">
      <c r="A4587" s="446" t="s">
        <v>6961</v>
      </c>
    </row>
    <row r="4588">
      <c r="A4588" s="446" t="s">
        <v>6961</v>
      </c>
    </row>
    <row r="4589">
      <c r="A4589" s="446" t="s">
        <v>6960</v>
      </c>
    </row>
    <row r="4590">
      <c r="A4590" s="446" t="s">
        <v>6960</v>
      </c>
    </row>
    <row r="4591">
      <c r="A4591" s="446" t="s">
        <v>6959</v>
      </c>
    </row>
    <row r="4592">
      <c r="A4592" s="446" t="s">
        <v>6957</v>
      </c>
    </row>
    <row r="4593">
      <c r="A4593" s="446" t="s">
        <v>6957</v>
      </c>
    </row>
    <row r="4594">
      <c r="A4594" s="446" t="s">
        <v>6895</v>
      </c>
    </row>
    <row r="4595">
      <c r="A4595" s="446" t="s">
        <v>6895</v>
      </c>
    </row>
    <row r="4596">
      <c r="A4596" s="446" t="s">
        <v>6953</v>
      </c>
    </row>
    <row r="4597">
      <c r="A4597" s="446" t="s">
        <v>6953</v>
      </c>
    </row>
    <row r="4598">
      <c r="A4598" s="446" t="s">
        <v>6899</v>
      </c>
    </row>
    <row r="4599">
      <c r="A4599" s="446" t="s">
        <v>6899</v>
      </c>
    </row>
    <row r="4600">
      <c r="A4600" s="446" t="s">
        <v>6899</v>
      </c>
    </row>
    <row r="4601">
      <c r="A4601" s="446" t="s">
        <v>6899</v>
      </c>
    </row>
    <row r="4602">
      <c r="A4602" s="446" t="s">
        <v>6899</v>
      </c>
    </row>
    <row r="4603">
      <c r="A4603" s="446" t="s">
        <v>6897</v>
      </c>
    </row>
    <row r="4604">
      <c r="A4604" s="446" t="s">
        <v>6897</v>
      </c>
    </row>
    <row r="4605">
      <c r="A4605" s="446" t="s">
        <v>6897</v>
      </c>
    </row>
    <row r="4606">
      <c r="A4606" s="446" t="s">
        <v>6897</v>
      </c>
    </row>
    <row r="4607">
      <c r="A4607" s="446" t="s">
        <v>6952</v>
      </c>
    </row>
    <row r="4608">
      <c r="A4608" s="446" t="s">
        <v>6952</v>
      </c>
    </row>
    <row r="4609">
      <c r="A4609" s="446" t="s">
        <v>6950</v>
      </c>
    </row>
    <row r="4610">
      <c r="A4610" s="446" t="s">
        <v>6951</v>
      </c>
    </row>
    <row r="4611">
      <c r="A4611" s="446" t="s">
        <v>6946</v>
      </c>
    </row>
    <row r="4612">
      <c r="A4612" s="446" t="s">
        <v>6943</v>
      </c>
    </row>
    <row r="4613">
      <c r="A4613" s="446" t="s">
        <v>6942</v>
      </c>
    </row>
    <row r="4614">
      <c r="A4614" s="446" t="s">
        <v>6936</v>
      </c>
    </row>
    <row r="4615">
      <c r="A4615" s="446" t="s">
        <v>6936</v>
      </c>
    </row>
    <row r="4616">
      <c r="A4616" s="446" t="s">
        <v>6905</v>
      </c>
    </row>
    <row r="4617">
      <c r="A4617" s="446" t="s">
        <v>6905</v>
      </c>
    </row>
    <row r="4618">
      <c r="A4618" s="446" t="s">
        <v>6907</v>
      </c>
    </row>
    <row r="4619">
      <c r="A4619" s="446" t="s">
        <v>6907</v>
      </c>
    </row>
    <row r="4620">
      <c r="A4620" s="446" t="s">
        <v>6933</v>
      </c>
    </row>
    <row r="4621">
      <c r="A4621" s="446" t="s">
        <v>6933</v>
      </c>
    </row>
    <row r="4622">
      <c r="A4622" s="446" t="s">
        <v>6933</v>
      </c>
    </row>
    <row r="4623">
      <c r="A4623" s="446" t="s">
        <v>6934</v>
      </c>
    </row>
    <row r="4624">
      <c r="A4624" s="446" t="s">
        <v>6934</v>
      </c>
    </row>
    <row r="4625">
      <c r="A4625" s="446" t="s">
        <v>6934</v>
      </c>
    </row>
    <row r="4626">
      <c r="A4626" s="446" t="s">
        <v>6934</v>
      </c>
    </row>
    <row r="4627">
      <c r="A4627" s="446" t="s">
        <v>6909</v>
      </c>
    </row>
    <row r="4628">
      <c r="A4628" s="446" t="s">
        <v>6909</v>
      </c>
    </row>
    <row r="4629">
      <c r="A4629" s="446" t="s">
        <v>6909</v>
      </c>
    </row>
    <row r="4630">
      <c r="A4630" s="446" t="s">
        <v>6913</v>
      </c>
    </row>
    <row r="4631">
      <c r="A4631" s="446" t="s">
        <v>6913</v>
      </c>
    </row>
    <row r="4632">
      <c r="A4632" s="446" t="s">
        <v>6911</v>
      </c>
    </row>
    <row r="4633">
      <c r="A4633" s="446" t="s">
        <v>6911</v>
      </c>
    </row>
    <row r="4634">
      <c r="A4634" s="446" t="s">
        <v>6915</v>
      </c>
    </row>
    <row r="4635">
      <c r="A4635" s="446" t="s">
        <v>6915</v>
      </c>
    </row>
    <row r="4636">
      <c r="A4636" s="446" t="s">
        <v>6915</v>
      </c>
    </row>
    <row r="4637">
      <c r="A4637" s="446" t="s">
        <v>6915</v>
      </c>
    </row>
    <row r="4638">
      <c r="A4638" s="446" t="s">
        <v>6915</v>
      </c>
    </row>
    <row r="4639">
      <c r="A4639" s="446" t="s">
        <v>6921</v>
      </c>
    </row>
    <row r="4640">
      <c r="A4640" s="446" t="s">
        <v>6921</v>
      </c>
    </row>
    <row r="4641">
      <c r="A4641" s="446" t="s">
        <v>6921</v>
      </c>
    </row>
    <row r="4642">
      <c r="A4642" s="446" t="s">
        <v>6923</v>
      </c>
    </row>
    <row r="4643">
      <c r="A4643" s="446" t="s">
        <v>6923</v>
      </c>
    </row>
    <row r="4644">
      <c r="A4644" s="446" t="s">
        <v>6923</v>
      </c>
    </row>
    <row r="4645">
      <c r="A4645" s="446" t="s">
        <v>6923</v>
      </c>
    </row>
    <row r="4646">
      <c r="A4646" s="446" t="s">
        <v>6923</v>
      </c>
    </row>
    <row r="4647">
      <c r="A4647" s="446" t="s">
        <v>6919</v>
      </c>
    </row>
    <row r="4648">
      <c r="A4648" s="446" t="s">
        <v>6919</v>
      </c>
    </row>
    <row r="4649">
      <c r="A4649" s="446" t="s">
        <v>6916</v>
      </c>
    </row>
    <row r="4650">
      <c r="A4650" s="446" t="s">
        <v>6920</v>
      </c>
    </row>
    <row r="4651">
      <c r="A4651" s="446" t="s">
        <v>6917</v>
      </c>
    </row>
    <row r="4652">
      <c r="A4652" s="446" t="s">
        <v>6917</v>
      </c>
    </row>
    <row r="4653">
      <c r="A4653" s="446" t="s">
        <v>6917</v>
      </c>
    </row>
    <row r="4654">
      <c r="A4654" s="446" t="s">
        <v>6917</v>
      </c>
    </row>
    <row r="4655">
      <c r="A4655" s="446" t="s">
        <v>6918</v>
      </c>
    </row>
    <row r="4656">
      <c r="A4656" s="446" t="s">
        <v>6918</v>
      </c>
    </row>
    <row r="4657">
      <c r="A4657" s="446" t="s">
        <v>6918</v>
      </c>
    </row>
    <row r="4658">
      <c r="A4658" s="446" t="s">
        <v>6918</v>
      </c>
    </row>
    <row r="4659">
      <c r="A4659" s="446" t="s">
        <v>6914</v>
      </c>
    </row>
    <row r="4660">
      <c r="A4660" s="446" t="s">
        <v>6914</v>
      </c>
    </row>
    <row r="4661">
      <c r="A4661" s="446" t="s">
        <v>6912</v>
      </c>
    </row>
    <row r="4662">
      <c r="A4662" s="446" t="s">
        <v>6912</v>
      </c>
    </row>
    <row r="4663">
      <c r="A4663" s="446" t="s">
        <v>6912</v>
      </c>
    </row>
    <row r="4664">
      <c r="A4664" s="446" t="s">
        <v>6910</v>
      </c>
    </row>
    <row r="4665">
      <c r="A4665" s="446" t="s">
        <v>6910</v>
      </c>
    </row>
    <row r="4666">
      <c r="A4666" s="446" t="s">
        <v>6906</v>
      </c>
    </row>
    <row r="4667">
      <c r="A4667" s="446" t="s">
        <v>6906</v>
      </c>
    </row>
    <row r="4668">
      <c r="A4668" s="446" t="s">
        <v>6904</v>
      </c>
    </row>
    <row r="4669">
      <c r="A4669" s="446" t="s">
        <v>6904</v>
      </c>
    </row>
    <row r="4670">
      <c r="A4670" s="446" t="s">
        <v>6904</v>
      </c>
    </row>
    <row r="4671">
      <c r="A4671" s="446" t="s">
        <v>6904</v>
      </c>
    </row>
    <row r="4672">
      <c r="A4672" s="446" t="s">
        <v>6901</v>
      </c>
    </row>
    <row r="4673">
      <c r="A4673" s="446" t="s">
        <v>6901</v>
      </c>
    </row>
    <row r="4674">
      <c r="A4674" s="446" t="s">
        <v>6901</v>
      </c>
    </row>
    <row r="4675">
      <c r="A4675" s="446" t="s">
        <v>6912</v>
      </c>
    </row>
    <row r="4676">
      <c r="A4676" s="446" t="s">
        <v>6912</v>
      </c>
    </row>
    <row r="4677">
      <c r="A4677" s="446" t="s">
        <v>6910</v>
      </c>
    </row>
    <row r="4678">
      <c r="A4678" s="446" t="s">
        <v>6910</v>
      </c>
    </row>
    <row r="4679">
      <c r="A4679" s="446" t="s">
        <v>6901</v>
      </c>
    </row>
    <row r="4680">
      <c r="A4680" s="446" t="s">
        <v>6898</v>
      </c>
    </row>
    <row r="4681">
      <c r="A4681" s="446" t="s">
        <v>6894</v>
      </c>
    </row>
    <row r="4682">
      <c r="A4682" s="446" t="s">
        <v>6894</v>
      </c>
    </row>
    <row r="4683">
      <c r="A4683" s="446" t="s">
        <v>6896</v>
      </c>
    </row>
    <row r="4684">
      <c r="A4684" s="446" t="s">
        <v>6896</v>
      </c>
    </row>
    <row r="4685">
      <c r="A4685" s="446" t="s">
        <v>6891</v>
      </c>
    </row>
    <row r="4686">
      <c r="A4686" s="446" t="s">
        <v>6891</v>
      </c>
    </row>
    <row r="4687">
      <c r="A4687" s="446" t="s">
        <v>6892</v>
      </c>
    </row>
    <row r="4688">
      <c r="A4688" s="446" t="s">
        <v>6892</v>
      </c>
    </row>
    <row r="4689">
      <c r="A4689" s="446" t="s">
        <v>6890</v>
      </c>
    </row>
    <row r="4690">
      <c r="A4690" s="446" t="s">
        <v>6890</v>
      </c>
    </row>
    <row r="4691">
      <c r="A4691" s="446" t="s">
        <v>6890</v>
      </c>
    </row>
    <row r="4692">
      <c r="A4692" s="446" t="s">
        <v>6887</v>
      </c>
    </row>
    <row r="4693">
      <c r="A4693" s="446" t="s">
        <v>6887</v>
      </c>
    </row>
    <row r="4694">
      <c r="A4694" s="446" t="s">
        <v>6883</v>
      </c>
    </row>
    <row r="4695">
      <c r="A4695" s="446" t="s">
        <v>6881</v>
      </c>
    </row>
    <row r="4696">
      <c r="A4696" s="446" t="s">
        <v>6881</v>
      </c>
    </row>
    <row r="4697">
      <c r="A4697" s="446" t="s">
        <v>6881</v>
      </c>
    </row>
    <row r="4698">
      <c r="A4698" s="446" t="s">
        <v>6881</v>
      </c>
    </row>
    <row r="4699">
      <c r="A4699" s="446" t="s">
        <v>6879</v>
      </c>
    </row>
    <row r="4700">
      <c r="A4700" s="446" t="s">
        <v>6879</v>
      </c>
    </row>
    <row r="4701">
      <c r="A4701" s="446" t="s">
        <v>6879</v>
      </c>
    </row>
    <row r="4702">
      <c r="A4702" s="446" t="s">
        <v>6875</v>
      </c>
    </row>
    <row r="4703">
      <c r="A4703" s="446" t="s">
        <v>6875</v>
      </c>
    </row>
    <row r="4704">
      <c r="A4704" s="446" t="s">
        <v>6875</v>
      </c>
    </row>
    <row r="4705">
      <c r="A4705" s="446" t="s">
        <v>6873</v>
      </c>
    </row>
    <row r="4706">
      <c r="A4706" s="446" t="s">
        <v>6873</v>
      </c>
    </row>
    <row r="4707">
      <c r="A4707" s="446" t="s">
        <v>6873</v>
      </c>
    </row>
    <row r="4708">
      <c r="A4708" s="446" t="s">
        <v>6873</v>
      </c>
    </row>
    <row r="4709">
      <c r="A4709" s="446" t="s">
        <v>6873</v>
      </c>
    </row>
    <row r="4710">
      <c r="A4710" s="446" t="s">
        <v>6871</v>
      </c>
    </row>
    <row r="4711">
      <c r="A4711" s="446" t="s">
        <v>6862</v>
      </c>
    </row>
    <row r="4712">
      <c r="A4712" s="446" t="s">
        <v>6868</v>
      </c>
    </row>
    <row r="4713">
      <c r="A4713" s="446" t="s">
        <v>6868</v>
      </c>
    </row>
    <row r="4714">
      <c r="A4714" s="446" t="s">
        <v>6868</v>
      </c>
    </row>
    <row r="4715">
      <c r="A4715" s="446" t="s">
        <v>6868</v>
      </c>
    </row>
    <row r="4716">
      <c r="A4716" s="446" t="s">
        <v>6868</v>
      </c>
    </row>
    <row r="4717">
      <c r="A4717" s="446" t="s">
        <v>6854</v>
      </c>
    </row>
    <row r="4718">
      <c r="A4718" s="446" t="s">
        <v>6860</v>
      </c>
    </row>
    <row r="4719">
      <c r="A4719" s="446" t="s">
        <v>6860</v>
      </c>
    </row>
    <row r="4720">
      <c r="A4720" s="446" t="s">
        <v>3065</v>
      </c>
    </row>
    <row r="4721">
      <c r="A4721" s="446" t="s">
        <v>3065</v>
      </c>
    </row>
    <row r="4722">
      <c r="A4722" s="446" t="s">
        <v>6852</v>
      </c>
    </row>
    <row r="4723">
      <c r="A4723" s="446" t="s">
        <v>6849</v>
      </c>
    </row>
    <row r="4724">
      <c r="A4724" s="446" t="s">
        <v>6849</v>
      </c>
    </row>
    <row r="4725">
      <c r="A4725" s="446" t="s">
        <v>6849</v>
      </c>
    </row>
    <row r="4726">
      <c r="A4726" s="446" t="s">
        <v>6849</v>
      </c>
    </row>
    <row r="4727">
      <c r="A4727" s="446" t="s">
        <v>6849</v>
      </c>
    </row>
    <row r="4728">
      <c r="A4728" s="446" t="s">
        <v>6849</v>
      </c>
    </row>
    <row r="4729">
      <c r="A4729" s="446" t="s">
        <v>6849</v>
      </c>
    </row>
    <row r="4730">
      <c r="A4730" s="446" t="s">
        <v>6847</v>
      </c>
    </row>
    <row r="4731">
      <c r="A4731" s="446" t="s">
        <v>6847</v>
      </c>
    </row>
    <row r="4732">
      <c r="A4732" s="446" t="s">
        <v>6847</v>
      </c>
    </row>
    <row r="4733">
      <c r="A4733" s="446" t="s">
        <v>6845</v>
      </c>
    </row>
    <row r="4734">
      <c r="A4734" s="446" t="s">
        <v>6845</v>
      </c>
    </row>
    <row r="4735">
      <c r="A4735" s="446" t="s">
        <v>6839</v>
      </c>
    </row>
    <row r="4736">
      <c r="A4736" s="446" t="s">
        <v>6839</v>
      </c>
    </row>
    <row r="4737">
      <c r="A4737" s="446" t="s">
        <v>6842</v>
      </c>
    </row>
    <row r="4738">
      <c r="A4738" s="446" t="s">
        <v>6842</v>
      </c>
    </row>
    <row r="4739">
      <c r="A4739" s="446" t="s">
        <v>6842</v>
      </c>
    </row>
    <row r="4740">
      <c r="A4740" s="446" t="s">
        <v>6842</v>
      </c>
    </row>
    <row r="4741">
      <c r="A4741" s="446" t="s">
        <v>6842</v>
      </c>
    </row>
    <row r="4742">
      <c r="A4742" s="446" t="s">
        <v>6837</v>
      </c>
    </row>
    <row r="4743">
      <c r="A4743" s="446" t="s">
        <v>6834</v>
      </c>
    </row>
    <row r="4744">
      <c r="A4744" s="446" t="s">
        <v>6831</v>
      </c>
    </row>
    <row r="4745">
      <c r="A4745" s="446" t="s">
        <v>6831</v>
      </c>
    </row>
    <row r="4746">
      <c r="A4746" s="446" t="s">
        <v>6831</v>
      </c>
    </row>
    <row r="4747">
      <c r="A4747" s="446" t="s">
        <v>6831</v>
      </c>
    </row>
    <row r="4748">
      <c r="A4748" s="446" t="s">
        <v>6831</v>
      </c>
    </row>
    <row r="4749">
      <c r="A4749" s="446" t="s">
        <v>6829</v>
      </c>
    </row>
    <row r="4750">
      <c r="A4750" s="446" t="s">
        <v>6829</v>
      </c>
    </row>
    <row r="4751">
      <c r="A4751" s="446" t="s">
        <v>6829</v>
      </c>
    </row>
    <row r="4752">
      <c r="A4752" s="446" t="s">
        <v>6824</v>
      </c>
    </row>
    <row r="4753">
      <c r="A4753" s="446" t="s">
        <v>6824</v>
      </c>
    </row>
    <row r="4754">
      <c r="A4754" s="446" t="s">
        <v>6824</v>
      </c>
    </row>
    <row r="4755">
      <c r="A4755" s="446" t="s">
        <v>6824</v>
      </c>
    </row>
    <row r="4756">
      <c r="A4756" s="446" t="s">
        <v>6822</v>
      </c>
    </row>
    <row r="4757">
      <c r="A4757" s="446" t="s">
        <v>6820</v>
      </c>
    </row>
    <row r="4758">
      <c r="A4758" s="446" t="s">
        <v>6820</v>
      </c>
    </row>
    <row r="4759">
      <c r="A4759" s="446" t="s">
        <v>6818</v>
      </c>
    </row>
    <row r="4760">
      <c r="A4760" s="446" t="s">
        <v>6818</v>
      </c>
    </row>
    <row r="4761">
      <c r="A4761" s="446" t="s">
        <v>6818</v>
      </c>
    </row>
    <row r="4762">
      <c r="A4762" s="446" t="s">
        <v>6816</v>
      </c>
    </row>
    <row r="4763">
      <c r="A4763" s="446" t="s">
        <v>6814</v>
      </c>
    </row>
    <row r="4764">
      <c r="A4764" s="446" t="s">
        <v>6812</v>
      </c>
    </row>
    <row r="4765">
      <c r="A4765" s="446" t="s">
        <v>6812</v>
      </c>
    </row>
    <row r="4766">
      <c r="A4766" s="446" t="s">
        <v>6812</v>
      </c>
    </row>
    <row r="4767">
      <c r="A4767" s="446" t="s">
        <v>6812</v>
      </c>
    </row>
    <row r="4768">
      <c r="A4768" s="446" t="s">
        <v>6812</v>
      </c>
    </row>
    <row r="4769">
      <c r="A4769" s="446" t="s">
        <v>6809</v>
      </c>
    </row>
    <row r="4770">
      <c r="A4770" s="446" t="s">
        <v>6809</v>
      </c>
    </row>
    <row r="4771">
      <c r="A4771" s="446" t="s">
        <v>6806</v>
      </c>
    </row>
    <row r="4772">
      <c r="A4772" s="446" t="s">
        <v>6803</v>
      </c>
    </row>
    <row r="4773">
      <c r="A4773" s="446" t="s">
        <v>6805</v>
      </c>
    </row>
    <row r="4774">
      <c r="A4774" s="446" t="s">
        <v>6799</v>
      </c>
    </row>
    <row r="4775">
      <c r="A4775" s="446" t="s">
        <v>6801</v>
      </c>
    </row>
    <row r="4776">
      <c r="A4776" s="446" t="s">
        <v>6797</v>
      </c>
    </row>
    <row r="4777">
      <c r="A4777" s="446" t="s">
        <v>6795</v>
      </c>
    </row>
    <row r="4778">
      <c r="A4778" s="446" t="s">
        <v>6793</v>
      </c>
    </row>
    <row r="4779">
      <c r="A4779" s="446" t="s">
        <v>6791</v>
      </c>
    </row>
    <row r="4780">
      <c r="A4780" s="446" t="s">
        <v>6789</v>
      </c>
    </row>
    <row r="4781">
      <c r="A4781" s="446" t="s">
        <v>6779</v>
      </c>
    </row>
    <row r="4782">
      <c r="A4782" s="446" t="s">
        <v>6779</v>
      </c>
    </row>
    <row r="4783">
      <c r="A4783" s="446" t="s">
        <v>6777</v>
      </c>
    </row>
    <row r="4784">
      <c r="A4784" s="446" t="s">
        <v>6777</v>
      </c>
    </row>
    <row r="4785">
      <c r="A4785" s="446" t="s">
        <v>6775</v>
      </c>
    </row>
    <row r="4786">
      <c r="A4786" s="446" t="s">
        <v>6773</v>
      </c>
    </row>
    <row r="4787">
      <c r="A4787" s="446" t="s">
        <v>6773</v>
      </c>
    </row>
    <row r="4788">
      <c r="A4788" s="446" t="s">
        <v>6773</v>
      </c>
    </row>
    <row r="4789">
      <c r="A4789" s="446" t="s">
        <v>6773</v>
      </c>
    </row>
    <row r="4790">
      <c r="A4790" s="446" t="s">
        <v>6767</v>
      </c>
    </row>
    <row r="4791">
      <c r="A4791" s="446" t="s">
        <v>6767</v>
      </c>
    </row>
    <row r="4792">
      <c r="A4792" s="446" t="s">
        <v>6767</v>
      </c>
    </row>
    <row r="4793">
      <c r="A4793" s="446" t="s">
        <v>6767</v>
      </c>
    </row>
    <row r="4794">
      <c r="A4794" s="446" t="s">
        <v>6767</v>
      </c>
    </row>
    <row r="4795">
      <c r="A4795" s="446" t="s">
        <v>6765</v>
      </c>
    </row>
    <row r="4796">
      <c r="A4796" s="446" t="s">
        <v>6765</v>
      </c>
    </row>
    <row r="4797">
      <c r="A4797" s="446" t="s">
        <v>6762</v>
      </c>
    </row>
    <row r="4798">
      <c r="A4798" s="446" t="s">
        <v>6762</v>
      </c>
    </row>
    <row r="4799">
      <c r="A4799" s="446" t="s">
        <v>6762</v>
      </c>
    </row>
    <row r="4800">
      <c r="A4800" s="446" t="s">
        <v>6762</v>
      </c>
    </row>
    <row r="4801">
      <c r="A4801" s="446" t="s">
        <v>6760</v>
      </c>
    </row>
    <row r="4802">
      <c r="A4802" s="446" t="s">
        <v>6760</v>
      </c>
    </row>
    <row r="4803">
      <c r="A4803" s="446" t="s">
        <v>6760</v>
      </c>
    </row>
    <row r="4804">
      <c r="A4804" s="446" t="s">
        <v>6760</v>
      </c>
    </row>
    <row r="4805">
      <c r="A4805" s="446" t="s">
        <v>6756</v>
      </c>
    </row>
    <row r="4806">
      <c r="A4806" s="446" t="s">
        <v>6756</v>
      </c>
    </row>
    <row r="4807">
      <c r="A4807" s="446" t="s">
        <v>6756</v>
      </c>
    </row>
    <row r="4808">
      <c r="A4808" s="446" t="s">
        <v>6754</v>
      </c>
    </row>
    <row r="4809">
      <c r="A4809" s="446" t="s">
        <v>6754</v>
      </c>
    </row>
    <row r="4810">
      <c r="A4810" s="446" t="s">
        <v>6754</v>
      </c>
    </row>
    <row r="4811">
      <c r="A4811" s="446" t="s">
        <v>6754</v>
      </c>
    </row>
    <row r="4812">
      <c r="A4812" s="446" t="s">
        <v>6754</v>
      </c>
    </row>
    <row r="4813">
      <c r="A4813" s="446" t="s">
        <v>6750</v>
      </c>
    </row>
    <row r="4814">
      <c r="A4814" s="446" t="s">
        <v>6750</v>
      </c>
    </row>
    <row r="4815">
      <c r="A4815" s="446" t="s">
        <v>6750</v>
      </c>
    </row>
    <row r="4816">
      <c r="A4816" s="446" t="s">
        <v>6750</v>
      </c>
    </row>
    <row r="4817">
      <c r="A4817" s="446" t="s">
        <v>6745</v>
      </c>
    </row>
    <row r="4818">
      <c r="A4818" s="446" t="s">
        <v>6745</v>
      </c>
    </row>
    <row r="4819">
      <c r="A4819" s="446" t="s">
        <v>6745</v>
      </c>
    </row>
    <row r="4820">
      <c r="A4820" s="446" t="s">
        <v>6745</v>
      </c>
    </row>
    <row r="4821">
      <c r="A4821" s="446" t="s">
        <v>6745</v>
      </c>
    </row>
    <row r="4822">
      <c r="A4822" s="446" t="s">
        <v>6745</v>
      </c>
    </row>
    <row r="4823">
      <c r="A4823" s="446" t="s">
        <v>3000</v>
      </c>
    </row>
    <row r="4824">
      <c r="A4824" s="446" t="s">
        <v>3000</v>
      </c>
    </row>
    <row r="4825">
      <c r="A4825" s="446" t="s">
        <v>3000</v>
      </c>
    </row>
    <row r="4826">
      <c r="A4826" s="446" t="s">
        <v>3000</v>
      </c>
    </row>
    <row r="4827">
      <c r="A4827" s="446" t="s">
        <v>3000</v>
      </c>
    </row>
    <row r="4828">
      <c r="A4828" s="446" t="s">
        <v>3000</v>
      </c>
    </row>
    <row r="4829">
      <c r="A4829" s="446" t="s">
        <v>6741</v>
      </c>
    </row>
    <row r="4830">
      <c r="A4830" s="446" t="s">
        <v>6741</v>
      </c>
    </row>
    <row r="4831">
      <c r="A4831" s="446" t="s">
        <v>6741</v>
      </c>
    </row>
    <row r="4832">
      <c r="A4832" s="446" t="s">
        <v>6741</v>
      </c>
    </row>
    <row r="4833">
      <c r="A4833" s="446" t="s">
        <v>6737</v>
      </c>
    </row>
    <row r="4834">
      <c r="A4834" s="446" t="s">
        <v>6737</v>
      </c>
    </row>
    <row r="4835">
      <c r="A4835" s="446" t="s">
        <v>6704</v>
      </c>
    </row>
    <row r="4836">
      <c r="A4836" s="446" t="s">
        <v>6735</v>
      </c>
    </row>
    <row r="4837">
      <c r="A4837" s="446" t="s">
        <v>6735</v>
      </c>
    </row>
    <row r="4838">
      <c r="A4838" s="446" t="s">
        <v>6733</v>
      </c>
    </row>
    <row r="4839">
      <c r="A4839" s="446" t="s">
        <v>6732</v>
      </c>
    </row>
    <row r="4840">
      <c r="A4840" s="446" t="s">
        <v>6732</v>
      </c>
    </row>
    <row r="4841">
      <c r="A4841" s="446" t="s">
        <v>6732</v>
      </c>
    </row>
    <row r="4842">
      <c r="A4842" s="446" t="s">
        <v>6732</v>
      </c>
    </row>
    <row r="4843">
      <c r="A4843" s="446" t="s">
        <v>6732</v>
      </c>
    </row>
    <row r="4844">
      <c r="A4844" s="446" t="s">
        <v>6730</v>
      </c>
    </row>
    <row r="4845">
      <c r="A4845" s="446" t="s">
        <v>6730</v>
      </c>
    </row>
    <row r="4846">
      <c r="A4846" s="446" t="s">
        <v>6730</v>
      </c>
    </row>
    <row r="4847">
      <c r="A4847" s="446" t="s">
        <v>6727</v>
      </c>
    </row>
    <row r="4848">
      <c r="A4848" s="446" t="s">
        <v>6727</v>
      </c>
    </row>
    <row r="4849">
      <c r="A4849" s="446" t="s">
        <v>6723</v>
      </c>
    </row>
    <row r="4850">
      <c r="A4850" s="446" t="s">
        <v>6721</v>
      </c>
    </row>
    <row r="4851">
      <c r="A4851" s="446" t="s">
        <v>6721</v>
      </c>
    </row>
    <row r="4852">
      <c r="A4852" s="446" t="s">
        <v>6721</v>
      </c>
    </row>
    <row r="4853">
      <c r="A4853" s="446" t="s">
        <v>6721</v>
      </c>
    </row>
    <row r="4854">
      <c r="A4854" s="446" t="s">
        <v>6721</v>
      </c>
    </row>
    <row r="4855">
      <c r="A4855" s="446" t="s">
        <v>6717</v>
      </c>
    </row>
    <row r="4856">
      <c r="A4856" s="446" t="s">
        <v>6715</v>
      </c>
    </row>
    <row r="4857">
      <c r="A4857" s="446" t="s">
        <v>6713</v>
      </c>
    </row>
    <row r="4858">
      <c r="A4858" s="446" t="s">
        <v>6713</v>
      </c>
    </row>
    <row r="4859">
      <c r="A4859" s="446" t="s">
        <v>6713</v>
      </c>
    </row>
    <row r="4860">
      <c r="A4860" s="446" t="s">
        <v>6713</v>
      </c>
    </row>
    <row r="4861">
      <c r="A4861" s="446" t="s">
        <v>6713</v>
      </c>
    </row>
    <row r="4862">
      <c r="A4862" s="446" t="s">
        <v>6708</v>
      </c>
    </row>
    <row r="4863">
      <c r="A4863" s="446" t="s">
        <v>6708</v>
      </c>
    </row>
    <row r="4864">
      <c r="A4864" s="446" t="s">
        <v>6708</v>
      </c>
    </row>
    <row r="4865">
      <c r="A4865" s="446" t="s">
        <v>6711</v>
      </c>
    </row>
    <row r="4866">
      <c r="A4866" s="446" t="s">
        <v>6711</v>
      </c>
    </row>
    <row r="4867">
      <c r="A4867" s="446" t="s">
        <v>6711</v>
      </c>
    </row>
    <row r="4868">
      <c r="A4868" s="446" t="s">
        <v>6711</v>
      </c>
    </row>
    <row r="4869">
      <c r="A4869" s="446" t="s">
        <v>6711</v>
      </c>
    </row>
    <row r="4870">
      <c r="A4870" s="446" t="s">
        <v>6704</v>
      </c>
    </row>
    <row r="4871">
      <c r="A4871" s="446" t="s">
        <v>6704</v>
      </c>
    </row>
    <row r="4872">
      <c r="A4872" s="446" t="s">
        <v>6704</v>
      </c>
    </row>
    <row r="4873">
      <c r="A4873" s="446" t="s">
        <v>6704</v>
      </c>
    </row>
    <row r="4874">
      <c r="A4874" s="446" t="s">
        <v>6702</v>
      </c>
    </row>
    <row r="4875">
      <c r="A4875" s="446" t="s">
        <v>6702</v>
      </c>
    </row>
    <row r="4876">
      <c r="A4876" s="446" t="s">
        <v>6700</v>
      </c>
    </row>
    <row r="4877">
      <c r="A4877" s="446" t="s">
        <v>6700</v>
      </c>
    </row>
    <row r="4878">
      <c r="A4878" s="446" t="s">
        <v>6700</v>
      </c>
    </row>
    <row r="4879">
      <c r="A4879" s="446" t="s">
        <v>6698</v>
      </c>
    </row>
    <row r="4880">
      <c r="A4880" s="446" t="s">
        <v>6698</v>
      </c>
    </row>
    <row r="4881">
      <c r="A4881" s="446" t="s">
        <v>6697</v>
      </c>
    </row>
    <row r="4882">
      <c r="A4882" s="446" t="s">
        <v>6697</v>
      </c>
    </row>
    <row r="4883">
      <c r="A4883" s="446" t="s">
        <v>6694</v>
      </c>
    </row>
    <row r="4884">
      <c r="A4884" s="446" t="s">
        <v>6692</v>
      </c>
    </row>
    <row r="4885">
      <c r="A4885" s="446" t="s">
        <v>6692</v>
      </c>
    </row>
    <row r="4886">
      <c r="A4886" s="446" t="s">
        <v>6692</v>
      </c>
    </row>
    <row r="4887">
      <c r="A4887" s="446" t="s">
        <v>6692</v>
      </c>
    </row>
    <row r="4888">
      <c r="A4888" s="446" t="s">
        <v>6688</v>
      </c>
    </row>
    <row r="4889">
      <c r="A4889" s="446" t="s">
        <v>6688</v>
      </c>
    </row>
    <row r="4890">
      <c r="A4890" s="446" t="s">
        <v>6688</v>
      </c>
    </row>
    <row r="4891">
      <c r="A4891" s="446" t="s">
        <v>6688</v>
      </c>
    </row>
    <row r="4892">
      <c r="A4892" s="446" t="s">
        <v>6688</v>
      </c>
    </row>
    <row r="4893">
      <c r="A4893" s="446" t="s">
        <v>6686</v>
      </c>
    </row>
    <row r="4894">
      <c r="A4894" s="446" t="s">
        <v>6685</v>
      </c>
    </row>
    <row r="4895">
      <c r="A4895" s="446" t="s">
        <v>6685</v>
      </c>
    </row>
    <row r="4896">
      <c r="A4896" s="446" t="s">
        <v>6685</v>
      </c>
    </row>
    <row r="4897">
      <c r="A4897" s="446" t="s">
        <v>6685</v>
      </c>
    </row>
    <row r="4898">
      <c r="A4898" s="446" t="s">
        <v>6685</v>
      </c>
    </row>
    <row r="4899">
      <c r="A4899" s="446" t="s">
        <v>2936</v>
      </c>
    </row>
    <row r="4900">
      <c r="A4900" s="446" t="s">
        <v>2936</v>
      </c>
    </row>
    <row r="4901">
      <c r="A4901" s="446" t="s">
        <v>2936</v>
      </c>
    </row>
    <row r="4902">
      <c r="A4902" s="446" t="s">
        <v>6682</v>
      </c>
    </row>
    <row r="4903">
      <c r="A4903" s="446" t="s">
        <v>6682</v>
      </c>
    </row>
    <row r="4904">
      <c r="A4904" s="446" t="s">
        <v>6682</v>
      </c>
    </row>
    <row r="4905">
      <c r="A4905" s="446" t="s">
        <v>6682</v>
      </c>
    </row>
    <row r="4906">
      <c r="A4906" s="446" t="s">
        <v>6680</v>
      </c>
    </row>
    <row r="4907">
      <c r="A4907" s="446" t="s">
        <v>6680</v>
      </c>
    </row>
    <row r="4908">
      <c r="A4908" s="446" t="s">
        <v>6680</v>
      </c>
    </row>
    <row r="4909">
      <c r="A4909" s="446" t="s">
        <v>6678</v>
      </c>
    </row>
    <row r="4910">
      <c r="A4910" s="446" t="s">
        <v>6678</v>
      </c>
    </row>
    <row r="4911">
      <c r="A4911" s="446" t="s">
        <v>6678</v>
      </c>
    </row>
    <row r="4912">
      <c r="A4912" s="446" t="s">
        <v>2868</v>
      </c>
    </row>
    <row r="4913">
      <c r="A4913" s="446" t="s">
        <v>2868</v>
      </c>
    </row>
    <row r="4914">
      <c r="A4914" s="446" t="s">
        <v>2868</v>
      </c>
    </row>
    <row r="4915">
      <c r="A4915" s="446" t="s">
        <v>2868</v>
      </c>
    </row>
    <row r="4916">
      <c r="A4916" s="446" t="s">
        <v>6675</v>
      </c>
    </row>
    <row r="4917">
      <c r="A4917" s="446" t="s">
        <v>6675</v>
      </c>
    </row>
    <row r="4918">
      <c r="A4918" s="446" t="s">
        <v>6675</v>
      </c>
    </row>
    <row r="4919">
      <c r="A4919" s="446" t="s">
        <v>6675</v>
      </c>
    </row>
    <row r="4920">
      <c r="A4920" s="446" t="s">
        <v>6673</v>
      </c>
    </row>
    <row r="4921">
      <c r="A4921" s="446" t="s">
        <v>6673</v>
      </c>
    </row>
    <row r="4922">
      <c r="A4922" s="446" t="s">
        <v>6673</v>
      </c>
    </row>
    <row r="4923">
      <c r="A4923" s="446" t="s">
        <v>6673</v>
      </c>
    </row>
    <row r="4924">
      <c r="A4924" s="446" t="s">
        <v>6671</v>
      </c>
    </row>
    <row r="4925">
      <c r="A4925" s="446" t="s">
        <v>6671</v>
      </c>
    </row>
    <row r="4926">
      <c r="A4926" s="446" t="s">
        <v>6671</v>
      </c>
    </row>
    <row r="4927">
      <c r="A4927" s="446" t="s">
        <v>6671</v>
      </c>
    </row>
    <row r="4928">
      <c r="A4928" s="446" t="s">
        <v>6669</v>
      </c>
    </row>
    <row r="4929">
      <c r="A4929" s="446" t="s">
        <v>6666</v>
      </c>
    </row>
    <row r="4930">
      <c r="A4930" s="446" t="s">
        <v>6666</v>
      </c>
    </row>
    <row r="4931">
      <c r="A4931" s="446" t="s">
        <v>6666</v>
      </c>
    </row>
    <row r="4932">
      <c r="A4932" s="446" t="s">
        <v>6664</v>
      </c>
    </row>
    <row r="4933">
      <c r="A4933" s="446" t="s">
        <v>2840</v>
      </c>
    </row>
    <row r="4934">
      <c r="A4934" s="446" t="s">
        <v>2840</v>
      </c>
    </row>
    <row r="4935">
      <c r="A4935" s="446" t="s">
        <v>2840</v>
      </c>
    </row>
    <row r="4936">
      <c r="A4936" s="446" t="s">
        <v>2840</v>
      </c>
    </row>
    <row r="4937">
      <c r="A4937" s="446" t="s">
        <v>2902</v>
      </c>
    </row>
    <row r="4938">
      <c r="A4938" s="446" t="s">
        <v>2902</v>
      </c>
    </row>
    <row r="4939">
      <c r="A4939" s="446" t="s">
        <v>6661</v>
      </c>
    </row>
    <row r="4940">
      <c r="A4940" s="446" t="s">
        <v>6661</v>
      </c>
    </row>
    <row r="4941">
      <c r="A4941" s="446" t="s">
        <v>6661</v>
      </c>
    </row>
    <row r="4942">
      <c r="A4942" s="446" t="s">
        <v>6659</v>
      </c>
    </row>
    <row r="4943">
      <c r="A4943" s="446" t="s">
        <v>6659</v>
      </c>
    </row>
    <row r="4944">
      <c r="A4944" s="446" t="s">
        <v>6659</v>
      </c>
    </row>
    <row r="4945">
      <c r="A4945" s="446" t="s">
        <v>6659</v>
      </c>
    </row>
    <row r="4946">
      <c r="A4946" s="446" t="s">
        <v>6657</v>
      </c>
    </row>
    <row r="4947">
      <c r="A4947" s="446" t="s">
        <v>6657</v>
      </c>
    </row>
    <row r="4948">
      <c r="A4948" s="446" t="s">
        <v>6657</v>
      </c>
    </row>
    <row r="4949">
      <c r="A4949" s="446" t="s">
        <v>6657</v>
      </c>
    </row>
    <row r="4950">
      <c r="A4950" s="446" t="s">
        <v>6654</v>
      </c>
    </row>
    <row r="4951">
      <c r="A4951" s="446" t="s">
        <v>6654</v>
      </c>
    </row>
    <row r="4952">
      <c r="A4952" s="446" t="s">
        <v>6654</v>
      </c>
    </row>
    <row r="4953">
      <c r="A4953" s="446" t="s">
        <v>6654</v>
      </c>
    </row>
    <row r="4954">
      <c r="A4954" s="446" t="s">
        <v>6652</v>
      </c>
    </row>
    <row r="4955">
      <c r="A4955" s="446" t="s">
        <v>6650</v>
      </c>
    </row>
    <row r="4956">
      <c r="A4956" s="446" t="s">
        <v>6648</v>
      </c>
    </row>
    <row r="4957">
      <c r="A4957" s="446" t="s">
        <v>6648</v>
      </c>
    </row>
    <row r="4958">
      <c r="A4958" s="446" t="s">
        <v>6648</v>
      </c>
    </row>
    <row r="4959">
      <c r="A4959" s="446" t="s">
        <v>6646</v>
      </c>
    </row>
    <row r="4960">
      <c r="A4960" s="446" t="s">
        <v>6646</v>
      </c>
    </row>
    <row r="4961">
      <c r="A4961" s="446" t="s">
        <v>6645</v>
      </c>
    </row>
    <row r="4962">
      <c r="A4962" s="446" t="s">
        <v>6639</v>
      </c>
    </row>
    <row r="4963">
      <c r="A4963" s="446" t="s">
        <v>6639</v>
      </c>
    </row>
    <row r="4964">
      <c r="A4964" s="446" t="s">
        <v>6634</v>
      </c>
    </row>
    <row r="4965">
      <c r="A4965" s="446" t="s">
        <v>2715</v>
      </c>
    </row>
    <row r="4966">
      <c r="A4966" s="446" t="s">
        <v>6634</v>
      </c>
    </row>
    <row r="4967">
      <c r="A4967" s="446" t="s">
        <v>6634</v>
      </c>
    </row>
    <row r="4968">
      <c r="A4968" s="446" t="s">
        <v>6632</v>
      </c>
    </row>
    <row r="4969">
      <c r="A4969" s="446" t="s">
        <v>6629</v>
      </c>
    </row>
    <row r="4970">
      <c r="A4970" s="446" t="s">
        <v>6629</v>
      </c>
    </row>
    <row r="4971">
      <c r="A4971" s="446" t="s">
        <v>6629</v>
      </c>
    </row>
    <row r="4972">
      <c r="A4972" s="446" t="s">
        <v>2715</v>
      </c>
    </row>
    <row r="4973">
      <c r="A4973" s="446" t="s">
        <v>2715</v>
      </c>
    </row>
    <row r="4974">
      <c r="A4974" s="446" t="s">
        <v>2715</v>
      </c>
    </row>
    <row r="4975">
      <c r="A4975" s="446" t="s">
        <v>2715</v>
      </c>
    </row>
    <row r="4976">
      <c r="A4976" s="446" t="s">
        <v>2715</v>
      </c>
    </row>
    <row r="4977">
      <c r="A4977" s="446" t="s">
        <v>6624</v>
      </c>
    </row>
    <row r="4978">
      <c r="A4978" s="446" t="s">
        <v>6624</v>
      </c>
    </row>
    <row r="4979">
      <c r="A4979" s="446" t="s">
        <v>6624</v>
      </c>
    </row>
    <row r="4980">
      <c r="A4980" s="446" t="s">
        <v>6619</v>
      </c>
    </row>
    <row r="4981">
      <c r="A4981" s="446" t="s">
        <v>6619</v>
      </c>
    </row>
    <row r="4982">
      <c r="A4982" s="446" t="s">
        <v>6619</v>
      </c>
    </row>
    <row r="4983">
      <c r="A4983" s="446" t="s">
        <v>6617</v>
      </c>
    </row>
    <row r="4984">
      <c r="A4984" s="446" t="s">
        <v>6621</v>
      </c>
    </row>
    <row r="4985">
      <c r="A4985" s="446" t="s">
        <v>6621</v>
      </c>
    </row>
    <row r="4986">
      <c r="A4986" s="446" t="s">
        <v>6621</v>
      </c>
    </row>
    <row r="4987">
      <c r="A4987" s="446" t="s">
        <v>6616</v>
      </c>
    </row>
    <row r="4988">
      <c r="A4988" s="446" t="s">
        <v>6614</v>
      </c>
    </row>
    <row r="4989">
      <c r="A4989" s="446" t="s">
        <v>6614</v>
      </c>
    </row>
    <row r="4990">
      <c r="A4990" s="446" t="s">
        <v>6612</v>
      </c>
    </row>
    <row r="4991">
      <c r="A4991" s="446" t="s">
        <v>6610</v>
      </c>
    </row>
    <row r="4992">
      <c r="A4992" s="446" t="s">
        <v>6610</v>
      </c>
    </row>
    <row r="4993">
      <c r="A4993" s="446" t="s">
        <v>6610</v>
      </c>
    </row>
    <row r="4994">
      <c r="A4994" s="446" t="s">
        <v>6609</v>
      </c>
    </row>
    <row r="4995">
      <c r="A4995" s="446" t="s">
        <v>6603</v>
      </c>
    </row>
    <row r="4996">
      <c r="A4996" s="446" t="s">
        <v>6603</v>
      </c>
    </row>
    <row r="4997">
      <c r="A4997" s="446" t="s">
        <v>6600</v>
      </c>
    </row>
    <row r="4998">
      <c r="A4998" s="446" t="s">
        <v>6607</v>
      </c>
    </row>
    <row r="4999">
      <c r="A4999" s="446" t="s">
        <v>6607</v>
      </c>
    </row>
    <row r="5000">
      <c r="A5000" s="446" t="s">
        <v>6607</v>
      </c>
    </row>
    <row r="5001">
      <c r="A5001" s="446" t="s">
        <v>6607</v>
      </c>
    </row>
    <row r="5002">
      <c r="A5002" s="446" t="s">
        <v>6605</v>
      </c>
    </row>
    <row r="5003">
      <c r="A5003" s="446" t="s">
        <v>6605</v>
      </c>
    </row>
    <row r="5004">
      <c r="A5004" s="446" t="s">
        <v>6598</v>
      </c>
    </row>
    <row r="5005">
      <c r="A5005" s="446" t="s">
        <v>6596</v>
      </c>
    </row>
    <row r="5006">
      <c r="A5006" s="446" t="s">
        <v>6596</v>
      </c>
    </row>
    <row r="5007">
      <c r="A5007" s="446" t="s">
        <v>6594</v>
      </c>
    </row>
    <row r="5008">
      <c r="A5008" s="446" t="s">
        <v>6594</v>
      </c>
    </row>
    <row r="5009">
      <c r="A5009" s="446" t="s">
        <v>6594</v>
      </c>
    </row>
    <row r="5010">
      <c r="A5010" s="446" t="s">
        <v>6594</v>
      </c>
    </row>
    <row r="5011">
      <c r="A5011" s="446" t="s">
        <v>6592</v>
      </c>
    </row>
    <row r="5012">
      <c r="A5012" s="446" t="s">
        <v>6590</v>
      </c>
    </row>
    <row r="5013">
      <c r="A5013" s="446" t="s">
        <v>6588</v>
      </c>
    </row>
    <row r="5014">
      <c r="A5014" s="446" t="s">
        <v>6588</v>
      </c>
    </row>
    <row r="5015">
      <c r="A5015" s="446" t="s">
        <v>6587</v>
      </c>
    </row>
    <row r="5016">
      <c r="A5016" s="446" t="s">
        <v>6587</v>
      </c>
    </row>
    <row r="5017">
      <c r="A5017" s="446" t="s">
        <v>6587</v>
      </c>
    </row>
    <row r="5018">
      <c r="A5018" s="446" t="s">
        <v>6587</v>
      </c>
    </row>
    <row r="5019">
      <c r="A5019" s="446" t="s">
        <v>6585</v>
      </c>
    </row>
    <row r="5020">
      <c r="A5020" s="446" t="s">
        <v>6583</v>
      </c>
    </row>
    <row r="5021">
      <c r="A5021" s="446" t="s">
        <v>6581</v>
      </c>
    </row>
    <row r="5022">
      <c r="A5022" s="446" t="s">
        <v>6581</v>
      </c>
    </row>
    <row r="5023">
      <c r="A5023" s="446" t="s">
        <v>6576</v>
      </c>
    </row>
    <row r="5024">
      <c r="A5024" s="446" t="s">
        <v>6576</v>
      </c>
    </row>
    <row r="5025">
      <c r="A5025" s="446" t="s">
        <v>6576</v>
      </c>
    </row>
    <row r="5026">
      <c r="A5026" s="446" t="s">
        <v>6576</v>
      </c>
    </row>
    <row r="5027">
      <c r="A5027" s="446" t="s">
        <v>6572</v>
      </c>
    </row>
    <row r="5028">
      <c r="A5028" s="446" t="s">
        <v>6572</v>
      </c>
    </row>
    <row r="5029">
      <c r="A5029" s="446" t="s">
        <v>6570</v>
      </c>
    </row>
    <row r="5030">
      <c r="A5030" s="446" t="s">
        <v>6570</v>
      </c>
    </row>
    <row r="5031">
      <c r="A5031" s="446" t="s">
        <v>6570</v>
      </c>
    </row>
    <row r="5032">
      <c r="A5032" s="446" t="s">
        <v>6568</v>
      </c>
    </row>
    <row r="5033">
      <c r="A5033" s="446" t="s">
        <v>6568</v>
      </c>
    </row>
    <row r="5034">
      <c r="A5034" s="446" t="s">
        <v>6566</v>
      </c>
    </row>
    <row r="5035">
      <c r="A5035" s="446" t="s">
        <v>6564</v>
      </c>
    </row>
    <row r="5036">
      <c r="A5036" s="446" t="s">
        <v>6557</v>
      </c>
    </row>
    <row r="5037">
      <c r="A5037" s="446" t="s">
        <v>6557</v>
      </c>
    </row>
    <row r="5038">
      <c r="A5038" s="446" t="s">
        <v>6557</v>
      </c>
    </row>
    <row r="5039">
      <c r="A5039" s="446" t="s">
        <v>6555</v>
      </c>
    </row>
    <row r="5040">
      <c r="A5040" s="446" t="s">
        <v>6555</v>
      </c>
    </row>
    <row r="5041">
      <c r="A5041" s="446" t="s">
        <v>6555</v>
      </c>
    </row>
    <row r="5042">
      <c r="A5042" s="446" t="s">
        <v>6553</v>
      </c>
    </row>
    <row r="5043">
      <c r="A5043" s="446" t="s">
        <v>6553</v>
      </c>
    </row>
    <row r="5044">
      <c r="A5044" s="446" t="s">
        <v>6550</v>
      </c>
    </row>
    <row r="5045">
      <c r="A5045" s="446" t="s">
        <v>6550</v>
      </c>
    </row>
    <row r="5046">
      <c r="A5046" s="446" t="s">
        <v>6547</v>
      </c>
    </row>
    <row r="5047">
      <c r="A5047" s="446" t="s">
        <v>6547</v>
      </c>
    </row>
    <row r="5048">
      <c r="A5048" s="446" t="s">
        <v>6547</v>
      </c>
    </row>
    <row r="5049">
      <c r="A5049" s="446" t="s">
        <v>6547</v>
      </c>
    </row>
    <row r="5050">
      <c r="A5050" s="446" t="s">
        <v>6546</v>
      </c>
    </row>
    <row r="5051">
      <c r="A5051" s="446" t="s">
        <v>6546</v>
      </c>
    </row>
    <row r="5052">
      <c r="A5052" s="446" t="s">
        <v>6546</v>
      </c>
    </row>
    <row r="5053">
      <c r="A5053" s="446" t="s">
        <v>6546</v>
      </c>
    </row>
    <row r="5054">
      <c r="A5054" s="446" t="s">
        <v>6545</v>
      </c>
    </row>
    <row r="5055">
      <c r="A5055" s="446" t="s">
        <v>6545</v>
      </c>
    </row>
    <row r="5056">
      <c r="A5056" s="446" t="s">
        <v>6543</v>
      </c>
    </row>
    <row r="5057">
      <c r="A5057" s="446" t="s">
        <v>6543</v>
      </c>
    </row>
    <row r="5058">
      <c r="A5058" s="446" t="s">
        <v>2772</v>
      </c>
    </row>
    <row r="5059">
      <c r="A5059" s="446" t="s">
        <v>2772</v>
      </c>
    </row>
    <row r="5060">
      <c r="A5060" s="446" t="s">
        <v>2772</v>
      </c>
    </row>
    <row r="5061">
      <c r="A5061" s="446" t="s">
        <v>2772</v>
      </c>
    </row>
    <row r="5062">
      <c r="A5062" s="446" t="s">
        <v>6538</v>
      </c>
    </row>
    <row r="5063">
      <c r="A5063" s="446" t="s">
        <v>6538</v>
      </c>
    </row>
    <row r="5064">
      <c r="A5064" s="446" t="s">
        <v>6537</v>
      </c>
    </row>
    <row r="5065">
      <c r="A5065" s="446" t="s">
        <v>6537</v>
      </c>
    </row>
    <row r="5066">
      <c r="A5066" s="446" t="s">
        <v>6535</v>
      </c>
    </row>
    <row r="5067">
      <c r="A5067" s="446" t="s">
        <v>6535</v>
      </c>
    </row>
    <row r="5068">
      <c r="A5068" s="446" t="s">
        <v>6535</v>
      </c>
    </row>
    <row r="5069">
      <c r="A5069" s="446" t="s">
        <v>6535</v>
      </c>
    </row>
    <row r="5070">
      <c r="A5070" s="446" t="s">
        <v>6533</v>
      </c>
    </row>
    <row r="5071">
      <c r="A5071" s="446" t="s">
        <v>6533</v>
      </c>
    </row>
    <row r="5072">
      <c r="A5072" s="446" t="s">
        <v>6533</v>
      </c>
    </row>
    <row r="5073">
      <c r="A5073" s="446" t="s">
        <v>6533</v>
      </c>
    </row>
    <row r="5074">
      <c r="A5074" s="446" t="s">
        <v>6533</v>
      </c>
    </row>
    <row r="5075">
      <c r="A5075" s="446" t="s">
        <v>6531</v>
      </c>
    </row>
    <row r="5076">
      <c r="A5076" s="446" t="s">
        <v>6530</v>
      </c>
    </row>
    <row r="5077">
      <c r="A5077" s="446" t="s">
        <v>6528</v>
      </c>
    </row>
    <row r="5078">
      <c r="A5078" s="446" t="s">
        <v>6528</v>
      </c>
    </row>
    <row r="5079">
      <c r="A5079" s="446" t="s">
        <v>6526</v>
      </c>
    </row>
    <row r="5080">
      <c r="A5080" s="446" t="s">
        <v>6523</v>
      </c>
    </row>
    <row r="5081">
      <c r="A5081" s="446" t="s">
        <v>6521</v>
      </c>
    </row>
    <row r="5082">
      <c r="A5082" s="446" t="s">
        <v>6520</v>
      </c>
    </row>
    <row r="5083">
      <c r="A5083" s="446" t="s">
        <v>6518</v>
      </c>
    </row>
    <row r="5084">
      <c r="A5084" s="446" t="s">
        <v>6518</v>
      </c>
    </row>
    <row r="5085">
      <c r="A5085" s="446" t="s">
        <v>6516</v>
      </c>
    </row>
    <row r="5086">
      <c r="A5086" s="446" t="s">
        <v>6514</v>
      </c>
    </row>
    <row r="5087">
      <c r="A5087" s="446" t="s">
        <v>6514</v>
      </c>
    </row>
    <row r="5088">
      <c r="A5088" s="446" t="s">
        <v>6514</v>
      </c>
    </row>
    <row r="5089">
      <c r="A5089" s="446" t="s">
        <v>6512</v>
      </c>
    </row>
    <row r="5090">
      <c r="A5090" s="446" t="s">
        <v>6512</v>
      </c>
    </row>
    <row r="5091">
      <c r="A5091" s="446" t="s">
        <v>6512</v>
      </c>
    </row>
    <row r="5092">
      <c r="A5092" s="446" t="s">
        <v>6512</v>
      </c>
    </row>
    <row r="5093">
      <c r="A5093" s="446" t="s">
        <v>6512</v>
      </c>
    </row>
    <row r="5094">
      <c r="A5094" s="446" t="s">
        <v>6510</v>
      </c>
    </row>
    <row r="5095">
      <c r="A5095" s="446" t="s">
        <v>2520</v>
      </c>
    </row>
    <row r="5096">
      <c r="A5096" s="446" t="s">
        <v>2520</v>
      </c>
    </row>
    <row r="5097">
      <c r="A5097" s="446" t="s">
        <v>2520</v>
      </c>
    </row>
    <row r="5098">
      <c r="A5098" s="446" t="s">
        <v>2520</v>
      </c>
    </row>
    <row r="5099">
      <c r="A5099" s="446" t="s">
        <v>6507</v>
      </c>
    </row>
    <row r="5100">
      <c r="A5100" s="446" t="s">
        <v>6507</v>
      </c>
    </row>
    <row r="5101">
      <c r="A5101" s="446" t="s">
        <v>6507</v>
      </c>
    </row>
    <row r="5102">
      <c r="A5102" s="446" t="s">
        <v>6507</v>
      </c>
    </row>
    <row r="5103">
      <c r="A5103" s="446" t="s">
        <v>2462</v>
      </c>
    </row>
    <row r="5104">
      <c r="A5104" s="446" t="s">
        <v>2462</v>
      </c>
    </row>
    <row r="5105">
      <c r="A5105" s="446" t="s">
        <v>2462</v>
      </c>
    </row>
    <row r="5106">
      <c r="A5106" s="446" t="s">
        <v>2462</v>
      </c>
    </row>
    <row r="5107">
      <c r="A5107" s="446" t="s">
        <v>8459</v>
      </c>
    </row>
    <row r="5108">
      <c r="A5108" s="446" t="s">
        <v>2433</v>
      </c>
    </row>
    <row r="5109">
      <c r="A5109" s="446" t="s">
        <v>6500</v>
      </c>
    </row>
    <row r="5110">
      <c r="A5110" s="446" t="s">
        <v>6500</v>
      </c>
    </row>
    <row r="5111">
      <c r="A5111" s="446" t="s">
        <v>6500</v>
      </c>
    </row>
    <row r="5112">
      <c r="A5112" s="446" t="s">
        <v>6498</v>
      </c>
    </row>
    <row r="5113">
      <c r="A5113" s="446" t="s">
        <v>6498</v>
      </c>
    </row>
    <row r="5114">
      <c r="A5114" s="446" t="s">
        <v>6492</v>
      </c>
    </row>
    <row r="5115">
      <c r="A5115" s="446" t="s">
        <v>6492</v>
      </c>
    </row>
    <row r="5116">
      <c r="A5116" s="446" t="s">
        <v>6484</v>
      </c>
    </row>
    <row r="5117">
      <c r="A5117" s="446" t="s">
        <v>6484</v>
      </c>
    </row>
    <row r="5118">
      <c r="A5118" s="446" t="s">
        <v>6484</v>
      </c>
    </row>
    <row r="5119">
      <c r="A5119" s="446" t="s">
        <v>6482</v>
      </c>
    </row>
    <row r="5120">
      <c r="A5120" s="446" t="s">
        <v>6482</v>
      </c>
    </row>
    <row r="5121">
      <c r="A5121" s="446" t="s">
        <v>6488</v>
      </c>
    </row>
    <row r="5122">
      <c r="A5122" s="446" t="s">
        <v>6488</v>
      </c>
    </row>
    <row r="5123">
      <c r="A5123" s="446" t="s">
        <v>6488</v>
      </c>
    </row>
    <row r="5124">
      <c r="A5124" s="446" t="s">
        <v>6486</v>
      </c>
    </row>
    <row r="5125">
      <c r="A5125" s="446" t="s">
        <v>6486</v>
      </c>
    </row>
    <row r="5126">
      <c r="A5126" s="446" t="s">
        <v>6486</v>
      </c>
    </row>
    <row r="5127">
      <c r="A5127" s="446" t="s">
        <v>6486</v>
      </c>
    </row>
    <row r="5128">
      <c r="A5128" s="446" t="s">
        <v>6486</v>
      </c>
    </row>
    <row r="5129">
      <c r="A5129" s="446" t="s">
        <v>6486</v>
      </c>
    </row>
    <row r="5130">
      <c r="A5130" s="446" t="s">
        <v>6476</v>
      </c>
    </row>
    <row r="5131">
      <c r="A5131" s="446" t="s">
        <v>6476</v>
      </c>
    </row>
    <row r="5132">
      <c r="A5132" s="446" t="s">
        <v>6476</v>
      </c>
    </row>
    <row r="5133">
      <c r="A5133" s="446" t="s">
        <v>6474</v>
      </c>
    </row>
    <row r="5134">
      <c r="A5134" s="446" t="s">
        <v>6474</v>
      </c>
    </row>
    <row r="5135">
      <c r="A5135" s="446" t="s">
        <v>2407</v>
      </c>
    </row>
    <row r="5136">
      <c r="A5136" s="446" t="s">
        <v>2407</v>
      </c>
    </row>
    <row r="5137">
      <c r="A5137" s="446" t="s">
        <v>2407</v>
      </c>
    </row>
    <row r="5138">
      <c r="A5138" s="446" t="s">
        <v>6478</v>
      </c>
    </row>
    <row r="5139">
      <c r="A5139" s="446" t="s">
        <v>6478</v>
      </c>
    </row>
    <row r="5140">
      <c r="A5140" s="446" t="s">
        <v>6478</v>
      </c>
    </row>
    <row r="5141">
      <c r="A5141" s="446" t="s">
        <v>6478</v>
      </c>
    </row>
    <row r="5142">
      <c r="A5142" s="446" t="s">
        <v>6478</v>
      </c>
    </row>
    <row r="5143">
      <c r="A5143" s="446" t="s">
        <v>6478</v>
      </c>
    </row>
    <row r="5144">
      <c r="A5144" s="446" t="s">
        <v>6472</v>
      </c>
    </row>
    <row r="5145">
      <c r="A5145" s="446" t="s">
        <v>6470</v>
      </c>
    </row>
    <row r="5146">
      <c r="A5146" s="446" t="s">
        <v>6470</v>
      </c>
    </row>
    <row r="5147">
      <c r="A5147" s="446" t="s">
        <v>6468</v>
      </c>
    </row>
    <row r="5148">
      <c r="A5148" s="446" t="s">
        <v>8466</v>
      </c>
    </row>
    <row r="5149">
      <c r="A5149" s="446" t="s">
        <v>8466</v>
      </c>
    </row>
    <row r="5150">
      <c r="A5150" s="446" t="s">
        <v>6463</v>
      </c>
    </row>
    <row r="5151">
      <c r="A5151" s="446" t="s">
        <v>6457</v>
      </c>
    </row>
    <row r="5152">
      <c r="A5152" s="446" t="s">
        <v>6457</v>
      </c>
    </row>
    <row r="5153">
      <c r="A5153" s="446" t="s">
        <v>6457</v>
      </c>
    </row>
    <row r="5154">
      <c r="A5154" s="446" t="s">
        <v>6457</v>
      </c>
    </row>
    <row r="5155">
      <c r="A5155" s="446" t="s">
        <v>6457</v>
      </c>
    </row>
    <row r="5156">
      <c r="A5156" s="446" t="s">
        <v>6455</v>
      </c>
    </row>
    <row r="5157">
      <c r="A5157" s="446" t="s">
        <v>6455</v>
      </c>
    </row>
    <row r="5158">
      <c r="A5158" s="446" t="s">
        <v>6455</v>
      </c>
    </row>
    <row r="5159">
      <c r="A5159" s="446" t="s">
        <v>6455</v>
      </c>
    </row>
    <row r="5160">
      <c r="A5160" s="446" t="s">
        <v>6453</v>
      </c>
    </row>
    <row r="5161">
      <c r="A5161" s="446" t="s">
        <v>6453</v>
      </c>
    </row>
    <row r="5162">
      <c r="A5162" s="446" t="s">
        <v>6461</v>
      </c>
    </row>
    <row r="5163">
      <c r="A5163" s="446" t="s">
        <v>6461</v>
      </c>
    </row>
    <row r="5164">
      <c r="A5164" s="446" t="s">
        <v>6461</v>
      </c>
    </row>
    <row r="5165">
      <c r="A5165" s="446" t="s">
        <v>6459</v>
      </c>
    </row>
    <row r="5166">
      <c r="A5166" s="446" t="s">
        <v>6459</v>
      </c>
    </row>
    <row r="5167">
      <c r="A5167" s="446" t="s">
        <v>6459</v>
      </c>
    </row>
    <row r="5168">
      <c r="A5168" s="446" t="s">
        <v>6459</v>
      </c>
    </row>
    <row r="5169">
      <c r="A5169" s="446" t="s">
        <v>6459</v>
      </c>
    </row>
    <row r="5170">
      <c r="A5170" s="446" t="s">
        <v>6447</v>
      </c>
    </row>
    <row r="5171">
      <c r="A5171" s="446" t="s">
        <v>6447</v>
      </c>
    </row>
    <row r="5172">
      <c r="A5172" s="446" t="s">
        <v>6447</v>
      </c>
    </row>
    <row r="5173">
      <c r="A5173" s="446" t="s">
        <v>6447</v>
      </c>
    </row>
    <row r="5174">
      <c r="A5174" s="446" t="s">
        <v>6447</v>
      </c>
    </row>
    <row r="5175">
      <c r="A5175" s="446" t="s">
        <v>6445</v>
      </c>
    </row>
    <row r="5176">
      <c r="A5176" s="446" t="s">
        <v>6445</v>
      </c>
    </row>
    <row r="5177">
      <c r="A5177" s="446" t="s">
        <v>6445</v>
      </c>
    </row>
    <row r="5178">
      <c r="A5178" s="446" t="s">
        <v>6445</v>
      </c>
    </row>
    <row r="5179">
      <c r="A5179" s="446" t="s">
        <v>6443</v>
      </c>
    </row>
    <row r="5180">
      <c r="A5180" s="446" t="s">
        <v>6443</v>
      </c>
    </row>
    <row r="5181">
      <c r="A5181" s="446" t="s">
        <v>6451</v>
      </c>
    </row>
    <row r="5182">
      <c r="A5182" s="446" t="s">
        <v>6451</v>
      </c>
    </row>
    <row r="5183">
      <c r="A5183" s="446" t="s">
        <v>6451</v>
      </c>
    </row>
    <row r="5184">
      <c r="A5184" s="446" t="s">
        <v>6449</v>
      </c>
    </row>
    <row r="5185">
      <c r="A5185" s="446" t="s">
        <v>6449</v>
      </c>
    </row>
    <row r="5186">
      <c r="A5186" s="446" t="s">
        <v>6449</v>
      </c>
    </row>
    <row r="5187">
      <c r="A5187" s="446" t="s">
        <v>6449</v>
      </c>
    </row>
    <row r="5188">
      <c r="A5188" s="446" t="s">
        <v>6449</v>
      </c>
    </row>
    <row r="5189">
      <c r="A5189" s="446" t="s">
        <v>6441</v>
      </c>
    </row>
    <row r="5190">
      <c r="A5190" s="446" t="s">
        <v>6437</v>
      </c>
    </row>
    <row r="5191">
      <c r="A5191" s="446" t="s">
        <v>6437</v>
      </c>
    </row>
    <row r="5192">
      <c r="A5192" s="446" t="s">
        <v>6437</v>
      </c>
    </row>
    <row r="5193">
      <c r="A5193" s="446" t="s">
        <v>6437</v>
      </c>
    </row>
    <row r="5194">
      <c r="A5194" s="446" t="s">
        <v>6437</v>
      </c>
    </row>
    <row r="5195">
      <c r="A5195" s="446" t="s">
        <v>6435</v>
      </c>
    </row>
    <row r="5196">
      <c r="A5196" s="446" t="s">
        <v>6435</v>
      </c>
    </row>
    <row r="5197">
      <c r="A5197" s="446" t="s">
        <v>6435</v>
      </c>
    </row>
    <row r="5198">
      <c r="A5198" s="446" t="s">
        <v>6435</v>
      </c>
    </row>
    <row r="5199">
      <c r="A5199" s="446" t="s">
        <v>6439</v>
      </c>
    </row>
    <row r="5200">
      <c r="A5200" s="446" t="s">
        <v>2322</v>
      </c>
    </row>
    <row r="5201">
      <c r="A5201" s="446" t="s">
        <v>2322</v>
      </c>
    </row>
    <row r="5202">
      <c r="A5202" s="446" t="s">
        <v>2322</v>
      </c>
    </row>
    <row r="5203">
      <c r="A5203" s="446" t="s">
        <v>2322</v>
      </c>
    </row>
    <row r="5204">
      <c r="A5204" s="446" t="s">
        <v>2322</v>
      </c>
    </row>
    <row r="5205">
      <c r="A5205" s="446" t="s">
        <v>6426</v>
      </c>
    </row>
    <row r="5206">
      <c r="A5206" s="446" t="s">
        <v>6426</v>
      </c>
    </row>
    <row r="5207">
      <c r="A5207" s="446" t="s">
        <v>6426</v>
      </c>
    </row>
    <row r="5208">
      <c r="A5208" s="446" t="s">
        <v>6426</v>
      </c>
    </row>
    <row r="5209">
      <c r="A5209" s="446" t="s">
        <v>6430</v>
      </c>
    </row>
    <row r="5210">
      <c r="A5210" s="446" t="s">
        <v>6428</v>
      </c>
    </row>
    <row r="5211">
      <c r="A5211" s="446" t="s">
        <v>6428</v>
      </c>
    </row>
    <row r="5212">
      <c r="A5212" s="446" t="s">
        <v>6428</v>
      </c>
    </row>
    <row r="5213">
      <c r="A5213" s="446" t="s">
        <v>6428</v>
      </c>
    </row>
    <row r="5214">
      <c r="A5214" s="446" t="s">
        <v>6428</v>
      </c>
    </row>
    <row r="5215">
      <c r="A5215" s="446" t="s">
        <v>6421</v>
      </c>
    </row>
    <row r="5216">
      <c r="A5216" s="446" t="s">
        <v>2115</v>
      </c>
    </row>
    <row r="5217">
      <c r="A5217" s="446" t="s">
        <v>2115</v>
      </c>
    </row>
    <row r="5218">
      <c r="A5218" s="446" t="s">
        <v>2081</v>
      </c>
    </row>
    <row r="5219">
      <c r="A5219" s="446" t="s">
        <v>2081</v>
      </c>
    </row>
    <row r="5220">
      <c r="A5220" s="446" t="s">
        <v>2081</v>
      </c>
    </row>
    <row r="5221">
      <c r="A5221" s="446" t="s">
        <v>6415</v>
      </c>
    </row>
    <row r="5222">
      <c r="A5222" s="446" t="s">
        <v>6415</v>
      </c>
    </row>
    <row r="5223">
      <c r="A5223" s="446" t="s">
        <v>6415</v>
      </c>
    </row>
    <row r="5224">
      <c r="A5224" s="446" t="s">
        <v>6413</v>
      </c>
    </row>
    <row r="5225">
      <c r="A5225" s="446" t="s">
        <v>6411</v>
      </c>
    </row>
    <row r="5226">
      <c r="A5226" s="446" t="s">
        <v>6407</v>
      </c>
    </row>
    <row r="5227">
      <c r="A5227" s="446" t="s">
        <v>6407</v>
      </c>
    </row>
    <row r="5228">
      <c r="A5228" s="446" t="s">
        <v>1921</v>
      </c>
    </row>
    <row r="5229">
      <c r="A5229" s="446" t="s">
        <v>1921</v>
      </c>
    </row>
    <row r="5230">
      <c r="A5230" s="446" t="s">
        <v>1921</v>
      </c>
    </row>
    <row r="5231">
      <c r="A5231" s="446" t="s">
        <v>1921</v>
      </c>
    </row>
    <row r="5232">
      <c r="A5232" s="446" t="s">
        <v>1921</v>
      </c>
    </row>
    <row r="5233">
      <c r="A5233" s="446" t="s">
        <v>6403</v>
      </c>
    </row>
    <row r="5234">
      <c r="A5234" s="446" t="s">
        <v>6403</v>
      </c>
    </row>
    <row r="5235">
      <c r="A5235" s="446" t="s">
        <v>6399</v>
      </c>
    </row>
    <row r="5236">
      <c r="A5236" s="446" t="s">
        <v>6397</v>
      </c>
    </row>
    <row r="5237">
      <c r="A5237" s="446" t="s">
        <v>6395</v>
      </c>
    </row>
    <row r="5238">
      <c r="A5238" s="446" t="s">
        <v>6395</v>
      </c>
    </row>
    <row r="5239">
      <c r="A5239" s="446" t="s">
        <v>6395</v>
      </c>
    </row>
    <row r="5240">
      <c r="A5240" s="446" t="s">
        <v>6395</v>
      </c>
    </row>
    <row r="5241">
      <c r="A5241" s="446" t="s">
        <v>6397</v>
      </c>
    </row>
    <row r="5242">
      <c r="A5242" s="446" t="s">
        <v>6397</v>
      </c>
    </row>
    <row r="5243">
      <c r="A5243" s="446" t="s">
        <v>6397</v>
      </c>
    </row>
    <row r="5244">
      <c r="A5244" s="446" t="s">
        <v>6393</v>
      </c>
    </row>
    <row r="5245">
      <c r="A5245" s="446" t="s">
        <v>6393</v>
      </c>
    </row>
    <row r="5246">
      <c r="A5246" s="446" t="s">
        <v>6393</v>
      </c>
    </row>
    <row r="5247">
      <c r="A5247" s="446" t="s">
        <v>6386</v>
      </c>
    </row>
    <row r="5248">
      <c r="A5248" s="446" t="s">
        <v>6386</v>
      </c>
    </row>
    <row r="5249">
      <c r="A5249" s="446" t="s">
        <v>6386</v>
      </c>
    </row>
    <row r="5250">
      <c r="A5250" s="446" t="s">
        <v>6386</v>
      </c>
    </row>
    <row r="5251">
      <c r="A5251" s="446" t="s">
        <v>6386</v>
      </c>
    </row>
    <row r="5252">
      <c r="A5252" s="446" t="s">
        <v>6384</v>
      </c>
    </row>
    <row r="5253">
      <c r="A5253" s="446" t="s">
        <v>6384</v>
      </c>
    </row>
    <row r="5254">
      <c r="A5254" s="446" t="s">
        <v>6390</v>
      </c>
    </row>
    <row r="5255">
      <c r="A5255" s="446" t="s">
        <v>6390</v>
      </c>
    </row>
    <row r="5256">
      <c r="A5256" s="446" t="s">
        <v>6390</v>
      </c>
    </row>
    <row r="5257">
      <c r="A5257" s="446" t="s">
        <v>6388</v>
      </c>
    </row>
    <row r="5258">
      <c r="A5258" s="446" t="s">
        <v>6388</v>
      </c>
    </row>
    <row r="5259">
      <c r="A5259" s="446" t="s">
        <v>6388</v>
      </c>
    </row>
    <row r="5260">
      <c r="A5260" s="446" t="s">
        <v>6388</v>
      </c>
    </row>
    <row r="5261">
      <c r="A5261" s="446" t="s">
        <v>6388</v>
      </c>
    </row>
    <row r="5262">
      <c r="A5262" s="446" t="s">
        <v>6379</v>
      </c>
    </row>
    <row r="5263">
      <c r="A5263" s="446" t="s">
        <v>6379</v>
      </c>
    </row>
    <row r="5264">
      <c r="A5264" s="446" t="s">
        <v>6379</v>
      </c>
    </row>
    <row r="5265">
      <c r="A5265" s="446" t="s">
        <v>6379</v>
      </c>
    </row>
    <row r="5266">
      <c r="A5266" s="446" t="s">
        <v>6379</v>
      </c>
    </row>
    <row r="5267">
      <c r="A5267" s="446" t="s">
        <v>6377</v>
      </c>
    </row>
    <row r="5268">
      <c r="A5268" s="446" t="s">
        <v>6377</v>
      </c>
    </row>
    <row r="5269">
      <c r="A5269" s="446" t="s">
        <v>1828</v>
      </c>
    </row>
    <row r="5270">
      <c r="A5270" s="446" t="s">
        <v>1828</v>
      </c>
    </row>
    <row r="5271">
      <c r="A5271" s="446" t="s">
        <v>1828</v>
      </c>
    </row>
    <row r="5272">
      <c r="A5272" s="446" t="s">
        <v>6381</v>
      </c>
    </row>
    <row r="5273">
      <c r="A5273" s="446" t="s">
        <v>6381</v>
      </c>
    </row>
    <row r="5274">
      <c r="A5274" s="446" t="s">
        <v>6381</v>
      </c>
    </row>
    <row r="5275">
      <c r="A5275" s="446" t="s">
        <v>6381</v>
      </c>
    </row>
    <row r="5276">
      <c r="A5276" s="446" t="s">
        <v>6375</v>
      </c>
    </row>
    <row r="5277">
      <c r="A5277" s="446" t="s">
        <v>6372</v>
      </c>
    </row>
    <row r="5278">
      <c r="A5278" s="446" t="s">
        <v>6372</v>
      </c>
    </row>
    <row r="5279">
      <c r="A5279" s="446" t="s">
        <v>6372</v>
      </c>
    </row>
    <row r="5280">
      <c r="A5280" s="446" t="s">
        <v>6372</v>
      </c>
    </row>
    <row r="5281">
      <c r="A5281" s="446" t="s">
        <v>6370</v>
      </c>
    </row>
    <row r="5282">
      <c r="A5282" s="446" t="s">
        <v>6370</v>
      </c>
    </row>
    <row r="5283">
      <c r="A5283" s="446" t="s">
        <v>6370</v>
      </c>
    </row>
    <row r="5284">
      <c r="A5284" s="446" t="s">
        <v>6370</v>
      </c>
    </row>
    <row r="5285">
      <c r="A5285" s="446" t="s">
        <v>6366</v>
      </c>
    </row>
    <row r="5286">
      <c r="A5286" s="446" t="s">
        <v>6366</v>
      </c>
    </row>
    <row r="5287">
      <c r="A5287" s="446" t="s">
        <v>6366</v>
      </c>
    </row>
    <row r="5288">
      <c r="A5288" s="446" t="s">
        <v>6366</v>
      </c>
    </row>
    <row r="5289">
      <c r="A5289" s="446" t="s">
        <v>6368</v>
      </c>
    </row>
    <row r="5290">
      <c r="A5290" s="446" t="s">
        <v>6368</v>
      </c>
    </row>
    <row r="5291">
      <c r="A5291" s="446" t="s">
        <v>6355</v>
      </c>
    </row>
    <row r="5292">
      <c r="A5292" s="446" t="s">
        <v>6355</v>
      </c>
    </row>
    <row r="5293">
      <c r="A5293" s="446" t="s">
        <v>6355</v>
      </c>
    </row>
    <row r="5294">
      <c r="A5294" s="446" t="s">
        <v>6355</v>
      </c>
    </row>
    <row r="5295">
      <c r="A5295" s="446" t="s">
        <v>6362</v>
      </c>
    </row>
    <row r="5296">
      <c r="A5296" s="446" t="s">
        <v>6362</v>
      </c>
    </row>
    <row r="5297">
      <c r="A5297" s="446" t="s">
        <v>6362</v>
      </c>
    </row>
    <row r="5298">
      <c r="A5298" s="446" t="s">
        <v>6362</v>
      </c>
    </row>
    <row r="5299">
      <c r="A5299" s="446" t="s">
        <v>6362</v>
      </c>
    </row>
    <row r="5300">
      <c r="A5300" s="446" t="s">
        <v>6360</v>
      </c>
    </row>
    <row r="5301">
      <c r="A5301" s="446" t="s">
        <v>6360</v>
      </c>
    </row>
    <row r="5302">
      <c r="A5302" s="446" t="s">
        <v>6360</v>
      </c>
    </row>
    <row r="5303">
      <c r="A5303" s="446" t="s">
        <v>6360</v>
      </c>
    </row>
    <row r="5304">
      <c r="A5304" s="446" t="s">
        <v>6358</v>
      </c>
    </row>
    <row r="5305">
      <c r="A5305" s="446" t="s">
        <v>6358</v>
      </c>
    </row>
    <row r="5306">
      <c r="A5306" s="446" t="s">
        <v>6358</v>
      </c>
    </row>
    <row r="5307">
      <c r="A5307" s="446" t="s">
        <v>6346</v>
      </c>
    </row>
    <row r="5308">
      <c r="A5308" s="446" t="s">
        <v>6346</v>
      </c>
    </row>
    <row r="5309">
      <c r="A5309" s="446" t="s">
        <v>6346</v>
      </c>
    </row>
    <row r="5310">
      <c r="A5310" s="446" t="s">
        <v>6346</v>
      </c>
    </row>
    <row r="5311">
      <c r="A5311" s="446" t="s">
        <v>5816</v>
      </c>
    </row>
    <row r="5312">
      <c r="A5312" s="446" t="s">
        <v>5816</v>
      </c>
    </row>
    <row r="5313">
      <c r="A5313" s="446" t="s">
        <v>5816</v>
      </c>
    </row>
    <row r="5314">
      <c r="A5314" s="446" t="s">
        <v>5816</v>
      </c>
    </row>
    <row r="5315">
      <c r="A5315" s="446" t="s">
        <v>5816</v>
      </c>
    </row>
    <row r="5316">
      <c r="A5316" s="446" t="s">
        <v>6350</v>
      </c>
    </row>
    <row r="5317">
      <c r="A5317" s="446" t="s">
        <v>6350</v>
      </c>
    </row>
    <row r="5318">
      <c r="A5318" s="446" t="s">
        <v>6350</v>
      </c>
    </row>
    <row r="5319">
      <c r="A5319" s="446" t="s">
        <v>6350</v>
      </c>
    </row>
    <row r="5320">
      <c r="A5320" s="446" t="s">
        <v>6348</v>
      </c>
    </row>
    <row r="5321">
      <c r="A5321" s="446" t="s">
        <v>6348</v>
      </c>
    </row>
    <row r="5322">
      <c r="A5322" s="446" t="s">
        <v>6348</v>
      </c>
    </row>
    <row r="5323">
      <c r="A5323" s="446" t="s">
        <v>6344</v>
      </c>
    </row>
    <row r="5324">
      <c r="A5324" s="446" t="s">
        <v>6344</v>
      </c>
    </row>
    <row r="5325">
      <c r="A5325" s="446" t="s">
        <v>6344</v>
      </c>
    </row>
    <row r="5326">
      <c r="A5326" s="446" t="s">
        <v>6342</v>
      </c>
    </row>
    <row r="5327">
      <c r="A5327" s="446" t="s">
        <v>6342</v>
      </c>
    </row>
    <row r="5328">
      <c r="A5328" s="446" t="s">
        <v>6338</v>
      </c>
    </row>
    <row r="5329">
      <c r="A5329" s="446" t="s">
        <v>6338</v>
      </c>
    </row>
    <row r="5330">
      <c r="A5330" s="446" t="s">
        <v>6336</v>
      </c>
    </row>
    <row r="5331">
      <c r="A5331" s="446" t="s">
        <v>6336</v>
      </c>
    </row>
    <row r="5332">
      <c r="A5332" s="446" t="s">
        <v>6336</v>
      </c>
    </row>
    <row r="5333">
      <c r="A5333" s="446" t="s">
        <v>6336</v>
      </c>
    </row>
    <row r="5334">
      <c r="A5334" s="446" t="s">
        <v>6334</v>
      </c>
    </row>
    <row r="5335">
      <c r="A5335" s="446" t="s">
        <v>6334</v>
      </c>
    </row>
    <row r="5336">
      <c r="A5336" s="446" t="s">
        <v>6327</v>
      </c>
    </row>
    <row r="5337">
      <c r="A5337" s="446" t="s">
        <v>6327</v>
      </c>
    </row>
    <row r="5338">
      <c r="A5338" s="446" t="s">
        <v>6327</v>
      </c>
    </row>
    <row r="5339">
      <c r="A5339" s="446" t="s">
        <v>6327</v>
      </c>
    </row>
    <row r="5340">
      <c r="A5340" s="446" t="s">
        <v>6332</v>
      </c>
    </row>
    <row r="5341">
      <c r="A5341" s="446" t="s">
        <v>6332</v>
      </c>
    </row>
    <row r="5342">
      <c r="A5342" s="446" t="s">
        <v>6330</v>
      </c>
    </row>
    <row r="5343">
      <c r="A5343" s="446" t="s">
        <v>6330</v>
      </c>
    </row>
    <row r="5344">
      <c r="A5344" s="446" t="s">
        <v>6330</v>
      </c>
    </row>
    <row r="5345">
      <c r="A5345" s="446" t="s">
        <v>6330</v>
      </c>
    </row>
    <row r="5346">
      <c r="A5346" s="446" t="s">
        <v>6325</v>
      </c>
    </row>
    <row r="5347">
      <c r="A5347" s="446" t="s">
        <v>6323</v>
      </c>
    </row>
    <row r="5348">
      <c r="A5348" s="446" t="s">
        <v>6322</v>
      </c>
    </row>
    <row r="5349">
      <c r="A5349" s="446" t="s">
        <v>8484</v>
      </c>
    </row>
    <row r="5350">
      <c r="A5350" s="446" t="s">
        <v>8484</v>
      </c>
    </row>
    <row r="5351">
      <c r="A5351" s="446" t="s">
        <v>6318</v>
      </c>
    </row>
    <row r="5352">
      <c r="A5352" s="446" t="s">
        <v>6318</v>
      </c>
    </row>
    <row r="5353">
      <c r="A5353" s="446" t="s">
        <v>6316</v>
      </c>
    </row>
    <row r="5354">
      <c r="A5354" s="446" t="s">
        <v>6316</v>
      </c>
    </row>
    <row r="5355">
      <c r="A5355" s="446" t="s">
        <v>6313</v>
      </c>
    </row>
    <row r="5356">
      <c r="A5356" s="446" t="s">
        <v>6311</v>
      </c>
    </row>
    <row r="5357">
      <c r="A5357" s="446" t="s">
        <v>6311</v>
      </c>
    </row>
    <row r="5358">
      <c r="A5358" s="446" t="s">
        <v>6311</v>
      </c>
    </row>
    <row r="5359">
      <c r="A5359" s="446" t="s">
        <v>6309</v>
      </c>
    </row>
    <row r="5360">
      <c r="A5360" s="446" t="s">
        <v>6309</v>
      </c>
    </row>
    <row r="5361">
      <c r="A5361" s="446" t="s">
        <v>6307</v>
      </c>
    </row>
    <row r="5362">
      <c r="A5362" s="446" t="s">
        <v>6307</v>
      </c>
    </row>
    <row r="5363">
      <c r="A5363" s="446" t="s">
        <v>6306</v>
      </c>
    </row>
    <row r="5364">
      <c r="A5364" s="446" t="s">
        <v>6306</v>
      </c>
    </row>
    <row r="5365">
      <c r="A5365" s="446" t="s">
        <v>6304</v>
      </c>
    </row>
    <row r="5366">
      <c r="A5366" s="446" t="s">
        <v>6299</v>
      </c>
    </row>
    <row r="5367">
      <c r="A5367" s="446" t="s">
        <v>6299</v>
      </c>
    </row>
    <row r="5368">
      <c r="A5368" s="446" t="s">
        <v>6295</v>
      </c>
    </row>
    <row r="5369">
      <c r="A5369" s="446" t="s">
        <v>6295</v>
      </c>
    </row>
    <row r="5370">
      <c r="A5370" s="446" t="s">
        <v>374</v>
      </c>
    </row>
    <row r="5371">
      <c r="A5371" s="446" t="s">
        <v>374</v>
      </c>
    </row>
    <row r="5372">
      <c r="A5372" s="446" t="s">
        <v>374</v>
      </c>
    </row>
    <row r="5373">
      <c r="A5373" s="446" t="s">
        <v>374</v>
      </c>
    </row>
    <row r="5374">
      <c r="A5374" s="446" t="s">
        <v>6290</v>
      </c>
    </row>
    <row r="5375">
      <c r="A5375" s="446" t="s">
        <v>6288</v>
      </c>
    </row>
    <row r="5376">
      <c r="A5376" s="446" t="s">
        <v>6288</v>
      </c>
    </row>
    <row r="5377">
      <c r="A5377" s="446" t="s">
        <v>6288</v>
      </c>
    </row>
    <row r="5378">
      <c r="A5378" s="446" t="s">
        <v>6286</v>
      </c>
    </row>
    <row r="5379">
      <c r="A5379" s="446" t="s">
        <v>6286</v>
      </c>
    </row>
    <row r="5380">
      <c r="A5380" s="446" t="s">
        <v>6283</v>
      </c>
    </row>
    <row r="5381">
      <c r="A5381" s="446" t="s">
        <v>6282</v>
      </c>
    </row>
    <row r="5382">
      <c r="A5382" s="446" t="s">
        <v>6282</v>
      </c>
    </row>
    <row r="5383">
      <c r="A5383" s="446" t="s">
        <v>6282</v>
      </c>
    </row>
    <row r="5384">
      <c r="A5384" s="446" t="s">
        <v>6281</v>
      </c>
    </row>
    <row r="5385">
      <c r="A5385" s="446" t="s">
        <v>6281</v>
      </c>
    </row>
    <row r="5386">
      <c r="A5386" s="446" t="s">
        <v>6281</v>
      </c>
    </row>
    <row r="5387">
      <c r="A5387" s="446" t="s">
        <v>6280</v>
      </c>
    </row>
    <row r="5388">
      <c r="A5388" s="446" t="s">
        <v>6280</v>
      </c>
    </row>
    <row r="5389">
      <c r="A5389" s="446" t="s">
        <v>2799</v>
      </c>
    </row>
    <row r="5390">
      <c r="A5390" s="446" t="s">
        <v>6277</v>
      </c>
    </row>
    <row r="5391">
      <c r="A5391" s="580"/>
    </row>
    <row r="5392">
      <c r="A5392" s="580"/>
    </row>
    <row r="5393">
      <c r="A5393" s="580"/>
    </row>
    <row r="5394">
      <c r="A5394" s="580"/>
    </row>
    <row r="5395">
      <c r="A5395" s="580"/>
    </row>
    <row r="5396">
      <c r="A5396" s="580"/>
    </row>
    <row r="5397">
      <c r="A5397" s="580"/>
    </row>
    <row r="5398">
      <c r="A5398" s="580"/>
    </row>
    <row r="5399">
      <c r="A5399" s="580"/>
    </row>
    <row r="5400">
      <c r="A5400" s="580"/>
    </row>
    <row r="5401">
      <c r="A5401" s="580"/>
    </row>
    <row r="5402">
      <c r="A5402" s="580"/>
    </row>
    <row r="5403">
      <c r="A5403" s="580"/>
    </row>
    <row r="5404">
      <c r="A5404" s="580"/>
    </row>
    <row r="5405">
      <c r="A5405" s="580"/>
    </row>
    <row r="5406">
      <c r="A5406" s="580"/>
    </row>
    <row r="5407">
      <c r="A5407" s="580"/>
    </row>
    <row r="5408">
      <c r="A5408" s="580"/>
    </row>
    <row r="5409">
      <c r="A5409" s="580"/>
    </row>
    <row r="5410">
      <c r="A5410" s="580"/>
    </row>
    <row r="5411">
      <c r="A5411" s="580"/>
    </row>
    <row r="5412">
      <c r="A5412" s="580"/>
    </row>
    <row r="5413">
      <c r="A5413" s="580"/>
    </row>
    <row r="5414">
      <c r="A5414" s="580"/>
    </row>
    <row r="5415">
      <c r="A5415" s="580"/>
    </row>
    <row r="5416">
      <c r="A5416" s="580"/>
    </row>
    <row r="5417">
      <c r="A5417" s="580"/>
    </row>
    <row r="5418">
      <c r="A5418" s="580"/>
    </row>
    <row r="5419">
      <c r="A5419" s="580"/>
    </row>
    <row r="5420">
      <c r="A5420" s="580"/>
    </row>
    <row r="5421">
      <c r="A5421" s="580"/>
    </row>
    <row r="5422">
      <c r="A5422" s="580"/>
    </row>
    <row r="5423">
      <c r="A5423" s="580"/>
    </row>
    <row r="5424">
      <c r="A5424" s="580"/>
    </row>
    <row r="5425">
      <c r="A5425" s="580"/>
    </row>
    <row r="5426">
      <c r="A5426" s="580"/>
    </row>
    <row r="5427">
      <c r="A5427" s="580"/>
    </row>
    <row r="5428">
      <c r="A5428" s="580"/>
    </row>
    <row r="5429">
      <c r="A5429" s="580"/>
    </row>
    <row r="5430">
      <c r="A5430" s="580"/>
    </row>
    <row r="5431">
      <c r="A5431" s="580"/>
    </row>
    <row r="5432">
      <c r="A5432" s="580"/>
    </row>
    <row r="5433">
      <c r="A5433" s="580"/>
    </row>
    <row r="5434">
      <c r="A5434" s="580"/>
    </row>
    <row r="5435">
      <c r="A5435" s="580"/>
    </row>
    <row r="5436">
      <c r="A5436" s="580"/>
    </row>
    <row r="5437">
      <c r="A5437" s="580"/>
    </row>
    <row r="5438">
      <c r="A5438" s="580"/>
    </row>
    <row r="5439">
      <c r="A5439" s="580"/>
    </row>
    <row r="5440">
      <c r="A5440" s="580"/>
    </row>
    <row r="5441">
      <c r="A5441" s="580"/>
    </row>
    <row r="5442">
      <c r="A5442" s="580"/>
    </row>
    <row r="5443">
      <c r="A5443" s="580"/>
    </row>
    <row r="5444">
      <c r="A5444" s="580"/>
    </row>
    <row r="5445">
      <c r="A5445" s="580"/>
    </row>
    <row r="5446">
      <c r="A5446" s="580"/>
    </row>
    <row r="5447">
      <c r="A5447" s="580"/>
    </row>
    <row r="5448">
      <c r="A5448" s="580"/>
    </row>
    <row r="5449">
      <c r="A5449" s="580"/>
    </row>
    <row r="5450">
      <c r="A5450" s="580"/>
    </row>
    <row r="5451">
      <c r="A5451" s="580"/>
    </row>
    <row r="5452">
      <c r="A5452" s="580"/>
    </row>
    <row r="5453">
      <c r="A5453" s="580"/>
    </row>
    <row r="5454">
      <c r="A5454" s="580"/>
    </row>
    <row r="5455">
      <c r="A5455" s="580"/>
    </row>
    <row r="5456">
      <c r="A5456" s="580"/>
    </row>
    <row r="5457">
      <c r="A5457" s="580"/>
    </row>
    <row r="5458">
      <c r="A5458" s="580"/>
    </row>
    <row r="5459">
      <c r="A5459" s="580"/>
    </row>
    <row r="5460">
      <c r="A5460" s="580"/>
    </row>
    <row r="5461">
      <c r="A5461" s="580"/>
    </row>
    <row r="5462">
      <c r="A5462" s="580"/>
    </row>
    <row r="5463">
      <c r="A5463" s="580"/>
    </row>
    <row r="5464">
      <c r="A5464" s="580"/>
    </row>
    <row r="5465">
      <c r="A5465" s="580"/>
    </row>
    <row r="5466">
      <c r="A5466" s="580"/>
    </row>
    <row r="5467">
      <c r="A5467" s="580"/>
    </row>
    <row r="5468">
      <c r="A5468" s="580"/>
    </row>
    <row r="5469">
      <c r="A5469" s="580"/>
    </row>
    <row r="5470">
      <c r="A5470" s="580"/>
    </row>
    <row r="5471">
      <c r="A5471" s="580"/>
    </row>
    <row r="5472">
      <c r="A5472" s="580"/>
    </row>
    <row r="5473">
      <c r="A5473" s="580"/>
    </row>
    <row r="5474">
      <c r="A5474" s="580"/>
    </row>
    <row r="5475">
      <c r="A5475" s="580"/>
    </row>
    <row r="5476">
      <c r="A5476" s="580"/>
    </row>
    <row r="5477">
      <c r="A5477" s="580"/>
    </row>
    <row r="5478">
      <c r="A5478" s="580"/>
    </row>
    <row r="5479">
      <c r="A5479" s="580"/>
    </row>
    <row r="5480">
      <c r="A5480" s="580"/>
    </row>
    <row r="5481">
      <c r="A5481" s="580"/>
    </row>
    <row r="5482">
      <c r="A5482" s="580"/>
    </row>
    <row r="5483">
      <c r="A5483" s="580"/>
    </row>
    <row r="5484">
      <c r="A5484" s="580"/>
    </row>
    <row r="5485">
      <c r="A5485" s="580"/>
    </row>
    <row r="5486">
      <c r="A5486" s="580"/>
    </row>
    <row r="5487">
      <c r="A5487" s="580"/>
    </row>
    <row r="5488">
      <c r="A5488" s="580"/>
    </row>
    <row r="5489">
      <c r="A5489" s="580"/>
    </row>
    <row r="5490">
      <c r="A5490" s="580"/>
    </row>
    <row r="5491">
      <c r="A5491" s="580"/>
    </row>
    <row r="5492">
      <c r="A5492" s="580"/>
    </row>
    <row r="5493">
      <c r="A5493" s="580"/>
    </row>
    <row r="5494">
      <c r="A5494" s="580"/>
    </row>
    <row r="5495">
      <c r="A5495" s="580"/>
    </row>
    <row r="5496">
      <c r="A5496" s="580"/>
    </row>
    <row r="5497">
      <c r="A5497" s="580"/>
    </row>
    <row r="5498">
      <c r="A5498" s="580"/>
    </row>
    <row r="5499">
      <c r="A5499" s="580"/>
    </row>
    <row r="5500">
      <c r="A5500" s="580"/>
    </row>
    <row r="5501">
      <c r="A5501" s="580"/>
    </row>
    <row r="5502">
      <c r="A5502" s="580"/>
    </row>
    <row r="5503">
      <c r="A5503" s="580"/>
    </row>
    <row r="5504">
      <c r="A5504" s="580"/>
    </row>
    <row r="5505">
      <c r="A5505" s="580"/>
    </row>
    <row r="5506">
      <c r="A5506" s="580"/>
    </row>
    <row r="5507">
      <c r="A5507" s="580"/>
    </row>
    <row r="5508">
      <c r="A5508" s="580"/>
    </row>
    <row r="5509">
      <c r="A5509" s="580"/>
    </row>
    <row r="5510">
      <c r="A5510" s="580"/>
    </row>
    <row r="5511">
      <c r="A5511" s="580"/>
    </row>
    <row r="5512">
      <c r="A5512" s="580"/>
    </row>
    <row r="5513">
      <c r="A5513" s="580"/>
    </row>
    <row r="5514">
      <c r="A5514" s="580"/>
    </row>
    <row r="5515">
      <c r="A5515" s="580"/>
    </row>
    <row r="5516">
      <c r="A5516" s="580"/>
    </row>
    <row r="5517">
      <c r="A5517" s="580"/>
    </row>
    <row r="5518">
      <c r="A5518" s="580"/>
    </row>
    <row r="5519">
      <c r="A5519" s="580"/>
    </row>
    <row r="5520">
      <c r="A5520" s="580"/>
    </row>
    <row r="5521">
      <c r="A5521" s="580"/>
    </row>
    <row r="5522">
      <c r="A5522" s="580"/>
    </row>
    <row r="5523">
      <c r="A5523" s="580"/>
    </row>
    <row r="5524">
      <c r="A5524" s="580"/>
    </row>
    <row r="5525">
      <c r="A5525" s="580"/>
    </row>
    <row r="5526">
      <c r="A5526" s="580"/>
    </row>
    <row r="5527">
      <c r="A5527" s="580"/>
    </row>
    <row r="5528">
      <c r="A5528" s="580"/>
    </row>
    <row r="5529">
      <c r="A5529" s="580"/>
    </row>
    <row r="5530">
      <c r="A5530" s="580"/>
    </row>
    <row r="5531">
      <c r="A5531" s="580"/>
    </row>
    <row r="5532">
      <c r="A5532" s="580"/>
    </row>
    <row r="5533">
      <c r="A5533" s="580"/>
    </row>
    <row r="5534">
      <c r="A5534" s="580"/>
    </row>
    <row r="5535">
      <c r="A5535" s="580"/>
    </row>
    <row r="5536">
      <c r="A5536" s="580"/>
    </row>
    <row r="5537">
      <c r="A5537" s="580"/>
    </row>
    <row r="5538">
      <c r="A5538" s="580"/>
    </row>
    <row r="5539">
      <c r="A5539" s="580"/>
    </row>
    <row r="5540">
      <c r="A5540" s="580"/>
    </row>
    <row r="5541">
      <c r="A5541" s="580"/>
    </row>
    <row r="5542">
      <c r="A5542" s="580"/>
    </row>
    <row r="5543">
      <c r="A5543" s="580"/>
    </row>
    <row r="5544">
      <c r="A5544" s="580"/>
    </row>
    <row r="5545">
      <c r="A5545" s="580"/>
    </row>
    <row r="5546">
      <c r="A5546" s="580"/>
    </row>
    <row r="5547">
      <c r="A5547" s="580"/>
    </row>
    <row r="5548">
      <c r="A5548" s="580"/>
    </row>
    <row r="5549">
      <c r="A5549" s="580"/>
    </row>
    <row r="5550">
      <c r="A5550" s="580"/>
    </row>
    <row r="5551">
      <c r="A5551" s="580"/>
    </row>
    <row r="5552">
      <c r="A5552" s="580"/>
    </row>
    <row r="5553">
      <c r="A5553" s="580"/>
    </row>
    <row r="5554">
      <c r="A5554" s="580"/>
    </row>
    <row r="5555">
      <c r="A5555" s="580"/>
    </row>
    <row r="5556">
      <c r="A5556" s="580"/>
    </row>
    <row r="5557">
      <c r="A5557" s="580"/>
    </row>
    <row r="5558">
      <c r="A5558" s="580"/>
    </row>
    <row r="5559">
      <c r="A5559" s="580"/>
    </row>
    <row r="5560">
      <c r="A5560" s="580"/>
    </row>
    <row r="5561">
      <c r="A5561" s="580"/>
    </row>
    <row r="5562">
      <c r="A5562" s="580"/>
    </row>
    <row r="5563">
      <c r="A5563" s="580"/>
    </row>
    <row r="5564">
      <c r="A5564" s="580"/>
    </row>
    <row r="5565">
      <c r="A5565" s="580"/>
    </row>
    <row r="5566">
      <c r="A5566" s="580"/>
    </row>
    <row r="5567">
      <c r="A5567" s="580"/>
    </row>
    <row r="5568">
      <c r="A5568" s="580"/>
    </row>
    <row r="5569">
      <c r="A5569" s="580"/>
    </row>
    <row r="5570">
      <c r="A5570" s="580"/>
    </row>
    <row r="5571">
      <c r="A5571" s="580"/>
    </row>
    <row r="5572">
      <c r="A5572" s="580"/>
    </row>
    <row r="5573">
      <c r="A5573" s="580"/>
    </row>
    <row r="5574">
      <c r="A5574" s="580"/>
    </row>
    <row r="5575">
      <c r="A5575" s="580"/>
    </row>
    <row r="5576">
      <c r="A5576" s="580"/>
    </row>
    <row r="5577">
      <c r="A5577" s="580"/>
    </row>
    <row r="5578">
      <c r="A5578" s="580"/>
    </row>
    <row r="5579">
      <c r="A5579" s="580"/>
    </row>
    <row r="5580">
      <c r="A5580" s="580"/>
    </row>
    <row r="5581">
      <c r="A5581" s="580"/>
    </row>
    <row r="5582">
      <c r="A5582" s="580"/>
    </row>
    <row r="5583">
      <c r="A5583" s="580"/>
    </row>
    <row r="5584">
      <c r="A5584" s="580"/>
    </row>
    <row r="5585">
      <c r="A5585" s="580"/>
    </row>
    <row r="5586">
      <c r="A5586" s="580"/>
    </row>
    <row r="5587">
      <c r="A5587" s="580"/>
    </row>
    <row r="5588">
      <c r="A5588" s="580"/>
    </row>
    <row r="5589">
      <c r="A5589" s="580"/>
    </row>
    <row r="5590">
      <c r="A5590" s="580"/>
    </row>
    <row r="5591">
      <c r="A5591" s="580"/>
    </row>
    <row r="5592">
      <c r="A5592" s="580"/>
    </row>
    <row r="5593">
      <c r="A5593" s="580"/>
    </row>
    <row r="5594">
      <c r="A5594" s="580"/>
    </row>
    <row r="5595">
      <c r="A5595" s="580"/>
    </row>
    <row r="5596">
      <c r="A5596" s="580"/>
    </row>
    <row r="5597">
      <c r="A5597" s="580"/>
    </row>
    <row r="5598">
      <c r="A5598" s="580"/>
    </row>
    <row r="5599">
      <c r="A5599" s="580"/>
    </row>
    <row r="5600">
      <c r="A5600" s="580"/>
    </row>
    <row r="5601">
      <c r="A5601" s="580"/>
    </row>
    <row r="5602">
      <c r="A5602" s="580"/>
    </row>
    <row r="5603">
      <c r="A5603" s="580"/>
    </row>
    <row r="5604">
      <c r="A5604" s="580"/>
    </row>
    <row r="5605">
      <c r="A5605" s="580"/>
    </row>
    <row r="5606">
      <c r="A5606" s="580"/>
    </row>
    <row r="5607">
      <c r="A5607" s="580"/>
    </row>
    <row r="5608">
      <c r="A5608" s="580"/>
    </row>
    <row r="5609">
      <c r="A5609" s="580"/>
    </row>
    <row r="5610">
      <c r="A5610" s="580"/>
    </row>
    <row r="5611">
      <c r="A5611" s="580"/>
    </row>
    <row r="5612">
      <c r="A5612" s="580"/>
    </row>
    <row r="5613">
      <c r="A5613" s="580"/>
    </row>
    <row r="5614">
      <c r="A5614" s="580"/>
    </row>
    <row r="5615">
      <c r="A5615" s="580"/>
    </row>
    <row r="5616">
      <c r="A5616" s="580"/>
    </row>
    <row r="5617">
      <c r="A5617" s="580"/>
    </row>
    <row r="5618">
      <c r="A5618" s="580"/>
    </row>
    <row r="5619">
      <c r="A5619" s="580"/>
    </row>
    <row r="5620">
      <c r="A5620" s="580"/>
    </row>
    <row r="5621">
      <c r="A5621" s="580"/>
    </row>
    <row r="5622">
      <c r="A5622" s="580"/>
    </row>
    <row r="5623">
      <c r="A5623" s="580"/>
    </row>
    <row r="5624">
      <c r="A5624" s="580"/>
    </row>
    <row r="5625">
      <c r="A5625" s="580"/>
    </row>
    <row r="5626">
      <c r="A5626" s="580"/>
    </row>
    <row r="5627">
      <c r="A5627" s="580"/>
    </row>
    <row r="5628">
      <c r="A5628" s="580"/>
    </row>
    <row r="5629">
      <c r="A5629" s="580"/>
    </row>
    <row r="5630">
      <c r="A5630" s="580"/>
    </row>
    <row r="5631">
      <c r="A5631" s="580"/>
    </row>
    <row r="5632">
      <c r="A5632" s="580"/>
    </row>
    <row r="5633">
      <c r="A5633" s="580"/>
    </row>
    <row r="5634">
      <c r="A5634" s="580"/>
    </row>
    <row r="5635">
      <c r="A5635" s="580"/>
    </row>
    <row r="5636">
      <c r="A5636" s="580"/>
    </row>
    <row r="5637">
      <c r="A5637" s="580"/>
    </row>
    <row r="5638">
      <c r="A5638" s="580"/>
    </row>
    <row r="5639">
      <c r="A5639" s="580"/>
    </row>
    <row r="5640">
      <c r="A5640" s="580"/>
    </row>
    <row r="5641">
      <c r="A5641" s="580"/>
    </row>
    <row r="5642">
      <c r="A5642" s="580"/>
    </row>
    <row r="5643">
      <c r="A5643" s="580"/>
    </row>
    <row r="5644">
      <c r="A5644" s="580"/>
    </row>
    <row r="5645">
      <c r="A5645" s="580"/>
    </row>
    <row r="5646">
      <c r="A5646" s="580"/>
    </row>
    <row r="5647">
      <c r="A5647" s="580"/>
    </row>
    <row r="5648">
      <c r="A5648" s="580"/>
    </row>
    <row r="5649">
      <c r="A5649" s="580"/>
    </row>
    <row r="5650">
      <c r="A5650" s="580"/>
    </row>
    <row r="5651">
      <c r="A5651" s="580"/>
    </row>
    <row r="5652">
      <c r="A5652" s="580"/>
    </row>
    <row r="5653">
      <c r="A5653" s="580"/>
    </row>
    <row r="5654">
      <c r="A5654" s="580"/>
    </row>
    <row r="5655">
      <c r="A5655" s="580"/>
    </row>
    <row r="5656">
      <c r="A5656" s="580"/>
    </row>
    <row r="5657">
      <c r="A5657" s="580"/>
    </row>
    <row r="5658">
      <c r="A5658" s="580"/>
    </row>
    <row r="5659">
      <c r="A5659" s="580"/>
    </row>
    <row r="5660">
      <c r="A5660" s="580"/>
    </row>
    <row r="5661">
      <c r="A5661" s="580"/>
    </row>
    <row r="5662">
      <c r="A5662" s="580"/>
    </row>
    <row r="5663">
      <c r="A5663" s="580"/>
    </row>
    <row r="5664">
      <c r="A5664" s="580"/>
    </row>
    <row r="5665">
      <c r="A5665" s="580"/>
    </row>
    <row r="5666">
      <c r="A5666" s="580"/>
    </row>
    <row r="5667">
      <c r="A5667" s="580"/>
    </row>
    <row r="5668">
      <c r="A5668" s="580"/>
    </row>
    <row r="5669">
      <c r="A5669" s="580"/>
    </row>
    <row r="5670">
      <c r="A5670" s="580"/>
    </row>
    <row r="5671">
      <c r="A5671" s="580"/>
    </row>
    <row r="5672">
      <c r="A5672" s="580"/>
    </row>
    <row r="5673">
      <c r="A5673" s="580"/>
    </row>
    <row r="5674">
      <c r="A5674" s="580"/>
    </row>
    <row r="5675">
      <c r="A5675" s="580"/>
    </row>
    <row r="5676">
      <c r="A5676" s="580"/>
    </row>
    <row r="5677">
      <c r="A5677" s="580"/>
    </row>
    <row r="5678">
      <c r="A5678" s="580"/>
    </row>
    <row r="5679">
      <c r="A5679" s="580"/>
    </row>
    <row r="5680">
      <c r="A5680" s="580"/>
    </row>
    <row r="5681">
      <c r="A5681" s="580"/>
    </row>
    <row r="5682">
      <c r="A5682" s="580"/>
    </row>
    <row r="5683">
      <c r="A5683" s="580"/>
    </row>
    <row r="5684">
      <c r="A5684" s="580"/>
    </row>
    <row r="5685">
      <c r="A5685" s="580"/>
    </row>
    <row r="5686">
      <c r="A5686" s="580"/>
    </row>
    <row r="5687">
      <c r="A5687" s="580"/>
    </row>
    <row r="5688">
      <c r="A5688" s="580"/>
    </row>
    <row r="5689">
      <c r="A5689" s="580"/>
    </row>
    <row r="5690">
      <c r="A5690" s="580"/>
    </row>
    <row r="5691">
      <c r="A5691" s="580"/>
    </row>
    <row r="5692">
      <c r="A5692" s="580"/>
    </row>
    <row r="5693">
      <c r="A5693" s="580"/>
    </row>
    <row r="5694">
      <c r="A5694" s="580"/>
    </row>
    <row r="5695">
      <c r="A5695" s="580"/>
    </row>
    <row r="5696">
      <c r="A5696" s="580"/>
    </row>
    <row r="5697">
      <c r="A5697" s="580"/>
    </row>
    <row r="5698">
      <c r="A5698" s="580"/>
    </row>
    <row r="5699">
      <c r="A5699" s="580"/>
    </row>
    <row r="5700">
      <c r="A5700" s="580"/>
    </row>
    <row r="5701">
      <c r="A5701" s="580"/>
    </row>
    <row r="5702">
      <c r="A5702" s="580"/>
    </row>
    <row r="5703">
      <c r="A5703" s="580"/>
    </row>
    <row r="5704">
      <c r="A5704" s="580"/>
    </row>
    <row r="5705">
      <c r="A5705" s="580"/>
    </row>
    <row r="5706">
      <c r="A5706" s="580"/>
    </row>
    <row r="5707">
      <c r="A5707" s="580"/>
    </row>
    <row r="5708">
      <c r="A5708" s="580"/>
    </row>
    <row r="5709">
      <c r="A5709" s="580"/>
    </row>
    <row r="5710">
      <c r="A5710" s="580"/>
    </row>
    <row r="5711">
      <c r="A5711" s="580"/>
    </row>
    <row r="5712">
      <c r="A5712" s="580"/>
    </row>
    <row r="5713">
      <c r="A5713" s="580"/>
    </row>
    <row r="5714">
      <c r="A5714" s="580"/>
    </row>
    <row r="5715">
      <c r="A5715" s="580"/>
    </row>
    <row r="5716">
      <c r="A5716" s="580"/>
    </row>
    <row r="5717">
      <c r="A5717" s="580"/>
    </row>
    <row r="5718">
      <c r="A5718" s="580"/>
    </row>
    <row r="5719">
      <c r="A5719" s="580"/>
    </row>
    <row r="5720">
      <c r="A5720" s="580"/>
    </row>
    <row r="5721">
      <c r="A5721" s="580"/>
    </row>
    <row r="5722">
      <c r="A5722" s="580"/>
    </row>
    <row r="5723">
      <c r="A5723" s="580"/>
    </row>
    <row r="5724">
      <c r="A5724" s="580"/>
    </row>
    <row r="5725">
      <c r="A5725" s="580"/>
    </row>
    <row r="5726">
      <c r="A5726" s="580"/>
    </row>
    <row r="5727">
      <c r="A5727" s="580"/>
    </row>
    <row r="5728">
      <c r="A5728" s="580"/>
    </row>
    <row r="5729">
      <c r="A5729" s="580"/>
    </row>
    <row r="5730">
      <c r="A5730" s="580"/>
    </row>
    <row r="5731">
      <c r="A5731" s="580"/>
    </row>
    <row r="5732">
      <c r="A5732" s="580"/>
    </row>
    <row r="5733">
      <c r="A5733" s="580"/>
    </row>
    <row r="5734">
      <c r="A5734" s="580"/>
    </row>
    <row r="5735">
      <c r="A5735" s="580"/>
    </row>
    <row r="5736">
      <c r="A5736" s="580"/>
    </row>
    <row r="5737">
      <c r="A5737" s="580"/>
    </row>
    <row r="5738">
      <c r="A5738" s="580"/>
    </row>
    <row r="5739">
      <c r="A5739" s="580"/>
    </row>
    <row r="5740">
      <c r="A5740" s="580"/>
    </row>
    <row r="5741">
      <c r="A5741" s="580"/>
    </row>
    <row r="5742">
      <c r="A5742" s="580"/>
    </row>
    <row r="5743">
      <c r="A5743" s="580"/>
    </row>
    <row r="5744">
      <c r="A5744" s="580"/>
    </row>
    <row r="5745">
      <c r="A5745" s="580"/>
    </row>
    <row r="5746">
      <c r="A5746" s="580"/>
    </row>
    <row r="5747">
      <c r="A5747" s="580"/>
    </row>
    <row r="5748">
      <c r="A5748" s="580"/>
    </row>
    <row r="5749">
      <c r="A5749" s="580"/>
    </row>
    <row r="5750">
      <c r="A5750" s="580"/>
    </row>
    <row r="5751">
      <c r="A5751" s="580"/>
    </row>
    <row r="5752">
      <c r="A5752" s="580"/>
    </row>
    <row r="5753">
      <c r="A5753" s="580"/>
    </row>
    <row r="5754">
      <c r="A5754" s="580"/>
    </row>
    <row r="5755">
      <c r="A5755" s="580"/>
    </row>
    <row r="5756">
      <c r="A5756" s="580"/>
    </row>
    <row r="5757">
      <c r="A5757" s="580"/>
    </row>
    <row r="5758">
      <c r="A5758" s="580"/>
    </row>
    <row r="5759">
      <c r="A5759" s="580"/>
    </row>
    <row r="5760">
      <c r="A5760" s="580"/>
    </row>
    <row r="5761">
      <c r="A5761" s="580"/>
    </row>
    <row r="5762">
      <c r="A5762" s="580"/>
    </row>
    <row r="5763">
      <c r="A5763" s="580"/>
    </row>
    <row r="5764">
      <c r="A5764" s="580"/>
    </row>
    <row r="5765">
      <c r="A5765" s="580"/>
    </row>
    <row r="5766">
      <c r="A5766" s="580"/>
    </row>
    <row r="5767">
      <c r="A5767" s="580"/>
    </row>
    <row r="5768">
      <c r="A5768" s="580"/>
    </row>
    <row r="5769">
      <c r="A5769" s="580"/>
    </row>
    <row r="5770">
      <c r="A5770" s="580"/>
    </row>
    <row r="5771">
      <c r="A5771" s="580"/>
    </row>
    <row r="5772">
      <c r="A5772" s="580"/>
    </row>
    <row r="5773">
      <c r="A5773" s="580"/>
    </row>
    <row r="5774">
      <c r="A5774" s="580"/>
    </row>
    <row r="5775">
      <c r="A5775" s="580"/>
    </row>
    <row r="5776">
      <c r="A5776" s="580"/>
    </row>
    <row r="5777">
      <c r="A5777" s="580"/>
    </row>
    <row r="5778">
      <c r="A5778" s="580"/>
    </row>
    <row r="5779">
      <c r="A5779" s="580"/>
    </row>
    <row r="5780">
      <c r="A5780" s="580"/>
    </row>
    <row r="5781">
      <c r="A5781" s="580"/>
    </row>
    <row r="5782">
      <c r="A5782" s="580"/>
    </row>
    <row r="5783">
      <c r="A5783" s="580"/>
    </row>
    <row r="5784">
      <c r="A5784" s="580"/>
    </row>
    <row r="5785">
      <c r="A5785" s="580"/>
    </row>
    <row r="5786">
      <c r="A5786" s="580"/>
    </row>
    <row r="5787">
      <c r="A5787" s="580"/>
    </row>
    <row r="5788">
      <c r="A5788" s="580"/>
    </row>
    <row r="5789">
      <c r="A5789" s="580"/>
    </row>
    <row r="5790">
      <c r="A5790" s="580"/>
    </row>
    <row r="5791">
      <c r="A5791" s="580"/>
    </row>
    <row r="5792">
      <c r="A5792" s="580"/>
    </row>
    <row r="5793">
      <c r="A5793" s="580"/>
    </row>
    <row r="5794">
      <c r="A5794" s="580"/>
    </row>
    <row r="5795">
      <c r="A5795" s="580"/>
    </row>
    <row r="5796">
      <c r="A5796" s="580"/>
    </row>
    <row r="5797">
      <c r="A5797" s="580"/>
    </row>
    <row r="5798">
      <c r="A5798" s="580"/>
    </row>
    <row r="5799">
      <c r="A5799" s="580"/>
    </row>
    <row r="5800">
      <c r="A5800" s="580"/>
    </row>
    <row r="5801">
      <c r="A5801" s="580"/>
    </row>
    <row r="5802">
      <c r="A5802" s="580"/>
    </row>
    <row r="5803">
      <c r="A5803" s="580"/>
    </row>
    <row r="5804">
      <c r="A5804" s="580"/>
    </row>
    <row r="5805">
      <c r="A5805" s="580"/>
    </row>
    <row r="5806">
      <c r="A5806" s="580"/>
    </row>
    <row r="5807">
      <c r="A5807" s="580"/>
    </row>
    <row r="5808">
      <c r="A5808" s="580"/>
    </row>
    <row r="5809">
      <c r="A5809" s="580"/>
    </row>
    <row r="5810">
      <c r="A5810" s="580"/>
    </row>
    <row r="5811">
      <c r="A5811" s="580"/>
    </row>
    <row r="5812">
      <c r="A5812" s="580"/>
    </row>
    <row r="5813">
      <c r="A5813" s="580"/>
    </row>
    <row r="5814">
      <c r="A5814" s="580"/>
    </row>
    <row r="5815">
      <c r="A5815" s="580"/>
    </row>
    <row r="5816">
      <c r="A5816" s="580"/>
    </row>
    <row r="5817">
      <c r="A5817" s="580"/>
    </row>
    <row r="5818">
      <c r="A5818" s="580"/>
    </row>
    <row r="5819">
      <c r="A5819" s="580"/>
    </row>
    <row r="5820">
      <c r="A5820" s="580"/>
    </row>
    <row r="5821">
      <c r="A5821" s="580"/>
    </row>
    <row r="5822">
      <c r="A5822" s="580"/>
    </row>
    <row r="5823">
      <c r="A5823" s="580"/>
    </row>
    <row r="5824">
      <c r="A5824" s="580"/>
    </row>
    <row r="5825">
      <c r="A5825" s="580"/>
    </row>
    <row r="5826">
      <c r="A5826" s="580"/>
    </row>
    <row r="5827">
      <c r="A5827" s="580"/>
    </row>
    <row r="5828">
      <c r="A5828" s="580"/>
    </row>
    <row r="5829">
      <c r="A5829" s="580"/>
    </row>
    <row r="5830">
      <c r="A5830" s="580"/>
    </row>
    <row r="5831">
      <c r="A5831" s="580"/>
    </row>
    <row r="5832">
      <c r="A5832" s="580"/>
    </row>
    <row r="5833">
      <c r="A5833" s="580"/>
    </row>
    <row r="5834">
      <c r="A5834" s="580"/>
    </row>
    <row r="5835">
      <c r="A5835" s="580"/>
    </row>
    <row r="5836">
      <c r="A5836" s="580"/>
    </row>
    <row r="5837">
      <c r="A5837" s="580"/>
    </row>
    <row r="5838">
      <c r="A5838" s="580"/>
    </row>
    <row r="5839">
      <c r="A5839" s="580"/>
    </row>
    <row r="5840">
      <c r="A5840" s="580"/>
    </row>
    <row r="5841">
      <c r="A5841" s="580"/>
    </row>
    <row r="5842">
      <c r="A5842" s="580"/>
    </row>
    <row r="5843">
      <c r="A5843" s="580"/>
    </row>
    <row r="5844">
      <c r="A5844" s="580"/>
    </row>
    <row r="5845">
      <c r="A5845" s="580"/>
    </row>
    <row r="5846">
      <c r="A5846" s="580"/>
    </row>
    <row r="5847">
      <c r="A5847" s="580"/>
    </row>
    <row r="5848">
      <c r="A5848" s="580"/>
    </row>
    <row r="5849">
      <c r="A5849" s="580"/>
    </row>
    <row r="5850">
      <c r="A5850" s="580"/>
    </row>
    <row r="5851">
      <c r="A5851" s="580"/>
    </row>
    <row r="5852">
      <c r="A5852" s="580"/>
    </row>
    <row r="5853">
      <c r="A5853" s="580"/>
    </row>
    <row r="5854">
      <c r="A5854" s="580"/>
    </row>
    <row r="5855">
      <c r="A5855" s="580"/>
    </row>
    <row r="5856">
      <c r="A5856" s="580"/>
    </row>
    <row r="5857">
      <c r="A5857" s="580"/>
    </row>
    <row r="5858">
      <c r="A5858" s="580"/>
    </row>
    <row r="5859">
      <c r="A5859" s="580"/>
    </row>
    <row r="5860">
      <c r="A5860" s="580"/>
    </row>
    <row r="5861">
      <c r="A5861" s="580"/>
    </row>
    <row r="5862">
      <c r="A5862" s="580"/>
    </row>
    <row r="5863">
      <c r="A5863" s="580"/>
    </row>
    <row r="5864">
      <c r="A5864" s="580"/>
    </row>
    <row r="5865">
      <c r="A5865" s="580"/>
    </row>
    <row r="5866">
      <c r="A5866" s="580"/>
    </row>
    <row r="5867">
      <c r="A5867" s="580"/>
    </row>
    <row r="5868">
      <c r="A5868" s="580"/>
    </row>
    <row r="5869">
      <c r="A5869" s="580"/>
    </row>
    <row r="5870">
      <c r="A5870" s="580"/>
    </row>
    <row r="5871">
      <c r="A5871" s="580"/>
    </row>
    <row r="5872">
      <c r="A5872" s="580"/>
    </row>
    <row r="5873">
      <c r="A5873" s="580"/>
    </row>
    <row r="5874">
      <c r="A5874" s="580"/>
    </row>
    <row r="5875">
      <c r="A5875" s="580"/>
    </row>
    <row r="5876">
      <c r="A5876" s="580"/>
    </row>
    <row r="5877">
      <c r="A5877" s="580"/>
    </row>
    <row r="5878">
      <c r="A5878" s="580"/>
    </row>
    <row r="5879">
      <c r="A5879" s="580"/>
    </row>
    <row r="5880">
      <c r="A5880" s="580"/>
    </row>
    <row r="5881">
      <c r="A5881" s="580"/>
    </row>
    <row r="5882">
      <c r="A5882" s="580"/>
    </row>
    <row r="5883">
      <c r="A5883" s="580"/>
    </row>
    <row r="5884">
      <c r="A5884" s="580"/>
    </row>
    <row r="5885">
      <c r="A5885" s="580"/>
    </row>
    <row r="5886">
      <c r="A5886" s="580"/>
    </row>
    <row r="5887">
      <c r="A5887" s="580"/>
    </row>
    <row r="5888">
      <c r="A5888" s="580"/>
    </row>
    <row r="5889">
      <c r="A5889" s="580"/>
    </row>
    <row r="5890">
      <c r="A5890" s="580"/>
    </row>
    <row r="5891">
      <c r="A5891" s="580"/>
    </row>
    <row r="5892">
      <c r="A5892" s="580"/>
    </row>
    <row r="5893">
      <c r="A5893" s="580"/>
    </row>
    <row r="5894">
      <c r="A5894" s="580"/>
    </row>
    <row r="5895">
      <c r="A5895" s="580"/>
    </row>
    <row r="5896">
      <c r="A5896" s="580"/>
    </row>
    <row r="5897">
      <c r="A5897" s="580"/>
    </row>
    <row r="5898">
      <c r="A5898" s="580"/>
    </row>
    <row r="5899">
      <c r="A5899" s="580"/>
    </row>
    <row r="5900">
      <c r="A5900" s="580"/>
    </row>
    <row r="5901">
      <c r="A5901" s="580"/>
    </row>
    <row r="5902">
      <c r="A5902" s="580"/>
    </row>
    <row r="5903">
      <c r="A5903" s="580"/>
    </row>
    <row r="5904">
      <c r="A5904" s="580"/>
    </row>
    <row r="5905">
      <c r="A5905" s="580"/>
    </row>
    <row r="5906">
      <c r="A5906" s="580"/>
    </row>
    <row r="5907">
      <c r="A5907" s="580"/>
    </row>
    <row r="5908">
      <c r="A5908" s="580"/>
    </row>
    <row r="5909">
      <c r="A5909" s="580"/>
    </row>
    <row r="5910">
      <c r="A5910" s="580"/>
    </row>
    <row r="5911">
      <c r="A5911" s="580"/>
    </row>
    <row r="5912">
      <c r="A5912" s="580"/>
    </row>
    <row r="5913">
      <c r="A5913" s="580"/>
    </row>
    <row r="5914">
      <c r="A5914" s="580"/>
    </row>
    <row r="5915">
      <c r="A5915" s="580"/>
    </row>
    <row r="5916">
      <c r="A5916" s="580"/>
    </row>
    <row r="5917">
      <c r="A5917" s="580"/>
    </row>
    <row r="5918">
      <c r="A5918" s="580"/>
    </row>
    <row r="5919">
      <c r="A5919" s="580"/>
    </row>
    <row r="5920">
      <c r="A5920" s="580"/>
    </row>
    <row r="5921">
      <c r="A5921" s="580"/>
    </row>
    <row r="5922">
      <c r="A5922" s="580"/>
    </row>
    <row r="5923">
      <c r="A5923" s="580"/>
    </row>
    <row r="5924">
      <c r="A5924" s="580"/>
    </row>
    <row r="5925">
      <c r="A5925" s="580"/>
    </row>
    <row r="5926">
      <c r="A5926" s="580"/>
    </row>
    <row r="5927">
      <c r="A5927" s="580"/>
    </row>
    <row r="5928">
      <c r="A5928" s="580"/>
    </row>
    <row r="5929">
      <c r="A5929" s="580"/>
    </row>
    <row r="5930">
      <c r="A5930" s="580"/>
    </row>
    <row r="5931">
      <c r="A5931" s="580"/>
    </row>
    <row r="5932">
      <c r="A5932" s="580"/>
    </row>
    <row r="5933">
      <c r="A5933" s="580"/>
    </row>
    <row r="5934">
      <c r="A5934" s="580"/>
    </row>
    <row r="5935">
      <c r="A5935" s="580"/>
    </row>
    <row r="5936">
      <c r="A5936" s="580"/>
    </row>
    <row r="5937">
      <c r="A5937" s="580"/>
    </row>
    <row r="5938">
      <c r="A5938" s="580"/>
    </row>
    <row r="5939">
      <c r="A5939" s="580"/>
    </row>
    <row r="5940">
      <c r="A5940" s="580"/>
    </row>
    <row r="5941">
      <c r="A5941" s="580"/>
    </row>
    <row r="5942">
      <c r="A5942" s="580"/>
    </row>
    <row r="5943">
      <c r="A5943" s="580"/>
    </row>
    <row r="5944">
      <c r="A5944" s="580"/>
    </row>
    <row r="5945">
      <c r="A5945" s="580"/>
    </row>
    <row r="5946">
      <c r="A5946" s="580"/>
    </row>
    <row r="5947">
      <c r="A5947" s="580"/>
    </row>
    <row r="5948">
      <c r="A5948" s="580"/>
    </row>
    <row r="5949">
      <c r="A5949" s="580"/>
    </row>
    <row r="5950">
      <c r="A5950" s="580"/>
    </row>
    <row r="5951">
      <c r="A5951" s="580"/>
    </row>
    <row r="5952">
      <c r="A5952" s="580"/>
    </row>
    <row r="5953">
      <c r="A5953" s="580"/>
    </row>
    <row r="5954">
      <c r="A5954" s="580"/>
    </row>
    <row r="5955">
      <c r="A5955" s="580"/>
    </row>
    <row r="5956">
      <c r="A5956" s="580"/>
    </row>
    <row r="5957">
      <c r="A5957" s="580"/>
    </row>
    <row r="5958">
      <c r="A5958" s="580"/>
    </row>
    <row r="5959">
      <c r="A5959" s="580"/>
    </row>
    <row r="5960">
      <c r="A5960" s="580"/>
    </row>
    <row r="5961">
      <c r="A5961" s="580"/>
    </row>
    <row r="5962">
      <c r="A5962" s="580"/>
    </row>
    <row r="5963">
      <c r="A5963" s="580"/>
    </row>
    <row r="5964">
      <c r="A5964" s="580"/>
    </row>
    <row r="5965">
      <c r="A5965" s="580"/>
    </row>
    <row r="5966">
      <c r="A5966" s="580"/>
    </row>
    <row r="5967">
      <c r="A5967" s="580"/>
    </row>
    <row r="5968">
      <c r="A5968" s="580"/>
    </row>
    <row r="5969">
      <c r="A5969" s="580"/>
    </row>
    <row r="5970">
      <c r="A5970" s="580"/>
    </row>
    <row r="5971">
      <c r="A5971" s="580"/>
    </row>
    <row r="5972">
      <c r="A5972" s="580"/>
    </row>
    <row r="5973">
      <c r="A5973" s="580"/>
    </row>
    <row r="5974">
      <c r="A5974" s="580"/>
    </row>
    <row r="5975">
      <c r="A5975" s="580"/>
    </row>
    <row r="5976">
      <c r="A5976" s="580"/>
    </row>
    <row r="5977">
      <c r="A5977" s="580"/>
    </row>
    <row r="5978">
      <c r="A5978" s="580"/>
    </row>
    <row r="5979">
      <c r="A5979" s="580"/>
    </row>
    <row r="5980">
      <c r="A5980" s="580"/>
    </row>
    <row r="5981">
      <c r="A5981" s="580"/>
    </row>
    <row r="5982">
      <c r="A5982" s="580"/>
    </row>
    <row r="5983">
      <c r="A5983" s="580"/>
    </row>
    <row r="5984">
      <c r="A5984" s="580"/>
    </row>
    <row r="5985">
      <c r="A5985" s="580"/>
    </row>
    <row r="5986">
      <c r="A5986" s="580"/>
    </row>
    <row r="5987">
      <c r="A5987" s="580"/>
    </row>
    <row r="5988">
      <c r="A5988" s="580"/>
    </row>
    <row r="5989">
      <c r="A5989" s="580"/>
    </row>
    <row r="5990">
      <c r="A5990" s="580"/>
    </row>
    <row r="5991">
      <c r="A5991" s="580"/>
    </row>
    <row r="5992">
      <c r="A5992" s="580"/>
    </row>
    <row r="5993">
      <c r="A5993" s="580"/>
    </row>
    <row r="5994">
      <c r="A5994" s="580"/>
    </row>
    <row r="5995">
      <c r="A5995" s="580"/>
    </row>
    <row r="5996">
      <c r="A5996" s="580"/>
    </row>
    <row r="5997">
      <c r="A5997" s="580"/>
    </row>
    <row r="5998">
      <c r="A5998" s="580"/>
    </row>
    <row r="5999">
      <c r="A5999" s="580"/>
    </row>
    <row r="6000">
      <c r="A6000" s="580"/>
    </row>
    <row r="6001">
      <c r="A6001" s="580"/>
    </row>
    <row r="6002">
      <c r="A6002" s="580"/>
    </row>
    <row r="6003">
      <c r="A6003" s="580"/>
    </row>
    <row r="6004">
      <c r="A6004" s="580"/>
    </row>
    <row r="6005">
      <c r="A6005" s="580"/>
    </row>
    <row r="6006">
      <c r="A6006" s="580"/>
    </row>
    <row r="6007">
      <c r="A6007" s="580"/>
    </row>
    <row r="6008">
      <c r="A6008" s="580"/>
    </row>
    <row r="6009">
      <c r="A6009" s="580"/>
    </row>
    <row r="6010">
      <c r="A6010" s="580"/>
    </row>
    <row r="6011">
      <c r="A6011" s="580"/>
    </row>
    <row r="6012">
      <c r="A6012" s="580"/>
    </row>
    <row r="6013">
      <c r="A6013" s="580"/>
    </row>
    <row r="6014">
      <c r="A6014" s="580"/>
    </row>
    <row r="6015">
      <c r="A6015" s="580"/>
    </row>
    <row r="6016">
      <c r="A6016" s="580"/>
    </row>
    <row r="6017">
      <c r="A6017" s="580"/>
    </row>
    <row r="6018">
      <c r="A6018" s="580"/>
    </row>
    <row r="6019">
      <c r="A6019" s="580"/>
    </row>
    <row r="6020">
      <c r="A6020" s="580"/>
    </row>
    <row r="6021">
      <c r="A6021" s="580"/>
    </row>
    <row r="6022">
      <c r="A6022" s="580"/>
    </row>
    <row r="6023">
      <c r="A6023" s="580"/>
    </row>
    <row r="6024">
      <c r="A6024" s="580"/>
    </row>
    <row r="6025">
      <c r="A6025" s="580"/>
    </row>
    <row r="6026">
      <c r="A6026" s="580"/>
    </row>
    <row r="6027">
      <c r="A6027" s="580"/>
    </row>
    <row r="6028">
      <c r="A6028" s="580"/>
    </row>
    <row r="6029">
      <c r="A6029" s="580"/>
    </row>
    <row r="6030">
      <c r="A6030" s="580"/>
    </row>
    <row r="6031">
      <c r="A6031" s="580"/>
    </row>
    <row r="6032">
      <c r="A6032" s="580"/>
    </row>
    <row r="6033">
      <c r="A6033" s="580"/>
    </row>
    <row r="6034">
      <c r="A6034" s="580"/>
    </row>
    <row r="6035">
      <c r="A6035" s="580"/>
    </row>
    <row r="6036">
      <c r="A6036" s="580"/>
    </row>
    <row r="6037">
      <c r="A6037" s="580"/>
    </row>
    <row r="6038">
      <c r="A6038" s="580"/>
    </row>
    <row r="6039">
      <c r="A6039" s="580"/>
    </row>
    <row r="6040">
      <c r="A6040" s="580"/>
    </row>
    <row r="6041">
      <c r="A6041" s="580"/>
    </row>
    <row r="6042">
      <c r="A6042" s="580"/>
    </row>
    <row r="6043">
      <c r="A6043" s="580"/>
    </row>
    <row r="6044">
      <c r="A6044" s="580"/>
    </row>
    <row r="6045">
      <c r="A6045" s="580"/>
    </row>
    <row r="6046">
      <c r="A6046" s="580"/>
    </row>
    <row r="6047">
      <c r="A6047" s="580"/>
    </row>
    <row r="6048">
      <c r="A6048" s="580"/>
    </row>
    <row r="6049">
      <c r="A6049" s="580"/>
    </row>
    <row r="6050">
      <c r="A6050" s="580"/>
    </row>
    <row r="6051">
      <c r="A6051" s="580"/>
    </row>
    <row r="6052">
      <c r="A6052" s="580"/>
    </row>
    <row r="6053">
      <c r="A6053" s="580"/>
    </row>
    <row r="6054">
      <c r="A6054" s="580"/>
    </row>
    <row r="6055">
      <c r="A6055" s="580"/>
    </row>
    <row r="6056">
      <c r="A6056" s="580"/>
    </row>
    <row r="6057">
      <c r="A6057" s="580"/>
    </row>
    <row r="6058">
      <c r="A6058" s="580"/>
    </row>
    <row r="6059">
      <c r="A6059" s="580"/>
    </row>
    <row r="6060">
      <c r="A6060" s="580"/>
    </row>
    <row r="6061">
      <c r="A6061" s="580"/>
    </row>
    <row r="6062">
      <c r="A6062" s="580"/>
    </row>
    <row r="6063">
      <c r="A6063" s="580"/>
    </row>
    <row r="6064">
      <c r="A6064" s="580"/>
    </row>
    <row r="6065">
      <c r="A6065" s="580"/>
    </row>
    <row r="6066">
      <c r="A6066" s="580"/>
    </row>
    <row r="6067">
      <c r="A6067" s="580"/>
    </row>
    <row r="6068">
      <c r="A6068" s="580"/>
    </row>
    <row r="6069">
      <c r="A6069" s="580"/>
    </row>
    <row r="6070">
      <c r="A6070" s="580"/>
    </row>
    <row r="6071">
      <c r="A6071" s="580"/>
    </row>
    <row r="6072">
      <c r="A6072" s="580"/>
    </row>
    <row r="6073">
      <c r="A6073" s="580"/>
    </row>
    <row r="6074">
      <c r="A6074" s="580"/>
    </row>
    <row r="6075">
      <c r="A6075" s="580"/>
    </row>
    <row r="6076">
      <c r="A6076" s="580"/>
    </row>
    <row r="6077">
      <c r="A6077" s="580"/>
    </row>
    <row r="6078">
      <c r="A6078" s="580"/>
    </row>
    <row r="6079">
      <c r="A6079" s="580"/>
    </row>
    <row r="6080">
      <c r="A6080" s="580"/>
    </row>
    <row r="6081">
      <c r="A6081" s="580"/>
    </row>
    <row r="6082">
      <c r="A6082" s="580"/>
    </row>
    <row r="6083">
      <c r="A6083" s="580"/>
    </row>
    <row r="6084">
      <c r="A6084" s="580"/>
    </row>
    <row r="6085">
      <c r="A6085" s="580"/>
    </row>
    <row r="6086">
      <c r="A6086" s="580"/>
    </row>
    <row r="6087">
      <c r="A6087" s="580"/>
    </row>
    <row r="6088">
      <c r="A6088" s="580"/>
    </row>
    <row r="6089">
      <c r="A6089" s="580"/>
    </row>
    <row r="6090">
      <c r="A6090" s="580"/>
    </row>
    <row r="6091">
      <c r="A6091" s="580"/>
    </row>
    <row r="6092">
      <c r="A6092" s="580"/>
    </row>
    <row r="6093">
      <c r="A6093" s="580"/>
    </row>
    <row r="6094">
      <c r="A6094" s="580"/>
    </row>
    <row r="6095">
      <c r="A6095" s="580"/>
    </row>
    <row r="6096">
      <c r="A6096" s="580"/>
    </row>
    <row r="6097">
      <c r="A6097" s="580"/>
    </row>
    <row r="6098">
      <c r="A6098" s="580"/>
    </row>
    <row r="6099">
      <c r="A6099" s="580"/>
    </row>
    <row r="6100">
      <c r="A6100" s="580"/>
    </row>
    <row r="6101">
      <c r="A6101" s="580"/>
    </row>
    <row r="6102">
      <c r="A6102" s="580"/>
    </row>
    <row r="6103">
      <c r="A6103" s="580"/>
    </row>
    <row r="6104">
      <c r="A6104" s="580"/>
    </row>
    <row r="6105">
      <c r="A6105" s="580"/>
    </row>
    <row r="6106">
      <c r="A6106" s="580"/>
    </row>
    <row r="6107">
      <c r="A6107" s="580"/>
    </row>
    <row r="6108">
      <c r="A6108" s="580"/>
    </row>
    <row r="6109">
      <c r="A6109" s="580"/>
    </row>
    <row r="6110">
      <c r="A6110" s="580"/>
    </row>
    <row r="6111">
      <c r="A6111" s="580"/>
    </row>
    <row r="6112">
      <c r="A6112" s="580"/>
    </row>
    <row r="6113">
      <c r="A6113" s="580"/>
    </row>
    <row r="6114">
      <c r="A6114" s="580"/>
    </row>
    <row r="6115">
      <c r="A6115" s="580"/>
    </row>
    <row r="6116">
      <c r="A6116" s="580"/>
    </row>
    <row r="6117">
      <c r="A6117" s="580"/>
    </row>
    <row r="6118">
      <c r="A6118" s="580"/>
    </row>
    <row r="6119">
      <c r="A6119" s="580"/>
    </row>
    <row r="6120">
      <c r="A6120" s="580"/>
    </row>
    <row r="6121">
      <c r="A6121" s="580"/>
    </row>
    <row r="6122">
      <c r="A6122" s="580"/>
    </row>
    <row r="6123">
      <c r="A6123" s="580"/>
    </row>
    <row r="6124">
      <c r="A6124" s="580"/>
    </row>
    <row r="6125">
      <c r="A6125" s="580"/>
    </row>
    <row r="6126">
      <c r="A6126" s="580"/>
    </row>
    <row r="6127">
      <c r="A6127" s="580"/>
    </row>
    <row r="6128">
      <c r="A6128" s="580"/>
    </row>
    <row r="6129">
      <c r="A6129" s="580"/>
    </row>
    <row r="6130">
      <c r="A6130" s="580"/>
    </row>
    <row r="6131">
      <c r="A6131" s="580"/>
    </row>
    <row r="6132">
      <c r="A6132" s="580"/>
    </row>
    <row r="6133">
      <c r="A6133" s="580"/>
    </row>
    <row r="6134">
      <c r="A6134" s="580"/>
    </row>
    <row r="6135">
      <c r="A6135" s="580"/>
    </row>
    <row r="6136">
      <c r="A6136" s="580"/>
    </row>
    <row r="6137">
      <c r="A6137" s="580"/>
    </row>
    <row r="6138">
      <c r="A6138" s="580"/>
    </row>
    <row r="6139">
      <c r="A6139" s="580"/>
    </row>
    <row r="6140">
      <c r="A6140" s="580"/>
    </row>
    <row r="6141">
      <c r="A6141" s="580"/>
    </row>
    <row r="6142">
      <c r="A6142" s="580"/>
    </row>
    <row r="6143">
      <c r="A6143" s="580"/>
    </row>
    <row r="6144">
      <c r="A6144" s="580"/>
    </row>
    <row r="6145">
      <c r="A6145" s="580"/>
    </row>
    <row r="6146">
      <c r="A6146" s="580"/>
    </row>
    <row r="6147">
      <c r="A6147" s="580"/>
    </row>
    <row r="6148">
      <c r="A6148" s="580"/>
    </row>
    <row r="6149">
      <c r="A6149" s="580"/>
    </row>
    <row r="6150">
      <c r="A6150" s="580"/>
    </row>
    <row r="6151">
      <c r="A6151" s="580"/>
    </row>
    <row r="6152">
      <c r="A6152" s="580"/>
    </row>
    <row r="6153">
      <c r="A6153" s="580"/>
    </row>
    <row r="6154">
      <c r="A6154" s="580"/>
    </row>
    <row r="6155">
      <c r="A6155" s="580"/>
    </row>
    <row r="6156">
      <c r="A6156" s="580"/>
    </row>
    <row r="6157">
      <c r="A6157" s="580"/>
    </row>
    <row r="6158">
      <c r="A6158" s="580"/>
    </row>
    <row r="6159">
      <c r="A6159" s="580"/>
    </row>
    <row r="6160">
      <c r="A6160" s="580"/>
    </row>
    <row r="6161">
      <c r="A6161" s="580"/>
    </row>
    <row r="6162">
      <c r="A6162" s="580"/>
    </row>
    <row r="6163">
      <c r="A6163" s="580"/>
    </row>
    <row r="6164">
      <c r="A6164" s="580"/>
    </row>
    <row r="6165">
      <c r="A6165" s="580"/>
    </row>
    <row r="6166">
      <c r="A6166" s="580"/>
    </row>
    <row r="6167">
      <c r="A6167" s="580"/>
    </row>
    <row r="6168">
      <c r="A6168" s="580"/>
    </row>
    <row r="6169">
      <c r="A6169" s="580"/>
    </row>
    <row r="6170">
      <c r="A6170" s="580"/>
    </row>
    <row r="6171">
      <c r="A6171" s="580"/>
    </row>
    <row r="6172">
      <c r="A6172" s="580"/>
    </row>
    <row r="6173">
      <c r="A6173" s="580"/>
    </row>
    <row r="6174">
      <c r="A6174" s="580"/>
    </row>
    <row r="6175">
      <c r="A6175" s="580"/>
    </row>
    <row r="6176">
      <c r="A6176" s="580"/>
    </row>
    <row r="6177">
      <c r="A6177" s="580"/>
    </row>
    <row r="6178">
      <c r="A6178" s="580"/>
    </row>
    <row r="6179">
      <c r="A6179" s="580"/>
    </row>
    <row r="6180">
      <c r="A6180" s="580"/>
    </row>
    <row r="6181">
      <c r="A6181" s="580"/>
    </row>
    <row r="6182">
      <c r="A6182" s="580"/>
    </row>
    <row r="6183">
      <c r="A6183" s="580"/>
    </row>
    <row r="6184">
      <c r="A6184" s="580"/>
    </row>
    <row r="6185">
      <c r="A6185" s="580"/>
    </row>
    <row r="6186">
      <c r="A6186" s="580"/>
    </row>
    <row r="6187">
      <c r="A6187" s="580"/>
    </row>
    <row r="6188">
      <c r="A6188" s="580"/>
    </row>
    <row r="6189">
      <c r="A6189" s="580"/>
    </row>
    <row r="6190">
      <c r="A6190" s="580"/>
    </row>
    <row r="6191">
      <c r="A6191" s="580"/>
    </row>
    <row r="6192">
      <c r="A6192" s="580"/>
    </row>
    <row r="6193">
      <c r="A6193" s="580"/>
    </row>
    <row r="6194">
      <c r="A6194" s="580"/>
    </row>
    <row r="6195">
      <c r="A6195" s="580"/>
    </row>
    <row r="6196">
      <c r="A6196" s="580"/>
    </row>
    <row r="6197">
      <c r="A6197" s="580"/>
    </row>
    <row r="6198">
      <c r="A6198" s="580"/>
    </row>
    <row r="6199">
      <c r="A6199" s="580"/>
    </row>
    <row r="6200">
      <c r="A6200" s="580"/>
    </row>
    <row r="6201">
      <c r="A6201" s="580"/>
    </row>
    <row r="6202">
      <c r="A6202" s="580"/>
    </row>
    <row r="6203">
      <c r="A6203" s="580"/>
    </row>
    <row r="6204">
      <c r="A6204" s="580"/>
    </row>
    <row r="6205">
      <c r="A6205" s="580"/>
    </row>
    <row r="6206">
      <c r="A6206" s="580"/>
    </row>
    <row r="6207">
      <c r="A6207" s="580"/>
    </row>
    <row r="6208">
      <c r="A6208" s="580"/>
    </row>
    <row r="6209">
      <c r="A6209" s="580"/>
    </row>
    <row r="6210">
      <c r="A6210" s="580"/>
    </row>
    <row r="6211">
      <c r="A6211" s="580"/>
    </row>
    <row r="6212">
      <c r="A6212" s="580"/>
    </row>
    <row r="6213">
      <c r="A6213" s="580"/>
    </row>
    <row r="6214">
      <c r="A6214" s="580"/>
    </row>
    <row r="6215">
      <c r="A6215" s="580"/>
    </row>
    <row r="6216">
      <c r="A6216" s="580"/>
    </row>
    <row r="6217">
      <c r="A6217" s="580"/>
    </row>
    <row r="6218">
      <c r="A6218" s="580"/>
    </row>
    <row r="6219">
      <c r="A6219" s="580"/>
    </row>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9.6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sheetData>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25"/>
  </cols>
  <sheetData>
    <row r="1">
      <c r="A1" s="6">
        <v>170428.0</v>
      </c>
      <c r="B1" s="200" t="s">
        <v>8570</v>
      </c>
      <c r="C1" s="200" t="s">
        <v>6348</v>
      </c>
      <c r="D1" s="200" t="s">
        <v>970</v>
      </c>
    </row>
    <row r="2">
      <c r="A2" s="6">
        <v>170428.0</v>
      </c>
      <c r="B2" s="200" t="s">
        <v>8571</v>
      </c>
      <c r="C2" s="200" t="s">
        <v>6350</v>
      </c>
      <c r="D2" s="200" t="s">
        <v>970</v>
      </c>
    </row>
    <row r="3">
      <c r="A3" s="6">
        <v>170428.0</v>
      </c>
      <c r="B3" s="200" t="s">
        <v>8572</v>
      </c>
      <c r="C3" s="200" t="s">
        <v>6360</v>
      </c>
      <c r="D3" s="200" t="s">
        <v>970</v>
      </c>
    </row>
    <row r="4">
      <c r="A4" s="6">
        <v>170428.0</v>
      </c>
      <c r="B4" s="200" t="s">
        <v>8573</v>
      </c>
      <c r="C4" s="200" t="s">
        <v>8574</v>
      </c>
      <c r="D4" s="584" t="s">
        <v>970</v>
      </c>
    </row>
    <row r="5">
      <c r="A5" s="6">
        <v>170428.0</v>
      </c>
      <c r="B5" s="200" t="s">
        <v>8576</v>
      </c>
      <c r="C5" s="200" t="s">
        <v>8577</v>
      </c>
      <c r="D5" s="200" t="s">
        <v>970</v>
      </c>
    </row>
    <row r="6">
      <c r="A6" s="6">
        <v>170428.0</v>
      </c>
      <c r="B6" s="200" t="s">
        <v>8578</v>
      </c>
      <c r="C6" s="200" t="s">
        <v>8579</v>
      </c>
      <c r="D6" s="584" t="s">
        <v>970</v>
      </c>
    </row>
    <row r="7">
      <c r="A7" s="6">
        <v>170428.0</v>
      </c>
      <c r="B7" s="200" t="s">
        <v>8580</v>
      </c>
      <c r="C7" s="200" t="s">
        <v>8581</v>
      </c>
      <c r="D7" s="200" t="s">
        <v>970</v>
      </c>
    </row>
    <row r="8">
      <c r="A8" s="6">
        <v>170428.0</v>
      </c>
      <c r="B8" s="200" t="s">
        <v>8582</v>
      </c>
      <c r="C8" s="200" t="s">
        <v>8583</v>
      </c>
      <c r="D8" s="584" t="s">
        <v>970</v>
      </c>
    </row>
    <row r="9">
      <c r="A9" s="6">
        <v>170428.0</v>
      </c>
      <c r="B9" s="200" t="s">
        <v>8584</v>
      </c>
      <c r="C9" s="200" t="s">
        <v>6403</v>
      </c>
      <c r="D9" s="200" t="s">
        <v>970</v>
      </c>
    </row>
    <row r="10">
      <c r="A10" s="6">
        <v>170428.0</v>
      </c>
      <c r="B10" s="200" t="s">
        <v>8585</v>
      </c>
      <c r="C10" s="200" t="s">
        <v>8586</v>
      </c>
      <c r="D10" s="584" t="s">
        <v>92</v>
      </c>
    </row>
    <row r="11">
      <c r="A11" s="6">
        <v>170428.0</v>
      </c>
      <c r="B11" s="200" t="s">
        <v>8587</v>
      </c>
      <c r="C11" s="200" t="s">
        <v>8588</v>
      </c>
      <c r="D11" s="200" t="s">
        <v>8589</v>
      </c>
    </row>
    <row r="12">
      <c r="A12" s="6">
        <v>170428.0</v>
      </c>
      <c r="B12" s="200" t="s">
        <v>8590</v>
      </c>
      <c r="C12" s="200" t="s">
        <v>8591</v>
      </c>
      <c r="D12" s="200" t="s">
        <v>8592</v>
      </c>
    </row>
    <row r="13">
      <c r="A13" s="6">
        <v>170428.0</v>
      </c>
      <c r="B13" s="200" t="s">
        <v>8593</v>
      </c>
      <c r="C13" s="200" t="s">
        <v>8594</v>
      </c>
      <c r="D13" s="200" t="s">
        <v>970</v>
      </c>
    </row>
    <row r="14">
      <c r="A14" s="6">
        <v>170428.0</v>
      </c>
      <c r="B14" s="200" t="s">
        <v>5980</v>
      </c>
      <c r="C14" s="200" t="s">
        <v>5981</v>
      </c>
      <c r="D14" s="584" t="s">
        <v>970</v>
      </c>
    </row>
    <row r="15">
      <c r="A15" s="6">
        <v>170428.0</v>
      </c>
      <c r="B15" s="200" t="s">
        <v>8595</v>
      </c>
      <c r="C15" s="200" t="s">
        <v>6459</v>
      </c>
      <c r="D15" s="200" t="s">
        <v>970</v>
      </c>
    </row>
    <row r="16">
      <c r="A16" s="6">
        <v>170428.0</v>
      </c>
      <c r="B16" s="200" t="s">
        <v>8596</v>
      </c>
      <c r="C16" s="233" t="s">
        <v>8597</v>
      </c>
      <c r="D16" s="584" t="s">
        <v>8598</v>
      </c>
    </row>
    <row r="17">
      <c r="A17" s="6">
        <v>170428.0</v>
      </c>
      <c r="B17" s="200" t="s">
        <v>8599</v>
      </c>
      <c r="C17" s="200" t="s">
        <v>8600</v>
      </c>
      <c r="D17" s="200" t="s">
        <v>970</v>
      </c>
    </row>
    <row r="18">
      <c r="A18" s="6">
        <v>170428.0</v>
      </c>
      <c r="B18" s="200" t="s">
        <v>8601</v>
      </c>
      <c r="C18" s="200" t="s">
        <v>8602</v>
      </c>
      <c r="D18" s="584" t="s">
        <v>8589</v>
      </c>
    </row>
    <row r="19">
      <c r="A19" s="6">
        <v>170428.0</v>
      </c>
      <c r="B19" s="200" t="s">
        <v>8603</v>
      </c>
      <c r="C19" s="200" t="s">
        <v>8604</v>
      </c>
      <c r="D19" s="584" t="s">
        <v>970</v>
      </c>
    </row>
    <row r="20">
      <c r="A20" s="6">
        <v>170428.0</v>
      </c>
      <c r="B20" s="233" t="s">
        <v>5904</v>
      </c>
      <c r="C20" s="200" t="s">
        <v>5905</v>
      </c>
      <c r="D20" s="200" t="s">
        <v>970</v>
      </c>
    </row>
    <row r="21">
      <c r="A21" s="6">
        <v>170428.0</v>
      </c>
      <c r="B21" s="200" t="s">
        <v>8606</v>
      </c>
      <c r="C21" s="200" t="s">
        <v>8607</v>
      </c>
      <c r="D21" s="200" t="s">
        <v>970</v>
      </c>
    </row>
    <row r="22">
      <c r="A22" s="6">
        <v>170428.0</v>
      </c>
      <c r="B22" s="200" t="s">
        <v>8608</v>
      </c>
      <c r="C22" s="200" t="s">
        <v>8609</v>
      </c>
      <c r="D22" s="200" t="s">
        <v>970</v>
      </c>
    </row>
    <row r="23">
      <c r="A23" s="6">
        <v>170428.0</v>
      </c>
      <c r="B23" s="200" t="s">
        <v>8610</v>
      </c>
      <c r="C23" s="200" t="s">
        <v>8611</v>
      </c>
      <c r="D23" s="200" t="s">
        <v>970</v>
      </c>
    </row>
    <row r="24">
      <c r="A24" s="6">
        <v>170428.0</v>
      </c>
      <c r="B24" s="200" t="s">
        <v>8612</v>
      </c>
      <c r="C24" s="200" t="s">
        <v>8613</v>
      </c>
      <c r="D24" s="584" t="s">
        <v>970</v>
      </c>
    </row>
    <row r="25">
      <c r="A25" s="6">
        <v>170428.0</v>
      </c>
      <c r="B25" s="200" t="s">
        <v>5935</v>
      </c>
      <c r="C25" s="200" t="s">
        <v>8614</v>
      </c>
      <c r="D25" s="584" t="s">
        <v>970</v>
      </c>
    </row>
    <row r="26">
      <c r="A26" s="6">
        <v>170428.0</v>
      </c>
      <c r="B26" s="200" t="s">
        <v>8615</v>
      </c>
      <c r="C26" s="200" t="s">
        <v>6514</v>
      </c>
      <c r="D26" s="200" t="s">
        <v>970</v>
      </c>
    </row>
    <row r="27">
      <c r="A27" s="6">
        <v>170428.0</v>
      </c>
      <c r="B27" s="200" t="s">
        <v>8616</v>
      </c>
      <c r="C27" s="200" t="s">
        <v>6607</v>
      </c>
      <c r="D27" s="200" t="s">
        <v>970</v>
      </c>
    </row>
    <row r="28">
      <c r="A28" s="6">
        <v>170428.0</v>
      </c>
      <c r="B28" s="233" t="s">
        <v>8617</v>
      </c>
      <c r="C28" s="200" t="s">
        <v>8618</v>
      </c>
      <c r="D28" s="584" t="s">
        <v>970</v>
      </c>
    </row>
    <row r="29">
      <c r="A29" s="6">
        <v>170428.0</v>
      </c>
      <c r="B29" s="200" t="s">
        <v>8619</v>
      </c>
      <c r="C29" s="200" t="s">
        <v>8620</v>
      </c>
      <c r="D29" s="200" t="s">
        <v>8589</v>
      </c>
    </row>
    <row r="30">
      <c r="A30" s="6">
        <v>170428.0</v>
      </c>
      <c r="B30" s="585" t="s">
        <v>8621</v>
      </c>
      <c r="C30" s="200" t="s">
        <v>8622</v>
      </c>
      <c r="D30" s="200" t="s">
        <v>8623</v>
      </c>
    </row>
    <row r="31">
      <c r="A31" s="6">
        <v>170428.0</v>
      </c>
      <c r="B31" s="200" t="s">
        <v>8624</v>
      </c>
      <c r="C31" s="200" t="s">
        <v>2715</v>
      </c>
      <c r="D31" s="200" t="s">
        <v>8625</v>
      </c>
    </row>
    <row r="32">
      <c r="A32" s="6">
        <v>170428.0</v>
      </c>
      <c r="B32" s="200" t="s">
        <v>8626</v>
      </c>
      <c r="C32" s="200" t="s">
        <v>8627</v>
      </c>
      <c r="D32" s="200" t="s">
        <v>8628</v>
      </c>
    </row>
    <row r="33">
      <c r="A33" s="6">
        <v>170428.0</v>
      </c>
      <c r="B33" s="200" t="s">
        <v>8629</v>
      </c>
      <c r="C33" s="200" t="s">
        <v>8630</v>
      </c>
      <c r="D33" s="584" t="s">
        <v>970</v>
      </c>
    </row>
    <row r="34">
      <c r="A34" s="6">
        <v>170428.0</v>
      </c>
      <c r="B34" s="200" t="s">
        <v>8631</v>
      </c>
      <c r="C34" s="200" t="s">
        <v>6688</v>
      </c>
      <c r="D34" s="200" t="s">
        <v>970</v>
      </c>
    </row>
    <row r="35">
      <c r="A35" s="6">
        <v>170428.0</v>
      </c>
      <c r="B35" s="233" t="s">
        <v>8632</v>
      </c>
      <c r="C35" s="233" t="s">
        <v>8633</v>
      </c>
      <c r="D35" s="200" t="s">
        <v>8634</v>
      </c>
    </row>
    <row r="36">
      <c r="A36" s="6">
        <v>170428.0</v>
      </c>
      <c r="B36" s="200" t="s">
        <v>8636</v>
      </c>
      <c r="C36" s="200" t="s">
        <v>8637</v>
      </c>
      <c r="D36" s="200" t="s">
        <v>970</v>
      </c>
    </row>
    <row r="37">
      <c r="A37" s="6">
        <v>170428.0</v>
      </c>
      <c r="B37" s="200" t="s">
        <v>8639</v>
      </c>
      <c r="C37" s="200" t="s">
        <v>3000</v>
      </c>
      <c r="D37" s="200" t="s">
        <v>970</v>
      </c>
    </row>
    <row r="38">
      <c r="A38" s="6">
        <v>170428.0</v>
      </c>
      <c r="B38" s="200" t="s">
        <v>8641</v>
      </c>
      <c r="C38" s="200" t="s">
        <v>3000</v>
      </c>
      <c r="D38" s="200" t="s">
        <v>970</v>
      </c>
    </row>
    <row r="39">
      <c r="A39" s="6">
        <v>170428.0</v>
      </c>
      <c r="B39" s="200" t="s">
        <v>8639</v>
      </c>
      <c r="C39" s="200" t="s">
        <v>8642</v>
      </c>
      <c r="D39" s="584" t="s">
        <v>970</v>
      </c>
    </row>
    <row r="40">
      <c r="A40" s="6">
        <v>170428.0</v>
      </c>
      <c r="B40" s="200" t="s">
        <v>8643</v>
      </c>
      <c r="C40" s="200" t="s">
        <v>8644</v>
      </c>
      <c r="D40" s="584" t="s">
        <v>970</v>
      </c>
    </row>
    <row r="41">
      <c r="A41" s="6">
        <v>170428.0</v>
      </c>
      <c r="B41" s="200" t="s">
        <v>8645</v>
      </c>
      <c r="C41" s="200" t="s">
        <v>6809</v>
      </c>
      <c r="D41" s="200" t="s">
        <v>970</v>
      </c>
    </row>
    <row r="42">
      <c r="A42" s="6">
        <v>170428.0</v>
      </c>
      <c r="B42" s="200" t="s">
        <v>8646</v>
      </c>
      <c r="C42" s="200" t="s">
        <v>8647</v>
      </c>
      <c r="D42" s="200" t="s">
        <v>8648</v>
      </c>
    </row>
    <row r="43">
      <c r="A43" s="6">
        <v>170428.0</v>
      </c>
      <c r="B43" s="200" t="s">
        <v>8649</v>
      </c>
      <c r="C43" s="200" t="s">
        <v>8650</v>
      </c>
      <c r="D43" s="200" t="s">
        <v>970</v>
      </c>
    </row>
    <row r="44">
      <c r="A44" s="6">
        <v>170428.0</v>
      </c>
      <c r="B44" s="200" t="s">
        <v>8651</v>
      </c>
      <c r="C44" s="200" t="s">
        <v>6961</v>
      </c>
      <c r="D44" s="200" t="s">
        <v>970</v>
      </c>
    </row>
    <row r="45">
      <c r="A45" s="6">
        <v>170428.0</v>
      </c>
      <c r="B45" s="200" t="s">
        <v>8652</v>
      </c>
      <c r="C45" s="200" t="s">
        <v>8653</v>
      </c>
      <c r="D45" s="584" t="s">
        <v>970</v>
      </c>
    </row>
    <row r="46">
      <c r="A46" s="6">
        <v>170428.0</v>
      </c>
      <c r="B46" s="200" t="s">
        <v>8654</v>
      </c>
      <c r="C46" s="200" t="s">
        <v>8655</v>
      </c>
      <c r="D46" s="200" t="s">
        <v>970</v>
      </c>
    </row>
    <row r="47">
      <c r="A47" s="6">
        <v>170428.0</v>
      </c>
      <c r="B47" s="586" t="s">
        <v>8656</v>
      </c>
      <c r="C47" s="200" t="s">
        <v>6855</v>
      </c>
      <c r="D47" s="200" t="s">
        <v>970</v>
      </c>
    </row>
    <row r="48">
      <c r="A48" s="6">
        <v>170428.0</v>
      </c>
      <c r="B48" s="200" t="s">
        <v>8657</v>
      </c>
      <c r="C48" s="200" t="s">
        <v>6850</v>
      </c>
      <c r="D48" s="200" t="s">
        <v>970</v>
      </c>
    </row>
    <row r="49">
      <c r="A49" s="6">
        <v>170428.0</v>
      </c>
      <c r="B49" s="200" t="s">
        <v>8658</v>
      </c>
      <c r="C49" s="200" t="s">
        <v>8659</v>
      </c>
      <c r="D49" s="200" t="s">
        <v>970</v>
      </c>
    </row>
    <row r="50">
      <c r="A50" s="6">
        <v>170428.0</v>
      </c>
      <c r="B50" s="585" t="s">
        <v>8660</v>
      </c>
      <c r="C50" s="200" t="s">
        <v>8661</v>
      </c>
      <c r="D50" s="584" t="s">
        <v>970</v>
      </c>
    </row>
    <row r="51">
      <c r="A51" s="6">
        <v>170428.0</v>
      </c>
      <c r="B51" s="200" t="s">
        <v>8663</v>
      </c>
      <c r="C51" s="200" t="s">
        <v>8665</v>
      </c>
      <c r="D51" s="200" t="s">
        <v>970</v>
      </c>
    </row>
    <row r="52">
      <c r="A52" s="6">
        <v>170428.0</v>
      </c>
      <c r="B52" s="200" t="s">
        <v>8666</v>
      </c>
      <c r="C52" s="200" t="s">
        <v>6026</v>
      </c>
      <c r="D52" s="200" t="s">
        <v>970</v>
      </c>
    </row>
    <row r="53">
      <c r="A53" s="6">
        <v>170428.0</v>
      </c>
      <c r="B53" s="200" t="s">
        <v>8667</v>
      </c>
      <c r="C53" s="200" t="s">
        <v>8668</v>
      </c>
      <c r="D53" s="584" t="s">
        <v>970</v>
      </c>
    </row>
    <row r="54">
      <c r="A54" s="6">
        <v>170428.0</v>
      </c>
      <c r="B54" s="200" t="s">
        <v>8669</v>
      </c>
      <c r="C54" s="200" t="s">
        <v>8670</v>
      </c>
      <c r="D54" s="584" t="s">
        <v>970</v>
      </c>
    </row>
    <row r="55">
      <c r="A55" s="6">
        <v>170428.0</v>
      </c>
      <c r="B55" s="200" t="s">
        <v>6013</v>
      </c>
      <c r="C55" s="200" t="s">
        <v>6014</v>
      </c>
      <c r="D55" s="584" t="s">
        <v>970</v>
      </c>
    </row>
    <row r="56">
      <c r="A56" s="6">
        <v>170428.0</v>
      </c>
      <c r="B56" s="200" t="s">
        <v>8671</v>
      </c>
      <c r="C56" s="200" t="s">
        <v>6798</v>
      </c>
      <c r="D56" s="200" t="s">
        <v>970</v>
      </c>
    </row>
    <row r="57">
      <c r="A57" s="6">
        <v>170428.0</v>
      </c>
      <c r="B57" s="586" t="s">
        <v>8672</v>
      </c>
      <c r="C57" s="200" t="s">
        <v>3702</v>
      </c>
      <c r="D57" s="584" t="s">
        <v>970</v>
      </c>
    </row>
    <row r="58">
      <c r="A58" s="6">
        <v>170428.0</v>
      </c>
      <c r="B58" s="200" t="s">
        <v>8673</v>
      </c>
      <c r="C58" s="200" t="s">
        <v>8674</v>
      </c>
      <c r="D58" s="200" t="s">
        <v>970</v>
      </c>
    </row>
    <row r="59">
      <c r="A59" s="6">
        <v>170428.0</v>
      </c>
      <c r="B59" s="200" t="s">
        <v>8675</v>
      </c>
      <c r="C59" s="200" t="s">
        <v>7158</v>
      </c>
      <c r="D59" s="584" t="s">
        <v>970</v>
      </c>
    </row>
    <row r="60">
      <c r="A60" s="6">
        <v>170428.0</v>
      </c>
      <c r="B60" s="200" t="s">
        <v>8676</v>
      </c>
      <c r="C60" s="200" t="s">
        <v>8678</v>
      </c>
      <c r="D60" s="584" t="s">
        <v>970</v>
      </c>
    </row>
    <row r="61">
      <c r="A61" s="6">
        <v>170428.0</v>
      </c>
      <c r="B61" s="200" t="s">
        <v>8679</v>
      </c>
      <c r="C61" s="200" t="s">
        <v>8680</v>
      </c>
      <c r="D61" s="584" t="s">
        <v>970</v>
      </c>
    </row>
    <row r="62">
      <c r="A62" s="6">
        <v>170428.0</v>
      </c>
      <c r="B62" s="200" t="s">
        <v>8681</v>
      </c>
      <c r="C62" s="200" t="s">
        <v>8682</v>
      </c>
      <c r="D62" s="200" t="s">
        <v>970</v>
      </c>
    </row>
    <row r="63">
      <c r="A63" s="6">
        <v>170428.0</v>
      </c>
      <c r="B63" s="200" t="s">
        <v>8683</v>
      </c>
      <c r="C63" s="200" t="s">
        <v>3860</v>
      </c>
      <c r="D63" s="584" t="s">
        <v>970</v>
      </c>
    </row>
    <row r="64">
      <c r="A64" s="6">
        <v>170428.0</v>
      </c>
      <c r="B64" s="200" t="s">
        <v>8684</v>
      </c>
      <c r="C64" s="200" t="s">
        <v>3880</v>
      </c>
      <c r="D64" s="584" t="s">
        <v>970</v>
      </c>
    </row>
    <row r="65">
      <c r="A65" s="6">
        <v>170428.0</v>
      </c>
      <c r="B65" s="200" t="s">
        <v>8685</v>
      </c>
      <c r="C65" s="200" t="s">
        <v>8686</v>
      </c>
      <c r="D65" s="200" t="s">
        <v>970</v>
      </c>
    </row>
    <row r="66">
      <c r="A66" s="6">
        <v>170428.0</v>
      </c>
      <c r="B66" s="200" t="s">
        <v>8687</v>
      </c>
      <c r="C66" s="200" t="s">
        <v>8686</v>
      </c>
      <c r="D66" s="584" t="s">
        <v>970</v>
      </c>
    </row>
    <row r="67">
      <c r="A67" s="6">
        <v>170428.0</v>
      </c>
      <c r="B67" s="233" t="s">
        <v>8688</v>
      </c>
      <c r="C67" s="200" t="s">
        <v>8689</v>
      </c>
      <c r="D67" s="584" t="s">
        <v>970</v>
      </c>
    </row>
    <row r="68">
      <c r="A68" s="6">
        <v>170428.0</v>
      </c>
      <c r="B68" s="200" t="s">
        <v>8690</v>
      </c>
      <c r="C68" s="200" t="s">
        <v>7219</v>
      </c>
      <c r="D68" s="584" t="s">
        <v>970</v>
      </c>
    </row>
    <row r="69">
      <c r="A69" s="6">
        <v>170428.0</v>
      </c>
      <c r="B69" s="200" t="s">
        <v>8692</v>
      </c>
      <c r="C69" s="200" t="s">
        <v>7978</v>
      </c>
      <c r="D69" s="200" t="s">
        <v>970</v>
      </c>
    </row>
    <row r="70">
      <c r="A70" s="6">
        <v>170428.0</v>
      </c>
      <c r="B70" s="200" t="s">
        <v>8693</v>
      </c>
      <c r="C70" s="200" t="s">
        <v>8694</v>
      </c>
      <c r="D70" s="200" t="s">
        <v>970</v>
      </c>
    </row>
    <row r="71">
      <c r="A71" s="6">
        <v>170428.0</v>
      </c>
      <c r="B71" s="200" t="s">
        <v>8695</v>
      </c>
      <c r="C71" s="200" t="s">
        <v>8696</v>
      </c>
      <c r="D71" s="200" t="s">
        <v>970</v>
      </c>
    </row>
    <row r="72">
      <c r="A72" s="6">
        <v>170428.0</v>
      </c>
      <c r="B72" s="200" t="s">
        <v>8697</v>
      </c>
      <c r="C72" s="200" t="s">
        <v>8698</v>
      </c>
      <c r="D72" s="584" t="s">
        <v>970</v>
      </c>
    </row>
    <row r="73">
      <c r="A73" s="6">
        <v>170428.0</v>
      </c>
      <c r="B73" s="200" t="s">
        <v>8699</v>
      </c>
      <c r="C73" s="200" t="s">
        <v>8700</v>
      </c>
      <c r="D73" s="584" t="s">
        <v>970</v>
      </c>
    </row>
    <row r="74">
      <c r="A74" s="6">
        <v>170428.0</v>
      </c>
      <c r="B74" s="200" t="s">
        <v>8701</v>
      </c>
      <c r="C74" s="200" t="s">
        <v>8702</v>
      </c>
      <c r="D74" s="200" t="s">
        <v>8589</v>
      </c>
    </row>
    <row r="75">
      <c r="A75" s="6">
        <v>170428.0</v>
      </c>
      <c r="B75" s="200" t="s">
        <v>8704</v>
      </c>
      <c r="C75" s="200" t="s">
        <v>6707</v>
      </c>
      <c r="D75" s="200" t="s">
        <v>8589</v>
      </c>
    </row>
    <row r="76">
      <c r="A76" s="6">
        <v>170428.0</v>
      </c>
      <c r="B76" s="200" t="s">
        <v>8705</v>
      </c>
      <c r="C76" s="200" t="s">
        <v>8706</v>
      </c>
      <c r="D76" s="200" t="s">
        <v>970</v>
      </c>
    </row>
    <row r="77">
      <c r="A77" s="6">
        <v>170428.0</v>
      </c>
      <c r="B77" s="200" t="s">
        <v>8707</v>
      </c>
      <c r="C77" s="200" t="s">
        <v>8708</v>
      </c>
      <c r="D77" s="584" t="s">
        <v>970</v>
      </c>
    </row>
    <row r="78">
      <c r="A78" s="6">
        <v>170428.0</v>
      </c>
      <c r="B78" s="200" t="s">
        <v>8709</v>
      </c>
      <c r="C78" s="200" t="s">
        <v>8710</v>
      </c>
      <c r="D78" s="200" t="s">
        <v>970</v>
      </c>
    </row>
    <row r="79">
      <c r="A79" s="6">
        <v>170428.0</v>
      </c>
      <c r="B79" s="585" t="s">
        <v>8711</v>
      </c>
      <c r="C79" s="585" t="s">
        <v>8712</v>
      </c>
      <c r="D79" s="200" t="s">
        <v>970</v>
      </c>
    </row>
    <row r="80">
      <c r="A80" s="6">
        <v>170428.0</v>
      </c>
      <c r="B80" s="200" t="s">
        <v>8713</v>
      </c>
      <c r="C80" s="200" t="s">
        <v>8714</v>
      </c>
      <c r="D80" s="200" t="s">
        <v>970</v>
      </c>
    </row>
    <row r="81">
      <c r="A81" s="6">
        <v>170428.0</v>
      </c>
      <c r="B81" s="200" t="s">
        <v>8715</v>
      </c>
      <c r="C81" s="200" t="s">
        <v>8716</v>
      </c>
      <c r="D81" s="584" t="s">
        <v>8589</v>
      </c>
    </row>
    <row r="82">
      <c r="A82" s="6">
        <v>170428.0</v>
      </c>
      <c r="B82" s="233" t="s">
        <v>8717</v>
      </c>
      <c r="C82" s="233" t="s">
        <v>8718</v>
      </c>
      <c r="D82" s="584" t="s">
        <v>8719</v>
      </c>
    </row>
    <row r="83">
      <c r="A83" s="6">
        <v>170428.0</v>
      </c>
      <c r="B83" s="200" t="s">
        <v>8720</v>
      </c>
      <c r="C83" s="200" t="s">
        <v>8721</v>
      </c>
      <c r="D83" s="584" t="s">
        <v>970</v>
      </c>
    </row>
    <row r="84">
      <c r="A84" s="6">
        <v>170428.0</v>
      </c>
      <c r="B84" s="200" t="s">
        <v>8722</v>
      </c>
      <c r="C84" s="200" t="s">
        <v>8723</v>
      </c>
      <c r="D84" s="584" t="s">
        <v>970</v>
      </c>
    </row>
    <row r="85">
      <c r="A85" s="6">
        <v>170428.0</v>
      </c>
      <c r="B85" s="200" t="s">
        <v>5912</v>
      </c>
      <c r="C85" s="200" t="s">
        <v>5913</v>
      </c>
      <c r="D85" s="200" t="s">
        <v>970</v>
      </c>
    </row>
    <row r="86">
      <c r="A86" s="6">
        <v>170428.0</v>
      </c>
      <c r="B86" s="200" t="s">
        <v>8724</v>
      </c>
      <c r="C86" s="200" t="s">
        <v>6689</v>
      </c>
      <c r="D86" s="200" t="s">
        <v>970</v>
      </c>
    </row>
    <row r="87">
      <c r="A87" s="6">
        <v>170428.0</v>
      </c>
      <c r="B87" s="200" t="s">
        <v>8725</v>
      </c>
      <c r="C87" s="200" t="s">
        <v>7350</v>
      </c>
      <c r="D87" s="200" t="s">
        <v>970</v>
      </c>
    </row>
    <row r="88">
      <c r="A88" s="6">
        <v>170428.0</v>
      </c>
      <c r="B88" s="200" t="s">
        <v>5946</v>
      </c>
      <c r="C88" s="200" t="s">
        <v>5947</v>
      </c>
      <c r="D88" s="200" t="s">
        <v>8589</v>
      </c>
    </row>
    <row r="89">
      <c r="A89" s="6">
        <v>170428.0</v>
      </c>
      <c r="B89" s="200" t="s">
        <v>8726</v>
      </c>
      <c r="C89" s="200" t="s">
        <v>6665</v>
      </c>
      <c r="D89" s="200" t="s">
        <v>92</v>
      </c>
    </row>
    <row r="90">
      <c r="A90" s="6">
        <v>170428.0</v>
      </c>
      <c r="B90" s="200" t="s">
        <v>8727</v>
      </c>
      <c r="C90" s="200" t="s">
        <v>8728</v>
      </c>
      <c r="D90" s="200" t="s">
        <v>8729</v>
      </c>
    </row>
    <row r="91">
      <c r="A91" s="6">
        <v>170428.0</v>
      </c>
      <c r="B91" s="200" t="s">
        <v>8730</v>
      </c>
      <c r="C91" s="200" t="s">
        <v>8731</v>
      </c>
      <c r="D91" s="200" t="s">
        <v>970</v>
      </c>
    </row>
    <row r="92">
      <c r="A92" s="6">
        <v>170428.0</v>
      </c>
      <c r="B92" s="200" t="s">
        <v>8733</v>
      </c>
      <c r="C92" s="200" t="s">
        <v>8734</v>
      </c>
      <c r="D92" s="584" t="s">
        <v>970</v>
      </c>
    </row>
    <row r="93">
      <c r="A93" s="6">
        <v>170428.0</v>
      </c>
      <c r="B93" s="200" t="s">
        <v>8735</v>
      </c>
      <c r="C93" s="200" t="s">
        <v>8736</v>
      </c>
      <c r="D93" s="584" t="s">
        <v>970</v>
      </c>
    </row>
    <row r="94">
      <c r="A94" s="6">
        <v>170428.0</v>
      </c>
      <c r="B94" s="233" t="s">
        <v>8738</v>
      </c>
      <c r="C94" s="200" t="s">
        <v>8739</v>
      </c>
      <c r="D94" s="584" t="s">
        <v>970</v>
      </c>
    </row>
    <row r="95">
      <c r="A95" s="6">
        <v>170428.0</v>
      </c>
      <c r="B95" s="200" t="s">
        <v>8740</v>
      </c>
      <c r="C95" s="200" t="s">
        <v>8741</v>
      </c>
      <c r="D95" s="584" t="s">
        <v>970</v>
      </c>
    </row>
    <row r="96">
      <c r="A96" s="6">
        <v>170428.0</v>
      </c>
      <c r="B96" s="200" t="s">
        <v>8742</v>
      </c>
      <c r="C96" s="200" t="s">
        <v>8741</v>
      </c>
      <c r="D96" s="200" t="s">
        <v>970</v>
      </c>
    </row>
    <row r="97">
      <c r="A97" s="6">
        <v>170428.0</v>
      </c>
      <c r="B97" s="200" t="s">
        <v>8744</v>
      </c>
      <c r="C97" s="200" t="s">
        <v>4284</v>
      </c>
      <c r="D97" s="200" t="s">
        <v>970</v>
      </c>
    </row>
    <row r="98">
      <c r="A98" s="6">
        <v>170428.0</v>
      </c>
      <c r="B98" s="200" t="s">
        <v>8746</v>
      </c>
      <c r="C98" s="200" t="s">
        <v>4288</v>
      </c>
      <c r="D98" s="584" t="s">
        <v>970</v>
      </c>
    </row>
    <row r="99">
      <c r="A99" s="6">
        <v>170428.0</v>
      </c>
      <c r="B99" s="200" t="s">
        <v>5962</v>
      </c>
      <c r="C99" s="200" t="s">
        <v>5963</v>
      </c>
      <c r="D99" s="584" t="s">
        <v>970</v>
      </c>
    </row>
    <row r="100">
      <c r="A100" s="6">
        <v>170428.0</v>
      </c>
      <c r="B100" s="200" t="s">
        <v>8747</v>
      </c>
      <c r="C100" s="200" t="s">
        <v>8748</v>
      </c>
      <c r="D100" s="584" t="s">
        <v>970</v>
      </c>
    </row>
    <row r="101">
      <c r="A101" s="6">
        <v>170428.0</v>
      </c>
      <c r="B101" s="589" t="s">
        <v>8749</v>
      </c>
      <c r="C101" s="200" t="s">
        <v>8750</v>
      </c>
      <c r="D101" s="584" t="s">
        <v>8751</v>
      </c>
    </row>
    <row r="102">
      <c r="A102" s="6">
        <v>170428.0</v>
      </c>
      <c r="B102" s="200" t="s">
        <v>8752</v>
      </c>
      <c r="C102" s="200" t="s">
        <v>8753</v>
      </c>
      <c r="D102" s="200" t="s">
        <v>970</v>
      </c>
    </row>
    <row r="103">
      <c r="A103" s="6">
        <v>170428.0</v>
      </c>
      <c r="B103" s="585" t="s">
        <v>8754</v>
      </c>
      <c r="C103" s="200" t="s">
        <v>8755</v>
      </c>
      <c r="D103" s="584" t="s">
        <v>970</v>
      </c>
    </row>
    <row r="104">
      <c r="A104" s="6">
        <v>170428.0</v>
      </c>
      <c r="B104" s="200" t="s">
        <v>8756</v>
      </c>
      <c r="C104" s="200" t="s">
        <v>8757</v>
      </c>
      <c r="D104" s="584" t="s">
        <v>970</v>
      </c>
    </row>
    <row r="105">
      <c r="A105" s="6">
        <v>170428.0</v>
      </c>
      <c r="B105" s="200" t="s">
        <v>8758</v>
      </c>
      <c r="C105" s="200" t="s">
        <v>8759</v>
      </c>
      <c r="D105" s="584" t="s">
        <v>970</v>
      </c>
    </row>
    <row r="106">
      <c r="A106" s="6">
        <v>170428.0</v>
      </c>
      <c r="B106" s="200" t="s">
        <v>8760</v>
      </c>
      <c r="C106" s="200" t="s">
        <v>8761</v>
      </c>
      <c r="D106" s="200" t="s">
        <v>970</v>
      </c>
    </row>
    <row r="107">
      <c r="A107" s="6">
        <v>170428.0</v>
      </c>
      <c r="B107" s="200" t="s">
        <v>8762</v>
      </c>
      <c r="C107" s="200" t="s">
        <v>8763</v>
      </c>
      <c r="D107" s="584" t="s">
        <v>970</v>
      </c>
    </row>
    <row r="108">
      <c r="A108" s="6">
        <v>170428.0</v>
      </c>
      <c r="B108" s="200" t="s">
        <v>8764</v>
      </c>
      <c r="C108" s="200" t="s">
        <v>8765</v>
      </c>
      <c r="D108" s="584" t="s">
        <v>8766</v>
      </c>
    </row>
    <row r="109">
      <c r="A109" s="6">
        <v>170428.0</v>
      </c>
      <c r="B109" s="200" t="s">
        <v>8767</v>
      </c>
      <c r="C109" s="200" t="s">
        <v>8768</v>
      </c>
      <c r="D109" s="584" t="s">
        <v>970</v>
      </c>
    </row>
    <row r="110">
      <c r="A110" s="6">
        <v>170428.0</v>
      </c>
      <c r="B110" s="200" t="s">
        <v>8769</v>
      </c>
      <c r="C110" s="200" t="s">
        <v>7754</v>
      </c>
      <c r="D110" s="200" t="s">
        <v>970</v>
      </c>
    </row>
    <row r="111">
      <c r="A111" s="6">
        <v>170428.0</v>
      </c>
      <c r="B111" s="200" t="s">
        <v>8770</v>
      </c>
      <c r="C111" s="200" t="s">
        <v>7763</v>
      </c>
      <c r="D111" s="200" t="s">
        <v>970</v>
      </c>
    </row>
    <row r="112">
      <c r="A112" s="6">
        <v>170428.0</v>
      </c>
      <c r="B112" s="200" t="s">
        <v>8771</v>
      </c>
      <c r="C112" s="200" t="s">
        <v>8772</v>
      </c>
      <c r="D112" s="200" t="s">
        <v>970</v>
      </c>
    </row>
    <row r="113">
      <c r="A113" s="6">
        <v>170428.0</v>
      </c>
      <c r="B113" s="233" t="s">
        <v>8774</v>
      </c>
      <c r="C113" s="200" t="s">
        <v>8776</v>
      </c>
      <c r="D113" s="584" t="s">
        <v>8589</v>
      </c>
    </row>
    <row r="114">
      <c r="A114" s="6">
        <v>170428.0</v>
      </c>
      <c r="B114" s="200" t="s">
        <v>8777</v>
      </c>
      <c r="C114" s="200" t="s">
        <v>8778</v>
      </c>
      <c r="D114" s="584" t="s">
        <v>8779</v>
      </c>
    </row>
    <row r="115">
      <c r="A115" s="6">
        <v>170428.0</v>
      </c>
      <c r="B115" s="200" t="s">
        <v>8780</v>
      </c>
      <c r="C115" s="200" t="s">
        <v>6417</v>
      </c>
      <c r="D115" s="200" t="s">
        <v>8589</v>
      </c>
    </row>
    <row r="116">
      <c r="A116" s="6">
        <v>170428.0</v>
      </c>
      <c r="B116" s="200" t="s">
        <v>8781</v>
      </c>
      <c r="C116" s="200" t="s">
        <v>7686</v>
      </c>
      <c r="D116" s="200" t="s">
        <v>970</v>
      </c>
    </row>
    <row r="117">
      <c r="A117" s="6">
        <v>170428.0</v>
      </c>
      <c r="B117" s="200" t="s">
        <v>8782</v>
      </c>
      <c r="C117" s="200" t="s">
        <v>8783</v>
      </c>
      <c r="D117" s="584" t="s">
        <v>970</v>
      </c>
    </row>
    <row r="118">
      <c r="A118" s="6">
        <v>170428.0</v>
      </c>
      <c r="B118" s="200" t="s">
        <v>8784</v>
      </c>
      <c r="C118" s="200" t="s">
        <v>7650</v>
      </c>
      <c r="D118" s="584" t="s">
        <v>970</v>
      </c>
    </row>
    <row r="119">
      <c r="A119" s="6">
        <v>170428.0</v>
      </c>
      <c r="B119" s="200" t="s">
        <v>8785</v>
      </c>
      <c r="C119" s="200" t="s">
        <v>8786</v>
      </c>
      <c r="D119" s="584" t="s">
        <v>970</v>
      </c>
    </row>
    <row r="120">
      <c r="A120" s="6">
        <v>170428.0</v>
      </c>
      <c r="B120" s="200" t="s">
        <v>8787</v>
      </c>
      <c r="C120" s="200" t="s">
        <v>7646</v>
      </c>
      <c r="D120" s="200" t="s">
        <v>8589</v>
      </c>
    </row>
    <row r="121">
      <c r="A121" s="6">
        <v>170428.0</v>
      </c>
      <c r="B121" s="200" t="s">
        <v>8788</v>
      </c>
      <c r="C121" s="200" t="s">
        <v>8789</v>
      </c>
      <c r="D121" s="584" t="s">
        <v>970</v>
      </c>
    </row>
    <row r="122">
      <c r="A122" s="6">
        <v>170428.0</v>
      </c>
      <c r="B122" s="200" t="s">
        <v>8790</v>
      </c>
      <c r="C122" s="200" t="s">
        <v>6385</v>
      </c>
      <c r="D122" s="200" t="s">
        <v>970</v>
      </c>
    </row>
    <row r="123">
      <c r="A123" s="6">
        <v>170428.0</v>
      </c>
      <c r="B123" s="200" t="s">
        <v>8791</v>
      </c>
      <c r="C123" s="200" t="s">
        <v>8792</v>
      </c>
      <c r="D123" s="584" t="s">
        <v>8793</v>
      </c>
    </row>
    <row r="124">
      <c r="A124" s="6">
        <v>170428.0</v>
      </c>
      <c r="B124" s="200" t="s">
        <v>8794</v>
      </c>
      <c r="C124" s="200" t="s">
        <v>8795</v>
      </c>
      <c r="D124" s="584" t="s">
        <v>970</v>
      </c>
    </row>
    <row r="125">
      <c r="A125" s="6">
        <v>170428.0</v>
      </c>
      <c r="B125" s="200" t="s">
        <v>8796</v>
      </c>
      <c r="C125" s="200" t="s">
        <v>8797</v>
      </c>
      <c r="D125" s="584" t="s">
        <v>8798</v>
      </c>
    </row>
    <row r="126">
      <c r="A126" s="6">
        <v>170428.0</v>
      </c>
      <c r="B126" s="200" t="s">
        <v>8799</v>
      </c>
      <c r="C126" s="200" t="s">
        <v>8800</v>
      </c>
      <c r="D126" s="584" t="s">
        <v>970</v>
      </c>
    </row>
    <row r="127">
      <c r="A127" s="6">
        <v>170428.0</v>
      </c>
      <c r="B127" s="200" t="s">
        <v>8801</v>
      </c>
      <c r="C127" s="200" t="s">
        <v>8803</v>
      </c>
      <c r="D127" s="584" t="s">
        <v>970</v>
      </c>
    </row>
    <row r="128">
      <c r="A128" s="6">
        <v>170428.0</v>
      </c>
      <c r="B128" s="233" t="s">
        <v>5892</v>
      </c>
      <c r="C128" s="233" t="s">
        <v>5893</v>
      </c>
      <c r="D128" s="584" t="s">
        <v>92</v>
      </c>
    </row>
    <row r="129">
      <c r="A129" s="6">
        <v>170428.0</v>
      </c>
      <c r="B129" s="200" t="s">
        <v>8806</v>
      </c>
      <c r="C129" s="200" t="s">
        <v>8807</v>
      </c>
      <c r="D129" s="584" t="s">
        <v>970</v>
      </c>
    </row>
    <row r="130">
      <c r="A130" s="6">
        <v>170428.0</v>
      </c>
      <c r="B130" s="200" t="s">
        <v>8808</v>
      </c>
      <c r="C130" s="200" t="s">
        <v>8809</v>
      </c>
      <c r="D130" s="584" t="s">
        <v>970</v>
      </c>
    </row>
    <row r="131">
      <c r="A131" s="6">
        <v>170428.0</v>
      </c>
      <c r="B131" s="200" t="s">
        <v>8810</v>
      </c>
      <c r="C131" s="200" t="s">
        <v>7524</v>
      </c>
      <c r="D131" s="200" t="s">
        <v>8729</v>
      </c>
    </row>
    <row r="132">
      <c r="A132" s="6">
        <v>170428.0</v>
      </c>
      <c r="B132" s="592" t="s">
        <v>8811</v>
      </c>
      <c r="C132" s="592" t="s">
        <v>8812</v>
      </c>
      <c r="D132" s="593" t="s">
        <v>8589</v>
      </c>
    </row>
    <row r="133">
      <c r="A133" s="6">
        <v>170428.0</v>
      </c>
      <c r="B133" s="200" t="s">
        <v>8813</v>
      </c>
      <c r="C133" s="200" t="s">
        <v>8814</v>
      </c>
      <c r="D133" s="584" t="s">
        <v>970</v>
      </c>
    </row>
    <row r="134">
      <c r="A134" s="6">
        <v>170428.0</v>
      </c>
      <c r="B134" s="200" t="s">
        <v>8815</v>
      </c>
      <c r="C134" s="200" t="s">
        <v>8816</v>
      </c>
      <c r="D134" s="584" t="s">
        <v>8817</v>
      </c>
    </row>
    <row r="135">
      <c r="A135" s="6">
        <v>170428.0</v>
      </c>
      <c r="B135" s="233" t="s">
        <v>8819</v>
      </c>
      <c r="C135" s="200" t="s">
        <v>8820</v>
      </c>
      <c r="D135" s="584" t="s">
        <v>970</v>
      </c>
    </row>
    <row r="136">
      <c r="A136" s="6">
        <v>170428.0</v>
      </c>
      <c r="B136" s="200" t="s">
        <v>8821</v>
      </c>
      <c r="C136" s="200" t="s">
        <v>4897</v>
      </c>
      <c r="D136" s="200" t="s">
        <v>970</v>
      </c>
    </row>
    <row r="137">
      <c r="A137" s="6">
        <v>170428.0</v>
      </c>
      <c r="B137" s="200" t="s">
        <v>8822</v>
      </c>
      <c r="C137" s="200" t="s">
        <v>7358</v>
      </c>
      <c r="D137" s="584" t="s">
        <v>970</v>
      </c>
    </row>
    <row r="138">
      <c r="A138" s="6">
        <v>170428.0</v>
      </c>
      <c r="B138" s="200" t="s">
        <v>8823</v>
      </c>
      <c r="C138" s="200" t="s">
        <v>8824</v>
      </c>
      <c r="D138" s="200" t="s">
        <v>970</v>
      </c>
    </row>
    <row r="139">
      <c r="A139" s="6">
        <v>170428.0</v>
      </c>
      <c r="B139" s="200" t="s">
        <v>8825</v>
      </c>
      <c r="C139" s="200" t="s">
        <v>7353</v>
      </c>
      <c r="D139" s="200" t="s">
        <v>970</v>
      </c>
    </row>
    <row r="140">
      <c r="A140" s="6">
        <v>170428.0</v>
      </c>
      <c r="B140" s="200" t="s">
        <v>8826</v>
      </c>
      <c r="C140" s="200" t="s">
        <v>8827</v>
      </c>
      <c r="D140" s="584" t="s">
        <v>970</v>
      </c>
    </row>
    <row r="141">
      <c r="A141" s="6">
        <v>170428.0</v>
      </c>
      <c r="B141" s="200" t="s">
        <v>8828</v>
      </c>
      <c r="C141" s="200" t="s">
        <v>8829</v>
      </c>
      <c r="D141" s="200" t="s">
        <v>8830</v>
      </c>
    </row>
    <row r="142">
      <c r="A142" s="6">
        <v>170428.0</v>
      </c>
      <c r="B142" s="233" t="s">
        <v>8831</v>
      </c>
      <c r="C142" s="200" t="s">
        <v>5149</v>
      </c>
      <c r="D142" s="200" t="s">
        <v>8832</v>
      </c>
    </row>
    <row r="143">
      <c r="A143" s="6">
        <v>170428.0</v>
      </c>
      <c r="B143" s="200" t="s">
        <v>8834</v>
      </c>
      <c r="C143" s="200" t="s">
        <v>8835</v>
      </c>
      <c r="D143" s="584" t="s">
        <v>8836</v>
      </c>
    </row>
    <row r="144">
      <c r="A144" s="6">
        <v>170428.0</v>
      </c>
      <c r="B144" s="200" t="s">
        <v>8839</v>
      </c>
      <c r="C144" s="200" t="s">
        <v>8841</v>
      </c>
      <c r="D144" s="584" t="s">
        <v>970</v>
      </c>
    </row>
    <row r="145">
      <c r="A145" s="6">
        <v>170428.0</v>
      </c>
      <c r="B145" s="200" t="s">
        <v>8842</v>
      </c>
      <c r="C145" s="200" t="s">
        <v>8843</v>
      </c>
      <c r="D145" s="584" t="s">
        <v>970</v>
      </c>
    </row>
    <row r="146">
      <c r="A146" s="6">
        <v>170428.0</v>
      </c>
      <c r="B146" s="200" t="s">
        <v>8844</v>
      </c>
      <c r="C146" s="200" t="s">
        <v>8846</v>
      </c>
      <c r="D146" s="200" t="s">
        <v>970</v>
      </c>
    </row>
    <row r="147">
      <c r="A147" s="6">
        <v>170428.0</v>
      </c>
      <c r="B147" s="200" t="s">
        <v>8848</v>
      </c>
      <c r="C147" s="200" t="s">
        <v>5785</v>
      </c>
      <c r="D147" s="200" t="s">
        <v>970</v>
      </c>
    </row>
    <row r="148">
      <c r="A148" s="6">
        <v>170428.0</v>
      </c>
      <c r="B148" s="200" t="s">
        <v>8850</v>
      </c>
      <c r="C148" s="200" t="s">
        <v>5785</v>
      </c>
      <c r="D148" s="200" t="s">
        <v>970</v>
      </c>
    </row>
    <row r="149">
      <c r="A149" s="6">
        <v>170428.0</v>
      </c>
      <c r="B149" s="200" t="s">
        <v>8852</v>
      </c>
      <c r="C149" s="200" t="s">
        <v>5785</v>
      </c>
      <c r="D149" s="200" t="s">
        <v>970</v>
      </c>
    </row>
    <row r="150">
      <c r="A150" s="6">
        <v>170428.0</v>
      </c>
      <c r="B150" s="200" t="s">
        <v>8853</v>
      </c>
      <c r="C150" s="200" t="s">
        <v>5785</v>
      </c>
      <c r="D150" s="200" t="s">
        <v>970</v>
      </c>
    </row>
    <row r="151">
      <c r="A151" s="6">
        <v>170428.0</v>
      </c>
      <c r="B151" s="200" t="s">
        <v>8855</v>
      </c>
      <c r="C151" s="200" t="s">
        <v>8856</v>
      </c>
      <c r="D151" s="584" t="s">
        <v>970</v>
      </c>
    </row>
    <row r="152">
      <c r="A152" s="6">
        <v>170428.0</v>
      </c>
      <c r="B152" s="200" t="s">
        <v>8857</v>
      </c>
      <c r="C152" s="200" t="s">
        <v>8859</v>
      </c>
      <c r="D152" s="584" t="s">
        <v>970</v>
      </c>
    </row>
    <row r="153">
      <c r="A153" s="6">
        <v>170428.0</v>
      </c>
      <c r="B153" s="200" t="s">
        <v>8861</v>
      </c>
      <c r="C153" s="200" t="s">
        <v>8863</v>
      </c>
      <c r="D153" s="200" t="s">
        <v>970</v>
      </c>
    </row>
    <row r="154">
      <c r="A154" s="6">
        <v>170428.0</v>
      </c>
      <c r="B154" s="200" t="s">
        <v>8861</v>
      </c>
      <c r="C154" s="200" t="s">
        <v>8863</v>
      </c>
      <c r="D154" s="584" t="s">
        <v>970</v>
      </c>
    </row>
    <row r="155">
      <c r="A155" s="6">
        <v>170428.0</v>
      </c>
      <c r="B155" s="200" t="s">
        <v>8861</v>
      </c>
      <c r="C155" s="200" t="s">
        <v>8863</v>
      </c>
      <c r="D155" s="200" t="s">
        <v>970</v>
      </c>
    </row>
    <row r="156">
      <c r="A156" s="6">
        <v>170428.0</v>
      </c>
      <c r="B156" s="200" t="s">
        <v>8866</v>
      </c>
      <c r="C156" s="200" t="s">
        <v>6279</v>
      </c>
      <c r="D156" s="200" t="s">
        <v>970</v>
      </c>
    </row>
    <row r="157">
      <c r="A157" s="6">
        <v>170428.0</v>
      </c>
      <c r="B157" s="200" t="s">
        <v>8868</v>
      </c>
      <c r="C157" s="200" t="s">
        <v>8869</v>
      </c>
      <c r="D157" s="584" t="s">
        <v>970</v>
      </c>
    </row>
    <row r="158">
      <c r="A158" s="6">
        <v>170428.0</v>
      </c>
      <c r="B158" s="200" t="s">
        <v>8871</v>
      </c>
      <c r="C158" s="200" t="s">
        <v>8873</v>
      </c>
      <c r="D158" s="200" t="s">
        <v>8875</v>
      </c>
    </row>
    <row r="159">
      <c r="A159" s="6">
        <v>170428.0</v>
      </c>
      <c r="B159" s="200" t="s">
        <v>8877</v>
      </c>
      <c r="C159" s="200" t="s">
        <v>8880</v>
      </c>
      <c r="D159" s="584" t="s">
        <v>970</v>
      </c>
    </row>
    <row r="160">
      <c r="A160" s="6">
        <v>170428.0</v>
      </c>
      <c r="B160" s="233" t="s">
        <v>8881</v>
      </c>
      <c r="C160" s="604" t="s">
        <v>8882</v>
      </c>
      <c r="D160" s="584" t="s">
        <v>8589</v>
      </c>
    </row>
    <row r="161">
      <c r="A161" s="6">
        <v>170428.0</v>
      </c>
      <c r="B161" s="200" t="s">
        <v>6173</v>
      </c>
      <c r="C161" s="200" t="s">
        <v>6174</v>
      </c>
      <c r="D161" s="200" t="s">
        <v>92</v>
      </c>
    </row>
    <row r="162">
      <c r="A162" s="6">
        <v>170428.0</v>
      </c>
      <c r="B162" s="200" t="s">
        <v>8883</v>
      </c>
      <c r="C162" s="604" t="s">
        <v>8884</v>
      </c>
      <c r="D162" s="584" t="s">
        <v>8589</v>
      </c>
    </row>
    <row r="163">
      <c r="A163" s="6">
        <v>170428.0</v>
      </c>
      <c r="B163" s="200" t="s">
        <v>8887</v>
      </c>
      <c r="C163" s="200" t="s">
        <v>8888</v>
      </c>
      <c r="D163" s="584" t="s">
        <v>970</v>
      </c>
    </row>
    <row r="164">
      <c r="A164" s="6">
        <v>170428.0</v>
      </c>
      <c r="B164" s="200" t="s">
        <v>8889</v>
      </c>
      <c r="C164" s="200" t="s">
        <v>8890</v>
      </c>
      <c r="D164" s="200" t="s">
        <v>970</v>
      </c>
    </row>
    <row r="165">
      <c r="A165" s="6">
        <v>170428.0</v>
      </c>
      <c r="B165" s="200" t="s">
        <v>8891</v>
      </c>
      <c r="C165" s="200"/>
      <c r="D165" s="200" t="s">
        <v>8892</v>
      </c>
    </row>
    <row r="166">
      <c r="A166" s="6">
        <v>170428.0</v>
      </c>
      <c r="B166" s="200" t="s">
        <v>8893</v>
      </c>
      <c r="C166" s="200"/>
      <c r="D166" s="200" t="s">
        <v>8589</v>
      </c>
    </row>
    <row r="167">
      <c r="B167" s="200"/>
      <c r="C167" s="200"/>
      <c r="D167" s="200"/>
    </row>
    <row r="168">
      <c r="B168" s="200"/>
      <c r="C168" s="200"/>
      <c r="D168" s="584"/>
    </row>
    <row r="169">
      <c r="B169" s="200"/>
      <c r="C169" s="200"/>
      <c r="D169" s="200"/>
    </row>
    <row r="170">
      <c r="B170" s="200"/>
      <c r="C170" s="200"/>
      <c r="D170" s="200"/>
    </row>
    <row r="171">
      <c r="B171" s="200"/>
      <c r="C171" s="200"/>
      <c r="D171" s="200"/>
    </row>
    <row r="172">
      <c r="B172" s="200"/>
      <c r="C172" s="200"/>
      <c r="D172" s="200"/>
    </row>
    <row r="173">
      <c r="B173" s="200"/>
      <c r="C173" s="200"/>
      <c r="D173" s="200"/>
    </row>
    <row r="174">
      <c r="B174" s="200"/>
      <c r="C174" s="200"/>
      <c r="D174" s="200"/>
    </row>
    <row r="175">
      <c r="B175" s="200"/>
      <c r="C175" s="200"/>
      <c r="D175" s="200"/>
    </row>
    <row r="176">
      <c r="B176" s="200"/>
      <c r="C176" s="200"/>
      <c r="D176" s="584"/>
    </row>
    <row r="177">
      <c r="B177" s="200"/>
      <c r="C177" s="200"/>
      <c r="D177" s="200"/>
    </row>
    <row r="178">
      <c r="B178" s="200"/>
      <c r="C178" s="200"/>
      <c r="D178" s="200"/>
    </row>
    <row r="179">
      <c r="B179" s="200"/>
      <c r="C179" s="200"/>
      <c r="D179" s="200"/>
    </row>
    <row r="180">
      <c r="B180" s="200"/>
      <c r="C180" s="200"/>
      <c r="D180" s="200"/>
    </row>
    <row r="181">
      <c r="B181" s="200"/>
      <c r="C181" s="200"/>
      <c r="D181" s="584"/>
    </row>
    <row r="182">
      <c r="B182" s="200"/>
      <c r="C182" s="200"/>
      <c r="D182" s="200"/>
    </row>
    <row r="183">
      <c r="B183" s="200"/>
      <c r="C183" s="200"/>
      <c r="D183" s="200"/>
    </row>
    <row r="184">
      <c r="B184" s="200"/>
      <c r="C184" s="200"/>
      <c r="D184" s="200"/>
    </row>
    <row r="185">
      <c r="B185" s="200"/>
      <c r="C185" s="200"/>
      <c r="D185" s="200"/>
    </row>
    <row r="186">
      <c r="B186" s="200"/>
      <c r="C186" s="200"/>
      <c r="D186" s="200"/>
    </row>
    <row r="187">
      <c r="B187" s="200"/>
      <c r="C187" s="200"/>
      <c r="D187" s="200"/>
    </row>
    <row r="188">
      <c r="B188" s="200"/>
      <c r="C188" s="200"/>
      <c r="D188" s="584"/>
    </row>
    <row r="189">
      <c r="B189" s="200"/>
      <c r="C189" s="200"/>
      <c r="D189" s="200"/>
    </row>
    <row r="190">
      <c r="B190" s="200"/>
      <c r="C190" s="200"/>
      <c r="D190" s="200"/>
    </row>
    <row r="191">
      <c r="B191" s="200"/>
      <c r="C191" s="200"/>
      <c r="D191" s="200"/>
    </row>
    <row r="192">
      <c r="A192" s="115"/>
      <c r="B192" s="200"/>
      <c r="C192" s="200"/>
      <c r="D192" s="200"/>
    </row>
    <row r="193">
      <c r="A193" s="115"/>
      <c r="B193" s="200"/>
      <c r="C193" s="200"/>
      <c r="D193" s="200"/>
    </row>
    <row r="194">
      <c r="A194" s="115"/>
      <c r="B194" s="200"/>
      <c r="C194" s="200"/>
      <c r="D194" s="200"/>
    </row>
    <row r="195">
      <c r="A195" s="115"/>
      <c r="B195" s="200"/>
      <c r="C195" s="200"/>
      <c r="D195" s="200"/>
    </row>
    <row r="196">
      <c r="B196" s="200"/>
      <c r="C196" s="200"/>
      <c r="D196" s="200"/>
    </row>
    <row r="197">
      <c r="B197" s="200"/>
      <c r="C197" s="200"/>
      <c r="D197" s="200"/>
    </row>
    <row r="198">
      <c r="B198" s="200"/>
      <c r="C198" s="200"/>
      <c r="D198" s="200"/>
    </row>
    <row r="199">
      <c r="B199" s="200"/>
      <c r="C199" s="200"/>
      <c r="D199" s="584"/>
    </row>
    <row r="200">
      <c r="B200" s="200"/>
      <c r="C200" s="200"/>
      <c r="D200" s="584"/>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19.75"/>
    <col customWidth="1" min="3" max="3" width="22.88"/>
    <col customWidth="1" min="4" max="6" width="12.75"/>
    <col customWidth="1" min="7" max="7" width="9.88"/>
    <col customWidth="1" min="8" max="8" width="17.0"/>
    <col customWidth="1" min="9" max="9" width="16.63"/>
    <col customWidth="1" min="10" max="12" width="20.63"/>
    <col customWidth="1" min="13" max="13" width="9.38"/>
    <col customWidth="1" min="14" max="14" width="11.5"/>
  </cols>
  <sheetData>
    <row r="1">
      <c r="A1" s="594" t="s">
        <v>9</v>
      </c>
      <c r="B1" s="594" t="s">
        <v>8845</v>
      </c>
      <c r="C1" s="594" t="s">
        <v>8847</v>
      </c>
      <c r="D1" s="594" t="s">
        <v>8849</v>
      </c>
      <c r="E1" s="595" t="s">
        <v>8851</v>
      </c>
      <c r="F1" s="596" t="s">
        <v>8854</v>
      </c>
      <c r="G1" s="594" t="s">
        <v>8858</v>
      </c>
      <c r="H1" s="594" t="s">
        <v>8860</v>
      </c>
      <c r="I1" s="594" t="s">
        <v>8862</v>
      </c>
      <c r="J1" s="597" t="s">
        <v>8864</v>
      </c>
      <c r="K1" s="597" t="s">
        <v>8865</v>
      </c>
      <c r="L1" s="599" t="s">
        <v>8867</v>
      </c>
      <c r="M1" s="594" t="s">
        <v>8870</v>
      </c>
      <c r="N1" s="594" t="s">
        <v>8874</v>
      </c>
      <c r="O1" s="388"/>
      <c r="P1" s="602" t="s">
        <v>8878</v>
      </c>
      <c r="Q1" s="388"/>
      <c r="R1" s="388"/>
      <c r="S1" s="388"/>
      <c r="T1" s="388"/>
      <c r="U1" s="388"/>
      <c r="V1" s="388"/>
      <c r="W1" s="388"/>
      <c r="X1" s="388"/>
      <c r="Y1" s="388"/>
      <c r="Z1" s="388"/>
      <c r="AA1" s="388"/>
      <c r="AB1" s="388"/>
      <c r="AC1" s="388"/>
    </row>
    <row r="2">
      <c r="A2" s="388" t="s">
        <v>238</v>
      </c>
      <c r="B2" s="388" t="s">
        <v>8885</v>
      </c>
      <c r="C2" s="388" t="s">
        <v>8886</v>
      </c>
      <c r="D2" s="607">
        <v>3600.0</v>
      </c>
      <c r="E2" s="610">
        <f t="shared" ref="E2:E38" si="1">D2-5</f>
        <v>3595</v>
      </c>
      <c r="F2" s="611">
        <f t="shared" ref="F2:F38" si="2">D2+495</f>
        <v>4095</v>
      </c>
      <c r="G2" s="612">
        <v>300.0</v>
      </c>
      <c r="H2" s="613">
        <v>2000.0</v>
      </c>
      <c r="I2" s="612">
        <v>2000.0</v>
      </c>
      <c r="J2" s="607" t="s">
        <v>8897</v>
      </c>
      <c r="K2" s="612"/>
      <c r="L2" s="612">
        <v>1800.0</v>
      </c>
      <c r="M2" s="612">
        <f t="shared" ref="M2:M38" si="3">D2*0.8</f>
        <v>2880</v>
      </c>
      <c r="N2" s="617">
        <f t="shared" ref="N2:N38" si="4">M2-L2</f>
        <v>1080</v>
      </c>
      <c r="O2" s="388"/>
      <c r="P2" s="618" t="s">
        <v>8902</v>
      </c>
      <c r="Q2" s="388"/>
      <c r="R2" s="388"/>
      <c r="S2" s="388"/>
      <c r="T2" s="388"/>
      <c r="U2" s="388"/>
      <c r="V2" s="388"/>
      <c r="W2" s="388"/>
      <c r="X2" s="388"/>
      <c r="Y2" s="388"/>
      <c r="Z2" s="388"/>
      <c r="AA2" s="388"/>
      <c r="AB2" s="388"/>
      <c r="AC2" s="388"/>
    </row>
    <row r="3">
      <c r="A3" s="388" t="s">
        <v>345</v>
      </c>
      <c r="B3" s="388" t="s">
        <v>360</v>
      </c>
      <c r="C3" s="388" t="s">
        <v>8903</v>
      </c>
      <c r="D3" s="607">
        <v>4000.0</v>
      </c>
      <c r="E3" s="610">
        <f t="shared" si="1"/>
        <v>3995</v>
      </c>
      <c r="F3" s="611">
        <f t="shared" si="2"/>
        <v>4495</v>
      </c>
      <c r="G3" s="612">
        <v>300.0</v>
      </c>
      <c r="H3" s="613">
        <v>2000.0</v>
      </c>
      <c r="I3" s="612">
        <v>2000.0</v>
      </c>
      <c r="J3" s="607" t="s">
        <v>8897</v>
      </c>
      <c r="K3" s="612"/>
      <c r="L3" s="607">
        <v>2500.0</v>
      </c>
      <c r="M3" s="612">
        <f t="shared" si="3"/>
        <v>3200</v>
      </c>
      <c r="N3" s="619">
        <f t="shared" si="4"/>
        <v>700</v>
      </c>
      <c r="O3" s="388"/>
      <c r="P3" s="618" t="s">
        <v>8902</v>
      </c>
      <c r="Q3" s="388"/>
      <c r="R3" s="618"/>
      <c r="S3" s="388"/>
      <c r="T3" s="388"/>
      <c r="U3" s="388"/>
      <c r="V3" s="388"/>
      <c r="W3" s="388"/>
      <c r="X3" s="388"/>
      <c r="Y3" s="388"/>
      <c r="Z3" s="388"/>
      <c r="AA3" s="388"/>
      <c r="AB3" s="388"/>
      <c r="AC3" s="388"/>
    </row>
    <row r="4">
      <c r="A4" s="388" t="s">
        <v>1992</v>
      </c>
      <c r="B4" s="388" t="s">
        <v>415</v>
      </c>
      <c r="C4" s="388" t="s">
        <v>8904</v>
      </c>
      <c r="D4" s="607">
        <v>4000.0</v>
      </c>
      <c r="E4" s="610">
        <f t="shared" si="1"/>
        <v>3995</v>
      </c>
      <c r="F4" s="611">
        <f t="shared" si="2"/>
        <v>4495</v>
      </c>
      <c r="G4" s="612">
        <v>300.0</v>
      </c>
      <c r="H4" s="613">
        <v>2000.0</v>
      </c>
      <c r="I4" s="612">
        <v>2000.0</v>
      </c>
      <c r="J4" s="607" t="s">
        <v>8897</v>
      </c>
      <c r="K4" s="612"/>
      <c r="L4" s="612">
        <v>2000.0</v>
      </c>
      <c r="M4" s="612">
        <f t="shared" si="3"/>
        <v>3200</v>
      </c>
      <c r="N4" s="620">
        <f t="shared" si="4"/>
        <v>1200</v>
      </c>
      <c r="O4" s="388"/>
      <c r="P4" s="618" t="s">
        <v>8902</v>
      </c>
      <c r="Q4" s="388"/>
      <c r="R4" s="388"/>
      <c r="S4" s="388"/>
      <c r="T4" s="388"/>
      <c r="U4" s="388"/>
      <c r="V4" s="388"/>
      <c r="W4" s="388"/>
      <c r="X4" s="388"/>
      <c r="Y4" s="388"/>
      <c r="Z4" s="388"/>
      <c r="AA4" s="388"/>
      <c r="AB4" s="388"/>
      <c r="AC4" s="388"/>
    </row>
    <row r="5">
      <c r="A5" s="388" t="s">
        <v>421</v>
      </c>
      <c r="B5" s="388" t="s">
        <v>427</v>
      </c>
      <c r="C5" s="388" t="s">
        <v>8905</v>
      </c>
      <c r="D5" s="607">
        <v>4000.0</v>
      </c>
      <c r="E5" s="610">
        <f t="shared" si="1"/>
        <v>3995</v>
      </c>
      <c r="F5" s="611">
        <f t="shared" si="2"/>
        <v>4495</v>
      </c>
      <c r="G5" s="612">
        <v>300.0</v>
      </c>
      <c r="H5" s="613">
        <v>2000.0</v>
      </c>
      <c r="I5" s="612">
        <v>2000.0</v>
      </c>
      <c r="J5" s="607" t="s">
        <v>8897</v>
      </c>
      <c r="K5" s="612"/>
      <c r="L5" s="612">
        <v>2400.0</v>
      </c>
      <c r="M5" s="612">
        <f t="shared" si="3"/>
        <v>3200</v>
      </c>
      <c r="N5" s="620">
        <f t="shared" si="4"/>
        <v>800</v>
      </c>
      <c r="O5" s="388"/>
      <c r="P5" s="618" t="s">
        <v>8902</v>
      </c>
      <c r="Q5" s="388"/>
      <c r="R5" s="388"/>
      <c r="S5" s="388"/>
      <c r="T5" s="388"/>
      <c r="U5" s="388"/>
      <c r="V5" s="388"/>
      <c r="W5" s="388"/>
      <c r="X5" s="388"/>
      <c r="Y5" s="388"/>
      <c r="Z5" s="388"/>
      <c r="AA5" s="388"/>
      <c r="AB5" s="388"/>
      <c r="AC5" s="388"/>
    </row>
    <row r="6">
      <c r="A6" s="388" t="s">
        <v>8906</v>
      </c>
      <c r="B6" s="388" t="s">
        <v>448</v>
      </c>
      <c r="C6" s="388" t="s">
        <v>8907</v>
      </c>
      <c r="D6" s="607">
        <v>4000.0</v>
      </c>
      <c r="E6" s="610">
        <f t="shared" si="1"/>
        <v>3995</v>
      </c>
      <c r="F6" s="611">
        <f t="shared" si="2"/>
        <v>4495</v>
      </c>
      <c r="G6" s="612">
        <v>300.0</v>
      </c>
      <c r="H6" s="613">
        <v>2000.0</v>
      </c>
      <c r="I6" s="612">
        <v>2000.0</v>
      </c>
      <c r="J6" s="607" t="s">
        <v>8897</v>
      </c>
      <c r="K6" s="612"/>
      <c r="L6" s="612">
        <v>2000.0</v>
      </c>
      <c r="M6" s="612">
        <f t="shared" si="3"/>
        <v>3200</v>
      </c>
      <c r="N6" s="620">
        <f t="shared" si="4"/>
        <v>1200</v>
      </c>
      <c r="O6" s="388"/>
      <c r="P6" s="618" t="s">
        <v>8902</v>
      </c>
      <c r="Q6" s="388"/>
      <c r="R6" s="388"/>
      <c r="S6" s="388"/>
      <c r="T6" s="388"/>
      <c r="U6" s="388"/>
      <c r="V6" s="388"/>
      <c r="W6" s="388"/>
      <c r="X6" s="388"/>
      <c r="Y6" s="388"/>
      <c r="Z6" s="388"/>
      <c r="AA6" s="388"/>
      <c r="AB6" s="388"/>
      <c r="AC6" s="388"/>
    </row>
    <row r="7">
      <c r="A7" s="388" t="s">
        <v>507</v>
      </c>
      <c r="B7" s="388" t="s">
        <v>8909</v>
      </c>
      <c r="C7" s="388" t="s">
        <v>8911</v>
      </c>
      <c r="D7" s="607">
        <v>4000.0</v>
      </c>
      <c r="E7" s="610">
        <f t="shared" si="1"/>
        <v>3995</v>
      </c>
      <c r="F7" s="611">
        <f t="shared" si="2"/>
        <v>4495</v>
      </c>
      <c r="G7" s="612">
        <v>300.0</v>
      </c>
      <c r="H7" s="613">
        <v>2000.0</v>
      </c>
      <c r="I7" s="612">
        <v>2000.0</v>
      </c>
      <c r="J7" s="607" t="s">
        <v>8897</v>
      </c>
      <c r="K7" s="612"/>
      <c r="L7" s="612">
        <v>1600.0</v>
      </c>
      <c r="M7" s="612">
        <f t="shared" si="3"/>
        <v>3200</v>
      </c>
      <c r="N7" s="625">
        <f t="shared" si="4"/>
        <v>1600</v>
      </c>
      <c r="O7" s="388"/>
      <c r="P7" s="618" t="s">
        <v>8902</v>
      </c>
      <c r="Q7" s="388"/>
      <c r="R7" s="388"/>
      <c r="S7" s="388"/>
      <c r="T7" s="388"/>
      <c r="U7" s="388"/>
      <c r="V7" s="388"/>
      <c r="W7" s="388"/>
      <c r="X7" s="388"/>
      <c r="Y7" s="388"/>
      <c r="Z7" s="388"/>
      <c r="AA7" s="388"/>
      <c r="AB7" s="388"/>
      <c r="AC7" s="388"/>
    </row>
    <row r="8">
      <c r="A8" s="388" t="s">
        <v>538</v>
      </c>
      <c r="B8" s="388" t="s">
        <v>8918</v>
      </c>
      <c r="C8" s="388" t="s">
        <v>8919</v>
      </c>
      <c r="D8" s="607">
        <v>4000.0</v>
      </c>
      <c r="E8" s="610">
        <f t="shared" si="1"/>
        <v>3995</v>
      </c>
      <c r="F8" s="611">
        <f t="shared" si="2"/>
        <v>4495</v>
      </c>
      <c r="G8" s="612">
        <v>300.0</v>
      </c>
      <c r="H8" s="613">
        <v>2000.0</v>
      </c>
      <c r="I8" s="612">
        <v>2000.0</v>
      </c>
      <c r="J8" s="607" t="s">
        <v>8897</v>
      </c>
      <c r="K8" s="612"/>
      <c r="L8" s="612">
        <v>2000.0</v>
      </c>
      <c r="M8" s="612">
        <f t="shared" si="3"/>
        <v>3200</v>
      </c>
      <c r="N8" s="620">
        <f t="shared" si="4"/>
        <v>1200</v>
      </c>
      <c r="O8" s="388"/>
      <c r="P8" s="618" t="s">
        <v>8902</v>
      </c>
      <c r="Q8" s="388"/>
      <c r="R8" s="388"/>
      <c r="S8" s="388"/>
      <c r="T8" s="388"/>
      <c r="U8" s="388"/>
      <c r="V8" s="388"/>
      <c r="W8" s="388"/>
      <c r="X8" s="388"/>
      <c r="Y8" s="388"/>
      <c r="Z8" s="388"/>
      <c r="AA8" s="388"/>
      <c r="AB8" s="388"/>
      <c r="AC8" s="388"/>
    </row>
    <row r="9">
      <c r="A9" s="388" t="s">
        <v>601</v>
      </c>
      <c r="B9" s="388" t="s">
        <v>8920</v>
      </c>
      <c r="C9" s="388" t="s">
        <v>8921</v>
      </c>
      <c r="D9" s="607">
        <v>4000.0</v>
      </c>
      <c r="E9" s="610">
        <f t="shared" si="1"/>
        <v>3995</v>
      </c>
      <c r="F9" s="611">
        <f t="shared" si="2"/>
        <v>4495</v>
      </c>
      <c r="G9" s="607">
        <v>0.0</v>
      </c>
      <c r="H9" s="613">
        <v>2000.0</v>
      </c>
      <c r="I9" s="612">
        <v>2000.0</v>
      </c>
      <c r="J9" s="607" t="s">
        <v>8897</v>
      </c>
      <c r="K9" s="612"/>
      <c r="L9" s="612">
        <v>2500.0</v>
      </c>
      <c r="M9" s="612">
        <f t="shared" si="3"/>
        <v>3200</v>
      </c>
      <c r="N9" s="627">
        <f t="shared" si="4"/>
        <v>700</v>
      </c>
      <c r="O9" s="388"/>
      <c r="P9" s="618" t="s">
        <v>8902</v>
      </c>
      <c r="Q9" s="388"/>
      <c r="R9" s="388"/>
      <c r="S9" s="388"/>
      <c r="T9" s="388"/>
      <c r="U9" s="388"/>
      <c r="V9" s="388"/>
      <c r="W9" s="388"/>
      <c r="X9" s="388"/>
      <c r="Y9" s="388"/>
      <c r="Z9" s="388"/>
      <c r="AA9" s="388"/>
      <c r="AB9" s="388"/>
      <c r="AC9" s="388"/>
    </row>
    <row r="10">
      <c r="A10" s="388" t="s">
        <v>610</v>
      </c>
      <c r="B10" s="388" t="s">
        <v>614</v>
      </c>
      <c r="C10" s="388" t="s">
        <v>8924</v>
      </c>
      <c r="D10" s="607">
        <v>4000.0</v>
      </c>
      <c r="E10" s="610">
        <f t="shared" si="1"/>
        <v>3995</v>
      </c>
      <c r="F10" s="611">
        <f t="shared" si="2"/>
        <v>4495</v>
      </c>
      <c r="G10" s="607">
        <v>0.0</v>
      </c>
      <c r="H10" s="613">
        <v>2000.0</v>
      </c>
      <c r="I10" s="612">
        <v>2000.0</v>
      </c>
      <c r="J10" s="607" t="s">
        <v>8897</v>
      </c>
      <c r="K10" s="612"/>
      <c r="L10" s="612">
        <v>1600.0</v>
      </c>
      <c r="M10" s="612">
        <f t="shared" si="3"/>
        <v>3200</v>
      </c>
      <c r="N10" s="625">
        <f t="shared" si="4"/>
        <v>1600</v>
      </c>
      <c r="O10" s="388"/>
      <c r="P10" s="618" t="s">
        <v>8902</v>
      </c>
      <c r="Q10" s="388"/>
      <c r="R10" s="388"/>
      <c r="S10" s="388"/>
      <c r="T10" s="388"/>
      <c r="U10" s="388"/>
      <c r="V10" s="388"/>
      <c r="W10" s="388"/>
      <c r="X10" s="388"/>
      <c r="Y10" s="388"/>
      <c r="Z10" s="388"/>
      <c r="AA10" s="388"/>
      <c r="AB10" s="388"/>
      <c r="AC10" s="388"/>
    </row>
    <row r="11">
      <c r="A11" s="388" t="s">
        <v>671</v>
      </c>
      <c r="B11" s="388" t="s">
        <v>676</v>
      </c>
      <c r="C11" s="388" t="s">
        <v>8934</v>
      </c>
      <c r="D11" s="607">
        <v>4500.0</v>
      </c>
      <c r="E11" s="610">
        <f t="shared" si="1"/>
        <v>4495</v>
      </c>
      <c r="F11" s="611">
        <f t="shared" si="2"/>
        <v>4995</v>
      </c>
      <c r="G11" s="607">
        <v>0.0</v>
      </c>
      <c r="H11" s="613">
        <v>2000.0</v>
      </c>
      <c r="I11" s="612">
        <v>2000.0</v>
      </c>
      <c r="J11" s="607" t="s">
        <v>8897</v>
      </c>
      <c r="K11" s="612"/>
      <c r="L11" s="612">
        <v>3000.0</v>
      </c>
      <c r="M11" s="612">
        <f t="shared" si="3"/>
        <v>3600</v>
      </c>
      <c r="N11" s="617">
        <f t="shared" si="4"/>
        <v>600</v>
      </c>
      <c r="O11" s="388"/>
      <c r="P11" s="618" t="s">
        <v>8902</v>
      </c>
      <c r="Q11" s="388"/>
      <c r="R11" s="388"/>
      <c r="S11" s="388"/>
      <c r="T11" s="388"/>
      <c r="U11" s="388"/>
      <c r="V11" s="388"/>
      <c r="W11" s="388"/>
      <c r="X11" s="388"/>
      <c r="Y11" s="388"/>
      <c r="Z11" s="388"/>
      <c r="AA11" s="388"/>
      <c r="AB11" s="388"/>
      <c r="AC11" s="388"/>
    </row>
    <row r="12">
      <c r="A12" s="388" t="s">
        <v>683</v>
      </c>
      <c r="B12" s="388" t="s">
        <v>688</v>
      </c>
      <c r="C12" s="388" t="s">
        <v>8940</v>
      </c>
      <c r="D12" s="607">
        <v>4000.0</v>
      </c>
      <c r="E12" s="610">
        <f t="shared" si="1"/>
        <v>3995</v>
      </c>
      <c r="F12" s="611">
        <f t="shared" si="2"/>
        <v>4495</v>
      </c>
      <c r="G12" s="607">
        <v>0.0</v>
      </c>
      <c r="H12" s="613">
        <v>2000.0</v>
      </c>
      <c r="I12" s="612">
        <v>2000.0</v>
      </c>
      <c r="J12" s="607" t="s">
        <v>8897</v>
      </c>
      <c r="K12" s="612"/>
      <c r="L12" s="612">
        <v>1600.0</v>
      </c>
      <c r="M12" s="612">
        <f t="shared" si="3"/>
        <v>3200</v>
      </c>
      <c r="N12" s="625">
        <f t="shared" si="4"/>
        <v>1600</v>
      </c>
      <c r="O12" s="388"/>
      <c r="P12" s="618" t="s">
        <v>8902</v>
      </c>
      <c r="Q12" s="388"/>
      <c r="R12" s="388"/>
      <c r="S12" s="388"/>
      <c r="T12" s="388"/>
      <c r="U12" s="388"/>
      <c r="V12" s="388"/>
      <c r="W12" s="388"/>
      <c r="X12" s="388"/>
      <c r="Y12" s="388"/>
      <c r="Z12" s="388"/>
      <c r="AA12" s="388"/>
      <c r="AB12" s="388"/>
      <c r="AC12" s="388"/>
    </row>
    <row r="13">
      <c r="A13" s="388" t="s">
        <v>711</v>
      </c>
      <c r="B13" s="388" t="s">
        <v>717</v>
      </c>
      <c r="C13" s="388" t="s">
        <v>8955</v>
      </c>
      <c r="D13" s="607">
        <v>4000.0</v>
      </c>
      <c r="E13" s="610">
        <f t="shared" si="1"/>
        <v>3995</v>
      </c>
      <c r="F13" s="611">
        <f t="shared" si="2"/>
        <v>4495</v>
      </c>
      <c r="G13" s="612">
        <v>300.0</v>
      </c>
      <c r="H13" s="613">
        <v>2000.0</v>
      </c>
      <c r="I13" s="612">
        <v>2000.0</v>
      </c>
      <c r="J13" s="607" t="s">
        <v>8897</v>
      </c>
      <c r="K13" s="612"/>
      <c r="L13" s="612">
        <v>1850.0</v>
      </c>
      <c r="M13" s="612">
        <f t="shared" si="3"/>
        <v>3200</v>
      </c>
      <c r="N13" s="619">
        <f t="shared" si="4"/>
        <v>1350</v>
      </c>
      <c r="O13" s="388"/>
      <c r="P13" s="618" t="s">
        <v>8902</v>
      </c>
      <c r="Q13" s="388"/>
      <c r="R13" s="388"/>
      <c r="S13" s="388"/>
      <c r="T13" s="388"/>
      <c r="U13" s="388"/>
      <c r="V13" s="388"/>
      <c r="W13" s="388"/>
      <c r="X13" s="388"/>
      <c r="Y13" s="388"/>
      <c r="Z13" s="388"/>
      <c r="AA13" s="388"/>
      <c r="AB13" s="388"/>
      <c r="AC13" s="388"/>
    </row>
    <row r="14">
      <c r="A14" s="388" t="s">
        <v>8959</v>
      </c>
      <c r="B14" s="388" t="s">
        <v>376</v>
      </c>
      <c r="C14" s="388" t="s">
        <v>8960</v>
      </c>
      <c r="D14" s="607">
        <v>4000.0</v>
      </c>
      <c r="E14" s="610">
        <f t="shared" si="1"/>
        <v>3995</v>
      </c>
      <c r="F14" s="611">
        <f t="shared" si="2"/>
        <v>4495</v>
      </c>
      <c r="G14" s="607">
        <v>0.0</v>
      </c>
      <c r="H14" s="613">
        <v>2000.0</v>
      </c>
      <c r="I14" s="612">
        <v>2000.0</v>
      </c>
      <c r="J14" s="607" t="s">
        <v>8897</v>
      </c>
      <c r="K14" s="612"/>
      <c r="L14" s="612">
        <v>2240.0</v>
      </c>
      <c r="M14" s="612">
        <f t="shared" si="3"/>
        <v>3200</v>
      </c>
      <c r="N14" s="620">
        <f t="shared" si="4"/>
        <v>960</v>
      </c>
      <c r="O14" s="388"/>
      <c r="P14" s="618" t="s">
        <v>8902</v>
      </c>
      <c r="Q14" s="388"/>
      <c r="R14" s="388"/>
      <c r="S14" s="388"/>
      <c r="T14" s="388"/>
      <c r="U14" s="388"/>
      <c r="V14" s="388"/>
      <c r="W14" s="388"/>
      <c r="X14" s="388"/>
      <c r="Y14" s="388"/>
      <c r="Z14" s="388"/>
      <c r="AA14" s="388"/>
      <c r="AB14" s="388"/>
      <c r="AC14" s="388"/>
    </row>
    <row r="15">
      <c r="A15" s="388" t="s">
        <v>782</v>
      </c>
      <c r="B15" s="388" t="s">
        <v>788</v>
      </c>
      <c r="C15" s="388" t="s">
        <v>8966</v>
      </c>
      <c r="D15" s="607">
        <v>4500.0</v>
      </c>
      <c r="E15" s="610">
        <f t="shared" si="1"/>
        <v>4495</v>
      </c>
      <c r="F15" s="611">
        <f t="shared" si="2"/>
        <v>4995</v>
      </c>
      <c r="G15" s="607">
        <v>0.0</v>
      </c>
      <c r="H15" s="613">
        <v>2000.0</v>
      </c>
      <c r="I15" s="612">
        <v>2000.0</v>
      </c>
      <c r="J15" s="607" t="s">
        <v>8897</v>
      </c>
      <c r="K15" s="612"/>
      <c r="L15" s="612">
        <v>3000.0</v>
      </c>
      <c r="M15" s="612">
        <f t="shared" si="3"/>
        <v>3600</v>
      </c>
      <c r="N15" s="617">
        <f t="shared" si="4"/>
        <v>600</v>
      </c>
      <c r="O15" s="388"/>
      <c r="P15" s="618" t="s">
        <v>8902</v>
      </c>
      <c r="Q15" s="388"/>
      <c r="R15" s="388"/>
      <c r="S15" s="388"/>
      <c r="T15" s="388"/>
      <c r="U15" s="388"/>
      <c r="V15" s="388"/>
      <c r="W15" s="388"/>
      <c r="X15" s="388"/>
      <c r="Y15" s="388"/>
      <c r="Z15" s="388"/>
      <c r="AA15" s="388"/>
      <c r="AB15" s="388"/>
      <c r="AC15" s="388"/>
    </row>
    <row r="16">
      <c r="A16" s="388" t="s">
        <v>2128</v>
      </c>
      <c r="B16" s="388" t="s">
        <v>698</v>
      </c>
      <c r="C16" s="388" t="s">
        <v>8970</v>
      </c>
      <c r="D16" s="607">
        <v>4000.0</v>
      </c>
      <c r="E16" s="610">
        <f t="shared" si="1"/>
        <v>3995</v>
      </c>
      <c r="F16" s="611">
        <f t="shared" si="2"/>
        <v>4495</v>
      </c>
      <c r="G16" s="607">
        <v>0.0</v>
      </c>
      <c r="H16" s="613">
        <v>2000.0</v>
      </c>
      <c r="I16" s="612">
        <v>2000.0</v>
      </c>
      <c r="J16" s="607" t="s">
        <v>8897</v>
      </c>
      <c r="K16" s="612"/>
      <c r="L16" s="612">
        <v>2200.0</v>
      </c>
      <c r="M16" s="612">
        <f t="shared" si="3"/>
        <v>3200</v>
      </c>
      <c r="N16" s="617">
        <f t="shared" si="4"/>
        <v>1000</v>
      </c>
      <c r="O16" s="388"/>
      <c r="P16" s="618" t="s">
        <v>8902</v>
      </c>
      <c r="Q16" s="388"/>
      <c r="R16" s="388"/>
      <c r="S16" s="388"/>
      <c r="T16" s="388"/>
      <c r="U16" s="388"/>
      <c r="V16" s="388"/>
      <c r="W16" s="388"/>
      <c r="X16" s="388"/>
      <c r="Y16" s="388"/>
      <c r="Z16" s="388"/>
      <c r="AA16" s="388"/>
      <c r="AB16" s="388"/>
      <c r="AC16" s="388"/>
    </row>
    <row r="17">
      <c r="A17" s="388" t="s">
        <v>842</v>
      </c>
      <c r="B17" s="388" t="s">
        <v>637</v>
      </c>
      <c r="C17" s="388" t="s">
        <v>8971</v>
      </c>
      <c r="D17" s="612">
        <v>4000.0</v>
      </c>
      <c r="E17" s="610">
        <f t="shared" si="1"/>
        <v>3995</v>
      </c>
      <c r="F17" s="611">
        <f t="shared" si="2"/>
        <v>4495</v>
      </c>
      <c r="G17" s="607">
        <v>0.0</v>
      </c>
      <c r="H17" s="613">
        <v>2000.0</v>
      </c>
      <c r="I17" s="612">
        <v>2000.0</v>
      </c>
      <c r="J17" s="607" t="s">
        <v>8897</v>
      </c>
      <c r="K17" s="612"/>
      <c r="L17" s="612">
        <v>2200.0</v>
      </c>
      <c r="M17" s="612">
        <f t="shared" si="3"/>
        <v>3200</v>
      </c>
      <c r="N17" s="617">
        <f t="shared" si="4"/>
        <v>1000</v>
      </c>
      <c r="O17" s="388"/>
      <c r="P17" s="618" t="s">
        <v>8902</v>
      </c>
      <c r="Q17" s="388"/>
      <c r="R17" s="388"/>
      <c r="S17" s="388"/>
      <c r="T17" s="388"/>
      <c r="U17" s="388"/>
      <c r="V17" s="388"/>
      <c r="W17" s="388"/>
      <c r="X17" s="388"/>
      <c r="Y17" s="388"/>
      <c r="Z17" s="388"/>
      <c r="AA17" s="388"/>
      <c r="AB17" s="388"/>
      <c r="AC17" s="388"/>
    </row>
    <row r="18">
      <c r="A18" s="388" t="s">
        <v>971</v>
      </c>
      <c r="B18" s="388" t="s">
        <v>8972</v>
      </c>
      <c r="C18" s="388" t="s">
        <v>8973</v>
      </c>
      <c r="D18" s="612">
        <v>4400.0</v>
      </c>
      <c r="E18" s="610">
        <f t="shared" si="1"/>
        <v>4395</v>
      </c>
      <c r="F18" s="611">
        <f t="shared" si="2"/>
        <v>4895</v>
      </c>
      <c r="G18" s="612">
        <v>300.0</v>
      </c>
      <c r="H18" s="613">
        <v>2000.0</v>
      </c>
      <c r="I18" s="612">
        <v>2000.0</v>
      </c>
      <c r="J18" s="607" t="s">
        <v>8897</v>
      </c>
      <c r="K18" s="612"/>
      <c r="L18" s="612">
        <v>2500.0</v>
      </c>
      <c r="M18" s="612">
        <f t="shared" si="3"/>
        <v>3520</v>
      </c>
      <c r="N18" s="637">
        <f t="shared" si="4"/>
        <v>1020</v>
      </c>
      <c r="O18" s="388"/>
      <c r="P18" s="618" t="s">
        <v>8902</v>
      </c>
      <c r="Q18" s="388"/>
      <c r="R18" s="388"/>
      <c r="S18" s="388"/>
      <c r="T18" s="388"/>
      <c r="U18" s="388"/>
      <c r="V18" s="388"/>
      <c r="W18" s="388"/>
      <c r="X18" s="388"/>
      <c r="Y18" s="388"/>
      <c r="Z18" s="388"/>
      <c r="AA18" s="388"/>
      <c r="AB18" s="388"/>
      <c r="AC18" s="388"/>
    </row>
    <row r="19">
      <c r="A19" s="388" t="s">
        <v>990</v>
      </c>
      <c r="B19" s="388" t="s">
        <v>622</v>
      </c>
      <c r="C19" s="388" t="s">
        <v>8974</v>
      </c>
      <c r="D19" s="607">
        <v>4000.0</v>
      </c>
      <c r="E19" s="610">
        <f t="shared" si="1"/>
        <v>3995</v>
      </c>
      <c r="F19" s="611">
        <f t="shared" si="2"/>
        <v>4495</v>
      </c>
      <c r="G19" s="612">
        <v>300.0</v>
      </c>
      <c r="H19" s="613">
        <v>2000.0</v>
      </c>
      <c r="I19" s="612">
        <v>2000.0</v>
      </c>
      <c r="J19" s="607" t="s">
        <v>8897</v>
      </c>
      <c r="K19" s="612"/>
      <c r="L19" s="612">
        <v>2000.0</v>
      </c>
      <c r="M19" s="612">
        <f t="shared" si="3"/>
        <v>3200</v>
      </c>
      <c r="N19" s="620">
        <f t="shared" si="4"/>
        <v>1200</v>
      </c>
      <c r="O19" s="388"/>
      <c r="P19" s="618" t="s">
        <v>8902</v>
      </c>
      <c r="Q19" s="388"/>
      <c r="R19" s="388"/>
      <c r="S19" s="388"/>
      <c r="T19" s="388"/>
      <c r="U19" s="388"/>
      <c r="V19" s="388"/>
      <c r="W19" s="388"/>
      <c r="X19" s="388"/>
      <c r="Y19" s="388"/>
      <c r="Z19" s="388"/>
      <c r="AA19" s="388"/>
      <c r="AB19" s="388"/>
      <c r="AC19" s="388"/>
    </row>
    <row r="20">
      <c r="A20" s="388" t="s">
        <v>1018</v>
      </c>
      <c r="B20" s="388" t="s">
        <v>1029</v>
      </c>
      <c r="C20" s="388" t="s">
        <v>8975</v>
      </c>
      <c r="D20" s="607">
        <v>4000.0</v>
      </c>
      <c r="E20" s="610">
        <f t="shared" si="1"/>
        <v>3995</v>
      </c>
      <c r="F20" s="611">
        <f t="shared" si="2"/>
        <v>4495</v>
      </c>
      <c r="G20" s="612">
        <v>300.0</v>
      </c>
      <c r="H20" s="613">
        <v>2000.0</v>
      </c>
      <c r="I20" s="612">
        <v>2000.0</v>
      </c>
      <c r="J20" s="607" t="s">
        <v>8897</v>
      </c>
      <c r="K20" s="612"/>
      <c r="L20" s="612">
        <v>1800.0</v>
      </c>
      <c r="M20" s="612">
        <f t="shared" si="3"/>
        <v>3200</v>
      </c>
      <c r="N20" s="617">
        <f t="shared" si="4"/>
        <v>1400</v>
      </c>
      <c r="O20" s="388"/>
      <c r="P20" s="618" t="s">
        <v>8902</v>
      </c>
      <c r="Q20" s="388"/>
      <c r="R20" s="388"/>
      <c r="S20" s="388"/>
      <c r="T20" s="388"/>
      <c r="U20" s="388"/>
      <c r="V20" s="388"/>
      <c r="W20" s="388"/>
      <c r="X20" s="388"/>
      <c r="Y20" s="388"/>
      <c r="Z20" s="388"/>
      <c r="AA20" s="388"/>
      <c r="AB20" s="388"/>
      <c r="AC20" s="388"/>
    </row>
    <row r="21">
      <c r="A21" s="388" t="s">
        <v>1055</v>
      </c>
      <c r="B21" s="388" t="s">
        <v>8976</v>
      </c>
      <c r="C21" s="388" t="s">
        <v>8977</v>
      </c>
      <c r="D21" s="607">
        <v>4000.0</v>
      </c>
      <c r="E21" s="610">
        <f t="shared" si="1"/>
        <v>3995</v>
      </c>
      <c r="F21" s="611">
        <f t="shared" si="2"/>
        <v>4495</v>
      </c>
      <c r="G21" s="612">
        <v>300.0</v>
      </c>
      <c r="H21" s="613">
        <v>2000.0</v>
      </c>
      <c r="I21" s="612">
        <v>2000.0</v>
      </c>
      <c r="J21" s="607" t="s">
        <v>8897</v>
      </c>
      <c r="K21" s="612"/>
      <c r="L21" s="612">
        <v>1600.0</v>
      </c>
      <c r="M21" s="612">
        <f t="shared" si="3"/>
        <v>3200</v>
      </c>
      <c r="N21" s="625">
        <f t="shared" si="4"/>
        <v>1600</v>
      </c>
      <c r="O21" s="388"/>
      <c r="P21" s="618" t="s">
        <v>8902</v>
      </c>
      <c r="Q21" s="388"/>
      <c r="R21" s="388"/>
      <c r="S21" s="388"/>
      <c r="T21" s="388"/>
      <c r="U21" s="388"/>
      <c r="V21" s="388"/>
      <c r="W21" s="388"/>
      <c r="X21" s="388"/>
      <c r="Y21" s="388"/>
      <c r="Z21" s="388"/>
      <c r="AA21" s="388"/>
      <c r="AB21" s="388"/>
      <c r="AC21" s="388"/>
    </row>
    <row r="22">
      <c r="A22" s="618" t="s">
        <v>8979</v>
      </c>
      <c r="B22" s="618" t="s">
        <v>8980</v>
      </c>
      <c r="C22" s="388" t="s">
        <v>8981</v>
      </c>
      <c r="D22" s="607">
        <v>4800.0</v>
      </c>
      <c r="E22" s="610">
        <f t="shared" si="1"/>
        <v>4795</v>
      </c>
      <c r="F22" s="611">
        <f t="shared" si="2"/>
        <v>5295</v>
      </c>
      <c r="G22" s="612">
        <v>300.0</v>
      </c>
      <c r="H22" s="613">
        <v>2000.0</v>
      </c>
      <c r="I22" s="612">
        <v>2000.0</v>
      </c>
      <c r="J22" s="607" t="s">
        <v>8897</v>
      </c>
      <c r="K22" s="612"/>
      <c r="L22" s="607">
        <v>3000.0</v>
      </c>
      <c r="M22" s="612">
        <f t="shared" si="3"/>
        <v>3840</v>
      </c>
      <c r="N22" s="617">
        <f t="shared" si="4"/>
        <v>840</v>
      </c>
      <c r="O22" s="388"/>
      <c r="P22" s="618" t="s">
        <v>8902</v>
      </c>
      <c r="Q22" s="388"/>
      <c r="R22" s="388"/>
      <c r="S22" s="388"/>
      <c r="T22" s="388"/>
      <c r="U22" s="388"/>
      <c r="V22" s="388"/>
      <c r="W22" s="388"/>
      <c r="X22" s="388"/>
      <c r="Y22" s="388"/>
      <c r="Z22" s="388"/>
      <c r="AA22" s="388"/>
      <c r="AB22" s="388"/>
      <c r="AC22" s="388"/>
    </row>
    <row r="23">
      <c r="A23" s="388" t="s">
        <v>1102</v>
      </c>
      <c r="B23" s="388" t="s">
        <v>8982</v>
      </c>
      <c r="C23" s="388" t="s">
        <v>8983</v>
      </c>
      <c r="D23" s="607">
        <v>4000.0</v>
      </c>
      <c r="E23" s="610">
        <f t="shared" si="1"/>
        <v>3995</v>
      </c>
      <c r="F23" s="611">
        <f t="shared" si="2"/>
        <v>4495</v>
      </c>
      <c r="G23" s="612">
        <v>300.0</v>
      </c>
      <c r="H23" s="613">
        <v>2000.0</v>
      </c>
      <c r="I23" s="612">
        <v>2000.0</v>
      </c>
      <c r="J23" s="607" t="s">
        <v>8897</v>
      </c>
      <c r="K23" s="612"/>
      <c r="L23" s="612">
        <v>1800.0</v>
      </c>
      <c r="M23" s="612">
        <f t="shared" si="3"/>
        <v>3200</v>
      </c>
      <c r="N23" s="617">
        <f t="shared" si="4"/>
        <v>1400</v>
      </c>
      <c r="O23" s="388"/>
      <c r="P23" s="618" t="s">
        <v>8902</v>
      </c>
      <c r="Q23" s="388"/>
      <c r="R23" s="388"/>
      <c r="S23" s="388"/>
      <c r="T23" s="388"/>
      <c r="U23" s="388"/>
      <c r="V23" s="388"/>
      <c r="W23" s="388"/>
      <c r="X23" s="388"/>
      <c r="Y23" s="388"/>
      <c r="Z23" s="388"/>
      <c r="AA23" s="388"/>
      <c r="AB23" s="388"/>
      <c r="AC23" s="388"/>
    </row>
    <row r="24">
      <c r="A24" s="388" t="s">
        <v>1119</v>
      </c>
      <c r="B24" s="388" t="s">
        <v>2217</v>
      </c>
      <c r="C24" s="388" t="s">
        <v>8985</v>
      </c>
      <c r="D24" s="607">
        <v>4000.0</v>
      </c>
      <c r="E24" s="610">
        <f t="shared" si="1"/>
        <v>3995</v>
      </c>
      <c r="F24" s="611">
        <f t="shared" si="2"/>
        <v>4495</v>
      </c>
      <c r="G24" s="607">
        <v>0.0</v>
      </c>
      <c r="H24" s="613">
        <v>2000.0</v>
      </c>
      <c r="I24" s="612">
        <v>2000.0</v>
      </c>
      <c r="J24" s="607" t="s">
        <v>8897</v>
      </c>
      <c r="K24" s="612"/>
      <c r="L24" s="612">
        <v>1800.0</v>
      </c>
      <c r="M24" s="612">
        <f t="shared" si="3"/>
        <v>3200</v>
      </c>
      <c r="N24" s="617">
        <f t="shared" si="4"/>
        <v>1400</v>
      </c>
      <c r="O24" s="388"/>
      <c r="P24" s="618" t="s">
        <v>8902</v>
      </c>
      <c r="Q24" s="388"/>
      <c r="R24" s="388"/>
      <c r="S24" s="388"/>
      <c r="T24" s="388"/>
      <c r="U24" s="388"/>
      <c r="V24" s="388"/>
      <c r="W24" s="388"/>
      <c r="X24" s="388"/>
      <c r="Y24" s="388"/>
      <c r="Z24" s="388"/>
      <c r="AA24" s="388"/>
      <c r="AB24" s="388"/>
      <c r="AC24" s="388"/>
    </row>
    <row r="25">
      <c r="A25" s="388" t="s">
        <v>1137</v>
      </c>
      <c r="B25" s="388" t="s">
        <v>8987</v>
      </c>
      <c r="C25" s="388" t="s">
        <v>8988</v>
      </c>
      <c r="D25" s="607">
        <v>4000.0</v>
      </c>
      <c r="E25" s="610">
        <f t="shared" si="1"/>
        <v>3995</v>
      </c>
      <c r="F25" s="611">
        <f t="shared" si="2"/>
        <v>4495</v>
      </c>
      <c r="G25" s="612">
        <v>300.0</v>
      </c>
      <c r="H25" s="613">
        <v>2000.0</v>
      </c>
      <c r="I25" s="612">
        <v>2000.0</v>
      </c>
      <c r="J25" s="607" t="s">
        <v>8897</v>
      </c>
      <c r="K25" s="612"/>
      <c r="L25" s="612">
        <v>2500.0</v>
      </c>
      <c r="M25" s="612">
        <f t="shared" si="3"/>
        <v>3200</v>
      </c>
      <c r="N25" s="637">
        <f t="shared" si="4"/>
        <v>700</v>
      </c>
      <c r="O25" s="388"/>
      <c r="P25" s="618" t="s">
        <v>8902</v>
      </c>
      <c r="Q25" s="388"/>
      <c r="R25" s="388"/>
      <c r="S25" s="388"/>
      <c r="T25" s="388"/>
      <c r="U25" s="388"/>
      <c r="V25" s="388"/>
      <c r="W25" s="388"/>
      <c r="X25" s="388"/>
      <c r="Y25" s="388"/>
      <c r="Z25" s="388"/>
      <c r="AA25" s="388"/>
      <c r="AB25" s="388"/>
      <c r="AC25" s="388"/>
    </row>
    <row r="26">
      <c r="A26" s="388" t="s">
        <v>8991</v>
      </c>
      <c r="B26" s="388" t="s">
        <v>717</v>
      </c>
      <c r="C26" s="388" t="s">
        <v>8992</v>
      </c>
      <c r="D26" s="612">
        <v>5000.0</v>
      </c>
      <c r="E26" s="610">
        <f t="shared" si="1"/>
        <v>4995</v>
      </c>
      <c r="F26" s="611">
        <f t="shared" si="2"/>
        <v>5495</v>
      </c>
      <c r="G26" s="607">
        <v>0.0</v>
      </c>
      <c r="H26" s="613">
        <v>2000.0</v>
      </c>
      <c r="I26" s="612">
        <v>2000.0</v>
      </c>
      <c r="J26" s="607" t="s">
        <v>8897</v>
      </c>
      <c r="K26" s="612"/>
      <c r="L26" s="612">
        <v>3000.0</v>
      </c>
      <c r="M26" s="612">
        <f t="shared" si="3"/>
        <v>4000</v>
      </c>
      <c r="N26" s="617">
        <f t="shared" si="4"/>
        <v>1000</v>
      </c>
      <c r="O26" s="388"/>
      <c r="P26" s="618" t="s">
        <v>8902</v>
      </c>
      <c r="Q26" s="388"/>
      <c r="R26" s="388"/>
      <c r="S26" s="388"/>
      <c r="T26" s="388"/>
      <c r="U26" s="388"/>
      <c r="V26" s="388"/>
      <c r="W26" s="388"/>
      <c r="X26" s="388"/>
      <c r="Y26" s="388"/>
      <c r="Z26" s="388"/>
      <c r="AA26" s="388"/>
      <c r="AB26" s="388"/>
      <c r="AC26" s="388"/>
    </row>
    <row r="27">
      <c r="A27" s="388" t="s">
        <v>8993</v>
      </c>
      <c r="B27" s="388" t="s">
        <v>314</v>
      </c>
      <c r="C27" s="388" t="s">
        <v>8994</v>
      </c>
      <c r="D27" s="607">
        <v>4000.0</v>
      </c>
      <c r="E27" s="610">
        <f t="shared" si="1"/>
        <v>3995</v>
      </c>
      <c r="F27" s="611">
        <f t="shared" si="2"/>
        <v>4495</v>
      </c>
      <c r="G27" s="607">
        <v>0.0</v>
      </c>
      <c r="H27" s="613">
        <v>2000.0</v>
      </c>
      <c r="I27" s="612">
        <v>2000.0</v>
      </c>
      <c r="J27" s="607" t="s">
        <v>8897</v>
      </c>
      <c r="K27" s="612"/>
      <c r="L27" s="612">
        <v>2000.0</v>
      </c>
      <c r="M27" s="612">
        <f t="shared" si="3"/>
        <v>3200</v>
      </c>
      <c r="N27" s="620">
        <f t="shared" si="4"/>
        <v>1200</v>
      </c>
      <c r="O27" s="388"/>
      <c r="P27" s="618" t="s">
        <v>8902</v>
      </c>
      <c r="Q27" s="388"/>
      <c r="R27" s="388"/>
      <c r="S27" s="388"/>
      <c r="T27" s="388"/>
      <c r="U27" s="388"/>
      <c r="V27" s="388"/>
      <c r="W27" s="388"/>
      <c r="X27" s="388"/>
      <c r="Y27" s="388"/>
      <c r="Z27" s="388"/>
      <c r="AA27" s="388"/>
      <c r="AB27" s="388"/>
      <c r="AC27" s="388"/>
    </row>
    <row r="28">
      <c r="A28" s="388" t="s">
        <v>8995</v>
      </c>
      <c r="B28" s="388" t="s">
        <v>2434</v>
      </c>
      <c r="C28" s="388" t="s">
        <v>8911</v>
      </c>
      <c r="D28" s="607">
        <v>4000.0</v>
      </c>
      <c r="E28" s="610">
        <f t="shared" si="1"/>
        <v>3995</v>
      </c>
      <c r="F28" s="611">
        <f t="shared" si="2"/>
        <v>4495</v>
      </c>
      <c r="G28" s="607">
        <v>0.0</v>
      </c>
      <c r="H28" s="613">
        <v>2000.0</v>
      </c>
      <c r="I28" s="612">
        <v>2000.0</v>
      </c>
      <c r="J28" s="607" t="s">
        <v>8897</v>
      </c>
      <c r="K28" s="612"/>
      <c r="L28" s="612">
        <v>3000.0</v>
      </c>
      <c r="M28" s="612">
        <f t="shared" si="3"/>
        <v>3200</v>
      </c>
      <c r="N28" s="617">
        <f t="shared" si="4"/>
        <v>200</v>
      </c>
      <c r="O28" s="388"/>
      <c r="P28" s="618" t="s">
        <v>8902</v>
      </c>
      <c r="Q28" s="388"/>
      <c r="R28" s="388"/>
      <c r="S28" s="388"/>
      <c r="T28" s="388"/>
      <c r="U28" s="388"/>
      <c r="V28" s="388"/>
      <c r="W28" s="388"/>
      <c r="X28" s="388"/>
      <c r="Y28" s="388"/>
      <c r="Z28" s="388"/>
      <c r="AA28" s="388"/>
      <c r="AB28" s="388"/>
      <c r="AC28" s="388"/>
    </row>
    <row r="29">
      <c r="A29" s="618" t="s">
        <v>8997</v>
      </c>
      <c r="B29" s="618" t="s">
        <v>581</v>
      </c>
      <c r="C29" s="618" t="s">
        <v>8998</v>
      </c>
      <c r="D29" s="641">
        <v>4200.0</v>
      </c>
      <c r="E29" s="610">
        <f t="shared" si="1"/>
        <v>4195</v>
      </c>
      <c r="F29" s="611">
        <f t="shared" si="2"/>
        <v>4695</v>
      </c>
      <c r="G29" s="607">
        <v>0.0</v>
      </c>
      <c r="H29" s="613">
        <v>2000.0</v>
      </c>
      <c r="I29" s="612">
        <v>2000.0</v>
      </c>
      <c r="J29" s="607" t="s">
        <v>8897</v>
      </c>
      <c r="K29" s="642"/>
      <c r="L29" s="641">
        <v>2500.0</v>
      </c>
      <c r="M29" s="612">
        <f t="shared" si="3"/>
        <v>3360</v>
      </c>
      <c r="N29" s="617">
        <f t="shared" si="4"/>
        <v>860</v>
      </c>
      <c r="O29" s="388"/>
      <c r="P29" s="618" t="s">
        <v>8902</v>
      </c>
      <c r="Q29" s="388"/>
      <c r="R29" s="388"/>
      <c r="S29" s="388"/>
      <c r="T29" s="388"/>
      <c r="U29" s="388"/>
      <c r="V29" s="388"/>
      <c r="W29" s="388"/>
      <c r="X29" s="388"/>
      <c r="Y29" s="388"/>
      <c r="Z29" s="388"/>
      <c r="AA29" s="388"/>
      <c r="AB29" s="388"/>
      <c r="AC29" s="388"/>
    </row>
    <row r="30">
      <c r="A30" s="7" t="s">
        <v>1490</v>
      </c>
      <c r="B30" s="618" t="s">
        <v>1496</v>
      </c>
      <c r="C30" s="618" t="s">
        <v>8999</v>
      </c>
      <c r="D30" s="641">
        <v>4200.0</v>
      </c>
      <c r="E30" s="610">
        <f t="shared" si="1"/>
        <v>4195</v>
      </c>
      <c r="F30" s="611">
        <f t="shared" si="2"/>
        <v>4695</v>
      </c>
      <c r="G30" s="607">
        <v>0.0</v>
      </c>
      <c r="H30" s="613">
        <v>2000.0</v>
      </c>
      <c r="I30" s="612">
        <v>2000.0</v>
      </c>
      <c r="J30" s="607" t="s">
        <v>8897</v>
      </c>
      <c r="K30" s="642"/>
      <c r="L30" s="641">
        <v>2500.0</v>
      </c>
      <c r="M30" s="612">
        <f t="shared" si="3"/>
        <v>3360</v>
      </c>
      <c r="N30" s="617">
        <f t="shared" si="4"/>
        <v>860</v>
      </c>
      <c r="O30" s="388"/>
      <c r="P30" s="618" t="s">
        <v>8902</v>
      </c>
      <c r="Q30" s="388"/>
      <c r="R30" s="388"/>
      <c r="S30" s="388"/>
      <c r="T30" s="388"/>
      <c r="U30" s="388"/>
      <c r="V30" s="388"/>
      <c r="W30" s="388"/>
      <c r="X30" s="388"/>
      <c r="Y30" s="388"/>
      <c r="Z30" s="388"/>
      <c r="AA30" s="388"/>
      <c r="AB30" s="388"/>
      <c r="AC30" s="388"/>
    </row>
    <row r="31">
      <c r="A31" s="618" t="s">
        <v>9000</v>
      </c>
      <c r="B31" s="618" t="s">
        <v>728</v>
      </c>
      <c r="C31" s="618" t="s">
        <v>9001</v>
      </c>
      <c r="D31" s="641">
        <v>4200.0</v>
      </c>
      <c r="E31" s="610">
        <f t="shared" si="1"/>
        <v>4195</v>
      </c>
      <c r="F31" s="611">
        <f t="shared" si="2"/>
        <v>4695</v>
      </c>
      <c r="G31" s="607">
        <v>0.0</v>
      </c>
      <c r="H31" s="613">
        <v>2000.0</v>
      </c>
      <c r="I31" s="612">
        <v>2000.0</v>
      </c>
      <c r="J31" s="607" t="s">
        <v>8897</v>
      </c>
      <c r="K31" s="642"/>
      <c r="L31" s="641">
        <v>3500.0</v>
      </c>
      <c r="M31" s="612">
        <f t="shared" si="3"/>
        <v>3360</v>
      </c>
      <c r="N31" s="617">
        <f t="shared" si="4"/>
        <v>-140</v>
      </c>
      <c r="O31" s="388"/>
      <c r="P31" s="388"/>
      <c r="Q31" s="388"/>
      <c r="R31" s="388"/>
      <c r="S31" s="388"/>
      <c r="T31" s="388"/>
      <c r="U31" s="388"/>
      <c r="V31" s="388"/>
      <c r="W31" s="388"/>
      <c r="X31" s="388"/>
      <c r="Y31" s="388"/>
      <c r="Z31" s="388"/>
      <c r="AA31" s="388"/>
      <c r="AB31" s="388"/>
      <c r="AC31" s="388"/>
    </row>
    <row r="32">
      <c r="A32" s="618" t="s">
        <v>1523</v>
      </c>
      <c r="B32" s="618" t="s">
        <v>1529</v>
      </c>
      <c r="C32" s="618" t="s">
        <v>9002</v>
      </c>
      <c r="D32" s="641">
        <v>5000.0</v>
      </c>
      <c r="E32" s="610">
        <f t="shared" si="1"/>
        <v>4995</v>
      </c>
      <c r="F32" s="611">
        <f t="shared" si="2"/>
        <v>5495</v>
      </c>
      <c r="G32" s="607">
        <v>0.0</v>
      </c>
      <c r="H32" s="613">
        <v>2000.0</v>
      </c>
      <c r="I32" s="612">
        <v>2000.0</v>
      </c>
      <c r="J32" s="607" t="s">
        <v>8897</v>
      </c>
      <c r="K32" s="642"/>
      <c r="L32" s="641">
        <v>3500.0</v>
      </c>
      <c r="M32" s="612">
        <f t="shared" si="3"/>
        <v>4000</v>
      </c>
      <c r="N32" s="617">
        <f t="shared" si="4"/>
        <v>500</v>
      </c>
      <c r="O32" s="388"/>
      <c r="P32" s="388"/>
      <c r="Q32" s="388"/>
      <c r="R32" s="388"/>
      <c r="S32" s="388"/>
      <c r="T32" s="388"/>
      <c r="U32" s="388"/>
      <c r="V32" s="388"/>
      <c r="W32" s="388"/>
      <c r="X32" s="388"/>
      <c r="Y32" s="388"/>
      <c r="Z32" s="388"/>
      <c r="AA32" s="388"/>
      <c r="AB32" s="388"/>
      <c r="AC32" s="388"/>
    </row>
    <row r="33">
      <c r="A33" s="618" t="s">
        <v>1536</v>
      </c>
      <c r="B33" s="618" t="s">
        <v>1544</v>
      </c>
      <c r="C33" s="618" t="s">
        <v>9004</v>
      </c>
      <c r="D33" s="641">
        <v>5000.0</v>
      </c>
      <c r="E33" s="610">
        <f t="shared" si="1"/>
        <v>4995</v>
      </c>
      <c r="F33" s="611">
        <f t="shared" si="2"/>
        <v>5495</v>
      </c>
      <c r="G33" s="607">
        <v>0.0</v>
      </c>
      <c r="H33" s="613">
        <v>2000.0</v>
      </c>
      <c r="I33" s="612">
        <v>2000.0</v>
      </c>
      <c r="J33" s="607" t="s">
        <v>8897</v>
      </c>
      <c r="K33" s="642"/>
      <c r="L33" s="641">
        <v>3500.0</v>
      </c>
      <c r="M33" s="612">
        <f t="shared" si="3"/>
        <v>4000</v>
      </c>
      <c r="N33" s="617">
        <f t="shared" si="4"/>
        <v>500</v>
      </c>
      <c r="O33" s="388"/>
      <c r="P33" s="388"/>
      <c r="Q33" s="388"/>
      <c r="R33" s="388"/>
      <c r="S33" s="388"/>
      <c r="T33" s="388"/>
      <c r="U33" s="388"/>
      <c r="V33" s="388"/>
      <c r="W33" s="388"/>
      <c r="X33" s="388"/>
      <c r="Y33" s="388"/>
      <c r="Z33" s="388"/>
      <c r="AA33" s="388"/>
      <c r="AB33" s="388"/>
      <c r="AC33" s="388"/>
    </row>
    <row r="34">
      <c r="A34" s="618" t="s">
        <v>1548</v>
      </c>
      <c r="B34" s="618" t="s">
        <v>1555</v>
      </c>
      <c r="C34" s="618" t="s">
        <v>9006</v>
      </c>
      <c r="D34" s="641">
        <v>4500.0</v>
      </c>
      <c r="E34" s="610">
        <f t="shared" si="1"/>
        <v>4495</v>
      </c>
      <c r="F34" s="611">
        <f t="shared" si="2"/>
        <v>4995</v>
      </c>
      <c r="G34" s="607">
        <v>0.0</v>
      </c>
      <c r="H34" s="613">
        <v>2000.0</v>
      </c>
      <c r="I34" s="612">
        <v>2000.0</v>
      </c>
      <c r="J34" s="607" t="s">
        <v>8897</v>
      </c>
      <c r="K34" s="642"/>
      <c r="L34" s="641">
        <v>2800.0</v>
      </c>
      <c r="M34" s="612">
        <f t="shared" si="3"/>
        <v>3600</v>
      </c>
      <c r="N34" s="617">
        <f t="shared" si="4"/>
        <v>800</v>
      </c>
      <c r="O34" s="388"/>
      <c r="P34" s="388"/>
      <c r="Q34" s="388"/>
      <c r="R34" s="388"/>
      <c r="S34" s="388"/>
      <c r="T34" s="388"/>
      <c r="U34" s="388"/>
      <c r="V34" s="388"/>
      <c r="W34" s="388"/>
      <c r="X34" s="388"/>
      <c r="Y34" s="388"/>
      <c r="Z34" s="388"/>
      <c r="AA34" s="388"/>
      <c r="AB34" s="388"/>
      <c r="AC34" s="388"/>
    </row>
    <row r="35">
      <c r="A35" s="618" t="s">
        <v>1433</v>
      </c>
      <c r="B35" s="618" t="s">
        <v>64</v>
      </c>
      <c r="C35" s="618" t="s">
        <v>9008</v>
      </c>
      <c r="D35" s="641">
        <v>4000.0</v>
      </c>
      <c r="E35" s="610">
        <f t="shared" si="1"/>
        <v>3995</v>
      </c>
      <c r="F35" s="611">
        <f t="shared" si="2"/>
        <v>4495</v>
      </c>
      <c r="G35" s="607">
        <v>0.0</v>
      </c>
      <c r="H35" s="613">
        <v>2000.0</v>
      </c>
      <c r="I35" s="612">
        <v>2000.0</v>
      </c>
      <c r="J35" s="607" t="s">
        <v>8897</v>
      </c>
      <c r="K35" s="642"/>
      <c r="L35" s="641">
        <v>2500.0</v>
      </c>
      <c r="M35" s="612">
        <f t="shared" si="3"/>
        <v>3200</v>
      </c>
      <c r="N35" s="617">
        <f t="shared" si="4"/>
        <v>700</v>
      </c>
      <c r="O35" s="388"/>
      <c r="P35" s="388"/>
      <c r="Q35" s="388"/>
      <c r="R35" s="388"/>
      <c r="S35" s="388"/>
      <c r="T35" s="388"/>
      <c r="U35" s="388"/>
      <c r="V35" s="388"/>
      <c r="W35" s="388"/>
      <c r="X35" s="388"/>
      <c r="Y35" s="388"/>
      <c r="Z35" s="388"/>
      <c r="AA35" s="388"/>
      <c r="AB35" s="388"/>
      <c r="AC35" s="388"/>
    </row>
    <row r="36">
      <c r="A36" s="618" t="s">
        <v>1421</v>
      </c>
      <c r="B36" s="618" t="s">
        <v>534</v>
      </c>
      <c r="C36" s="618" t="s">
        <v>9009</v>
      </c>
      <c r="D36" s="641">
        <v>4200.0</v>
      </c>
      <c r="E36" s="610">
        <f t="shared" si="1"/>
        <v>4195</v>
      </c>
      <c r="F36" s="611">
        <f t="shared" si="2"/>
        <v>4695</v>
      </c>
      <c r="G36" s="607">
        <v>0.0</v>
      </c>
      <c r="H36" s="613">
        <v>2000.0</v>
      </c>
      <c r="I36" s="612">
        <v>2000.0</v>
      </c>
      <c r="J36" s="607" t="s">
        <v>8897</v>
      </c>
      <c r="K36" s="642"/>
      <c r="L36" s="641">
        <v>3000.0</v>
      </c>
      <c r="M36" s="612">
        <f t="shared" si="3"/>
        <v>3360</v>
      </c>
      <c r="N36" s="617">
        <f t="shared" si="4"/>
        <v>360</v>
      </c>
      <c r="O36" s="388"/>
      <c r="P36" s="388"/>
      <c r="Q36" s="388"/>
      <c r="R36" s="388"/>
      <c r="S36" s="388"/>
      <c r="T36" s="388"/>
      <c r="U36" s="388"/>
      <c r="V36" s="388"/>
      <c r="W36" s="388"/>
      <c r="X36" s="388"/>
      <c r="Y36" s="388"/>
      <c r="Z36" s="388"/>
      <c r="AA36" s="388"/>
      <c r="AB36" s="388"/>
      <c r="AC36" s="388"/>
    </row>
    <row r="37">
      <c r="A37" s="618" t="s">
        <v>9010</v>
      </c>
      <c r="B37" s="618" t="s">
        <v>728</v>
      </c>
      <c r="C37" s="618" t="s">
        <v>9009</v>
      </c>
      <c r="D37" s="641">
        <v>4000.0</v>
      </c>
      <c r="E37" s="610">
        <f t="shared" si="1"/>
        <v>3995</v>
      </c>
      <c r="F37" s="611">
        <f t="shared" si="2"/>
        <v>4495</v>
      </c>
      <c r="G37" s="607">
        <v>0.0</v>
      </c>
      <c r="H37" s="613">
        <v>2000.0</v>
      </c>
      <c r="I37" s="612">
        <v>2000.0</v>
      </c>
      <c r="J37" s="607" t="s">
        <v>8897</v>
      </c>
      <c r="K37" s="642"/>
      <c r="L37" s="641">
        <v>2500.0</v>
      </c>
      <c r="M37" s="612">
        <f t="shared" si="3"/>
        <v>3200</v>
      </c>
      <c r="N37" s="617">
        <f t="shared" si="4"/>
        <v>700</v>
      </c>
      <c r="O37" s="388"/>
      <c r="P37" s="388"/>
      <c r="Q37" s="388"/>
      <c r="R37" s="388"/>
      <c r="S37" s="388"/>
      <c r="T37" s="388"/>
      <c r="U37" s="388"/>
      <c r="V37" s="388"/>
      <c r="W37" s="388"/>
      <c r="X37" s="388"/>
      <c r="Y37" s="388"/>
      <c r="Z37" s="388"/>
      <c r="AA37" s="388"/>
      <c r="AB37" s="388"/>
      <c r="AC37" s="388"/>
    </row>
    <row r="38">
      <c r="A38" s="618" t="s">
        <v>149</v>
      </c>
      <c r="B38" s="618" t="s">
        <v>149</v>
      </c>
      <c r="C38" s="618" t="s">
        <v>9012</v>
      </c>
      <c r="D38" s="641">
        <v>4000.0</v>
      </c>
      <c r="E38" s="610">
        <f t="shared" si="1"/>
        <v>3995</v>
      </c>
      <c r="F38" s="611">
        <f t="shared" si="2"/>
        <v>4495</v>
      </c>
      <c r="G38" s="607">
        <v>0.0</v>
      </c>
      <c r="H38" s="613">
        <v>2000.0</v>
      </c>
      <c r="I38" s="612">
        <v>2000.0</v>
      </c>
      <c r="J38" s="607" t="s">
        <v>8897</v>
      </c>
      <c r="K38" s="642"/>
      <c r="L38" s="641">
        <v>2500.0</v>
      </c>
      <c r="M38" s="612">
        <f t="shared" si="3"/>
        <v>3200</v>
      </c>
      <c r="N38" s="617">
        <f t="shared" si="4"/>
        <v>700</v>
      </c>
      <c r="O38" s="388"/>
      <c r="P38" s="388"/>
      <c r="Q38" s="388"/>
      <c r="R38" s="388"/>
      <c r="S38" s="388"/>
      <c r="T38" s="388"/>
      <c r="U38" s="388"/>
      <c r="V38" s="388"/>
      <c r="W38" s="388"/>
      <c r="X38" s="388"/>
      <c r="Y38" s="388"/>
      <c r="Z38" s="388"/>
      <c r="AA38" s="388"/>
      <c r="AB38" s="388"/>
      <c r="AC38" s="388"/>
    </row>
    <row r="39">
      <c r="A39" s="388"/>
      <c r="B39" s="388"/>
      <c r="C39" s="388"/>
      <c r="D39" s="388"/>
      <c r="E39" s="388"/>
      <c r="F39" s="388"/>
      <c r="G39" s="388"/>
      <c r="H39" s="388"/>
      <c r="I39" s="388"/>
      <c r="J39" s="642"/>
      <c r="K39" s="642"/>
      <c r="L39" s="642"/>
      <c r="M39" s="388"/>
      <c r="N39" s="388"/>
      <c r="O39" s="388"/>
      <c r="P39" s="388"/>
      <c r="Q39" s="388"/>
      <c r="R39" s="388"/>
      <c r="S39" s="388"/>
      <c r="T39" s="388"/>
      <c r="U39" s="388"/>
      <c r="V39" s="388"/>
      <c r="W39" s="388"/>
      <c r="X39" s="388"/>
      <c r="Y39" s="388"/>
      <c r="Z39" s="388"/>
      <c r="AA39" s="388"/>
      <c r="AB39" s="388"/>
      <c r="AC39" s="388"/>
    </row>
    <row r="40">
      <c r="A40" s="388"/>
      <c r="B40" s="388"/>
      <c r="C40" s="388"/>
      <c r="D40" s="388"/>
      <c r="E40" s="388"/>
      <c r="F40" s="388"/>
      <c r="G40" s="388"/>
      <c r="H40" s="388"/>
      <c r="I40" s="388"/>
      <c r="J40" s="642"/>
      <c r="K40" s="642"/>
      <c r="L40" s="642"/>
      <c r="M40" s="388"/>
      <c r="N40" s="388"/>
      <c r="O40" s="388"/>
      <c r="P40" s="388"/>
      <c r="Q40" s="388"/>
      <c r="R40" s="388"/>
      <c r="S40" s="388"/>
      <c r="T40" s="388"/>
      <c r="U40" s="388"/>
      <c r="V40" s="388"/>
      <c r="W40" s="388"/>
      <c r="X40" s="388"/>
      <c r="Y40" s="388"/>
      <c r="Z40" s="388"/>
      <c r="AA40" s="388"/>
      <c r="AB40" s="388"/>
      <c r="AC40" s="388"/>
    </row>
    <row r="41">
      <c r="A41" s="388"/>
      <c r="B41" s="388"/>
      <c r="C41" s="388"/>
      <c r="D41" s="388"/>
      <c r="E41" s="388"/>
      <c r="F41" s="388"/>
      <c r="G41" s="388"/>
      <c r="H41" s="388"/>
      <c r="I41" s="388"/>
      <c r="J41" s="642"/>
      <c r="K41" s="642"/>
      <c r="L41" s="642"/>
      <c r="M41" s="388"/>
      <c r="N41" s="388"/>
      <c r="O41" s="388"/>
      <c r="P41" s="388"/>
      <c r="Q41" s="388"/>
      <c r="R41" s="388"/>
      <c r="S41" s="388"/>
      <c r="T41" s="388"/>
      <c r="U41" s="388"/>
      <c r="V41" s="388"/>
      <c r="W41" s="388"/>
      <c r="X41" s="388"/>
      <c r="Y41" s="388"/>
      <c r="Z41" s="388"/>
      <c r="AA41" s="388"/>
      <c r="AB41" s="388"/>
      <c r="AC41" s="388"/>
    </row>
    <row r="42">
      <c r="A42" s="388"/>
      <c r="B42" s="388"/>
      <c r="C42" s="388"/>
      <c r="D42" s="388"/>
      <c r="E42" s="388"/>
      <c r="F42" s="388"/>
      <c r="G42" s="388"/>
      <c r="H42" s="388"/>
      <c r="I42" s="388"/>
      <c r="J42" s="642"/>
      <c r="K42" s="642"/>
      <c r="L42" s="642"/>
      <c r="M42" s="388"/>
      <c r="N42" s="388"/>
      <c r="O42" s="388"/>
      <c r="P42" s="388"/>
      <c r="Q42" s="388"/>
      <c r="R42" s="388"/>
      <c r="S42" s="388"/>
      <c r="T42" s="388"/>
      <c r="U42" s="388"/>
      <c r="V42" s="388"/>
      <c r="W42" s="388"/>
      <c r="X42" s="388"/>
      <c r="Y42" s="388"/>
      <c r="Z42" s="388"/>
      <c r="AA42" s="388"/>
      <c r="AB42" s="388"/>
      <c r="AC42" s="388"/>
    </row>
    <row r="43">
      <c r="A43" s="388"/>
      <c r="B43" s="388"/>
      <c r="C43" s="388"/>
      <c r="D43" s="388"/>
      <c r="E43" s="388"/>
      <c r="F43" s="388"/>
      <c r="G43" s="388"/>
      <c r="H43" s="388"/>
      <c r="I43" s="388"/>
      <c r="J43" s="642"/>
      <c r="K43" s="642"/>
      <c r="L43" s="642"/>
      <c r="M43" s="388"/>
      <c r="N43" s="388"/>
      <c r="O43" s="388"/>
      <c r="P43" s="388"/>
      <c r="Q43" s="388"/>
      <c r="R43" s="388"/>
      <c r="S43" s="388"/>
      <c r="T43" s="388"/>
      <c r="U43" s="388"/>
      <c r="V43" s="388"/>
      <c r="W43" s="388"/>
      <c r="X43" s="388"/>
      <c r="Y43" s="388"/>
      <c r="Z43" s="388"/>
      <c r="AA43" s="388"/>
      <c r="AB43" s="388"/>
      <c r="AC43" s="388"/>
    </row>
    <row r="44">
      <c r="A44" s="388"/>
      <c r="B44" s="388"/>
      <c r="C44" s="388"/>
      <c r="D44" s="388"/>
      <c r="E44" s="388"/>
      <c r="F44" s="388"/>
      <c r="G44" s="388"/>
      <c r="H44" s="388"/>
      <c r="I44" s="388"/>
      <c r="J44" s="642"/>
      <c r="K44" s="642"/>
      <c r="L44" s="642"/>
      <c r="M44" s="388"/>
      <c r="N44" s="388"/>
      <c r="O44" s="388"/>
      <c r="P44" s="388"/>
      <c r="Q44" s="388"/>
      <c r="R44" s="388"/>
      <c r="S44" s="388"/>
      <c r="T44" s="388"/>
      <c r="U44" s="388"/>
      <c r="V44" s="388"/>
      <c r="W44" s="388"/>
      <c r="X44" s="388"/>
      <c r="Y44" s="388"/>
      <c r="Z44" s="388"/>
      <c r="AA44" s="388"/>
      <c r="AB44" s="388"/>
      <c r="AC44" s="388"/>
    </row>
    <row r="45">
      <c r="A45" s="388"/>
      <c r="B45" s="388"/>
      <c r="C45" s="388"/>
      <c r="D45" s="388"/>
      <c r="E45" s="388"/>
      <c r="F45" s="388"/>
      <c r="G45" s="388"/>
      <c r="H45" s="388"/>
      <c r="I45" s="388"/>
      <c r="J45" s="642"/>
      <c r="K45" s="642"/>
      <c r="L45" s="642"/>
      <c r="M45" s="388"/>
      <c r="N45" s="388"/>
      <c r="O45" s="388"/>
      <c r="P45" s="388"/>
      <c r="Q45" s="388"/>
      <c r="R45" s="388"/>
      <c r="S45" s="388"/>
      <c r="T45" s="388"/>
      <c r="U45" s="388"/>
      <c r="V45" s="388"/>
      <c r="W45" s="388"/>
      <c r="X45" s="388"/>
      <c r="Y45" s="388"/>
      <c r="Z45" s="388"/>
      <c r="AA45" s="388"/>
      <c r="AB45" s="388"/>
      <c r="AC45" s="388"/>
    </row>
    <row r="46">
      <c r="A46" s="388"/>
      <c r="B46" s="388"/>
      <c r="C46" s="388"/>
      <c r="D46" s="388"/>
      <c r="E46" s="388"/>
      <c r="F46" s="388"/>
      <c r="G46" s="388"/>
      <c r="H46" s="388"/>
      <c r="I46" s="388"/>
      <c r="J46" s="642"/>
      <c r="K46" s="642"/>
      <c r="L46" s="642"/>
      <c r="M46" s="388"/>
      <c r="N46" s="388"/>
      <c r="O46" s="388"/>
      <c r="P46" s="388"/>
      <c r="Q46" s="388"/>
      <c r="R46" s="388"/>
      <c r="S46" s="388"/>
      <c r="T46" s="388"/>
      <c r="U46" s="388"/>
      <c r="V46" s="388"/>
      <c r="W46" s="388"/>
      <c r="X46" s="388"/>
      <c r="Y46" s="388"/>
      <c r="Z46" s="388"/>
      <c r="AA46" s="388"/>
      <c r="AB46" s="388"/>
      <c r="AC46" s="388"/>
    </row>
    <row r="47">
      <c r="A47" s="388"/>
      <c r="B47" s="388"/>
      <c r="C47" s="388"/>
      <c r="D47" s="388"/>
      <c r="E47" s="388"/>
      <c r="F47" s="388"/>
      <c r="G47" s="388"/>
      <c r="H47" s="388"/>
      <c r="I47" s="388"/>
      <c r="J47" s="642"/>
      <c r="K47" s="642"/>
      <c r="L47" s="642"/>
      <c r="M47" s="388"/>
      <c r="N47" s="388"/>
      <c r="O47" s="388"/>
      <c r="P47" s="388"/>
      <c r="Q47" s="388"/>
      <c r="R47" s="388"/>
      <c r="S47" s="388"/>
      <c r="T47" s="388"/>
      <c r="U47" s="388"/>
      <c r="V47" s="388"/>
      <c r="W47" s="388"/>
      <c r="X47" s="388"/>
      <c r="Y47" s="388"/>
      <c r="Z47" s="388"/>
      <c r="AA47" s="388"/>
      <c r="AB47" s="388"/>
      <c r="AC47" s="388"/>
    </row>
    <row r="48">
      <c r="A48" s="388"/>
      <c r="B48" s="388"/>
      <c r="C48" s="388"/>
      <c r="D48" s="388"/>
      <c r="E48" s="388"/>
      <c r="F48" s="388"/>
      <c r="G48" s="388"/>
      <c r="H48" s="388"/>
      <c r="I48" s="388"/>
      <c r="J48" s="642"/>
      <c r="K48" s="642"/>
      <c r="L48" s="642"/>
      <c r="M48" s="388"/>
      <c r="N48" s="388"/>
      <c r="O48" s="388"/>
      <c r="P48" s="388"/>
      <c r="Q48" s="388"/>
      <c r="R48" s="388"/>
      <c r="S48" s="388"/>
      <c r="T48" s="388"/>
      <c r="U48" s="388"/>
      <c r="V48" s="388"/>
      <c r="W48" s="388"/>
      <c r="X48" s="388"/>
      <c r="Y48" s="388"/>
      <c r="Z48" s="388"/>
      <c r="AA48" s="388"/>
      <c r="AB48" s="388"/>
      <c r="AC48" s="388"/>
    </row>
    <row r="49">
      <c r="A49" s="388"/>
      <c r="B49" s="388"/>
      <c r="C49" s="388"/>
      <c r="D49" s="388"/>
      <c r="E49" s="388"/>
      <c r="F49" s="388"/>
      <c r="G49" s="388"/>
      <c r="H49" s="388"/>
      <c r="I49" s="388"/>
      <c r="J49" s="642"/>
      <c r="K49" s="642"/>
      <c r="L49" s="642"/>
      <c r="M49" s="388"/>
      <c r="N49" s="388"/>
      <c r="O49" s="388"/>
      <c r="P49" s="388"/>
      <c r="Q49" s="388"/>
      <c r="R49" s="388"/>
      <c r="S49" s="388"/>
      <c r="T49" s="388"/>
      <c r="U49" s="388"/>
      <c r="V49" s="388"/>
      <c r="W49" s="388"/>
      <c r="X49" s="388"/>
      <c r="Y49" s="388"/>
      <c r="Z49" s="388"/>
      <c r="AA49" s="388"/>
      <c r="AB49" s="388"/>
      <c r="AC49" s="388"/>
    </row>
    <row r="50">
      <c r="A50" s="388"/>
      <c r="B50" s="388"/>
      <c r="C50" s="388"/>
      <c r="D50" s="388"/>
      <c r="E50" s="388"/>
      <c r="F50" s="388"/>
      <c r="G50" s="388"/>
      <c r="H50" s="388"/>
      <c r="I50" s="388"/>
      <c r="J50" s="642"/>
      <c r="K50" s="642"/>
      <c r="L50" s="642"/>
      <c r="M50" s="388"/>
      <c r="N50" s="388"/>
      <c r="O50" s="388"/>
      <c r="P50" s="388"/>
      <c r="Q50" s="388"/>
      <c r="R50" s="388"/>
      <c r="S50" s="388"/>
      <c r="T50" s="388"/>
      <c r="U50" s="388"/>
      <c r="V50" s="388"/>
      <c r="W50" s="388"/>
      <c r="X50" s="388"/>
      <c r="Y50" s="388"/>
      <c r="Z50" s="388"/>
      <c r="AA50" s="388"/>
      <c r="AB50" s="388"/>
      <c r="AC50" s="388"/>
    </row>
    <row r="51">
      <c r="A51" s="388"/>
      <c r="B51" s="388"/>
      <c r="C51" s="388"/>
      <c r="D51" s="388"/>
      <c r="E51" s="388"/>
      <c r="F51" s="388"/>
      <c r="G51" s="388"/>
      <c r="H51" s="388"/>
      <c r="I51" s="388"/>
      <c r="J51" s="642"/>
      <c r="K51" s="642"/>
      <c r="L51" s="642"/>
      <c r="M51" s="388"/>
      <c r="N51" s="388"/>
      <c r="O51" s="388"/>
      <c r="P51" s="388"/>
      <c r="Q51" s="388"/>
      <c r="R51" s="388"/>
      <c r="S51" s="388"/>
      <c r="T51" s="388"/>
      <c r="U51" s="388"/>
      <c r="V51" s="388"/>
      <c r="W51" s="388"/>
      <c r="X51" s="388"/>
      <c r="Y51" s="388"/>
      <c r="Z51" s="388"/>
      <c r="AA51" s="388"/>
      <c r="AB51" s="388"/>
      <c r="AC51" s="388"/>
    </row>
    <row r="52">
      <c r="A52" s="388"/>
      <c r="B52" s="388"/>
      <c r="C52" s="388"/>
      <c r="D52" s="388"/>
      <c r="E52" s="388"/>
      <c r="F52" s="388"/>
      <c r="G52" s="388"/>
      <c r="H52" s="388"/>
      <c r="I52" s="388"/>
      <c r="J52" s="642"/>
      <c r="K52" s="642"/>
      <c r="L52" s="642"/>
      <c r="M52" s="388"/>
      <c r="N52" s="388"/>
      <c r="O52" s="388"/>
      <c r="P52" s="388"/>
      <c r="Q52" s="388"/>
      <c r="R52" s="388"/>
      <c r="S52" s="388"/>
      <c r="T52" s="388"/>
      <c r="U52" s="388"/>
      <c r="V52" s="388"/>
      <c r="W52" s="388"/>
      <c r="X52" s="388"/>
      <c r="Y52" s="388"/>
      <c r="Z52" s="388"/>
      <c r="AA52" s="388"/>
      <c r="AB52" s="388"/>
      <c r="AC52" s="388"/>
    </row>
    <row r="53">
      <c r="A53" s="388"/>
      <c r="B53" s="388"/>
      <c r="C53" s="388"/>
      <c r="D53" s="388"/>
      <c r="E53" s="388"/>
      <c r="F53" s="388"/>
      <c r="G53" s="388"/>
      <c r="H53" s="388"/>
      <c r="I53" s="388"/>
      <c r="J53" s="642"/>
      <c r="K53" s="642"/>
      <c r="L53" s="642"/>
      <c r="M53" s="388"/>
      <c r="N53" s="388"/>
      <c r="O53" s="388"/>
      <c r="P53" s="388"/>
      <c r="Q53" s="388"/>
      <c r="R53" s="388"/>
      <c r="S53" s="388"/>
      <c r="T53" s="388"/>
      <c r="U53" s="388"/>
      <c r="V53" s="388"/>
      <c r="W53" s="388"/>
      <c r="X53" s="388"/>
      <c r="Y53" s="388"/>
      <c r="Z53" s="388"/>
      <c r="AA53" s="388"/>
      <c r="AB53" s="388"/>
      <c r="AC53" s="388"/>
    </row>
    <row r="54">
      <c r="A54" s="388"/>
      <c r="B54" s="388"/>
      <c r="C54" s="388"/>
      <c r="D54" s="388"/>
      <c r="E54" s="388"/>
      <c r="F54" s="388"/>
      <c r="G54" s="388"/>
      <c r="H54" s="388"/>
      <c r="I54" s="388"/>
      <c r="J54" s="642"/>
      <c r="K54" s="642"/>
      <c r="L54" s="642"/>
      <c r="M54" s="388"/>
      <c r="N54" s="388"/>
      <c r="O54" s="388"/>
      <c r="P54" s="388"/>
      <c r="Q54" s="388"/>
      <c r="R54" s="388"/>
      <c r="S54" s="388"/>
      <c r="T54" s="388"/>
      <c r="U54" s="388"/>
      <c r="V54" s="388"/>
      <c r="W54" s="388"/>
      <c r="X54" s="388"/>
      <c r="Y54" s="388"/>
      <c r="Z54" s="388"/>
      <c r="AA54" s="388"/>
      <c r="AB54" s="388"/>
      <c r="AC54" s="388"/>
    </row>
    <row r="55">
      <c r="A55" s="388"/>
      <c r="B55" s="388"/>
      <c r="C55" s="388"/>
      <c r="D55" s="388"/>
      <c r="E55" s="388"/>
      <c r="F55" s="388"/>
      <c r="G55" s="388"/>
      <c r="H55" s="388"/>
      <c r="I55" s="388"/>
      <c r="J55" s="642"/>
      <c r="K55" s="642"/>
      <c r="L55" s="642"/>
      <c r="M55" s="388"/>
      <c r="N55" s="388"/>
      <c r="O55" s="388"/>
      <c r="P55" s="388"/>
      <c r="Q55" s="388"/>
      <c r="R55" s="388"/>
      <c r="S55" s="388"/>
      <c r="T55" s="388"/>
      <c r="U55" s="388"/>
      <c r="V55" s="388"/>
      <c r="W55" s="388"/>
      <c r="X55" s="388"/>
      <c r="Y55" s="388"/>
      <c r="Z55" s="388"/>
      <c r="AA55" s="388"/>
      <c r="AB55" s="388"/>
      <c r="AC55" s="388"/>
    </row>
    <row r="56">
      <c r="A56" s="388"/>
      <c r="B56" s="388"/>
      <c r="C56" s="388"/>
      <c r="D56" s="388"/>
      <c r="E56" s="388"/>
      <c r="F56" s="388"/>
      <c r="G56" s="388"/>
      <c r="H56" s="388"/>
      <c r="I56" s="388"/>
      <c r="J56" s="642"/>
      <c r="K56" s="642"/>
      <c r="L56" s="642"/>
      <c r="M56" s="388"/>
      <c r="N56" s="388"/>
      <c r="O56" s="388"/>
      <c r="P56" s="388"/>
      <c r="Q56" s="388"/>
      <c r="R56" s="388"/>
      <c r="S56" s="388"/>
      <c r="T56" s="388"/>
      <c r="U56" s="388"/>
      <c r="V56" s="388"/>
      <c r="W56" s="388"/>
      <c r="X56" s="388"/>
      <c r="Y56" s="388"/>
      <c r="Z56" s="388"/>
      <c r="AA56" s="388"/>
      <c r="AB56" s="388"/>
      <c r="AC56" s="388"/>
    </row>
    <row r="57">
      <c r="A57" s="388"/>
      <c r="B57" s="388"/>
      <c r="C57" s="388"/>
      <c r="D57" s="388"/>
      <c r="E57" s="388"/>
      <c r="F57" s="388"/>
      <c r="G57" s="388"/>
      <c r="H57" s="388"/>
      <c r="I57" s="388"/>
      <c r="J57" s="642"/>
      <c r="K57" s="642"/>
      <c r="L57" s="642"/>
      <c r="M57" s="388"/>
      <c r="N57" s="388"/>
      <c r="O57" s="388"/>
      <c r="P57" s="388"/>
      <c r="Q57" s="388"/>
      <c r="R57" s="388"/>
      <c r="S57" s="388"/>
      <c r="T57" s="388"/>
      <c r="U57" s="388"/>
      <c r="V57" s="388"/>
      <c r="W57" s="388"/>
      <c r="X57" s="388"/>
      <c r="Y57" s="388"/>
      <c r="Z57" s="388"/>
      <c r="AA57" s="388"/>
      <c r="AB57" s="388"/>
      <c r="AC57" s="388"/>
    </row>
    <row r="58">
      <c r="A58" s="388"/>
      <c r="B58" s="388"/>
      <c r="C58" s="388"/>
      <c r="D58" s="388"/>
      <c r="E58" s="388"/>
      <c r="F58" s="388"/>
      <c r="G58" s="388"/>
      <c r="H58" s="388"/>
      <c r="I58" s="388"/>
      <c r="J58" s="642"/>
      <c r="K58" s="642"/>
      <c r="L58" s="642"/>
      <c r="M58" s="388"/>
      <c r="N58" s="388"/>
      <c r="O58" s="388"/>
      <c r="P58" s="388"/>
      <c r="Q58" s="388"/>
      <c r="R58" s="388"/>
      <c r="S58" s="388"/>
      <c r="T58" s="388"/>
      <c r="U58" s="388"/>
      <c r="V58" s="388"/>
      <c r="W58" s="388"/>
      <c r="X58" s="388"/>
      <c r="Y58" s="388"/>
      <c r="Z58" s="388"/>
      <c r="AA58" s="388"/>
      <c r="AB58" s="388"/>
      <c r="AC58" s="388"/>
    </row>
    <row r="59">
      <c r="A59" s="388"/>
      <c r="B59" s="388"/>
      <c r="C59" s="388"/>
      <c r="D59" s="388"/>
      <c r="E59" s="388"/>
      <c r="F59" s="388"/>
      <c r="G59" s="388"/>
      <c r="H59" s="388"/>
      <c r="I59" s="388"/>
      <c r="J59" s="642"/>
      <c r="K59" s="642"/>
      <c r="L59" s="642"/>
      <c r="M59" s="388"/>
      <c r="N59" s="388"/>
      <c r="O59" s="388"/>
      <c r="P59" s="388"/>
      <c r="Q59" s="388"/>
      <c r="R59" s="388"/>
      <c r="S59" s="388"/>
      <c r="T59" s="388"/>
      <c r="U59" s="388"/>
      <c r="V59" s="388"/>
      <c r="W59" s="388"/>
      <c r="X59" s="388"/>
      <c r="Y59" s="388"/>
      <c r="Z59" s="388"/>
      <c r="AA59" s="388"/>
      <c r="AB59" s="388"/>
      <c r="AC59" s="388"/>
    </row>
    <row r="60">
      <c r="A60" s="388"/>
      <c r="B60" s="388"/>
      <c r="C60" s="388"/>
      <c r="D60" s="388"/>
      <c r="E60" s="388"/>
      <c r="F60" s="388"/>
      <c r="G60" s="388"/>
      <c r="H60" s="388"/>
      <c r="I60" s="388"/>
      <c r="J60" s="642"/>
      <c r="K60" s="642"/>
      <c r="L60" s="642"/>
      <c r="M60" s="388"/>
      <c r="N60" s="388"/>
      <c r="O60" s="388"/>
      <c r="P60" s="388"/>
      <c r="Q60" s="388"/>
      <c r="R60" s="388"/>
      <c r="S60" s="388"/>
      <c r="T60" s="388"/>
      <c r="U60" s="388"/>
      <c r="V60" s="388"/>
      <c r="W60" s="388"/>
      <c r="X60" s="388"/>
      <c r="Y60" s="388"/>
      <c r="Z60" s="388"/>
      <c r="AA60" s="388"/>
      <c r="AB60" s="388"/>
      <c r="AC60" s="388"/>
    </row>
    <row r="61">
      <c r="A61" s="388"/>
      <c r="B61" s="388"/>
      <c r="C61" s="388"/>
      <c r="D61" s="388"/>
      <c r="E61" s="388"/>
      <c r="F61" s="388"/>
      <c r="G61" s="388"/>
      <c r="H61" s="388"/>
      <c r="I61" s="388"/>
      <c r="J61" s="642"/>
      <c r="K61" s="642"/>
      <c r="L61" s="642"/>
      <c r="M61" s="388"/>
      <c r="N61" s="388"/>
      <c r="O61" s="388"/>
      <c r="P61" s="388"/>
      <c r="Q61" s="388"/>
      <c r="R61" s="388"/>
      <c r="S61" s="388"/>
      <c r="T61" s="388"/>
      <c r="U61" s="388"/>
      <c r="V61" s="388"/>
      <c r="W61" s="388"/>
      <c r="X61" s="388"/>
      <c r="Y61" s="388"/>
      <c r="Z61" s="388"/>
      <c r="AA61" s="388"/>
      <c r="AB61" s="388"/>
      <c r="AC61" s="388"/>
    </row>
    <row r="62">
      <c r="A62" s="388"/>
      <c r="B62" s="388"/>
      <c r="C62" s="388"/>
      <c r="D62" s="388"/>
      <c r="E62" s="388"/>
      <c r="F62" s="388"/>
      <c r="G62" s="388"/>
      <c r="H62" s="388"/>
      <c r="I62" s="388"/>
      <c r="J62" s="642"/>
      <c r="K62" s="642"/>
      <c r="L62" s="642"/>
      <c r="M62" s="388"/>
      <c r="N62" s="388"/>
      <c r="O62" s="388"/>
      <c r="P62" s="388"/>
      <c r="Q62" s="388"/>
      <c r="R62" s="388"/>
      <c r="S62" s="388"/>
      <c r="T62" s="388"/>
      <c r="U62" s="388"/>
      <c r="V62" s="388"/>
      <c r="W62" s="388"/>
      <c r="X62" s="388"/>
      <c r="Y62" s="388"/>
      <c r="Z62" s="388"/>
      <c r="AA62" s="388"/>
      <c r="AB62" s="388"/>
      <c r="AC62" s="388"/>
    </row>
    <row r="63">
      <c r="A63" s="388"/>
      <c r="B63" s="388"/>
      <c r="C63" s="388"/>
      <c r="D63" s="388"/>
      <c r="E63" s="388"/>
      <c r="F63" s="388"/>
      <c r="G63" s="388"/>
      <c r="H63" s="388"/>
      <c r="I63" s="388"/>
      <c r="J63" s="642"/>
      <c r="K63" s="642"/>
      <c r="L63" s="642"/>
      <c r="M63" s="388"/>
      <c r="N63" s="388"/>
      <c r="O63" s="388"/>
      <c r="P63" s="388"/>
      <c r="Q63" s="388"/>
      <c r="R63" s="388"/>
      <c r="S63" s="388"/>
      <c r="T63" s="388"/>
      <c r="U63" s="388"/>
      <c r="V63" s="388"/>
      <c r="W63" s="388"/>
      <c r="X63" s="388"/>
      <c r="Y63" s="388"/>
      <c r="Z63" s="388"/>
      <c r="AA63" s="388"/>
      <c r="AB63" s="388"/>
      <c r="AC63" s="388"/>
    </row>
    <row r="64">
      <c r="A64" s="388"/>
      <c r="B64" s="388"/>
      <c r="C64" s="388"/>
      <c r="D64" s="388"/>
      <c r="E64" s="388"/>
      <c r="F64" s="388"/>
      <c r="G64" s="388"/>
      <c r="H64" s="388"/>
      <c r="I64" s="388"/>
      <c r="J64" s="642"/>
      <c r="K64" s="642"/>
      <c r="L64" s="642"/>
      <c r="M64" s="388"/>
      <c r="N64" s="388"/>
      <c r="O64" s="388"/>
      <c r="P64" s="388"/>
      <c r="Q64" s="388"/>
      <c r="R64" s="388"/>
      <c r="S64" s="388"/>
      <c r="T64" s="388"/>
      <c r="U64" s="388"/>
      <c r="V64" s="388"/>
      <c r="W64" s="388"/>
      <c r="X64" s="388"/>
      <c r="Y64" s="388"/>
      <c r="Z64" s="388"/>
      <c r="AA64" s="388"/>
      <c r="AB64" s="388"/>
      <c r="AC64" s="388"/>
    </row>
    <row r="65">
      <c r="A65" s="388"/>
      <c r="B65" s="388"/>
      <c r="C65" s="388"/>
      <c r="D65" s="388"/>
      <c r="E65" s="388"/>
      <c r="F65" s="388"/>
      <c r="G65" s="388"/>
      <c r="H65" s="388"/>
      <c r="I65" s="388"/>
      <c r="J65" s="642"/>
      <c r="K65" s="642"/>
      <c r="L65" s="642"/>
      <c r="M65" s="388"/>
      <c r="N65" s="388"/>
      <c r="O65" s="388"/>
      <c r="P65" s="388"/>
      <c r="Q65" s="388"/>
      <c r="R65" s="388"/>
      <c r="S65" s="388"/>
      <c r="T65" s="388"/>
      <c r="U65" s="388"/>
      <c r="V65" s="388"/>
      <c r="W65" s="388"/>
      <c r="X65" s="388"/>
      <c r="Y65" s="388"/>
      <c r="Z65" s="388"/>
      <c r="AA65" s="388"/>
      <c r="AB65" s="388"/>
      <c r="AC65" s="388"/>
    </row>
    <row r="66">
      <c r="A66" s="388"/>
      <c r="B66" s="388"/>
      <c r="C66" s="388"/>
      <c r="D66" s="388"/>
      <c r="E66" s="388"/>
      <c r="F66" s="388"/>
      <c r="G66" s="388"/>
      <c r="H66" s="388"/>
      <c r="I66" s="388"/>
      <c r="J66" s="642"/>
      <c r="K66" s="642"/>
      <c r="L66" s="642"/>
      <c r="M66" s="388"/>
      <c r="N66" s="388"/>
      <c r="O66" s="388"/>
      <c r="P66" s="388"/>
      <c r="Q66" s="388"/>
      <c r="R66" s="388"/>
      <c r="S66" s="388"/>
      <c r="T66" s="388"/>
      <c r="U66" s="388"/>
      <c r="V66" s="388"/>
      <c r="W66" s="388"/>
      <c r="X66" s="388"/>
      <c r="Y66" s="388"/>
      <c r="Z66" s="388"/>
      <c r="AA66" s="388"/>
      <c r="AB66" s="388"/>
      <c r="AC66" s="388"/>
    </row>
    <row r="67">
      <c r="A67" s="388"/>
      <c r="B67" s="388"/>
      <c r="C67" s="388"/>
      <c r="D67" s="388"/>
      <c r="E67" s="388"/>
      <c r="F67" s="388"/>
      <c r="G67" s="388"/>
      <c r="H67" s="388"/>
      <c r="I67" s="388"/>
      <c r="J67" s="642"/>
      <c r="K67" s="642"/>
      <c r="L67" s="642"/>
      <c r="M67" s="388"/>
      <c r="N67" s="388"/>
      <c r="O67" s="388"/>
      <c r="P67" s="388"/>
      <c r="Q67" s="388"/>
      <c r="R67" s="388"/>
      <c r="S67" s="388"/>
      <c r="T67" s="388"/>
      <c r="U67" s="388"/>
      <c r="V67" s="388"/>
      <c r="W67" s="388"/>
      <c r="X67" s="388"/>
      <c r="Y67" s="388"/>
      <c r="Z67" s="388"/>
      <c r="AA67" s="388"/>
      <c r="AB67" s="388"/>
      <c r="AC67" s="388"/>
    </row>
    <row r="68">
      <c r="A68" s="388"/>
      <c r="B68" s="388"/>
      <c r="C68" s="388"/>
      <c r="D68" s="388"/>
      <c r="E68" s="388"/>
      <c r="F68" s="388"/>
      <c r="G68" s="388"/>
      <c r="H68" s="388"/>
      <c r="I68" s="388"/>
      <c r="J68" s="642"/>
      <c r="K68" s="642"/>
      <c r="L68" s="642"/>
      <c r="M68" s="388"/>
      <c r="N68" s="388"/>
      <c r="O68" s="388"/>
      <c r="P68" s="388"/>
      <c r="Q68" s="388"/>
      <c r="R68" s="388"/>
      <c r="S68" s="388"/>
      <c r="T68" s="388"/>
      <c r="U68" s="388"/>
      <c r="V68" s="388"/>
      <c r="W68" s="388"/>
      <c r="X68" s="388"/>
      <c r="Y68" s="388"/>
      <c r="Z68" s="388"/>
      <c r="AA68" s="388"/>
      <c r="AB68" s="388"/>
      <c r="AC68" s="388"/>
    </row>
    <row r="69">
      <c r="A69" s="388"/>
      <c r="B69" s="388"/>
      <c r="C69" s="388"/>
      <c r="D69" s="388"/>
      <c r="E69" s="388"/>
      <c r="F69" s="388"/>
      <c r="G69" s="388"/>
      <c r="H69" s="388"/>
      <c r="I69" s="388"/>
      <c r="J69" s="642"/>
      <c r="K69" s="642"/>
      <c r="L69" s="642"/>
      <c r="M69" s="388"/>
      <c r="N69" s="388"/>
      <c r="O69" s="388"/>
      <c r="P69" s="388"/>
      <c r="Q69" s="388"/>
      <c r="R69" s="388"/>
      <c r="S69" s="388"/>
      <c r="T69" s="388"/>
      <c r="U69" s="388"/>
      <c r="V69" s="388"/>
      <c r="W69" s="388"/>
      <c r="X69" s="388"/>
      <c r="Y69" s="388"/>
      <c r="Z69" s="388"/>
      <c r="AA69" s="388"/>
      <c r="AB69" s="388"/>
      <c r="AC69" s="388"/>
    </row>
    <row r="70">
      <c r="A70" s="388"/>
      <c r="B70" s="388"/>
      <c r="C70" s="388"/>
      <c r="D70" s="388"/>
      <c r="E70" s="388"/>
      <c r="F70" s="388"/>
      <c r="G70" s="388"/>
      <c r="H70" s="388"/>
      <c r="I70" s="388"/>
      <c r="J70" s="642"/>
      <c r="K70" s="642"/>
      <c r="L70" s="642"/>
      <c r="M70" s="388"/>
      <c r="N70" s="388"/>
      <c r="O70" s="388"/>
      <c r="P70" s="388"/>
      <c r="Q70" s="388"/>
      <c r="R70" s="388"/>
      <c r="S70" s="388"/>
      <c r="T70" s="388"/>
      <c r="U70" s="388"/>
      <c r="V70" s="388"/>
      <c r="W70" s="388"/>
      <c r="X70" s="388"/>
      <c r="Y70" s="388"/>
      <c r="Z70" s="388"/>
      <c r="AA70" s="388"/>
      <c r="AB70" s="388"/>
      <c r="AC70" s="388"/>
    </row>
    <row r="71">
      <c r="A71" s="388"/>
      <c r="B71" s="388"/>
      <c r="C71" s="388"/>
      <c r="D71" s="388"/>
      <c r="E71" s="388"/>
      <c r="F71" s="388"/>
      <c r="G71" s="388"/>
      <c r="H71" s="388"/>
      <c r="I71" s="388"/>
      <c r="J71" s="642"/>
      <c r="K71" s="642"/>
      <c r="L71" s="642"/>
      <c r="M71" s="388"/>
      <c r="N71" s="388"/>
      <c r="O71" s="388"/>
      <c r="P71" s="388"/>
      <c r="Q71" s="388"/>
      <c r="R71" s="388"/>
      <c r="S71" s="388"/>
      <c r="T71" s="388"/>
      <c r="U71" s="388"/>
      <c r="V71" s="388"/>
      <c r="W71" s="388"/>
      <c r="X71" s="388"/>
      <c r="Y71" s="388"/>
      <c r="Z71" s="388"/>
      <c r="AA71" s="388"/>
      <c r="AB71" s="388"/>
      <c r="AC71" s="388"/>
    </row>
    <row r="72">
      <c r="A72" s="388"/>
      <c r="B72" s="388"/>
      <c r="C72" s="388"/>
      <c r="D72" s="388"/>
      <c r="E72" s="388"/>
      <c r="F72" s="388"/>
      <c r="G72" s="388"/>
      <c r="H72" s="388"/>
      <c r="I72" s="388"/>
      <c r="J72" s="642"/>
      <c r="K72" s="642"/>
      <c r="L72" s="642"/>
      <c r="M72" s="388"/>
      <c r="N72" s="388"/>
      <c r="O72" s="388"/>
      <c r="P72" s="388"/>
      <c r="Q72" s="388"/>
      <c r="R72" s="388"/>
      <c r="S72" s="388"/>
      <c r="T72" s="388"/>
      <c r="U72" s="388"/>
      <c r="V72" s="388"/>
      <c r="W72" s="388"/>
      <c r="X72" s="388"/>
      <c r="Y72" s="388"/>
      <c r="Z72" s="388"/>
      <c r="AA72" s="388"/>
      <c r="AB72" s="388"/>
      <c r="AC72" s="388"/>
    </row>
    <row r="73">
      <c r="A73" s="388"/>
      <c r="B73" s="388"/>
      <c r="C73" s="388"/>
      <c r="D73" s="388"/>
      <c r="E73" s="388"/>
      <c r="F73" s="388"/>
      <c r="G73" s="388"/>
      <c r="H73" s="388"/>
      <c r="I73" s="388"/>
      <c r="J73" s="642"/>
      <c r="K73" s="642"/>
      <c r="L73" s="642"/>
      <c r="M73" s="388"/>
      <c r="N73" s="388"/>
      <c r="O73" s="388"/>
      <c r="P73" s="388"/>
      <c r="Q73" s="388"/>
      <c r="R73" s="388"/>
      <c r="S73" s="388"/>
      <c r="T73" s="388"/>
      <c r="U73" s="388"/>
      <c r="V73" s="388"/>
      <c r="W73" s="388"/>
      <c r="X73" s="388"/>
      <c r="Y73" s="388"/>
      <c r="Z73" s="388"/>
      <c r="AA73" s="388"/>
      <c r="AB73" s="388"/>
      <c r="AC73" s="388"/>
    </row>
    <row r="74">
      <c r="A74" s="388"/>
      <c r="B74" s="388"/>
      <c r="C74" s="388"/>
      <c r="D74" s="388"/>
      <c r="E74" s="388"/>
      <c r="F74" s="388"/>
      <c r="G74" s="388"/>
      <c r="H74" s="388"/>
      <c r="I74" s="388"/>
      <c r="J74" s="642"/>
      <c r="K74" s="642"/>
      <c r="L74" s="642"/>
      <c r="M74" s="388"/>
      <c r="N74" s="388"/>
      <c r="O74" s="388"/>
      <c r="P74" s="388"/>
      <c r="Q74" s="388"/>
      <c r="R74" s="388"/>
      <c r="S74" s="388"/>
      <c r="T74" s="388"/>
      <c r="U74" s="388"/>
      <c r="V74" s="388"/>
      <c r="W74" s="388"/>
      <c r="X74" s="388"/>
      <c r="Y74" s="388"/>
      <c r="Z74" s="388"/>
      <c r="AA74" s="388"/>
      <c r="AB74" s="388"/>
      <c r="AC74" s="388"/>
    </row>
    <row r="75">
      <c r="A75" s="388"/>
      <c r="B75" s="388"/>
      <c r="C75" s="388"/>
      <c r="D75" s="388"/>
      <c r="E75" s="388"/>
      <c r="F75" s="388"/>
      <c r="G75" s="388"/>
      <c r="H75" s="388"/>
      <c r="I75" s="388"/>
      <c r="J75" s="642"/>
      <c r="K75" s="642"/>
      <c r="L75" s="642"/>
      <c r="M75" s="388"/>
      <c r="N75" s="388"/>
      <c r="O75" s="388"/>
      <c r="P75" s="388"/>
      <c r="Q75" s="388"/>
      <c r="R75" s="388"/>
      <c r="S75" s="388"/>
      <c r="T75" s="388"/>
      <c r="U75" s="388"/>
      <c r="V75" s="388"/>
      <c r="W75" s="388"/>
      <c r="X75" s="388"/>
      <c r="Y75" s="388"/>
      <c r="Z75" s="388"/>
      <c r="AA75" s="388"/>
      <c r="AB75" s="388"/>
      <c r="AC75" s="388"/>
    </row>
    <row r="76">
      <c r="A76" s="388"/>
      <c r="B76" s="388"/>
      <c r="C76" s="388"/>
      <c r="D76" s="388"/>
      <c r="E76" s="388"/>
      <c r="F76" s="388"/>
      <c r="G76" s="388"/>
      <c r="H76" s="388"/>
      <c r="I76" s="388"/>
      <c r="J76" s="642"/>
      <c r="K76" s="642"/>
      <c r="L76" s="642"/>
      <c r="M76" s="388"/>
      <c r="N76" s="388"/>
      <c r="O76" s="388"/>
      <c r="P76" s="388"/>
      <c r="Q76" s="388"/>
      <c r="R76" s="388"/>
      <c r="S76" s="388"/>
      <c r="T76" s="388"/>
      <c r="U76" s="388"/>
      <c r="V76" s="388"/>
      <c r="W76" s="388"/>
      <c r="X76" s="388"/>
      <c r="Y76" s="388"/>
      <c r="Z76" s="388"/>
      <c r="AA76" s="388"/>
      <c r="AB76" s="388"/>
      <c r="AC76" s="388"/>
    </row>
    <row r="77">
      <c r="A77" s="388"/>
      <c r="B77" s="388"/>
      <c r="C77" s="388"/>
      <c r="D77" s="388"/>
      <c r="E77" s="388"/>
      <c r="F77" s="388"/>
      <c r="G77" s="388"/>
      <c r="H77" s="388"/>
      <c r="I77" s="388"/>
      <c r="J77" s="642"/>
      <c r="K77" s="642"/>
      <c r="L77" s="642"/>
      <c r="M77" s="388"/>
      <c r="N77" s="388"/>
      <c r="O77" s="388"/>
      <c r="P77" s="388"/>
      <c r="Q77" s="388"/>
      <c r="R77" s="388"/>
      <c r="S77" s="388"/>
      <c r="T77" s="388"/>
      <c r="U77" s="388"/>
      <c r="V77" s="388"/>
      <c r="W77" s="388"/>
      <c r="X77" s="388"/>
      <c r="Y77" s="388"/>
      <c r="Z77" s="388"/>
      <c r="AA77" s="388"/>
      <c r="AB77" s="388"/>
      <c r="AC77" s="388"/>
    </row>
    <row r="78">
      <c r="A78" s="388"/>
      <c r="B78" s="388"/>
      <c r="C78" s="388"/>
      <c r="D78" s="388"/>
      <c r="E78" s="388"/>
      <c r="F78" s="388"/>
      <c r="G78" s="388"/>
      <c r="H78" s="388"/>
      <c r="I78" s="388"/>
      <c r="J78" s="642"/>
      <c r="K78" s="642"/>
      <c r="L78" s="642"/>
      <c r="M78" s="388"/>
      <c r="N78" s="388"/>
      <c r="O78" s="388"/>
      <c r="P78" s="388"/>
      <c r="Q78" s="388"/>
      <c r="R78" s="388"/>
      <c r="S78" s="388"/>
      <c r="T78" s="388"/>
      <c r="U78" s="388"/>
      <c r="V78" s="388"/>
      <c r="W78" s="388"/>
      <c r="X78" s="388"/>
      <c r="Y78" s="388"/>
      <c r="Z78" s="388"/>
      <c r="AA78" s="388"/>
      <c r="AB78" s="388"/>
      <c r="AC78" s="388"/>
    </row>
    <row r="79">
      <c r="A79" s="388"/>
      <c r="B79" s="388"/>
      <c r="C79" s="388"/>
      <c r="D79" s="388"/>
      <c r="E79" s="388"/>
      <c r="F79" s="388"/>
      <c r="G79" s="388"/>
      <c r="H79" s="388"/>
      <c r="I79" s="388"/>
      <c r="J79" s="642"/>
      <c r="K79" s="642"/>
      <c r="L79" s="642"/>
      <c r="M79" s="388"/>
      <c r="N79" s="388"/>
      <c r="O79" s="388"/>
      <c r="P79" s="388"/>
      <c r="Q79" s="388"/>
      <c r="R79" s="388"/>
      <c r="S79" s="388"/>
      <c r="T79" s="388"/>
      <c r="U79" s="388"/>
      <c r="V79" s="388"/>
      <c r="W79" s="388"/>
      <c r="X79" s="388"/>
      <c r="Y79" s="388"/>
      <c r="Z79" s="388"/>
      <c r="AA79" s="388"/>
      <c r="AB79" s="388"/>
      <c r="AC79" s="388"/>
    </row>
    <row r="80">
      <c r="A80" s="388"/>
      <c r="B80" s="388"/>
      <c r="C80" s="388"/>
      <c r="D80" s="388"/>
      <c r="E80" s="388"/>
      <c r="F80" s="388"/>
      <c r="G80" s="388"/>
      <c r="H80" s="388"/>
      <c r="I80" s="388"/>
      <c r="J80" s="642"/>
      <c r="K80" s="642"/>
      <c r="L80" s="642"/>
      <c r="M80" s="388"/>
      <c r="N80" s="388"/>
      <c r="O80" s="388"/>
      <c r="P80" s="388"/>
      <c r="Q80" s="388"/>
      <c r="R80" s="388"/>
      <c r="S80" s="388"/>
      <c r="T80" s="388"/>
      <c r="U80" s="388"/>
      <c r="V80" s="388"/>
      <c r="W80" s="388"/>
      <c r="X80" s="388"/>
      <c r="Y80" s="388"/>
      <c r="Z80" s="388"/>
      <c r="AA80" s="388"/>
      <c r="AB80" s="388"/>
      <c r="AC80" s="388"/>
    </row>
    <row r="81">
      <c r="A81" s="388"/>
      <c r="B81" s="388"/>
      <c r="C81" s="388"/>
      <c r="D81" s="388"/>
      <c r="E81" s="388"/>
      <c r="F81" s="388"/>
      <c r="G81" s="388"/>
      <c r="H81" s="388"/>
      <c r="I81" s="388"/>
      <c r="J81" s="642"/>
      <c r="K81" s="642"/>
      <c r="L81" s="642"/>
      <c r="M81" s="388"/>
      <c r="N81" s="388"/>
      <c r="O81" s="388"/>
      <c r="P81" s="388"/>
      <c r="Q81" s="388"/>
      <c r="R81" s="388"/>
      <c r="S81" s="388"/>
      <c r="T81" s="388"/>
      <c r="U81" s="388"/>
      <c r="V81" s="388"/>
      <c r="W81" s="388"/>
      <c r="X81" s="388"/>
      <c r="Y81" s="388"/>
      <c r="Z81" s="388"/>
      <c r="AA81" s="388"/>
      <c r="AB81" s="388"/>
      <c r="AC81" s="388"/>
    </row>
    <row r="82">
      <c r="A82" s="388"/>
      <c r="B82" s="388"/>
      <c r="C82" s="388"/>
      <c r="D82" s="388"/>
      <c r="E82" s="388"/>
      <c r="F82" s="388"/>
      <c r="G82" s="388"/>
      <c r="H82" s="388"/>
      <c r="I82" s="388"/>
      <c r="J82" s="642"/>
      <c r="K82" s="642"/>
      <c r="L82" s="642"/>
      <c r="M82" s="388"/>
      <c r="N82" s="388"/>
      <c r="O82" s="388"/>
      <c r="P82" s="388"/>
      <c r="Q82" s="388"/>
      <c r="R82" s="388"/>
      <c r="S82" s="388"/>
      <c r="T82" s="388"/>
      <c r="U82" s="388"/>
      <c r="V82" s="388"/>
      <c r="W82" s="388"/>
      <c r="X82" s="388"/>
      <c r="Y82" s="388"/>
      <c r="Z82" s="388"/>
      <c r="AA82" s="388"/>
      <c r="AB82" s="388"/>
      <c r="AC82" s="388"/>
    </row>
    <row r="83">
      <c r="A83" s="388"/>
      <c r="B83" s="388"/>
      <c r="C83" s="388"/>
      <c r="D83" s="388"/>
      <c r="E83" s="388"/>
      <c r="F83" s="388"/>
      <c r="G83" s="388"/>
      <c r="H83" s="388"/>
      <c r="I83" s="388"/>
      <c r="J83" s="642"/>
      <c r="K83" s="642"/>
      <c r="L83" s="642"/>
      <c r="M83" s="388"/>
      <c r="N83" s="388"/>
      <c r="O83" s="388"/>
      <c r="P83" s="388"/>
      <c r="Q83" s="388"/>
      <c r="R83" s="388"/>
      <c r="S83" s="388"/>
      <c r="T83" s="388"/>
      <c r="U83" s="388"/>
      <c r="V83" s="388"/>
      <c r="W83" s="388"/>
      <c r="X83" s="388"/>
      <c r="Y83" s="388"/>
      <c r="Z83" s="388"/>
      <c r="AA83" s="388"/>
      <c r="AB83" s="388"/>
      <c r="AC83" s="388"/>
    </row>
    <row r="84">
      <c r="A84" s="388"/>
      <c r="B84" s="388"/>
      <c r="C84" s="388"/>
      <c r="D84" s="388"/>
      <c r="E84" s="388"/>
      <c r="F84" s="388"/>
      <c r="G84" s="388"/>
      <c r="H84" s="388"/>
      <c r="I84" s="388"/>
      <c r="J84" s="642"/>
      <c r="K84" s="642"/>
      <c r="L84" s="642"/>
      <c r="M84" s="388"/>
      <c r="N84" s="388"/>
      <c r="O84" s="388"/>
      <c r="P84" s="388"/>
      <c r="Q84" s="388"/>
      <c r="R84" s="388"/>
      <c r="S84" s="388"/>
      <c r="T84" s="388"/>
      <c r="U84" s="388"/>
      <c r="V84" s="388"/>
      <c r="W84" s="388"/>
      <c r="X84" s="388"/>
      <c r="Y84" s="388"/>
      <c r="Z84" s="388"/>
      <c r="AA84" s="388"/>
      <c r="AB84" s="388"/>
      <c r="AC84" s="388"/>
    </row>
    <row r="85">
      <c r="A85" s="388"/>
      <c r="B85" s="388"/>
      <c r="C85" s="388"/>
      <c r="D85" s="388"/>
      <c r="E85" s="388"/>
      <c r="F85" s="388"/>
      <c r="G85" s="388"/>
      <c r="H85" s="388"/>
      <c r="I85" s="388"/>
      <c r="J85" s="642"/>
      <c r="K85" s="642"/>
      <c r="L85" s="642"/>
      <c r="M85" s="388"/>
      <c r="N85" s="388"/>
      <c r="O85" s="388"/>
      <c r="P85" s="388"/>
      <c r="Q85" s="388"/>
      <c r="R85" s="388"/>
      <c r="S85" s="388"/>
      <c r="T85" s="388"/>
      <c r="U85" s="388"/>
      <c r="V85" s="388"/>
      <c r="W85" s="388"/>
      <c r="X85" s="388"/>
      <c r="Y85" s="388"/>
      <c r="Z85" s="388"/>
      <c r="AA85" s="388"/>
      <c r="AB85" s="388"/>
      <c r="AC85" s="388"/>
    </row>
    <row r="86">
      <c r="A86" s="388"/>
      <c r="B86" s="388"/>
      <c r="C86" s="388"/>
      <c r="D86" s="388"/>
      <c r="E86" s="388"/>
      <c r="F86" s="388"/>
      <c r="G86" s="388"/>
      <c r="H86" s="388"/>
      <c r="I86" s="388"/>
      <c r="J86" s="642"/>
      <c r="K86" s="642"/>
      <c r="L86" s="642"/>
      <c r="M86" s="388"/>
      <c r="N86" s="388"/>
      <c r="O86" s="388"/>
      <c r="P86" s="388"/>
      <c r="Q86" s="388"/>
      <c r="R86" s="388"/>
      <c r="S86" s="388"/>
      <c r="T86" s="388"/>
      <c r="U86" s="388"/>
      <c r="V86" s="388"/>
      <c r="W86" s="388"/>
      <c r="X86" s="388"/>
      <c r="Y86" s="388"/>
      <c r="Z86" s="388"/>
      <c r="AA86" s="388"/>
      <c r="AB86" s="388"/>
      <c r="AC86" s="388"/>
    </row>
    <row r="87">
      <c r="A87" s="388"/>
      <c r="B87" s="388"/>
      <c r="C87" s="388"/>
      <c r="D87" s="388"/>
      <c r="E87" s="388"/>
      <c r="F87" s="388"/>
      <c r="G87" s="388"/>
      <c r="H87" s="388"/>
      <c r="I87" s="388"/>
      <c r="J87" s="642"/>
      <c r="K87" s="642"/>
      <c r="L87" s="642"/>
      <c r="M87" s="388"/>
      <c r="N87" s="388"/>
      <c r="O87" s="388"/>
      <c r="P87" s="388"/>
      <c r="Q87" s="388"/>
      <c r="R87" s="388"/>
      <c r="S87" s="388"/>
      <c r="T87" s="388"/>
      <c r="U87" s="388"/>
      <c r="V87" s="388"/>
      <c r="W87" s="388"/>
      <c r="X87" s="388"/>
      <c r="Y87" s="388"/>
      <c r="Z87" s="388"/>
      <c r="AA87" s="388"/>
      <c r="AB87" s="388"/>
      <c r="AC87" s="388"/>
    </row>
    <row r="88">
      <c r="A88" s="388"/>
      <c r="B88" s="388"/>
      <c r="C88" s="388"/>
      <c r="D88" s="388"/>
      <c r="E88" s="388"/>
      <c r="F88" s="388"/>
      <c r="G88" s="388"/>
      <c r="H88" s="388"/>
      <c r="I88" s="388"/>
      <c r="J88" s="642"/>
      <c r="K88" s="642"/>
      <c r="L88" s="642"/>
      <c r="M88" s="388"/>
      <c r="N88" s="388"/>
      <c r="O88" s="388"/>
      <c r="P88" s="388"/>
      <c r="Q88" s="388"/>
      <c r="R88" s="388"/>
      <c r="S88" s="388"/>
      <c r="T88" s="388"/>
      <c r="U88" s="388"/>
      <c r="V88" s="388"/>
      <c r="W88" s="388"/>
      <c r="X88" s="388"/>
      <c r="Y88" s="388"/>
      <c r="Z88" s="388"/>
      <c r="AA88" s="388"/>
      <c r="AB88" s="388"/>
      <c r="AC88" s="388"/>
    </row>
    <row r="89">
      <c r="A89" s="388"/>
      <c r="B89" s="388"/>
      <c r="C89" s="388"/>
      <c r="D89" s="388"/>
      <c r="E89" s="388"/>
      <c r="F89" s="388"/>
      <c r="G89" s="388"/>
      <c r="H89" s="388"/>
      <c r="I89" s="388"/>
      <c r="J89" s="642"/>
      <c r="K89" s="642"/>
      <c r="L89" s="642"/>
      <c r="M89" s="388"/>
      <c r="N89" s="388"/>
      <c r="O89" s="388"/>
      <c r="P89" s="388"/>
      <c r="Q89" s="388"/>
      <c r="R89" s="388"/>
      <c r="S89" s="388"/>
      <c r="T89" s="388"/>
      <c r="U89" s="388"/>
      <c r="V89" s="388"/>
      <c r="W89" s="388"/>
      <c r="X89" s="388"/>
      <c r="Y89" s="388"/>
      <c r="Z89" s="388"/>
      <c r="AA89" s="388"/>
      <c r="AB89" s="388"/>
      <c r="AC89" s="388"/>
    </row>
    <row r="90">
      <c r="A90" s="388"/>
      <c r="B90" s="388"/>
      <c r="C90" s="388"/>
      <c r="D90" s="388"/>
      <c r="E90" s="388"/>
      <c r="F90" s="388"/>
      <c r="G90" s="388"/>
      <c r="H90" s="388"/>
      <c r="I90" s="388"/>
      <c r="J90" s="642"/>
      <c r="K90" s="642"/>
      <c r="L90" s="642"/>
      <c r="M90" s="388"/>
      <c r="N90" s="388"/>
      <c r="O90" s="388"/>
      <c r="P90" s="388"/>
      <c r="Q90" s="388"/>
      <c r="R90" s="388"/>
      <c r="S90" s="388"/>
      <c r="T90" s="388"/>
      <c r="U90" s="388"/>
      <c r="V90" s="388"/>
      <c r="W90" s="388"/>
      <c r="X90" s="388"/>
      <c r="Y90" s="388"/>
      <c r="Z90" s="388"/>
      <c r="AA90" s="388"/>
      <c r="AB90" s="388"/>
      <c r="AC90" s="388"/>
    </row>
    <row r="91">
      <c r="A91" s="388"/>
      <c r="B91" s="388"/>
      <c r="C91" s="388"/>
      <c r="D91" s="388"/>
      <c r="E91" s="388"/>
      <c r="F91" s="388"/>
      <c r="G91" s="388"/>
      <c r="H91" s="388"/>
      <c r="I91" s="388"/>
      <c r="J91" s="642"/>
      <c r="K91" s="642"/>
      <c r="L91" s="642"/>
      <c r="M91" s="388"/>
      <c r="N91" s="388"/>
      <c r="O91" s="388"/>
      <c r="P91" s="388"/>
      <c r="Q91" s="388"/>
      <c r="R91" s="388"/>
      <c r="S91" s="388"/>
      <c r="T91" s="388"/>
      <c r="U91" s="388"/>
      <c r="V91" s="388"/>
      <c r="W91" s="388"/>
      <c r="X91" s="388"/>
      <c r="Y91" s="388"/>
      <c r="Z91" s="388"/>
      <c r="AA91" s="388"/>
      <c r="AB91" s="388"/>
      <c r="AC91" s="388"/>
    </row>
    <row r="92">
      <c r="A92" s="388"/>
      <c r="B92" s="388"/>
      <c r="C92" s="388"/>
      <c r="D92" s="388"/>
      <c r="E92" s="388"/>
      <c r="F92" s="388"/>
      <c r="G92" s="388"/>
      <c r="H92" s="388"/>
      <c r="I92" s="388"/>
      <c r="J92" s="642"/>
      <c r="K92" s="642"/>
      <c r="L92" s="642"/>
      <c r="M92" s="388"/>
      <c r="N92" s="388"/>
      <c r="O92" s="388"/>
      <c r="P92" s="388"/>
      <c r="Q92" s="388"/>
      <c r="R92" s="388"/>
      <c r="S92" s="388"/>
      <c r="T92" s="388"/>
      <c r="U92" s="388"/>
      <c r="V92" s="388"/>
      <c r="W92" s="388"/>
      <c r="X92" s="388"/>
      <c r="Y92" s="388"/>
      <c r="Z92" s="388"/>
      <c r="AA92" s="388"/>
      <c r="AB92" s="388"/>
      <c r="AC92" s="388"/>
    </row>
    <row r="93">
      <c r="A93" s="388"/>
      <c r="B93" s="388"/>
      <c r="C93" s="388"/>
      <c r="D93" s="388"/>
      <c r="E93" s="388"/>
      <c r="F93" s="388"/>
      <c r="G93" s="388"/>
      <c r="H93" s="388"/>
      <c r="I93" s="388"/>
      <c r="J93" s="642"/>
      <c r="K93" s="642"/>
      <c r="L93" s="642"/>
      <c r="M93" s="388"/>
      <c r="N93" s="388"/>
      <c r="O93" s="388"/>
      <c r="P93" s="388"/>
      <c r="Q93" s="388"/>
      <c r="R93" s="388"/>
      <c r="S93" s="388"/>
      <c r="T93" s="388"/>
      <c r="U93" s="388"/>
      <c r="V93" s="388"/>
      <c r="W93" s="388"/>
      <c r="X93" s="388"/>
      <c r="Y93" s="388"/>
      <c r="Z93" s="388"/>
      <c r="AA93" s="388"/>
      <c r="AB93" s="388"/>
      <c r="AC93" s="388"/>
    </row>
    <row r="94">
      <c r="A94" s="388"/>
      <c r="B94" s="388"/>
      <c r="C94" s="388"/>
      <c r="D94" s="388"/>
      <c r="E94" s="388"/>
      <c r="F94" s="388"/>
      <c r="G94" s="388"/>
      <c r="H94" s="388"/>
      <c r="I94" s="388"/>
      <c r="J94" s="642"/>
      <c r="K94" s="642"/>
      <c r="L94" s="642"/>
      <c r="M94" s="388"/>
      <c r="N94" s="388"/>
      <c r="O94" s="388"/>
      <c r="P94" s="388"/>
      <c r="Q94" s="388"/>
      <c r="R94" s="388"/>
      <c r="S94" s="388"/>
      <c r="T94" s="388"/>
      <c r="U94" s="388"/>
      <c r="V94" s="388"/>
      <c r="W94" s="388"/>
      <c r="X94" s="388"/>
      <c r="Y94" s="388"/>
      <c r="Z94" s="388"/>
      <c r="AA94" s="388"/>
      <c r="AB94" s="388"/>
      <c r="AC94" s="388"/>
    </row>
    <row r="95">
      <c r="A95" s="388"/>
      <c r="B95" s="388"/>
      <c r="C95" s="388"/>
      <c r="D95" s="388"/>
      <c r="E95" s="388"/>
      <c r="F95" s="388"/>
      <c r="G95" s="388"/>
      <c r="H95" s="388"/>
      <c r="I95" s="388"/>
      <c r="J95" s="642"/>
      <c r="K95" s="642"/>
      <c r="L95" s="642"/>
      <c r="M95" s="388"/>
      <c r="N95" s="388"/>
      <c r="O95" s="388"/>
      <c r="P95" s="388"/>
      <c r="Q95" s="388"/>
      <c r="R95" s="388"/>
      <c r="S95" s="388"/>
      <c r="T95" s="388"/>
      <c r="U95" s="388"/>
      <c r="V95" s="388"/>
      <c r="W95" s="388"/>
      <c r="X95" s="388"/>
      <c r="Y95" s="388"/>
      <c r="Z95" s="388"/>
      <c r="AA95" s="388"/>
      <c r="AB95" s="388"/>
      <c r="AC95" s="388"/>
    </row>
    <row r="96">
      <c r="A96" s="388"/>
      <c r="B96" s="388"/>
      <c r="C96" s="388"/>
      <c r="D96" s="388"/>
      <c r="E96" s="388"/>
      <c r="F96" s="388"/>
      <c r="G96" s="388"/>
      <c r="H96" s="388"/>
      <c r="I96" s="388"/>
      <c r="J96" s="642"/>
      <c r="K96" s="642"/>
      <c r="L96" s="642"/>
      <c r="M96" s="388"/>
      <c r="N96" s="388"/>
      <c r="O96" s="388"/>
      <c r="P96" s="388"/>
      <c r="Q96" s="388"/>
      <c r="R96" s="388"/>
      <c r="S96" s="388"/>
      <c r="T96" s="388"/>
      <c r="U96" s="388"/>
      <c r="V96" s="388"/>
      <c r="W96" s="388"/>
      <c r="X96" s="388"/>
      <c r="Y96" s="388"/>
      <c r="Z96" s="388"/>
      <c r="AA96" s="388"/>
      <c r="AB96" s="388"/>
      <c r="AC96" s="388"/>
    </row>
    <row r="97">
      <c r="A97" s="388"/>
      <c r="B97" s="388"/>
      <c r="C97" s="388"/>
      <c r="D97" s="388"/>
      <c r="E97" s="388"/>
      <c r="F97" s="388"/>
      <c r="G97" s="388"/>
      <c r="H97" s="388"/>
      <c r="I97" s="388"/>
      <c r="J97" s="642"/>
      <c r="K97" s="642"/>
      <c r="L97" s="642"/>
      <c r="M97" s="388"/>
      <c r="N97" s="388"/>
      <c r="O97" s="388"/>
      <c r="P97" s="388"/>
      <c r="Q97" s="388"/>
      <c r="R97" s="388"/>
      <c r="S97" s="388"/>
      <c r="T97" s="388"/>
      <c r="U97" s="388"/>
      <c r="V97" s="388"/>
      <c r="W97" s="388"/>
      <c r="X97" s="388"/>
      <c r="Y97" s="388"/>
      <c r="Z97" s="388"/>
      <c r="AA97" s="388"/>
      <c r="AB97" s="388"/>
      <c r="AC97" s="388"/>
    </row>
    <row r="98">
      <c r="A98" s="388"/>
      <c r="B98" s="388"/>
      <c r="C98" s="388"/>
      <c r="D98" s="388"/>
      <c r="E98" s="388"/>
      <c r="F98" s="388"/>
      <c r="G98" s="388"/>
      <c r="H98" s="388"/>
      <c r="I98" s="388"/>
      <c r="J98" s="642"/>
      <c r="K98" s="642"/>
      <c r="L98" s="642"/>
      <c r="M98" s="388"/>
      <c r="N98" s="388"/>
      <c r="O98" s="388"/>
      <c r="P98" s="388"/>
      <c r="Q98" s="388"/>
      <c r="R98" s="388"/>
      <c r="S98" s="388"/>
      <c r="T98" s="388"/>
      <c r="U98" s="388"/>
      <c r="V98" s="388"/>
      <c r="W98" s="388"/>
      <c r="X98" s="388"/>
      <c r="Y98" s="388"/>
      <c r="Z98" s="388"/>
      <c r="AA98" s="388"/>
      <c r="AB98" s="388"/>
      <c r="AC98" s="388"/>
    </row>
    <row r="99">
      <c r="A99" s="388"/>
      <c r="B99" s="388"/>
      <c r="C99" s="388"/>
      <c r="D99" s="388"/>
      <c r="E99" s="388"/>
      <c r="F99" s="388"/>
      <c r="G99" s="388"/>
      <c r="H99" s="388"/>
      <c r="I99" s="388"/>
      <c r="J99" s="642"/>
      <c r="K99" s="642"/>
      <c r="L99" s="642"/>
      <c r="M99" s="388"/>
      <c r="N99" s="388"/>
      <c r="O99" s="388"/>
      <c r="P99" s="388"/>
      <c r="Q99" s="388"/>
      <c r="R99" s="388"/>
      <c r="S99" s="388"/>
      <c r="T99" s="388"/>
      <c r="U99" s="388"/>
      <c r="V99" s="388"/>
      <c r="W99" s="388"/>
      <c r="X99" s="388"/>
      <c r="Y99" s="388"/>
      <c r="Z99" s="388"/>
      <c r="AA99" s="388"/>
      <c r="AB99" s="388"/>
      <c r="AC99" s="388"/>
    </row>
    <row r="100">
      <c r="A100" s="388"/>
      <c r="B100" s="388"/>
      <c r="C100" s="388"/>
      <c r="D100" s="388"/>
      <c r="E100" s="388"/>
      <c r="F100" s="388"/>
      <c r="G100" s="388"/>
      <c r="H100" s="388"/>
      <c r="I100" s="388"/>
      <c r="J100" s="642"/>
      <c r="K100" s="642"/>
      <c r="L100" s="642"/>
      <c r="M100" s="388"/>
      <c r="N100" s="388"/>
      <c r="O100" s="388"/>
      <c r="P100" s="388"/>
      <c r="Q100" s="388"/>
      <c r="R100" s="388"/>
      <c r="S100" s="388"/>
      <c r="T100" s="388"/>
      <c r="U100" s="388"/>
      <c r="V100" s="388"/>
      <c r="W100" s="388"/>
      <c r="X100" s="388"/>
      <c r="Y100" s="388"/>
      <c r="Z100" s="388"/>
      <c r="AA100" s="388"/>
      <c r="AB100" s="388"/>
      <c r="AC100" s="388"/>
    </row>
    <row r="101">
      <c r="A101" s="388"/>
      <c r="B101" s="388"/>
      <c r="C101" s="388"/>
      <c r="D101" s="388"/>
      <c r="E101" s="388"/>
      <c r="F101" s="388"/>
      <c r="G101" s="388"/>
      <c r="H101" s="388"/>
      <c r="I101" s="388"/>
      <c r="J101" s="642"/>
      <c r="K101" s="642"/>
      <c r="L101" s="642"/>
      <c r="M101" s="388"/>
      <c r="N101" s="388"/>
      <c r="O101" s="388"/>
      <c r="P101" s="388"/>
      <c r="Q101" s="388"/>
      <c r="R101" s="388"/>
      <c r="S101" s="388"/>
      <c r="T101" s="388"/>
      <c r="U101" s="388"/>
      <c r="V101" s="388"/>
      <c r="W101" s="388"/>
      <c r="X101" s="388"/>
      <c r="Y101" s="388"/>
      <c r="Z101" s="388"/>
      <c r="AA101" s="388"/>
      <c r="AB101" s="388"/>
      <c r="AC101" s="388"/>
    </row>
    <row r="102">
      <c r="A102" s="388"/>
      <c r="B102" s="388"/>
      <c r="C102" s="388"/>
      <c r="D102" s="388"/>
      <c r="E102" s="388"/>
      <c r="F102" s="388"/>
      <c r="G102" s="388"/>
      <c r="H102" s="388"/>
      <c r="I102" s="388"/>
      <c r="J102" s="642"/>
      <c r="K102" s="642"/>
      <c r="L102" s="642"/>
      <c r="M102" s="388"/>
      <c r="N102" s="388"/>
      <c r="O102" s="388"/>
      <c r="P102" s="388"/>
      <c r="Q102" s="388"/>
      <c r="R102" s="388"/>
      <c r="S102" s="388"/>
      <c r="T102" s="388"/>
      <c r="U102" s="388"/>
      <c r="V102" s="388"/>
      <c r="W102" s="388"/>
      <c r="X102" s="388"/>
      <c r="Y102" s="388"/>
      <c r="Z102" s="388"/>
      <c r="AA102" s="388"/>
      <c r="AB102" s="388"/>
      <c r="AC102" s="388"/>
    </row>
    <row r="103">
      <c r="A103" s="388"/>
      <c r="B103" s="388"/>
      <c r="C103" s="388"/>
      <c r="D103" s="388"/>
      <c r="E103" s="388"/>
      <c r="F103" s="388"/>
      <c r="G103" s="388"/>
      <c r="H103" s="388"/>
      <c r="I103" s="388"/>
      <c r="J103" s="642"/>
      <c r="K103" s="642"/>
      <c r="L103" s="642"/>
      <c r="M103" s="388"/>
      <c r="N103" s="388"/>
      <c r="O103" s="388"/>
      <c r="P103" s="388"/>
      <c r="Q103" s="388"/>
      <c r="R103" s="388"/>
      <c r="S103" s="388"/>
      <c r="T103" s="388"/>
      <c r="U103" s="388"/>
      <c r="V103" s="388"/>
      <c r="W103" s="388"/>
      <c r="X103" s="388"/>
      <c r="Y103" s="388"/>
      <c r="Z103" s="388"/>
      <c r="AA103" s="388"/>
      <c r="AB103" s="388"/>
      <c r="AC103" s="388"/>
    </row>
    <row r="104">
      <c r="A104" s="388"/>
      <c r="B104" s="388"/>
      <c r="C104" s="388"/>
      <c r="D104" s="388"/>
      <c r="E104" s="388"/>
      <c r="F104" s="388"/>
      <c r="G104" s="388"/>
      <c r="H104" s="388"/>
      <c r="I104" s="388"/>
      <c r="J104" s="642"/>
      <c r="K104" s="642"/>
      <c r="L104" s="642"/>
      <c r="M104" s="388"/>
      <c r="N104" s="388"/>
      <c r="O104" s="388"/>
      <c r="P104" s="388"/>
      <c r="Q104" s="388"/>
      <c r="R104" s="388"/>
      <c r="S104" s="388"/>
      <c r="T104" s="388"/>
      <c r="U104" s="388"/>
      <c r="V104" s="388"/>
      <c r="W104" s="388"/>
      <c r="X104" s="388"/>
      <c r="Y104" s="388"/>
      <c r="Z104" s="388"/>
      <c r="AA104" s="388"/>
      <c r="AB104" s="388"/>
      <c r="AC104" s="388"/>
    </row>
    <row r="105">
      <c r="A105" s="388"/>
      <c r="B105" s="388"/>
      <c r="C105" s="388"/>
      <c r="D105" s="388"/>
      <c r="E105" s="388"/>
      <c r="F105" s="388"/>
      <c r="G105" s="388"/>
      <c r="H105" s="388"/>
      <c r="I105" s="388"/>
      <c r="J105" s="642"/>
      <c r="K105" s="642"/>
      <c r="L105" s="642"/>
      <c r="M105" s="388"/>
      <c r="N105" s="388"/>
      <c r="O105" s="388"/>
      <c r="P105" s="388"/>
      <c r="Q105" s="388"/>
      <c r="R105" s="388"/>
      <c r="S105" s="388"/>
      <c r="T105" s="388"/>
      <c r="U105" s="388"/>
      <c r="V105" s="388"/>
      <c r="W105" s="388"/>
      <c r="X105" s="388"/>
      <c r="Y105" s="388"/>
      <c r="Z105" s="388"/>
      <c r="AA105" s="388"/>
      <c r="AB105" s="388"/>
      <c r="AC105" s="388"/>
    </row>
    <row r="106">
      <c r="A106" s="388"/>
      <c r="B106" s="388"/>
      <c r="C106" s="388"/>
      <c r="D106" s="388"/>
      <c r="E106" s="388"/>
      <c r="F106" s="388"/>
      <c r="G106" s="388"/>
      <c r="H106" s="388"/>
      <c r="I106" s="388"/>
      <c r="J106" s="642"/>
      <c r="K106" s="642"/>
      <c r="L106" s="642"/>
      <c r="M106" s="388"/>
      <c r="N106" s="388"/>
      <c r="O106" s="388"/>
      <c r="P106" s="388"/>
      <c r="Q106" s="388"/>
      <c r="R106" s="388"/>
      <c r="S106" s="388"/>
      <c r="T106" s="388"/>
      <c r="U106" s="388"/>
      <c r="V106" s="388"/>
      <c r="W106" s="388"/>
      <c r="X106" s="388"/>
      <c r="Y106" s="388"/>
      <c r="Z106" s="388"/>
      <c r="AA106" s="388"/>
      <c r="AB106" s="388"/>
      <c r="AC106" s="388"/>
    </row>
    <row r="107">
      <c r="A107" s="388"/>
      <c r="B107" s="388"/>
      <c r="C107" s="388"/>
      <c r="D107" s="388"/>
      <c r="E107" s="388"/>
      <c r="F107" s="388"/>
      <c r="G107" s="388"/>
      <c r="H107" s="388"/>
      <c r="I107" s="388"/>
      <c r="J107" s="642"/>
      <c r="K107" s="642"/>
      <c r="L107" s="642"/>
      <c r="M107" s="388"/>
      <c r="N107" s="388"/>
      <c r="O107" s="388"/>
      <c r="P107" s="388"/>
      <c r="Q107" s="388"/>
      <c r="R107" s="388"/>
      <c r="S107" s="388"/>
      <c r="T107" s="388"/>
      <c r="U107" s="388"/>
      <c r="V107" s="388"/>
      <c r="W107" s="388"/>
      <c r="X107" s="388"/>
      <c r="Y107" s="388"/>
      <c r="Z107" s="388"/>
      <c r="AA107" s="388"/>
      <c r="AB107" s="388"/>
      <c r="AC107" s="388"/>
    </row>
    <row r="108">
      <c r="A108" s="388"/>
      <c r="B108" s="388"/>
      <c r="C108" s="388"/>
      <c r="D108" s="388"/>
      <c r="E108" s="388"/>
      <c r="F108" s="388"/>
      <c r="G108" s="388"/>
      <c r="H108" s="388"/>
      <c r="I108" s="388"/>
      <c r="J108" s="642"/>
      <c r="K108" s="642"/>
      <c r="L108" s="642"/>
      <c r="M108" s="388"/>
      <c r="N108" s="388"/>
      <c r="O108" s="388"/>
      <c r="P108" s="388"/>
      <c r="Q108" s="388"/>
      <c r="R108" s="388"/>
      <c r="S108" s="388"/>
      <c r="T108" s="388"/>
      <c r="U108" s="388"/>
      <c r="V108" s="388"/>
      <c r="W108" s="388"/>
      <c r="X108" s="388"/>
      <c r="Y108" s="388"/>
      <c r="Z108" s="388"/>
      <c r="AA108" s="388"/>
      <c r="AB108" s="388"/>
      <c r="AC108" s="388"/>
    </row>
    <row r="109">
      <c r="A109" s="388"/>
      <c r="B109" s="388"/>
      <c r="C109" s="388"/>
      <c r="D109" s="388"/>
      <c r="E109" s="388"/>
      <c r="F109" s="388"/>
      <c r="G109" s="388"/>
      <c r="H109" s="388"/>
      <c r="I109" s="388"/>
      <c r="J109" s="642"/>
      <c r="K109" s="642"/>
      <c r="L109" s="642"/>
      <c r="M109" s="388"/>
      <c r="N109" s="388"/>
      <c r="O109" s="388"/>
      <c r="P109" s="388"/>
      <c r="Q109" s="388"/>
      <c r="R109" s="388"/>
      <c r="S109" s="388"/>
      <c r="T109" s="388"/>
      <c r="U109" s="388"/>
      <c r="V109" s="388"/>
      <c r="W109" s="388"/>
      <c r="X109" s="388"/>
      <c r="Y109" s="388"/>
      <c r="Z109" s="388"/>
      <c r="AA109" s="388"/>
      <c r="AB109" s="388"/>
      <c r="AC109" s="388"/>
    </row>
    <row r="110">
      <c r="A110" s="388"/>
      <c r="B110" s="388"/>
      <c r="C110" s="388"/>
      <c r="D110" s="388"/>
      <c r="E110" s="388"/>
      <c r="F110" s="388"/>
      <c r="G110" s="388"/>
      <c r="H110" s="388"/>
      <c r="I110" s="388"/>
      <c r="J110" s="642"/>
      <c r="K110" s="642"/>
      <c r="L110" s="642"/>
      <c r="M110" s="388"/>
      <c r="N110" s="388"/>
      <c r="O110" s="388"/>
      <c r="P110" s="388"/>
      <c r="Q110" s="388"/>
      <c r="R110" s="388"/>
      <c r="S110" s="388"/>
      <c r="T110" s="388"/>
      <c r="U110" s="388"/>
      <c r="V110" s="388"/>
      <c r="W110" s="388"/>
      <c r="X110" s="388"/>
      <c r="Y110" s="388"/>
      <c r="Z110" s="388"/>
      <c r="AA110" s="388"/>
      <c r="AB110" s="388"/>
      <c r="AC110" s="388"/>
    </row>
    <row r="111">
      <c r="A111" s="388"/>
      <c r="B111" s="388"/>
      <c r="C111" s="388"/>
      <c r="D111" s="388"/>
      <c r="E111" s="388"/>
      <c r="F111" s="388"/>
      <c r="G111" s="388"/>
      <c r="H111" s="388"/>
      <c r="I111" s="388"/>
      <c r="J111" s="642"/>
      <c r="K111" s="642"/>
      <c r="L111" s="642"/>
      <c r="M111" s="388"/>
      <c r="N111" s="388"/>
      <c r="O111" s="388"/>
      <c r="P111" s="388"/>
      <c r="Q111" s="388"/>
      <c r="R111" s="388"/>
      <c r="S111" s="388"/>
      <c r="T111" s="388"/>
      <c r="U111" s="388"/>
      <c r="V111" s="388"/>
      <c r="W111" s="388"/>
      <c r="X111" s="388"/>
      <c r="Y111" s="388"/>
      <c r="Z111" s="388"/>
      <c r="AA111" s="388"/>
      <c r="AB111" s="388"/>
      <c r="AC111" s="388"/>
    </row>
    <row r="112">
      <c r="A112" s="388"/>
      <c r="B112" s="388"/>
      <c r="C112" s="388"/>
      <c r="D112" s="388"/>
      <c r="E112" s="388"/>
      <c r="F112" s="388"/>
      <c r="G112" s="388"/>
      <c r="H112" s="388"/>
      <c r="I112" s="388"/>
      <c r="J112" s="642"/>
      <c r="K112" s="642"/>
      <c r="L112" s="642"/>
      <c r="M112" s="388"/>
      <c r="N112" s="388"/>
      <c r="O112" s="388"/>
      <c r="P112" s="388"/>
      <c r="Q112" s="388"/>
      <c r="R112" s="388"/>
      <c r="S112" s="388"/>
      <c r="T112" s="388"/>
      <c r="U112" s="388"/>
      <c r="V112" s="388"/>
      <c r="W112" s="388"/>
      <c r="X112" s="388"/>
      <c r="Y112" s="388"/>
      <c r="Z112" s="388"/>
      <c r="AA112" s="388"/>
      <c r="AB112" s="388"/>
      <c r="AC112" s="388"/>
    </row>
    <row r="113">
      <c r="A113" s="388"/>
      <c r="B113" s="388"/>
      <c r="C113" s="388"/>
      <c r="D113" s="388"/>
      <c r="E113" s="388"/>
      <c r="F113" s="388"/>
      <c r="G113" s="388"/>
      <c r="H113" s="388"/>
      <c r="I113" s="388"/>
      <c r="J113" s="642"/>
      <c r="K113" s="642"/>
      <c r="L113" s="642"/>
      <c r="M113" s="388"/>
      <c r="N113" s="388"/>
      <c r="O113" s="388"/>
      <c r="P113" s="388"/>
      <c r="Q113" s="388"/>
      <c r="R113" s="388"/>
      <c r="S113" s="388"/>
      <c r="T113" s="388"/>
      <c r="U113" s="388"/>
      <c r="V113" s="388"/>
      <c r="W113" s="388"/>
      <c r="X113" s="388"/>
      <c r="Y113" s="388"/>
      <c r="Z113" s="388"/>
      <c r="AA113" s="388"/>
      <c r="AB113" s="388"/>
      <c r="AC113" s="388"/>
    </row>
    <row r="114">
      <c r="A114" s="388"/>
      <c r="B114" s="388"/>
      <c r="C114" s="388"/>
      <c r="D114" s="388"/>
      <c r="E114" s="388"/>
      <c r="F114" s="388"/>
      <c r="G114" s="388"/>
      <c r="H114" s="388"/>
      <c r="I114" s="388"/>
      <c r="J114" s="642"/>
      <c r="K114" s="642"/>
      <c r="L114" s="642"/>
      <c r="M114" s="388"/>
      <c r="N114" s="388"/>
      <c r="O114" s="388"/>
      <c r="P114" s="388"/>
      <c r="Q114" s="388"/>
      <c r="R114" s="388"/>
      <c r="S114" s="388"/>
      <c r="T114" s="388"/>
      <c r="U114" s="388"/>
      <c r="V114" s="388"/>
      <c r="W114" s="388"/>
      <c r="X114" s="388"/>
      <c r="Y114" s="388"/>
      <c r="Z114" s="388"/>
      <c r="AA114" s="388"/>
      <c r="AB114" s="388"/>
      <c r="AC114" s="388"/>
    </row>
    <row r="115">
      <c r="A115" s="388"/>
      <c r="B115" s="388"/>
      <c r="C115" s="388"/>
      <c r="D115" s="388"/>
      <c r="E115" s="388"/>
      <c r="F115" s="388"/>
      <c r="G115" s="388"/>
      <c r="H115" s="388"/>
      <c r="I115" s="388"/>
      <c r="J115" s="642"/>
      <c r="K115" s="642"/>
      <c r="L115" s="642"/>
      <c r="M115" s="388"/>
      <c r="N115" s="388"/>
      <c r="O115" s="388"/>
      <c r="P115" s="388"/>
      <c r="Q115" s="388"/>
      <c r="R115" s="388"/>
      <c r="S115" s="388"/>
      <c r="T115" s="388"/>
      <c r="U115" s="388"/>
      <c r="V115" s="388"/>
      <c r="W115" s="388"/>
      <c r="X115" s="388"/>
      <c r="Y115" s="388"/>
      <c r="Z115" s="388"/>
      <c r="AA115" s="388"/>
      <c r="AB115" s="388"/>
      <c r="AC115" s="388"/>
    </row>
    <row r="116">
      <c r="A116" s="388"/>
      <c r="B116" s="388"/>
      <c r="C116" s="388"/>
      <c r="D116" s="388"/>
      <c r="E116" s="388"/>
      <c r="F116" s="388"/>
      <c r="G116" s="388"/>
      <c r="H116" s="388"/>
      <c r="I116" s="388"/>
      <c r="J116" s="642"/>
      <c r="K116" s="642"/>
      <c r="L116" s="642"/>
      <c r="M116" s="388"/>
      <c r="N116" s="388"/>
      <c r="O116" s="388"/>
      <c r="P116" s="388"/>
      <c r="Q116" s="388"/>
      <c r="R116" s="388"/>
      <c r="S116" s="388"/>
      <c r="T116" s="388"/>
      <c r="U116" s="388"/>
      <c r="V116" s="388"/>
      <c r="W116" s="388"/>
      <c r="X116" s="388"/>
      <c r="Y116" s="388"/>
      <c r="Z116" s="388"/>
      <c r="AA116" s="388"/>
      <c r="AB116" s="388"/>
      <c r="AC116" s="388"/>
    </row>
    <row r="117">
      <c r="A117" s="388"/>
      <c r="B117" s="388"/>
      <c r="C117" s="388"/>
      <c r="D117" s="388"/>
      <c r="E117" s="388"/>
      <c r="F117" s="388"/>
      <c r="G117" s="388"/>
      <c r="H117" s="388"/>
      <c r="I117" s="388"/>
      <c r="J117" s="642"/>
      <c r="K117" s="642"/>
      <c r="L117" s="642"/>
      <c r="M117" s="388"/>
      <c r="N117" s="388"/>
      <c r="O117" s="388"/>
      <c r="P117" s="388"/>
      <c r="Q117" s="388"/>
      <c r="R117" s="388"/>
      <c r="S117" s="388"/>
      <c r="T117" s="388"/>
      <c r="U117" s="388"/>
      <c r="V117" s="388"/>
      <c r="W117" s="388"/>
      <c r="X117" s="388"/>
      <c r="Y117" s="388"/>
      <c r="Z117" s="388"/>
      <c r="AA117" s="388"/>
      <c r="AB117" s="388"/>
      <c r="AC117" s="388"/>
    </row>
    <row r="118">
      <c r="A118" s="388"/>
      <c r="B118" s="388"/>
      <c r="C118" s="388"/>
      <c r="D118" s="388"/>
      <c r="E118" s="388"/>
      <c r="F118" s="388"/>
      <c r="G118" s="388"/>
      <c r="H118" s="388"/>
      <c r="I118" s="388"/>
      <c r="J118" s="642"/>
      <c r="K118" s="642"/>
      <c r="L118" s="642"/>
      <c r="M118" s="388"/>
      <c r="N118" s="388"/>
      <c r="O118" s="388"/>
      <c r="P118" s="388"/>
      <c r="Q118" s="388"/>
      <c r="R118" s="388"/>
      <c r="S118" s="388"/>
      <c r="T118" s="388"/>
      <c r="U118" s="388"/>
      <c r="V118" s="388"/>
      <c r="W118" s="388"/>
      <c r="X118" s="388"/>
      <c r="Y118" s="388"/>
      <c r="Z118" s="388"/>
      <c r="AA118" s="388"/>
      <c r="AB118" s="388"/>
      <c r="AC118" s="388"/>
    </row>
    <row r="119">
      <c r="A119" s="388"/>
      <c r="B119" s="388"/>
      <c r="C119" s="388"/>
      <c r="D119" s="388"/>
      <c r="E119" s="388"/>
      <c r="F119" s="388"/>
      <c r="G119" s="388"/>
      <c r="H119" s="388"/>
      <c r="I119" s="388"/>
      <c r="J119" s="642"/>
      <c r="K119" s="642"/>
      <c r="L119" s="642"/>
      <c r="M119" s="388"/>
      <c r="N119" s="388"/>
      <c r="O119" s="388"/>
      <c r="P119" s="388"/>
      <c r="Q119" s="388"/>
      <c r="R119" s="388"/>
      <c r="S119" s="388"/>
      <c r="T119" s="388"/>
      <c r="U119" s="388"/>
      <c r="V119" s="388"/>
      <c r="W119" s="388"/>
      <c r="X119" s="388"/>
      <c r="Y119" s="388"/>
      <c r="Z119" s="388"/>
      <c r="AA119" s="388"/>
      <c r="AB119" s="388"/>
      <c r="AC119" s="388"/>
    </row>
    <row r="120">
      <c r="A120" s="388"/>
      <c r="B120" s="388"/>
      <c r="C120" s="388"/>
      <c r="D120" s="388"/>
      <c r="E120" s="388"/>
      <c r="F120" s="388"/>
      <c r="G120" s="388"/>
      <c r="H120" s="388"/>
      <c r="I120" s="388"/>
      <c r="J120" s="642"/>
      <c r="K120" s="642"/>
      <c r="L120" s="642"/>
      <c r="M120" s="388"/>
      <c r="N120" s="388"/>
      <c r="O120" s="388"/>
      <c r="P120" s="388"/>
      <c r="Q120" s="388"/>
      <c r="R120" s="388"/>
      <c r="S120" s="388"/>
      <c r="T120" s="388"/>
      <c r="U120" s="388"/>
      <c r="V120" s="388"/>
      <c r="W120" s="388"/>
      <c r="X120" s="388"/>
      <c r="Y120" s="388"/>
      <c r="Z120" s="388"/>
      <c r="AA120" s="388"/>
      <c r="AB120" s="388"/>
      <c r="AC120" s="388"/>
    </row>
    <row r="121">
      <c r="A121" s="388"/>
      <c r="B121" s="388"/>
      <c r="C121" s="388"/>
      <c r="D121" s="388"/>
      <c r="E121" s="388"/>
      <c r="F121" s="388"/>
      <c r="G121" s="388"/>
      <c r="H121" s="388"/>
      <c r="I121" s="388"/>
      <c r="J121" s="642"/>
      <c r="K121" s="642"/>
      <c r="L121" s="642"/>
      <c r="M121" s="388"/>
      <c r="N121" s="388"/>
      <c r="O121" s="388"/>
      <c r="P121" s="388"/>
      <c r="Q121" s="388"/>
      <c r="R121" s="388"/>
      <c r="S121" s="388"/>
      <c r="T121" s="388"/>
      <c r="U121" s="388"/>
      <c r="V121" s="388"/>
      <c r="W121" s="388"/>
      <c r="X121" s="388"/>
      <c r="Y121" s="388"/>
      <c r="Z121" s="388"/>
      <c r="AA121" s="388"/>
      <c r="AB121" s="388"/>
      <c r="AC121" s="388"/>
    </row>
    <row r="122">
      <c r="A122" s="388"/>
      <c r="B122" s="388"/>
      <c r="C122" s="388"/>
      <c r="D122" s="388"/>
      <c r="E122" s="388"/>
      <c r="F122" s="388"/>
      <c r="G122" s="388"/>
      <c r="H122" s="388"/>
      <c r="I122" s="388"/>
      <c r="J122" s="642"/>
      <c r="K122" s="642"/>
      <c r="L122" s="642"/>
      <c r="M122" s="388"/>
      <c r="N122" s="388"/>
      <c r="O122" s="388"/>
      <c r="P122" s="388"/>
      <c r="Q122" s="388"/>
      <c r="R122" s="388"/>
      <c r="S122" s="388"/>
      <c r="T122" s="388"/>
      <c r="U122" s="388"/>
      <c r="V122" s="388"/>
      <c r="W122" s="388"/>
      <c r="X122" s="388"/>
      <c r="Y122" s="388"/>
      <c r="Z122" s="388"/>
      <c r="AA122" s="388"/>
      <c r="AB122" s="388"/>
      <c r="AC122" s="388"/>
    </row>
    <row r="123">
      <c r="A123" s="388"/>
      <c r="B123" s="388"/>
      <c r="C123" s="388"/>
      <c r="D123" s="388"/>
      <c r="E123" s="388"/>
      <c r="F123" s="388"/>
      <c r="G123" s="388"/>
      <c r="H123" s="388"/>
      <c r="I123" s="388"/>
      <c r="J123" s="642"/>
      <c r="K123" s="642"/>
      <c r="L123" s="642"/>
      <c r="M123" s="388"/>
      <c r="N123" s="388"/>
      <c r="O123" s="388"/>
      <c r="P123" s="388"/>
      <c r="Q123" s="388"/>
      <c r="R123" s="388"/>
      <c r="S123" s="388"/>
      <c r="T123" s="388"/>
      <c r="U123" s="388"/>
      <c r="V123" s="388"/>
      <c r="W123" s="388"/>
      <c r="X123" s="388"/>
      <c r="Y123" s="388"/>
      <c r="Z123" s="388"/>
      <c r="AA123" s="388"/>
      <c r="AB123" s="388"/>
      <c r="AC123" s="388"/>
    </row>
    <row r="124">
      <c r="A124" s="388"/>
      <c r="B124" s="388"/>
      <c r="C124" s="388"/>
      <c r="D124" s="388"/>
      <c r="E124" s="388"/>
      <c r="F124" s="388"/>
      <c r="G124" s="388"/>
      <c r="H124" s="388"/>
      <c r="I124" s="388"/>
      <c r="J124" s="642"/>
      <c r="K124" s="642"/>
      <c r="L124" s="642"/>
      <c r="M124" s="388"/>
      <c r="N124" s="388"/>
      <c r="O124" s="388"/>
      <c r="P124" s="388"/>
      <c r="Q124" s="388"/>
      <c r="R124" s="388"/>
      <c r="S124" s="388"/>
      <c r="T124" s="388"/>
      <c r="U124" s="388"/>
      <c r="V124" s="388"/>
      <c r="W124" s="388"/>
      <c r="X124" s="388"/>
      <c r="Y124" s="388"/>
      <c r="Z124" s="388"/>
      <c r="AA124" s="388"/>
      <c r="AB124" s="388"/>
      <c r="AC124" s="388"/>
    </row>
    <row r="125">
      <c r="A125" s="388"/>
      <c r="B125" s="388"/>
      <c r="C125" s="388"/>
      <c r="D125" s="388"/>
      <c r="E125" s="388"/>
      <c r="F125" s="388"/>
      <c r="G125" s="388"/>
      <c r="H125" s="388"/>
      <c r="I125" s="388"/>
      <c r="J125" s="642"/>
      <c r="K125" s="642"/>
      <c r="L125" s="642"/>
      <c r="M125" s="388"/>
      <c r="N125" s="388"/>
      <c r="O125" s="388"/>
      <c r="P125" s="388"/>
      <c r="Q125" s="388"/>
      <c r="R125" s="388"/>
      <c r="S125" s="388"/>
      <c r="T125" s="388"/>
      <c r="U125" s="388"/>
      <c r="V125" s="388"/>
      <c r="W125" s="388"/>
      <c r="X125" s="388"/>
      <c r="Y125" s="388"/>
      <c r="Z125" s="388"/>
      <c r="AA125" s="388"/>
      <c r="AB125" s="388"/>
      <c r="AC125" s="388"/>
    </row>
    <row r="126">
      <c r="A126" s="388"/>
      <c r="B126" s="388"/>
      <c r="C126" s="388"/>
      <c r="D126" s="388"/>
      <c r="E126" s="388"/>
      <c r="F126" s="388"/>
      <c r="G126" s="388"/>
      <c r="H126" s="388"/>
      <c r="I126" s="388"/>
      <c r="J126" s="642"/>
      <c r="K126" s="642"/>
      <c r="L126" s="642"/>
      <c r="M126" s="388"/>
      <c r="N126" s="388"/>
      <c r="O126" s="388"/>
      <c r="P126" s="388"/>
      <c r="Q126" s="388"/>
      <c r="R126" s="388"/>
      <c r="S126" s="388"/>
      <c r="T126" s="388"/>
      <c r="U126" s="388"/>
      <c r="V126" s="388"/>
      <c r="W126" s="388"/>
      <c r="X126" s="388"/>
      <c r="Y126" s="388"/>
      <c r="Z126" s="388"/>
      <c r="AA126" s="388"/>
      <c r="AB126" s="388"/>
      <c r="AC126" s="388"/>
    </row>
    <row r="127">
      <c r="A127" s="388"/>
      <c r="B127" s="388"/>
      <c r="C127" s="388"/>
      <c r="D127" s="388"/>
      <c r="E127" s="388"/>
      <c r="F127" s="388"/>
      <c r="G127" s="388"/>
      <c r="H127" s="388"/>
      <c r="I127" s="388"/>
      <c r="J127" s="642"/>
      <c r="K127" s="642"/>
      <c r="L127" s="642"/>
      <c r="M127" s="388"/>
      <c r="N127" s="388"/>
      <c r="O127" s="388"/>
      <c r="P127" s="388"/>
      <c r="Q127" s="388"/>
      <c r="R127" s="388"/>
      <c r="S127" s="388"/>
      <c r="T127" s="388"/>
      <c r="U127" s="388"/>
      <c r="V127" s="388"/>
      <c r="W127" s="388"/>
      <c r="X127" s="388"/>
      <c r="Y127" s="388"/>
      <c r="Z127" s="388"/>
      <c r="AA127" s="388"/>
      <c r="AB127" s="388"/>
      <c r="AC127" s="388"/>
    </row>
    <row r="128">
      <c r="A128" s="388"/>
      <c r="B128" s="388"/>
      <c r="C128" s="388"/>
      <c r="D128" s="388"/>
      <c r="E128" s="388"/>
      <c r="F128" s="388"/>
      <c r="G128" s="388"/>
      <c r="H128" s="388"/>
      <c r="I128" s="388"/>
      <c r="J128" s="642"/>
      <c r="K128" s="642"/>
      <c r="L128" s="642"/>
      <c r="M128" s="388"/>
      <c r="N128" s="388"/>
      <c r="O128" s="388"/>
      <c r="P128" s="388"/>
      <c r="Q128" s="388"/>
      <c r="R128" s="388"/>
      <c r="S128" s="388"/>
      <c r="T128" s="388"/>
      <c r="U128" s="388"/>
      <c r="V128" s="388"/>
      <c r="W128" s="388"/>
      <c r="X128" s="388"/>
      <c r="Y128" s="388"/>
      <c r="Z128" s="388"/>
      <c r="AA128" s="388"/>
      <c r="AB128" s="388"/>
      <c r="AC128" s="388"/>
    </row>
    <row r="129">
      <c r="A129" s="388"/>
      <c r="B129" s="388"/>
      <c r="C129" s="388"/>
      <c r="D129" s="388"/>
      <c r="E129" s="388"/>
      <c r="F129" s="388"/>
      <c r="G129" s="388"/>
      <c r="H129" s="388"/>
      <c r="I129" s="388"/>
      <c r="J129" s="642"/>
      <c r="K129" s="642"/>
      <c r="L129" s="642"/>
      <c r="M129" s="388"/>
      <c r="N129" s="388"/>
      <c r="O129" s="388"/>
      <c r="P129" s="388"/>
      <c r="Q129" s="388"/>
      <c r="R129" s="388"/>
      <c r="S129" s="388"/>
      <c r="T129" s="388"/>
      <c r="U129" s="388"/>
      <c r="V129" s="388"/>
      <c r="W129" s="388"/>
      <c r="X129" s="388"/>
      <c r="Y129" s="388"/>
      <c r="Z129" s="388"/>
      <c r="AA129" s="388"/>
      <c r="AB129" s="388"/>
      <c r="AC129" s="388"/>
    </row>
    <row r="130">
      <c r="A130" s="388"/>
      <c r="B130" s="388"/>
      <c r="C130" s="388"/>
      <c r="D130" s="388"/>
      <c r="E130" s="388"/>
      <c r="F130" s="388"/>
      <c r="G130" s="388"/>
      <c r="H130" s="388"/>
      <c r="I130" s="388"/>
      <c r="J130" s="642"/>
      <c r="K130" s="642"/>
      <c r="L130" s="642"/>
      <c r="M130" s="388"/>
      <c r="N130" s="388"/>
      <c r="O130" s="388"/>
      <c r="P130" s="388"/>
      <c r="Q130" s="388"/>
      <c r="R130" s="388"/>
      <c r="S130" s="388"/>
      <c r="T130" s="388"/>
      <c r="U130" s="388"/>
      <c r="V130" s="388"/>
      <c r="W130" s="388"/>
      <c r="X130" s="388"/>
      <c r="Y130" s="388"/>
      <c r="Z130" s="388"/>
      <c r="AA130" s="388"/>
      <c r="AB130" s="388"/>
      <c r="AC130" s="388"/>
    </row>
    <row r="131">
      <c r="A131" s="388"/>
      <c r="B131" s="388"/>
      <c r="C131" s="388"/>
      <c r="D131" s="388"/>
      <c r="E131" s="388"/>
      <c r="F131" s="388"/>
      <c r="G131" s="388"/>
      <c r="H131" s="388"/>
      <c r="I131" s="388"/>
      <c r="J131" s="642"/>
      <c r="K131" s="642"/>
      <c r="L131" s="642"/>
      <c r="M131" s="388"/>
      <c r="N131" s="388"/>
      <c r="O131" s="388"/>
      <c r="P131" s="388"/>
      <c r="Q131" s="388"/>
      <c r="R131" s="388"/>
      <c r="S131" s="388"/>
      <c r="T131" s="388"/>
      <c r="U131" s="388"/>
      <c r="V131" s="388"/>
      <c r="W131" s="388"/>
      <c r="X131" s="388"/>
      <c r="Y131" s="388"/>
      <c r="Z131" s="388"/>
      <c r="AA131" s="388"/>
      <c r="AB131" s="388"/>
      <c r="AC131" s="388"/>
    </row>
    <row r="132">
      <c r="A132" s="388"/>
      <c r="B132" s="388"/>
      <c r="C132" s="388"/>
      <c r="D132" s="388"/>
      <c r="E132" s="388"/>
      <c r="F132" s="388"/>
      <c r="G132" s="388"/>
      <c r="H132" s="388"/>
      <c r="I132" s="388"/>
      <c r="J132" s="642"/>
      <c r="K132" s="642"/>
      <c r="L132" s="642"/>
      <c r="M132" s="388"/>
      <c r="N132" s="388"/>
      <c r="O132" s="388"/>
      <c r="P132" s="388"/>
      <c r="Q132" s="388"/>
      <c r="R132" s="388"/>
      <c r="S132" s="388"/>
      <c r="T132" s="388"/>
      <c r="U132" s="388"/>
      <c r="V132" s="388"/>
      <c r="W132" s="388"/>
      <c r="X132" s="388"/>
      <c r="Y132" s="388"/>
      <c r="Z132" s="388"/>
      <c r="AA132" s="388"/>
      <c r="AB132" s="388"/>
      <c r="AC132" s="388"/>
    </row>
    <row r="133">
      <c r="A133" s="388"/>
      <c r="B133" s="388"/>
      <c r="C133" s="388"/>
      <c r="D133" s="388"/>
      <c r="E133" s="388"/>
      <c r="F133" s="388"/>
      <c r="G133" s="388"/>
      <c r="H133" s="388"/>
      <c r="I133" s="388"/>
      <c r="J133" s="642"/>
      <c r="K133" s="642"/>
      <c r="L133" s="642"/>
      <c r="M133" s="388"/>
      <c r="N133" s="388"/>
      <c r="O133" s="388"/>
      <c r="P133" s="388"/>
      <c r="Q133" s="388"/>
      <c r="R133" s="388"/>
      <c r="S133" s="388"/>
      <c r="T133" s="388"/>
      <c r="U133" s="388"/>
      <c r="V133" s="388"/>
      <c r="W133" s="388"/>
      <c r="X133" s="388"/>
      <c r="Y133" s="388"/>
      <c r="Z133" s="388"/>
      <c r="AA133" s="388"/>
      <c r="AB133" s="388"/>
      <c r="AC133" s="388"/>
    </row>
    <row r="134">
      <c r="A134" s="388"/>
      <c r="B134" s="388"/>
      <c r="C134" s="388"/>
      <c r="D134" s="388"/>
      <c r="E134" s="388"/>
      <c r="F134" s="388"/>
      <c r="G134" s="388"/>
      <c r="H134" s="388"/>
      <c r="I134" s="388"/>
      <c r="J134" s="642"/>
      <c r="K134" s="642"/>
      <c r="L134" s="642"/>
      <c r="M134" s="388"/>
      <c r="N134" s="388"/>
      <c r="O134" s="388"/>
      <c r="P134" s="388"/>
      <c r="Q134" s="388"/>
      <c r="R134" s="388"/>
      <c r="S134" s="388"/>
      <c r="T134" s="388"/>
      <c r="U134" s="388"/>
      <c r="V134" s="388"/>
      <c r="W134" s="388"/>
      <c r="X134" s="388"/>
      <c r="Y134" s="388"/>
      <c r="Z134" s="388"/>
      <c r="AA134" s="388"/>
      <c r="AB134" s="388"/>
      <c r="AC134" s="388"/>
    </row>
    <row r="135">
      <c r="A135" s="388"/>
      <c r="B135" s="388"/>
      <c r="C135" s="388"/>
      <c r="D135" s="388"/>
      <c r="E135" s="388"/>
      <c r="F135" s="388"/>
      <c r="G135" s="388"/>
      <c r="H135" s="388"/>
      <c r="I135" s="388"/>
      <c r="J135" s="642"/>
      <c r="K135" s="642"/>
      <c r="L135" s="642"/>
      <c r="M135" s="388"/>
      <c r="N135" s="388"/>
      <c r="O135" s="388"/>
      <c r="P135" s="388"/>
      <c r="Q135" s="388"/>
      <c r="R135" s="388"/>
      <c r="S135" s="388"/>
      <c r="T135" s="388"/>
      <c r="U135" s="388"/>
      <c r="V135" s="388"/>
      <c r="W135" s="388"/>
      <c r="X135" s="388"/>
      <c r="Y135" s="388"/>
      <c r="Z135" s="388"/>
      <c r="AA135" s="388"/>
      <c r="AB135" s="388"/>
      <c r="AC135" s="388"/>
    </row>
    <row r="136">
      <c r="A136" s="388"/>
      <c r="B136" s="388"/>
      <c r="C136" s="388"/>
      <c r="D136" s="388"/>
      <c r="E136" s="388"/>
      <c r="F136" s="388"/>
      <c r="G136" s="388"/>
      <c r="H136" s="388"/>
      <c r="I136" s="388"/>
      <c r="J136" s="642"/>
      <c r="K136" s="642"/>
      <c r="L136" s="642"/>
      <c r="M136" s="388"/>
      <c r="N136" s="388"/>
      <c r="O136" s="388"/>
      <c r="P136" s="388"/>
      <c r="Q136" s="388"/>
      <c r="R136" s="388"/>
      <c r="S136" s="388"/>
      <c r="T136" s="388"/>
      <c r="U136" s="388"/>
      <c r="V136" s="388"/>
      <c r="W136" s="388"/>
      <c r="X136" s="388"/>
      <c r="Y136" s="388"/>
      <c r="Z136" s="388"/>
      <c r="AA136" s="388"/>
      <c r="AB136" s="388"/>
      <c r="AC136" s="388"/>
    </row>
    <row r="137">
      <c r="A137" s="388"/>
      <c r="B137" s="388"/>
      <c r="C137" s="388"/>
      <c r="D137" s="388"/>
      <c r="E137" s="388"/>
      <c r="F137" s="388"/>
      <c r="G137" s="388"/>
      <c r="H137" s="388"/>
      <c r="I137" s="388"/>
      <c r="J137" s="642"/>
      <c r="K137" s="642"/>
      <c r="L137" s="642"/>
      <c r="M137" s="388"/>
      <c r="N137" s="388"/>
      <c r="O137" s="388"/>
      <c r="P137" s="388"/>
      <c r="Q137" s="388"/>
      <c r="R137" s="388"/>
      <c r="S137" s="388"/>
      <c r="T137" s="388"/>
      <c r="U137" s="388"/>
      <c r="V137" s="388"/>
      <c r="W137" s="388"/>
      <c r="X137" s="388"/>
      <c r="Y137" s="388"/>
      <c r="Z137" s="388"/>
      <c r="AA137" s="388"/>
      <c r="AB137" s="388"/>
      <c r="AC137" s="388"/>
    </row>
    <row r="138">
      <c r="A138" s="388"/>
      <c r="B138" s="388"/>
      <c r="C138" s="388"/>
      <c r="D138" s="388"/>
      <c r="E138" s="388"/>
      <c r="F138" s="388"/>
      <c r="G138" s="388"/>
      <c r="H138" s="388"/>
      <c r="I138" s="388"/>
      <c r="J138" s="642"/>
      <c r="K138" s="642"/>
      <c r="L138" s="642"/>
      <c r="M138" s="388"/>
      <c r="N138" s="388"/>
      <c r="O138" s="388"/>
      <c r="P138" s="388"/>
      <c r="Q138" s="388"/>
      <c r="R138" s="388"/>
      <c r="S138" s="388"/>
      <c r="T138" s="388"/>
      <c r="U138" s="388"/>
      <c r="V138" s="388"/>
      <c r="W138" s="388"/>
      <c r="X138" s="388"/>
      <c r="Y138" s="388"/>
      <c r="Z138" s="388"/>
      <c r="AA138" s="388"/>
      <c r="AB138" s="388"/>
      <c r="AC138" s="388"/>
    </row>
    <row r="139">
      <c r="A139" s="388"/>
      <c r="B139" s="388"/>
      <c r="C139" s="388"/>
      <c r="D139" s="388"/>
      <c r="E139" s="388"/>
      <c r="F139" s="388"/>
      <c r="G139" s="388"/>
      <c r="H139" s="388"/>
      <c r="I139" s="388"/>
      <c r="J139" s="642"/>
      <c r="K139" s="642"/>
      <c r="L139" s="642"/>
      <c r="M139" s="388"/>
      <c r="N139" s="388"/>
      <c r="O139" s="388"/>
      <c r="P139" s="388"/>
      <c r="Q139" s="388"/>
      <c r="R139" s="388"/>
      <c r="S139" s="388"/>
      <c r="T139" s="388"/>
      <c r="U139" s="388"/>
      <c r="V139" s="388"/>
      <c r="W139" s="388"/>
      <c r="X139" s="388"/>
      <c r="Y139" s="388"/>
      <c r="Z139" s="388"/>
      <c r="AA139" s="388"/>
      <c r="AB139" s="388"/>
      <c r="AC139" s="388"/>
    </row>
    <row r="140">
      <c r="A140" s="388"/>
      <c r="B140" s="388"/>
      <c r="C140" s="388"/>
      <c r="D140" s="388"/>
      <c r="E140" s="388"/>
      <c r="F140" s="388"/>
      <c r="G140" s="388"/>
      <c r="H140" s="388"/>
      <c r="I140" s="388"/>
      <c r="J140" s="642"/>
      <c r="K140" s="642"/>
      <c r="L140" s="642"/>
      <c r="M140" s="388"/>
      <c r="N140" s="388"/>
      <c r="O140" s="388"/>
      <c r="P140" s="388"/>
      <c r="Q140" s="388"/>
      <c r="R140" s="388"/>
      <c r="S140" s="388"/>
      <c r="T140" s="388"/>
      <c r="U140" s="388"/>
      <c r="V140" s="388"/>
      <c r="W140" s="388"/>
      <c r="X140" s="388"/>
      <c r="Y140" s="388"/>
      <c r="Z140" s="388"/>
      <c r="AA140" s="388"/>
      <c r="AB140" s="388"/>
      <c r="AC140" s="388"/>
    </row>
    <row r="141">
      <c r="A141" s="388"/>
      <c r="B141" s="388"/>
      <c r="C141" s="388"/>
      <c r="D141" s="388"/>
      <c r="E141" s="388"/>
      <c r="F141" s="388"/>
      <c r="G141" s="388"/>
      <c r="H141" s="388"/>
      <c r="I141" s="388"/>
      <c r="J141" s="642"/>
      <c r="K141" s="642"/>
      <c r="L141" s="642"/>
      <c r="M141" s="388"/>
      <c r="N141" s="388"/>
      <c r="O141" s="388"/>
      <c r="P141" s="388"/>
      <c r="Q141" s="388"/>
      <c r="R141" s="388"/>
      <c r="S141" s="388"/>
      <c r="T141" s="388"/>
      <c r="U141" s="388"/>
      <c r="V141" s="388"/>
      <c r="W141" s="388"/>
      <c r="X141" s="388"/>
      <c r="Y141" s="388"/>
      <c r="Z141" s="388"/>
      <c r="AA141" s="388"/>
      <c r="AB141" s="388"/>
      <c r="AC141" s="388"/>
    </row>
    <row r="142">
      <c r="A142" s="388"/>
      <c r="B142" s="388"/>
      <c r="C142" s="388"/>
      <c r="D142" s="388"/>
      <c r="E142" s="388"/>
      <c r="F142" s="388"/>
      <c r="G142" s="388"/>
      <c r="H142" s="388"/>
      <c r="I142" s="388"/>
      <c r="J142" s="642"/>
      <c r="K142" s="642"/>
      <c r="L142" s="642"/>
      <c r="M142" s="388"/>
      <c r="N142" s="388"/>
      <c r="O142" s="388"/>
      <c r="P142" s="388"/>
      <c r="Q142" s="388"/>
      <c r="R142" s="388"/>
      <c r="S142" s="388"/>
      <c r="T142" s="388"/>
      <c r="U142" s="388"/>
      <c r="V142" s="388"/>
      <c r="W142" s="388"/>
      <c r="X142" s="388"/>
      <c r="Y142" s="388"/>
      <c r="Z142" s="388"/>
      <c r="AA142" s="388"/>
      <c r="AB142" s="388"/>
      <c r="AC142" s="388"/>
    </row>
    <row r="143">
      <c r="A143" s="388"/>
      <c r="B143" s="388"/>
      <c r="C143" s="388"/>
      <c r="D143" s="388"/>
      <c r="E143" s="388"/>
      <c r="F143" s="388"/>
      <c r="G143" s="388"/>
      <c r="H143" s="388"/>
      <c r="I143" s="388"/>
      <c r="J143" s="642"/>
      <c r="K143" s="642"/>
      <c r="L143" s="642"/>
      <c r="M143" s="388"/>
      <c r="N143" s="388"/>
      <c r="O143" s="388"/>
      <c r="P143" s="388"/>
      <c r="Q143" s="388"/>
      <c r="R143" s="388"/>
      <c r="S143" s="388"/>
      <c r="T143" s="388"/>
      <c r="U143" s="388"/>
      <c r="V143" s="388"/>
      <c r="W143" s="388"/>
      <c r="X143" s="388"/>
      <c r="Y143" s="388"/>
      <c r="Z143" s="388"/>
      <c r="AA143" s="388"/>
      <c r="AB143" s="388"/>
      <c r="AC143" s="388"/>
    </row>
    <row r="144">
      <c r="A144" s="388"/>
      <c r="B144" s="388"/>
      <c r="C144" s="388"/>
      <c r="D144" s="388"/>
      <c r="E144" s="388"/>
      <c r="F144" s="388"/>
      <c r="G144" s="388"/>
      <c r="H144" s="388"/>
      <c r="I144" s="388"/>
      <c r="J144" s="642"/>
      <c r="K144" s="642"/>
      <c r="L144" s="642"/>
      <c r="M144" s="388"/>
      <c r="N144" s="388"/>
      <c r="O144" s="388"/>
      <c r="P144" s="388"/>
      <c r="Q144" s="388"/>
      <c r="R144" s="388"/>
      <c r="S144" s="388"/>
      <c r="T144" s="388"/>
      <c r="U144" s="388"/>
      <c r="V144" s="388"/>
      <c r="W144" s="388"/>
      <c r="X144" s="388"/>
      <c r="Y144" s="388"/>
      <c r="Z144" s="388"/>
      <c r="AA144" s="388"/>
      <c r="AB144" s="388"/>
      <c r="AC144" s="388"/>
    </row>
    <row r="145">
      <c r="A145" s="388"/>
      <c r="B145" s="388"/>
      <c r="C145" s="388"/>
      <c r="D145" s="388"/>
      <c r="E145" s="388"/>
      <c r="F145" s="388"/>
      <c r="G145" s="388"/>
      <c r="H145" s="388"/>
      <c r="I145" s="388"/>
      <c r="J145" s="642"/>
      <c r="K145" s="642"/>
      <c r="L145" s="642"/>
      <c r="M145" s="388"/>
      <c r="N145" s="388"/>
      <c r="O145" s="388"/>
      <c r="P145" s="388"/>
      <c r="Q145" s="388"/>
      <c r="R145" s="388"/>
      <c r="S145" s="388"/>
      <c r="T145" s="388"/>
      <c r="U145" s="388"/>
      <c r="V145" s="388"/>
      <c r="W145" s="388"/>
      <c r="X145" s="388"/>
      <c r="Y145" s="388"/>
      <c r="Z145" s="388"/>
      <c r="AA145" s="388"/>
      <c r="AB145" s="388"/>
      <c r="AC145" s="388"/>
    </row>
    <row r="146">
      <c r="A146" s="388"/>
      <c r="B146" s="388"/>
      <c r="C146" s="388"/>
      <c r="D146" s="388"/>
      <c r="E146" s="388"/>
      <c r="F146" s="388"/>
      <c r="G146" s="388"/>
      <c r="H146" s="388"/>
      <c r="I146" s="388"/>
      <c r="J146" s="642"/>
      <c r="K146" s="642"/>
      <c r="L146" s="642"/>
      <c r="M146" s="388"/>
      <c r="N146" s="388"/>
      <c r="O146" s="388"/>
      <c r="P146" s="388"/>
      <c r="Q146" s="388"/>
      <c r="R146" s="388"/>
      <c r="S146" s="388"/>
      <c r="T146" s="388"/>
      <c r="U146" s="388"/>
      <c r="V146" s="388"/>
      <c r="W146" s="388"/>
      <c r="X146" s="388"/>
      <c r="Y146" s="388"/>
      <c r="Z146" s="388"/>
      <c r="AA146" s="388"/>
      <c r="AB146" s="388"/>
      <c r="AC146" s="388"/>
    </row>
    <row r="147">
      <c r="A147" s="388"/>
      <c r="B147" s="388"/>
      <c r="C147" s="388"/>
      <c r="D147" s="388"/>
      <c r="E147" s="388"/>
      <c r="F147" s="388"/>
      <c r="G147" s="388"/>
      <c r="H147" s="388"/>
      <c r="I147" s="388"/>
      <c r="J147" s="642"/>
      <c r="K147" s="642"/>
      <c r="L147" s="642"/>
      <c r="M147" s="388"/>
      <c r="N147" s="388"/>
      <c r="O147" s="388"/>
      <c r="P147" s="388"/>
      <c r="Q147" s="388"/>
      <c r="R147" s="388"/>
      <c r="S147" s="388"/>
      <c r="T147" s="388"/>
      <c r="U147" s="388"/>
      <c r="V147" s="388"/>
      <c r="W147" s="388"/>
      <c r="X147" s="388"/>
      <c r="Y147" s="388"/>
      <c r="Z147" s="388"/>
      <c r="AA147" s="388"/>
      <c r="AB147" s="388"/>
      <c r="AC147" s="388"/>
    </row>
    <row r="148">
      <c r="A148" s="388"/>
      <c r="B148" s="388"/>
      <c r="C148" s="388"/>
      <c r="D148" s="388"/>
      <c r="E148" s="388"/>
      <c r="F148" s="388"/>
      <c r="G148" s="388"/>
      <c r="H148" s="388"/>
      <c r="I148" s="388"/>
      <c r="J148" s="642"/>
      <c r="K148" s="642"/>
      <c r="L148" s="642"/>
      <c r="M148" s="388"/>
      <c r="N148" s="388"/>
      <c r="O148" s="388"/>
      <c r="P148" s="388"/>
      <c r="Q148" s="388"/>
      <c r="R148" s="388"/>
      <c r="S148" s="388"/>
      <c r="T148" s="388"/>
      <c r="U148" s="388"/>
      <c r="V148" s="388"/>
      <c r="W148" s="388"/>
      <c r="X148" s="388"/>
      <c r="Y148" s="388"/>
      <c r="Z148" s="388"/>
      <c r="AA148" s="388"/>
      <c r="AB148" s="388"/>
      <c r="AC148" s="388"/>
    </row>
    <row r="149">
      <c r="A149" s="388"/>
      <c r="B149" s="388"/>
      <c r="C149" s="388"/>
      <c r="D149" s="388"/>
      <c r="E149" s="388"/>
      <c r="F149" s="388"/>
      <c r="G149" s="388"/>
      <c r="H149" s="388"/>
      <c r="I149" s="388"/>
      <c r="J149" s="642"/>
      <c r="K149" s="642"/>
      <c r="L149" s="642"/>
      <c r="M149" s="388"/>
      <c r="N149" s="388"/>
      <c r="O149" s="388"/>
      <c r="P149" s="388"/>
      <c r="Q149" s="388"/>
      <c r="R149" s="388"/>
      <c r="S149" s="388"/>
      <c r="T149" s="388"/>
      <c r="U149" s="388"/>
      <c r="V149" s="388"/>
      <c r="W149" s="388"/>
      <c r="X149" s="388"/>
      <c r="Y149" s="388"/>
      <c r="Z149" s="388"/>
      <c r="AA149" s="388"/>
      <c r="AB149" s="388"/>
      <c r="AC149" s="388"/>
    </row>
    <row r="150">
      <c r="A150" s="388"/>
      <c r="B150" s="388"/>
      <c r="C150" s="388"/>
      <c r="D150" s="388"/>
      <c r="E150" s="388"/>
      <c r="F150" s="388"/>
      <c r="G150" s="388"/>
      <c r="H150" s="388"/>
      <c r="I150" s="388"/>
      <c r="J150" s="642"/>
      <c r="K150" s="642"/>
      <c r="L150" s="642"/>
      <c r="M150" s="388"/>
      <c r="N150" s="388"/>
      <c r="O150" s="388"/>
      <c r="P150" s="388"/>
      <c r="Q150" s="388"/>
      <c r="R150" s="388"/>
      <c r="S150" s="388"/>
      <c r="T150" s="388"/>
      <c r="U150" s="388"/>
      <c r="V150" s="388"/>
      <c r="W150" s="388"/>
      <c r="X150" s="388"/>
      <c r="Y150" s="388"/>
      <c r="Z150" s="388"/>
      <c r="AA150" s="388"/>
      <c r="AB150" s="388"/>
      <c r="AC150" s="388"/>
    </row>
    <row r="151">
      <c r="A151" s="388"/>
      <c r="B151" s="388"/>
      <c r="C151" s="388"/>
      <c r="D151" s="388"/>
      <c r="E151" s="388"/>
      <c r="F151" s="388"/>
      <c r="G151" s="388"/>
      <c r="H151" s="388"/>
      <c r="I151" s="388"/>
      <c r="J151" s="642"/>
      <c r="K151" s="642"/>
      <c r="L151" s="642"/>
      <c r="M151" s="388"/>
      <c r="N151" s="388"/>
      <c r="O151" s="388"/>
      <c r="P151" s="388"/>
      <c r="Q151" s="388"/>
      <c r="R151" s="388"/>
      <c r="S151" s="388"/>
      <c r="T151" s="388"/>
      <c r="U151" s="388"/>
      <c r="V151" s="388"/>
      <c r="W151" s="388"/>
      <c r="X151" s="388"/>
      <c r="Y151" s="388"/>
      <c r="Z151" s="388"/>
      <c r="AA151" s="388"/>
      <c r="AB151" s="388"/>
      <c r="AC151" s="388"/>
    </row>
    <row r="152">
      <c r="A152" s="388"/>
      <c r="B152" s="388"/>
      <c r="C152" s="388"/>
      <c r="D152" s="388"/>
      <c r="E152" s="388"/>
      <c r="F152" s="388"/>
      <c r="G152" s="388"/>
      <c r="H152" s="388"/>
      <c r="I152" s="388"/>
      <c r="J152" s="642"/>
      <c r="K152" s="642"/>
      <c r="L152" s="642"/>
      <c r="M152" s="388"/>
      <c r="N152" s="388"/>
      <c r="O152" s="388"/>
      <c r="P152" s="388"/>
      <c r="Q152" s="388"/>
      <c r="R152" s="388"/>
      <c r="S152" s="388"/>
      <c r="T152" s="388"/>
      <c r="U152" s="388"/>
      <c r="V152" s="388"/>
      <c r="W152" s="388"/>
      <c r="X152" s="388"/>
      <c r="Y152" s="388"/>
      <c r="Z152" s="388"/>
      <c r="AA152" s="388"/>
      <c r="AB152" s="388"/>
      <c r="AC152" s="388"/>
    </row>
    <row r="153">
      <c r="A153" s="388"/>
      <c r="B153" s="388"/>
      <c r="C153" s="388"/>
      <c r="D153" s="388"/>
      <c r="E153" s="388"/>
      <c r="F153" s="388"/>
      <c r="G153" s="388"/>
      <c r="H153" s="388"/>
      <c r="I153" s="388"/>
      <c r="J153" s="642"/>
      <c r="K153" s="642"/>
      <c r="L153" s="642"/>
      <c r="M153" s="388"/>
      <c r="N153" s="388"/>
      <c r="O153" s="388"/>
      <c r="P153" s="388"/>
      <c r="Q153" s="388"/>
      <c r="R153" s="388"/>
      <c r="S153" s="388"/>
      <c r="T153" s="388"/>
      <c r="U153" s="388"/>
      <c r="V153" s="388"/>
      <c r="W153" s="388"/>
      <c r="X153" s="388"/>
      <c r="Y153" s="388"/>
      <c r="Z153" s="388"/>
      <c r="AA153" s="388"/>
      <c r="AB153" s="388"/>
      <c r="AC153" s="388"/>
    </row>
    <row r="154">
      <c r="A154" s="388"/>
      <c r="B154" s="388"/>
      <c r="C154" s="388"/>
      <c r="D154" s="388"/>
      <c r="E154" s="388"/>
      <c r="F154" s="388"/>
      <c r="G154" s="388"/>
      <c r="H154" s="388"/>
      <c r="I154" s="388"/>
      <c r="J154" s="642"/>
      <c r="K154" s="642"/>
      <c r="L154" s="642"/>
      <c r="M154" s="388"/>
      <c r="N154" s="388"/>
      <c r="O154" s="388"/>
      <c r="P154" s="388"/>
      <c r="Q154" s="388"/>
      <c r="R154" s="388"/>
      <c r="S154" s="388"/>
      <c r="T154" s="388"/>
      <c r="U154" s="388"/>
      <c r="V154" s="388"/>
      <c r="W154" s="388"/>
      <c r="X154" s="388"/>
      <c r="Y154" s="388"/>
      <c r="Z154" s="388"/>
      <c r="AA154" s="388"/>
      <c r="AB154" s="388"/>
      <c r="AC154" s="388"/>
    </row>
    <row r="155">
      <c r="A155" s="388"/>
      <c r="B155" s="388"/>
      <c r="C155" s="388"/>
      <c r="D155" s="388"/>
      <c r="E155" s="388"/>
      <c r="F155" s="388"/>
      <c r="G155" s="388"/>
      <c r="H155" s="388"/>
      <c r="I155" s="388"/>
      <c r="J155" s="642"/>
      <c r="K155" s="642"/>
      <c r="L155" s="642"/>
      <c r="M155" s="388"/>
      <c r="N155" s="388"/>
      <c r="O155" s="388"/>
      <c r="P155" s="388"/>
      <c r="Q155" s="388"/>
      <c r="R155" s="388"/>
      <c r="S155" s="388"/>
      <c r="T155" s="388"/>
      <c r="U155" s="388"/>
      <c r="V155" s="388"/>
      <c r="W155" s="388"/>
      <c r="X155" s="388"/>
      <c r="Y155" s="388"/>
      <c r="Z155" s="388"/>
      <c r="AA155" s="388"/>
      <c r="AB155" s="388"/>
      <c r="AC155" s="388"/>
    </row>
    <row r="156">
      <c r="A156" s="388"/>
      <c r="B156" s="388"/>
      <c r="C156" s="388"/>
      <c r="D156" s="388"/>
      <c r="E156" s="388"/>
      <c r="F156" s="388"/>
      <c r="G156" s="388"/>
      <c r="H156" s="388"/>
      <c r="I156" s="388"/>
      <c r="J156" s="642"/>
      <c r="K156" s="642"/>
      <c r="L156" s="642"/>
      <c r="M156" s="388"/>
      <c r="N156" s="388"/>
      <c r="O156" s="388"/>
      <c r="P156" s="388"/>
      <c r="Q156" s="388"/>
      <c r="R156" s="388"/>
      <c r="S156" s="388"/>
      <c r="T156" s="388"/>
      <c r="U156" s="388"/>
      <c r="V156" s="388"/>
      <c r="W156" s="388"/>
      <c r="X156" s="388"/>
      <c r="Y156" s="388"/>
      <c r="Z156" s="388"/>
      <c r="AA156" s="388"/>
      <c r="AB156" s="388"/>
      <c r="AC156" s="388"/>
    </row>
    <row r="157">
      <c r="A157" s="388"/>
      <c r="B157" s="388"/>
      <c r="C157" s="388"/>
      <c r="D157" s="388"/>
      <c r="E157" s="388"/>
      <c r="F157" s="388"/>
      <c r="G157" s="388"/>
      <c r="H157" s="388"/>
      <c r="I157" s="388"/>
      <c r="J157" s="642"/>
      <c r="K157" s="642"/>
      <c r="L157" s="642"/>
      <c r="M157" s="388"/>
      <c r="N157" s="388"/>
      <c r="O157" s="388"/>
      <c r="P157" s="388"/>
      <c r="Q157" s="388"/>
      <c r="R157" s="388"/>
      <c r="S157" s="388"/>
      <c r="T157" s="388"/>
      <c r="U157" s="388"/>
      <c r="V157" s="388"/>
      <c r="W157" s="388"/>
      <c r="X157" s="388"/>
      <c r="Y157" s="388"/>
      <c r="Z157" s="388"/>
      <c r="AA157" s="388"/>
      <c r="AB157" s="388"/>
      <c r="AC157" s="388"/>
    </row>
    <row r="158">
      <c r="A158" s="388"/>
      <c r="B158" s="388"/>
      <c r="C158" s="388"/>
      <c r="D158" s="388"/>
      <c r="E158" s="388"/>
      <c r="F158" s="388"/>
      <c r="G158" s="388"/>
      <c r="H158" s="388"/>
      <c r="I158" s="388"/>
      <c r="J158" s="642"/>
      <c r="K158" s="642"/>
      <c r="L158" s="642"/>
      <c r="M158" s="388"/>
      <c r="N158" s="388"/>
      <c r="O158" s="388"/>
      <c r="P158" s="388"/>
      <c r="Q158" s="388"/>
      <c r="R158" s="388"/>
      <c r="S158" s="388"/>
      <c r="T158" s="388"/>
      <c r="U158" s="388"/>
      <c r="V158" s="388"/>
      <c r="W158" s="388"/>
      <c r="X158" s="388"/>
      <c r="Y158" s="388"/>
      <c r="Z158" s="388"/>
      <c r="AA158" s="388"/>
      <c r="AB158" s="388"/>
      <c r="AC158" s="388"/>
    </row>
    <row r="159">
      <c r="A159" s="388"/>
      <c r="B159" s="388"/>
      <c r="C159" s="388"/>
      <c r="D159" s="388"/>
      <c r="E159" s="388"/>
      <c r="F159" s="388"/>
      <c r="G159" s="388"/>
      <c r="H159" s="388"/>
      <c r="I159" s="388"/>
      <c r="J159" s="642"/>
      <c r="K159" s="642"/>
      <c r="L159" s="642"/>
      <c r="M159" s="388"/>
      <c r="N159" s="388"/>
      <c r="O159" s="388"/>
      <c r="P159" s="388"/>
      <c r="Q159" s="388"/>
      <c r="R159" s="388"/>
      <c r="S159" s="388"/>
      <c r="T159" s="388"/>
      <c r="U159" s="388"/>
      <c r="V159" s="388"/>
      <c r="W159" s="388"/>
      <c r="X159" s="388"/>
      <c r="Y159" s="388"/>
      <c r="Z159" s="388"/>
      <c r="AA159" s="388"/>
      <c r="AB159" s="388"/>
      <c r="AC159" s="388"/>
    </row>
    <row r="160">
      <c r="A160" s="388"/>
      <c r="B160" s="388"/>
      <c r="C160" s="388"/>
      <c r="D160" s="388"/>
      <c r="E160" s="388"/>
      <c r="F160" s="388"/>
      <c r="G160" s="388"/>
      <c r="H160" s="388"/>
      <c r="I160" s="388"/>
      <c r="J160" s="642"/>
      <c r="K160" s="642"/>
      <c r="L160" s="642"/>
      <c r="M160" s="388"/>
      <c r="N160" s="388"/>
      <c r="O160" s="388"/>
      <c r="P160" s="388"/>
      <c r="Q160" s="388"/>
      <c r="R160" s="388"/>
      <c r="S160" s="388"/>
      <c r="T160" s="388"/>
      <c r="U160" s="388"/>
      <c r="V160" s="388"/>
      <c r="W160" s="388"/>
      <c r="X160" s="388"/>
      <c r="Y160" s="388"/>
      <c r="Z160" s="388"/>
      <c r="AA160" s="388"/>
      <c r="AB160" s="388"/>
      <c r="AC160" s="388"/>
    </row>
    <row r="161">
      <c r="A161" s="388"/>
      <c r="B161" s="388"/>
      <c r="C161" s="388"/>
      <c r="D161" s="388"/>
      <c r="E161" s="388"/>
      <c r="F161" s="388"/>
      <c r="G161" s="388"/>
      <c r="H161" s="388"/>
      <c r="I161" s="388"/>
      <c r="J161" s="642"/>
      <c r="K161" s="642"/>
      <c r="L161" s="642"/>
      <c r="M161" s="388"/>
      <c r="N161" s="388"/>
      <c r="O161" s="388"/>
      <c r="P161" s="388"/>
      <c r="Q161" s="388"/>
      <c r="R161" s="388"/>
      <c r="S161" s="388"/>
      <c r="T161" s="388"/>
      <c r="U161" s="388"/>
      <c r="V161" s="388"/>
      <c r="W161" s="388"/>
      <c r="X161" s="388"/>
      <c r="Y161" s="388"/>
      <c r="Z161" s="388"/>
      <c r="AA161" s="388"/>
      <c r="AB161" s="388"/>
      <c r="AC161" s="388"/>
    </row>
    <row r="162">
      <c r="A162" s="388"/>
      <c r="B162" s="388"/>
      <c r="C162" s="388"/>
      <c r="D162" s="388"/>
      <c r="E162" s="388"/>
      <c r="F162" s="388"/>
      <c r="G162" s="388"/>
      <c r="H162" s="388"/>
      <c r="I162" s="388"/>
      <c r="J162" s="642"/>
      <c r="K162" s="642"/>
      <c r="L162" s="642"/>
      <c r="M162" s="388"/>
      <c r="N162" s="388"/>
      <c r="O162" s="388"/>
      <c r="P162" s="388"/>
      <c r="Q162" s="388"/>
      <c r="R162" s="388"/>
      <c r="S162" s="388"/>
      <c r="T162" s="388"/>
      <c r="U162" s="388"/>
      <c r="V162" s="388"/>
      <c r="W162" s="388"/>
      <c r="X162" s="388"/>
      <c r="Y162" s="388"/>
      <c r="Z162" s="388"/>
      <c r="AA162" s="388"/>
      <c r="AB162" s="388"/>
      <c r="AC162" s="388"/>
    </row>
    <row r="163">
      <c r="A163" s="388"/>
      <c r="B163" s="388"/>
      <c r="C163" s="388"/>
      <c r="D163" s="388"/>
      <c r="E163" s="388"/>
      <c r="F163" s="388"/>
      <c r="G163" s="388"/>
      <c r="H163" s="388"/>
      <c r="I163" s="388"/>
      <c r="J163" s="642"/>
      <c r="K163" s="642"/>
      <c r="L163" s="642"/>
      <c r="M163" s="388"/>
      <c r="N163" s="388"/>
      <c r="O163" s="388"/>
      <c r="P163" s="388"/>
      <c r="Q163" s="388"/>
      <c r="R163" s="388"/>
      <c r="S163" s="388"/>
      <c r="T163" s="388"/>
      <c r="U163" s="388"/>
      <c r="V163" s="388"/>
      <c r="W163" s="388"/>
      <c r="X163" s="388"/>
      <c r="Y163" s="388"/>
      <c r="Z163" s="388"/>
      <c r="AA163" s="388"/>
      <c r="AB163" s="388"/>
      <c r="AC163" s="388"/>
    </row>
    <row r="164">
      <c r="A164" s="388"/>
      <c r="B164" s="388"/>
      <c r="C164" s="388"/>
      <c r="D164" s="388"/>
      <c r="E164" s="388"/>
      <c r="F164" s="388"/>
      <c r="G164" s="388"/>
      <c r="H164" s="388"/>
      <c r="I164" s="388"/>
      <c r="J164" s="642"/>
      <c r="K164" s="642"/>
      <c r="L164" s="642"/>
      <c r="M164" s="388"/>
      <c r="N164" s="388"/>
      <c r="O164" s="388"/>
      <c r="P164" s="388"/>
      <c r="Q164" s="388"/>
      <c r="R164" s="388"/>
      <c r="S164" s="388"/>
      <c r="T164" s="388"/>
      <c r="U164" s="388"/>
      <c r="V164" s="388"/>
      <c r="W164" s="388"/>
      <c r="X164" s="388"/>
      <c r="Y164" s="388"/>
      <c r="Z164" s="388"/>
      <c r="AA164" s="388"/>
      <c r="AB164" s="388"/>
      <c r="AC164" s="388"/>
    </row>
    <row r="165">
      <c r="A165" s="388"/>
      <c r="B165" s="388"/>
      <c r="C165" s="388"/>
      <c r="D165" s="388"/>
      <c r="E165" s="388"/>
      <c r="F165" s="388"/>
      <c r="G165" s="388"/>
      <c r="H165" s="388"/>
      <c r="I165" s="388"/>
      <c r="J165" s="642"/>
      <c r="K165" s="642"/>
      <c r="L165" s="642"/>
      <c r="M165" s="388"/>
      <c r="N165" s="388"/>
      <c r="O165" s="388"/>
      <c r="P165" s="388"/>
      <c r="Q165" s="388"/>
      <c r="R165" s="388"/>
      <c r="S165" s="388"/>
      <c r="T165" s="388"/>
      <c r="U165" s="388"/>
      <c r="V165" s="388"/>
      <c r="W165" s="388"/>
      <c r="X165" s="388"/>
      <c r="Y165" s="388"/>
      <c r="Z165" s="388"/>
      <c r="AA165" s="388"/>
      <c r="AB165" s="388"/>
      <c r="AC165" s="388"/>
    </row>
    <row r="166">
      <c r="A166" s="388"/>
      <c r="B166" s="388"/>
      <c r="C166" s="388"/>
      <c r="D166" s="388"/>
      <c r="E166" s="388"/>
      <c r="F166" s="388"/>
      <c r="G166" s="388"/>
      <c r="H166" s="388"/>
      <c r="I166" s="388"/>
      <c r="J166" s="642"/>
      <c r="K166" s="642"/>
      <c r="L166" s="642"/>
      <c r="M166" s="388"/>
      <c r="N166" s="388"/>
      <c r="O166" s="388"/>
      <c r="P166" s="388"/>
      <c r="Q166" s="388"/>
      <c r="R166" s="388"/>
      <c r="S166" s="388"/>
      <c r="T166" s="388"/>
      <c r="U166" s="388"/>
      <c r="V166" s="388"/>
      <c r="W166" s="388"/>
      <c r="X166" s="388"/>
      <c r="Y166" s="388"/>
      <c r="Z166" s="388"/>
      <c r="AA166" s="388"/>
      <c r="AB166" s="388"/>
      <c r="AC166" s="388"/>
    </row>
    <row r="167">
      <c r="A167" s="388"/>
      <c r="B167" s="388"/>
      <c r="C167" s="388"/>
      <c r="D167" s="388"/>
      <c r="E167" s="388"/>
      <c r="F167" s="388"/>
      <c r="G167" s="388"/>
      <c r="H167" s="388"/>
      <c r="I167" s="388"/>
      <c r="J167" s="642"/>
      <c r="K167" s="642"/>
      <c r="L167" s="642"/>
      <c r="M167" s="388"/>
      <c r="N167" s="388"/>
      <c r="O167" s="388"/>
      <c r="P167" s="388"/>
      <c r="Q167" s="388"/>
      <c r="R167" s="388"/>
      <c r="S167" s="388"/>
      <c r="T167" s="388"/>
      <c r="U167" s="388"/>
      <c r="V167" s="388"/>
      <c r="W167" s="388"/>
      <c r="X167" s="388"/>
      <c r="Y167" s="388"/>
      <c r="Z167" s="388"/>
      <c r="AA167" s="388"/>
      <c r="AB167" s="388"/>
      <c r="AC167" s="388"/>
    </row>
    <row r="168">
      <c r="A168" s="388"/>
      <c r="B168" s="388"/>
      <c r="C168" s="388"/>
      <c r="D168" s="388"/>
      <c r="E168" s="388"/>
      <c r="F168" s="388"/>
      <c r="G168" s="388"/>
      <c r="H168" s="388"/>
      <c r="I168" s="388"/>
      <c r="J168" s="642"/>
      <c r="K168" s="642"/>
      <c r="L168" s="642"/>
      <c r="M168" s="388"/>
      <c r="N168" s="388"/>
      <c r="O168" s="388"/>
      <c r="P168" s="388"/>
      <c r="Q168" s="388"/>
      <c r="R168" s="388"/>
      <c r="S168" s="388"/>
      <c r="T168" s="388"/>
      <c r="U168" s="388"/>
      <c r="V168" s="388"/>
      <c r="W168" s="388"/>
      <c r="X168" s="388"/>
      <c r="Y168" s="388"/>
      <c r="Z168" s="388"/>
      <c r="AA168" s="388"/>
      <c r="AB168" s="388"/>
      <c r="AC168" s="388"/>
    </row>
    <row r="169">
      <c r="A169" s="388"/>
      <c r="B169" s="388"/>
      <c r="C169" s="388"/>
      <c r="D169" s="388"/>
      <c r="E169" s="388"/>
      <c r="F169" s="388"/>
      <c r="G169" s="388"/>
      <c r="H169" s="388"/>
      <c r="I169" s="388"/>
      <c r="J169" s="642"/>
      <c r="K169" s="642"/>
      <c r="L169" s="642"/>
      <c r="M169" s="388"/>
      <c r="N169" s="388"/>
      <c r="O169" s="388"/>
      <c r="P169" s="388"/>
      <c r="Q169" s="388"/>
      <c r="R169" s="388"/>
      <c r="S169" s="388"/>
      <c r="T169" s="388"/>
      <c r="U169" s="388"/>
      <c r="V169" s="388"/>
      <c r="W169" s="388"/>
      <c r="X169" s="388"/>
      <c r="Y169" s="388"/>
      <c r="Z169" s="388"/>
      <c r="AA169" s="388"/>
      <c r="AB169" s="388"/>
      <c r="AC169" s="388"/>
    </row>
    <row r="170">
      <c r="A170" s="388"/>
      <c r="B170" s="388"/>
      <c r="C170" s="388"/>
      <c r="D170" s="388"/>
      <c r="E170" s="388"/>
      <c r="F170" s="388"/>
      <c r="G170" s="388"/>
      <c r="H170" s="388"/>
      <c r="I170" s="388"/>
      <c r="J170" s="642"/>
      <c r="K170" s="642"/>
      <c r="L170" s="642"/>
      <c r="M170" s="388"/>
      <c r="N170" s="388"/>
      <c r="O170" s="388"/>
      <c r="P170" s="388"/>
      <c r="Q170" s="388"/>
      <c r="R170" s="388"/>
      <c r="S170" s="388"/>
      <c r="T170" s="388"/>
      <c r="U170" s="388"/>
      <c r="V170" s="388"/>
      <c r="W170" s="388"/>
      <c r="X170" s="388"/>
      <c r="Y170" s="388"/>
      <c r="Z170" s="388"/>
      <c r="AA170" s="388"/>
      <c r="AB170" s="388"/>
      <c r="AC170" s="388"/>
    </row>
    <row r="171">
      <c r="A171" s="388"/>
      <c r="B171" s="388"/>
      <c r="C171" s="388"/>
      <c r="D171" s="388"/>
      <c r="E171" s="388"/>
      <c r="F171" s="388"/>
      <c r="G171" s="388"/>
      <c r="H171" s="388"/>
      <c r="I171" s="388"/>
      <c r="J171" s="642"/>
      <c r="K171" s="642"/>
      <c r="L171" s="642"/>
      <c r="M171" s="388"/>
      <c r="N171" s="388"/>
      <c r="O171" s="388"/>
      <c r="P171" s="388"/>
      <c r="Q171" s="388"/>
      <c r="R171" s="388"/>
      <c r="S171" s="388"/>
      <c r="T171" s="388"/>
      <c r="U171" s="388"/>
      <c r="V171" s="388"/>
      <c r="W171" s="388"/>
      <c r="X171" s="388"/>
      <c r="Y171" s="388"/>
      <c r="Z171" s="388"/>
      <c r="AA171" s="388"/>
      <c r="AB171" s="388"/>
      <c r="AC171" s="388"/>
    </row>
    <row r="172">
      <c r="A172" s="388"/>
      <c r="B172" s="388"/>
      <c r="C172" s="388"/>
      <c r="D172" s="388"/>
      <c r="E172" s="388"/>
      <c r="F172" s="388"/>
      <c r="G172" s="388"/>
      <c r="H172" s="388"/>
      <c r="I172" s="388"/>
      <c r="J172" s="642"/>
      <c r="K172" s="642"/>
      <c r="L172" s="642"/>
      <c r="M172" s="388"/>
      <c r="N172" s="388"/>
      <c r="O172" s="388"/>
      <c r="P172" s="388"/>
      <c r="Q172" s="388"/>
      <c r="R172" s="388"/>
      <c r="S172" s="388"/>
      <c r="T172" s="388"/>
      <c r="U172" s="388"/>
      <c r="V172" s="388"/>
      <c r="W172" s="388"/>
      <c r="X172" s="388"/>
      <c r="Y172" s="388"/>
      <c r="Z172" s="388"/>
      <c r="AA172" s="388"/>
      <c r="AB172" s="388"/>
      <c r="AC172" s="388"/>
    </row>
    <row r="173">
      <c r="A173" s="388"/>
      <c r="B173" s="388"/>
      <c r="C173" s="388"/>
      <c r="D173" s="388"/>
      <c r="E173" s="388"/>
      <c r="F173" s="388"/>
      <c r="G173" s="388"/>
      <c r="H173" s="388"/>
      <c r="I173" s="388"/>
      <c r="J173" s="642"/>
      <c r="K173" s="642"/>
      <c r="L173" s="642"/>
      <c r="M173" s="388"/>
      <c r="N173" s="388"/>
      <c r="O173" s="388"/>
      <c r="P173" s="388"/>
      <c r="Q173" s="388"/>
      <c r="R173" s="388"/>
      <c r="S173" s="388"/>
      <c r="T173" s="388"/>
      <c r="U173" s="388"/>
      <c r="V173" s="388"/>
      <c r="W173" s="388"/>
      <c r="X173" s="388"/>
      <c r="Y173" s="388"/>
      <c r="Z173" s="388"/>
      <c r="AA173" s="388"/>
      <c r="AB173" s="388"/>
      <c r="AC173" s="388"/>
    </row>
    <row r="174">
      <c r="A174" s="388"/>
      <c r="B174" s="388"/>
      <c r="C174" s="388"/>
      <c r="D174" s="388"/>
      <c r="E174" s="388"/>
      <c r="F174" s="388"/>
      <c r="G174" s="388"/>
      <c r="H174" s="388"/>
      <c r="I174" s="388"/>
      <c r="J174" s="642"/>
      <c r="K174" s="642"/>
      <c r="L174" s="642"/>
      <c r="M174" s="388"/>
      <c r="N174" s="388"/>
      <c r="O174" s="388"/>
      <c r="P174" s="388"/>
      <c r="Q174" s="388"/>
      <c r="R174" s="388"/>
      <c r="S174" s="388"/>
      <c r="T174" s="388"/>
      <c r="U174" s="388"/>
      <c r="V174" s="388"/>
      <c r="W174" s="388"/>
      <c r="X174" s="388"/>
      <c r="Y174" s="388"/>
      <c r="Z174" s="388"/>
      <c r="AA174" s="388"/>
      <c r="AB174" s="388"/>
      <c r="AC174" s="388"/>
    </row>
    <row r="175">
      <c r="A175" s="388"/>
      <c r="B175" s="388"/>
      <c r="C175" s="388"/>
      <c r="D175" s="388"/>
      <c r="E175" s="388"/>
      <c r="F175" s="388"/>
      <c r="G175" s="388"/>
      <c r="H175" s="388"/>
      <c r="I175" s="388"/>
      <c r="J175" s="642"/>
      <c r="K175" s="642"/>
      <c r="L175" s="642"/>
      <c r="M175" s="388"/>
      <c r="N175" s="388"/>
      <c r="O175" s="388"/>
      <c r="P175" s="388"/>
      <c r="Q175" s="388"/>
      <c r="R175" s="388"/>
      <c r="S175" s="388"/>
      <c r="T175" s="388"/>
      <c r="U175" s="388"/>
      <c r="V175" s="388"/>
      <c r="W175" s="388"/>
      <c r="X175" s="388"/>
      <c r="Y175" s="388"/>
      <c r="Z175" s="388"/>
      <c r="AA175" s="388"/>
      <c r="AB175" s="388"/>
      <c r="AC175" s="388"/>
    </row>
    <row r="176">
      <c r="A176" s="388"/>
      <c r="B176" s="388"/>
      <c r="C176" s="388"/>
      <c r="D176" s="388"/>
      <c r="E176" s="388"/>
      <c r="F176" s="388"/>
      <c r="G176" s="388"/>
      <c r="H176" s="388"/>
      <c r="I176" s="388"/>
      <c r="J176" s="642"/>
      <c r="K176" s="642"/>
      <c r="L176" s="642"/>
      <c r="M176" s="388"/>
      <c r="N176" s="388"/>
      <c r="O176" s="388"/>
      <c r="P176" s="388"/>
      <c r="Q176" s="388"/>
      <c r="R176" s="388"/>
      <c r="S176" s="388"/>
      <c r="T176" s="388"/>
      <c r="U176" s="388"/>
      <c r="V176" s="388"/>
      <c r="W176" s="388"/>
      <c r="X176" s="388"/>
      <c r="Y176" s="388"/>
      <c r="Z176" s="388"/>
      <c r="AA176" s="388"/>
      <c r="AB176" s="388"/>
      <c r="AC176" s="388"/>
    </row>
    <row r="177">
      <c r="A177" s="388"/>
      <c r="B177" s="388"/>
      <c r="C177" s="388"/>
      <c r="D177" s="388"/>
      <c r="E177" s="388"/>
      <c r="F177" s="388"/>
      <c r="G177" s="388"/>
      <c r="H177" s="388"/>
      <c r="I177" s="388"/>
      <c r="J177" s="642"/>
      <c r="K177" s="642"/>
      <c r="L177" s="642"/>
      <c r="M177" s="388"/>
      <c r="N177" s="388"/>
      <c r="O177" s="388"/>
      <c r="P177" s="388"/>
      <c r="Q177" s="388"/>
      <c r="R177" s="388"/>
      <c r="S177" s="388"/>
      <c r="T177" s="388"/>
      <c r="U177" s="388"/>
      <c r="V177" s="388"/>
      <c r="W177" s="388"/>
      <c r="X177" s="388"/>
      <c r="Y177" s="388"/>
      <c r="Z177" s="388"/>
      <c r="AA177" s="388"/>
      <c r="AB177" s="388"/>
      <c r="AC177" s="388"/>
    </row>
    <row r="178">
      <c r="A178" s="388"/>
      <c r="B178" s="388"/>
      <c r="C178" s="388"/>
      <c r="D178" s="388"/>
      <c r="E178" s="388"/>
      <c r="F178" s="388"/>
      <c r="G178" s="388"/>
      <c r="H178" s="388"/>
      <c r="I178" s="388"/>
      <c r="J178" s="642"/>
      <c r="K178" s="642"/>
      <c r="L178" s="642"/>
      <c r="M178" s="388"/>
      <c r="N178" s="388"/>
      <c r="O178" s="388"/>
      <c r="P178" s="388"/>
      <c r="Q178" s="388"/>
      <c r="R178" s="388"/>
      <c r="S178" s="388"/>
      <c r="T178" s="388"/>
      <c r="U178" s="388"/>
      <c r="V178" s="388"/>
      <c r="W178" s="388"/>
      <c r="X178" s="388"/>
      <c r="Y178" s="388"/>
      <c r="Z178" s="388"/>
      <c r="AA178" s="388"/>
      <c r="AB178" s="388"/>
      <c r="AC178" s="388"/>
    </row>
    <row r="179">
      <c r="A179" s="388"/>
      <c r="B179" s="388"/>
      <c r="C179" s="388"/>
      <c r="D179" s="388"/>
      <c r="E179" s="388"/>
      <c r="F179" s="388"/>
      <c r="G179" s="388"/>
      <c r="H179" s="388"/>
      <c r="I179" s="388"/>
      <c r="J179" s="642"/>
      <c r="K179" s="642"/>
      <c r="L179" s="642"/>
      <c r="M179" s="388"/>
      <c r="N179" s="388"/>
      <c r="O179" s="388"/>
      <c r="P179" s="388"/>
      <c r="Q179" s="388"/>
      <c r="R179" s="388"/>
      <c r="S179" s="388"/>
      <c r="T179" s="388"/>
      <c r="U179" s="388"/>
      <c r="V179" s="388"/>
      <c r="W179" s="388"/>
      <c r="X179" s="388"/>
      <c r="Y179" s="388"/>
      <c r="Z179" s="388"/>
      <c r="AA179" s="388"/>
      <c r="AB179" s="388"/>
      <c r="AC179" s="388"/>
    </row>
    <row r="180">
      <c r="A180" s="388"/>
      <c r="B180" s="388"/>
      <c r="C180" s="388"/>
      <c r="D180" s="388"/>
      <c r="E180" s="388"/>
      <c r="F180" s="388"/>
      <c r="G180" s="388"/>
      <c r="H180" s="388"/>
      <c r="I180" s="388"/>
      <c r="J180" s="642"/>
      <c r="K180" s="642"/>
      <c r="L180" s="642"/>
      <c r="M180" s="388"/>
      <c r="N180" s="388"/>
      <c r="O180" s="388"/>
      <c r="P180" s="388"/>
      <c r="Q180" s="388"/>
      <c r="R180" s="388"/>
      <c r="S180" s="388"/>
      <c r="T180" s="388"/>
      <c r="U180" s="388"/>
      <c r="V180" s="388"/>
      <c r="W180" s="388"/>
      <c r="X180" s="388"/>
      <c r="Y180" s="388"/>
      <c r="Z180" s="388"/>
      <c r="AA180" s="388"/>
      <c r="AB180" s="388"/>
      <c r="AC180" s="388"/>
    </row>
    <row r="181">
      <c r="A181" s="388"/>
      <c r="B181" s="388"/>
      <c r="C181" s="388"/>
      <c r="D181" s="388"/>
      <c r="E181" s="388"/>
      <c r="F181" s="388"/>
      <c r="G181" s="388"/>
      <c r="H181" s="388"/>
      <c r="I181" s="388"/>
      <c r="J181" s="642"/>
      <c r="K181" s="642"/>
      <c r="L181" s="642"/>
      <c r="M181" s="388"/>
      <c r="N181" s="388"/>
      <c r="O181" s="388"/>
      <c r="P181" s="388"/>
      <c r="Q181" s="388"/>
      <c r="R181" s="388"/>
      <c r="S181" s="388"/>
      <c r="T181" s="388"/>
      <c r="U181" s="388"/>
      <c r="V181" s="388"/>
      <c r="W181" s="388"/>
      <c r="X181" s="388"/>
      <c r="Y181" s="388"/>
      <c r="Z181" s="388"/>
      <c r="AA181" s="388"/>
      <c r="AB181" s="388"/>
      <c r="AC181" s="388"/>
    </row>
    <row r="182">
      <c r="A182" s="388"/>
      <c r="B182" s="388"/>
      <c r="C182" s="388"/>
      <c r="D182" s="388"/>
      <c r="E182" s="388"/>
      <c r="F182" s="388"/>
      <c r="G182" s="388"/>
      <c r="H182" s="388"/>
      <c r="I182" s="388"/>
      <c r="J182" s="642"/>
      <c r="K182" s="642"/>
      <c r="L182" s="642"/>
      <c r="M182" s="388"/>
      <c r="N182" s="388"/>
      <c r="O182" s="388"/>
      <c r="P182" s="388"/>
      <c r="Q182" s="388"/>
      <c r="R182" s="388"/>
      <c r="S182" s="388"/>
      <c r="T182" s="388"/>
      <c r="U182" s="388"/>
      <c r="V182" s="388"/>
      <c r="W182" s="388"/>
      <c r="X182" s="388"/>
      <c r="Y182" s="388"/>
      <c r="Z182" s="388"/>
      <c r="AA182" s="388"/>
      <c r="AB182" s="388"/>
      <c r="AC182" s="388"/>
    </row>
    <row r="183">
      <c r="A183" s="388"/>
      <c r="B183" s="388"/>
      <c r="C183" s="388"/>
      <c r="D183" s="388"/>
      <c r="E183" s="388"/>
      <c r="F183" s="388"/>
      <c r="G183" s="388"/>
      <c r="H183" s="388"/>
      <c r="I183" s="388"/>
      <c r="J183" s="642"/>
      <c r="K183" s="642"/>
      <c r="L183" s="642"/>
      <c r="M183" s="388"/>
      <c r="N183" s="388"/>
      <c r="O183" s="388"/>
      <c r="P183" s="388"/>
      <c r="Q183" s="388"/>
      <c r="R183" s="388"/>
      <c r="S183" s="388"/>
      <c r="T183" s="388"/>
      <c r="U183" s="388"/>
      <c r="V183" s="388"/>
      <c r="W183" s="388"/>
      <c r="X183" s="388"/>
      <c r="Y183" s="388"/>
      <c r="Z183" s="388"/>
      <c r="AA183" s="388"/>
      <c r="AB183" s="388"/>
      <c r="AC183" s="388"/>
    </row>
    <row r="184">
      <c r="A184" s="388"/>
      <c r="B184" s="388"/>
      <c r="C184" s="388"/>
      <c r="D184" s="388"/>
      <c r="E184" s="388"/>
      <c r="F184" s="388"/>
      <c r="G184" s="388"/>
      <c r="H184" s="388"/>
      <c r="I184" s="388"/>
      <c r="J184" s="642"/>
      <c r="K184" s="642"/>
      <c r="L184" s="642"/>
      <c r="M184" s="388"/>
      <c r="N184" s="388"/>
      <c r="O184" s="388"/>
      <c r="P184" s="388"/>
      <c r="Q184" s="388"/>
      <c r="R184" s="388"/>
      <c r="S184" s="388"/>
      <c r="T184" s="388"/>
      <c r="U184" s="388"/>
      <c r="V184" s="388"/>
      <c r="W184" s="388"/>
      <c r="X184" s="388"/>
      <c r="Y184" s="388"/>
      <c r="Z184" s="388"/>
      <c r="AA184" s="388"/>
      <c r="AB184" s="388"/>
      <c r="AC184" s="388"/>
    </row>
    <row r="185">
      <c r="A185" s="388"/>
      <c r="B185" s="388"/>
      <c r="C185" s="388"/>
      <c r="D185" s="388"/>
      <c r="E185" s="388"/>
      <c r="F185" s="388"/>
      <c r="G185" s="388"/>
      <c r="H185" s="388"/>
      <c r="I185" s="388"/>
      <c r="J185" s="642"/>
      <c r="K185" s="642"/>
      <c r="L185" s="642"/>
      <c r="M185" s="388"/>
      <c r="N185" s="388"/>
      <c r="O185" s="388"/>
      <c r="P185" s="388"/>
      <c r="Q185" s="388"/>
      <c r="R185" s="388"/>
      <c r="S185" s="388"/>
      <c r="T185" s="388"/>
      <c r="U185" s="388"/>
      <c r="V185" s="388"/>
      <c r="W185" s="388"/>
      <c r="X185" s="388"/>
      <c r="Y185" s="388"/>
      <c r="Z185" s="388"/>
      <c r="AA185" s="388"/>
      <c r="AB185" s="388"/>
      <c r="AC185" s="388"/>
    </row>
    <row r="186">
      <c r="A186" s="388"/>
      <c r="B186" s="388"/>
      <c r="C186" s="388"/>
      <c r="D186" s="388"/>
      <c r="E186" s="388"/>
      <c r="F186" s="388"/>
      <c r="G186" s="388"/>
      <c r="H186" s="388"/>
      <c r="I186" s="388"/>
      <c r="J186" s="642"/>
      <c r="K186" s="642"/>
      <c r="L186" s="642"/>
      <c r="M186" s="388"/>
      <c r="N186" s="388"/>
      <c r="O186" s="388"/>
      <c r="P186" s="388"/>
      <c r="Q186" s="388"/>
      <c r="R186" s="388"/>
      <c r="S186" s="388"/>
      <c r="T186" s="388"/>
      <c r="U186" s="388"/>
      <c r="V186" s="388"/>
      <c r="W186" s="388"/>
      <c r="X186" s="388"/>
      <c r="Y186" s="388"/>
      <c r="Z186" s="388"/>
      <c r="AA186" s="388"/>
      <c r="AB186" s="388"/>
      <c r="AC186" s="388"/>
    </row>
    <row r="187">
      <c r="A187" s="388"/>
      <c r="B187" s="388"/>
      <c r="C187" s="388"/>
      <c r="D187" s="388"/>
      <c r="E187" s="388"/>
      <c r="F187" s="388"/>
      <c r="G187" s="388"/>
      <c r="H187" s="388"/>
      <c r="I187" s="388"/>
      <c r="J187" s="642"/>
      <c r="K187" s="642"/>
      <c r="L187" s="642"/>
      <c r="M187" s="388"/>
      <c r="N187" s="388"/>
      <c r="O187" s="388"/>
      <c r="P187" s="388"/>
      <c r="Q187" s="388"/>
      <c r="R187" s="388"/>
      <c r="S187" s="388"/>
      <c r="T187" s="388"/>
      <c r="U187" s="388"/>
      <c r="V187" s="388"/>
      <c r="W187" s="388"/>
      <c r="X187" s="388"/>
      <c r="Y187" s="388"/>
      <c r="Z187" s="388"/>
      <c r="AA187" s="388"/>
      <c r="AB187" s="388"/>
      <c r="AC187" s="388"/>
    </row>
    <row r="188">
      <c r="A188" s="388"/>
      <c r="B188" s="388"/>
      <c r="C188" s="388"/>
      <c r="D188" s="388"/>
      <c r="E188" s="388"/>
      <c r="F188" s="388"/>
      <c r="G188" s="388"/>
      <c r="H188" s="388"/>
      <c r="I188" s="388"/>
      <c r="J188" s="642"/>
      <c r="K188" s="642"/>
      <c r="L188" s="642"/>
      <c r="M188" s="388"/>
      <c r="N188" s="388"/>
      <c r="O188" s="388"/>
      <c r="P188" s="388"/>
      <c r="Q188" s="388"/>
      <c r="R188" s="388"/>
      <c r="S188" s="388"/>
      <c r="T188" s="388"/>
      <c r="U188" s="388"/>
      <c r="V188" s="388"/>
      <c r="W188" s="388"/>
      <c r="X188" s="388"/>
      <c r="Y188" s="388"/>
      <c r="Z188" s="388"/>
      <c r="AA188" s="388"/>
      <c r="AB188" s="388"/>
      <c r="AC188" s="388"/>
    </row>
    <row r="189">
      <c r="A189" s="388"/>
      <c r="B189" s="388"/>
      <c r="C189" s="388"/>
      <c r="D189" s="388"/>
      <c r="E189" s="388"/>
      <c r="F189" s="388"/>
      <c r="G189" s="388"/>
      <c r="H189" s="388"/>
      <c r="I189" s="388"/>
      <c r="J189" s="642"/>
      <c r="K189" s="642"/>
      <c r="L189" s="642"/>
      <c r="M189" s="388"/>
      <c r="N189" s="388"/>
      <c r="O189" s="388"/>
      <c r="P189" s="388"/>
      <c r="Q189" s="388"/>
      <c r="R189" s="388"/>
      <c r="S189" s="388"/>
      <c r="T189" s="388"/>
      <c r="U189" s="388"/>
      <c r="V189" s="388"/>
      <c r="W189" s="388"/>
      <c r="X189" s="388"/>
      <c r="Y189" s="388"/>
      <c r="Z189" s="388"/>
      <c r="AA189" s="388"/>
      <c r="AB189" s="388"/>
      <c r="AC189" s="388"/>
    </row>
    <row r="190">
      <c r="A190" s="388"/>
      <c r="B190" s="388"/>
      <c r="C190" s="388"/>
      <c r="D190" s="388"/>
      <c r="E190" s="388"/>
      <c r="F190" s="388"/>
      <c r="G190" s="388"/>
      <c r="H190" s="388"/>
      <c r="I190" s="388"/>
      <c r="J190" s="642"/>
      <c r="K190" s="642"/>
      <c r="L190" s="642"/>
      <c r="M190" s="388"/>
      <c r="N190" s="388"/>
      <c r="O190" s="388"/>
      <c r="P190" s="388"/>
      <c r="Q190" s="388"/>
      <c r="R190" s="388"/>
      <c r="S190" s="388"/>
      <c r="T190" s="388"/>
      <c r="U190" s="388"/>
      <c r="V190" s="388"/>
      <c r="W190" s="388"/>
      <c r="X190" s="388"/>
      <c r="Y190" s="388"/>
      <c r="Z190" s="388"/>
      <c r="AA190" s="388"/>
      <c r="AB190" s="388"/>
      <c r="AC190" s="388"/>
    </row>
    <row r="191">
      <c r="A191" s="388"/>
      <c r="B191" s="388"/>
      <c r="C191" s="388"/>
      <c r="D191" s="388"/>
      <c r="E191" s="388"/>
      <c r="F191" s="388"/>
      <c r="G191" s="388"/>
      <c r="H191" s="388"/>
      <c r="I191" s="388"/>
      <c r="J191" s="642"/>
      <c r="K191" s="642"/>
      <c r="L191" s="642"/>
      <c r="M191" s="388"/>
      <c r="N191" s="388"/>
      <c r="O191" s="388"/>
      <c r="P191" s="388"/>
      <c r="Q191" s="388"/>
      <c r="R191" s="388"/>
      <c r="S191" s="388"/>
      <c r="T191" s="388"/>
      <c r="U191" s="388"/>
      <c r="V191" s="388"/>
      <c r="W191" s="388"/>
      <c r="X191" s="388"/>
      <c r="Y191" s="388"/>
      <c r="Z191" s="388"/>
      <c r="AA191" s="388"/>
      <c r="AB191" s="388"/>
      <c r="AC191" s="388"/>
    </row>
    <row r="192">
      <c r="A192" s="388"/>
      <c r="B192" s="388"/>
      <c r="C192" s="388"/>
      <c r="D192" s="388"/>
      <c r="E192" s="388"/>
      <c r="F192" s="388"/>
      <c r="G192" s="388"/>
      <c r="H192" s="388"/>
      <c r="I192" s="388"/>
      <c r="J192" s="642"/>
      <c r="K192" s="642"/>
      <c r="L192" s="642"/>
      <c r="M192" s="388"/>
      <c r="N192" s="388"/>
      <c r="O192" s="388"/>
      <c r="P192" s="388"/>
      <c r="Q192" s="388"/>
      <c r="R192" s="388"/>
      <c r="S192" s="388"/>
      <c r="T192" s="388"/>
      <c r="U192" s="388"/>
      <c r="V192" s="388"/>
      <c r="W192" s="388"/>
      <c r="X192" s="388"/>
      <c r="Y192" s="388"/>
      <c r="Z192" s="388"/>
      <c r="AA192" s="388"/>
      <c r="AB192" s="388"/>
      <c r="AC192" s="388"/>
    </row>
    <row r="193">
      <c r="A193" s="388"/>
      <c r="B193" s="388"/>
      <c r="C193" s="388"/>
      <c r="D193" s="388"/>
      <c r="E193" s="388"/>
      <c r="F193" s="388"/>
      <c r="G193" s="388"/>
      <c r="H193" s="388"/>
      <c r="I193" s="388"/>
      <c r="J193" s="642"/>
      <c r="K193" s="642"/>
      <c r="L193" s="642"/>
      <c r="M193" s="388"/>
      <c r="N193" s="388"/>
      <c r="O193" s="388"/>
      <c r="P193" s="388"/>
      <c r="Q193" s="388"/>
      <c r="R193" s="388"/>
      <c r="S193" s="388"/>
      <c r="T193" s="388"/>
      <c r="U193" s="388"/>
      <c r="V193" s="388"/>
      <c r="W193" s="388"/>
      <c r="X193" s="388"/>
      <c r="Y193" s="388"/>
      <c r="Z193" s="388"/>
      <c r="AA193" s="388"/>
      <c r="AB193" s="388"/>
      <c r="AC193" s="388"/>
    </row>
    <row r="194">
      <c r="A194" s="388"/>
      <c r="B194" s="388"/>
      <c r="C194" s="388"/>
      <c r="D194" s="388"/>
      <c r="E194" s="388"/>
      <c r="F194" s="388"/>
      <c r="G194" s="388"/>
      <c r="H194" s="388"/>
      <c r="I194" s="388"/>
      <c r="J194" s="642"/>
      <c r="K194" s="642"/>
      <c r="L194" s="642"/>
      <c r="M194" s="388"/>
      <c r="N194" s="388"/>
      <c r="O194" s="388"/>
      <c r="P194" s="388"/>
      <c r="Q194" s="388"/>
      <c r="R194" s="388"/>
      <c r="S194" s="388"/>
      <c r="T194" s="388"/>
      <c r="U194" s="388"/>
      <c r="V194" s="388"/>
      <c r="W194" s="388"/>
      <c r="X194" s="388"/>
      <c r="Y194" s="388"/>
      <c r="Z194" s="388"/>
      <c r="AA194" s="388"/>
      <c r="AB194" s="388"/>
      <c r="AC194" s="388"/>
    </row>
    <row r="195">
      <c r="A195" s="388"/>
      <c r="B195" s="388"/>
      <c r="C195" s="388"/>
      <c r="D195" s="388"/>
      <c r="E195" s="388"/>
      <c r="F195" s="388"/>
      <c r="G195" s="388"/>
      <c r="H195" s="388"/>
      <c r="I195" s="388"/>
      <c r="J195" s="642"/>
      <c r="K195" s="642"/>
      <c r="L195" s="642"/>
      <c r="M195" s="388"/>
      <c r="N195" s="388"/>
      <c r="O195" s="388"/>
      <c r="P195" s="388"/>
      <c r="Q195" s="388"/>
      <c r="R195" s="388"/>
      <c r="S195" s="388"/>
      <c r="T195" s="388"/>
      <c r="U195" s="388"/>
      <c r="V195" s="388"/>
      <c r="W195" s="388"/>
      <c r="X195" s="388"/>
      <c r="Y195" s="388"/>
      <c r="Z195" s="388"/>
      <c r="AA195" s="388"/>
      <c r="AB195" s="388"/>
      <c r="AC195" s="388"/>
    </row>
    <row r="196">
      <c r="A196" s="388"/>
      <c r="B196" s="388"/>
      <c r="C196" s="388"/>
      <c r="D196" s="388"/>
      <c r="E196" s="388"/>
      <c r="F196" s="388"/>
      <c r="G196" s="388"/>
      <c r="H196" s="388"/>
      <c r="I196" s="388"/>
      <c r="J196" s="642"/>
      <c r="K196" s="642"/>
      <c r="L196" s="642"/>
      <c r="M196" s="388"/>
      <c r="N196" s="388"/>
      <c r="O196" s="388"/>
      <c r="P196" s="388"/>
      <c r="Q196" s="388"/>
      <c r="R196" s="388"/>
      <c r="S196" s="388"/>
      <c r="T196" s="388"/>
      <c r="U196" s="388"/>
      <c r="V196" s="388"/>
      <c r="W196" s="388"/>
      <c r="X196" s="388"/>
      <c r="Y196" s="388"/>
      <c r="Z196" s="388"/>
      <c r="AA196" s="388"/>
      <c r="AB196" s="388"/>
      <c r="AC196" s="388"/>
    </row>
    <row r="197">
      <c r="A197" s="388"/>
      <c r="B197" s="388"/>
      <c r="C197" s="388"/>
      <c r="D197" s="388"/>
      <c r="E197" s="388"/>
      <c r="F197" s="388"/>
      <c r="G197" s="388"/>
      <c r="H197" s="388"/>
      <c r="I197" s="388"/>
      <c r="J197" s="642"/>
      <c r="K197" s="642"/>
      <c r="L197" s="642"/>
      <c r="M197" s="388"/>
      <c r="N197" s="388"/>
      <c r="O197" s="388"/>
      <c r="P197" s="388"/>
      <c r="Q197" s="388"/>
      <c r="R197" s="388"/>
      <c r="S197" s="388"/>
      <c r="T197" s="388"/>
      <c r="U197" s="388"/>
      <c r="V197" s="388"/>
      <c r="W197" s="388"/>
      <c r="X197" s="388"/>
      <c r="Y197" s="388"/>
      <c r="Z197" s="388"/>
      <c r="AA197" s="388"/>
      <c r="AB197" s="388"/>
      <c r="AC197" s="388"/>
    </row>
    <row r="198">
      <c r="A198" s="388"/>
      <c r="B198" s="388"/>
      <c r="C198" s="388"/>
      <c r="D198" s="388"/>
      <c r="E198" s="388"/>
      <c r="F198" s="388"/>
      <c r="G198" s="388"/>
      <c r="H198" s="388"/>
      <c r="I198" s="388"/>
      <c r="J198" s="642"/>
      <c r="K198" s="642"/>
      <c r="L198" s="642"/>
      <c r="M198" s="388"/>
      <c r="N198" s="388"/>
      <c r="O198" s="388"/>
      <c r="P198" s="388"/>
      <c r="Q198" s="388"/>
      <c r="R198" s="388"/>
      <c r="S198" s="388"/>
      <c r="T198" s="388"/>
      <c r="U198" s="388"/>
      <c r="V198" s="388"/>
      <c r="W198" s="388"/>
      <c r="X198" s="388"/>
      <c r="Y198" s="388"/>
      <c r="Z198" s="388"/>
      <c r="AA198" s="388"/>
      <c r="AB198" s="388"/>
      <c r="AC198" s="388"/>
    </row>
    <row r="199">
      <c r="A199" s="388"/>
      <c r="B199" s="388"/>
      <c r="C199" s="388"/>
      <c r="D199" s="388"/>
      <c r="E199" s="388"/>
      <c r="F199" s="388"/>
      <c r="G199" s="388"/>
      <c r="H199" s="388"/>
      <c r="I199" s="388"/>
      <c r="J199" s="642"/>
      <c r="K199" s="642"/>
      <c r="L199" s="642"/>
      <c r="M199" s="388"/>
      <c r="N199" s="388"/>
      <c r="O199" s="388"/>
      <c r="P199" s="388"/>
      <c r="Q199" s="388"/>
      <c r="R199" s="388"/>
      <c r="S199" s="388"/>
      <c r="T199" s="388"/>
      <c r="U199" s="388"/>
      <c r="V199" s="388"/>
      <c r="W199" s="388"/>
      <c r="X199" s="388"/>
      <c r="Y199" s="388"/>
      <c r="Z199" s="388"/>
      <c r="AA199" s="388"/>
      <c r="AB199" s="388"/>
      <c r="AC199" s="388"/>
    </row>
    <row r="200">
      <c r="A200" s="388"/>
      <c r="B200" s="388"/>
      <c r="C200" s="388"/>
      <c r="D200" s="388"/>
      <c r="E200" s="388"/>
      <c r="F200" s="388"/>
      <c r="G200" s="388"/>
      <c r="H200" s="388"/>
      <c r="I200" s="388"/>
      <c r="J200" s="642"/>
      <c r="K200" s="642"/>
      <c r="L200" s="642"/>
      <c r="M200" s="388"/>
      <c r="N200" s="388"/>
      <c r="O200" s="388"/>
      <c r="P200" s="388"/>
      <c r="Q200" s="388"/>
      <c r="R200" s="388"/>
      <c r="S200" s="388"/>
      <c r="T200" s="388"/>
      <c r="U200" s="388"/>
      <c r="V200" s="388"/>
      <c r="W200" s="388"/>
      <c r="X200" s="388"/>
      <c r="Y200" s="388"/>
      <c r="Z200" s="388"/>
      <c r="AA200" s="388"/>
      <c r="AB200" s="388"/>
      <c r="AC200" s="388"/>
    </row>
    <row r="201">
      <c r="A201" s="388"/>
      <c r="B201" s="388"/>
      <c r="C201" s="388"/>
      <c r="D201" s="388"/>
      <c r="E201" s="388"/>
      <c r="F201" s="388"/>
      <c r="G201" s="388"/>
      <c r="H201" s="388"/>
      <c r="I201" s="388"/>
      <c r="J201" s="642"/>
      <c r="K201" s="642"/>
      <c r="L201" s="642"/>
      <c r="M201" s="388"/>
      <c r="N201" s="388"/>
      <c r="O201" s="388"/>
      <c r="P201" s="388"/>
      <c r="Q201" s="388"/>
      <c r="R201" s="388"/>
      <c r="S201" s="388"/>
      <c r="T201" s="388"/>
      <c r="U201" s="388"/>
      <c r="V201" s="388"/>
      <c r="W201" s="388"/>
      <c r="X201" s="388"/>
      <c r="Y201" s="388"/>
      <c r="Z201" s="388"/>
      <c r="AA201" s="388"/>
      <c r="AB201" s="388"/>
      <c r="AC201" s="388"/>
    </row>
    <row r="202">
      <c r="A202" s="388"/>
      <c r="B202" s="388"/>
      <c r="C202" s="388"/>
      <c r="D202" s="388"/>
      <c r="E202" s="388"/>
      <c r="F202" s="388"/>
      <c r="G202" s="388"/>
      <c r="H202" s="388"/>
      <c r="I202" s="388"/>
      <c r="J202" s="642"/>
      <c r="K202" s="642"/>
      <c r="L202" s="642"/>
      <c r="M202" s="388"/>
      <c r="N202" s="388"/>
      <c r="O202" s="388"/>
      <c r="P202" s="388"/>
      <c r="Q202" s="388"/>
      <c r="R202" s="388"/>
      <c r="S202" s="388"/>
      <c r="T202" s="388"/>
      <c r="U202" s="388"/>
      <c r="V202" s="388"/>
      <c r="W202" s="388"/>
      <c r="X202" s="388"/>
      <c r="Y202" s="388"/>
      <c r="Z202" s="388"/>
      <c r="AA202" s="388"/>
      <c r="AB202" s="388"/>
      <c r="AC202" s="388"/>
    </row>
    <row r="203">
      <c r="A203" s="388"/>
      <c r="B203" s="388"/>
      <c r="C203" s="388"/>
      <c r="D203" s="388"/>
      <c r="E203" s="388"/>
      <c r="F203" s="388"/>
      <c r="G203" s="388"/>
      <c r="H203" s="388"/>
      <c r="I203" s="388"/>
      <c r="J203" s="642"/>
      <c r="K203" s="642"/>
      <c r="L203" s="642"/>
      <c r="M203" s="388"/>
      <c r="N203" s="388"/>
      <c r="O203" s="388"/>
      <c r="P203" s="388"/>
      <c r="Q203" s="388"/>
      <c r="R203" s="388"/>
      <c r="S203" s="388"/>
      <c r="T203" s="388"/>
      <c r="U203" s="388"/>
      <c r="V203" s="388"/>
      <c r="W203" s="388"/>
      <c r="X203" s="388"/>
      <c r="Y203" s="388"/>
      <c r="Z203" s="388"/>
      <c r="AA203" s="388"/>
      <c r="AB203" s="388"/>
      <c r="AC203" s="388"/>
    </row>
    <row r="204">
      <c r="A204" s="388"/>
      <c r="B204" s="388"/>
      <c r="C204" s="388"/>
      <c r="D204" s="388"/>
      <c r="E204" s="388"/>
      <c r="F204" s="388"/>
      <c r="G204" s="388"/>
      <c r="H204" s="388"/>
      <c r="I204" s="388"/>
      <c r="J204" s="642"/>
      <c r="K204" s="642"/>
      <c r="L204" s="642"/>
      <c r="M204" s="388"/>
      <c r="N204" s="388"/>
      <c r="O204" s="388"/>
      <c r="P204" s="388"/>
      <c r="Q204" s="388"/>
      <c r="R204" s="388"/>
      <c r="S204" s="388"/>
      <c r="T204" s="388"/>
      <c r="U204" s="388"/>
      <c r="V204" s="388"/>
      <c r="W204" s="388"/>
      <c r="X204" s="388"/>
      <c r="Y204" s="388"/>
      <c r="Z204" s="388"/>
      <c r="AA204" s="388"/>
      <c r="AB204" s="388"/>
      <c r="AC204" s="388"/>
    </row>
    <row r="205">
      <c r="A205" s="388"/>
      <c r="B205" s="388"/>
      <c r="C205" s="388"/>
      <c r="D205" s="388"/>
      <c r="E205" s="388"/>
      <c r="F205" s="388"/>
      <c r="G205" s="388"/>
      <c r="H205" s="388"/>
      <c r="I205" s="388"/>
      <c r="J205" s="642"/>
      <c r="K205" s="642"/>
      <c r="L205" s="642"/>
      <c r="M205" s="388"/>
      <c r="N205" s="388"/>
      <c r="O205" s="388"/>
      <c r="P205" s="388"/>
      <c r="Q205" s="388"/>
      <c r="R205" s="388"/>
      <c r="S205" s="388"/>
      <c r="T205" s="388"/>
      <c r="U205" s="388"/>
      <c r="V205" s="388"/>
      <c r="W205" s="388"/>
      <c r="X205" s="388"/>
      <c r="Y205" s="388"/>
      <c r="Z205" s="388"/>
      <c r="AA205" s="388"/>
      <c r="AB205" s="388"/>
      <c r="AC205" s="388"/>
    </row>
    <row r="206">
      <c r="A206" s="388"/>
      <c r="B206" s="388"/>
      <c r="C206" s="388"/>
      <c r="D206" s="388"/>
      <c r="E206" s="388"/>
      <c r="F206" s="388"/>
      <c r="G206" s="388"/>
      <c r="H206" s="388"/>
      <c r="I206" s="388"/>
      <c r="J206" s="642"/>
      <c r="K206" s="642"/>
      <c r="L206" s="642"/>
      <c r="M206" s="388"/>
      <c r="N206" s="388"/>
      <c r="O206" s="388"/>
      <c r="P206" s="388"/>
      <c r="Q206" s="388"/>
      <c r="R206" s="388"/>
      <c r="S206" s="388"/>
      <c r="T206" s="388"/>
      <c r="U206" s="388"/>
      <c r="V206" s="388"/>
      <c r="W206" s="388"/>
      <c r="X206" s="388"/>
      <c r="Y206" s="388"/>
      <c r="Z206" s="388"/>
      <c r="AA206" s="388"/>
      <c r="AB206" s="388"/>
      <c r="AC206" s="388"/>
    </row>
    <row r="207">
      <c r="A207" s="388"/>
      <c r="B207" s="388"/>
      <c r="C207" s="388"/>
      <c r="D207" s="388"/>
      <c r="E207" s="388"/>
      <c r="F207" s="388"/>
      <c r="G207" s="388"/>
      <c r="H207" s="388"/>
      <c r="I207" s="388"/>
      <c r="J207" s="642"/>
      <c r="K207" s="642"/>
      <c r="L207" s="642"/>
      <c r="M207" s="388"/>
      <c r="N207" s="388"/>
      <c r="O207" s="388"/>
      <c r="P207" s="388"/>
      <c r="Q207" s="388"/>
      <c r="R207" s="388"/>
      <c r="S207" s="388"/>
      <c r="T207" s="388"/>
      <c r="U207" s="388"/>
      <c r="V207" s="388"/>
      <c r="W207" s="388"/>
      <c r="X207" s="388"/>
      <c r="Y207" s="388"/>
      <c r="Z207" s="388"/>
      <c r="AA207" s="388"/>
      <c r="AB207" s="388"/>
      <c r="AC207" s="388"/>
    </row>
    <row r="208">
      <c r="A208" s="388"/>
      <c r="B208" s="388"/>
      <c r="C208" s="388"/>
      <c r="D208" s="388"/>
      <c r="E208" s="388"/>
      <c r="F208" s="388"/>
      <c r="G208" s="388"/>
      <c r="H208" s="388"/>
      <c r="I208" s="388"/>
      <c r="J208" s="642"/>
      <c r="K208" s="642"/>
      <c r="L208" s="642"/>
      <c r="M208" s="388"/>
      <c r="N208" s="388"/>
      <c r="O208" s="388"/>
      <c r="P208" s="388"/>
      <c r="Q208" s="388"/>
      <c r="R208" s="388"/>
      <c r="S208" s="388"/>
      <c r="T208" s="388"/>
      <c r="U208" s="388"/>
      <c r="V208" s="388"/>
      <c r="W208" s="388"/>
      <c r="X208" s="388"/>
      <c r="Y208" s="388"/>
      <c r="Z208" s="388"/>
      <c r="AA208" s="388"/>
      <c r="AB208" s="388"/>
      <c r="AC208" s="388"/>
    </row>
    <row r="209">
      <c r="A209" s="388"/>
      <c r="B209" s="388"/>
      <c r="C209" s="388"/>
      <c r="D209" s="388"/>
      <c r="E209" s="388"/>
      <c r="F209" s="388"/>
      <c r="G209" s="388"/>
      <c r="H209" s="388"/>
      <c r="I209" s="388"/>
      <c r="J209" s="642"/>
      <c r="K209" s="642"/>
      <c r="L209" s="642"/>
      <c r="M209" s="388"/>
      <c r="N209" s="388"/>
      <c r="O209" s="388"/>
      <c r="P209" s="388"/>
      <c r="Q209" s="388"/>
      <c r="R209" s="388"/>
      <c r="S209" s="388"/>
      <c r="T209" s="388"/>
      <c r="U209" s="388"/>
      <c r="V209" s="388"/>
      <c r="W209" s="388"/>
      <c r="X209" s="388"/>
      <c r="Y209" s="388"/>
      <c r="Z209" s="388"/>
      <c r="AA209" s="388"/>
      <c r="AB209" s="388"/>
      <c r="AC209" s="388"/>
    </row>
    <row r="210">
      <c r="A210" s="388"/>
      <c r="B210" s="388"/>
      <c r="C210" s="388"/>
      <c r="D210" s="388"/>
      <c r="E210" s="388"/>
      <c r="F210" s="388"/>
      <c r="G210" s="388"/>
      <c r="H210" s="388"/>
      <c r="I210" s="388"/>
      <c r="J210" s="642"/>
      <c r="K210" s="642"/>
      <c r="L210" s="642"/>
      <c r="M210" s="388"/>
      <c r="N210" s="388"/>
      <c r="O210" s="388"/>
      <c r="P210" s="388"/>
      <c r="Q210" s="388"/>
      <c r="R210" s="388"/>
      <c r="S210" s="388"/>
      <c r="T210" s="388"/>
      <c r="U210" s="388"/>
      <c r="V210" s="388"/>
      <c r="W210" s="388"/>
      <c r="X210" s="388"/>
      <c r="Y210" s="388"/>
      <c r="Z210" s="388"/>
      <c r="AA210" s="388"/>
      <c r="AB210" s="388"/>
      <c r="AC210" s="388"/>
    </row>
    <row r="211">
      <c r="A211" s="388"/>
      <c r="B211" s="388"/>
      <c r="C211" s="388"/>
      <c r="D211" s="388"/>
      <c r="E211" s="388"/>
      <c r="F211" s="388"/>
      <c r="G211" s="388"/>
      <c r="H211" s="388"/>
      <c r="I211" s="388"/>
      <c r="J211" s="642"/>
      <c r="K211" s="642"/>
      <c r="L211" s="642"/>
      <c r="M211" s="388"/>
      <c r="N211" s="388"/>
      <c r="O211" s="388"/>
      <c r="P211" s="388"/>
      <c r="Q211" s="388"/>
      <c r="R211" s="388"/>
      <c r="S211" s="388"/>
      <c r="T211" s="388"/>
      <c r="U211" s="388"/>
      <c r="V211" s="388"/>
      <c r="W211" s="388"/>
      <c r="X211" s="388"/>
      <c r="Y211" s="388"/>
      <c r="Z211" s="388"/>
      <c r="AA211" s="388"/>
      <c r="AB211" s="388"/>
      <c r="AC211" s="388"/>
    </row>
    <row r="212">
      <c r="A212" s="388"/>
      <c r="B212" s="388"/>
      <c r="C212" s="388"/>
      <c r="D212" s="388"/>
      <c r="E212" s="388"/>
      <c r="F212" s="388"/>
      <c r="G212" s="388"/>
      <c r="H212" s="388"/>
      <c r="I212" s="388"/>
      <c r="J212" s="642"/>
      <c r="K212" s="642"/>
      <c r="L212" s="642"/>
      <c r="M212" s="388"/>
      <c r="N212" s="388"/>
      <c r="O212" s="388"/>
      <c r="P212" s="388"/>
      <c r="Q212" s="388"/>
      <c r="R212" s="388"/>
      <c r="S212" s="388"/>
      <c r="T212" s="388"/>
      <c r="U212" s="388"/>
      <c r="V212" s="388"/>
      <c r="W212" s="388"/>
      <c r="X212" s="388"/>
      <c r="Y212" s="388"/>
      <c r="Z212" s="388"/>
      <c r="AA212" s="388"/>
      <c r="AB212" s="388"/>
      <c r="AC212" s="388"/>
    </row>
    <row r="213">
      <c r="A213" s="388"/>
      <c r="B213" s="388"/>
      <c r="C213" s="388"/>
      <c r="D213" s="388"/>
      <c r="E213" s="388"/>
      <c r="F213" s="388"/>
      <c r="G213" s="388"/>
      <c r="H213" s="388"/>
      <c r="I213" s="388"/>
      <c r="J213" s="642"/>
      <c r="K213" s="642"/>
      <c r="L213" s="642"/>
      <c r="M213" s="388"/>
      <c r="N213" s="388"/>
      <c r="O213" s="388"/>
      <c r="P213" s="388"/>
      <c r="Q213" s="388"/>
      <c r="R213" s="388"/>
      <c r="S213" s="388"/>
      <c r="T213" s="388"/>
      <c r="U213" s="388"/>
      <c r="V213" s="388"/>
      <c r="W213" s="388"/>
      <c r="X213" s="388"/>
      <c r="Y213" s="388"/>
      <c r="Z213" s="388"/>
      <c r="AA213" s="388"/>
      <c r="AB213" s="388"/>
      <c r="AC213" s="388"/>
    </row>
    <row r="214">
      <c r="A214" s="388"/>
      <c r="B214" s="388"/>
      <c r="C214" s="388"/>
      <c r="D214" s="388"/>
      <c r="E214" s="388"/>
      <c r="F214" s="388"/>
      <c r="G214" s="388"/>
      <c r="H214" s="388"/>
      <c r="I214" s="388"/>
      <c r="J214" s="642"/>
      <c r="K214" s="642"/>
      <c r="L214" s="642"/>
      <c r="M214" s="388"/>
      <c r="N214" s="388"/>
      <c r="O214" s="388"/>
      <c r="P214" s="388"/>
      <c r="Q214" s="388"/>
      <c r="R214" s="388"/>
      <c r="S214" s="388"/>
      <c r="T214" s="388"/>
      <c r="U214" s="388"/>
      <c r="V214" s="388"/>
      <c r="W214" s="388"/>
      <c r="X214" s="388"/>
      <c r="Y214" s="388"/>
      <c r="Z214" s="388"/>
      <c r="AA214" s="388"/>
      <c r="AB214" s="388"/>
      <c r="AC214" s="388"/>
    </row>
    <row r="215">
      <c r="A215" s="388"/>
      <c r="B215" s="388"/>
      <c r="C215" s="388"/>
      <c r="D215" s="388"/>
      <c r="E215" s="388"/>
      <c r="F215" s="388"/>
      <c r="G215" s="388"/>
      <c r="H215" s="388"/>
      <c r="I215" s="388"/>
      <c r="J215" s="642"/>
      <c r="K215" s="642"/>
      <c r="L215" s="642"/>
      <c r="M215" s="388"/>
      <c r="N215" s="388"/>
      <c r="O215" s="388"/>
      <c r="P215" s="388"/>
      <c r="Q215" s="388"/>
      <c r="R215" s="388"/>
      <c r="S215" s="388"/>
      <c r="T215" s="388"/>
      <c r="U215" s="388"/>
      <c r="V215" s="388"/>
      <c r="W215" s="388"/>
      <c r="X215" s="388"/>
      <c r="Y215" s="388"/>
      <c r="Z215" s="388"/>
      <c r="AA215" s="388"/>
      <c r="AB215" s="388"/>
      <c r="AC215" s="388"/>
    </row>
    <row r="216">
      <c r="A216" s="388"/>
      <c r="B216" s="388"/>
      <c r="C216" s="388"/>
      <c r="D216" s="388"/>
      <c r="E216" s="388"/>
      <c r="F216" s="388"/>
      <c r="G216" s="388"/>
      <c r="H216" s="388"/>
      <c r="I216" s="388"/>
      <c r="J216" s="642"/>
      <c r="K216" s="642"/>
      <c r="L216" s="642"/>
      <c r="M216" s="388"/>
      <c r="N216" s="388"/>
      <c r="O216" s="388"/>
      <c r="P216" s="388"/>
      <c r="Q216" s="388"/>
      <c r="R216" s="388"/>
      <c r="S216" s="388"/>
      <c r="T216" s="388"/>
      <c r="U216" s="388"/>
      <c r="V216" s="388"/>
      <c r="W216" s="388"/>
      <c r="X216" s="388"/>
      <c r="Y216" s="388"/>
      <c r="Z216" s="388"/>
      <c r="AA216" s="388"/>
      <c r="AB216" s="388"/>
      <c r="AC216" s="388"/>
    </row>
    <row r="217">
      <c r="A217" s="388"/>
      <c r="B217" s="388"/>
      <c r="C217" s="388"/>
      <c r="D217" s="388"/>
      <c r="E217" s="388"/>
      <c r="F217" s="388"/>
      <c r="G217" s="388"/>
      <c r="H217" s="388"/>
      <c r="I217" s="388"/>
      <c r="J217" s="642"/>
      <c r="K217" s="642"/>
      <c r="L217" s="642"/>
      <c r="M217" s="388"/>
      <c r="N217" s="388"/>
      <c r="O217" s="388"/>
      <c r="P217" s="388"/>
      <c r="Q217" s="388"/>
      <c r="R217" s="388"/>
      <c r="S217" s="388"/>
      <c r="T217" s="388"/>
      <c r="U217" s="388"/>
      <c r="V217" s="388"/>
      <c r="W217" s="388"/>
      <c r="X217" s="388"/>
      <c r="Y217" s="388"/>
      <c r="Z217" s="388"/>
      <c r="AA217" s="388"/>
      <c r="AB217" s="388"/>
      <c r="AC217" s="388"/>
    </row>
    <row r="218">
      <c r="A218" s="388"/>
      <c r="B218" s="388"/>
      <c r="C218" s="388"/>
      <c r="D218" s="388"/>
      <c r="E218" s="388"/>
      <c r="F218" s="388"/>
      <c r="G218" s="388"/>
      <c r="H218" s="388"/>
      <c r="I218" s="388"/>
      <c r="J218" s="642"/>
      <c r="K218" s="642"/>
      <c r="L218" s="642"/>
      <c r="M218" s="388"/>
      <c r="N218" s="388"/>
      <c r="O218" s="388"/>
      <c r="P218" s="388"/>
      <c r="Q218" s="388"/>
      <c r="R218" s="388"/>
      <c r="S218" s="388"/>
      <c r="T218" s="388"/>
      <c r="U218" s="388"/>
      <c r="V218" s="388"/>
      <c r="W218" s="388"/>
      <c r="X218" s="388"/>
      <c r="Y218" s="388"/>
      <c r="Z218" s="388"/>
      <c r="AA218" s="388"/>
      <c r="AB218" s="388"/>
      <c r="AC218" s="388"/>
    </row>
    <row r="219">
      <c r="A219" s="388"/>
      <c r="B219" s="388"/>
      <c r="C219" s="388"/>
      <c r="D219" s="388"/>
      <c r="E219" s="388"/>
      <c r="F219" s="388"/>
      <c r="G219" s="388"/>
      <c r="H219" s="388"/>
      <c r="I219" s="388"/>
      <c r="J219" s="642"/>
      <c r="K219" s="642"/>
      <c r="L219" s="642"/>
      <c r="M219" s="388"/>
      <c r="N219" s="388"/>
      <c r="O219" s="388"/>
      <c r="P219" s="388"/>
      <c r="Q219" s="388"/>
      <c r="R219" s="388"/>
      <c r="S219" s="388"/>
      <c r="T219" s="388"/>
      <c r="U219" s="388"/>
      <c r="V219" s="388"/>
      <c r="W219" s="388"/>
      <c r="X219" s="388"/>
      <c r="Y219" s="388"/>
      <c r="Z219" s="388"/>
      <c r="AA219" s="388"/>
      <c r="AB219" s="388"/>
      <c r="AC219" s="388"/>
    </row>
    <row r="220">
      <c r="A220" s="388"/>
      <c r="B220" s="388"/>
      <c r="C220" s="388"/>
      <c r="D220" s="388"/>
      <c r="E220" s="388"/>
      <c r="F220" s="388"/>
      <c r="G220" s="388"/>
      <c r="H220" s="388"/>
      <c r="I220" s="388"/>
      <c r="J220" s="642"/>
      <c r="K220" s="642"/>
      <c r="L220" s="642"/>
      <c r="M220" s="388"/>
      <c r="N220" s="388"/>
      <c r="O220" s="388"/>
      <c r="P220" s="388"/>
      <c r="Q220" s="388"/>
      <c r="R220" s="388"/>
      <c r="S220" s="388"/>
      <c r="T220" s="388"/>
      <c r="U220" s="388"/>
      <c r="V220" s="388"/>
      <c r="W220" s="388"/>
      <c r="X220" s="388"/>
      <c r="Y220" s="388"/>
      <c r="Z220" s="388"/>
      <c r="AA220" s="388"/>
      <c r="AB220" s="388"/>
      <c r="AC220" s="388"/>
    </row>
    <row r="221">
      <c r="A221" s="388"/>
      <c r="B221" s="388"/>
      <c r="C221" s="388"/>
      <c r="D221" s="388"/>
      <c r="E221" s="388"/>
      <c r="F221" s="388"/>
      <c r="G221" s="388"/>
      <c r="H221" s="388"/>
      <c r="I221" s="388"/>
      <c r="J221" s="642"/>
      <c r="K221" s="642"/>
      <c r="L221" s="642"/>
      <c r="M221" s="388"/>
      <c r="N221" s="388"/>
      <c r="O221" s="388"/>
      <c r="P221" s="388"/>
      <c r="Q221" s="388"/>
      <c r="R221" s="388"/>
      <c r="S221" s="388"/>
      <c r="T221" s="388"/>
      <c r="U221" s="388"/>
      <c r="V221" s="388"/>
      <c r="W221" s="388"/>
      <c r="X221" s="388"/>
      <c r="Y221" s="388"/>
      <c r="Z221" s="388"/>
      <c r="AA221" s="388"/>
      <c r="AB221" s="388"/>
      <c r="AC221" s="388"/>
    </row>
    <row r="222">
      <c r="A222" s="388"/>
      <c r="B222" s="388"/>
      <c r="C222" s="388"/>
      <c r="D222" s="388"/>
      <c r="E222" s="388"/>
      <c r="F222" s="388"/>
      <c r="G222" s="388"/>
      <c r="H222" s="388"/>
      <c r="I222" s="388"/>
      <c r="J222" s="642"/>
      <c r="K222" s="642"/>
      <c r="L222" s="642"/>
      <c r="M222" s="388"/>
      <c r="N222" s="388"/>
      <c r="O222" s="388"/>
      <c r="P222" s="388"/>
      <c r="Q222" s="388"/>
      <c r="R222" s="388"/>
      <c r="S222" s="388"/>
      <c r="T222" s="388"/>
      <c r="U222" s="388"/>
      <c r="V222" s="388"/>
      <c r="W222" s="388"/>
      <c r="X222" s="388"/>
      <c r="Y222" s="388"/>
      <c r="Z222" s="388"/>
      <c r="AA222" s="388"/>
      <c r="AB222" s="388"/>
      <c r="AC222" s="388"/>
    </row>
    <row r="223">
      <c r="A223" s="388"/>
      <c r="B223" s="388"/>
      <c r="C223" s="388"/>
      <c r="D223" s="388"/>
      <c r="E223" s="388"/>
      <c r="F223" s="388"/>
      <c r="G223" s="388"/>
      <c r="H223" s="388"/>
      <c r="I223" s="388"/>
      <c r="J223" s="642"/>
      <c r="K223" s="642"/>
      <c r="L223" s="642"/>
      <c r="M223" s="388"/>
      <c r="N223" s="388"/>
      <c r="O223" s="388"/>
      <c r="P223" s="388"/>
      <c r="Q223" s="388"/>
      <c r="R223" s="388"/>
      <c r="S223" s="388"/>
      <c r="T223" s="388"/>
      <c r="U223" s="388"/>
      <c r="V223" s="388"/>
      <c r="W223" s="388"/>
      <c r="X223" s="388"/>
      <c r="Y223" s="388"/>
      <c r="Z223" s="388"/>
      <c r="AA223" s="388"/>
      <c r="AB223" s="388"/>
      <c r="AC223" s="388"/>
    </row>
    <row r="224">
      <c r="A224" s="388"/>
      <c r="B224" s="388"/>
      <c r="C224" s="388"/>
      <c r="D224" s="388"/>
      <c r="E224" s="388"/>
      <c r="F224" s="388"/>
      <c r="G224" s="388"/>
      <c r="H224" s="388"/>
      <c r="I224" s="388"/>
      <c r="J224" s="642"/>
      <c r="K224" s="642"/>
      <c r="L224" s="642"/>
      <c r="M224" s="388"/>
      <c r="N224" s="388"/>
      <c r="O224" s="388"/>
      <c r="P224" s="388"/>
      <c r="Q224" s="388"/>
      <c r="R224" s="388"/>
      <c r="S224" s="388"/>
      <c r="T224" s="388"/>
      <c r="U224" s="388"/>
      <c r="V224" s="388"/>
      <c r="W224" s="388"/>
      <c r="X224" s="388"/>
      <c r="Y224" s="388"/>
      <c r="Z224" s="388"/>
      <c r="AA224" s="388"/>
      <c r="AB224" s="388"/>
      <c r="AC224" s="388"/>
    </row>
    <row r="225">
      <c r="A225" s="388"/>
      <c r="B225" s="388"/>
      <c r="C225" s="388"/>
      <c r="D225" s="388"/>
      <c r="E225" s="388"/>
      <c r="F225" s="388"/>
      <c r="G225" s="388"/>
      <c r="H225" s="388"/>
      <c r="I225" s="388"/>
      <c r="J225" s="642"/>
      <c r="K225" s="642"/>
      <c r="L225" s="642"/>
      <c r="M225" s="388"/>
      <c r="N225" s="388"/>
      <c r="O225" s="388"/>
      <c r="P225" s="388"/>
      <c r="Q225" s="388"/>
      <c r="R225" s="388"/>
      <c r="S225" s="388"/>
      <c r="T225" s="388"/>
      <c r="U225" s="388"/>
      <c r="V225" s="388"/>
      <c r="W225" s="388"/>
      <c r="X225" s="388"/>
      <c r="Y225" s="388"/>
      <c r="Z225" s="388"/>
      <c r="AA225" s="388"/>
      <c r="AB225" s="388"/>
      <c r="AC225" s="388"/>
    </row>
    <row r="226">
      <c r="A226" s="388"/>
      <c r="B226" s="388"/>
      <c r="C226" s="388"/>
      <c r="D226" s="388"/>
      <c r="E226" s="388"/>
      <c r="F226" s="388"/>
      <c r="G226" s="388"/>
      <c r="H226" s="388"/>
      <c r="I226" s="388"/>
      <c r="J226" s="642"/>
      <c r="K226" s="642"/>
      <c r="L226" s="642"/>
      <c r="M226" s="388"/>
      <c r="N226" s="388"/>
      <c r="O226" s="388"/>
      <c r="P226" s="388"/>
      <c r="Q226" s="388"/>
      <c r="R226" s="388"/>
      <c r="S226" s="388"/>
      <c r="T226" s="388"/>
      <c r="U226" s="388"/>
      <c r="V226" s="388"/>
      <c r="W226" s="388"/>
      <c r="X226" s="388"/>
      <c r="Y226" s="388"/>
      <c r="Z226" s="388"/>
      <c r="AA226" s="388"/>
      <c r="AB226" s="388"/>
      <c r="AC226" s="388"/>
    </row>
    <row r="227">
      <c r="A227" s="388"/>
      <c r="B227" s="388"/>
      <c r="C227" s="388"/>
      <c r="D227" s="388"/>
      <c r="E227" s="388"/>
      <c r="F227" s="388"/>
      <c r="G227" s="388"/>
      <c r="H227" s="388"/>
      <c r="I227" s="388"/>
      <c r="J227" s="642"/>
      <c r="K227" s="642"/>
      <c r="L227" s="642"/>
      <c r="M227" s="388"/>
      <c r="N227" s="388"/>
      <c r="O227" s="388"/>
      <c r="P227" s="388"/>
      <c r="Q227" s="388"/>
      <c r="R227" s="388"/>
      <c r="S227" s="388"/>
      <c r="T227" s="388"/>
      <c r="U227" s="388"/>
      <c r="V227" s="388"/>
      <c r="W227" s="388"/>
      <c r="X227" s="388"/>
      <c r="Y227" s="388"/>
      <c r="Z227" s="388"/>
      <c r="AA227" s="388"/>
      <c r="AB227" s="388"/>
      <c r="AC227" s="388"/>
    </row>
    <row r="228">
      <c r="A228" s="388"/>
      <c r="B228" s="388"/>
      <c r="C228" s="388"/>
      <c r="D228" s="388"/>
      <c r="E228" s="388"/>
      <c r="F228" s="388"/>
      <c r="G228" s="388"/>
      <c r="H228" s="388"/>
      <c r="I228" s="388"/>
      <c r="J228" s="642"/>
      <c r="K228" s="642"/>
      <c r="L228" s="642"/>
      <c r="M228" s="388"/>
      <c r="N228" s="388"/>
      <c r="O228" s="388"/>
      <c r="P228" s="388"/>
      <c r="Q228" s="388"/>
      <c r="R228" s="388"/>
      <c r="S228" s="388"/>
      <c r="T228" s="388"/>
      <c r="U228" s="388"/>
      <c r="V228" s="388"/>
      <c r="W228" s="388"/>
      <c r="X228" s="388"/>
      <c r="Y228" s="388"/>
      <c r="Z228" s="388"/>
      <c r="AA228" s="388"/>
      <c r="AB228" s="388"/>
      <c r="AC228" s="388"/>
    </row>
    <row r="229">
      <c r="A229" s="388"/>
      <c r="B229" s="388"/>
      <c r="C229" s="388"/>
      <c r="D229" s="388"/>
      <c r="E229" s="388"/>
      <c r="F229" s="388"/>
      <c r="G229" s="388"/>
      <c r="H229" s="388"/>
      <c r="I229" s="388"/>
      <c r="J229" s="642"/>
      <c r="K229" s="642"/>
      <c r="L229" s="642"/>
      <c r="M229" s="388"/>
      <c r="N229" s="388"/>
      <c r="O229" s="388"/>
      <c r="P229" s="388"/>
      <c r="Q229" s="388"/>
      <c r="R229" s="388"/>
      <c r="S229" s="388"/>
      <c r="T229" s="388"/>
      <c r="U229" s="388"/>
      <c r="V229" s="388"/>
      <c r="W229" s="388"/>
      <c r="X229" s="388"/>
      <c r="Y229" s="388"/>
      <c r="Z229" s="388"/>
      <c r="AA229" s="388"/>
      <c r="AB229" s="388"/>
      <c r="AC229" s="388"/>
    </row>
    <row r="230">
      <c r="A230" s="388"/>
      <c r="B230" s="388"/>
      <c r="C230" s="388"/>
      <c r="D230" s="388"/>
      <c r="E230" s="388"/>
      <c r="F230" s="388"/>
      <c r="G230" s="388"/>
      <c r="H230" s="388"/>
      <c r="I230" s="388"/>
      <c r="J230" s="642"/>
      <c r="K230" s="642"/>
      <c r="L230" s="642"/>
      <c r="M230" s="388"/>
      <c r="N230" s="388"/>
      <c r="O230" s="388"/>
      <c r="P230" s="388"/>
      <c r="Q230" s="388"/>
      <c r="R230" s="388"/>
      <c r="S230" s="388"/>
      <c r="T230" s="388"/>
      <c r="U230" s="388"/>
      <c r="V230" s="388"/>
      <c r="W230" s="388"/>
      <c r="X230" s="388"/>
      <c r="Y230" s="388"/>
      <c r="Z230" s="388"/>
      <c r="AA230" s="388"/>
      <c r="AB230" s="388"/>
      <c r="AC230" s="388"/>
    </row>
    <row r="231">
      <c r="A231" s="388"/>
      <c r="B231" s="388"/>
      <c r="C231" s="388"/>
      <c r="D231" s="388"/>
      <c r="E231" s="388"/>
      <c r="F231" s="388"/>
      <c r="G231" s="388"/>
      <c r="H231" s="388"/>
      <c r="I231" s="388"/>
      <c r="J231" s="642"/>
      <c r="K231" s="642"/>
      <c r="L231" s="642"/>
      <c r="M231" s="388"/>
      <c r="N231" s="388"/>
      <c r="O231" s="388"/>
      <c r="P231" s="388"/>
      <c r="Q231" s="388"/>
      <c r="R231" s="388"/>
      <c r="S231" s="388"/>
      <c r="T231" s="388"/>
      <c r="U231" s="388"/>
      <c r="V231" s="388"/>
      <c r="W231" s="388"/>
      <c r="X231" s="388"/>
      <c r="Y231" s="388"/>
      <c r="Z231" s="388"/>
      <c r="AA231" s="388"/>
      <c r="AB231" s="388"/>
      <c r="AC231" s="388"/>
    </row>
    <row r="232">
      <c r="A232" s="388"/>
      <c r="B232" s="388"/>
      <c r="C232" s="388"/>
      <c r="D232" s="388"/>
      <c r="E232" s="388"/>
      <c r="F232" s="388"/>
      <c r="G232" s="388"/>
      <c r="H232" s="388"/>
      <c r="I232" s="388"/>
      <c r="J232" s="642"/>
      <c r="K232" s="642"/>
      <c r="L232" s="642"/>
      <c r="M232" s="388"/>
      <c r="N232" s="388"/>
      <c r="O232" s="388"/>
      <c r="P232" s="388"/>
      <c r="Q232" s="388"/>
      <c r="R232" s="388"/>
      <c r="S232" s="388"/>
      <c r="T232" s="388"/>
      <c r="U232" s="388"/>
      <c r="V232" s="388"/>
      <c r="W232" s="388"/>
      <c r="X232" s="388"/>
      <c r="Y232" s="388"/>
      <c r="Z232" s="388"/>
      <c r="AA232" s="388"/>
      <c r="AB232" s="388"/>
      <c r="AC232" s="388"/>
    </row>
    <row r="233">
      <c r="A233" s="388"/>
      <c r="B233" s="388"/>
      <c r="C233" s="388"/>
      <c r="D233" s="388"/>
      <c r="E233" s="388"/>
      <c r="F233" s="388"/>
      <c r="G233" s="388"/>
      <c r="H233" s="388"/>
      <c r="I233" s="388"/>
      <c r="J233" s="642"/>
      <c r="K233" s="642"/>
      <c r="L233" s="642"/>
      <c r="M233" s="388"/>
      <c r="N233" s="388"/>
      <c r="O233" s="388"/>
      <c r="P233" s="388"/>
      <c r="Q233" s="388"/>
      <c r="R233" s="388"/>
      <c r="S233" s="388"/>
      <c r="T233" s="388"/>
      <c r="U233" s="388"/>
      <c r="V233" s="388"/>
      <c r="W233" s="388"/>
      <c r="X233" s="388"/>
      <c r="Y233" s="388"/>
      <c r="Z233" s="388"/>
      <c r="AA233" s="388"/>
      <c r="AB233" s="388"/>
      <c r="AC233" s="388"/>
    </row>
    <row r="234">
      <c r="A234" s="388"/>
      <c r="B234" s="388"/>
      <c r="C234" s="388"/>
      <c r="D234" s="388"/>
      <c r="E234" s="388"/>
      <c r="F234" s="388"/>
      <c r="G234" s="388"/>
      <c r="H234" s="388"/>
      <c r="I234" s="388"/>
      <c r="J234" s="642"/>
      <c r="K234" s="642"/>
      <c r="L234" s="642"/>
      <c r="M234" s="388"/>
      <c r="N234" s="388"/>
      <c r="O234" s="388"/>
      <c r="P234" s="388"/>
      <c r="Q234" s="388"/>
      <c r="R234" s="388"/>
      <c r="S234" s="388"/>
      <c r="T234" s="388"/>
      <c r="U234" s="388"/>
      <c r="V234" s="388"/>
      <c r="W234" s="388"/>
      <c r="X234" s="388"/>
      <c r="Y234" s="388"/>
      <c r="Z234" s="388"/>
      <c r="AA234" s="388"/>
      <c r="AB234" s="388"/>
      <c r="AC234" s="388"/>
    </row>
    <row r="235">
      <c r="A235" s="388"/>
      <c r="B235" s="388"/>
      <c r="C235" s="388"/>
      <c r="D235" s="388"/>
      <c r="E235" s="388"/>
      <c r="F235" s="388"/>
      <c r="G235" s="388"/>
      <c r="H235" s="388"/>
      <c r="I235" s="388"/>
      <c r="J235" s="642"/>
      <c r="K235" s="642"/>
      <c r="L235" s="642"/>
      <c r="M235" s="388"/>
      <c r="N235" s="388"/>
      <c r="O235" s="388"/>
      <c r="P235" s="388"/>
      <c r="Q235" s="388"/>
      <c r="R235" s="388"/>
      <c r="S235" s="388"/>
      <c r="T235" s="388"/>
      <c r="U235" s="388"/>
      <c r="V235" s="388"/>
      <c r="W235" s="388"/>
      <c r="X235" s="388"/>
      <c r="Y235" s="388"/>
      <c r="Z235" s="388"/>
      <c r="AA235" s="388"/>
      <c r="AB235" s="388"/>
      <c r="AC235" s="388"/>
    </row>
    <row r="236">
      <c r="A236" s="388"/>
      <c r="B236" s="388"/>
      <c r="C236" s="388"/>
      <c r="D236" s="388"/>
      <c r="E236" s="388"/>
      <c r="F236" s="388"/>
      <c r="G236" s="388"/>
      <c r="H236" s="388"/>
      <c r="I236" s="388"/>
      <c r="J236" s="642"/>
      <c r="K236" s="642"/>
      <c r="L236" s="642"/>
      <c r="M236" s="388"/>
      <c r="N236" s="388"/>
      <c r="O236" s="388"/>
      <c r="P236" s="388"/>
      <c r="Q236" s="388"/>
      <c r="R236" s="388"/>
      <c r="S236" s="388"/>
      <c r="T236" s="388"/>
      <c r="U236" s="388"/>
      <c r="V236" s="388"/>
      <c r="W236" s="388"/>
      <c r="X236" s="388"/>
      <c r="Y236" s="388"/>
      <c r="Z236" s="388"/>
      <c r="AA236" s="388"/>
      <c r="AB236" s="388"/>
      <c r="AC236" s="388"/>
    </row>
    <row r="237">
      <c r="A237" s="388"/>
      <c r="B237" s="388"/>
      <c r="C237" s="388"/>
      <c r="D237" s="388"/>
      <c r="E237" s="388"/>
      <c r="F237" s="388"/>
      <c r="G237" s="388"/>
      <c r="H237" s="388"/>
      <c r="I237" s="388"/>
      <c r="J237" s="642"/>
      <c r="K237" s="642"/>
      <c r="L237" s="642"/>
      <c r="M237" s="388"/>
      <c r="N237" s="388"/>
      <c r="O237" s="388"/>
      <c r="P237" s="388"/>
      <c r="Q237" s="388"/>
      <c r="R237" s="388"/>
      <c r="S237" s="388"/>
      <c r="T237" s="388"/>
      <c r="U237" s="388"/>
      <c r="V237" s="388"/>
      <c r="W237" s="388"/>
      <c r="X237" s="388"/>
      <c r="Y237" s="388"/>
      <c r="Z237" s="388"/>
      <c r="AA237" s="388"/>
      <c r="AB237" s="388"/>
      <c r="AC237" s="388"/>
    </row>
    <row r="238">
      <c r="A238" s="388"/>
      <c r="B238" s="388"/>
      <c r="C238" s="388"/>
      <c r="D238" s="388"/>
      <c r="E238" s="388"/>
      <c r="F238" s="388"/>
      <c r="G238" s="388"/>
      <c r="H238" s="388"/>
      <c r="I238" s="388"/>
      <c r="J238" s="642"/>
      <c r="K238" s="642"/>
      <c r="L238" s="642"/>
      <c r="M238" s="388"/>
      <c r="N238" s="388"/>
      <c r="O238" s="388"/>
      <c r="P238" s="388"/>
      <c r="Q238" s="388"/>
      <c r="R238" s="388"/>
      <c r="S238" s="388"/>
      <c r="T238" s="388"/>
      <c r="U238" s="388"/>
      <c r="V238" s="388"/>
      <c r="W238" s="388"/>
      <c r="X238" s="388"/>
      <c r="Y238" s="388"/>
      <c r="Z238" s="388"/>
      <c r="AA238" s="388"/>
      <c r="AB238" s="388"/>
      <c r="AC238" s="388"/>
    </row>
    <row r="239">
      <c r="A239" s="388"/>
      <c r="B239" s="388"/>
      <c r="C239" s="388"/>
      <c r="D239" s="388"/>
      <c r="E239" s="388"/>
      <c r="F239" s="388"/>
      <c r="G239" s="388"/>
      <c r="H239" s="388"/>
      <c r="I239" s="388"/>
      <c r="J239" s="642"/>
      <c r="K239" s="642"/>
      <c r="L239" s="642"/>
      <c r="M239" s="388"/>
      <c r="N239" s="388"/>
      <c r="O239" s="388"/>
      <c r="P239" s="388"/>
      <c r="Q239" s="388"/>
      <c r="R239" s="388"/>
      <c r="S239" s="388"/>
      <c r="T239" s="388"/>
      <c r="U239" s="388"/>
      <c r="V239" s="388"/>
      <c r="W239" s="388"/>
      <c r="X239" s="388"/>
      <c r="Y239" s="388"/>
      <c r="Z239" s="388"/>
      <c r="AA239" s="388"/>
      <c r="AB239" s="388"/>
      <c r="AC239" s="388"/>
    </row>
    <row r="240">
      <c r="A240" s="388"/>
      <c r="B240" s="388"/>
      <c r="C240" s="388"/>
      <c r="D240" s="388"/>
      <c r="E240" s="388"/>
      <c r="F240" s="388"/>
      <c r="G240" s="388"/>
      <c r="H240" s="388"/>
      <c r="I240" s="388"/>
      <c r="J240" s="642"/>
      <c r="K240" s="642"/>
      <c r="L240" s="642"/>
      <c r="M240" s="388"/>
      <c r="N240" s="388"/>
      <c r="O240" s="388"/>
      <c r="P240" s="388"/>
      <c r="Q240" s="388"/>
      <c r="R240" s="388"/>
      <c r="S240" s="388"/>
      <c r="T240" s="388"/>
      <c r="U240" s="388"/>
      <c r="V240" s="388"/>
      <c r="W240" s="388"/>
      <c r="X240" s="388"/>
      <c r="Y240" s="388"/>
      <c r="Z240" s="388"/>
      <c r="AA240" s="388"/>
      <c r="AB240" s="388"/>
      <c r="AC240" s="388"/>
    </row>
    <row r="241">
      <c r="A241" s="388"/>
      <c r="B241" s="388"/>
      <c r="C241" s="388"/>
      <c r="D241" s="388"/>
      <c r="E241" s="388"/>
      <c r="F241" s="388"/>
      <c r="G241" s="388"/>
      <c r="H241" s="388"/>
      <c r="I241" s="388"/>
      <c r="J241" s="642"/>
      <c r="K241" s="642"/>
      <c r="L241" s="642"/>
      <c r="M241" s="388"/>
      <c r="N241" s="388"/>
      <c r="O241" s="388"/>
      <c r="P241" s="388"/>
      <c r="Q241" s="388"/>
      <c r="R241" s="388"/>
      <c r="S241" s="388"/>
      <c r="T241" s="388"/>
      <c r="U241" s="388"/>
      <c r="V241" s="388"/>
      <c r="W241" s="388"/>
      <c r="X241" s="388"/>
      <c r="Y241" s="388"/>
      <c r="Z241" s="388"/>
      <c r="AA241" s="388"/>
      <c r="AB241" s="388"/>
      <c r="AC241" s="388"/>
    </row>
    <row r="242">
      <c r="A242" s="388"/>
      <c r="B242" s="388"/>
      <c r="C242" s="388"/>
      <c r="D242" s="388"/>
      <c r="E242" s="388"/>
      <c r="F242" s="388"/>
      <c r="G242" s="388"/>
      <c r="H242" s="388"/>
      <c r="I242" s="388"/>
      <c r="J242" s="642"/>
      <c r="K242" s="642"/>
      <c r="L242" s="642"/>
      <c r="M242" s="388"/>
      <c r="N242" s="388"/>
      <c r="O242" s="388"/>
      <c r="P242" s="388"/>
      <c r="Q242" s="388"/>
      <c r="R242" s="388"/>
      <c r="S242" s="388"/>
      <c r="T242" s="388"/>
      <c r="U242" s="388"/>
      <c r="V242" s="388"/>
      <c r="W242" s="388"/>
      <c r="X242" s="388"/>
      <c r="Y242" s="388"/>
      <c r="Z242" s="388"/>
      <c r="AA242" s="388"/>
      <c r="AB242" s="388"/>
      <c r="AC242" s="388"/>
    </row>
    <row r="243">
      <c r="A243" s="388"/>
      <c r="B243" s="388"/>
      <c r="C243" s="388"/>
      <c r="D243" s="388"/>
      <c r="E243" s="388"/>
      <c r="F243" s="388"/>
      <c r="G243" s="388"/>
      <c r="H243" s="388"/>
      <c r="I243" s="388"/>
      <c r="J243" s="642"/>
      <c r="K243" s="642"/>
      <c r="L243" s="642"/>
      <c r="M243" s="388"/>
      <c r="N243" s="388"/>
      <c r="O243" s="388"/>
      <c r="P243" s="388"/>
      <c r="Q243" s="388"/>
      <c r="R243" s="388"/>
      <c r="S243" s="388"/>
      <c r="T243" s="388"/>
      <c r="U243" s="388"/>
      <c r="V243" s="388"/>
      <c r="W243" s="388"/>
      <c r="X243" s="388"/>
      <c r="Y243" s="388"/>
      <c r="Z243" s="388"/>
      <c r="AA243" s="388"/>
      <c r="AB243" s="388"/>
      <c r="AC243" s="388"/>
    </row>
    <row r="244">
      <c r="A244" s="388"/>
      <c r="B244" s="388"/>
      <c r="C244" s="388"/>
      <c r="D244" s="388"/>
      <c r="E244" s="388"/>
      <c r="F244" s="388"/>
      <c r="G244" s="388"/>
      <c r="H244" s="388"/>
      <c r="I244" s="388"/>
      <c r="J244" s="642"/>
      <c r="K244" s="642"/>
      <c r="L244" s="642"/>
      <c r="M244" s="388"/>
      <c r="N244" s="388"/>
      <c r="O244" s="388"/>
      <c r="P244" s="388"/>
      <c r="Q244" s="388"/>
      <c r="R244" s="388"/>
      <c r="S244" s="388"/>
      <c r="T244" s="388"/>
      <c r="U244" s="388"/>
      <c r="V244" s="388"/>
      <c r="W244" s="388"/>
      <c r="X244" s="388"/>
      <c r="Y244" s="388"/>
      <c r="Z244" s="388"/>
      <c r="AA244" s="388"/>
      <c r="AB244" s="388"/>
      <c r="AC244" s="388"/>
    </row>
    <row r="245">
      <c r="A245" s="388"/>
      <c r="B245" s="388"/>
      <c r="C245" s="388"/>
      <c r="D245" s="388"/>
      <c r="E245" s="388"/>
      <c r="F245" s="388"/>
      <c r="G245" s="388"/>
      <c r="H245" s="388"/>
      <c r="I245" s="388"/>
      <c r="J245" s="642"/>
      <c r="K245" s="642"/>
      <c r="L245" s="642"/>
      <c r="M245" s="388"/>
      <c r="N245" s="388"/>
      <c r="O245" s="388"/>
      <c r="P245" s="388"/>
      <c r="Q245" s="388"/>
      <c r="R245" s="388"/>
      <c r="S245" s="388"/>
      <c r="T245" s="388"/>
      <c r="U245" s="388"/>
      <c r="V245" s="388"/>
      <c r="W245" s="388"/>
      <c r="X245" s="388"/>
      <c r="Y245" s="388"/>
      <c r="Z245" s="388"/>
      <c r="AA245" s="388"/>
      <c r="AB245" s="388"/>
      <c r="AC245" s="388"/>
    </row>
    <row r="246">
      <c r="A246" s="388"/>
      <c r="B246" s="388"/>
      <c r="C246" s="388"/>
      <c r="D246" s="388"/>
      <c r="E246" s="388"/>
      <c r="F246" s="388"/>
      <c r="G246" s="388"/>
      <c r="H246" s="388"/>
      <c r="I246" s="388"/>
      <c r="J246" s="642"/>
      <c r="K246" s="642"/>
      <c r="L246" s="642"/>
      <c r="M246" s="388"/>
      <c r="N246" s="388"/>
      <c r="O246" s="388"/>
      <c r="P246" s="388"/>
      <c r="Q246" s="388"/>
      <c r="R246" s="388"/>
      <c r="S246" s="388"/>
      <c r="T246" s="388"/>
      <c r="U246" s="388"/>
      <c r="V246" s="388"/>
      <c r="W246" s="388"/>
      <c r="X246" s="388"/>
      <c r="Y246" s="388"/>
      <c r="Z246" s="388"/>
      <c r="AA246" s="388"/>
      <c r="AB246" s="388"/>
      <c r="AC246" s="388"/>
    </row>
    <row r="247">
      <c r="A247" s="388"/>
      <c r="B247" s="388"/>
      <c r="C247" s="388"/>
      <c r="D247" s="388"/>
      <c r="E247" s="388"/>
      <c r="F247" s="388"/>
      <c r="G247" s="388"/>
      <c r="H247" s="388"/>
      <c r="I247" s="388"/>
      <c r="J247" s="642"/>
      <c r="K247" s="642"/>
      <c r="L247" s="642"/>
      <c r="M247" s="388"/>
      <c r="N247" s="388"/>
      <c r="O247" s="388"/>
      <c r="P247" s="388"/>
      <c r="Q247" s="388"/>
      <c r="R247" s="388"/>
      <c r="S247" s="388"/>
      <c r="T247" s="388"/>
      <c r="U247" s="388"/>
      <c r="V247" s="388"/>
      <c r="W247" s="388"/>
      <c r="X247" s="388"/>
      <c r="Y247" s="388"/>
      <c r="Z247" s="388"/>
      <c r="AA247" s="388"/>
      <c r="AB247" s="388"/>
      <c r="AC247" s="388"/>
    </row>
    <row r="248">
      <c r="A248" s="388"/>
      <c r="B248" s="388"/>
      <c r="C248" s="388"/>
      <c r="D248" s="388"/>
      <c r="E248" s="388"/>
      <c r="F248" s="388"/>
      <c r="G248" s="388"/>
      <c r="H248" s="388"/>
      <c r="I248" s="388"/>
      <c r="J248" s="642"/>
      <c r="K248" s="642"/>
      <c r="L248" s="642"/>
      <c r="M248" s="388"/>
      <c r="N248" s="388"/>
      <c r="O248" s="388"/>
      <c r="P248" s="388"/>
      <c r="Q248" s="388"/>
      <c r="R248" s="388"/>
      <c r="S248" s="388"/>
      <c r="T248" s="388"/>
      <c r="U248" s="388"/>
      <c r="V248" s="388"/>
      <c r="W248" s="388"/>
      <c r="X248" s="388"/>
      <c r="Y248" s="388"/>
      <c r="Z248" s="388"/>
      <c r="AA248" s="388"/>
      <c r="AB248" s="388"/>
      <c r="AC248" s="388"/>
    </row>
    <row r="249">
      <c r="A249" s="388"/>
      <c r="B249" s="388"/>
      <c r="C249" s="388"/>
      <c r="D249" s="388"/>
      <c r="E249" s="388"/>
      <c r="F249" s="388"/>
      <c r="G249" s="388"/>
      <c r="H249" s="388"/>
      <c r="I249" s="388"/>
      <c r="J249" s="642"/>
      <c r="K249" s="642"/>
      <c r="L249" s="642"/>
      <c r="M249" s="388"/>
      <c r="N249" s="388"/>
      <c r="O249" s="388"/>
      <c r="P249" s="388"/>
      <c r="Q249" s="388"/>
      <c r="R249" s="388"/>
      <c r="S249" s="388"/>
      <c r="T249" s="388"/>
      <c r="U249" s="388"/>
      <c r="V249" s="388"/>
      <c r="W249" s="388"/>
      <c r="X249" s="388"/>
      <c r="Y249" s="388"/>
      <c r="Z249" s="388"/>
      <c r="AA249" s="388"/>
      <c r="AB249" s="388"/>
      <c r="AC249" s="388"/>
    </row>
    <row r="250">
      <c r="A250" s="388"/>
      <c r="B250" s="388"/>
      <c r="C250" s="388"/>
      <c r="D250" s="388"/>
      <c r="E250" s="388"/>
      <c r="F250" s="388"/>
      <c r="G250" s="388"/>
      <c r="H250" s="388"/>
      <c r="I250" s="388"/>
      <c r="J250" s="642"/>
      <c r="K250" s="642"/>
      <c r="L250" s="642"/>
      <c r="M250" s="388"/>
      <c r="N250" s="388"/>
      <c r="O250" s="388"/>
      <c r="P250" s="388"/>
      <c r="Q250" s="388"/>
      <c r="R250" s="388"/>
      <c r="S250" s="388"/>
      <c r="T250" s="388"/>
      <c r="U250" s="388"/>
      <c r="V250" s="388"/>
      <c r="W250" s="388"/>
      <c r="X250" s="388"/>
      <c r="Y250" s="388"/>
      <c r="Z250" s="388"/>
      <c r="AA250" s="388"/>
      <c r="AB250" s="388"/>
      <c r="AC250" s="388"/>
    </row>
    <row r="251">
      <c r="A251" s="388"/>
      <c r="B251" s="388"/>
      <c r="C251" s="388"/>
      <c r="D251" s="388"/>
      <c r="E251" s="388"/>
      <c r="F251" s="388"/>
      <c r="G251" s="388"/>
      <c r="H251" s="388"/>
      <c r="I251" s="388"/>
      <c r="J251" s="642"/>
      <c r="K251" s="642"/>
      <c r="L251" s="642"/>
      <c r="M251" s="388"/>
      <c r="N251" s="388"/>
      <c r="O251" s="388"/>
      <c r="P251" s="388"/>
      <c r="Q251" s="388"/>
      <c r="R251" s="388"/>
      <c r="S251" s="388"/>
      <c r="T251" s="388"/>
      <c r="U251" s="388"/>
      <c r="V251" s="388"/>
      <c r="W251" s="388"/>
      <c r="X251" s="388"/>
      <c r="Y251" s="388"/>
      <c r="Z251" s="388"/>
      <c r="AA251" s="388"/>
      <c r="AB251" s="388"/>
      <c r="AC251" s="388"/>
    </row>
    <row r="252">
      <c r="A252" s="388"/>
      <c r="B252" s="388"/>
      <c r="C252" s="388"/>
      <c r="D252" s="388"/>
      <c r="E252" s="388"/>
      <c r="F252" s="388"/>
      <c r="G252" s="388"/>
      <c r="H252" s="388"/>
      <c r="I252" s="388"/>
      <c r="J252" s="642"/>
      <c r="K252" s="642"/>
      <c r="L252" s="642"/>
      <c r="M252" s="388"/>
      <c r="N252" s="388"/>
      <c r="O252" s="388"/>
      <c r="P252" s="388"/>
      <c r="Q252" s="388"/>
      <c r="R252" s="388"/>
      <c r="S252" s="388"/>
      <c r="T252" s="388"/>
      <c r="U252" s="388"/>
      <c r="V252" s="388"/>
      <c r="W252" s="388"/>
      <c r="X252" s="388"/>
      <c r="Y252" s="388"/>
      <c r="Z252" s="388"/>
      <c r="AA252" s="388"/>
      <c r="AB252" s="388"/>
      <c r="AC252" s="388"/>
    </row>
    <row r="253">
      <c r="A253" s="388"/>
      <c r="B253" s="388"/>
      <c r="C253" s="388"/>
      <c r="D253" s="388"/>
      <c r="E253" s="388"/>
      <c r="F253" s="388"/>
      <c r="G253" s="388"/>
      <c r="H253" s="388"/>
      <c r="I253" s="388"/>
      <c r="J253" s="642"/>
      <c r="K253" s="642"/>
      <c r="L253" s="642"/>
      <c r="M253" s="388"/>
      <c r="N253" s="388"/>
      <c r="O253" s="388"/>
      <c r="P253" s="388"/>
      <c r="Q253" s="388"/>
      <c r="R253" s="388"/>
      <c r="S253" s="388"/>
      <c r="T253" s="388"/>
      <c r="U253" s="388"/>
      <c r="V253" s="388"/>
      <c r="W253" s="388"/>
      <c r="X253" s="388"/>
      <c r="Y253" s="388"/>
      <c r="Z253" s="388"/>
      <c r="AA253" s="388"/>
      <c r="AB253" s="388"/>
      <c r="AC253" s="388"/>
    </row>
    <row r="254">
      <c r="A254" s="388"/>
      <c r="B254" s="388"/>
      <c r="C254" s="388"/>
      <c r="D254" s="388"/>
      <c r="E254" s="388"/>
      <c r="F254" s="388"/>
      <c r="G254" s="388"/>
      <c r="H254" s="388"/>
      <c r="I254" s="388"/>
      <c r="J254" s="642"/>
      <c r="K254" s="642"/>
      <c r="L254" s="642"/>
      <c r="M254" s="388"/>
      <c r="N254" s="388"/>
      <c r="O254" s="388"/>
      <c r="P254" s="388"/>
      <c r="Q254" s="388"/>
      <c r="R254" s="388"/>
      <c r="S254" s="388"/>
      <c r="T254" s="388"/>
      <c r="U254" s="388"/>
      <c r="V254" s="388"/>
      <c r="W254" s="388"/>
      <c r="X254" s="388"/>
      <c r="Y254" s="388"/>
      <c r="Z254" s="388"/>
      <c r="AA254" s="388"/>
      <c r="AB254" s="388"/>
      <c r="AC254" s="388"/>
    </row>
    <row r="255">
      <c r="A255" s="388"/>
      <c r="B255" s="388"/>
      <c r="C255" s="388"/>
      <c r="D255" s="388"/>
      <c r="E255" s="388"/>
      <c r="F255" s="388"/>
      <c r="G255" s="388"/>
      <c r="H255" s="388"/>
      <c r="I255" s="388"/>
      <c r="J255" s="642"/>
      <c r="K255" s="642"/>
      <c r="L255" s="642"/>
      <c r="M255" s="388"/>
      <c r="N255" s="388"/>
      <c r="O255" s="388"/>
      <c r="P255" s="388"/>
      <c r="Q255" s="388"/>
      <c r="R255" s="388"/>
      <c r="S255" s="388"/>
      <c r="T255" s="388"/>
      <c r="U255" s="388"/>
      <c r="V255" s="388"/>
      <c r="W255" s="388"/>
      <c r="X255" s="388"/>
      <c r="Y255" s="388"/>
      <c r="Z255" s="388"/>
      <c r="AA255" s="388"/>
      <c r="AB255" s="388"/>
      <c r="AC255" s="388"/>
    </row>
    <row r="256">
      <c r="A256" s="388"/>
      <c r="B256" s="388"/>
      <c r="C256" s="388"/>
      <c r="D256" s="388"/>
      <c r="E256" s="388"/>
      <c r="F256" s="388"/>
      <c r="G256" s="388"/>
      <c r="H256" s="388"/>
      <c r="I256" s="388"/>
      <c r="J256" s="642"/>
      <c r="K256" s="642"/>
      <c r="L256" s="642"/>
      <c r="M256" s="388"/>
      <c r="N256" s="388"/>
      <c r="O256" s="388"/>
      <c r="P256" s="388"/>
      <c r="Q256" s="388"/>
      <c r="R256" s="388"/>
      <c r="S256" s="388"/>
      <c r="T256" s="388"/>
      <c r="U256" s="388"/>
      <c r="V256" s="388"/>
      <c r="W256" s="388"/>
      <c r="X256" s="388"/>
      <c r="Y256" s="388"/>
      <c r="Z256" s="388"/>
      <c r="AA256" s="388"/>
      <c r="AB256" s="388"/>
      <c r="AC256" s="388"/>
    </row>
    <row r="257">
      <c r="A257" s="388"/>
      <c r="B257" s="388"/>
      <c r="C257" s="388"/>
      <c r="D257" s="388"/>
      <c r="E257" s="388"/>
      <c r="F257" s="388"/>
      <c r="G257" s="388"/>
      <c r="H257" s="388"/>
      <c r="I257" s="388"/>
      <c r="J257" s="642"/>
      <c r="K257" s="642"/>
      <c r="L257" s="642"/>
      <c r="M257" s="388"/>
      <c r="N257" s="388"/>
      <c r="O257" s="388"/>
      <c r="P257" s="388"/>
      <c r="Q257" s="388"/>
      <c r="R257" s="388"/>
      <c r="S257" s="388"/>
      <c r="T257" s="388"/>
      <c r="U257" s="388"/>
      <c r="V257" s="388"/>
      <c r="W257" s="388"/>
      <c r="X257" s="388"/>
      <c r="Y257" s="388"/>
      <c r="Z257" s="388"/>
      <c r="AA257" s="388"/>
      <c r="AB257" s="388"/>
      <c r="AC257" s="388"/>
    </row>
    <row r="258">
      <c r="A258" s="388"/>
      <c r="B258" s="388"/>
      <c r="C258" s="388"/>
      <c r="D258" s="388"/>
      <c r="E258" s="388"/>
      <c r="F258" s="388"/>
      <c r="G258" s="388"/>
      <c r="H258" s="388"/>
      <c r="I258" s="388"/>
      <c r="J258" s="642"/>
      <c r="K258" s="642"/>
      <c r="L258" s="642"/>
      <c r="M258" s="388"/>
      <c r="N258" s="388"/>
      <c r="O258" s="388"/>
      <c r="P258" s="388"/>
      <c r="Q258" s="388"/>
      <c r="R258" s="388"/>
      <c r="S258" s="388"/>
      <c r="T258" s="388"/>
      <c r="U258" s="388"/>
      <c r="V258" s="388"/>
      <c r="W258" s="388"/>
      <c r="X258" s="388"/>
      <c r="Y258" s="388"/>
      <c r="Z258" s="388"/>
      <c r="AA258" s="388"/>
      <c r="AB258" s="388"/>
      <c r="AC258" s="388"/>
    </row>
    <row r="259">
      <c r="A259" s="388"/>
      <c r="B259" s="388"/>
      <c r="C259" s="388"/>
      <c r="D259" s="388"/>
      <c r="E259" s="388"/>
      <c r="F259" s="388"/>
      <c r="G259" s="388"/>
      <c r="H259" s="388"/>
      <c r="I259" s="388"/>
      <c r="J259" s="642"/>
      <c r="K259" s="642"/>
      <c r="L259" s="642"/>
      <c r="M259" s="388"/>
      <c r="N259" s="388"/>
      <c r="O259" s="388"/>
      <c r="P259" s="388"/>
      <c r="Q259" s="388"/>
      <c r="R259" s="388"/>
      <c r="S259" s="388"/>
      <c r="T259" s="388"/>
      <c r="U259" s="388"/>
      <c r="V259" s="388"/>
      <c r="W259" s="388"/>
      <c r="X259" s="388"/>
      <c r="Y259" s="388"/>
      <c r="Z259" s="388"/>
      <c r="AA259" s="388"/>
      <c r="AB259" s="388"/>
      <c r="AC259" s="388"/>
    </row>
    <row r="260">
      <c r="A260" s="388"/>
      <c r="B260" s="388"/>
      <c r="C260" s="388"/>
      <c r="D260" s="388"/>
      <c r="E260" s="388"/>
      <c r="F260" s="388"/>
      <c r="G260" s="388"/>
      <c r="H260" s="388"/>
      <c r="I260" s="388"/>
      <c r="J260" s="642"/>
      <c r="K260" s="642"/>
      <c r="L260" s="642"/>
      <c r="M260" s="388"/>
      <c r="N260" s="388"/>
      <c r="O260" s="388"/>
      <c r="P260" s="388"/>
      <c r="Q260" s="388"/>
      <c r="R260" s="388"/>
      <c r="S260" s="388"/>
      <c r="T260" s="388"/>
      <c r="U260" s="388"/>
      <c r="V260" s="388"/>
      <c r="W260" s="388"/>
      <c r="X260" s="388"/>
      <c r="Y260" s="388"/>
      <c r="Z260" s="388"/>
      <c r="AA260" s="388"/>
      <c r="AB260" s="388"/>
      <c r="AC260" s="388"/>
    </row>
    <row r="261">
      <c r="A261" s="388"/>
      <c r="B261" s="388"/>
      <c r="C261" s="388"/>
      <c r="D261" s="388"/>
      <c r="E261" s="388"/>
      <c r="F261" s="388"/>
      <c r="G261" s="388"/>
      <c r="H261" s="388"/>
      <c r="I261" s="388"/>
      <c r="J261" s="642"/>
      <c r="K261" s="642"/>
      <c r="L261" s="642"/>
      <c r="M261" s="388"/>
      <c r="N261" s="388"/>
      <c r="O261" s="388"/>
      <c r="P261" s="388"/>
      <c r="Q261" s="388"/>
      <c r="R261" s="388"/>
      <c r="S261" s="388"/>
      <c r="T261" s="388"/>
      <c r="U261" s="388"/>
      <c r="V261" s="388"/>
      <c r="W261" s="388"/>
      <c r="X261" s="388"/>
      <c r="Y261" s="388"/>
      <c r="Z261" s="388"/>
      <c r="AA261" s="388"/>
      <c r="AB261" s="388"/>
      <c r="AC261" s="388"/>
    </row>
    <row r="262">
      <c r="A262" s="388"/>
      <c r="B262" s="388"/>
      <c r="C262" s="388"/>
      <c r="D262" s="388"/>
      <c r="E262" s="388"/>
      <c r="F262" s="388"/>
      <c r="G262" s="388"/>
      <c r="H262" s="388"/>
      <c r="I262" s="388"/>
      <c r="J262" s="642"/>
      <c r="K262" s="642"/>
      <c r="L262" s="642"/>
      <c r="M262" s="388"/>
      <c r="N262" s="388"/>
      <c r="O262" s="388"/>
      <c r="P262" s="388"/>
      <c r="Q262" s="388"/>
      <c r="R262" s="388"/>
      <c r="S262" s="388"/>
      <c r="T262" s="388"/>
      <c r="U262" s="388"/>
      <c r="V262" s="388"/>
      <c r="W262" s="388"/>
      <c r="X262" s="388"/>
      <c r="Y262" s="388"/>
      <c r="Z262" s="388"/>
      <c r="AA262" s="388"/>
      <c r="AB262" s="388"/>
      <c r="AC262" s="388"/>
    </row>
    <row r="263">
      <c r="A263" s="388"/>
      <c r="B263" s="388"/>
      <c r="C263" s="388"/>
      <c r="D263" s="388"/>
      <c r="E263" s="388"/>
      <c r="F263" s="388"/>
      <c r="G263" s="388"/>
      <c r="H263" s="388"/>
      <c r="I263" s="388"/>
      <c r="J263" s="642"/>
      <c r="K263" s="642"/>
      <c r="L263" s="642"/>
      <c r="M263" s="388"/>
      <c r="N263" s="388"/>
      <c r="O263" s="388"/>
      <c r="P263" s="388"/>
      <c r="Q263" s="388"/>
      <c r="R263" s="388"/>
      <c r="S263" s="388"/>
      <c r="T263" s="388"/>
      <c r="U263" s="388"/>
      <c r="V263" s="388"/>
      <c r="W263" s="388"/>
      <c r="X263" s="388"/>
      <c r="Y263" s="388"/>
      <c r="Z263" s="388"/>
      <c r="AA263" s="388"/>
      <c r="AB263" s="388"/>
      <c r="AC263" s="388"/>
    </row>
    <row r="264">
      <c r="A264" s="388"/>
      <c r="B264" s="388"/>
      <c r="C264" s="388"/>
      <c r="D264" s="388"/>
      <c r="E264" s="388"/>
      <c r="F264" s="388"/>
      <c r="G264" s="388"/>
      <c r="H264" s="388"/>
      <c r="I264" s="388"/>
      <c r="J264" s="642"/>
      <c r="K264" s="642"/>
      <c r="L264" s="642"/>
      <c r="M264" s="388"/>
      <c r="N264" s="388"/>
      <c r="O264" s="388"/>
      <c r="P264" s="388"/>
      <c r="Q264" s="388"/>
      <c r="R264" s="388"/>
      <c r="S264" s="388"/>
      <c r="T264" s="388"/>
      <c r="U264" s="388"/>
      <c r="V264" s="388"/>
      <c r="W264" s="388"/>
      <c r="X264" s="388"/>
      <c r="Y264" s="388"/>
      <c r="Z264" s="388"/>
      <c r="AA264" s="388"/>
      <c r="AB264" s="388"/>
      <c r="AC264" s="388"/>
    </row>
    <row r="265">
      <c r="A265" s="388"/>
      <c r="B265" s="388"/>
      <c r="C265" s="388"/>
      <c r="D265" s="388"/>
      <c r="E265" s="388"/>
      <c r="F265" s="388"/>
      <c r="G265" s="388"/>
      <c r="H265" s="388"/>
      <c r="I265" s="388"/>
      <c r="J265" s="642"/>
      <c r="K265" s="642"/>
      <c r="L265" s="642"/>
      <c r="M265" s="388"/>
      <c r="N265" s="388"/>
      <c r="O265" s="388"/>
      <c r="P265" s="388"/>
      <c r="Q265" s="388"/>
      <c r="R265" s="388"/>
      <c r="S265" s="388"/>
      <c r="T265" s="388"/>
      <c r="U265" s="388"/>
      <c r="V265" s="388"/>
      <c r="W265" s="388"/>
      <c r="X265" s="388"/>
      <c r="Y265" s="388"/>
      <c r="Z265" s="388"/>
      <c r="AA265" s="388"/>
      <c r="AB265" s="388"/>
      <c r="AC265" s="388"/>
    </row>
    <row r="266">
      <c r="A266" s="388"/>
      <c r="B266" s="388"/>
      <c r="C266" s="388"/>
      <c r="D266" s="388"/>
      <c r="E266" s="388"/>
      <c r="F266" s="388"/>
      <c r="G266" s="388"/>
      <c r="H266" s="388"/>
      <c r="I266" s="388"/>
      <c r="J266" s="642"/>
      <c r="K266" s="642"/>
      <c r="L266" s="642"/>
      <c r="M266" s="388"/>
      <c r="N266" s="388"/>
      <c r="O266" s="388"/>
      <c r="P266" s="388"/>
      <c r="Q266" s="388"/>
      <c r="R266" s="388"/>
      <c r="S266" s="388"/>
      <c r="T266" s="388"/>
      <c r="U266" s="388"/>
      <c r="V266" s="388"/>
      <c r="W266" s="388"/>
      <c r="X266" s="388"/>
      <c r="Y266" s="388"/>
      <c r="Z266" s="388"/>
      <c r="AA266" s="388"/>
      <c r="AB266" s="388"/>
      <c r="AC266" s="388"/>
    </row>
    <row r="267">
      <c r="A267" s="388"/>
      <c r="B267" s="388"/>
      <c r="C267" s="388"/>
      <c r="D267" s="388"/>
      <c r="E267" s="388"/>
      <c r="F267" s="388"/>
      <c r="G267" s="388"/>
      <c r="H267" s="388"/>
      <c r="I267" s="388"/>
      <c r="J267" s="642"/>
      <c r="K267" s="642"/>
      <c r="L267" s="642"/>
      <c r="M267" s="388"/>
      <c r="N267" s="388"/>
      <c r="O267" s="388"/>
      <c r="P267" s="388"/>
      <c r="Q267" s="388"/>
      <c r="R267" s="388"/>
      <c r="S267" s="388"/>
      <c r="T267" s="388"/>
      <c r="U267" s="388"/>
      <c r="V267" s="388"/>
      <c r="W267" s="388"/>
      <c r="X267" s="388"/>
      <c r="Y267" s="388"/>
      <c r="Z267" s="388"/>
      <c r="AA267" s="388"/>
      <c r="AB267" s="388"/>
      <c r="AC267" s="388"/>
    </row>
    <row r="268">
      <c r="A268" s="388"/>
      <c r="B268" s="388"/>
      <c r="C268" s="388"/>
      <c r="D268" s="388"/>
      <c r="E268" s="388"/>
      <c r="F268" s="388"/>
      <c r="G268" s="388"/>
      <c r="H268" s="388"/>
      <c r="I268" s="388"/>
      <c r="J268" s="642"/>
      <c r="K268" s="642"/>
      <c r="L268" s="642"/>
      <c r="M268" s="388"/>
      <c r="N268" s="388"/>
      <c r="O268" s="388"/>
      <c r="P268" s="388"/>
      <c r="Q268" s="388"/>
      <c r="R268" s="388"/>
      <c r="S268" s="388"/>
      <c r="T268" s="388"/>
      <c r="U268" s="388"/>
      <c r="V268" s="388"/>
      <c r="W268" s="388"/>
      <c r="X268" s="388"/>
      <c r="Y268" s="388"/>
      <c r="Z268" s="388"/>
      <c r="AA268" s="388"/>
      <c r="AB268" s="388"/>
      <c r="AC268" s="388"/>
    </row>
    <row r="269">
      <c r="A269" s="388"/>
      <c r="B269" s="388"/>
      <c r="C269" s="388"/>
      <c r="D269" s="388"/>
      <c r="E269" s="388"/>
      <c r="F269" s="388"/>
      <c r="G269" s="388"/>
      <c r="H269" s="388"/>
      <c r="I269" s="388"/>
      <c r="J269" s="642"/>
      <c r="K269" s="642"/>
      <c r="L269" s="642"/>
      <c r="M269" s="388"/>
      <c r="N269" s="388"/>
      <c r="O269" s="388"/>
      <c r="P269" s="388"/>
      <c r="Q269" s="388"/>
      <c r="R269" s="388"/>
      <c r="S269" s="388"/>
      <c r="T269" s="388"/>
      <c r="U269" s="388"/>
      <c r="V269" s="388"/>
      <c r="W269" s="388"/>
      <c r="X269" s="388"/>
      <c r="Y269" s="388"/>
      <c r="Z269" s="388"/>
      <c r="AA269" s="388"/>
      <c r="AB269" s="388"/>
      <c r="AC269" s="388"/>
    </row>
    <row r="270">
      <c r="A270" s="388"/>
      <c r="B270" s="388"/>
      <c r="C270" s="388"/>
      <c r="D270" s="388"/>
      <c r="E270" s="388"/>
      <c r="F270" s="388"/>
      <c r="G270" s="388"/>
      <c r="H270" s="388"/>
      <c r="I270" s="388"/>
      <c r="J270" s="642"/>
      <c r="K270" s="642"/>
      <c r="L270" s="642"/>
      <c r="M270" s="388"/>
      <c r="N270" s="388"/>
      <c r="O270" s="388"/>
      <c r="P270" s="388"/>
      <c r="Q270" s="388"/>
      <c r="R270" s="388"/>
      <c r="S270" s="388"/>
      <c r="T270" s="388"/>
      <c r="U270" s="388"/>
      <c r="V270" s="388"/>
      <c r="W270" s="388"/>
      <c r="X270" s="388"/>
      <c r="Y270" s="388"/>
      <c r="Z270" s="388"/>
      <c r="AA270" s="388"/>
      <c r="AB270" s="388"/>
      <c r="AC270" s="388"/>
    </row>
    <row r="271">
      <c r="A271" s="388"/>
      <c r="B271" s="388"/>
      <c r="C271" s="388"/>
      <c r="D271" s="388"/>
      <c r="E271" s="388"/>
      <c r="F271" s="388"/>
      <c r="G271" s="388"/>
      <c r="H271" s="388"/>
      <c r="I271" s="388"/>
      <c r="J271" s="642"/>
      <c r="K271" s="642"/>
      <c r="L271" s="642"/>
      <c r="M271" s="388"/>
      <c r="N271" s="388"/>
      <c r="O271" s="388"/>
      <c r="P271" s="388"/>
      <c r="Q271" s="388"/>
      <c r="R271" s="388"/>
      <c r="S271" s="388"/>
      <c r="T271" s="388"/>
      <c r="U271" s="388"/>
      <c r="V271" s="388"/>
      <c r="W271" s="388"/>
      <c r="X271" s="388"/>
      <c r="Y271" s="388"/>
      <c r="Z271" s="388"/>
      <c r="AA271" s="388"/>
      <c r="AB271" s="388"/>
      <c r="AC271" s="388"/>
    </row>
    <row r="272">
      <c r="A272" s="388"/>
      <c r="B272" s="388"/>
      <c r="C272" s="388"/>
      <c r="D272" s="388"/>
      <c r="E272" s="388"/>
      <c r="F272" s="388"/>
      <c r="G272" s="388"/>
      <c r="H272" s="388"/>
      <c r="I272" s="388"/>
      <c r="J272" s="642"/>
      <c r="K272" s="642"/>
      <c r="L272" s="642"/>
      <c r="M272" s="388"/>
      <c r="N272" s="388"/>
      <c r="O272" s="388"/>
      <c r="P272" s="388"/>
      <c r="Q272" s="388"/>
      <c r="R272" s="388"/>
      <c r="S272" s="388"/>
      <c r="T272" s="388"/>
      <c r="U272" s="388"/>
      <c r="V272" s="388"/>
      <c r="W272" s="388"/>
      <c r="X272" s="388"/>
      <c r="Y272" s="388"/>
      <c r="Z272" s="388"/>
      <c r="AA272" s="388"/>
      <c r="AB272" s="388"/>
      <c r="AC272" s="388"/>
    </row>
    <row r="273">
      <c r="A273" s="388"/>
      <c r="B273" s="388"/>
      <c r="C273" s="388"/>
      <c r="D273" s="388"/>
      <c r="E273" s="388"/>
      <c r="F273" s="388"/>
      <c r="G273" s="388"/>
      <c r="H273" s="388"/>
      <c r="I273" s="388"/>
      <c r="J273" s="642"/>
      <c r="K273" s="642"/>
      <c r="L273" s="642"/>
      <c r="M273" s="388"/>
      <c r="N273" s="388"/>
      <c r="O273" s="388"/>
      <c r="P273" s="388"/>
      <c r="Q273" s="388"/>
      <c r="R273" s="388"/>
      <c r="S273" s="388"/>
      <c r="T273" s="388"/>
      <c r="U273" s="388"/>
      <c r="V273" s="388"/>
      <c r="W273" s="388"/>
      <c r="X273" s="388"/>
      <c r="Y273" s="388"/>
      <c r="Z273" s="388"/>
      <c r="AA273" s="388"/>
      <c r="AB273" s="388"/>
      <c r="AC273" s="388"/>
    </row>
    <row r="274">
      <c r="A274" s="388"/>
      <c r="B274" s="388"/>
      <c r="C274" s="388"/>
      <c r="D274" s="388"/>
      <c r="E274" s="388"/>
      <c r="F274" s="388"/>
      <c r="G274" s="388"/>
      <c r="H274" s="388"/>
      <c r="I274" s="388"/>
      <c r="J274" s="642"/>
      <c r="K274" s="642"/>
      <c r="L274" s="642"/>
      <c r="M274" s="388"/>
      <c r="N274" s="388"/>
      <c r="O274" s="388"/>
      <c r="P274" s="388"/>
      <c r="Q274" s="388"/>
      <c r="R274" s="388"/>
      <c r="S274" s="388"/>
      <c r="T274" s="388"/>
      <c r="U274" s="388"/>
      <c r="V274" s="388"/>
      <c r="W274" s="388"/>
      <c r="X274" s="388"/>
      <c r="Y274" s="388"/>
      <c r="Z274" s="388"/>
      <c r="AA274" s="388"/>
      <c r="AB274" s="388"/>
      <c r="AC274" s="388"/>
    </row>
    <row r="275">
      <c r="A275" s="388"/>
      <c r="B275" s="388"/>
      <c r="C275" s="388"/>
      <c r="D275" s="388"/>
      <c r="E275" s="388"/>
      <c r="F275" s="388"/>
      <c r="G275" s="388"/>
      <c r="H275" s="388"/>
      <c r="I275" s="388"/>
      <c r="J275" s="642"/>
      <c r="K275" s="642"/>
      <c r="L275" s="642"/>
      <c r="M275" s="388"/>
      <c r="N275" s="388"/>
      <c r="O275" s="388"/>
      <c r="P275" s="388"/>
      <c r="Q275" s="388"/>
      <c r="R275" s="388"/>
      <c r="S275" s="388"/>
      <c r="T275" s="388"/>
      <c r="U275" s="388"/>
      <c r="V275" s="388"/>
      <c r="W275" s="388"/>
      <c r="X275" s="388"/>
      <c r="Y275" s="388"/>
      <c r="Z275" s="388"/>
      <c r="AA275" s="388"/>
      <c r="AB275" s="388"/>
      <c r="AC275" s="388"/>
    </row>
    <row r="276">
      <c r="A276" s="388"/>
      <c r="B276" s="388"/>
      <c r="C276" s="388"/>
      <c r="D276" s="388"/>
      <c r="E276" s="388"/>
      <c r="F276" s="388"/>
      <c r="G276" s="388"/>
      <c r="H276" s="388"/>
      <c r="I276" s="388"/>
      <c r="J276" s="642"/>
      <c r="K276" s="642"/>
      <c r="L276" s="642"/>
      <c r="M276" s="388"/>
      <c r="N276" s="388"/>
      <c r="O276" s="388"/>
      <c r="P276" s="388"/>
      <c r="Q276" s="388"/>
      <c r="R276" s="388"/>
      <c r="S276" s="388"/>
      <c r="T276" s="388"/>
      <c r="U276" s="388"/>
      <c r="V276" s="388"/>
      <c r="W276" s="388"/>
      <c r="X276" s="388"/>
      <c r="Y276" s="388"/>
      <c r="Z276" s="388"/>
      <c r="AA276" s="388"/>
      <c r="AB276" s="388"/>
      <c r="AC276" s="388"/>
    </row>
    <row r="277">
      <c r="A277" s="388"/>
      <c r="B277" s="388"/>
      <c r="C277" s="388"/>
      <c r="D277" s="388"/>
      <c r="E277" s="388"/>
      <c r="F277" s="388"/>
      <c r="G277" s="388"/>
      <c r="H277" s="388"/>
      <c r="I277" s="388"/>
      <c r="J277" s="642"/>
      <c r="K277" s="642"/>
      <c r="L277" s="642"/>
      <c r="M277" s="388"/>
      <c r="N277" s="388"/>
      <c r="O277" s="388"/>
      <c r="P277" s="388"/>
      <c r="Q277" s="388"/>
      <c r="R277" s="388"/>
      <c r="S277" s="388"/>
      <c r="T277" s="388"/>
      <c r="U277" s="388"/>
      <c r="V277" s="388"/>
      <c r="W277" s="388"/>
      <c r="X277" s="388"/>
      <c r="Y277" s="388"/>
      <c r="Z277" s="388"/>
      <c r="AA277" s="388"/>
      <c r="AB277" s="388"/>
      <c r="AC277" s="388"/>
    </row>
    <row r="278">
      <c r="A278" s="388"/>
      <c r="B278" s="388"/>
      <c r="C278" s="388"/>
      <c r="D278" s="388"/>
      <c r="E278" s="388"/>
      <c r="F278" s="388"/>
      <c r="G278" s="388"/>
      <c r="H278" s="388"/>
      <c r="I278" s="388"/>
      <c r="J278" s="642"/>
      <c r="K278" s="642"/>
      <c r="L278" s="642"/>
      <c r="M278" s="388"/>
      <c r="N278" s="388"/>
      <c r="O278" s="388"/>
      <c r="P278" s="388"/>
      <c r="Q278" s="388"/>
      <c r="R278" s="388"/>
      <c r="S278" s="388"/>
      <c r="T278" s="388"/>
      <c r="U278" s="388"/>
      <c r="V278" s="388"/>
      <c r="W278" s="388"/>
      <c r="X278" s="388"/>
      <c r="Y278" s="388"/>
      <c r="Z278" s="388"/>
      <c r="AA278" s="388"/>
      <c r="AB278" s="388"/>
      <c r="AC278" s="388"/>
    </row>
    <row r="279">
      <c r="A279" s="388"/>
      <c r="B279" s="388"/>
      <c r="C279" s="388"/>
      <c r="D279" s="388"/>
      <c r="E279" s="388"/>
      <c r="F279" s="388"/>
      <c r="G279" s="388"/>
      <c r="H279" s="388"/>
      <c r="I279" s="388"/>
      <c r="J279" s="642"/>
      <c r="K279" s="642"/>
      <c r="L279" s="642"/>
      <c r="M279" s="388"/>
      <c r="N279" s="388"/>
      <c r="O279" s="388"/>
      <c r="P279" s="388"/>
      <c r="Q279" s="388"/>
      <c r="R279" s="388"/>
      <c r="S279" s="388"/>
      <c r="T279" s="388"/>
      <c r="U279" s="388"/>
      <c r="V279" s="388"/>
      <c r="W279" s="388"/>
      <c r="X279" s="388"/>
      <c r="Y279" s="388"/>
      <c r="Z279" s="388"/>
      <c r="AA279" s="388"/>
      <c r="AB279" s="388"/>
      <c r="AC279" s="388"/>
    </row>
    <row r="280">
      <c r="A280" s="388"/>
      <c r="B280" s="388"/>
      <c r="C280" s="388"/>
      <c r="D280" s="388"/>
      <c r="E280" s="388"/>
      <c r="F280" s="388"/>
      <c r="G280" s="388"/>
      <c r="H280" s="388"/>
      <c r="I280" s="388"/>
      <c r="J280" s="642"/>
      <c r="K280" s="642"/>
      <c r="L280" s="642"/>
      <c r="M280" s="388"/>
      <c r="N280" s="388"/>
      <c r="O280" s="388"/>
      <c r="P280" s="388"/>
      <c r="Q280" s="388"/>
      <c r="R280" s="388"/>
      <c r="S280" s="388"/>
      <c r="T280" s="388"/>
      <c r="U280" s="388"/>
      <c r="V280" s="388"/>
      <c r="W280" s="388"/>
      <c r="X280" s="388"/>
      <c r="Y280" s="388"/>
      <c r="Z280" s="388"/>
      <c r="AA280" s="388"/>
      <c r="AB280" s="388"/>
      <c r="AC280" s="388"/>
    </row>
    <row r="281">
      <c r="A281" s="388"/>
      <c r="B281" s="388"/>
      <c r="C281" s="388"/>
      <c r="D281" s="388"/>
      <c r="E281" s="388"/>
      <c r="F281" s="388"/>
      <c r="G281" s="388"/>
      <c r="H281" s="388"/>
      <c r="I281" s="388"/>
      <c r="J281" s="642"/>
      <c r="K281" s="642"/>
      <c r="L281" s="642"/>
      <c r="M281" s="388"/>
      <c r="N281" s="388"/>
      <c r="O281" s="388"/>
      <c r="P281" s="388"/>
      <c r="Q281" s="388"/>
      <c r="R281" s="388"/>
      <c r="S281" s="388"/>
      <c r="T281" s="388"/>
      <c r="U281" s="388"/>
      <c r="V281" s="388"/>
      <c r="W281" s="388"/>
      <c r="X281" s="388"/>
      <c r="Y281" s="388"/>
      <c r="Z281" s="388"/>
      <c r="AA281" s="388"/>
      <c r="AB281" s="388"/>
      <c r="AC281" s="388"/>
    </row>
    <row r="282">
      <c r="A282" s="388"/>
      <c r="B282" s="388"/>
      <c r="C282" s="388"/>
      <c r="D282" s="388"/>
      <c r="E282" s="388"/>
      <c r="F282" s="388"/>
      <c r="G282" s="388"/>
      <c r="H282" s="388"/>
      <c r="I282" s="388"/>
      <c r="J282" s="642"/>
      <c r="K282" s="642"/>
      <c r="L282" s="642"/>
      <c r="M282" s="388"/>
      <c r="N282" s="388"/>
      <c r="O282" s="388"/>
      <c r="P282" s="388"/>
      <c r="Q282" s="388"/>
      <c r="R282" s="388"/>
      <c r="S282" s="388"/>
      <c r="T282" s="388"/>
      <c r="U282" s="388"/>
      <c r="V282" s="388"/>
      <c r="W282" s="388"/>
      <c r="X282" s="388"/>
      <c r="Y282" s="388"/>
      <c r="Z282" s="388"/>
      <c r="AA282" s="388"/>
      <c r="AB282" s="388"/>
      <c r="AC282" s="388"/>
    </row>
    <row r="283">
      <c r="A283" s="388"/>
      <c r="B283" s="388"/>
      <c r="C283" s="388"/>
      <c r="D283" s="388"/>
      <c r="E283" s="388"/>
      <c r="F283" s="388"/>
      <c r="G283" s="388"/>
      <c r="H283" s="388"/>
      <c r="I283" s="388"/>
      <c r="J283" s="642"/>
      <c r="K283" s="642"/>
      <c r="L283" s="642"/>
      <c r="M283" s="388"/>
      <c r="N283" s="388"/>
      <c r="O283" s="388"/>
      <c r="P283" s="388"/>
      <c r="Q283" s="388"/>
      <c r="R283" s="388"/>
      <c r="S283" s="388"/>
      <c r="T283" s="388"/>
      <c r="U283" s="388"/>
      <c r="V283" s="388"/>
      <c r="W283" s="388"/>
      <c r="X283" s="388"/>
      <c r="Y283" s="388"/>
      <c r="Z283" s="388"/>
      <c r="AA283" s="388"/>
      <c r="AB283" s="388"/>
      <c r="AC283" s="388"/>
    </row>
    <row r="284">
      <c r="A284" s="388"/>
      <c r="B284" s="388"/>
      <c r="C284" s="388"/>
      <c r="D284" s="388"/>
      <c r="E284" s="388"/>
      <c r="F284" s="388"/>
      <c r="G284" s="388"/>
      <c r="H284" s="388"/>
      <c r="I284" s="388"/>
      <c r="J284" s="642"/>
      <c r="K284" s="642"/>
      <c r="L284" s="642"/>
      <c r="M284" s="388"/>
      <c r="N284" s="388"/>
      <c r="O284" s="388"/>
      <c r="P284" s="388"/>
      <c r="Q284" s="388"/>
      <c r="R284" s="388"/>
      <c r="S284" s="388"/>
      <c r="T284" s="388"/>
      <c r="U284" s="388"/>
      <c r="V284" s="388"/>
      <c r="W284" s="388"/>
      <c r="X284" s="388"/>
      <c r="Y284" s="388"/>
      <c r="Z284" s="388"/>
      <c r="AA284" s="388"/>
      <c r="AB284" s="388"/>
      <c r="AC284" s="388"/>
    </row>
    <row r="285">
      <c r="A285" s="388"/>
      <c r="B285" s="388"/>
      <c r="C285" s="388"/>
      <c r="D285" s="388"/>
      <c r="E285" s="388"/>
      <c r="F285" s="388"/>
      <c r="G285" s="388"/>
      <c r="H285" s="388"/>
      <c r="I285" s="388"/>
      <c r="J285" s="642"/>
      <c r="K285" s="642"/>
      <c r="L285" s="642"/>
      <c r="M285" s="388"/>
      <c r="N285" s="388"/>
      <c r="O285" s="388"/>
      <c r="P285" s="388"/>
      <c r="Q285" s="388"/>
      <c r="R285" s="388"/>
      <c r="S285" s="388"/>
      <c r="T285" s="388"/>
      <c r="U285" s="388"/>
      <c r="V285" s="388"/>
      <c r="W285" s="388"/>
      <c r="X285" s="388"/>
      <c r="Y285" s="388"/>
      <c r="Z285" s="388"/>
      <c r="AA285" s="388"/>
      <c r="AB285" s="388"/>
      <c r="AC285" s="388"/>
    </row>
    <row r="286">
      <c r="A286" s="388"/>
      <c r="B286" s="388"/>
      <c r="C286" s="388"/>
      <c r="D286" s="388"/>
      <c r="E286" s="388"/>
      <c r="F286" s="388"/>
      <c r="G286" s="388"/>
      <c r="H286" s="388"/>
      <c r="I286" s="388"/>
      <c r="J286" s="642"/>
      <c r="K286" s="642"/>
      <c r="L286" s="642"/>
      <c r="M286" s="388"/>
      <c r="N286" s="388"/>
      <c r="O286" s="388"/>
      <c r="P286" s="388"/>
      <c r="Q286" s="388"/>
      <c r="R286" s="388"/>
      <c r="S286" s="388"/>
      <c r="T286" s="388"/>
      <c r="U286" s="388"/>
      <c r="V286" s="388"/>
      <c r="W286" s="388"/>
      <c r="X286" s="388"/>
      <c r="Y286" s="388"/>
      <c r="Z286" s="388"/>
      <c r="AA286" s="388"/>
      <c r="AB286" s="388"/>
      <c r="AC286" s="388"/>
    </row>
    <row r="287">
      <c r="A287" s="388"/>
      <c r="B287" s="388"/>
      <c r="C287" s="388"/>
      <c r="D287" s="388"/>
      <c r="E287" s="388"/>
      <c r="F287" s="388"/>
      <c r="G287" s="388"/>
      <c r="H287" s="388"/>
      <c r="I287" s="388"/>
      <c r="J287" s="642"/>
      <c r="K287" s="642"/>
      <c r="L287" s="642"/>
      <c r="M287" s="388"/>
      <c r="N287" s="388"/>
      <c r="O287" s="388"/>
      <c r="P287" s="388"/>
      <c r="Q287" s="388"/>
      <c r="R287" s="388"/>
      <c r="S287" s="388"/>
      <c r="T287" s="388"/>
      <c r="U287" s="388"/>
      <c r="V287" s="388"/>
      <c r="W287" s="388"/>
      <c r="X287" s="388"/>
      <c r="Y287" s="388"/>
      <c r="Z287" s="388"/>
      <c r="AA287" s="388"/>
      <c r="AB287" s="388"/>
      <c r="AC287" s="388"/>
    </row>
    <row r="288">
      <c r="A288" s="388"/>
      <c r="B288" s="388"/>
      <c r="C288" s="388"/>
      <c r="D288" s="388"/>
      <c r="E288" s="388"/>
      <c r="F288" s="388"/>
      <c r="G288" s="388"/>
      <c r="H288" s="388"/>
      <c r="I288" s="388"/>
      <c r="J288" s="642"/>
      <c r="K288" s="642"/>
      <c r="L288" s="642"/>
      <c r="M288" s="388"/>
      <c r="N288" s="388"/>
      <c r="O288" s="388"/>
      <c r="P288" s="388"/>
      <c r="Q288" s="388"/>
      <c r="R288" s="388"/>
      <c r="S288" s="388"/>
      <c r="T288" s="388"/>
      <c r="U288" s="388"/>
      <c r="V288" s="388"/>
      <c r="W288" s="388"/>
      <c r="X288" s="388"/>
      <c r="Y288" s="388"/>
      <c r="Z288" s="388"/>
      <c r="AA288" s="388"/>
      <c r="AB288" s="388"/>
      <c r="AC288" s="388"/>
    </row>
    <row r="289">
      <c r="A289" s="388"/>
      <c r="B289" s="388"/>
      <c r="C289" s="388"/>
      <c r="D289" s="388"/>
      <c r="E289" s="388"/>
      <c r="F289" s="388"/>
      <c r="G289" s="388"/>
      <c r="H289" s="388"/>
      <c r="I289" s="388"/>
      <c r="J289" s="642"/>
      <c r="K289" s="642"/>
      <c r="L289" s="642"/>
      <c r="M289" s="388"/>
      <c r="N289" s="388"/>
      <c r="O289" s="388"/>
      <c r="P289" s="388"/>
      <c r="Q289" s="388"/>
      <c r="R289" s="388"/>
      <c r="S289" s="388"/>
      <c r="T289" s="388"/>
      <c r="U289" s="388"/>
      <c r="V289" s="388"/>
      <c r="W289" s="388"/>
      <c r="X289" s="388"/>
      <c r="Y289" s="388"/>
      <c r="Z289" s="388"/>
      <c r="AA289" s="388"/>
      <c r="AB289" s="388"/>
      <c r="AC289" s="388"/>
    </row>
    <row r="290">
      <c r="A290" s="388"/>
      <c r="B290" s="388"/>
      <c r="C290" s="388"/>
      <c r="D290" s="388"/>
      <c r="E290" s="388"/>
      <c r="F290" s="388"/>
      <c r="G290" s="388"/>
      <c r="H290" s="388"/>
      <c r="I290" s="388"/>
      <c r="J290" s="642"/>
      <c r="K290" s="642"/>
      <c r="L290" s="642"/>
      <c r="M290" s="388"/>
      <c r="N290" s="388"/>
      <c r="O290" s="388"/>
      <c r="P290" s="388"/>
      <c r="Q290" s="388"/>
      <c r="R290" s="388"/>
      <c r="S290" s="388"/>
      <c r="T290" s="388"/>
      <c r="U290" s="388"/>
      <c r="V290" s="388"/>
      <c r="W290" s="388"/>
      <c r="X290" s="388"/>
      <c r="Y290" s="388"/>
      <c r="Z290" s="388"/>
      <c r="AA290" s="388"/>
      <c r="AB290" s="388"/>
      <c r="AC290" s="388"/>
    </row>
    <row r="291">
      <c r="A291" s="388"/>
      <c r="B291" s="388"/>
      <c r="C291" s="388"/>
      <c r="D291" s="388"/>
      <c r="E291" s="388"/>
      <c r="F291" s="388"/>
      <c r="G291" s="388"/>
      <c r="H291" s="388"/>
      <c r="I291" s="388"/>
      <c r="J291" s="642"/>
      <c r="K291" s="642"/>
      <c r="L291" s="642"/>
      <c r="M291" s="388"/>
      <c r="N291" s="388"/>
      <c r="O291" s="388"/>
      <c r="P291" s="388"/>
      <c r="Q291" s="388"/>
      <c r="R291" s="388"/>
      <c r="S291" s="388"/>
      <c r="T291" s="388"/>
      <c r="U291" s="388"/>
      <c r="V291" s="388"/>
      <c r="W291" s="388"/>
      <c r="X291" s="388"/>
      <c r="Y291" s="388"/>
      <c r="Z291" s="388"/>
      <c r="AA291" s="388"/>
      <c r="AB291" s="388"/>
      <c r="AC291" s="388"/>
    </row>
    <row r="292">
      <c r="A292" s="388"/>
      <c r="B292" s="388"/>
      <c r="C292" s="388"/>
      <c r="D292" s="388"/>
      <c r="E292" s="388"/>
      <c r="F292" s="388"/>
      <c r="G292" s="388"/>
      <c r="H292" s="388"/>
      <c r="I292" s="388"/>
      <c r="J292" s="642"/>
      <c r="K292" s="642"/>
      <c r="L292" s="642"/>
      <c r="M292" s="388"/>
      <c r="N292" s="388"/>
      <c r="O292" s="388"/>
      <c r="P292" s="388"/>
      <c r="Q292" s="388"/>
      <c r="R292" s="388"/>
      <c r="S292" s="388"/>
      <c r="T292" s="388"/>
      <c r="U292" s="388"/>
      <c r="V292" s="388"/>
      <c r="W292" s="388"/>
      <c r="X292" s="388"/>
      <c r="Y292" s="388"/>
      <c r="Z292" s="388"/>
      <c r="AA292" s="388"/>
      <c r="AB292" s="388"/>
      <c r="AC292" s="388"/>
    </row>
    <row r="293">
      <c r="A293" s="388"/>
      <c r="B293" s="388"/>
      <c r="C293" s="388"/>
      <c r="D293" s="388"/>
      <c r="E293" s="388"/>
      <c r="F293" s="388"/>
      <c r="G293" s="388"/>
      <c r="H293" s="388"/>
      <c r="I293" s="388"/>
      <c r="J293" s="642"/>
      <c r="K293" s="642"/>
      <c r="L293" s="642"/>
      <c r="M293" s="388"/>
      <c r="N293" s="388"/>
      <c r="O293" s="388"/>
      <c r="P293" s="388"/>
      <c r="Q293" s="388"/>
      <c r="R293" s="388"/>
      <c r="S293" s="388"/>
      <c r="T293" s="388"/>
      <c r="U293" s="388"/>
      <c r="V293" s="388"/>
      <c r="W293" s="388"/>
      <c r="X293" s="388"/>
      <c r="Y293" s="388"/>
      <c r="Z293" s="388"/>
      <c r="AA293" s="388"/>
      <c r="AB293" s="388"/>
      <c r="AC293" s="388"/>
    </row>
    <row r="294">
      <c r="A294" s="388"/>
      <c r="B294" s="388"/>
      <c r="C294" s="388"/>
      <c r="D294" s="388"/>
      <c r="E294" s="388"/>
      <c r="F294" s="388"/>
      <c r="G294" s="388"/>
      <c r="H294" s="388"/>
      <c r="I294" s="388"/>
      <c r="J294" s="642"/>
      <c r="K294" s="642"/>
      <c r="L294" s="642"/>
      <c r="M294" s="388"/>
      <c r="N294" s="388"/>
      <c r="O294" s="388"/>
      <c r="P294" s="388"/>
      <c r="Q294" s="388"/>
      <c r="R294" s="388"/>
      <c r="S294" s="388"/>
      <c r="T294" s="388"/>
      <c r="U294" s="388"/>
      <c r="V294" s="388"/>
      <c r="W294" s="388"/>
      <c r="X294" s="388"/>
      <c r="Y294" s="388"/>
      <c r="Z294" s="388"/>
      <c r="AA294" s="388"/>
      <c r="AB294" s="388"/>
      <c r="AC294" s="388"/>
    </row>
    <row r="295">
      <c r="A295" s="388"/>
      <c r="B295" s="388"/>
      <c r="C295" s="388"/>
      <c r="D295" s="388"/>
      <c r="E295" s="388"/>
      <c r="F295" s="388"/>
      <c r="G295" s="388"/>
      <c r="H295" s="388"/>
      <c r="I295" s="388"/>
      <c r="J295" s="642"/>
      <c r="K295" s="642"/>
      <c r="L295" s="642"/>
      <c r="M295" s="388"/>
      <c r="N295" s="388"/>
      <c r="O295" s="388"/>
      <c r="P295" s="388"/>
      <c r="Q295" s="388"/>
      <c r="R295" s="388"/>
      <c r="S295" s="388"/>
      <c r="T295" s="388"/>
      <c r="U295" s="388"/>
      <c r="V295" s="388"/>
      <c r="W295" s="388"/>
      <c r="X295" s="388"/>
      <c r="Y295" s="388"/>
      <c r="Z295" s="388"/>
      <c r="AA295" s="388"/>
      <c r="AB295" s="388"/>
      <c r="AC295" s="388"/>
    </row>
    <row r="296">
      <c r="A296" s="388"/>
      <c r="B296" s="388"/>
      <c r="C296" s="388"/>
      <c r="D296" s="388"/>
      <c r="E296" s="388"/>
      <c r="F296" s="388"/>
      <c r="G296" s="388"/>
      <c r="H296" s="388"/>
      <c r="I296" s="388"/>
      <c r="J296" s="642"/>
      <c r="K296" s="642"/>
      <c r="L296" s="642"/>
      <c r="M296" s="388"/>
      <c r="N296" s="388"/>
      <c r="O296" s="388"/>
      <c r="P296" s="388"/>
      <c r="Q296" s="388"/>
      <c r="R296" s="388"/>
      <c r="S296" s="388"/>
      <c r="T296" s="388"/>
      <c r="U296" s="388"/>
      <c r="V296" s="388"/>
      <c r="W296" s="388"/>
      <c r="X296" s="388"/>
      <c r="Y296" s="388"/>
      <c r="Z296" s="388"/>
      <c r="AA296" s="388"/>
      <c r="AB296" s="388"/>
      <c r="AC296" s="388"/>
    </row>
    <row r="297">
      <c r="A297" s="388"/>
      <c r="B297" s="388"/>
      <c r="C297" s="388"/>
      <c r="D297" s="388"/>
      <c r="E297" s="388"/>
      <c r="F297" s="388"/>
      <c r="G297" s="388"/>
      <c r="H297" s="388"/>
      <c r="I297" s="388"/>
      <c r="J297" s="642"/>
      <c r="K297" s="642"/>
      <c r="L297" s="642"/>
      <c r="M297" s="388"/>
      <c r="N297" s="388"/>
      <c r="O297" s="388"/>
      <c r="P297" s="388"/>
      <c r="Q297" s="388"/>
      <c r="R297" s="388"/>
      <c r="S297" s="388"/>
      <c r="T297" s="388"/>
      <c r="U297" s="388"/>
      <c r="V297" s="388"/>
      <c r="W297" s="388"/>
      <c r="X297" s="388"/>
      <c r="Y297" s="388"/>
      <c r="Z297" s="388"/>
      <c r="AA297" s="388"/>
      <c r="AB297" s="388"/>
      <c r="AC297" s="388"/>
    </row>
    <row r="298">
      <c r="A298" s="388"/>
      <c r="B298" s="388"/>
      <c r="C298" s="388"/>
      <c r="D298" s="388"/>
      <c r="E298" s="388"/>
      <c r="F298" s="388"/>
      <c r="G298" s="388"/>
      <c r="H298" s="388"/>
      <c r="I298" s="388"/>
      <c r="J298" s="642"/>
      <c r="K298" s="642"/>
      <c r="L298" s="642"/>
      <c r="M298" s="388"/>
      <c r="N298" s="388"/>
      <c r="O298" s="388"/>
      <c r="P298" s="388"/>
      <c r="Q298" s="388"/>
      <c r="R298" s="388"/>
      <c r="S298" s="388"/>
      <c r="T298" s="388"/>
      <c r="U298" s="388"/>
      <c r="V298" s="388"/>
      <c r="W298" s="388"/>
      <c r="X298" s="388"/>
      <c r="Y298" s="388"/>
      <c r="Z298" s="388"/>
      <c r="AA298" s="388"/>
      <c r="AB298" s="388"/>
      <c r="AC298" s="388"/>
    </row>
    <row r="299">
      <c r="A299" s="388"/>
      <c r="B299" s="388"/>
      <c r="C299" s="388"/>
      <c r="D299" s="388"/>
      <c r="E299" s="388"/>
      <c r="F299" s="388"/>
      <c r="G299" s="388"/>
      <c r="H299" s="388"/>
      <c r="I299" s="388"/>
      <c r="J299" s="642"/>
      <c r="K299" s="642"/>
      <c r="L299" s="642"/>
      <c r="M299" s="388"/>
      <c r="N299" s="388"/>
      <c r="O299" s="388"/>
      <c r="P299" s="388"/>
      <c r="Q299" s="388"/>
      <c r="R299" s="388"/>
      <c r="S299" s="388"/>
      <c r="T299" s="388"/>
      <c r="U299" s="388"/>
      <c r="V299" s="388"/>
      <c r="W299" s="388"/>
      <c r="X299" s="388"/>
      <c r="Y299" s="388"/>
      <c r="Z299" s="388"/>
      <c r="AA299" s="388"/>
      <c r="AB299" s="388"/>
      <c r="AC299" s="388"/>
    </row>
    <row r="300">
      <c r="A300" s="388"/>
      <c r="B300" s="388"/>
      <c r="C300" s="388"/>
      <c r="D300" s="388"/>
      <c r="E300" s="388"/>
      <c r="F300" s="388"/>
      <c r="G300" s="388"/>
      <c r="H300" s="388"/>
      <c r="I300" s="388"/>
      <c r="J300" s="642"/>
      <c r="K300" s="642"/>
      <c r="L300" s="642"/>
      <c r="M300" s="388"/>
      <c r="N300" s="388"/>
      <c r="O300" s="388"/>
      <c r="P300" s="388"/>
      <c r="Q300" s="388"/>
      <c r="R300" s="388"/>
      <c r="S300" s="388"/>
      <c r="T300" s="388"/>
      <c r="U300" s="388"/>
      <c r="V300" s="388"/>
      <c r="W300" s="388"/>
      <c r="X300" s="388"/>
      <c r="Y300" s="388"/>
      <c r="Z300" s="388"/>
      <c r="AA300" s="388"/>
      <c r="AB300" s="388"/>
      <c r="AC300" s="388"/>
    </row>
    <row r="301">
      <c r="A301" s="388"/>
      <c r="B301" s="388"/>
      <c r="C301" s="388"/>
      <c r="D301" s="388"/>
      <c r="E301" s="388"/>
      <c r="F301" s="388"/>
      <c r="G301" s="388"/>
      <c r="H301" s="388"/>
      <c r="I301" s="388"/>
      <c r="J301" s="642"/>
      <c r="K301" s="642"/>
      <c r="L301" s="642"/>
      <c r="M301" s="388"/>
      <c r="N301" s="388"/>
      <c r="O301" s="388"/>
      <c r="P301" s="388"/>
      <c r="Q301" s="388"/>
      <c r="R301" s="388"/>
      <c r="S301" s="388"/>
      <c r="T301" s="388"/>
      <c r="U301" s="388"/>
      <c r="V301" s="388"/>
      <c r="W301" s="388"/>
      <c r="X301" s="388"/>
      <c r="Y301" s="388"/>
      <c r="Z301" s="388"/>
      <c r="AA301" s="388"/>
      <c r="AB301" s="388"/>
      <c r="AC301" s="388"/>
    </row>
    <row r="302">
      <c r="A302" s="388"/>
      <c r="B302" s="388"/>
      <c r="C302" s="388"/>
      <c r="D302" s="388"/>
      <c r="E302" s="388"/>
      <c r="F302" s="388"/>
      <c r="G302" s="388"/>
      <c r="H302" s="388"/>
      <c r="I302" s="388"/>
      <c r="J302" s="642"/>
      <c r="K302" s="642"/>
      <c r="L302" s="642"/>
      <c r="M302" s="388"/>
      <c r="N302" s="388"/>
      <c r="O302" s="388"/>
      <c r="P302" s="388"/>
      <c r="Q302" s="388"/>
      <c r="R302" s="388"/>
      <c r="S302" s="388"/>
      <c r="T302" s="388"/>
      <c r="U302" s="388"/>
      <c r="V302" s="388"/>
      <c r="W302" s="388"/>
      <c r="X302" s="388"/>
      <c r="Y302" s="388"/>
      <c r="Z302" s="388"/>
      <c r="AA302" s="388"/>
      <c r="AB302" s="388"/>
      <c r="AC302" s="388"/>
    </row>
    <row r="303">
      <c r="A303" s="388"/>
      <c r="B303" s="388"/>
      <c r="C303" s="388"/>
      <c r="D303" s="388"/>
      <c r="E303" s="388"/>
      <c r="F303" s="388"/>
      <c r="G303" s="388"/>
      <c r="H303" s="388"/>
      <c r="I303" s="388"/>
      <c r="J303" s="642"/>
      <c r="K303" s="642"/>
      <c r="L303" s="642"/>
      <c r="M303" s="388"/>
      <c r="N303" s="388"/>
      <c r="O303" s="388"/>
      <c r="P303" s="388"/>
      <c r="Q303" s="388"/>
      <c r="R303" s="388"/>
      <c r="S303" s="388"/>
      <c r="T303" s="388"/>
      <c r="U303" s="388"/>
      <c r="V303" s="388"/>
      <c r="W303" s="388"/>
      <c r="X303" s="388"/>
      <c r="Y303" s="388"/>
      <c r="Z303" s="388"/>
      <c r="AA303" s="388"/>
      <c r="AB303" s="388"/>
      <c r="AC303" s="388"/>
    </row>
    <row r="304">
      <c r="A304" s="388"/>
      <c r="B304" s="388"/>
      <c r="C304" s="388"/>
      <c r="D304" s="388"/>
      <c r="E304" s="388"/>
      <c r="F304" s="388"/>
      <c r="G304" s="388"/>
      <c r="H304" s="388"/>
      <c r="I304" s="388"/>
      <c r="J304" s="642"/>
      <c r="K304" s="642"/>
      <c r="L304" s="642"/>
      <c r="M304" s="388"/>
      <c r="N304" s="388"/>
      <c r="O304" s="388"/>
      <c r="P304" s="388"/>
      <c r="Q304" s="388"/>
      <c r="R304" s="388"/>
      <c r="S304" s="388"/>
      <c r="T304" s="388"/>
      <c r="U304" s="388"/>
      <c r="V304" s="388"/>
      <c r="W304" s="388"/>
      <c r="X304" s="388"/>
      <c r="Y304" s="388"/>
      <c r="Z304" s="388"/>
      <c r="AA304" s="388"/>
      <c r="AB304" s="388"/>
      <c r="AC304" s="388"/>
    </row>
    <row r="305">
      <c r="A305" s="388"/>
      <c r="B305" s="388"/>
      <c r="C305" s="388"/>
      <c r="D305" s="388"/>
      <c r="E305" s="388"/>
      <c r="F305" s="388"/>
      <c r="G305" s="388"/>
      <c r="H305" s="388"/>
      <c r="I305" s="388"/>
      <c r="J305" s="642"/>
      <c r="K305" s="642"/>
      <c r="L305" s="642"/>
      <c r="M305" s="388"/>
      <c r="N305" s="388"/>
      <c r="O305" s="388"/>
      <c r="P305" s="388"/>
      <c r="Q305" s="388"/>
      <c r="R305" s="388"/>
      <c r="S305" s="388"/>
      <c r="T305" s="388"/>
      <c r="U305" s="388"/>
      <c r="V305" s="388"/>
      <c r="W305" s="388"/>
      <c r="X305" s="388"/>
      <c r="Y305" s="388"/>
      <c r="Z305" s="388"/>
      <c r="AA305" s="388"/>
      <c r="AB305" s="388"/>
      <c r="AC305" s="388"/>
    </row>
    <row r="306">
      <c r="A306" s="388"/>
      <c r="B306" s="388"/>
      <c r="C306" s="388"/>
      <c r="D306" s="388"/>
      <c r="E306" s="388"/>
      <c r="F306" s="388"/>
      <c r="G306" s="388"/>
      <c r="H306" s="388"/>
      <c r="I306" s="388"/>
      <c r="J306" s="642"/>
      <c r="K306" s="642"/>
      <c r="L306" s="642"/>
      <c r="M306" s="388"/>
      <c r="N306" s="388"/>
      <c r="O306" s="388"/>
      <c r="P306" s="388"/>
      <c r="Q306" s="388"/>
      <c r="R306" s="388"/>
      <c r="S306" s="388"/>
      <c r="T306" s="388"/>
      <c r="U306" s="388"/>
      <c r="V306" s="388"/>
      <c r="W306" s="388"/>
      <c r="X306" s="388"/>
      <c r="Y306" s="388"/>
      <c r="Z306" s="388"/>
      <c r="AA306" s="388"/>
      <c r="AB306" s="388"/>
      <c r="AC306" s="388"/>
    </row>
    <row r="307">
      <c r="A307" s="388"/>
      <c r="B307" s="388"/>
      <c r="C307" s="388"/>
      <c r="D307" s="388"/>
      <c r="E307" s="388"/>
      <c r="F307" s="388"/>
      <c r="G307" s="388"/>
      <c r="H307" s="388"/>
      <c r="I307" s="388"/>
      <c r="J307" s="642"/>
      <c r="K307" s="642"/>
      <c r="L307" s="642"/>
      <c r="M307" s="388"/>
      <c r="N307" s="388"/>
      <c r="O307" s="388"/>
      <c r="P307" s="388"/>
      <c r="Q307" s="388"/>
      <c r="R307" s="388"/>
      <c r="S307" s="388"/>
      <c r="T307" s="388"/>
      <c r="U307" s="388"/>
      <c r="V307" s="388"/>
      <c r="W307" s="388"/>
      <c r="X307" s="388"/>
      <c r="Y307" s="388"/>
      <c r="Z307" s="388"/>
      <c r="AA307" s="388"/>
      <c r="AB307" s="388"/>
      <c r="AC307" s="388"/>
    </row>
    <row r="308">
      <c r="A308" s="388"/>
      <c r="B308" s="388"/>
      <c r="C308" s="388"/>
      <c r="D308" s="388"/>
      <c r="E308" s="388"/>
      <c r="F308" s="388"/>
      <c r="G308" s="388"/>
      <c r="H308" s="388"/>
      <c r="I308" s="388"/>
      <c r="J308" s="642"/>
      <c r="K308" s="642"/>
      <c r="L308" s="642"/>
      <c r="M308" s="388"/>
      <c r="N308" s="388"/>
      <c r="O308" s="388"/>
      <c r="P308" s="388"/>
      <c r="Q308" s="388"/>
      <c r="R308" s="388"/>
      <c r="S308" s="388"/>
      <c r="T308" s="388"/>
      <c r="U308" s="388"/>
      <c r="V308" s="388"/>
      <c r="W308" s="388"/>
      <c r="X308" s="388"/>
      <c r="Y308" s="388"/>
      <c r="Z308" s="388"/>
      <c r="AA308" s="388"/>
      <c r="AB308" s="388"/>
      <c r="AC308" s="388"/>
    </row>
    <row r="309">
      <c r="A309" s="388"/>
      <c r="B309" s="388"/>
      <c r="C309" s="388"/>
      <c r="D309" s="388"/>
      <c r="E309" s="388"/>
      <c r="F309" s="388"/>
      <c r="G309" s="388"/>
      <c r="H309" s="388"/>
      <c r="I309" s="388"/>
      <c r="J309" s="642"/>
      <c r="K309" s="642"/>
      <c r="L309" s="642"/>
      <c r="M309" s="388"/>
      <c r="N309" s="388"/>
      <c r="O309" s="388"/>
      <c r="P309" s="388"/>
      <c r="Q309" s="388"/>
      <c r="R309" s="388"/>
      <c r="S309" s="388"/>
      <c r="T309" s="388"/>
      <c r="U309" s="388"/>
      <c r="V309" s="388"/>
      <c r="W309" s="388"/>
      <c r="X309" s="388"/>
      <c r="Y309" s="388"/>
      <c r="Z309" s="388"/>
      <c r="AA309" s="388"/>
      <c r="AB309" s="388"/>
      <c r="AC309" s="388"/>
    </row>
    <row r="310">
      <c r="A310" s="388"/>
      <c r="B310" s="388"/>
      <c r="C310" s="388"/>
      <c r="D310" s="388"/>
      <c r="E310" s="388"/>
      <c r="F310" s="388"/>
      <c r="G310" s="388"/>
      <c r="H310" s="388"/>
      <c r="I310" s="388"/>
      <c r="J310" s="642"/>
      <c r="K310" s="642"/>
      <c r="L310" s="642"/>
      <c r="M310" s="388"/>
      <c r="N310" s="388"/>
      <c r="O310" s="388"/>
      <c r="P310" s="388"/>
      <c r="Q310" s="388"/>
      <c r="R310" s="388"/>
      <c r="S310" s="388"/>
      <c r="T310" s="388"/>
      <c r="U310" s="388"/>
      <c r="V310" s="388"/>
      <c r="W310" s="388"/>
      <c r="X310" s="388"/>
      <c r="Y310" s="388"/>
      <c r="Z310" s="388"/>
      <c r="AA310" s="388"/>
      <c r="AB310" s="388"/>
      <c r="AC310" s="388"/>
    </row>
    <row r="311">
      <c r="A311" s="388"/>
      <c r="B311" s="388"/>
      <c r="C311" s="388"/>
      <c r="D311" s="388"/>
      <c r="E311" s="388"/>
      <c r="F311" s="388"/>
      <c r="G311" s="388"/>
      <c r="H311" s="388"/>
      <c r="I311" s="388"/>
      <c r="J311" s="642"/>
      <c r="K311" s="642"/>
      <c r="L311" s="642"/>
      <c r="M311" s="388"/>
      <c r="N311" s="388"/>
      <c r="O311" s="388"/>
      <c r="P311" s="388"/>
      <c r="Q311" s="388"/>
      <c r="R311" s="388"/>
      <c r="S311" s="388"/>
      <c r="T311" s="388"/>
      <c r="U311" s="388"/>
      <c r="V311" s="388"/>
      <c r="W311" s="388"/>
      <c r="X311" s="388"/>
      <c r="Y311" s="388"/>
      <c r="Z311" s="388"/>
      <c r="AA311" s="388"/>
      <c r="AB311" s="388"/>
      <c r="AC311" s="388"/>
    </row>
    <row r="312">
      <c r="A312" s="388"/>
      <c r="B312" s="388"/>
      <c r="C312" s="388"/>
      <c r="D312" s="388"/>
      <c r="E312" s="388"/>
      <c r="F312" s="388"/>
      <c r="G312" s="388"/>
      <c r="H312" s="388"/>
      <c r="I312" s="388"/>
      <c r="J312" s="642"/>
      <c r="K312" s="642"/>
      <c r="L312" s="642"/>
      <c r="M312" s="388"/>
      <c r="N312" s="388"/>
      <c r="O312" s="388"/>
      <c r="P312" s="388"/>
      <c r="Q312" s="388"/>
      <c r="R312" s="388"/>
      <c r="S312" s="388"/>
      <c r="T312" s="388"/>
      <c r="U312" s="388"/>
      <c r="V312" s="388"/>
      <c r="W312" s="388"/>
      <c r="X312" s="388"/>
      <c r="Y312" s="388"/>
      <c r="Z312" s="388"/>
      <c r="AA312" s="388"/>
      <c r="AB312" s="388"/>
      <c r="AC312" s="388"/>
    </row>
    <row r="313">
      <c r="A313" s="388"/>
      <c r="B313" s="388"/>
      <c r="C313" s="388"/>
      <c r="D313" s="388"/>
      <c r="E313" s="388"/>
      <c r="F313" s="388"/>
      <c r="G313" s="388"/>
      <c r="H313" s="388"/>
      <c r="I313" s="388"/>
      <c r="J313" s="642"/>
      <c r="K313" s="642"/>
      <c r="L313" s="642"/>
      <c r="M313" s="388"/>
      <c r="N313" s="388"/>
      <c r="O313" s="388"/>
      <c r="P313" s="388"/>
      <c r="Q313" s="388"/>
      <c r="R313" s="388"/>
      <c r="S313" s="388"/>
      <c r="T313" s="388"/>
      <c r="U313" s="388"/>
      <c r="V313" s="388"/>
      <c r="W313" s="388"/>
      <c r="X313" s="388"/>
      <c r="Y313" s="388"/>
      <c r="Z313" s="388"/>
      <c r="AA313" s="388"/>
      <c r="AB313" s="388"/>
      <c r="AC313" s="388"/>
    </row>
    <row r="314">
      <c r="A314" s="388"/>
      <c r="B314" s="388"/>
      <c r="C314" s="388"/>
      <c r="D314" s="388"/>
      <c r="E314" s="388"/>
      <c r="F314" s="388"/>
      <c r="G314" s="388"/>
      <c r="H314" s="388"/>
      <c r="I314" s="388"/>
      <c r="J314" s="642"/>
      <c r="K314" s="642"/>
      <c r="L314" s="642"/>
      <c r="M314" s="388"/>
      <c r="N314" s="388"/>
      <c r="O314" s="388"/>
      <c r="P314" s="388"/>
      <c r="Q314" s="388"/>
      <c r="R314" s="388"/>
      <c r="S314" s="388"/>
      <c r="T314" s="388"/>
      <c r="U314" s="388"/>
      <c r="V314" s="388"/>
      <c r="W314" s="388"/>
      <c r="X314" s="388"/>
      <c r="Y314" s="388"/>
      <c r="Z314" s="388"/>
      <c r="AA314" s="388"/>
      <c r="AB314" s="388"/>
      <c r="AC314" s="388"/>
    </row>
    <row r="315">
      <c r="A315" s="388"/>
      <c r="B315" s="388"/>
      <c r="C315" s="388"/>
      <c r="D315" s="388"/>
      <c r="E315" s="388"/>
      <c r="F315" s="388"/>
      <c r="G315" s="388"/>
      <c r="H315" s="388"/>
      <c r="I315" s="388"/>
      <c r="J315" s="642"/>
      <c r="K315" s="642"/>
      <c r="L315" s="642"/>
      <c r="M315" s="388"/>
      <c r="N315" s="388"/>
      <c r="O315" s="388"/>
      <c r="P315" s="388"/>
      <c r="Q315" s="388"/>
      <c r="R315" s="388"/>
      <c r="S315" s="388"/>
      <c r="T315" s="388"/>
      <c r="U315" s="388"/>
      <c r="V315" s="388"/>
      <c r="W315" s="388"/>
      <c r="X315" s="388"/>
      <c r="Y315" s="388"/>
      <c r="Z315" s="388"/>
      <c r="AA315" s="388"/>
      <c r="AB315" s="388"/>
      <c r="AC315" s="388"/>
    </row>
    <row r="316">
      <c r="A316" s="388"/>
      <c r="B316" s="388"/>
      <c r="C316" s="388"/>
      <c r="D316" s="388"/>
      <c r="E316" s="388"/>
      <c r="F316" s="388"/>
      <c r="G316" s="388"/>
      <c r="H316" s="388"/>
      <c r="I316" s="388"/>
      <c r="J316" s="642"/>
      <c r="K316" s="642"/>
      <c r="L316" s="642"/>
      <c r="M316" s="388"/>
      <c r="N316" s="388"/>
      <c r="O316" s="388"/>
      <c r="P316" s="388"/>
      <c r="Q316" s="388"/>
      <c r="R316" s="388"/>
      <c r="S316" s="388"/>
      <c r="T316" s="388"/>
      <c r="U316" s="388"/>
      <c r="V316" s="388"/>
      <c r="W316" s="388"/>
      <c r="X316" s="388"/>
      <c r="Y316" s="388"/>
      <c r="Z316" s="388"/>
      <c r="AA316" s="388"/>
      <c r="AB316" s="388"/>
      <c r="AC316" s="388"/>
    </row>
    <row r="317">
      <c r="A317" s="388"/>
      <c r="B317" s="388"/>
      <c r="C317" s="388"/>
      <c r="D317" s="388"/>
      <c r="E317" s="388"/>
      <c r="F317" s="388"/>
      <c r="G317" s="388"/>
      <c r="H317" s="388"/>
      <c r="I317" s="388"/>
      <c r="J317" s="642"/>
      <c r="K317" s="642"/>
      <c r="L317" s="642"/>
      <c r="M317" s="388"/>
      <c r="N317" s="388"/>
      <c r="O317" s="388"/>
      <c r="P317" s="388"/>
      <c r="Q317" s="388"/>
      <c r="R317" s="388"/>
      <c r="S317" s="388"/>
      <c r="T317" s="388"/>
      <c r="U317" s="388"/>
      <c r="V317" s="388"/>
      <c r="W317" s="388"/>
      <c r="X317" s="388"/>
      <c r="Y317" s="388"/>
      <c r="Z317" s="388"/>
      <c r="AA317" s="388"/>
      <c r="AB317" s="388"/>
      <c r="AC317" s="388"/>
    </row>
    <row r="318">
      <c r="A318" s="388"/>
      <c r="B318" s="388"/>
      <c r="C318" s="388"/>
      <c r="D318" s="388"/>
      <c r="E318" s="388"/>
      <c r="F318" s="388"/>
      <c r="G318" s="388"/>
      <c r="H318" s="388"/>
      <c r="I318" s="388"/>
      <c r="J318" s="642"/>
      <c r="K318" s="642"/>
      <c r="L318" s="642"/>
      <c r="M318" s="388"/>
      <c r="N318" s="388"/>
      <c r="O318" s="388"/>
      <c r="P318" s="388"/>
      <c r="Q318" s="388"/>
      <c r="R318" s="388"/>
      <c r="S318" s="388"/>
      <c r="T318" s="388"/>
      <c r="U318" s="388"/>
      <c r="V318" s="388"/>
      <c r="W318" s="388"/>
      <c r="X318" s="388"/>
      <c r="Y318" s="388"/>
      <c r="Z318" s="388"/>
      <c r="AA318" s="388"/>
      <c r="AB318" s="388"/>
      <c r="AC318" s="388"/>
    </row>
    <row r="319">
      <c r="A319" s="388"/>
      <c r="B319" s="388"/>
      <c r="C319" s="388"/>
      <c r="D319" s="388"/>
      <c r="E319" s="388"/>
      <c r="F319" s="388"/>
      <c r="G319" s="388"/>
      <c r="H319" s="388"/>
      <c r="I319" s="388"/>
      <c r="J319" s="642"/>
      <c r="K319" s="642"/>
      <c r="L319" s="642"/>
      <c r="M319" s="388"/>
      <c r="N319" s="388"/>
      <c r="O319" s="388"/>
      <c r="P319" s="388"/>
      <c r="Q319" s="388"/>
      <c r="R319" s="388"/>
      <c r="S319" s="388"/>
      <c r="T319" s="388"/>
      <c r="U319" s="388"/>
      <c r="V319" s="388"/>
      <c r="W319" s="388"/>
      <c r="X319" s="388"/>
      <c r="Y319" s="388"/>
      <c r="Z319" s="388"/>
      <c r="AA319" s="388"/>
      <c r="AB319" s="388"/>
      <c r="AC319" s="388"/>
    </row>
    <row r="320">
      <c r="A320" s="388"/>
      <c r="B320" s="388"/>
      <c r="C320" s="388"/>
      <c r="D320" s="388"/>
      <c r="E320" s="388"/>
      <c r="F320" s="388"/>
      <c r="G320" s="388"/>
      <c r="H320" s="388"/>
      <c r="I320" s="388"/>
      <c r="J320" s="642"/>
      <c r="K320" s="642"/>
      <c r="L320" s="642"/>
      <c r="M320" s="388"/>
      <c r="N320" s="388"/>
      <c r="O320" s="388"/>
      <c r="P320" s="388"/>
      <c r="Q320" s="388"/>
      <c r="R320" s="388"/>
      <c r="S320" s="388"/>
      <c r="T320" s="388"/>
      <c r="U320" s="388"/>
      <c r="V320" s="388"/>
      <c r="W320" s="388"/>
      <c r="X320" s="388"/>
      <c r="Y320" s="388"/>
      <c r="Z320" s="388"/>
      <c r="AA320" s="388"/>
      <c r="AB320" s="388"/>
      <c r="AC320" s="388"/>
    </row>
    <row r="321">
      <c r="A321" s="388"/>
      <c r="B321" s="388"/>
      <c r="C321" s="388"/>
      <c r="D321" s="388"/>
      <c r="E321" s="388"/>
      <c r="F321" s="388"/>
      <c r="G321" s="388"/>
      <c r="H321" s="388"/>
      <c r="I321" s="388"/>
      <c r="J321" s="642"/>
      <c r="K321" s="642"/>
      <c r="L321" s="642"/>
      <c r="M321" s="388"/>
      <c r="N321" s="388"/>
      <c r="O321" s="388"/>
      <c r="P321" s="388"/>
      <c r="Q321" s="388"/>
      <c r="R321" s="388"/>
      <c r="S321" s="388"/>
      <c r="T321" s="388"/>
      <c r="U321" s="388"/>
      <c r="V321" s="388"/>
      <c r="W321" s="388"/>
      <c r="X321" s="388"/>
      <c r="Y321" s="388"/>
      <c r="Z321" s="388"/>
      <c r="AA321" s="388"/>
      <c r="AB321" s="388"/>
      <c r="AC321" s="388"/>
    </row>
    <row r="322">
      <c r="A322" s="388"/>
      <c r="B322" s="388"/>
      <c r="C322" s="388"/>
      <c r="D322" s="388"/>
      <c r="E322" s="388"/>
      <c r="F322" s="388"/>
      <c r="G322" s="388"/>
      <c r="H322" s="388"/>
      <c r="I322" s="388"/>
      <c r="J322" s="642"/>
      <c r="K322" s="642"/>
      <c r="L322" s="642"/>
      <c r="M322" s="388"/>
      <c r="N322" s="388"/>
      <c r="O322" s="388"/>
      <c r="P322" s="388"/>
      <c r="Q322" s="388"/>
      <c r="R322" s="388"/>
      <c r="S322" s="388"/>
      <c r="T322" s="388"/>
      <c r="U322" s="388"/>
      <c r="V322" s="388"/>
      <c r="W322" s="388"/>
      <c r="X322" s="388"/>
      <c r="Y322" s="388"/>
      <c r="Z322" s="388"/>
      <c r="AA322" s="388"/>
      <c r="AB322" s="388"/>
      <c r="AC322" s="388"/>
    </row>
    <row r="323">
      <c r="A323" s="388"/>
      <c r="B323" s="388"/>
      <c r="C323" s="388"/>
      <c r="D323" s="388"/>
      <c r="E323" s="388"/>
      <c r="F323" s="388"/>
      <c r="G323" s="388"/>
      <c r="H323" s="388"/>
      <c r="I323" s="388"/>
      <c r="J323" s="642"/>
      <c r="K323" s="642"/>
      <c r="L323" s="642"/>
      <c r="M323" s="388"/>
      <c r="N323" s="388"/>
      <c r="O323" s="388"/>
      <c r="P323" s="388"/>
      <c r="Q323" s="388"/>
      <c r="R323" s="388"/>
      <c r="S323" s="388"/>
      <c r="T323" s="388"/>
      <c r="U323" s="388"/>
      <c r="V323" s="388"/>
      <c r="W323" s="388"/>
      <c r="X323" s="388"/>
      <c r="Y323" s="388"/>
      <c r="Z323" s="388"/>
      <c r="AA323" s="388"/>
      <c r="AB323" s="388"/>
      <c r="AC323" s="388"/>
    </row>
    <row r="324">
      <c r="A324" s="388"/>
      <c r="B324" s="388"/>
      <c r="C324" s="388"/>
      <c r="D324" s="388"/>
      <c r="E324" s="388"/>
      <c r="F324" s="388"/>
      <c r="G324" s="388"/>
      <c r="H324" s="388"/>
      <c r="I324" s="388"/>
      <c r="J324" s="642"/>
      <c r="K324" s="642"/>
      <c r="L324" s="642"/>
      <c r="M324" s="388"/>
      <c r="N324" s="388"/>
      <c r="O324" s="388"/>
      <c r="P324" s="388"/>
      <c r="Q324" s="388"/>
      <c r="R324" s="388"/>
      <c r="S324" s="388"/>
      <c r="T324" s="388"/>
      <c r="U324" s="388"/>
      <c r="V324" s="388"/>
      <c r="W324" s="388"/>
      <c r="X324" s="388"/>
      <c r="Y324" s="388"/>
      <c r="Z324" s="388"/>
      <c r="AA324" s="388"/>
      <c r="AB324" s="388"/>
      <c r="AC324" s="388"/>
    </row>
    <row r="325">
      <c r="A325" s="388"/>
      <c r="B325" s="388"/>
      <c r="C325" s="388"/>
      <c r="D325" s="388"/>
      <c r="E325" s="388"/>
      <c r="F325" s="388"/>
      <c r="G325" s="388"/>
      <c r="H325" s="388"/>
      <c r="I325" s="388"/>
      <c r="J325" s="642"/>
      <c r="K325" s="642"/>
      <c r="L325" s="642"/>
      <c r="M325" s="388"/>
      <c r="N325" s="388"/>
      <c r="O325" s="388"/>
      <c r="P325" s="388"/>
      <c r="Q325" s="388"/>
      <c r="R325" s="388"/>
      <c r="S325" s="388"/>
      <c r="T325" s="388"/>
      <c r="U325" s="388"/>
      <c r="V325" s="388"/>
      <c r="W325" s="388"/>
      <c r="X325" s="388"/>
      <c r="Y325" s="388"/>
      <c r="Z325" s="388"/>
      <c r="AA325" s="388"/>
      <c r="AB325" s="388"/>
      <c r="AC325" s="388"/>
    </row>
    <row r="326">
      <c r="A326" s="388"/>
      <c r="B326" s="388"/>
      <c r="C326" s="388"/>
      <c r="D326" s="388"/>
      <c r="E326" s="388"/>
      <c r="F326" s="388"/>
      <c r="G326" s="388"/>
      <c r="H326" s="388"/>
      <c r="I326" s="388"/>
      <c r="J326" s="642"/>
      <c r="K326" s="642"/>
      <c r="L326" s="642"/>
      <c r="M326" s="388"/>
      <c r="N326" s="388"/>
      <c r="O326" s="388"/>
      <c r="P326" s="388"/>
      <c r="Q326" s="388"/>
      <c r="R326" s="388"/>
      <c r="S326" s="388"/>
      <c r="T326" s="388"/>
      <c r="U326" s="388"/>
      <c r="V326" s="388"/>
      <c r="W326" s="388"/>
      <c r="X326" s="388"/>
      <c r="Y326" s="388"/>
      <c r="Z326" s="388"/>
      <c r="AA326" s="388"/>
      <c r="AB326" s="388"/>
      <c r="AC326" s="388"/>
    </row>
    <row r="327">
      <c r="A327" s="388"/>
      <c r="B327" s="388"/>
      <c r="C327" s="388"/>
      <c r="D327" s="388"/>
      <c r="E327" s="388"/>
      <c r="F327" s="388"/>
      <c r="G327" s="388"/>
      <c r="H327" s="388"/>
      <c r="I327" s="388"/>
      <c r="J327" s="642"/>
      <c r="K327" s="642"/>
      <c r="L327" s="642"/>
      <c r="M327" s="388"/>
      <c r="N327" s="388"/>
      <c r="O327" s="388"/>
      <c r="P327" s="388"/>
      <c r="Q327" s="388"/>
      <c r="R327" s="388"/>
      <c r="S327" s="388"/>
      <c r="T327" s="388"/>
      <c r="U327" s="388"/>
      <c r="V327" s="388"/>
      <c r="W327" s="388"/>
      <c r="X327" s="388"/>
      <c r="Y327" s="388"/>
      <c r="Z327" s="388"/>
      <c r="AA327" s="388"/>
      <c r="AB327" s="388"/>
      <c r="AC327" s="388"/>
    </row>
    <row r="328">
      <c r="A328" s="388"/>
      <c r="B328" s="388"/>
      <c r="C328" s="388"/>
      <c r="D328" s="388"/>
      <c r="E328" s="388"/>
      <c r="F328" s="388"/>
      <c r="G328" s="388"/>
      <c r="H328" s="388"/>
      <c r="I328" s="388"/>
      <c r="J328" s="642"/>
      <c r="K328" s="642"/>
      <c r="L328" s="642"/>
      <c r="M328" s="388"/>
      <c r="N328" s="388"/>
      <c r="O328" s="388"/>
      <c r="P328" s="388"/>
      <c r="Q328" s="388"/>
      <c r="R328" s="388"/>
      <c r="S328" s="388"/>
      <c r="T328" s="388"/>
      <c r="U328" s="388"/>
      <c r="V328" s="388"/>
      <c r="W328" s="388"/>
      <c r="X328" s="388"/>
      <c r="Y328" s="388"/>
      <c r="Z328" s="388"/>
      <c r="AA328" s="388"/>
      <c r="AB328" s="388"/>
      <c r="AC328" s="388"/>
    </row>
    <row r="329">
      <c r="A329" s="388"/>
      <c r="B329" s="388"/>
      <c r="C329" s="388"/>
      <c r="D329" s="388"/>
      <c r="E329" s="388"/>
      <c r="F329" s="388"/>
      <c r="G329" s="388"/>
      <c r="H329" s="388"/>
      <c r="I329" s="388"/>
      <c r="J329" s="642"/>
      <c r="K329" s="642"/>
      <c r="L329" s="642"/>
      <c r="M329" s="388"/>
      <c r="N329" s="388"/>
      <c r="O329" s="388"/>
      <c r="P329" s="388"/>
      <c r="Q329" s="388"/>
      <c r="R329" s="388"/>
      <c r="S329" s="388"/>
      <c r="T329" s="388"/>
      <c r="U329" s="388"/>
      <c r="V329" s="388"/>
      <c r="W329" s="388"/>
      <c r="X329" s="388"/>
      <c r="Y329" s="388"/>
      <c r="Z329" s="388"/>
      <c r="AA329" s="388"/>
      <c r="AB329" s="388"/>
      <c r="AC329" s="388"/>
    </row>
    <row r="330">
      <c r="A330" s="388"/>
      <c r="B330" s="388"/>
      <c r="C330" s="388"/>
      <c r="D330" s="388"/>
      <c r="E330" s="388"/>
      <c r="F330" s="388"/>
      <c r="G330" s="388"/>
      <c r="H330" s="388"/>
      <c r="I330" s="388"/>
      <c r="J330" s="642"/>
      <c r="K330" s="642"/>
      <c r="L330" s="642"/>
      <c r="M330" s="388"/>
      <c r="N330" s="388"/>
      <c r="O330" s="388"/>
      <c r="P330" s="388"/>
      <c r="Q330" s="388"/>
      <c r="R330" s="388"/>
      <c r="S330" s="388"/>
      <c r="T330" s="388"/>
      <c r="U330" s="388"/>
      <c r="V330" s="388"/>
      <c r="W330" s="388"/>
      <c r="X330" s="388"/>
      <c r="Y330" s="388"/>
      <c r="Z330" s="388"/>
      <c r="AA330" s="388"/>
      <c r="AB330" s="388"/>
      <c r="AC330" s="388"/>
    </row>
    <row r="331">
      <c r="A331" s="388"/>
      <c r="B331" s="388"/>
      <c r="C331" s="388"/>
      <c r="D331" s="388"/>
      <c r="E331" s="388"/>
      <c r="F331" s="388"/>
      <c r="G331" s="388"/>
      <c r="H331" s="388"/>
      <c r="I331" s="388"/>
      <c r="J331" s="642"/>
      <c r="K331" s="642"/>
      <c r="L331" s="642"/>
      <c r="M331" s="388"/>
      <c r="N331" s="388"/>
      <c r="O331" s="388"/>
      <c r="P331" s="388"/>
      <c r="Q331" s="388"/>
      <c r="R331" s="388"/>
      <c r="S331" s="388"/>
      <c r="T331" s="388"/>
      <c r="U331" s="388"/>
      <c r="V331" s="388"/>
      <c r="W331" s="388"/>
      <c r="X331" s="388"/>
      <c r="Y331" s="388"/>
      <c r="Z331" s="388"/>
      <c r="AA331" s="388"/>
      <c r="AB331" s="388"/>
      <c r="AC331" s="388"/>
    </row>
    <row r="332">
      <c r="A332" s="388"/>
      <c r="B332" s="388"/>
      <c r="C332" s="388"/>
      <c r="D332" s="388"/>
      <c r="E332" s="388"/>
      <c r="F332" s="388"/>
      <c r="G332" s="388"/>
      <c r="H332" s="388"/>
      <c r="I332" s="388"/>
      <c r="J332" s="642"/>
      <c r="K332" s="642"/>
      <c r="L332" s="642"/>
      <c r="M332" s="388"/>
      <c r="N332" s="388"/>
      <c r="O332" s="388"/>
      <c r="P332" s="388"/>
      <c r="Q332" s="388"/>
      <c r="R332" s="388"/>
      <c r="S332" s="388"/>
      <c r="T332" s="388"/>
      <c r="U332" s="388"/>
      <c r="V332" s="388"/>
      <c r="W332" s="388"/>
      <c r="X332" s="388"/>
      <c r="Y332" s="388"/>
      <c r="Z332" s="388"/>
      <c r="AA332" s="388"/>
      <c r="AB332" s="388"/>
      <c r="AC332" s="388"/>
    </row>
    <row r="333">
      <c r="A333" s="388"/>
      <c r="B333" s="388"/>
      <c r="C333" s="388"/>
      <c r="D333" s="388"/>
      <c r="E333" s="388"/>
      <c r="F333" s="388"/>
      <c r="G333" s="388"/>
      <c r="H333" s="388"/>
      <c r="I333" s="388"/>
      <c r="J333" s="642"/>
      <c r="K333" s="642"/>
      <c r="L333" s="642"/>
      <c r="M333" s="388"/>
      <c r="N333" s="388"/>
      <c r="O333" s="388"/>
      <c r="P333" s="388"/>
      <c r="Q333" s="388"/>
      <c r="R333" s="388"/>
      <c r="S333" s="388"/>
      <c r="T333" s="388"/>
      <c r="U333" s="388"/>
      <c r="V333" s="388"/>
      <c r="W333" s="388"/>
      <c r="X333" s="388"/>
      <c r="Y333" s="388"/>
      <c r="Z333" s="388"/>
      <c r="AA333" s="388"/>
      <c r="AB333" s="388"/>
      <c r="AC333" s="388"/>
    </row>
    <row r="334">
      <c r="A334" s="388"/>
      <c r="B334" s="388"/>
      <c r="C334" s="388"/>
      <c r="D334" s="388"/>
      <c r="E334" s="388"/>
      <c r="F334" s="388"/>
      <c r="G334" s="388"/>
      <c r="H334" s="388"/>
      <c r="I334" s="388"/>
      <c r="J334" s="642"/>
      <c r="K334" s="642"/>
      <c r="L334" s="642"/>
      <c r="M334" s="388"/>
      <c r="N334" s="388"/>
      <c r="O334" s="388"/>
      <c r="P334" s="388"/>
      <c r="Q334" s="388"/>
      <c r="R334" s="388"/>
      <c r="S334" s="388"/>
      <c r="T334" s="388"/>
      <c r="U334" s="388"/>
      <c r="V334" s="388"/>
      <c r="W334" s="388"/>
      <c r="X334" s="388"/>
      <c r="Y334" s="388"/>
      <c r="Z334" s="388"/>
      <c r="AA334" s="388"/>
      <c r="AB334" s="388"/>
      <c r="AC334" s="388"/>
    </row>
    <row r="335">
      <c r="A335" s="388"/>
      <c r="B335" s="388"/>
      <c r="C335" s="388"/>
      <c r="D335" s="388"/>
      <c r="E335" s="388"/>
      <c r="F335" s="388"/>
      <c r="G335" s="388"/>
      <c r="H335" s="388"/>
      <c r="I335" s="388"/>
      <c r="J335" s="642"/>
      <c r="K335" s="642"/>
      <c r="L335" s="642"/>
      <c r="M335" s="388"/>
      <c r="N335" s="388"/>
      <c r="O335" s="388"/>
      <c r="P335" s="388"/>
      <c r="Q335" s="388"/>
      <c r="R335" s="388"/>
      <c r="S335" s="388"/>
      <c r="T335" s="388"/>
      <c r="U335" s="388"/>
      <c r="V335" s="388"/>
      <c r="W335" s="388"/>
      <c r="X335" s="388"/>
      <c r="Y335" s="388"/>
      <c r="Z335" s="388"/>
      <c r="AA335" s="388"/>
      <c r="AB335" s="388"/>
      <c r="AC335" s="388"/>
    </row>
    <row r="336">
      <c r="A336" s="388"/>
      <c r="B336" s="388"/>
      <c r="C336" s="388"/>
      <c r="D336" s="388"/>
      <c r="E336" s="388"/>
      <c r="F336" s="388"/>
      <c r="G336" s="388"/>
      <c r="H336" s="388"/>
      <c r="I336" s="388"/>
      <c r="J336" s="642"/>
      <c r="K336" s="642"/>
      <c r="L336" s="642"/>
      <c r="M336" s="388"/>
      <c r="N336" s="388"/>
      <c r="O336" s="388"/>
      <c r="P336" s="388"/>
      <c r="Q336" s="388"/>
      <c r="R336" s="388"/>
      <c r="S336" s="388"/>
      <c r="T336" s="388"/>
      <c r="U336" s="388"/>
      <c r="V336" s="388"/>
      <c r="W336" s="388"/>
      <c r="X336" s="388"/>
      <c r="Y336" s="388"/>
      <c r="Z336" s="388"/>
      <c r="AA336" s="388"/>
      <c r="AB336" s="388"/>
      <c r="AC336" s="388"/>
    </row>
    <row r="337">
      <c r="A337" s="388"/>
      <c r="B337" s="388"/>
      <c r="C337" s="388"/>
      <c r="D337" s="388"/>
      <c r="E337" s="388"/>
      <c r="F337" s="388"/>
      <c r="G337" s="388"/>
      <c r="H337" s="388"/>
      <c r="I337" s="388"/>
      <c r="J337" s="642"/>
      <c r="K337" s="642"/>
      <c r="L337" s="642"/>
      <c r="M337" s="388"/>
      <c r="N337" s="388"/>
      <c r="O337" s="388"/>
      <c r="P337" s="388"/>
      <c r="Q337" s="388"/>
      <c r="R337" s="388"/>
      <c r="S337" s="388"/>
      <c r="T337" s="388"/>
      <c r="U337" s="388"/>
      <c r="V337" s="388"/>
      <c r="W337" s="388"/>
      <c r="X337" s="388"/>
      <c r="Y337" s="388"/>
      <c r="Z337" s="388"/>
      <c r="AA337" s="388"/>
      <c r="AB337" s="388"/>
      <c r="AC337" s="388"/>
    </row>
    <row r="338">
      <c r="A338" s="388"/>
      <c r="B338" s="388"/>
      <c r="C338" s="388"/>
      <c r="D338" s="388"/>
      <c r="E338" s="388"/>
      <c r="F338" s="388"/>
      <c r="G338" s="388"/>
      <c r="H338" s="388"/>
      <c r="I338" s="388"/>
      <c r="J338" s="642"/>
      <c r="K338" s="642"/>
      <c r="L338" s="642"/>
      <c r="M338" s="388"/>
      <c r="N338" s="388"/>
      <c r="O338" s="388"/>
      <c r="P338" s="388"/>
      <c r="Q338" s="388"/>
      <c r="R338" s="388"/>
      <c r="S338" s="388"/>
      <c r="T338" s="388"/>
      <c r="U338" s="388"/>
      <c r="V338" s="388"/>
      <c r="W338" s="388"/>
      <c r="X338" s="388"/>
      <c r="Y338" s="388"/>
      <c r="Z338" s="388"/>
      <c r="AA338" s="388"/>
      <c r="AB338" s="388"/>
      <c r="AC338" s="388"/>
    </row>
    <row r="339">
      <c r="A339" s="388"/>
      <c r="B339" s="388"/>
      <c r="C339" s="388"/>
      <c r="D339" s="388"/>
      <c r="E339" s="388"/>
      <c r="F339" s="388"/>
      <c r="G339" s="388"/>
      <c r="H339" s="388"/>
      <c r="I339" s="388"/>
      <c r="J339" s="642"/>
      <c r="K339" s="642"/>
      <c r="L339" s="642"/>
      <c r="M339" s="388"/>
      <c r="N339" s="388"/>
      <c r="O339" s="388"/>
      <c r="P339" s="388"/>
      <c r="Q339" s="388"/>
      <c r="R339" s="388"/>
      <c r="S339" s="388"/>
      <c r="T339" s="388"/>
      <c r="U339" s="388"/>
      <c r="V339" s="388"/>
      <c r="W339" s="388"/>
      <c r="X339" s="388"/>
      <c r="Y339" s="388"/>
      <c r="Z339" s="388"/>
      <c r="AA339" s="388"/>
      <c r="AB339" s="388"/>
      <c r="AC339" s="388"/>
    </row>
    <row r="340">
      <c r="A340" s="388"/>
      <c r="B340" s="388"/>
      <c r="C340" s="388"/>
      <c r="D340" s="388"/>
      <c r="E340" s="388"/>
      <c r="F340" s="388"/>
      <c r="G340" s="388"/>
      <c r="H340" s="388"/>
      <c r="I340" s="388"/>
      <c r="J340" s="642"/>
      <c r="K340" s="642"/>
      <c r="L340" s="642"/>
      <c r="M340" s="388"/>
      <c r="N340" s="388"/>
      <c r="O340" s="388"/>
      <c r="P340" s="388"/>
      <c r="Q340" s="388"/>
      <c r="R340" s="388"/>
      <c r="S340" s="388"/>
      <c r="T340" s="388"/>
      <c r="U340" s="388"/>
      <c r="V340" s="388"/>
      <c r="W340" s="388"/>
      <c r="X340" s="388"/>
      <c r="Y340" s="388"/>
      <c r="Z340" s="388"/>
      <c r="AA340" s="388"/>
      <c r="AB340" s="388"/>
      <c r="AC340" s="388"/>
    </row>
    <row r="341">
      <c r="A341" s="388"/>
      <c r="B341" s="388"/>
      <c r="C341" s="388"/>
      <c r="D341" s="388"/>
      <c r="E341" s="388"/>
      <c r="F341" s="388"/>
      <c r="G341" s="388"/>
      <c r="H341" s="388"/>
      <c r="I341" s="388"/>
      <c r="J341" s="642"/>
      <c r="K341" s="642"/>
      <c r="L341" s="642"/>
      <c r="M341" s="388"/>
      <c r="N341" s="388"/>
      <c r="O341" s="388"/>
      <c r="P341" s="388"/>
      <c r="Q341" s="388"/>
      <c r="R341" s="388"/>
      <c r="S341" s="388"/>
      <c r="T341" s="388"/>
      <c r="U341" s="388"/>
      <c r="V341" s="388"/>
      <c r="W341" s="388"/>
      <c r="X341" s="388"/>
      <c r="Y341" s="388"/>
      <c r="Z341" s="388"/>
      <c r="AA341" s="388"/>
      <c r="AB341" s="388"/>
      <c r="AC341" s="388"/>
    </row>
    <row r="342">
      <c r="A342" s="388"/>
      <c r="B342" s="388"/>
      <c r="C342" s="388"/>
      <c r="D342" s="388"/>
      <c r="E342" s="388"/>
      <c r="F342" s="388"/>
      <c r="G342" s="388"/>
      <c r="H342" s="388"/>
      <c r="I342" s="388"/>
      <c r="J342" s="642"/>
      <c r="K342" s="642"/>
      <c r="L342" s="642"/>
      <c r="M342" s="388"/>
      <c r="N342" s="388"/>
      <c r="O342" s="388"/>
      <c r="P342" s="388"/>
      <c r="Q342" s="388"/>
      <c r="R342" s="388"/>
      <c r="S342" s="388"/>
      <c r="T342" s="388"/>
      <c r="U342" s="388"/>
      <c r="V342" s="388"/>
      <c r="W342" s="388"/>
      <c r="X342" s="388"/>
      <c r="Y342" s="388"/>
      <c r="Z342" s="388"/>
      <c r="AA342" s="388"/>
      <c r="AB342" s="388"/>
      <c r="AC342" s="388"/>
    </row>
    <row r="343">
      <c r="A343" s="388"/>
      <c r="B343" s="388"/>
      <c r="C343" s="388"/>
      <c r="D343" s="388"/>
      <c r="E343" s="388"/>
      <c r="F343" s="388"/>
      <c r="G343" s="388"/>
      <c r="H343" s="388"/>
      <c r="I343" s="388"/>
      <c r="J343" s="642"/>
      <c r="K343" s="642"/>
      <c r="L343" s="642"/>
      <c r="M343" s="388"/>
      <c r="N343" s="388"/>
      <c r="O343" s="388"/>
      <c r="P343" s="388"/>
      <c r="Q343" s="388"/>
      <c r="R343" s="388"/>
      <c r="S343" s="388"/>
      <c r="T343" s="388"/>
      <c r="U343" s="388"/>
      <c r="V343" s="388"/>
      <c r="W343" s="388"/>
      <c r="X343" s="388"/>
      <c r="Y343" s="388"/>
      <c r="Z343" s="388"/>
      <c r="AA343" s="388"/>
      <c r="AB343" s="388"/>
      <c r="AC343" s="388"/>
    </row>
    <row r="344">
      <c r="A344" s="388"/>
      <c r="B344" s="388"/>
      <c r="C344" s="388"/>
      <c r="D344" s="388"/>
      <c r="E344" s="388"/>
      <c r="F344" s="388"/>
      <c r="G344" s="388"/>
      <c r="H344" s="388"/>
      <c r="I344" s="388"/>
      <c r="J344" s="642"/>
      <c r="K344" s="642"/>
      <c r="L344" s="642"/>
      <c r="M344" s="388"/>
      <c r="N344" s="388"/>
      <c r="O344" s="388"/>
      <c r="P344" s="388"/>
      <c r="Q344" s="388"/>
      <c r="R344" s="388"/>
      <c r="S344" s="388"/>
      <c r="T344" s="388"/>
      <c r="U344" s="388"/>
      <c r="V344" s="388"/>
      <c r="W344" s="388"/>
      <c r="X344" s="388"/>
      <c r="Y344" s="388"/>
      <c r="Z344" s="388"/>
      <c r="AA344" s="388"/>
      <c r="AB344" s="388"/>
      <c r="AC344" s="388"/>
    </row>
    <row r="345">
      <c r="A345" s="388"/>
      <c r="B345" s="388"/>
      <c r="C345" s="388"/>
      <c r="D345" s="388"/>
      <c r="E345" s="388"/>
      <c r="F345" s="388"/>
      <c r="G345" s="388"/>
      <c r="H345" s="388"/>
      <c r="I345" s="388"/>
      <c r="J345" s="642"/>
      <c r="K345" s="642"/>
      <c r="L345" s="642"/>
      <c r="M345" s="388"/>
      <c r="N345" s="388"/>
      <c r="O345" s="388"/>
      <c r="P345" s="388"/>
      <c r="Q345" s="388"/>
      <c r="R345" s="388"/>
      <c r="S345" s="388"/>
      <c r="T345" s="388"/>
      <c r="U345" s="388"/>
      <c r="V345" s="388"/>
      <c r="W345" s="388"/>
      <c r="X345" s="388"/>
      <c r="Y345" s="388"/>
      <c r="Z345" s="388"/>
      <c r="AA345" s="388"/>
      <c r="AB345" s="388"/>
      <c r="AC345" s="388"/>
    </row>
    <row r="346">
      <c r="A346" s="388"/>
      <c r="B346" s="388"/>
      <c r="C346" s="388"/>
      <c r="D346" s="388"/>
      <c r="E346" s="388"/>
      <c r="F346" s="388"/>
      <c r="G346" s="388"/>
      <c r="H346" s="388"/>
      <c r="I346" s="388"/>
      <c r="J346" s="642"/>
      <c r="K346" s="642"/>
      <c r="L346" s="642"/>
      <c r="M346" s="388"/>
      <c r="N346" s="388"/>
      <c r="O346" s="388"/>
      <c r="P346" s="388"/>
      <c r="Q346" s="388"/>
      <c r="R346" s="388"/>
      <c r="S346" s="388"/>
      <c r="T346" s="388"/>
      <c r="U346" s="388"/>
      <c r="V346" s="388"/>
      <c r="W346" s="388"/>
      <c r="X346" s="388"/>
      <c r="Y346" s="388"/>
      <c r="Z346" s="388"/>
      <c r="AA346" s="388"/>
      <c r="AB346" s="388"/>
      <c r="AC346" s="388"/>
    </row>
    <row r="347">
      <c r="A347" s="388"/>
      <c r="B347" s="388"/>
      <c r="C347" s="388"/>
      <c r="D347" s="388"/>
      <c r="E347" s="388"/>
      <c r="F347" s="388"/>
      <c r="G347" s="388"/>
      <c r="H347" s="388"/>
      <c r="I347" s="388"/>
      <c r="J347" s="642"/>
      <c r="K347" s="642"/>
      <c r="L347" s="642"/>
      <c r="M347" s="388"/>
      <c r="N347" s="388"/>
      <c r="O347" s="388"/>
      <c r="P347" s="388"/>
      <c r="Q347" s="388"/>
      <c r="R347" s="388"/>
      <c r="S347" s="388"/>
      <c r="T347" s="388"/>
      <c r="U347" s="388"/>
      <c r="V347" s="388"/>
      <c r="W347" s="388"/>
      <c r="X347" s="388"/>
      <c r="Y347" s="388"/>
      <c r="Z347" s="388"/>
      <c r="AA347" s="388"/>
      <c r="AB347" s="388"/>
      <c r="AC347" s="388"/>
    </row>
    <row r="348">
      <c r="A348" s="388"/>
      <c r="B348" s="388"/>
      <c r="C348" s="388"/>
      <c r="D348" s="388"/>
      <c r="E348" s="388"/>
      <c r="F348" s="388"/>
      <c r="G348" s="388"/>
      <c r="H348" s="388"/>
      <c r="I348" s="388"/>
      <c r="J348" s="642"/>
      <c r="K348" s="642"/>
      <c r="L348" s="642"/>
      <c r="M348" s="388"/>
      <c r="N348" s="388"/>
      <c r="O348" s="388"/>
      <c r="P348" s="388"/>
      <c r="Q348" s="388"/>
      <c r="R348" s="388"/>
      <c r="S348" s="388"/>
      <c r="T348" s="388"/>
      <c r="U348" s="388"/>
      <c r="V348" s="388"/>
      <c r="W348" s="388"/>
      <c r="X348" s="388"/>
      <c r="Y348" s="388"/>
      <c r="Z348" s="388"/>
      <c r="AA348" s="388"/>
      <c r="AB348" s="388"/>
      <c r="AC348" s="388"/>
    </row>
    <row r="349">
      <c r="A349" s="388"/>
      <c r="B349" s="388"/>
      <c r="C349" s="388"/>
      <c r="D349" s="388"/>
      <c r="E349" s="388"/>
      <c r="F349" s="388"/>
      <c r="G349" s="388"/>
      <c r="H349" s="388"/>
      <c r="I349" s="388"/>
      <c r="J349" s="642"/>
      <c r="K349" s="642"/>
      <c r="L349" s="642"/>
      <c r="M349" s="388"/>
      <c r="N349" s="388"/>
      <c r="O349" s="388"/>
      <c r="P349" s="388"/>
      <c r="Q349" s="388"/>
      <c r="R349" s="388"/>
      <c r="S349" s="388"/>
      <c r="T349" s="388"/>
      <c r="U349" s="388"/>
      <c r="V349" s="388"/>
      <c r="W349" s="388"/>
      <c r="X349" s="388"/>
      <c r="Y349" s="388"/>
      <c r="Z349" s="388"/>
      <c r="AA349" s="388"/>
      <c r="AB349" s="388"/>
      <c r="AC349" s="388"/>
    </row>
    <row r="350">
      <c r="A350" s="388"/>
      <c r="B350" s="388"/>
      <c r="C350" s="388"/>
      <c r="D350" s="388"/>
      <c r="E350" s="388"/>
      <c r="F350" s="388"/>
      <c r="G350" s="388"/>
      <c r="H350" s="388"/>
      <c r="I350" s="388"/>
      <c r="J350" s="642"/>
      <c r="K350" s="642"/>
      <c r="L350" s="642"/>
      <c r="M350" s="388"/>
      <c r="N350" s="388"/>
      <c r="O350" s="388"/>
      <c r="P350" s="388"/>
      <c r="Q350" s="388"/>
      <c r="R350" s="388"/>
      <c r="S350" s="388"/>
      <c r="T350" s="388"/>
      <c r="U350" s="388"/>
      <c r="V350" s="388"/>
      <c r="W350" s="388"/>
      <c r="X350" s="388"/>
      <c r="Y350" s="388"/>
      <c r="Z350" s="388"/>
      <c r="AA350" s="388"/>
      <c r="AB350" s="388"/>
      <c r="AC350" s="388"/>
    </row>
    <row r="351">
      <c r="A351" s="388"/>
      <c r="B351" s="388"/>
      <c r="C351" s="388"/>
      <c r="D351" s="388"/>
      <c r="E351" s="388"/>
      <c r="F351" s="388"/>
      <c r="G351" s="388"/>
      <c r="H351" s="388"/>
      <c r="I351" s="388"/>
      <c r="J351" s="642"/>
      <c r="K351" s="642"/>
      <c r="L351" s="642"/>
      <c r="M351" s="388"/>
      <c r="N351" s="388"/>
      <c r="O351" s="388"/>
      <c r="P351" s="388"/>
      <c r="Q351" s="388"/>
      <c r="R351" s="388"/>
      <c r="S351" s="388"/>
      <c r="T351" s="388"/>
      <c r="U351" s="388"/>
      <c r="V351" s="388"/>
      <c r="W351" s="388"/>
      <c r="X351" s="388"/>
      <c r="Y351" s="388"/>
      <c r="Z351" s="388"/>
      <c r="AA351" s="388"/>
      <c r="AB351" s="388"/>
      <c r="AC351" s="388"/>
    </row>
    <row r="352">
      <c r="A352" s="388"/>
      <c r="B352" s="388"/>
      <c r="C352" s="388"/>
      <c r="D352" s="388"/>
      <c r="E352" s="388"/>
      <c r="F352" s="388"/>
      <c r="G352" s="388"/>
      <c r="H352" s="388"/>
      <c r="I352" s="388"/>
      <c r="J352" s="642"/>
      <c r="K352" s="642"/>
      <c r="L352" s="642"/>
      <c r="M352" s="388"/>
      <c r="N352" s="388"/>
      <c r="O352" s="388"/>
      <c r="P352" s="388"/>
      <c r="Q352" s="388"/>
      <c r="R352" s="388"/>
      <c r="S352" s="388"/>
      <c r="T352" s="388"/>
      <c r="U352" s="388"/>
      <c r="V352" s="388"/>
      <c r="W352" s="388"/>
      <c r="X352" s="388"/>
      <c r="Y352" s="388"/>
      <c r="Z352" s="388"/>
      <c r="AA352" s="388"/>
      <c r="AB352" s="388"/>
      <c r="AC352" s="388"/>
    </row>
    <row r="353">
      <c r="A353" s="388"/>
      <c r="B353" s="388"/>
      <c r="C353" s="388"/>
      <c r="D353" s="388"/>
      <c r="E353" s="388"/>
      <c r="F353" s="388"/>
      <c r="G353" s="388"/>
      <c r="H353" s="388"/>
      <c r="I353" s="388"/>
      <c r="J353" s="642"/>
      <c r="K353" s="642"/>
      <c r="L353" s="642"/>
      <c r="M353" s="388"/>
      <c r="N353" s="388"/>
      <c r="O353" s="388"/>
      <c r="P353" s="388"/>
      <c r="Q353" s="388"/>
      <c r="R353" s="388"/>
      <c r="S353" s="388"/>
      <c r="T353" s="388"/>
      <c r="U353" s="388"/>
      <c r="V353" s="388"/>
      <c r="W353" s="388"/>
      <c r="X353" s="388"/>
      <c r="Y353" s="388"/>
      <c r="Z353" s="388"/>
      <c r="AA353" s="388"/>
      <c r="AB353" s="388"/>
      <c r="AC353" s="388"/>
    </row>
    <row r="354">
      <c r="A354" s="388"/>
      <c r="B354" s="388"/>
      <c r="C354" s="388"/>
      <c r="D354" s="388"/>
      <c r="E354" s="388"/>
      <c r="F354" s="388"/>
      <c r="G354" s="388"/>
      <c r="H354" s="388"/>
      <c r="I354" s="388"/>
      <c r="J354" s="642"/>
      <c r="K354" s="642"/>
      <c r="L354" s="642"/>
      <c r="M354" s="388"/>
      <c r="N354" s="388"/>
      <c r="O354" s="388"/>
      <c r="P354" s="388"/>
      <c r="Q354" s="388"/>
      <c r="R354" s="388"/>
      <c r="S354" s="388"/>
      <c r="T354" s="388"/>
      <c r="U354" s="388"/>
      <c r="V354" s="388"/>
      <c r="W354" s="388"/>
      <c r="X354" s="388"/>
      <c r="Y354" s="388"/>
      <c r="Z354" s="388"/>
      <c r="AA354" s="388"/>
      <c r="AB354" s="388"/>
      <c r="AC354" s="388"/>
    </row>
    <row r="355">
      <c r="A355" s="388"/>
      <c r="B355" s="388"/>
      <c r="C355" s="388"/>
      <c r="D355" s="388"/>
      <c r="E355" s="388"/>
      <c r="F355" s="388"/>
      <c r="G355" s="388"/>
      <c r="H355" s="388"/>
      <c r="I355" s="388"/>
      <c r="J355" s="642"/>
      <c r="K355" s="642"/>
      <c r="L355" s="642"/>
      <c r="M355" s="388"/>
      <c r="N355" s="388"/>
      <c r="O355" s="388"/>
      <c r="P355" s="388"/>
      <c r="Q355" s="388"/>
      <c r="R355" s="388"/>
      <c r="S355" s="388"/>
      <c r="T355" s="388"/>
      <c r="U355" s="388"/>
      <c r="V355" s="388"/>
      <c r="W355" s="388"/>
      <c r="X355" s="388"/>
      <c r="Y355" s="388"/>
      <c r="Z355" s="388"/>
      <c r="AA355" s="388"/>
      <c r="AB355" s="388"/>
      <c r="AC355" s="388"/>
    </row>
    <row r="356">
      <c r="A356" s="388"/>
      <c r="B356" s="388"/>
      <c r="C356" s="388"/>
      <c r="D356" s="388"/>
      <c r="E356" s="388"/>
      <c r="F356" s="388"/>
      <c r="G356" s="388"/>
      <c r="H356" s="388"/>
      <c r="I356" s="388"/>
      <c r="J356" s="642"/>
      <c r="K356" s="642"/>
      <c r="L356" s="642"/>
      <c r="M356" s="388"/>
      <c r="N356" s="388"/>
      <c r="O356" s="388"/>
      <c r="P356" s="388"/>
      <c r="Q356" s="388"/>
      <c r="R356" s="388"/>
      <c r="S356" s="388"/>
      <c r="T356" s="388"/>
      <c r="U356" s="388"/>
      <c r="V356" s="388"/>
      <c r="W356" s="388"/>
      <c r="X356" s="388"/>
      <c r="Y356" s="388"/>
      <c r="Z356" s="388"/>
      <c r="AA356" s="388"/>
      <c r="AB356" s="388"/>
      <c r="AC356" s="388"/>
    </row>
    <row r="357">
      <c r="A357" s="388"/>
      <c r="B357" s="388"/>
      <c r="C357" s="388"/>
      <c r="D357" s="388"/>
      <c r="E357" s="388"/>
      <c r="F357" s="388"/>
      <c r="G357" s="388"/>
      <c r="H357" s="388"/>
      <c r="I357" s="388"/>
      <c r="J357" s="642"/>
      <c r="K357" s="642"/>
      <c r="L357" s="642"/>
      <c r="M357" s="388"/>
      <c r="N357" s="388"/>
      <c r="O357" s="388"/>
      <c r="P357" s="388"/>
      <c r="Q357" s="388"/>
      <c r="R357" s="388"/>
      <c r="S357" s="388"/>
      <c r="T357" s="388"/>
      <c r="U357" s="388"/>
      <c r="V357" s="388"/>
      <c r="W357" s="388"/>
      <c r="X357" s="388"/>
      <c r="Y357" s="388"/>
      <c r="Z357" s="388"/>
      <c r="AA357" s="388"/>
      <c r="AB357" s="388"/>
      <c r="AC357" s="388"/>
    </row>
    <row r="358">
      <c r="A358" s="388"/>
      <c r="B358" s="388"/>
      <c r="C358" s="388"/>
      <c r="D358" s="388"/>
      <c r="E358" s="388"/>
      <c r="F358" s="388"/>
      <c r="G358" s="388"/>
      <c r="H358" s="388"/>
      <c r="I358" s="388"/>
      <c r="J358" s="642"/>
      <c r="K358" s="642"/>
      <c r="L358" s="642"/>
      <c r="M358" s="388"/>
      <c r="N358" s="388"/>
      <c r="O358" s="388"/>
      <c r="P358" s="388"/>
      <c r="Q358" s="388"/>
      <c r="R358" s="388"/>
      <c r="S358" s="388"/>
      <c r="T358" s="388"/>
      <c r="U358" s="388"/>
      <c r="V358" s="388"/>
      <c r="W358" s="388"/>
      <c r="X358" s="388"/>
      <c r="Y358" s="388"/>
      <c r="Z358" s="388"/>
      <c r="AA358" s="388"/>
      <c r="AB358" s="388"/>
      <c r="AC358" s="388"/>
    </row>
    <row r="359">
      <c r="A359" s="388"/>
      <c r="B359" s="388"/>
      <c r="C359" s="388"/>
      <c r="D359" s="388"/>
      <c r="E359" s="388"/>
      <c r="F359" s="388"/>
      <c r="G359" s="388"/>
      <c r="H359" s="388"/>
      <c r="I359" s="388"/>
      <c r="J359" s="642"/>
      <c r="K359" s="642"/>
      <c r="L359" s="642"/>
      <c r="M359" s="388"/>
      <c r="N359" s="388"/>
      <c r="O359" s="388"/>
      <c r="P359" s="388"/>
      <c r="Q359" s="388"/>
      <c r="R359" s="388"/>
      <c r="S359" s="388"/>
      <c r="T359" s="388"/>
      <c r="U359" s="388"/>
      <c r="V359" s="388"/>
      <c r="W359" s="388"/>
      <c r="X359" s="388"/>
      <c r="Y359" s="388"/>
      <c r="Z359" s="388"/>
      <c r="AA359" s="388"/>
      <c r="AB359" s="388"/>
      <c r="AC359" s="388"/>
    </row>
    <row r="360">
      <c r="A360" s="388"/>
      <c r="B360" s="388"/>
      <c r="C360" s="388"/>
      <c r="D360" s="388"/>
      <c r="E360" s="388"/>
      <c r="F360" s="388"/>
      <c r="G360" s="388"/>
      <c r="H360" s="388"/>
      <c r="I360" s="388"/>
      <c r="J360" s="642"/>
      <c r="K360" s="642"/>
      <c r="L360" s="642"/>
      <c r="M360" s="388"/>
      <c r="N360" s="388"/>
      <c r="O360" s="388"/>
      <c r="P360" s="388"/>
      <c r="Q360" s="388"/>
      <c r="R360" s="388"/>
      <c r="S360" s="388"/>
      <c r="T360" s="388"/>
      <c r="U360" s="388"/>
      <c r="V360" s="388"/>
      <c r="W360" s="388"/>
      <c r="X360" s="388"/>
      <c r="Y360" s="388"/>
      <c r="Z360" s="388"/>
      <c r="AA360" s="388"/>
      <c r="AB360" s="388"/>
      <c r="AC360" s="388"/>
    </row>
    <row r="361">
      <c r="A361" s="388"/>
      <c r="B361" s="388"/>
      <c r="C361" s="388"/>
      <c r="D361" s="388"/>
      <c r="E361" s="388"/>
      <c r="F361" s="388"/>
      <c r="G361" s="388"/>
      <c r="H361" s="388"/>
      <c r="I361" s="388"/>
      <c r="J361" s="642"/>
      <c r="K361" s="642"/>
      <c r="L361" s="642"/>
      <c r="M361" s="388"/>
      <c r="N361" s="388"/>
      <c r="O361" s="388"/>
      <c r="P361" s="388"/>
      <c r="Q361" s="388"/>
      <c r="R361" s="388"/>
      <c r="S361" s="388"/>
      <c r="T361" s="388"/>
      <c r="U361" s="388"/>
      <c r="V361" s="388"/>
      <c r="W361" s="388"/>
      <c r="X361" s="388"/>
      <c r="Y361" s="388"/>
      <c r="Z361" s="388"/>
      <c r="AA361" s="388"/>
      <c r="AB361" s="388"/>
      <c r="AC361" s="388"/>
    </row>
    <row r="362">
      <c r="A362" s="388"/>
      <c r="B362" s="388"/>
      <c r="C362" s="388"/>
      <c r="D362" s="388"/>
      <c r="E362" s="388"/>
      <c r="F362" s="388"/>
      <c r="G362" s="388"/>
      <c r="H362" s="388"/>
      <c r="I362" s="388"/>
      <c r="J362" s="642"/>
      <c r="K362" s="642"/>
      <c r="L362" s="642"/>
      <c r="M362" s="388"/>
      <c r="N362" s="388"/>
      <c r="O362" s="388"/>
      <c r="P362" s="388"/>
      <c r="Q362" s="388"/>
      <c r="R362" s="388"/>
      <c r="S362" s="388"/>
      <c r="T362" s="388"/>
      <c r="U362" s="388"/>
      <c r="V362" s="388"/>
      <c r="W362" s="388"/>
      <c r="X362" s="388"/>
      <c r="Y362" s="388"/>
      <c r="Z362" s="388"/>
      <c r="AA362" s="388"/>
      <c r="AB362" s="388"/>
      <c r="AC362" s="388"/>
    </row>
    <row r="363">
      <c r="A363" s="388"/>
      <c r="B363" s="388"/>
      <c r="C363" s="388"/>
      <c r="D363" s="388"/>
      <c r="E363" s="388"/>
      <c r="F363" s="388"/>
      <c r="G363" s="388"/>
      <c r="H363" s="388"/>
      <c r="I363" s="388"/>
      <c r="J363" s="642"/>
      <c r="K363" s="642"/>
      <c r="L363" s="642"/>
      <c r="M363" s="388"/>
      <c r="N363" s="388"/>
      <c r="O363" s="388"/>
      <c r="P363" s="388"/>
      <c r="Q363" s="388"/>
      <c r="R363" s="388"/>
      <c r="S363" s="388"/>
      <c r="T363" s="388"/>
      <c r="U363" s="388"/>
      <c r="V363" s="388"/>
      <c r="W363" s="388"/>
      <c r="X363" s="388"/>
      <c r="Y363" s="388"/>
      <c r="Z363" s="388"/>
      <c r="AA363" s="388"/>
      <c r="AB363" s="388"/>
      <c r="AC363" s="388"/>
    </row>
    <row r="364">
      <c r="A364" s="388"/>
      <c r="B364" s="388"/>
      <c r="C364" s="388"/>
      <c r="D364" s="388"/>
      <c r="E364" s="388"/>
      <c r="F364" s="388"/>
      <c r="G364" s="388"/>
      <c r="H364" s="388"/>
      <c r="I364" s="388"/>
      <c r="J364" s="642"/>
      <c r="K364" s="642"/>
      <c r="L364" s="642"/>
      <c r="M364" s="388"/>
      <c r="N364" s="388"/>
      <c r="O364" s="388"/>
      <c r="P364" s="388"/>
      <c r="Q364" s="388"/>
      <c r="R364" s="388"/>
      <c r="S364" s="388"/>
      <c r="T364" s="388"/>
      <c r="U364" s="388"/>
      <c r="V364" s="388"/>
      <c r="W364" s="388"/>
      <c r="X364" s="388"/>
      <c r="Y364" s="388"/>
      <c r="Z364" s="388"/>
      <c r="AA364" s="388"/>
      <c r="AB364" s="388"/>
      <c r="AC364" s="388"/>
    </row>
    <row r="365">
      <c r="A365" s="388"/>
      <c r="B365" s="388"/>
      <c r="C365" s="388"/>
      <c r="D365" s="388"/>
      <c r="E365" s="388"/>
      <c r="F365" s="388"/>
      <c r="G365" s="388"/>
      <c r="H365" s="388"/>
      <c r="I365" s="388"/>
      <c r="J365" s="642"/>
      <c r="K365" s="642"/>
      <c r="L365" s="642"/>
      <c r="M365" s="388"/>
      <c r="N365" s="388"/>
      <c r="O365" s="388"/>
      <c r="P365" s="388"/>
      <c r="Q365" s="388"/>
      <c r="R365" s="388"/>
      <c r="S365" s="388"/>
      <c r="T365" s="388"/>
      <c r="U365" s="388"/>
      <c r="V365" s="388"/>
      <c r="W365" s="388"/>
      <c r="X365" s="388"/>
      <c r="Y365" s="388"/>
      <c r="Z365" s="388"/>
      <c r="AA365" s="388"/>
      <c r="AB365" s="388"/>
      <c r="AC365" s="388"/>
    </row>
    <row r="366">
      <c r="A366" s="388"/>
      <c r="B366" s="388"/>
      <c r="C366" s="388"/>
      <c r="D366" s="388"/>
      <c r="E366" s="388"/>
      <c r="F366" s="388"/>
      <c r="G366" s="388"/>
      <c r="H366" s="388"/>
      <c r="I366" s="388"/>
      <c r="J366" s="642"/>
      <c r="K366" s="642"/>
      <c r="L366" s="642"/>
      <c r="M366" s="388"/>
      <c r="N366" s="388"/>
      <c r="O366" s="388"/>
      <c r="P366" s="388"/>
      <c r="Q366" s="388"/>
      <c r="R366" s="388"/>
      <c r="S366" s="388"/>
      <c r="T366" s="388"/>
      <c r="U366" s="388"/>
      <c r="V366" s="388"/>
      <c r="W366" s="388"/>
      <c r="X366" s="388"/>
      <c r="Y366" s="388"/>
      <c r="Z366" s="388"/>
      <c r="AA366" s="388"/>
      <c r="AB366" s="388"/>
      <c r="AC366" s="388"/>
    </row>
    <row r="367">
      <c r="A367" s="388"/>
      <c r="B367" s="388"/>
      <c r="C367" s="388"/>
      <c r="D367" s="388"/>
      <c r="E367" s="388"/>
      <c r="F367" s="388"/>
      <c r="G367" s="388"/>
      <c r="H367" s="388"/>
      <c r="I367" s="388"/>
      <c r="J367" s="642"/>
      <c r="K367" s="642"/>
      <c r="L367" s="642"/>
      <c r="M367" s="388"/>
      <c r="N367" s="388"/>
      <c r="O367" s="388"/>
      <c r="P367" s="388"/>
      <c r="Q367" s="388"/>
      <c r="R367" s="388"/>
      <c r="S367" s="388"/>
      <c r="T367" s="388"/>
      <c r="U367" s="388"/>
      <c r="V367" s="388"/>
      <c r="W367" s="388"/>
      <c r="X367" s="388"/>
      <c r="Y367" s="388"/>
      <c r="Z367" s="388"/>
      <c r="AA367" s="388"/>
      <c r="AB367" s="388"/>
      <c r="AC367" s="388"/>
    </row>
    <row r="368">
      <c r="A368" s="388"/>
      <c r="B368" s="388"/>
      <c r="C368" s="388"/>
      <c r="D368" s="388"/>
      <c r="E368" s="388"/>
      <c r="F368" s="388"/>
      <c r="G368" s="388"/>
      <c r="H368" s="388"/>
      <c r="I368" s="388"/>
      <c r="J368" s="642"/>
      <c r="K368" s="642"/>
      <c r="L368" s="642"/>
      <c r="M368" s="388"/>
      <c r="N368" s="388"/>
      <c r="O368" s="388"/>
      <c r="P368" s="388"/>
      <c r="Q368" s="388"/>
      <c r="R368" s="388"/>
      <c r="S368" s="388"/>
      <c r="T368" s="388"/>
      <c r="U368" s="388"/>
      <c r="V368" s="388"/>
      <c r="W368" s="388"/>
      <c r="X368" s="388"/>
      <c r="Y368" s="388"/>
      <c r="Z368" s="388"/>
      <c r="AA368" s="388"/>
      <c r="AB368" s="388"/>
      <c r="AC368" s="388"/>
    </row>
    <row r="369">
      <c r="A369" s="388"/>
      <c r="B369" s="388"/>
      <c r="C369" s="388"/>
      <c r="D369" s="388"/>
      <c r="E369" s="388"/>
      <c r="F369" s="388"/>
      <c r="G369" s="388"/>
      <c r="H369" s="388"/>
      <c r="I369" s="388"/>
      <c r="J369" s="642"/>
      <c r="K369" s="642"/>
      <c r="L369" s="642"/>
      <c r="M369" s="388"/>
      <c r="N369" s="388"/>
      <c r="O369" s="388"/>
      <c r="P369" s="388"/>
      <c r="Q369" s="388"/>
      <c r="R369" s="388"/>
      <c r="S369" s="388"/>
      <c r="T369" s="388"/>
      <c r="U369" s="388"/>
      <c r="V369" s="388"/>
      <c r="W369" s="388"/>
      <c r="X369" s="388"/>
      <c r="Y369" s="388"/>
      <c r="Z369" s="388"/>
      <c r="AA369" s="388"/>
      <c r="AB369" s="388"/>
      <c r="AC369" s="388"/>
    </row>
    <row r="370">
      <c r="A370" s="388"/>
      <c r="B370" s="388"/>
      <c r="C370" s="388"/>
      <c r="D370" s="388"/>
      <c r="E370" s="388"/>
      <c r="F370" s="388"/>
      <c r="G370" s="388"/>
      <c r="H370" s="388"/>
      <c r="I370" s="388"/>
      <c r="J370" s="642"/>
      <c r="K370" s="642"/>
      <c r="L370" s="642"/>
      <c r="M370" s="388"/>
      <c r="N370" s="388"/>
      <c r="O370" s="388"/>
      <c r="P370" s="388"/>
      <c r="Q370" s="388"/>
      <c r="R370" s="388"/>
      <c r="S370" s="388"/>
      <c r="T370" s="388"/>
      <c r="U370" s="388"/>
      <c r="V370" s="388"/>
      <c r="W370" s="388"/>
      <c r="X370" s="388"/>
      <c r="Y370" s="388"/>
      <c r="Z370" s="388"/>
      <c r="AA370" s="388"/>
      <c r="AB370" s="388"/>
      <c r="AC370" s="388"/>
    </row>
    <row r="371">
      <c r="A371" s="388"/>
      <c r="B371" s="388"/>
      <c r="C371" s="388"/>
      <c r="D371" s="388"/>
      <c r="E371" s="388"/>
      <c r="F371" s="388"/>
      <c r="G371" s="388"/>
      <c r="H371" s="388"/>
      <c r="I371" s="388"/>
      <c r="J371" s="642"/>
      <c r="K371" s="642"/>
      <c r="L371" s="642"/>
      <c r="M371" s="388"/>
      <c r="N371" s="388"/>
      <c r="O371" s="388"/>
      <c r="P371" s="388"/>
      <c r="Q371" s="388"/>
      <c r="R371" s="388"/>
      <c r="S371" s="388"/>
      <c r="T371" s="388"/>
      <c r="U371" s="388"/>
      <c r="V371" s="388"/>
      <c r="W371" s="388"/>
      <c r="X371" s="388"/>
      <c r="Y371" s="388"/>
      <c r="Z371" s="388"/>
      <c r="AA371" s="388"/>
      <c r="AB371" s="388"/>
      <c r="AC371" s="388"/>
    </row>
    <row r="372">
      <c r="A372" s="388"/>
      <c r="B372" s="388"/>
      <c r="C372" s="388"/>
      <c r="D372" s="388"/>
      <c r="E372" s="388"/>
      <c r="F372" s="388"/>
      <c r="G372" s="388"/>
      <c r="H372" s="388"/>
      <c r="I372" s="388"/>
      <c r="J372" s="642"/>
      <c r="K372" s="642"/>
      <c r="L372" s="642"/>
      <c r="M372" s="388"/>
      <c r="N372" s="388"/>
      <c r="O372" s="388"/>
      <c r="P372" s="388"/>
      <c r="Q372" s="388"/>
      <c r="R372" s="388"/>
      <c r="S372" s="388"/>
      <c r="T372" s="388"/>
      <c r="U372" s="388"/>
      <c r="V372" s="388"/>
      <c r="W372" s="388"/>
      <c r="X372" s="388"/>
      <c r="Y372" s="388"/>
      <c r="Z372" s="388"/>
      <c r="AA372" s="388"/>
      <c r="AB372" s="388"/>
      <c r="AC372" s="388"/>
    </row>
    <row r="373">
      <c r="A373" s="388"/>
      <c r="B373" s="388"/>
      <c r="C373" s="388"/>
      <c r="D373" s="388"/>
      <c r="E373" s="388"/>
      <c r="F373" s="388"/>
      <c r="G373" s="388"/>
      <c r="H373" s="388"/>
      <c r="I373" s="388"/>
      <c r="J373" s="642"/>
      <c r="K373" s="642"/>
      <c r="L373" s="642"/>
      <c r="M373" s="388"/>
      <c r="N373" s="388"/>
      <c r="O373" s="388"/>
      <c r="P373" s="388"/>
      <c r="Q373" s="388"/>
      <c r="R373" s="388"/>
      <c r="S373" s="388"/>
      <c r="T373" s="388"/>
      <c r="U373" s="388"/>
      <c r="V373" s="388"/>
      <c r="W373" s="388"/>
      <c r="X373" s="388"/>
      <c r="Y373" s="388"/>
      <c r="Z373" s="388"/>
      <c r="AA373" s="388"/>
      <c r="AB373" s="388"/>
      <c r="AC373" s="388"/>
    </row>
    <row r="374">
      <c r="A374" s="388"/>
      <c r="B374" s="388"/>
      <c r="C374" s="388"/>
      <c r="D374" s="388"/>
      <c r="E374" s="388"/>
      <c r="F374" s="388"/>
      <c r="G374" s="388"/>
      <c r="H374" s="388"/>
      <c r="I374" s="388"/>
      <c r="J374" s="642"/>
      <c r="K374" s="642"/>
      <c r="L374" s="642"/>
      <c r="M374" s="388"/>
      <c r="N374" s="388"/>
      <c r="O374" s="388"/>
      <c r="P374" s="388"/>
      <c r="Q374" s="388"/>
      <c r="R374" s="388"/>
      <c r="S374" s="388"/>
      <c r="T374" s="388"/>
      <c r="U374" s="388"/>
      <c r="V374" s="388"/>
      <c r="W374" s="388"/>
      <c r="X374" s="388"/>
      <c r="Y374" s="388"/>
      <c r="Z374" s="388"/>
      <c r="AA374" s="388"/>
      <c r="AB374" s="388"/>
      <c r="AC374" s="388"/>
    </row>
    <row r="375">
      <c r="A375" s="388"/>
      <c r="B375" s="388"/>
      <c r="C375" s="388"/>
      <c r="D375" s="388"/>
      <c r="E375" s="388"/>
      <c r="F375" s="388"/>
      <c r="G375" s="388"/>
      <c r="H375" s="388"/>
      <c r="I375" s="388"/>
      <c r="J375" s="642"/>
      <c r="K375" s="642"/>
      <c r="L375" s="642"/>
      <c r="M375" s="388"/>
      <c r="N375" s="388"/>
      <c r="O375" s="388"/>
      <c r="P375" s="388"/>
      <c r="Q375" s="388"/>
      <c r="R375" s="388"/>
      <c r="S375" s="388"/>
      <c r="T375" s="388"/>
      <c r="U375" s="388"/>
      <c r="V375" s="388"/>
      <c r="W375" s="388"/>
      <c r="X375" s="388"/>
      <c r="Y375" s="388"/>
      <c r="Z375" s="388"/>
      <c r="AA375" s="388"/>
      <c r="AB375" s="388"/>
      <c r="AC375" s="388"/>
    </row>
    <row r="376">
      <c r="A376" s="388"/>
      <c r="B376" s="388"/>
      <c r="C376" s="388"/>
      <c r="D376" s="388"/>
      <c r="E376" s="388"/>
      <c r="F376" s="388"/>
      <c r="G376" s="388"/>
      <c r="H376" s="388"/>
      <c r="I376" s="388"/>
      <c r="J376" s="642"/>
      <c r="K376" s="642"/>
      <c r="L376" s="642"/>
      <c r="M376" s="388"/>
      <c r="N376" s="388"/>
      <c r="O376" s="388"/>
      <c r="P376" s="388"/>
      <c r="Q376" s="388"/>
      <c r="R376" s="388"/>
      <c r="S376" s="388"/>
      <c r="T376" s="388"/>
      <c r="U376" s="388"/>
      <c r="V376" s="388"/>
      <c r="W376" s="388"/>
      <c r="X376" s="388"/>
      <c r="Y376" s="388"/>
      <c r="Z376" s="388"/>
      <c r="AA376" s="388"/>
      <c r="AB376" s="388"/>
      <c r="AC376" s="388"/>
    </row>
    <row r="377">
      <c r="A377" s="388"/>
      <c r="B377" s="388"/>
      <c r="C377" s="388"/>
      <c r="D377" s="388"/>
      <c r="E377" s="388"/>
      <c r="F377" s="388"/>
      <c r="G377" s="388"/>
      <c r="H377" s="388"/>
      <c r="I377" s="388"/>
      <c r="J377" s="642"/>
      <c r="K377" s="642"/>
      <c r="L377" s="642"/>
      <c r="M377" s="388"/>
      <c r="N377" s="388"/>
      <c r="O377" s="388"/>
      <c r="P377" s="388"/>
      <c r="Q377" s="388"/>
      <c r="R377" s="388"/>
      <c r="S377" s="388"/>
      <c r="T377" s="388"/>
      <c r="U377" s="388"/>
      <c r="V377" s="388"/>
      <c r="W377" s="388"/>
      <c r="X377" s="388"/>
      <c r="Y377" s="388"/>
      <c r="Z377" s="388"/>
      <c r="AA377" s="388"/>
      <c r="AB377" s="388"/>
      <c r="AC377" s="388"/>
    </row>
    <row r="378">
      <c r="A378" s="388"/>
      <c r="B378" s="388"/>
      <c r="C378" s="388"/>
      <c r="D378" s="388"/>
      <c r="E378" s="388"/>
      <c r="F378" s="388"/>
      <c r="G378" s="388"/>
      <c r="H378" s="388"/>
      <c r="I378" s="388"/>
      <c r="J378" s="642"/>
      <c r="K378" s="642"/>
      <c r="L378" s="642"/>
      <c r="M378" s="388"/>
      <c r="N378" s="388"/>
      <c r="O378" s="388"/>
      <c r="P378" s="388"/>
      <c r="Q378" s="388"/>
      <c r="R378" s="388"/>
      <c r="S378" s="388"/>
      <c r="T378" s="388"/>
      <c r="U378" s="388"/>
      <c r="V378" s="388"/>
      <c r="W378" s="388"/>
      <c r="X378" s="388"/>
      <c r="Y378" s="388"/>
      <c r="Z378" s="388"/>
      <c r="AA378" s="388"/>
      <c r="AB378" s="388"/>
      <c r="AC378" s="388"/>
    </row>
    <row r="379">
      <c r="A379" s="388"/>
      <c r="B379" s="388"/>
      <c r="C379" s="388"/>
      <c r="D379" s="388"/>
      <c r="E379" s="388"/>
      <c r="F379" s="388"/>
      <c r="G379" s="388"/>
      <c r="H379" s="388"/>
      <c r="I379" s="388"/>
      <c r="J379" s="642"/>
      <c r="K379" s="642"/>
      <c r="L379" s="642"/>
      <c r="M379" s="388"/>
      <c r="N379" s="388"/>
      <c r="O379" s="388"/>
      <c r="P379" s="388"/>
      <c r="Q379" s="388"/>
      <c r="R379" s="388"/>
      <c r="S379" s="388"/>
      <c r="T379" s="388"/>
      <c r="U379" s="388"/>
      <c r="V379" s="388"/>
      <c r="W379" s="388"/>
      <c r="X379" s="388"/>
      <c r="Y379" s="388"/>
      <c r="Z379" s="388"/>
      <c r="AA379" s="388"/>
      <c r="AB379" s="388"/>
      <c r="AC379" s="388"/>
    </row>
    <row r="380">
      <c r="A380" s="388"/>
      <c r="B380" s="388"/>
      <c r="C380" s="388"/>
      <c r="D380" s="388"/>
      <c r="E380" s="388"/>
      <c r="F380" s="388"/>
      <c r="G380" s="388"/>
      <c r="H380" s="388"/>
      <c r="I380" s="388"/>
      <c r="J380" s="642"/>
      <c r="K380" s="642"/>
      <c r="L380" s="642"/>
      <c r="M380" s="388"/>
      <c r="N380" s="388"/>
      <c r="O380" s="388"/>
      <c r="P380" s="388"/>
      <c r="Q380" s="388"/>
      <c r="R380" s="388"/>
      <c r="S380" s="388"/>
      <c r="T380" s="388"/>
      <c r="U380" s="388"/>
      <c r="V380" s="388"/>
      <c r="W380" s="388"/>
      <c r="X380" s="388"/>
      <c r="Y380" s="388"/>
      <c r="Z380" s="388"/>
      <c r="AA380" s="388"/>
      <c r="AB380" s="388"/>
      <c r="AC380" s="388"/>
    </row>
    <row r="381">
      <c r="A381" s="388"/>
      <c r="B381" s="388"/>
      <c r="C381" s="388"/>
      <c r="D381" s="388"/>
      <c r="E381" s="388"/>
      <c r="F381" s="388"/>
      <c r="G381" s="388"/>
      <c r="H381" s="388"/>
      <c r="I381" s="388"/>
      <c r="J381" s="642"/>
      <c r="K381" s="642"/>
      <c r="L381" s="642"/>
      <c r="M381" s="388"/>
      <c r="N381" s="388"/>
      <c r="O381" s="388"/>
      <c r="P381" s="388"/>
      <c r="Q381" s="388"/>
      <c r="R381" s="388"/>
      <c r="S381" s="388"/>
      <c r="T381" s="388"/>
      <c r="U381" s="388"/>
      <c r="V381" s="388"/>
      <c r="W381" s="388"/>
      <c r="X381" s="388"/>
      <c r="Y381" s="388"/>
      <c r="Z381" s="388"/>
      <c r="AA381" s="388"/>
      <c r="AB381" s="388"/>
      <c r="AC381" s="388"/>
    </row>
    <row r="382">
      <c r="A382" s="388"/>
      <c r="B382" s="388"/>
      <c r="C382" s="388"/>
      <c r="D382" s="388"/>
      <c r="E382" s="388"/>
      <c r="F382" s="388"/>
      <c r="G382" s="388"/>
      <c r="H382" s="388"/>
      <c r="I382" s="388"/>
      <c r="J382" s="642"/>
      <c r="K382" s="642"/>
      <c r="L382" s="642"/>
      <c r="M382" s="388"/>
      <c r="N382" s="388"/>
      <c r="O382" s="388"/>
      <c r="P382" s="388"/>
      <c r="Q382" s="388"/>
      <c r="R382" s="388"/>
      <c r="S382" s="388"/>
      <c r="T382" s="388"/>
      <c r="U382" s="388"/>
      <c r="V382" s="388"/>
      <c r="W382" s="388"/>
      <c r="X382" s="388"/>
      <c r="Y382" s="388"/>
      <c r="Z382" s="388"/>
      <c r="AA382" s="388"/>
      <c r="AB382" s="388"/>
      <c r="AC382" s="388"/>
    </row>
    <row r="383">
      <c r="A383" s="388"/>
      <c r="B383" s="388"/>
      <c r="C383" s="388"/>
      <c r="D383" s="388"/>
      <c r="E383" s="388"/>
      <c r="F383" s="388"/>
      <c r="G383" s="388"/>
      <c r="H383" s="388"/>
      <c r="I383" s="388"/>
      <c r="J383" s="642"/>
      <c r="K383" s="642"/>
      <c r="L383" s="642"/>
      <c r="M383" s="388"/>
      <c r="N383" s="388"/>
      <c r="O383" s="388"/>
      <c r="P383" s="388"/>
      <c r="Q383" s="388"/>
      <c r="R383" s="388"/>
      <c r="S383" s="388"/>
      <c r="T383" s="388"/>
      <c r="U383" s="388"/>
      <c r="V383" s="388"/>
      <c r="W383" s="388"/>
      <c r="X383" s="388"/>
      <c r="Y383" s="388"/>
      <c r="Z383" s="388"/>
      <c r="AA383" s="388"/>
      <c r="AB383" s="388"/>
      <c r="AC383" s="388"/>
    </row>
    <row r="384">
      <c r="A384" s="388"/>
      <c r="B384" s="388"/>
      <c r="C384" s="388"/>
      <c r="D384" s="388"/>
      <c r="E384" s="388"/>
      <c r="F384" s="388"/>
      <c r="G384" s="388"/>
      <c r="H384" s="388"/>
      <c r="I384" s="388"/>
      <c r="J384" s="642"/>
      <c r="K384" s="642"/>
      <c r="L384" s="642"/>
      <c r="M384" s="388"/>
      <c r="N384" s="388"/>
      <c r="O384" s="388"/>
      <c r="P384" s="388"/>
      <c r="Q384" s="388"/>
      <c r="R384" s="388"/>
      <c r="S384" s="388"/>
      <c r="T384" s="388"/>
      <c r="U384" s="388"/>
      <c r="V384" s="388"/>
      <c r="W384" s="388"/>
      <c r="X384" s="388"/>
      <c r="Y384" s="388"/>
      <c r="Z384" s="388"/>
      <c r="AA384" s="388"/>
      <c r="AB384" s="388"/>
      <c r="AC384" s="388"/>
    </row>
    <row r="385">
      <c r="A385" s="388"/>
      <c r="B385" s="388"/>
      <c r="C385" s="388"/>
      <c r="D385" s="388"/>
      <c r="E385" s="388"/>
      <c r="F385" s="388"/>
      <c r="G385" s="388"/>
      <c r="H385" s="388"/>
      <c r="I385" s="388"/>
      <c r="J385" s="642"/>
      <c r="K385" s="642"/>
      <c r="L385" s="642"/>
      <c r="M385" s="388"/>
      <c r="N385" s="388"/>
      <c r="O385" s="388"/>
      <c r="P385" s="388"/>
      <c r="Q385" s="388"/>
      <c r="R385" s="388"/>
      <c r="S385" s="388"/>
      <c r="T385" s="388"/>
      <c r="U385" s="388"/>
      <c r="V385" s="388"/>
      <c r="W385" s="388"/>
      <c r="X385" s="388"/>
      <c r="Y385" s="388"/>
      <c r="Z385" s="388"/>
      <c r="AA385" s="388"/>
      <c r="AB385" s="388"/>
      <c r="AC385" s="388"/>
    </row>
    <row r="386">
      <c r="A386" s="388"/>
      <c r="B386" s="388"/>
      <c r="C386" s="388"/>
      <c r="D386" s="388"/>
      <c r="E386" s="388"/>
      <c r="F386" s="388"/>
      <c r="G386" s="388"/>
      <c r="H386" s="388"/>
      <c r="I386" s="388"/>
      <c r="J386" s="642"/>
      <c r="K386" s="642"/>
      <c r="L386" s="642"/>
      <c r="M386" s="388"/>
      <c r="N386" s="388"/>
      <c r="O386" s="388"/>
      <c r="P386" s="388"/>
      <c r="Q386" s="388"/>
      <c r="R386" s="388"/>
      <c r="S386" s="388"/>
      <c r="T386" s="388"/>
      <c r="U386" s="388"/>
      <c r="V386" s="388"/>
      <c r="W386" s="388"/>
      <c r="X386" s="388"/>
      <c r="Y386" s="388"/>
      <c r="Z386" s="388"/>
      <c r="AA386" s="388"/>
      <c r="AB386" s="388"/>
      <c r="AC386" s="388"/>
    </row>
    <row r="387">
      <c r="A387" s="388"/>
      <c r="B387" s="388"/>
      <c r="C387" s="388"/>
      <c r="D387" s="388"/>
      <c r="E387" s="388"/>
      <c r="F387" s="388"/>
      <c r="G387" s="388"/>
      <c r="H387" s="388"/>
      <c r="I387" s="388"/>
      <c r="J387" s="642"/>
      <c r="K387" s="642"/>
      <c r="L387" s="642"/>
      <c r="M387" s="388"/>
      <c r="N387" s="388"/>
      <c r="O387" s="388"/>
      <c r="P387" s="388"/>
      <c r="Q387" s="388"/>
      <c r="R387" s="388"/>
      <c r="S387" s="388"/>
      <c r="T387" s="388"/>
      <c r="U387" s="388"/>
      <c r="V387" s="388"/>
      <c r="W387" s="388"/>
      <c r="X387" s="388"/>
      <c r="Y387" s="388"/>
      <c r="Z387" s="388"/>
      <c r="AA387" s="388"/>
      <c r="AB387" s="388"/>
      <c r="AC387" s="388"/>
    </row>
    <row r="388">
      <c r="A388" s="388"/>
      <c r="B388" s="388"/>
      <c r="C388" s="388"/>
      <c r="D388" s="388"/>
      <c r="E388" s="388"/>
      <c r="F388" s="388"/>
      <c r="G388" s="388"/>
      <c r="H388" s="388"/>
      <c r="I388" s="388"/>
      <c r="J388" s="642"/>
      <c r="K388" s="642"/>
      <c r="L388" s="642"/>
      <c r="M388" s="388"/>
      <c r="N388" s="388"/>
      <c r="O388" s="388"/>
      <c r="P388" s="388"/>
      <c r="Q388" s="388"/>
      <c r="R388" s="388"/>
      <c r="S388" s="388"/>
      <c r="T388" s="388"/>
      <c r="U388" s="388"/>
      <c r="V388" s="388"/>
      <c r="W388" s="388"/>
      <c r="X388" s="388"/>
      <c r="Y388" s="388"/>
      <c r="Z388" s="388"/>
      <c r="AA388" s="388"/>
      <c r="AB388" s="388"/>
      <c r="AC388" s="388"/>
    </row>
    <row r="389">
      <c r="A389" s="388"/>
      <c r="B389" s="388"/>
      <c r="C389" s="388"/>
      <c r="D389" s="388"/>
      <c r="E389" s="388"/>
      <c r="F389" s="388"/>
      <c r="G389" s="388"/>
      <c r="H389" s="388"/>
      <c r="I389" s="388"/>
      <c r="J389" s="642"/>
      <c r="K389" s="642"/>
      <c r="L389" s="642"/>
      <c r="M389" s="388"/>
      <c r="N389" s="388"/>
      <c r="O389" s="388"/>
      <c r="P389" s="388"/>
      <c r="Q389" s="388"/>
      <c r="R389" s="388"/>
      <c r="S389" s="388"/>
      <c r="T389" s="388"/>
      <c r="U389" s="388"/>
      <c r="V389" s="388"/>
      <c r="W389" s="388"/>
      <c r="X389" s="388"/>
      <c r="Y389" s="388"/>
      <c r="Z389" s="388"/>
      <c r="AA389" s="388"/>
      <c r="AB389" s="388"/>
      <c r="AC389" s="388"/>
    </row>
    <row r="390">
      <c r="A390" s="388"/>
      <c r="B390" s="388"/>
      <c r="C390" s="388"/>
      <c r="D390" s="388"/>
      <c r="E390" s="388"/>
      <c r="F390" s="388"/>
      <c r="G390" s="388"/>
      <c r="H390" s="388"/>
      <c r="I390" s="388"/>
      <c r="J390" s="642"/>
      <c r="K390" s="642"/>
      <c r="L390" s="642"/>
      <c r="M390" s="388"/>
      <c r="N390" s="388"/>
      <c r="O390" s="388"/>
      <c r="P390" s="388"/>
      <c r="Q390" s="388"/>
      <c r="R390" s="388"/>
      <c r="S390" s="388"/>
      <c r="T390" s="388"/>
      <c r="U390" s="388"/>
      <c r="V390" s="388"/>
      <c r="W390" s="388"/>
      <c r="X390" s="388"/>
      <c r="Y390" s="388"/>
      <c r="Z390" s="388"/>
      <c r="AA390" s="388"/>
      <c r="AB390" s="388"/>
      <c r="AC390" s="388"/>
    </row>
    <row r="391">
      <c r="A391" s="388"/>
      <c r="B391" s="388"/>
      <c r="C391" s="388"/>
      <c r="D391" s="388"/>
      <c r="E391" s="388"/>
      <c r="F391" s="388"/>
      <c r="G391" s="388"/>
      <c r="H391" s="388"/>
      <c r="I391" s="388"/>
      <c r="J391" s="642"/>
      <c r="K391" s="642"/>
      <c r="L391" s="642"/>
      <c r="M391" s="388"/>
      <c r="N391" s="388"/>
      <c r="O391" s="388"/>
      <c r="P391" s="388"/>
      <c r="Q391" s="388"/>
      <c r="R391" s="388"/>
      <c r="S391" s="388"/>
      <c r="T391" s="388"/>
      <c r="U391" s="388"/>
      <c r="V391" s="388"/>
      <c r="W391" s="388"/>
      <c r="X391" s="388"/>
      <c r="Y391" s="388"/>
      <c r="Z391" s="388"/>
      <c r="AA391" s="388"/>
      <c r="AB391" s="388"/>
      <c r="AC391" s="388"/>
    </row>
    <row r="392">
      <c r="A392" s="388"/>
      <c r="B392" s="388"/>
      <c r="C392" s="388"/>
      <c r="D392" s="388"/>
      <c r="E392" s="388"/>
      <c r="F392" s="388"/>
      <c r="G392" s="388"/>
      <c r="H392" s="388"/>
      <c r="I392" s="388"/>
      <c r="J392" s="642"/>
      <c r="K392" s="642"/>
      <c r="L392" s="642"/>
      <c r="M392" s="388"/>
      <c r="N392" s="388"/>
      <c r="O392" s="388"/>
      <c r="P392" s="388"/>
      <c r="Q392" s="388"/>
      <c r="R392" s="388"/>
      <c r="S392" s="388"/>
      <c r="T392" s="388"/>
      <c r="U392" s="388"/>
      <c r="V392" s="388"/>
      <c r="W392" s="388"/>
      <c r="X392" s="388"/>
      <c r="Y392" s="388"/>
      <c r="Z392" s="388"/>
      <c r="AA392" s="388"/>
      <c r="AB392" s="388"/>
      <c r="AC392" s="388"/>
    </row>
    <row r="393">
      <c r="A393" s="388"/>
      <c r="B393" s="388"/>
      <c r="C393" s="388"/>
      <c r="D393" s="388"/>
      <c r="E393" s="388"/>
      <c r="F393" s="388"/>
      <c r="G393" s="388"/>
      <c r="H393" s="388"/>
      <c r="I393" s="388"/>
      <c r="J393" s="642"/>
      <c r="K393" s="642"/>
      <c r="L393" s="642"/>
      <c r="M393" s="388"/>
      <c r="N393" s="388"/>
      <c r="O393" s="388"/>
      <c r="P393" s="388"/>
      <c r="Q393" s="388"/>
      <c r="R393" s="388"/>
      <c r="S393" s="388"/>
      <c r="T393" s="388"/>
      <c r="U393" s="388"/>
      <c r="V393" s="388"/>
      <c r="W393" s="388"/>
      <c r="X393" s="388"/>
      <c r="Y393" s="388"/>
      <c r="Z393" s="388"/>
      <c r="AA393" s="388"/>
      <c r="AB393" s="388"/>
      <c r="AC393" s="388"/>
    </row>
    <row r="394">
      <c r="A394" s="388"/>
      <c r="B394" s="388"/>
      <c r="C394" s="388"/>
      <c r="D394" s="388"/>
      <c r="E394" s="388"/>
      <c r="F394" s="388"/>
      <c r="G394" s="388"/>
      <c r="H394" s="388"/>
      <c r="I394" s="388"/>
      <c r="J394" s="642"/>
      <c r="K394" s="642"/>
      <c r="L394" s="642"/>
      <c r="M394" s="388"/>
      <c r="N394" s="388"/>
      <c r="O394" s="388"/>
      <c r="P394" s="388"/>
      <c r="Q394" s="388"/>
      <c r="R394" s="388"/>
      <c r="S394" s="388"/>
      <c r="T394" s="388"/>
      <c r="U394" s="388"/>
      <c r="V394" s="388"/>
      <c r="W394" s="388"/>
      <c r="X394" s="388"/>
      <c r="Y394" s="388"/>
      <c r="Z394" s="388"/>
      <c r="AA394" s="388"/>
      <c r="AB394" s="388"/>
      <c r="AC394" s="388"/>
    </row>
    <row r="395">
      <c r="A395" s="388"/>
      <c r="B395" s="388"/>
      <c r="C395" s="388"/>
      <c r="D395" s="388"/>
      <c r="E395" s="388"/>
      <c r="F395" s="388"/>
      <c r="G395" s="388"/>
      <c r="H395" s="388"/>
      <c r="I395" s="388"/>
      <c r="J395" s="642"/>
      <c r="K395" s="642"/>
      <c r="L395" s="642"/>
      <c r="M395" s="388"/>
      <c r="N395" s="388"/>
      <c r="O395" s="388"/>
      <c r="P395" s="388"/>
      <c r="Q395" s="388"/>
      <c r="R395" s="388"/>
      <c r="S395" s="388"/>
      <c r="T395" s="388"/>
      <c r="U395" s="388"/>
      <c r="V395" s="388"/>
      <c r="W395" s="388"/>
      <c r="X395" s="388"/>
      <c r="Y395" s="388"/>
      <c r="Z395" s="388"/>
      <c r="AA395" s="388"/>
      <c r="AB395" s="388"/>
      <c r="AC395" s="388"/>
    </row>
    <row r="396">
      <c r="A396" s="388"/>
      <c r="B396" s="388"/>
      <c r="C396" s="388"/>
      <c r="D396" s="388"/>
      <c r="E396" s="388"/>
      <c r="F396" s="388"/>
      <c r="G396" s="388"/>
      <c r="H396" s="388"/>
      <c r="I396" s="388"/>
      <c r="J396" s="642"/>
      <c r="K396" s="642"/>
      <c r="L396" s="642"/>
      <c r="M396" s="388"/>
      <c r="N396" s="388"/>
      <c r="O396" s="388"/>
      <c r="P396" s="388"/>
      <c r="Q396" s="388"/>
      <c r="R396" s="388"/>
      <c r="S396" s="388"/>
      <c r="T396" s="388"/>
      <c r="U396" s="388"/>
      <c r="V396" s="388"/>
      <c r="W396" s="388"/>
      <c r="X396" s="388"/>
      <c r="Y396" s="388"/>
      <c r="Z396" s="388"/>
      <c r="AA396" s="388"/>
      <c r="AB396" s="388"/>
      <c r="AC396" s="388"/>
    </row>
    <row r="397">
      <c r="A397" s="388"/>
      <c r="B397" s="388"/>
      <c r="C397" s="388"/>
      <c r="D397" s="388"/>
      <c r="E397" s="388"/>
      <c r="F397" s="388"/>
      <c r="G397" s="388"/>
      <c r="H397" s="388"/>
      <c r="I397" s="388"/>
      <c r="J397" s="642"/>
      <c r="K397" s="642"/>
      <c r="L397" s="642"/>
      <c r="M397" s="388"/>
      <c r="N397" s="388"/>
      <c r="O397" s="388"/>
      <c r="P397" s="388"/>
      <c r="Q397" s="388"/>
      <c r="R397" s="388"/>
      <c r="S397" s="388"/>
      <c r="T397" s="388"/>
      <c r="U397" s="388"/>
      <c r="V397" s="388"/>
      <c r="W397" s="388"/>
      <c r="X397" s="388"/>
      <c r="Y397" s="388"/>
      <c r="Z397" s="388"/>
      <c r="AA397" s="388"/>
      <c r="AB397" s="388"/>
      <c r="AC397" s="388"/>
    </row>
    <row r="398">
      <c r="A398" s="388"/>
      <c r="B398" s="388"/>
      <c r="C398" s="388"/>
      <c r="D398" s="388"/>
      <c r="E398" s="388"/>
      <c r="F398" s="388"/>
      <c r="G398" s="388"/>
      <c r="H398" s="388"/>
      <c r="I398" s="388"/>
      <c r="J398" s="642"/>
      <c r="K398" s="642"/>
      <c r="L398" s="642"/>
      <c r="M398" s="388"/>
      <c r="N398" s="388"/>
      <c r="O398" s="388"/>
      <c r="P398" s="388"/>
      <c r="Q398" s="388"/>
      <c r="R398" s="388"/>
      <c r="S398" s="388"/>
      <c r="T398" s="388"/>
      <c r="U398" s="388"/>
      <c r="V398" s="388"/>
      <c r="W398" s="388"/>
      <c r="X398" s="388"/>
      <c r="Y398" s="388"/>
      <c r="Z398" s="388"/>
      <c r="AA398" s="388"/>
      <c r="AB398" s="388"/>
      <c r="AC398" s="388"/>
    </row>
    <row r="399">
      <c r="A399" s="388"/>
      <c r="B399" s="388"/>
      <c r="C399" s="388"/>
      <c r="D399" s="388"/>
      <c r="E399" s="388"/>
      <c r="F399" s="388"/>
      <c r="G399" s="388"/>
      <c r="H399" s="388"/>
      <c r="I399" s="388"/>
      <c r="J399" s="642"/>
      <c r="K399" s="642"/>
      <c r="L399" s="642"/>
      <c r="M399" s="388"/>
      <c r="N399" s="388"/>
      <c r="O399" s="388"/>
      <c r="P399" s="388"/>
      <c r="Q399" s="388"/>
      <c r="R399" s="388"/>
      <c r="S399" s="388"/>
      <c r="T399" s="388"/>
      <c r="U399" s="388"/>
      <c r="V399" s="388"/>
      <c r="W399" s="388"/>
      <c r="X399" s="388"/>
      <c r="Y399" s="388"/>
      <c r="Z399" s="388"/>
      <c r="AA399" s="388"/>
      <c r="AB399" s="388"/>
      <c r="AC399" s="388"/>
    </row>
    <row r="400">
      <c r="A400" s="388"/>
      <c r="B400" s="388"/>
      <c r="C400" s="388"/>
      <c r="D400" s="388"/>
      <c r="E400" s="388"/>
      <c r="F400" s="388"/>
      <c r="G400" s="388"/>
      <c r="H400" s="388"/>
      <c r="I400" s="388"/>
      <c r="J400" s="642"/>
      <c r="K400" s="642"/>
      <c r="L400" s="642"/>
      <c r="M400" s="388"/>
      <c r="N400" s="388"/>
      <c r="O400" s="388"/>
      <c r="P400" s="388"/>
      <c r="Q400" s="388"/>
      <c r="R400" s="388"/>
      <c r="S400" s="388"/>
      <c r="T400" s="388"/>
      <c r="U400" s="388"/>
      <c r="V400" s="388"/>
      <c r="W400" s="388"/>
      <c r="X400" s="388"/>
      <c r="Y400" s="388"/>
      <c r="Z400" s="388"/>
      <c r="AA400" s="388"/>
      <c r="AB400" s="388"/>
      <c r="AC400" s="388"/>
    </row>
    <row r="401">
      <c r="A401" s="388"/>
      <c r="B401" s="388"/>
      <c r="C401" s="388"/>
      <c r="D401" s="388"/>
      <c r="E401" s="388"/>
      <c r="F401" s="388"/>
      <c r="G401" s="388"/>
      <c r="H401" s="388"/>
      <c r="I401" s="388"/>
      <c r="J401" s="642"/>
      <c r="K401" s="642"/>
      <c r="L401" s="642"/>
      <c r="M401" s="388"/>
      <c r="N401" s="388"/>
      <c r="O401" s="388"/>
      <c r="P401" s="388"/>
      <c r="Q401" s="388"/>
      <c r="R401" s="388"/>
      <c r="S401" s="388"/>
      <c r="T401" s="388"/>
      <c r="U401" s="388"/>
      <c r="V401" s="388"/>
      <c r="W401" s="388"/>
      <c r="X401" s="388"/>
      <c r="Y401" s="388"/>
      <c r="Z401" s="388"/>
      <c r="AA401" s="388"/>
      <c r="AB401" s="388"/>
      <c r="AC401" s="388"/>
    </row>
    <row r="402">
      <c r="A402" s="388"/>
      <c r="B402" s="388"/>
      <c r="C402" s="388"/>
      <c r="D402" s="388"/>
      <c r="E402" s="388"/>
      <c r="F402" s="388"/>
      <c r="G402" s="388"/>
      <c r="H402" s="388"/>
      <c r="I402" s="388"/>
      <c r="J402" s="642"/>
      <c r="K402" s="642"/>
      <c r="L402" s="642"/>
      <c r="M402" s="388"/>
      <c r="N402" s="388"/>
      <c r="O402" s="388"/>
      <c r="P402" s="388"/>
      <c r="Q402" s="388"/>
      <c r="R402" s="388"/>
      <c r="S402" s="388"/>
      <c r="T402" s="388"/>
      <c r="U402" s="388"/>
      <c r="V402" s="388"/>
      <c r="W402" s="388"/>
      <c r="X402" s="388"/>
      <c r="Y402" s="388"/>
      <c r="Z402" s="388"/>
      <c r="AA402" s="388"/>
      <c r="AB402" s="388"/>
      <c r="AC402" s="388"/>
    </row>
    <row r="403">
      <c r="A403" s="388"/>
      <c r="B403" s="388"/>
      <c r="C403" s="388"/>
      <c r="D403" s="388"/>
      <c r="E403" s="388"/>
      <c r="F403" s="388"/>
      <c r="G403" s="388"/>
      <c r="H403" s="388"/>
      <c r="I403" s="388"/>
      <c r="J403" s="642"/>
      <c r="K403" s="642"/>
      <c r="L403" s="642"/>
      <c r="M403" s="388"/>
      <c r="N403" s="388"/>
      <c r="O403" s="388"/>
      <c r="P403" s="388"/>
      <c r="Q403" s="388"/>
      <c r="R403" s="388"/>
      <c r="S403" s="388"/>
      <c r="T403" s="388"/>
      <c r="U403" s="388"/>
      <c r="V403" s="388"/>
      <c r="W403" s="388"/>
      <c r="X403" s="388"/>
      <c r="Y403" s="388"/>
      <c r="Z403" s="388"/>
      <c r="AA403" s="388"/>
      <c r="AB403" s="388"/>
      <c r="AC403" s="388"/>
    </row>
    <row r="404">
      <c r="A404" s="388"/>
      <c r="B404" s="388"/>
      <c r="C404" s="388"/>
      <c r="D404" s="388"/>
      <c r="E404" s="388"/>
      <c r="F404" s="388"/>
      <c r="G404" s="388"/>
      <c r="H404" s="388"/>
      <c r="I404" s="388"/>
      <c r="J404" s="642"/>
      <c r="K404" s="642"/>
      <c r="L404" s="642"/>
      <c r="M404" s="388"/>
      <c r="N404" s="388"/>
      <c r="O404" s="388"/>
      <c r="P404" s="388"/>
      <c r="Q404" s="388"/>
      <c r="R404" s="388"/>
      <c r="S404" s="388"/>
      <c r="T404" s="388"/>
      <c r="U404" s="388"/>
      <c r="V404" s="388"/>
      <c r="W404" s="388"/>
      <c r="X404" s="388"/>
      <c r="Y404" s="388"/>
      <c r="Z404" s="388"/>
      <c r="AA404" s="388"/>
      <c r="AB404" s="388"/>
      <c r="AC404" s="388"/>
    </row>
    <row r="405">
      <c r="A405" s="388"/>
      <c r="B405" s="388"/>
      <c r="C405" s="388"/>
      <c r="D405" s="388"/>
      <c r="E405" s="388"/>
      <c r="F405" s="388"/>
      <c r="G405" s="388"/>
      <c r="H405" s="388"/>
      <c r="I405" s="388"/>
      <c r="J405" s="642"/>
      <c r="K405" s="642"/>
      <c r="L405" s="642"/>
      <c r="M405" s="388"/>
      <c r="N405" s="388"/>
      <c r="O405" s="388"/>
      <c r="P405" s="388"/>
      <c r="Q405" s="388"/>
      <c r="R405" s="388"/>
      <c r="S405" s="388"/>
      <c r="T405" s="388"/>
      <c r="U405" s="388"/>
      <c r="V405" s="388"/>
      <c r="W405" s="388"/>
      <c r="X405" s="388"/>
      <c r="Y405" s="388"/>
      <c r="Z405" s="388"/>
      <c r="AA405" s="388"/>
      <c r="AB405" s="388"/>
      <c r="AC405" s="388"/>
    </row>
    <row r="406">
      <c r="A406" s="388"/>
      <c r="B406" s="388"/>
      <c r="C406" s="388"/>
      <c r="D406" s="388"/>
      <c r="E406" s="388"/>
      <c r="F406" s="388"/>
      <c r="G406" s="388"/>
      <c r="H406" s="388"/>
      <c r="I406" s="388"/>
      <c r="J406" s="642"/>
      <c r="K406" s="642"/>
      <c r="L406" s="642"/>
      <c r="M406" s="388"/>
      <c r="N406" s="388"/>
      <c r="O406" s="388"/>
      <c r="P406" s="388"/>
      <c r="Q406" s="388"/>
      <c r="R406" s="388"/>
      <c r="S406" s="388"/>
      <c r="T406" s="388"/>
      <c r="U406" s="388"/>
      <c r="V406" s="388"/>
      <c r="W406" s="388"/>
      <c r="X406" s="388"/>
      <c r="Y406" s="388"/>
      <c r="Z406" s="388"/>
      <c r="AA406" s="388"/>
      <c r="AB406" s="388"/>
      <c r="AC406" s="388"/>
    </row>
    <row r="407">
      <c r="A407" s="388"/>
      <c r="B407" s="388"/>
      <c r="C407" s="388"/>
      <c r="D407" s="388"/>
      <c r="E407" s="388"/>
      <c r="F407" s="388"/>
      <c r="G407" s="388"/>
      <c r="H407" s="388"/>
      <c r="I407" s="388"/>
      <c r="J407" s="642"/>
      <c r="K407" s="642"/>
      <c r="L407" s="642"/>
      <c r="M407" s="388"/>
      <c r="N407" s="388"/>
      <c r="O407" s="388"/>
      <c r="P407" s="388"/>
      <c r="Q407" s="388"/>
      <c r="R407" s="388"/>
      <c r="S407" s="388"/>
      <c r="T407" s="388"/>
      <c r="U407" s="388"/>
      <c r="V407" s="388"/>
      <c r="W407" s="388"/>
      <c r="X407" s="388"/>
      <c r="Y407" s="388"/>
      <c r="Z407" s="388"/>
      <c r="AA407" s="388"/>
      <c r="AB407" s="388"/>
      <c r="AC407" s="388"/>
    </row>
    <row r="408">
      <c r="A408" s="388"/>
      <c r="B408" s="388"/>
      <c r="C408" s="388"/>
      <c r="D408" s="388"/>
      <c r="E408" s="388"/>
      <c r="F408" s="388"/>
      <c r="G408" s="388"/>
      <c r="H408" s="388"/>
      <c r="I408" s="388"/>
      <c r="J408" s="642"/>
      <c r="K408" s="642"/>
      <c r="L408" s="642"/>
      <c r="M408" s="388"/>
      <c r="N408" s="388"/>
      <c r="O408" s="388"/>
      <c r="P408" s="388"/>
      <c r="Q408" s="388"/>
      <c r="R408" s="388"/>
      <c r="S408" s="388"/>
      <c r="T408" s="388"/>
      <c r="U408" s="388"/>
      <c r="V408" s="388"/>
      <c r="W408" s="388"/>
      <c r="X408" s="388"/>
      <c r="Y408" s="388"/>
      <c r="Z408" s="388"/>
      <c r="AA408" s="388"/>
      <c r="AB408" s="388"/>
      <c r="AC408" s="388"/>
    </row>
    <row r="409">
      <c r="A409" s="388"/>
      <c r="B409" s="388"/>
      <c r="C409" s="388"/>
      <c r="D409" s="388"/>
      <c r="E409" s="388"/>
      <c r="F409" s="388"/>
      <c r="G409" s="388"/>
      <c r="H409" s="388"/>
      <c r="I409" s="388"/>
      <c r="J409" s="642"/>
      <c r="K409" s="642"/>
      <c r="L409" s="642"/>
      <c r="M409" s="388"/>
      <c r="N409" s="388"/>
      <c r="O409" s="388"/>
      <c r="P409" s="388"/>
      <c r="Q409" s="388"/>
      <c r="R409" s="388"/>
      <c r="S409" s="388"/>
      <c r="T409" s="388"/>
      <c r="U409" s="388"/>
      <c r="V409" s="388"/>
      <c r="W409" s="388"/>
      <c r="X409" s="388"/>
      <c r="Y409" s="388"/>
      <c r="Z409" s="388"/>
      <c r="AA409" s="388"/>
      <c r="AB409" s="388"/>
      <c r="AC409" s="388"/>
    </row>
    <row r="410">
      <c r="A410" s="388"/>
      <c r="B410" s="388"/>
      <c r="C410" s="388"/>
      <c r="D410" s="388"/>
      <c r="E410" s="388"/>
      <c r="F410" s="388"/>
      <c r="G410" s="388"/>
      <c r="H410" s="388"/>
      <c r="I410" s="388"/>
      <c r="J410" s="642"/>
      <c r="K410" s="642"/>
      <c r="L410" s="642"/>
      <c r="M410" s="388"/>
      <c r="N410" s="388"/>
      <c r="O410" s="388"/>
      <c r="P410" s="388"/>
      <c r="Q410" s="388"/>
      <c r="R410" s="388"/>
      <c r="S410" s="388"/>
      <c r="T410" s="388"/>
      <c r="U410" s="388"/>
      <c r="V410" s="388"/>
      <c r="W410" s="388"/>
      <c r="X410" s="388"/>
      <c r="Y410" s="388"/>
      <c r="Z410" s="388"/>
      <c r="AA410" s="388"/>
      <c r="AB410" s="388"/>
      <c r="AC410" s="388"/>
    </row>
    <row r="411">
      <c r="A411" s="388"/>
      <c r="B411" s="388"/>
      <c r="C411" s="388"/>
      <c r="D411" s="388"/>
      <c r="E411" s="388"/>
      <c r="F411" s="388"/>
      <c r="G411" s="388"/>
      <c r="H411" s="388"/>
      <c r="I411" s="388"/>
      <c r="J411" s="642"/>
      <c r="K411" s="642"/>
      <c r="L411" s="642"/>
      <c r="M411" s="388"/>
      <c r="N411" s="388"/>
      <c r="O411" s="388"/>
      <c r="P411" s="388"/>
      <c r="Q411" s="388"/>
      <c r="R411" s="388"/>
      <c r="S411" s="388"/>
      <c r="T411" s="388"/>
      <c r="U411" s="388"/>
      <c r="V411" s="388"/>
      <c r="W411" s="388"/>
      <c r="X411" s="388"/>
      <c r="Y411" s="388"/>
      <c r="Z411" s="388"/>
      <c r="AA411" s="388"/>
      <c r="AB411" s="388"/>
      <c r="AC411" s="388"/>
    </row>
    <row r="412">
      <c r="A412" s="388"/>
      <c r="B412" s="388"/>
      <c r="C412" s="388"/>
      <c r="D412" s="388"/>
      <c r="E412" s="388"/>
      <c r="F412" s="388"/>
      <c r="G412" s="388"/>
      <c r="H412" s="388"/>
      <c r="I412" s="388"/>
      <c r="J412" s="642"/>
      <c r="K412" s="642"/>
      <c r="L412" s="642"/>
      <c r="M412" s="388"/>
      <c r="N412" s="388"/>
      <c r="O412" s="388"/>
      <c r="P412" s="388"/>
      <c r="Q412" s="388"/>
      <c r="R412" s="388"/>
      <c r="S412" s="388"/>
      <c r="T412" s="388"/>
      <c r="U412" s="388"/>
      <c r="V412" s="388"/>
      <c r="W412" s="388"/>
      <c r="X412" s="388"/>
      <c r="Y412" s="388"/>
      <c r="Z412" s="388"/>
      <c r="AA412" s="388"/>
      <c r="AB412" s="388"/>
      <c r="AC412" s="388"/>
    </row>
    <row r="413">
      <c r="A413" s="388"/>
      <c r="B413" s="388"/>
      <c r="C413" s="388"/>
      <c r="D413" s="388"/>
      <c r="E413" s="388"/>
      <c r="F413" s="388"/>
      <c r="G413" s="388"/>
      <c r="H413" s="388"/>
      <c r="I413" s="388"/>
      <c r="J413" s="642"/>
      <c r="K413" s="642"/>
      <c r="L413" s="642"/>
      <c r="M413" s="388"/>
      <c r="N413" s="388"/>
      <c r="O413" s="388"/>
      <c r="P413" s="388"/>
      <c r="Q413" s="388"/>
      <c r="R413" s="388"/>
      <c r="S413" s="388"/>
      <c r="T413" s="388"/>
      <c r="U413" s="388"/>
      <c r="V413" s="388"/>
      <c r="W413" s="388"/>
      <c r="X413" s="388"/>
      <c r="Y413" s="388"/>
      <c r="Z413" s="388"/>
      <c r="AA413" s="388"/>
      <c r="AB413" s="388"/>
      <c r="AC413" s="388"/>
    </row>
    <row r="414">
      <c r="A414" s="388"/>
      <c r="B414" s="388"/>
      <c r="C414" s="388"/>
      <c r="D414" s="388"/>
      <c r="E414" s="388"/>
      <c r="F414" s="388"/>
      <c r="G414" s="388"/>
      <c r="H414" s="388"/>
      <c r="I414" s="388"/>
      <c r="J414" s="642"/>
      <c r="K414" s="642"/>
      <c r="L414" s="642"/>
      <c r="M414" s="388"/>
      <c r="N414" s="388"/>
      <c r="O414" s="388"/>
      <c r="P414" s="388"/>
      <c r="Q414" s="388"/>
      <c r="R414" s="388"/>
      <c r="S414" s="388"/>
      <c r="T414" s="388"/>
      <c r="U414" s="388"/>
      <c r="V414" s="388"/>
      <c r="W414" s="388"/>
      <c r="X414" s="388"/>
      <c r="Y414" s="388"/>
      <c r="Z414" s="388"/>
      <c r="AA414" s="388"/>
      <c r="AB414" s="388"/>
      <c r="AC414" s="388"/>
    </row>
    <row r="415">
      <c r="A415" s="388"/>
      <c r="B415" s="388"/>
      <c r="C415" s="388"/>
      <c r="D415" s="388"/>
      <c r="E415" s="388"/>
      <c r="F415" s="388"/>
      <c r="G415" s="388"/>
      <c r="H415" s="388"/>
      <c r="I415" s="388"/>
      <c r="J415" s="642"/>
      <c r="K415" s="642"/>
      <c r="L415" s="642"/>
      <c r="M415" s="388"/>
      <c r="N415" s="388"/>
      <c r="O415" s="388"/>
      <c r="P415" s="388"/>
      <c r="Q415" s="388"/>
      <c r="R415" s="388"/>
      <c r="S415" s="388"/>
      <c r="T415" s="388"/>
      <c r="U415" s="388"/>
      <c r="V415" s="388"/>
      <c r="W415" s="388"/>
      <c r="X415" s="388"/>
      <c r="Y415" s="388"/>
      <c r="Z415" s="388"/>
      <c r="AA415" s="388"/>
      <c r="AB415" s="388"/>
      <c r="AC415" s="388"/>
    </row>
    <row r="416">
      <c r="A416" s="388"/>
      <c r="B416" s="388"/>
      <c r="C416" s="388"/>
      <c r="D416" s="388"/>
      <c r="E416" s="388"/>
      <c r="F416" s="388"/>
      <c r="G416" s="388"/>
      <c r="H416" s="388"/>
      <c r="I416" s="388"/>
      <c r="J416" s="642"/>
      <c r="K416" s="642"/>
      <c r="L416" s="642"/>
      <c r="M416" s="388"/>
      <c r="N416" s="388"/>
      <c r="O416" s="388"/>
      <c r="P416" s="388"/>
      <c r="Q416" s="388"/>
      <c r="R416" s="388"/>
      <c r="S416" s="388"/>
      <c r="T416" s="388"/>
      <c r="U416" s="388"/>
      <c r="V416" s="388"/>
      <c r="W416" s="388"/>
      <c r="X416" s="388"/>
      <c r="Y416" s="388"/>
      <c r="Z416" s="388"/>
      <c r="AA416" s="388"/>
      <c r="AB416" s="388"/>
      <c r="AC416" s="388"/>
    </row>
    <row r="417">
      <c r="A417" s="388"/>
      <c r="B417" s="388"/>
      <c r="C417" s="388"/>
      <c r="D417" s="388"/>
      <c r="E417" s="388"/>
      <c r="F417" s="388"/>
      <c r="G417" s="388"/>
      <c r="H417" s="388"/>
      <c r="I417" s="388"/>
      <c r="J417" s="642"/>
      <c r="K417" s="642"/>
      <c r="L417" s="642"/>
      <c r="M417" s="388"/>
      <c r="N417" s="388"/>
      <c r="O417" s="388"/>
      <c r="P417" s="388"/>
      <c r="Q417" s="388"/>
      <c r="R417" s="388"/>
      <c r="S417" s="388"/>
      <c r="T417" s="388"/>
      <c r="U417" s="388"/>
      <c r="V417" s="388"/>
      <c r="W417" s="388"/>
      <c r="X417" s="388"/>
      <c r="Y417" s="388"/>
      <c r="Z417" s="388"/>
      <c r="AA417" s="388"/>
      <c r="AB417" s="388"/>
      <c r="AC417" s="388"/>
    </row>
    <row r="418">
      <c r="A418" s="388"/>
      <c r="B418" s="388"/>
      <c r="C418" s="388"/>
      <c r="D418" s="388"/>
      <c r="E418" s="388"/>
      <c r="F418" s="388"/>
      <c r="G418" s="388"/>
      <c r="H418" s="388"/>
      <c r="I418" s="388"/>
      <c r="J418" s="642"/>
      <c r="K418" s="642"/>
      <c r="L418" s="642"/>
      <c r="M418" s="388"/>
      <c r="N418" s="388"/>
      <c r="O418" s="388"/>
      <c r="P418" s="388"/>
      <c r="Q418" s="388"/>
      <c r="R418" s="388"/>
      <c r="S418" s="388"/>
      <c r="T418" s="388"/>
      <c r="U418" s="388"/>
      <c r="V418" s="388"/>
      <c r="W418" s="388"/>
      <c r="X418" s="388"/>
      <c r="Y418" s="388"/>
      <c r="Z418" s="388"/>
      <c r="AA418" s="388"/>
      <c r="AB418" s="388"/>
      <c r="AC418" s="388"/>
    </row>
    <row r="419">
      <c r="A419" s="388"/>
      <c r="B419" s="388"/>
      <c r="C419" s="388"/>
      <c r="D419" s="388"/>
      <c r="E419" s="388"/>
      <c r="F419" s="388"/>
      <c r="G419" s="388"/>
      <c r="H419" s="388"/>
      <c r="I419" s="388"/>
      <c r="J419" s="642"/>
      <c r="K419" s="642"/>
      <c r="L419" s="642"/>
      <c r="M419" s="388"/>
      <c r="N419" s="388"/>
      <c r="O419" s="388"/>
      <c r="P419" s="388"/>
      <c r="Q419" s="388"/>
      <c r="R419" s="388"/>
      <c r="S419" s="388"/>
      <c r="T419" s="388"/>
      <c r="U419" s="388"/>
      <c r="V419" s="388"/>
      <c r="W419" s="388"/>
      <c r="X419" s="388"/>
      <c r="Y419" s="388"/>
      <c r="Z419" s="388"/>
      <c r="AA419" s="388"/>
      <c r="AB419" s="388"/>
      <c r="AC419" s="388"/>
    </row>
    <row r="420">
      <c r="A420" s="388"/>
      <c r="B420" s="388"/>
      <c r="C420" s="388"/>
      <c r="D420" s="388"/>
      <c r="E420" s="388"/>
      <c r="F420" s="388"/>
      <c r="G420" s="388"/>
      <c r="H420" s="388"/>
      <c r="I420" s="388"/>
      <c r="J420" s="642"/>
      <c r="K420" s="642"/>
      <c r="L420" s="642"/>
      <c r="M420" s="388"/>
      <c r="N420" s="388"/>
      <c r="O420" s="388"/>
      <c r="P420" s="388"/>
      <c r="Q420" s="388"/>
      <c r="R420" s="388"/>
      <c r="S420" s="388"/>
      <c r="T420" s="388"/>
      <c r="U420" s="388"/>
      <c r="V420" s="388"/>
      <c r="W420" s="388"/>
      <c r="X420" s="388"/>
      <c r="Y420" s="388"/>
      <c r="Z420" s="388"/>
      <c r="AA420" s="388"/>
      <c r="AB420" s="388"/>
      <c r="AC420" s="388"/>
    </row>
    <row r="421">
      <c r="A421" s="388"/>
      <c r="B421" s="388"/>
      <c r="C421" s="388"/>
      <c r="D421" s="388"/>
      <c r="E421" s="388"/>
      <c r="F421" s="388"/>
      <c r="G421" s="388"/>
      <c r="H421" s="388"/>
      <c r="I421" s="388"/>
      <c r="J421" s="642"/>
      <c r="K421" s="642"/>
      <c r="L421" s="642"/>
      <c r="M421" s="388"/>
      <c r="N421" s="388"/>
      <c r="O421" s="388"/>
      <c r="P421" s="388"/>
      <c r="Q421" s="388"/>
      <c r="R421" s="388"/>
      <c r="S421" s="388"/>
      <c r="T421" s="388"/>
      <c r="U421" s="388"/>
      <c r="V421" s="388"/>
      <c r="W421" s="388"/>
      <c r="X421" s="388"/>
      <c r="Y421" s="388"/>
      <c r="Z421" s="388"/>
      <c r="AA421" s="388"/>
      <c r="AB421" s="388"/>
      <c r="AC421" s="388"/>
    </row>
    <row r="422">
      <c r="A422" s="388"/>
      <c r="B422" s="388"/>
      <c r="C422" s="388"/>
      <c r="D422" s="388"/>
      <c r="E422" s="388"/>
      <c r="F422" s="388"/>
      <c r="G422" s="388"/>
      <c r="H422" s="388"/>
      <c r="I422" s="388"/>
      <c r="J422" s="642"/>
      <c r="K422" s="642"/>
      <c r="L422" s="642"/>
      <c r="M422" s="388"/>
      <c r="N422" s="388"/>
      <c r="O422" s="388"/>
      <c r="P422" s="388"/>
      <c r="Q422" s="388"/>
      <c r="R422" s="388"/>
      <c r="S422" s="388"/>
      <c r="T422" s="388"/>
      <c r="U422" s="388"/>
      <c r="V422" s="388"/>
      <c r="W422" s="388"/>
      <c r="X422" s="388"/>
      <c r="Y422" s="388"/>
      <c r="Z422" s="388"/>
      <c r="AA422" s="388"/>
      <c r="AB422" s="388"/>
      <c r="AC422" s="388"/>
    </row>
    <row r="423">
      <c r="A423" s="388"/>
      <c r="B423" s="388"/>
      <c r="C423" s="388"/>
      <c r="D423" s="388"/>
      <c r="E423" s="388"/>
      <c r="F423" s="388"/>
      <c r="G423" s="388"/>
      <c r="H423" s="388"/>
      <c r="I423" s="388"/>
      <c r="J423" s="642"/>
      <c r="K423" s="642"/>
      <c r="L423" s="642"/>
      <c r="M423" s="388"/>
      <c r="N423" s="388"/>
      <c r="O423" s="388"/>
      <c r="P423" s="388"/>
      <c r="Q423" s="388"/>
      <c r="R423" s="388"/>
      <c r="S423" s="388"/>
      <c r="T423" s="388"/>
      <c r="U423" s="388"/>
      <c r="V423" s="388"/>
      <c r="W423" s="388"/>
      <c r="X423" s="388"/>
      <c r="Y423" s="388"/>
      <c r="Z423" s="388"/>
      <c r="AA423" s="388"/>
      <c r="AB423" s="388"/>
      <c r="AC423" s="388"/>
    </row>
    <row r="424">
      <c r="A424" s="388"/>
      <c r="B424" s="388"/>
      <c r="C424" s="388"/>
      <c r="D424" s="388"/>
      <c r="E424" s="388"/>
      <c r="F424" s="388"/>
      <c r="G424" s="388"/>
      <c r="H424" s="388"/>
      <c r="I424" s="388"/>
      <c r="J424" s="642"/>
      <c r="K424" s="642"/>
      <c r="L424" s="642"/>
      <c r="M424" s="388"/>
      <c r="N424" s="388"/>
      <c r="O424" s="388"/>
      <c r="P424" s="388"/>
      <c r="Q424" s="388"/>
      <c r="R424" s="388"/>
      <c r="S424" s="388"/>
      <c r="T424" s="388"/>
      <c r="U424" s="388"/>
      <c r="V424" s="388"/>
      <c r="W424" s="388"/>
      <c r="X424" s="388"/>
      <c r="Y424" s="388"/>
      <c r="Z424" s="388"/>
      <c r="AA424" s="388"/>
      <c r="AB424" s="388"/>
      <c r="AC424" s="388"/>
    </row>
    <row r="425">
      <c r="A425" s="388"/>
      <c r="B425" s="388"/>
      <c r="C425" s="388"/>
      <c r="D425" s="388"/>
      <c r="E425" s="388"/>
      <c r="F425" s="388"/>
      <c r="G425" s="388"/>
      <c r="H425" s="388"/>
      <c r="I425" s="388"/>
      <c r="J425" s="642"/>
      <c r="K425" s="642"/>
      <c r="L425" s="642"/>
      <c r="M425" s="388"/>
      <c r="N425" s="388"/>
      <c r="O425" s="388"/>
      <c r="P425" s="388"/>
      <c r="Q425" s="388"/>
      <c r="R425" s="388"/>
      <c r="S425" s="388"/>
      <c r="T425" s="388"/>
      <c r="U425" s="388"/>
      <c r="V425" s="388"/>
      <c r="W425" s="388"/>
      <c r="X425" s="388"/>
      <c r="Y425" s="388"/>
      <c r="Z425" s="388"/>
      <c r="AA425" s="388"/>
      <c r="AB425" s="388"/>
      <c r="AC425" s="388"/>
    </row>
    <row r="426">
      <c r="A426" s="388"/>
      <c r="B426" s="388"/>
      <c r="C426" s="388"/>
      <c r="D426" s="388"/>
      <c r="E426" s="388"/>
      <c r="F426" s="388"/>
      <c r="G426" s="388"/>
      <c r="H426" s="388"/>
      <c r="I426" s="388"/>
      <c r="J426" s="642"/>
      <c r="K426" s="642"/>
      <c r="L426" s="642"/>
      <c r="M426" s="388"/>
      <c r="N426" s="388"/>
      <c r="O426" s="388"/>
      <c r="P426" s="388"/>
      <c r="Q426" s="388"/>
      <c r="R426" s="388"/>
      <c r="S426" s="388"/>
      <c r="T426" s="388"/>
      <c r="U426" s="388"/>
      <c r="V426" s="388"/>
      <c r="W426" s="388"/>
      <c r="X426" s="388"/>
      <c r="Y426" s="388"/>
      <c r="Z426" s="388"/>
      <c r="AA426" s="388"/>
      <c r="AB426" s="388"/>
      <c r="AC426" s="388"/>
    </row>
    <row r="427">
      <c r="A427" s="388"/>
      <c r="B427" s="388"/>
      <c r="C427" s="388"/>
      <c r="D427" s="388"/>
      <c r="E427" s="388"/>
      <c r="F427" s="388"/>
      <c r="G427" s="388"/>
      <c r="H427" s="388"/>
      <c r="I427" s="388"/>
      <c r="J427" s="642"/>
      <c r="K427" s="642"/>
      <c r="L427" s="642"/>
      <c r="M427" s="388"/>
      <c r="N427" s="388"/>
      <c r="O427" s="388"/>
      <c r="P427" s="388"/>
      <c r="Q427" s="388"/>
      <c r="R427" s="388"/>
      <c r="S427" s="388"/>
      <c r="T427" s="388"/>
      <c r="U427" s="388"/>
      <c r="V427" s="388"/>
      <c r="W427" s="388"/>
      <c r="X427" s="388"/>
      <c r="Y427" s="388"/>
      <c r="Z427" s="388"/>
      <c r="AA427" s="388"/>
      <c r="AB427" s="388"/>
      <c r="AC427" s="388"/>
    </row>
    <row r="428">
      <c r="A428" s="388"/>
      <c r="B428" s="388"/>
      <c r="C428" s="388"/>
      <c r="D428" s="388"/>
      <c r="E428" s="388"/>
      <c r="F428" s="388"/>
      <c r="G428" s="388"/>
      <c r="H428" s="388"/>
      <c r="I428" s="388"/>
      <c r="J428" s="642"/>
      <c r="K428" s="642"/>
      <c r="L428" s="642"/>
      <c r="M428" s="388"/>
      <c r="N428" s="388"/>
      <c r="O428" s="388"/>
      <c r="P428" s="388"/>
      <c r="Q428" s="388"/>
      <c r="R428" s="388"/>
      <c r="S428" s="388"/>
      <c r="T428" s="388"/>
      <c r="U428" s="388"/>
      <c r="V428" s="388"/>
      <c r="W428" s="388"/>
      <c r="X428" s="388"/>
      <c r="Y428" s="388"/>
      <c r="Z428" s="388"/>
      <c r="AA428" s="388"/>
      <c r="AB428" s="388"/>
      <c r="AC428" s="388"/>
    </row>
    <row r="429">
      <c r="A429" s="388"/>
      <c r="B429" s="388"/>
      <c r="C429" s="388"/>
      <c r="D429" s="388"/>
      <c r="E429" s="388"/>
      <c r="F429" s="388"/>
      <c r="G429" s="388"/>
      <c r="H429" s="388"/>
      <c r="I429" s="388"/>
      <c r="J429" s="642"/>
      <c r="K429" s="642"/>
      <c r="L429" s="642"/>
      <c r="M429" s="388"/>
      <c r="N429" s="388"/>
      <c r="O429" s="388"/>
      <c r="P429" s="388"/>
      <c r="Q429" s="388"/>
      <c r="R429" s="388"/>
      <c r="S429" s="388"/>
      <c r="T429" s="388"/>
      <c r="U429" s="388"/>
      <c r="V429" s="388"/>
      <c r="W429" s="388"/>
      <c r="X429" s="388"/>
      <c r="Y429" s="388"/>
      <c r="Z429" s="388"/>
      <c r="AA429" s="388"/>
      <c r="AB429" s="388"/>
      <c r="AC429" s="388"/>
    </row>
    <row r="430">
      <c r="A430" s="388"/>
      <c r="B430" s="388"/>
      <c r="C430" s="388"/>
      <c r="D430" s="388"/>
      <c r="E430" s="388"/>
      <c r="F430" s="388"/>
      <c r="G430" s="388"/>
      <c r="H430" s="388"/>
      <c r="I430" s="388"/>
      <c r="J430" s="642"/>
      <c r="K430" s="642"/>
      <c r="L430" s="642"/>
      <c r="M430" s="388"/>
      <c r="N430" s="388"/>
      <c r="O430" s="388"/>
      <c r="P430" s="388"/>
      <c r="Q430" s="388"/>
      <c r="R430" s="388"/>
      <c r="S430" s="388"/>
      <c r="T430" s="388"/>
      <c r="U430" s="388"/>
      <c r="V430" s="388"/>
      <c r="W430" s="388"/>
      <c r="X430" s="388"/>
      <c r="Y430" s="388"/>
      <c r="Z430" s="388"/>
      <c r="AA430" s="388"/>
      <c r="AB430" s="388"/>
      <c r="AC430" s="388"/>
    </row>
    <row r="431">
      <c r="A431" s="388"/>
      <c r="B431" s="388"/>
      <c r="C431" s="388"/>
      <c r="D431" s="388"/>
      <c r="E431" s="388"/>
      <c r="F431" s="388"/>
      <c r="G431" s="388"/>
      <c r="H431" s="388"/>
      <c r="I431" s="388"/>
      <c r="J431" s="642"/>
      <c r="K431" s="642"/>
      <c r="L431" s="642"/>
      <c r="M431" s="388"/>
      <c r="N431" s="388"/>
      <c r="O431" s="388"/>
      <c r="P431" s="388"/>
      <c r="Q431" s="388"/>
      <c r="R431" s="388"/>
      <c r="S431" s="388"/>
      <c r="T431" s="388"/>
      <c r="U431" s="388"/>
      <c r="V431" s="388"/>
      <c r="W431" s="388"/>
      <c r="X431" s="388"/>
      <c r="Y431" s="388"/>
      <c r="Z431" s="388"/>
      <c r="AA431" s="388"/>
      <c r="AB431" s="388"/>
      <c r="AC431" s="388"/>
    </row>
    <row r="432">
      <c r="A432" s="388"/>
      <c r="B432" s="388"/>
      <c r="C432" s="388"/>
      <c r="D432" s="388"/>
      <c r="E432" s="388"/>
      <c r="F432" s="388"/>
      <c r="G432" s="388"/>
      <c r="H432" s="388"/>
      <c r="I432" s="388"/>
      <c r="J432" s="642"/>
      <c r="K432" s="642"/>
      <c r="L432" s="642"/>
      <c r="M432" s="388"/>
      <c r="N432" s="388"/>
      <c r="O432" s="388"/>
      <c r="P432" s="388"/>
      <c r="Q432" s="388"/>
      <c r="R432" s="388"/>
      <c r="S432" s="388"/>
      <c r="T432" s="388"/>
      <c r="U432" s="388"/>
      <c r="V432" s="388"/>
      <c r="W432" s="388"/>
      <c r="X432" s="388"/>
      <c r="Y432" s="388"/>
      <c r="Z432" s="388"/>
      <c r="AA432" s="388"/>
      <c r="AB432" s="388"/>
      <c r="AC432" s="388"/>
    </row>
    <row r="433">
      <c r="A433" s="388"/>
      <c r="B433" s="388"/>
      <c r="C433" s="388"/>
      <c r="D433" s="388"/>
      <c r="E433" s="388"/>
      <c r="F433" s="388"/>
      <c r="G433" s="388"/>
      <c r="H433" s="388"/>
      <c r="I433" s="388"/>
      <c r="J433" s="642"/>
      <c r="K433" s="642"/>
      <c r="L433" s="642"/>
      <c r="M433" s="388"/>
      <c r="N433" s="388"/>
      <c r="O433" s="388"/>
      <c r="P433" s="388"/>
      <c r="Q433" s="388"/>
      <c r="R433" s="388"/>
      <c r="S433" s="388"/>
      <c r="T433" s="388"/>
      <c r="U433" s="388"/>
      <c r="V433" s="388"/>
      <c r="W433" s="388"/>
      <c r="X433" s="388"/>
      <c r="Y433" s="388"/>
      <c r="Z433" s="388"/>
      <c r="AA433" s="388"/>
      <c r="AB433" s="388"/>
      <c r="AC433" s="388"/>
    </row>
    <row r="434">
      <c r="A434" s="388"/>
      <c r="B434" s="388"/>
      <c r="C434" s="388"/>
      <c r="D434" s="388"/>
      <c r="E434" s="388"/>
      <c r="F434" s="388"/>
      <c r="G434" s="388"/>
      <c r="H434" s="388"/>
      <c r="I434" s="388"/>
      <c r="J434" s="642"/>
      <c r="K434" s="642"/>
      <c r="L434" s="642"/>
      <c r="M434" s="388"/>
      <c r="N434" s="388"/>
      <c r="O434" s="388"/>
      <c r="P434" s="388"/>
      <c r="Q434" s="388"/>
      <c r="R434" s="388"/>
      <c r="S434" s="388"/>
      <c r="T434" s="388"/>
      <c r="U434" s="388"/>
      <c r="V434" s="388"/>
      <c r="W434" s="388"/>
      <c r="X434" s="388"/>
      <c r="Y434" s="388"/>
      <c r="Z434" s="388"/>
      <c r="AA434" s="388"/>
      <c r="AB434" s="388"/>
      <c r="AC434" s="388"/>
    </row>
    <row r="435">
      <c r="A435" s="388"/>
      <c r="B435" s="388"/>
      <c r="C435" s="388"/>
      <c r="D435" s="388"/>
      <c r="E435" s="388"/>
      <c r="F435" s="388"/>
      <c r="G435" s="388"/>
      <c r="H435" s="388"/>
      <c r="I435" s="388"/>
      <c r="J435" s="642"/>
      <c r="K435" s="642"/>
      <c r="L435" s="642"/>
      <c r="M435" s="388"/>
      <c r="N435" s="388"/>
      <c r="O435" s="388"/>
      <c r="P435" s="388"/>
      <c r="Q435" s="388"/>
      <c r="R435" s="388"/>
      <c r="S435" s="388"/>
      <c r="T435" s="388"/>
      <c r="U435" s="388"/>
      <c r="V435" s="388"/>
      <c r="W435" s="388"/>
      <c r="X435" s="388"/>
      <c r="Y435" s="388"/>
      <c r="Z435" s="388"/>
      <c r="AA435" s="388"/>
      <c r="AB435" s="388"/>
      <c r="AC435" s="388"/>
    </row>
    <row r="436">
      <c r="A436" s="388"/>
      <c r="B436" s="388"/>
      <c r="C436" s="388"/>
      <c r="D436" s="388"/>
      <c r="E436" s="388"/>
      <c r="F436" s="388"/>
      <c r="G436" s="388"/>
      <c r="H436" s="388"/>
      <c r="I436" s="388"/>
      <c r="J436" s="642"/>
      <c r="K436" s="642"/>
      <c r="L436" s="642"/>
      <c r="M436" s="388"/>
      <c r="N436" s="388"/>
      <c r="O436" s="388"/>
      <c r="P436" s="388"/>
      <c r="Q436" s="388"/>
      <c r="R436" s="388"/>
      <c r="S436" s="388"/>
      <c r="T436" s="388"/>
      <c r="U436" s="388"/>
      <c r="V436" s="388"/>
      <c r="W436" s="388"/>
      <c r="X436" s="388"/>
      <c r="Y436" s="388"/>
      <c r="Z436" s="388"/>
      <c r="AA436" s="388"/>
      <c r="AB436" s="388"/>
      <c r="AC436" s="388"/>
    </row>
    <row r="437">
      <c r="A437" s="388"/>
      <c r="B437" s="388"/>
      <c r="C437" s="388"/>
      <c r="D437" s="388"/>
      <c r="E437" s="388"/>
      <c r="F437" s="388"/>
      <c r="G437" s="388"/>
      <c r="H437" s="388"/>
      <c r="I437" s="388"/>
      <c r="J437" s="642"/>
      <c r="K437" s="642"/>
      <c r="L437" s="642"/>
      <c r="M437" s="388"/>
      <c r="N437" s="388"/>
      <c r="O437" s="388"/>
      <c r="P437" s="388"/>
      <c r="Q437" s="388"/>
      <c r="R437" s="388"/>
      <c r="S437" s="388"/>
      <c r="T437" s="388"/>
      <c r="U437" s="388"/>
      <c r="V437" s="388"/>
      <c r="W437" s="388"/>
      <c r="X437" s="388"/>
      <c r="Y437" s="388"/>
      <c r="Z437" s="388"/>
      <c r="AA437" s="388"/>
      <c r="AB437" s="388"/>
      <c r="AC437" s="388"/>
    </row>
    <row r="438">
      <c r="A438" s="388"/>
      <c r="B438" s="388"/>
      <c r="C438" s="388"/>
      <c r="D438" s="388"/>
      <c r="E438" s="388"/>
      <c r="F438" s="388"/>
      <c r="G438" s="388"/>
      <c r="H438" s="388"/>
      <c r="I438" s="388"/>
      <c r="J438" s="642"/>
      <c r="K438" s="642"/>
      <c r="L438" s="642"/>
      <c r="M438" s="388"/>
      <c r="N438" s="388"/>
      <c r="O438" s="388"/>
      <c r="P438" s="388"/>
      <c r="Q438" s="388"/>
      <c r="R438" s="388"/>
      <c r="S438" s="388"/>
      <c r="T438" s="388"/>
      <c r="U438" s="388"/>
      <c r="V438" s="388"/>
      <c r="W438" s="388"/>
      <c r="X438" s="388"/>
      <c r="Y438" s="388"/>
      <c r="Z438" s="388"/>
      <c r="AA438" s="388"/>
      <c r="AB438" s="388"/>
      <c r="AC438" s="388"/>
    </row>
    <row r="439">
      <c r="A439" s="388"/>
      <c r="B439" s="388"/>
      <c r="C439" s="388"/>
      <c r="D439" s="388"/>
      <c r="E439" s="388"/>
      <c r="F439" s="388"/>
      <c r="G439" s="388"/>
      <c r="H439" s="388"/>
      <c r="I439" s="388"/>
      <c r="J439" s="642"/>
      <c r="K439" s="642"/>
      <c r="L439" s="642"/>
      <c r="M439" s="388"/>
      <c r="N439" s="388"/>
      <c r="O439" s="388"/>
      <c r="P439" s="388"/>
      <c r="Q439" s="388"/>
      <c r="R439" s="388"/>
      <c r="S439" s="388"/>
      <c r="T439" s="388"/>
      <c r="U439" s="388"/>
      <c r="V439" s="388"/>
      <c r="W439" s="388"/>
      <c r="X439" s="388"/>
      <c r="Y439" s="388"/>
      <c r="Z439" s="388"/>
      <c r="AA439" s="388"/>
      <c r="AB439" s="388"/>
      <c r="AC439" s="388"/>
    </row>
    <row r="440">
      <c r="A440" s="388"/>
      <c r="B440" s="388"/>
      <c r="C440" s="388"/>
      <c r="D440" s="388"/>
      <c r="E440" s="388"/>
      <c r="F440" s="388"/>
      <c r="G440" s="388"/>
      <c r="H440" s="388"/>
      <c r="I440" s="388"/>
      <c r="J440" s="642"/>
      <c r="K440" s="642"/>
      <c r="L440" s="642"/>
      <c r="M440" s="388"/>
      <c r="N440" s="388"/>
      <c r="O440" s="388"/>
      <c r="P440" s="388"/>
      <c r="Q440" s="388"/>
      <c r="R440" s="388"/>
      <c r="S440" s="388"/>
      <c r="T440" s="388"/>
      <c r="U440" s="388"/>
      <c r="V440" s="388"/>
      <c r="W440" s="388"/>
      <c r="X440" s="388"/>
      <c r="Y440" s="388"/>
      <c r="Z440" s="388"/>
      <c r="AA440" s="388"/>
      <c r="AB440" s="388"/>
      <c r="AC440" s="388"/>
    </row>
    <row r="441">
      <c r="A441" s="388"/>
      <c r="B441" s="388"/>
      <c r="C441" s="388"/>
      <c r="D441" s="388"/>
      <c r="E441" s="388"/>
      <c r="F441" s="388"/>
      <c r="G441" s="388"/>
      <c r="H441" s="388"/>
      <c r="I441" s="388"/>
      <c r="J441" s="642"/>
      <c r="K441" s="642"/>
      <c r="L441" s="642"/>
      <c r="M441" s="388"/>
      <c r="N441" s="388"/>
      <c r="O441" s="388"/>
      <c r="P441" s="388"/>
      <c r="Q441" s="388"/>
      <c r="R441" s="388"/>
      <c r="S441" s="388"/>
      <c r="T441" s="388"/>
      <c r="U441" s="388"/>
      <c r="V441" s="388"/>
      <c r="W441" s="388"/>
      <c r="X441" s="388"/>
      <c r="Y441" s="388"/>
      <c r="Z441" s="388"/>
      <c r="AA441" s="388"/>
      <c r="AB441" s="388"/>
      <c r="AC441" s="388"/>
    </row>
    <row r="442">
      <c r="A442" s="388"/>
      <c r="B442" s="388"/>
      <c r="C442" s="388"/>
      <c r="D442" s="388"/>
      <c r="E442" s="388"/>
      <c r="F442" s="388"/>
      <c r="G442" s="388"/>
      <c r="H442" s="388"/>
      <c r="I442" s="388"/>
      <c r="J442" s="642"/>
      <c r="K442" s="642"/>
      <c r="L442" s="642"/>
      <c r="M442" s="388"/>
      <c r="N442" s="388"/>
      <c r="O442" s="388"/>
      <c r="P442" s="388"/>
      <c r="Q442" s="388"/>
      <c r="R442" s="388"/>
      <c r="S442" s="388"/>
      <c r="T442" s="388"/>
      <c r="U442" s="388"/>
      <c r="V442" s="388"/>
      <c r="W442" s="388"/>
      <c r="X442" s="388"/>
      <c r="Y442" s="388"/>
      <c r="Z442" s="388"/>
      <c r="AA442" s="388"/>
      <c r="AB442" s="388"/>
      <c r="AC442" s="388"/>
    </row>
    <row r="443">
      <c r="A443" s="388"/>
      <c r="B443" s="388"/>
      <c r="C443" s="388"/>
      <c r="D443" s="388"/>
      <c r="E443" s="388"/>
      <c r="F443" s="388"/>
      <c r="G443" s="388"/>
      <c r="H443" s="388"/>
      <c r="I443" s="388"/>
      <c r="J443" s="642"/>
      <c r="K443" s="642"/>
      <c r="L443" s="642"/>
      <c r="M443" s="388"/>
      <c r="N443" s="388"/>
      <c r="O443" s="388"/>
      <c r="P443" s="388"/>
      <c r="Q443" s="388"/>
      <c r="R443" s="388"/>
      <c r="S443" s="388"/>
      <c r="T443" s="388"/>
      <c r="U443" s="388"/>
      <c r="V443" s="388"/>
      <c r="W443" s="388"/>
      <c r="X443" s="388"/>
      <c r="Y443" s="388"/>
      <c r="Z443" s="388"/>
      <c r="AA443" s="388"/>
      <c r="AB443" s="388"/>
      <c r="AC443" s="388"/>
    </row>
    <row r="444">
      <c r="A444" s="388"/>
      <c r="B444" s="388"/>
      <c r="C444" s="388"/>
      <c r="D444" s="388"/>
      <c r="E444" s="388"/>
      <c r="F444" s="388"/>
      <c r="G444" s="388"/>
      <c r="H444" s="388"/>
      <c r="I444" s="388"/>
      <c r="J444" s="642"/>
      <c r="K444" s="642"/>
      <c r="L444" s="642"/>
      <c r="M444" s="388"/>
      <c r="N444" s="388"/>
      <c r="O444" s="388"/>
      <c r="P444" s="388"/>
      <c r="Q444" s="388"/>
      <c r="R444" s="388"/>
      <c r="S444" s="388"/>
      <c r="T444" s="388"/>
      <c r="U444" s="388"/>
      <c r="V444" s="388"/>
      <c r="W444" s="388"/>
      <c r="X444" s="388"/>
      <c r="Y444" s="388"/>
      <c r="Z444" s="388"/>
      <c r="AA444" s="388"/>
      <c r="AB444" s="388"/>
      <c r="AC444" s="388"/>
    </row>
    <row r="445">
      <c r="A445" s="388"/>
      <c r="B445" s="388"/>
      <c r="C445" s="388"/>
      <c r="D445" s="388"/>
      <c r="E445" s="388"/>
      <c r="F445" s="388"/>
      <c r="G445" s="388"/>
      <c r="H445" s="388"/>
      <c r="I445" s="388"/>
      <c r="J445" s="642"/>
      <c r="K445" s="642"/>
      <c r="L445" s="642"/>
      <c r="M445" s="388"/>
      <c r="N445" s="388"/>
      <c r="O445" s="388"/>
      <c r="P445" s="388"/>
      <c r="Q445" s="388"/>
      <c r="R445" s="388"/>
      <c r="S445" s="388"/>
      <c r="T445" s="388"/>
      <c r="U445" s="388"/>
      <c r="V445" s="388"/>
      <c r="W445" s="388"/>
      <c r="X445" s="388"/>
      <c r="Y445" s="388"/>
      <c r="Z445" s="388"/>
      <c r="AA445" s="388"/>
      <c r="AB445" s="388"/>
      <c r="AC445" s="388"/>
    </row>
    <row r="446">
      <c r="A446" s="388"/>
      <c r="B446" s="388"/>
      <c r="C446" s="388"/>
      <c r="D446" s="388"/>
      <c r="E446" s="388"/>
      <c r="F446" s="388"/>
      <c r="G446" s="388"/>
      <c r="H446" s="388"/>
      <c r="I446" s="388"/>
      <c r="J446" s="642"/>
      <c r="K446" s="642"/>
      <c r="L446" s="642"/>
      <c r="M446" s="388"/>
      <c r="N446" s="388"/>
      <c r="O446" s="388"/>
      <c r="P446" s="388"/>
      <c r="Q446" s="388"/>
      <c r="R446" s="388"/>
      <c r="S446" s="388"/>
      <c r="T446" s="388"/>
      <c r="U446" s="388"/>
      <c r="V446" s="388"/>
      <c r="W446" s="388"/>
      <c r="X446" s="388"/>
      <c r="Y446" s="388"/>
      <c r="Z446" s="388"/>
      <c r="AA446" s="388"/>
      <c r="AB446" s="388"/>
      <c r="AC446" s="388"/>
    </row>
    <row r="447">
      <c r="A447" s="388"/>
      <c r="B447" s="388"/>
      <c r="C447" s="388"/>
      <c r="D447" s="388"/>
      <c r="E447" s="388"/>
      <c r="F447" s="388"/>
      <c r="G447" s="388"/>
      <c r="H447" s="388"/>
      <c r="I447" s="388"/>
      <c r="J447" s="642"/>
      <c r="K447" s="642"/>
      <c r="L447" s="642"/>
      <c r="M447" s="388"/>
      <c r="N447" s="388"/>
      <c r="O447" s="388"/>
      <c r="P447" s="388"/>
      <c r="Q447" s="388"/>
      <c r="R447" s="388"/>
      <c r="S447" s="388"/>
      <c r="T447" s="388"/>
      <c r="U447" s="388"/>
      <c r="V447" s="388"/>
      <c r="W447" s="388"/>
      <c r="X447" s="388"/>
      <c r="Y447" s="388"/>
      <c r="Z447" s="388"/>
      <c r="AA447" s="388"/>
      <c r="AB447" s="388"/>
      <c r="AC447" s="388"/>
    </row>
    <row r="448">
      <c r="A448" s="388"/>
      <c r="B448" s="388"/>
      <c r="C448" s="388"/>
      <c r="D448" s="388"/>
      <c r="E448" s="388"/>
      <c r="F448" s="388"/>
      <c r="G448" s="388"/>
      <c r="H448" s="388"/>
      <c r="I448" s="388"/>
      <c r="J448" s="642"/>
      <c r="K448" s="642"/>
      <c r="L448" s="642"/>
      <c r="M448" s="388"/>
      <c r="N448" s="388"/>
      <c r="O448" s="388"/>
      <c r="P448" s="388"/>
      <c r="Q448" s="388"/>
      <c r="R448" s="388"/>
      <c r="S448" s="388"/>
      <c r="T448" s="388"/>
      <c r="U448" s="388"/>
      <c r="V448" s="388"/>
      <c r="W448" s="388"/>
      <c r="X448" s="388"/>
      <c r="Y448" s="388"/>
      <c r="Z448" s="388"/>
      <c r="AA448" s="388"/>
      <c r="AB448" s="388"/>
      <c r="AC448" s="388"/>
    </row>
    <row r="449">
      <c r="A449" s="388"/>
      <c r="B449" s="388"/>
      <c r="C449" s="388"/>
      <c r="D449" s="388"/>
      <c r="E449" s="388"/>
      <c r="F449" s="388"/>
      <c r="G449" s="388"/>
      <c r="H449" s="388"/>
      <c r="I449" s="388"/>
      <c r="J449" s="642"/>
      <c r="K449" s="642"/>
      <c r="L449" s="642"/>
      <c r="M449" s="388"/>
      <c r="N449" s="388"/>
      <c r="O449" s="388"/>
      <c r="P449" s="388"/>
      <c r="Q449" s="388"/>
      <c r="R449" s="388"/>
      <c r="S449" s="388"/>
      <c r="T449" s="388"/>
      <c r="U449" s="388"/>
      <c r="V449" s="388"/>
      <c r="W449" s="388"/>
      <c r="X449" s="388"/>
      <c r="Y449" s="388"/>
      <c r="Z449" s="388"/>
      <c r="AA449" s="388"/>
      <c r="AB449" s="388"/>
      <c r="AC449" s="388"/>
    </row>
    <row r="450">
      <c r="A450" s="388"/>
      <c r="B450" s="388"/>
      <c r="C450" s="388"/>
      <c r="D450" s="388"/>
      <c r="E450" s="388"/>
      <c r="F450" s="388"/>
      <c r="G450" s="388"/>
      <c r="H450" s="388"/>
      <c r="I450" s="388"/>
      <c r="J450" s="642"/>
      <c r="K450" s="642"/>
      <c r="L450" s="642"/>
      <c r="M450" s="388"/>
      <c r="N450" s="388"/>
      <c r="O450" s="388"/>
      <c r="P450" s="388"/>
      <c r="Q450" s="388"/>
      <c r="R450" s="388"/>
      <c r="S450" s="388"/>
      <c r="T450" s="388"/>
      <c r="U450" s="388"/>
      <c r="V450" s="388"/>
      <c r="W450" s="388"/>
      <c r="X450" s="388"/>
      <c r="Y450" s="388"/>
      <c r="Z450" s="388"/>
      <c r="AA450" s="388"/>
      <c r="AB450" s="388"/>
      <c r="AC450" s="388"/>
    </row>
    <row r="451">
      <c r="A451" s="388"/>
      <c r="B451" s="388"/>
      <c r="C451" s="388"/>
      <c r="D451" s="388"/>
      <c r="E451" s="388"/>
      <c r="F451" s="388"/>
      <c r="G451" s="388"/>
      <c r="H451" s="388"/>
      <c r="I451" s="388"/>
      <c r="J451" s="642"/>
      <c r="K451" s="642"/>
      <c r="L451" s="642"/>
      <c r="M451" s="388"/>
      <c r="N451" s="388"/>
      <c r="O451" s="388"/>
      <c r="P451" s="388"/>
      <c r="Q451" s="388"/>
      <c r="R451" s="388"/>
      <c r="S451" s="388"/>
      <c r="T451" s="388"/>
      <c r="U451" s="388"/>
      <c r="V451" s="388"/>
      <c r="W451" s="388"/>
      <c r="X451" s="388"/>
      <c r="Y451" s="388"/>
      <c r="Z451" s="388"/>
      <c r="AA451" s="388"/>
      <c r="AB451" s="388"/>
      <c r="AC451" s="388"/>
    </row>
    <row r="452">
      <c r="A452" s="388"/>
      <c r="B452" s="388"/>
      <c r="C452" s="388"/>
      <c r="D452" s="388"/>
      <c r="E452" s="388"/>
      <c r="F452" s="388"/>
      <c r="G452" s="388"/>
      <c r="H452" s="388"/>
      <c r="I452" s="388"/>
      <c r="J452" s="642"/>
      <c r="K452" s="642"/>
      <c r="L452" s="642"/>
      <c r="M452" s="388"/>
      <c r="N452" s="388"/>
      <c r="O452" s="388"/>
      <c r="P452" s="388"/>
      <c r="Q452" s="388"/>
      <c r="R452" s="388"/>
      <c r="S452" s="388"/>
      <c r="T452" s="388"/>
      <c r="U452" s="388"/>
      <c r="V452" s="388"/>
      <c r="W452" s="388"/>
      <c r="X452" s="388"/>
      <c r="Y452" s="388"/>
      <c r="Z452" s="388"/>
      <c r="AA452" s="388"/>
      <c r="AB452" s="388"/>
      <c r="AC452" s="388"/>
    </row>
    <row r="453">
      <c r="A453" s="388"/>
      <c r="B453" s="388"/>
      <c r="C453" s="388"/>
      <c r="D453" s="388"/>
      <c r="E453" s="388"/>
      <c r="F453" s="388"/>
      <c r="G453" s="388"/>
      <c r="H453" s="388"/>
      <c r="I453" s="388"/>
      <c r="J453" s="642"/>
      <c r="K453" s="642"/>
      <c r="L453" s="642"/>
      <c r="M453" s="388"/>
      <c r="N453" s="388"/>
      <c r="O453" s="388"/>
      <c r="P453" s="388"/>
      <c r="Q453" s="388"/>
      <c r="R453" s="388"/>
      <c r="S453" s="388"/>
      <c r="T453" s="388"/>
      <c r="U453" s="388"/>
      <c r="V453" s="388"/>
      <c r="W453" s="388"/>
      <c r="X453" s="388"/>
      <c r="Y453" s="388"/>
      <c r="Z453" s="388"/>
      <c r="AA453" s="388"/>
      <c r="AB453" s="388"/>
      <c r="AC453" s="388"/>
    </row>
    <row r="454">
      <c r="A454" s="388"/>
      <c r="B454" s="388"/>
      <c r="C454" s="388"/>
      <c r="D454" s="388"/>
      <c r="E454" s="388"/>
      <c r="F454" s="388"/>
      <c r="G454" s="388"/>
      <c r="H454" s="388"/>
      <c r="I454" s="388"/>
      <c r="J454" s="642"/>
      <c r="K454" s="642"/>
      <c r="L454" s="642"/>
      <c r="M454" s="388"/>
      <c r="N454" s="388"/>
      <c r="O454" s="388"/>
      <c r="P454" s="388"/>
      <c r="Q454" s="388"/>
      <c r="R454" s="388"/>
      <c r="S454" s="388"/>
      <c r="T454" s="388"/>
      <c r="U454" s="388"/>
      <c r="V454" s="388"/>
      <c r="W454" s="388"/>
      <c r="X454" s="388"/>
      <c r="Y454" s="388"/>
      <c r="Z454" s="388"/>
      <c r="AA454" s="388"/>
      <c r="AB454" s="388"/>
      <c r="AC454" s="388"/>
    </row>
    <row r="455">
      <c r="A455" s="388"/>
      <c r="B455" s="388"/>
      <c r="C455" s="388"/>
      <c r="D455" s="388"/>
      <c r="E455" s="388"/>
      <c r="F455" s="388"/>
      <c r="G455" s="388"/>
      <c r="H455" s="388"/>
      <c r="I455" s="388"/>
      <c r="J455" s="642"/>
      <c r="K455" s="642"/>
      <c r="L455" s="642"/>
      <c r="M455" s="388"/>
      <c r="N455" s="388"/>
      <c r="O455" s="388"/>
      <c r="P455" s="388"/>
      <c r="Q455" s="388"/>
      <c r="R455" s="388"/>
      <c r="S455" s="388"/>
      <c r="T455" s="388"/>
      <c r="U455" s="388"/>
      <c r="V455" s="388"/>
      <c r="W455" s="388"/>
      <c r="X455" s="388"/>
      <c r="Y455" s="388"/>
      <c r="Z455" s="388"/>
      <c r="AA455" s="388"/>
      <c r="AB455" s="388"/>
      <c r="AC455" s="388"/>
    </row>
    <row r="456">
      <c r="A456" s="388"/>
      <c r="B456" s="388"/>
      <c r="C456" s="388"/>
      <c r="D456" s="388"/>
      <c r="E456" s="388"/>
      <c r="F456" s="388"/>
      <c r="G456" s="388"/>
      <c r="H456" s="388"/>
      <c r="I456" s="388"/>
      <c r="J456" s="642"/>
      <c r="K456" s="642"/>
      <c r="L456" s="642"/>
      <c r="M456" s="388"/>
      <c r="N456" s="388"/>
      <c r="O456" s="388"/>
      <c r="P456" s="388"/>
      <c r="Q456" s="388"/>
      <c r="R456" s="388"/>
      <c r="S456" s="388"/>
      <c r="T456" s="388"/>
      <c r="U456" s="388"/>
      <c r="V456" s="388"/>
      <c r="W456" s="388"/>
      <c r="X456" s="388"/>
      <c r="Y456" s="388"/>
      <c r="Z456" s="388"/>
      <c r="AA456" s="388"/>
      <c r="AB456" s="388"/>
      <c r="AC456" s="388"/>
    </row>
    <row r="457">
      <c r="A457" s="388"/>
      <c r="B457" s="388"/>
      <c r="C457" s="388"/>
      <c r="D457" s="388"/>
      <c r="E457" s="388"/>
      <c r="F457" s="388"/>
      <c r="G457" s="388"/>
      <c r="H457" s="388"/>
      <c r="I457" s="388"/>
      <c r="J457" s="642"/>
      <c r="K457" s="642"/>
      <c r="L457" s="642"/>
      <c r="M457" s="388"/>
      <c r="N457" s="388"/>
      <c r="O457" s="388"/>
      <c r="P457" s="388"/>
      <c r="Q457" s="388"/>
      <c r="R457" s="388"/>
      <c r="S457" s="388"/>
      <c r="T457" s="388"/>
      <c r="U457" s="388"/>
      <c r="V457" s="388"/>
      <c r="W457" s="388"/>
      <c r="X457" s="388"/>
      <c r="Y457" s="388"/>
      <c r="Z457" s="388"/>
      <c r="AA457" s="388"/>
      <c r="AB457" s="388"/>
      <c r="AC457" s="388"/>
    </row>
    <row r="458">
      <c r="A458" s="388"/>
      <c r="B458" s="388"/>
      <c r="C458" s="388"/>
      <c r="D458" s="388"/>
      <c r="E458" s="388"/>
      <c r="F458" s="388"/>
      <c r="G458" s="388"/>
      <c r="H458" s="388"/>
      <c r="I458" s="388"/>
      <c r="J458" s="642"/>
      <c r="K458" s="642"/>
      <c r="L458" s="642"/>
      <c r="M458" s="388"/>
      <c r="N458" s="388"/>
      <c r="O458" s="388"/>
      <c r="P458" s="388"/>
      <c r="Q458" s="388"/>
      <c r="R458" s="388"/>
      <c r="S458" s="388"/>
      <c r="T458" s="388"/>
      <c r="U458" s="388"/>
      <c r="V458" s="388"/>
      <c r="W458" s="388"/>
      <c r="X458" s="388"/>
      <c r="Y458" s="388"/>
      <c r="Z458" s="388"/>
      <c r="AA458" s="388"/>
      <c r="AB458" s="388"/>
      <c r="AC458" s="388"/>
    </row>
    <row r="459">
      <c r="A459" s="388"/>
      <c r="B459" s="388"/>
      <c r="C459" s="388"/>
      <c r="D459" s="388"/>
      <c r="E459" s="388"/>
      <c r="F459" s="388"/>
      <c r="G459" s="388"/>
      <c r="H459" s="388"/>
      <c r="I459" s="388"/>
      <c r="J459" s="642"/>
      <c r="K459" s="642"/>
      <c r="L459" s="642"/>
      <c r="M459" s="388"/>
      <c r="N459" s="388"/>
      <c r="O459" s="388"/>
      <c r="P459" s="388"/>
      <c r="Q459" s="388"/>
      <c r="R459" s="388"/>
      <c r="S459" s="388"/>
      <c r="T459" s="388"/>
      <c r="U459" s="388"/>
      <c r="V459" s="388"/>
      <c r="W459" s="388"/>
      <c r="X459" s="388"/>
      <c r="Y459" s="388"/>
      <c r="Z459" s="388"/>
      <c r="AA459" s="388"/>
      <c r="AB459" s="388"/>
      <c r="AC459" s="388"/>
    </row>
    <row r="460">
      <c r="A460" s="388"/>
      <c r="B460" s="388"/>
      <c r="C460" s="388"/>
      <c r="D460" s="388"/>
      <c r="E460" s="388"/>
      <c r="F460" s="388"/>
      <c r="G460" s="388"/>
      <c r="H460" s="388"/>
      <c r="I460" s="388"/>
      <c r="J460" s="642"/>
      <c r="K460" s="642"/>
      <c r="L460" s="642"/>
      <c r="M460" s="388"/>
      <c r="N460" s="388"/>
      <c r="O460" s="388"/>
      <c r="P460" s="388"/>
      <c r="Q460" s="388"/>
      <c r="R460" s="388"/>
      <c r="S460" s="388"/>
      <c r="T460" s="388"/>
      <c r="U460" s="388"/>
      <c r="V460" s="388"/>
      <c r="W460" s="388"/>
      <c r="X460" s="388"/>
      <c r="Y460" s="388"/>
      <c r="Z460" s="388"/>
      <c r="AA460" s="388"/>
      <c r="AB460" s="388"/>
      <c r="AC460" s="388"/>
    </row>
    <row r="461">
      <c r="A461" s="388"/>
      <c r="B461" s="388"/>
      <c r="C461" s="388"/>
      <c r="D461" s="388"/>
      <c r="E461" s="388"/>
      <c r="F461" s="388"/>
      <c r="G461" s="388"/>
      <c r="H461" s="388"/>
      <c r="I461" s="388"/>
      <c r="J461" s="642"/>
      <c r="K461" s="642"/>
      <c r="L461" s="642"/>
      <c r="M461" s="388"/>
      <c r="N461" s="388"/>
      <c r="O461" s="388"/>
      <c r="P461" s="388"/>
      <c r="Q461" s="388"/>
      <c r="R461" s="388"/>
      <c r="S461" s="388"/>
      <c r="T461" s="388"/>
      <c r="U461" s="388"/>
      <c r="V461" s="388"/>
      <c r="W461" s="388"/>
      <c r="X461" s="388"/>
      <c r="Y461" s="388"/>
      <c r="Z461" s="388"/>
      <c r="AA461" s="388"/>
      <c r="AB461" s="388"/>
      <c r="AC461" s="388"/>
    </row>
    <row r="462">
      <c r="A462" s="388"/>
      <c r="B462" s="388"/>
      <c r="C462" s="388"/>
      <c r="D462" s="388"/>
      <c r="E462" s="388"/>
      <c r="F462" s="388"/>
      <c r="G462" s="388"/>
      <c r="H462" s="388"/>
      <c r="I462" s="388"/>
      <c r="J462" s="642"/>
      <c r="K462" s="642"/>
      <c r="L462" s="642"/>
      <c r="M462" s="388"/>
      <c r="N462" s="388"/>
      <c r="O462" s="388"/>
      <c r="P462" s="388"/>
      <c r="Q462" s="388"/>
      <c r="R462" s="388"/>
      <c r="S462" s="388"/>
      <c r="T462" s="388"/>
      <c r="U462" s="388"/>
      <c r="V462" s="388"/>
      <c r="W462" s="388"/>
      <c r="X462" s="388"/>
      <c r="Y462" s="388"/>
      <c r="Z462" s="388"/>
      <c r="AA462" s="388"/>
      <c r="AB462" s="388"/>
      <c r="AC462" s="388"/>
    </row>
    <row r="463">
      <c r="A463" s="388"/>
      <c r="B463" s="388"/>
      <c r="C463" s="388"/>
      <c r="D463" s="388"/>
      <c r="E463" s="388"/>
      <c r="F463" s="388"/>
      <c r="G463" s="388"/>
      <c r="H463" s="388"/>
      <c r="I463" s="388"/>
      <c r="J463" s="642"/>
      <c r="K463" s="642"/>
      <c r="L463" s="642"/>
      <c r="M463" s="388"/>
      <c r="N463" s="388"/>
      <c r="O463" s="388"/>
      <c r="P463" s="388"/>
      <c r="Q463" s="388"/>
      <c r="R463" s="388"/>
      <c r="S463" s="388"/>
      <c r="T463" s="388"/>
      <c r="U463" s="388"/>
      <c r="V463" s="388"/>
      <c r="W463" s="388"/>
      <c r="X463" s="388"/>
      <c r="Y463" s="388"/>
      <c r="Z463" s="388"/>
      <c r="AA463" s="388"/>
      <c r="AB463" s="388"/>
      <c r="AC463" s="388"/>
    </row>
    <row r="464">
      <c r="A464" s="388"/>
      <c r="B464" s="388"/>
      <c r="C464" s="388"/>
      <c r="D464" s="388"/>
      <c r="E464" s="388"/>
      <c r="F464" s="388"/>
      <c r="G464" s="388"/>
      <c r="H464" s="388"/>
      <c r="I464" s="388"/>
      <c r="J464" s="642"/>
      <c r="K464" s="642"/>
      <c r="L464" s="642"/>
      <c r="M464" s="388"/>
      <c r="N464" s="388"/>
      <c r="O464" s="388"/>
      <c r="P464" s="388"/>
      <c r="Q464" s="388"/>
      <c r="R464" s="388"/>
      <c r="S464" s="388"/>
      <c r="T464" s="388"/>
      <c r="U464" s="388"/>
      <c r="V464" s="388"/>
      <c r="W464" s="388"/>
      <c r="X464" s="388"/>
      <c r="Y464" s="388"/>
      <c r="Z464" s="388"/>
      <c r="AA464" s="388"/>
      <c r="AB464" s="388"/>
      <c r="AC464" s="388"/>
    </row>
    <row r="465">
      <c r="A465" s="388"/>
      <c r="B465" s="388"/>
      <c r="C465" s="388"/>
      <c r="D465" s="388"/>
      <c r="E465" s="388"/>
      <c r="F465" s="388"/>
      <c r="G465" s="388"/>
      <c r="H465" s="388"/>
      <c r="I465" s="388"/>
      <c r="J465" s="642"/>
      <c r="K465" s="642"/>
      <c r="L465" s="642"/>
      <c r="M465" s="388"/>
      <c r="N465" s="388"/>
      <c r="O465" s="388"/>
      <c r="P465" s="388"/>
      <c r="Q465" s="388"/>
      <c r="R465" s="388"/>
      <c r="S465" s="388"/>
      <c r="T465" s="388"/>
      <c r="U465" s="388"/>
      <c r="V465" s="388"/>
      <c r="W465" s="388"/>
      <c r="X465" s="388"/>
      <c r="Y465" s="388"/>
      <c r="Z465" s="388"/>
      <c r="AA465" s="388"/>
      <c r="AB465" s="388"/>
      <c r="AC465" s="388"/>
    </row>
    <row r="466">
      <c r="A466" s="388"/>
      <c r="B466" s="388"/>
      <c r="C466" s="388"/>
      <c r="D466" s="388"/>
      <c r="E466" s="388"/>
      <c r="F466" s="388"/>
      <c r="G466" s="388"/>
      <c r="H466" s="388"/>
      <c r="I466" s="388"/>
      <c r="J466" s="642"/>
      <c r="K466" s="642"/>
      <c r="L466" s="642"/>
      <c r="M466" s="388"/>
      <c r="N466" s="388"/>
      <c r="O466" s="388"/>
      <c r="P466" s="388"/>
      <c r="Q466" s="388"/>
      <c r="R466" s="388"/>
      <c r="S466" s="388"/>
      <c r="T466" s="388"/>
      <c r="U466" s="388"/>
      <c r="V466" s="388"/>
      <c r="W466" s="388"/>
      <c r="X466" s="388"/>
      <c r="Y466" s="388"/>
      <c r="Z466" s="388"/>
      <c r="AA466" s="388"/>
      <c r="AB466" s="388"/>
      <c r="AC466" s="388"/>
    </row>
    <row r="467">
      <c r="A467" s="388"/>
      <c r="B467" s="388"/>
      <c r="C467" s="388"/>
      <c r="D467" s="388"/>
      <c r="E467" s="388"/>
      <c r="F467" s="388"/>
      <c r="G467" s="388"/>
      <c r="H467" s="388"/>
      <c r="I467" s="388"/>
      <c r="J467" s="642"/>
      <c r="K467" s="642"/>
      <c r="L467" s="642"/>
      <c r="M467" s="388"/>
      <c r="N467" s="388"/>
      <c r="O467" s="388"/>
      <c r="P467" s="388"/>
      <c r="Q467" s="388"/>
      <c r="R467" s="388"/>
      <c r="S467" s="388"/>
      <c r="T467" s="388"/>
      <c r="U467" s="388"/>
      <c r="V467" s="388"/>
      <c r="W467" s="388"/>
      <c r="X467" s="388"/>
      <c r="Y467" s="388"/>
      <c r="Z467" s="388"/>
      <c r="AA467" s="388"/>
      <c r="AB467" s="388"/>
      <c r="AC467" s="388"/>
    </row>
    <row r="468">
      <c r="A468" s="388"/>
      <c r="B468" s="388"/>
      <c r="C468" s="388"/>
      <c r="D468" s="388"/>
      <c r="E468" s="388"/>
      <c r="F468" s="388"/>
      <c r="G468" s="388"/>
      <c r="H468" s="388"/>
      <c r="I468" s="388"/>
      <c r="J468" s="642"/>
      <c r="K468" s="642"/>
      <c r="L468" s="642"/>
      <c r="M468" s="388"/>
      <c r="N468" s="388"/>
      <c r="O468" s="388"/>
      <c r="P468" s="388"/>
      <c r="Q468" s="388"/>
      <c r="R468" s="388"/>
      <c r="S468" s="388"/>
      <c r="T468" s="388"/>
      <c r="U468" s="388"/>
      <c r="V468" s="388"/>
      <c r="W468" s="388"/>
      <c r="X468" s="388"/>
      <c r="Y468" s="388"/>
      <c r="Z468" s="388"/>
      <c r="AA468" s="388"/>
      <c r="AB468" s="388"/>
      <c r="AC468" s="388"/>
    </row>
    <row r="469">
      <c r="A469" s="388"/>
      <c r="B469" s="388"/>
      <c r="C469" s="388"/>
      <c r="D469" s="388"/>
      <c r="E469" s="388"/>
      <c r="F469" s="388"/>
      <c r="G469" s="388"/>
      <c r="H469" s="388"/>
      <c r="I469" s="388"/>
      <c r="J469" s="642"/>
      <c r="K469" s="642"/>
      <c r="L469" s="642"/>
      <c r="M469" s="388"/>
      <c r="N469" s="388"/>
      <c r="O469" s="388"/>
      <c r="P469" s="388"/>
      <c r="Q469" s="388"/>
      <c r="R469" s="388"/>
      <c r="S469" s="388"/>
      <c r="T469" s="388"/>
      <c r="U469" s="388"/>
      <c r="V469" s="388"/>
      <c r="W469" s="388"/>
      <c r="X469" s="388"/>
      <c r="Y469" s="388"/>
      <c r="Z469" s="388"/>
      <c r="AA469" s="388"/>
      <c r="AB469" s="388"/>
      <c r="AC469" s="388"/>
    </row>
    <row r="470">
      <c r="A470" s="388"/>
      <c r="B470" s="388"/>
      <c r="C470" s="388"/>
      <c r="D470" s="388"/>
      <c r="E470" s="388"/>
      <c r="F470" s="388"/>
      <c r="G470" s="388"/>
      <c r="H470" s="388"/>
      <c r="I470" s="388"/>
      <c r="J470" s="642"/>
      <c r="K470" s="642"/>
      <c r="L470" s="642"/>
      <c r="M470" s="388"/>
      <c r="N470" s="388"/>
      <c r="O470" s="388"/>
      <c r="P470" s="388"/>
      <c r="Q470" s="388"/>
      <c r="R470" s="388"/>
      <c r="S470" s="388"/>
      <c r="T470" s="388"/>
      <c r="U470" s="388"/>
      <c r="V470" s="388"/>
      <c r="W470" s="388"/>
      <c r="X470" s="388"/>
      <c r="Y470" s="388"/>
      <c r="Z470" s="388"/>
      <c r="AA470" s="388"/>
      <c r="AB470" s="388"/>
      <c r="AC470" s="388"/>
    </row>
    <row r="471">
      <c r="A471" s="388"/>
      <c r="B471" s="388"/>
      <c r="C471" s="388"/>
      <c r="D471" s="388"/>
      <c r="E471" s="388"/>
      <c r="F471" s="388"/>
      <c r="G471" s="388"/>
      <c r="H471" s="388"/>
      <c r="I471" s="388"/>
      <c r="J471" s="642"/>
      <c r="K471" s="642"/>
      <c r="L471" s="642"/>
      <c r="M471" s="388"/>
      <c r="N471" s="388"/>
      <c r="O471" s="388"/>
      <c r="P471" s="388"/>
      <c r="Q471" s="388"/>
      <c r="R471" s="388"/>
      <c r="S471" s="388"/>
      <c r="T471" s="388"/>
      <c r="U471" s="388"/>
      <c r="V471" s="388"/>
      <c r="W471" s="388"/>
      <c r="X471" s="388"/>
      <c r="Y471" s="388"/>
      <c r="Z471" s="388"/>
      <c r="AA471" s="388"/>
      <c r="AB471" s="388"/>
      <c r="AC471" s="388"/>
    </row>
    <row r="472">
      <c r="A472" s="388"/>
      <c r="B472" s="388"/>
      <c r="C472" s="388"/>
      <c r="D472" s="388"/>
      <c r="E472" s="388"/>
      <c r="F472" s="388"/>
      <c r="G472" s="388"/>
      <c r="H472" s="388"/>
      <c r="I472" s="388"/>
      <c r="J472" s="642"/>
      <c r="K472" s="642"/>
      <c r="L472" s="642"/>
      <c r="M472" s="388"/>
      <c r="N472" s="388"/>
      <c r="O472" s="388"/>
      <c r="P472" s="388"/>
      <c r="Q472" s="388"/>
      <c r="R472" s="388"/>
      <c r="S472" s="388"/>
      <c r="T472" s="388"/>
      <c r="U472" s="388"/>
      <c r="V472" s="388"/>
      <c r="W472" s="388"/>
      <c r="X472" s="388"/>
      <c r="Y472" s="388"/>
      <c r="Z472" s="388"/>
      <c r="AA472" s="388"/>
      <c r="AB472" s="388"/>
      <c r="AC472" s="388"/>
    </row>
    <row r="473">
      <c r="A473" s="388"/>
      <c r="B473" s="388"/>
      <c r="C473" s="388"/>
      <c r="D473" s="388"/>
      <c r="E473" s="388"/>
      <c r="F473" s="388"/>
      <c r="G473" s="388"/>
      <c r="H473" s="388"/>
      <c r="I473" s="388"/>
      <c r="J473" s="642"/>
      <c r="K473" s="642"/>
      <c r="L473" s="642"/>
      <c r="M473" s="388"/>
      <c r="N473" s="388"/>
      <c r="O473" s="388"/>
      <c r="P473" s="388"/>
      <c r="Q473" s="388"/>
      <c r="R473" s="388"/>
      <c r="S473" s="388"/>
      <c r="T473" s="388"/>
      <c r="U473" s="388"/>
      <c r="V473" s="388"/>
      <c r="W473" s="388"/>
      <c r="X473" s="388"/>
      <c r="Y473" s="388"/>
      <c r="Z473" s="388"/>
      <c r="AA473" s="388"/>
      <c r="AB473" s="388"/>
      <c r="AC473" s="388"/>
    </row>
    <row r="474">
      <c r="A474" s="388"/>
      <c r="B474" s="388"/>
      <c r="C474" s="388"/>
      <c r="D474" s="388"/>
      <c r="E474" s="388"/>
      <c r="F474" s="388"/>
      <c r="G474" s="388"/>
      <c r="H474" s="388"/>
      <c r="I474" s="388"/>
      <c r="J474" s="642"/>
      <c r="K474" s="642"/>
      <c r="L474" s="642"/>
      <c r="M474" s="388"/>
      <c r="N474" s="388"/>
      <c r="O474" s="388"/>
      <c r="P474" s="388"/>
      <c r="Q474" s="388"/>
      <c r="R474" s="388"/>
      <c r="S474" s="388"/>
      <c r="T474" s="388"/>
      <c r="U474" s="388"/>
      <c r="V474" s="388"/>
      <c r="W474" s="388"/>
      <c r="X474" s="388"/>
      <c r="Y474" s="388"/>
      <c r="Z474" s="388"/>
      <c r="AA474" s="388"/>
      <c r="AB474" s="388"/>
      <c r="AC474" s="388"/>
    </row>
    <row r="475">
      <c r="A475" s="388"/>
      <c r="B475" s="388"/>
      <c r="C475" s="388"/>
      <c r="D475" s="388"/>
      <c r="E475" s="388"/>
      <c r="F475" s="388"/>
      <c r="G475" s="388"/>
      <c r="H475" s="388"/>
      <c r="I475" s="388"/>
      <c r="J475" s="642"/>
      <c r="K475" s="642"/>
      <c r="L475" s="642"/>
      <c r="M475" s="388"/>
      <c r="N475" s="388"/>
      <c r="O475" s="388"/>
      <c r="P475" s="388"/>
      <c r="Q475" s="388"/>
      <c r="R475" s="388"/>
      <c r="S475" s="388"/>
      <c r="T475" s="388"/>
      <c r="U475" s="388"/>
      <c r="V475" s="388"/>
      <c r="W475" s="388"/>
      <c r="X475" s="388"/>
      <c r="Y475" s="388"/>
      <c r="Z475" s="388"/>
      <c r="AA475" s="388"/>
      <c r="AB475" s="388"/>
      <c r="AC475" s="388"/>
    </row>
    <row r="476">
      <c r="A476" s="388"/>
      <c r="B476" s="388"/>
      <c r="C476" s="388"/>
      <c r="D476" s="388"/>
      <c r="E476" s="388"/>
      <c r="F476" s="388"/>
      <c r="G476" s="388"/>
      <c r="H476" s="388"/>
      <c r="I476" s="388"/>
      <c r="J476" s="642"/>
      <c r="K476" s="642"/>
      <c r="L476" s="642"/>
      <c r="M476" s="388"/>
      <c r="N476" s="388"/>
      <c r="O476" s="388"/>
      <c r="P476" s="388"/>
      <c r="Q476" s="388"/>
      <c r="R476" s="388"/>
      <c r="S476" s="388"/>
      <c r="T476" s="388"/>
      <c r="U476" s="388"/>
      <c r="V476" s="388"/>
      <c r="W476" s="388"/>
      <c r="X476" s="388"/>
      <c r="Y476" s="388"/>
      <c r="Z476" s="388"/>
      <c r="AA476" s="388"/>
      <c r="AB476" s="388"/>
      <c r="AC476" s="388"/>
    </row>
    <row r="477">
      <c r="A477" s="388"/>
      <c r="B477" s="388"/>
      <c r="C477" s="388"/>
      <c r="D477" s="388"/>
      <c r="E477" s="388"/>
      <c r="F477" s="388"/>
      <c r="G477" s="388"/>
      <c r="H477" s="388"/>
      <c r="I477" s="388"/>
      <c r="J477" s="642"/>
      <c r="K477" s="642"/>
      <c r="L477" s="642"/>
      <c r="M477" s="388"/>
      <c r="N477" s="388"/>
      <c r="O477" s="388"/>
      <c r="P477" s="388"/>
      <c r="Q477" s="388"/>
      <c r="R477" s="388"/>
      <c r="S477" s="388"/>
      <c r="T477" s="388"/>
      <c r="U477" s="388"/>
      <c r="V477" s="388"/>
      <c r="W477" s="388"/>
      <c r="X477" s="388"/>
      <c r="Y477" s="388"/>
      <c r="Z477" s="388"/>
      <c r="AA477" s="388"/>
      <c r="AB477" s="388"/>
      <c r="AC477" s="388"/>
    </row>
    <row r="478">
      <c r="A478" s="388"/>
      <c r="B478" s="388"/>
      <c r="C478" s="388"/>
      <c r="D478" s="388"/>
      <c r="E478" s="388"/>
      <c r="F478" s="388"/>
      <c r="G478" s="388"/>
      <c r="H478" s="388"/>
      <c r="I478" s="388"/>
      <c r="J478" s="642"/>
      <c r="K478" s="642"/>
      <c r="L478" s="642"/>
      <c r="M478" s="388"/>
      <c r="N478" s="388"/>
      <c r="O478" s="388"/>
      <c r="P478" s="388"/>
      <c r="Q478" s="388"/>
      <c r="R478" s="388"/>
      <c r="S478" s="388"/>
      <c r="T478" s="388"/>
      <c r="U478" s="388"/>
      <c r="V478" s="388"/>
      <c r="W478" s="388"/>
      <c r="X478" s="388"/>
      <c r="Y478" s="388"/>
      <c r="Z478" s="388"/>
      <c r="AA478" s="388"/>
      <c r="AB478" s="388"/>
      <c r="AC478" s="388"/>
    </row>
    <row r="479">
      <c r="A479" s="388"/>
      <c r="B479" s="388"/>
      <c r="C479" s="388"/>
      <c r="D479" s="388"/>
      <c r="E479" s="388"/>
      <c r="F479" s="388"/>
      <c r="G479" s="388"/>
      <c r="H479" s="388"/>
      <c r="I479" s="388"/>
      <c r="J479" s="642"/>
      <c r="K479" s="642"/>
      <c r="L479" s="642"/>
      <c r="M479" s="388"/>
      <c r="N479" s="388"/>
      <c r="O479" s="388"/>
      <c r="P479" s="388"/>
      <c r="Q479" s="388"/>
      <c r="R479" s="388"/>
      <c r="S479" s="388"/>
      <c r="T479" s="388"/>
      <c r="U479" s="388"/>
      <c r="V479" s="388"/>
      <c r="W479" s="388"/>
      <c r="X479" s="388"/>
      <c r="Y479" s="388"/>
      <c r="Z479" s="388"/>
      <c r="AA479" s="388"/>
      <c r="AB479" s="388"/>
      <c r="AC479" s="388"/>
    </row>
    <row r="480">
      <c r="A480" s="388"/>
      <c r="B480" s="388"/>
      <c r="C480" s="388"/>
      <c r="D480" s="388"/>
      <c r="E480" s="388"/>
      <c r="F480" s="388"/>
      <c r="G480" s="388"/>
      <c r="H480" s="388"/>
      <c r="I480" s="388"/>
      <c r="J480" s="642"/>
      <c r="K480" s="642"/>
      <c r="L480" s="642"/>
      <c r="M480" s="388"/>
      <c r="N480" s="388"/>
      <c r="O480" s="388"/>
      <c r="P480" s="388"/>
      <c r="Q480" s="388"/>
      <c r="R480" s="388"/>
      <c r="S480" s="388"/>
      <c r="T480" s="388"/>
      <c r="U480" s="388"/>
      <c r="V480" s="388"/>
      <c r="W480" s="388"/>
      <c r="X480" s="388"/>
      <c r="Y480" s="388"/>
      <c r="Z480" s="388"/>
      <c r="AA480" s="388"/>
      <c r="AB480" s="388"/>
      <c r="AC480" s="388"/>
    </row>
    <row r="481">
      <c r="A481" s="388"/>
      <c r="B481" s="388"/>
      <c r="C481" s="388"/>
      <c r="D481" s="388"/>
      <c r="E481" s="388"/>
      <c r="F481" s="388"/>
      <c r="G481" s="388"/>
      <c r="H481" s="388"/>
      <c r="I481" s="388"/>
      <c r="J481" s="642"/>
      <c r="K481" s="642"/>
      <c r="L481" s="642"/>
      <c r="M481" s="388"/>
      <c r="N481" s="388"/>
      <c r="O481" s="388"/>
      <c r="P481" s="388"/>
      <c r="Q481" s="388"/>
      <c r="R481" s="388"/>
      <c r="S481" s="388"/>
      <c r="T481" s="388"/>
      <c r="U481" s="388"/>
      <c r="V481" s="388"/>
      <c r="W481" s="388"/>
      <c r="X481" s="388"/>
      <c r="Y481" s="388"/>
      <c r="Z481" s="388"/>
      <c r="AA481" s="388"/>
      <c r="AB481" s="388"/>
      <c r="AC481" s="388"/>
    </row>
    <row r="482">
      <c r="A482" s="388"/>
      <c r="B482" s="388"/>
      <c r="C482" s="388"/>
      <c r="D482" s="388"/>
      <c r="E482" s="388"/>
      <c r="F482" s="388"/>
      <c r="G482" s="388"/>
      <c r="H482" s="388"/>
      <c r="I482" s="388"/>
      <c r="J482" s="642"/>
      <c r="K482" s="642"/>
      <c r="L482" s="642"/>
      <c r="M482" s="388"/>
      <c r="N482" s="388"/>
      <c r="O482" s="388"/>
      <c r="P482" s="388"/>
      <c r="Q482" s="388"/>
      <c r="R482" s="388"/>
      <c r="S482" s="388"/>
      <c r="T482" s="388"/>
      <c r="U482" s="388"/>
      <c r="V482" s="388"/>
      <c r="W482" s="388"/>
      <c r="X482" s="388"/>
      <c r="Y482" s="388"/>
      <c r="Z482" s="388"/>
      <c r="AA482" s="388"/>
      <c r="AB482" s="388"/>
      <c r="AC482" s="388"/>
    </row>
    <row r="483">
      <c r="A483" s="388"/>
      <c r="B483" s="388"/>
      <c r="C483" s="388"/>
      <c r="D483" s="388"/>
      <c r="E483" s="388"/>
      <c r="F483" s="388"/>
      <c r="G483" s="388"/>
      <c r="H483" s="388"/>
      <c r="I483" s="388"/>
      <c r="J483" s="642"/>
      <c r="K483" s="642"/>
      <c r="L483" s="642"/>
      <c r="M483" s="388"/>
      <c r="N483" s="388"/>
      <c r="O483" s="388"/>
      <c r="P483" s="388"/>
      <c r="Q483" s="388"/>
      <c r="R483" s="388"/>
      <c r="S483" s="388"/>
      <c r="T483" s="388"/>
      <c r="U483" s="388"/>
      <c r="V483" s="388"/>
      <c r="W483" s="388"/>
      <c r="X483" s="388"/>
      <c r="Y483" s="388"/>
      <c r="Z483" s="388"/>
      <c r="AA483" s="388"/>
      <c r="AB483" s="388"/>
      <c r="AC483" s="388"/>
    </row>
    <row r="484">
      <c r="A484" s="388"/>
      <c r="B484" s="388"/>
      <c r="C484" s="388"/>
      <c r="D484" s="388"/>
      <c r="E484" s="388"/>
      <c r="F484" s="388"/>
      <c r="G484" s="388"/>
      <c r="H484" s="388"/>
      <c r="I484" s="388"/>
      <c r="J484" s="642"/>
      <c r="K484" s="642"/>
      <c r="L484" s="642"/>
      <c r="M484" s="388"/>
      <c r="N484" s="388"/>
      <c r="O484" s="388"/>
      <c r="P484" s="388"/>
      <c r="Q484" s="388"/>
      <c r="R484" s="388"/>
      <c r="S484" s="388"/>
      <c r="T484" s="388"/>
      <c r="U484" s="388"/>
      <c r="V484" s="388"/>
      <c r="W484" s="388"/>
      <c r="X484" s="388"/>
      <c r="Y484" s="388"/>
      <c r="Z484" s="388"/>
      <c r="AA484" s="388"/>
      <c r="AB484" s="388"/>
      <c r="AC484" s="388"/>
    </row>
    <row r="485">
      <c r="A485" s="388"/>
      <c r="B485" s="388"/>
      <c r="C485" s="388"/>
      <c r="D485" s="388"/>
      <c r="E485" s="388"/>
      <c r="F485" s="388"/>
      <c r="G485" s="388"/>
      <c r="H485" s="388"/>
      <c r="I485" s="388"/>
      <c r="J485" s="642"/>
      <c r="K485" s="642"/>
      <c r="L485" s="642"/>
      <c r="M485" s="388"/>
      <c r="N485" s="388"/>
      <c r="O485" s="388"/>
      <c r="P485" s="388"/>
      <c r="Q485" s="388"/>
      <c r="R485" s="388"/>
      <c r="S485" s="388"/>
      <c r="T485" s="388"/>
      <c r="U485" s="388"/>
      <c r="V485" s="388"/>
      <c r="W485" s="388"/>
      <c r="X485" s="388"/>
      <c r="Y485" s="388"/>
      <c r="Z485" s="388"/>
      <c r="AA485" s="388"/>
      <c r="AB485" s="388"/>
      <c r="AC485" s="388"/>
    </row>
    <row r="486">
      <c r="A486" s="388"/>
      <c r="B486" s="388"/>
      <c r="C486" s="388"/>
      <c r="D486" s="388"/>
      <c r="E486" s="388"/>
      <c r="F486" s="388"/>
      <c r="G486" s="388"/>
      <c r="H486" s="388"/>
      <c r="I486" s="388"/>
      <c r="J486" s="642"/>
      <c r="K486" s="642"/>
      <c r="L486" s="642"/>
      <c r="M486" s="388"/>
      <c r="N486" s="388"/>
      <c r="O486" s="388"/>
      <c r="P486" s="388"/>
      <c r="Q486" s="388"/>
      <c r="R486" s="388"/>
      <c r="S486" s="388"/>
      <c r="T486" s="388"/>
      <c r="U486" s="388"/>
      <c r="V486" s="388"/>
      <c r="W486" s="388"/>
      <c r="X486" s="388"/>
      <c r="Y486" s="388"/>
      <c r="Z486" s="388"/>
      <c r="AA486" s="388"/>
      <c r="AB486" s="388"/>
      <c r="AC486" s="388"/>
    </row>
    <row r="487">
      <c r="A487" s="388"/>
      <c r="B487" s="388"/>
      <c r="C487" s="388"/>
      <c r="D487" s="388"/>
      <c r="E487" s="388"/>
      <c r="F487" s="388"/>
      <c r="G487" s="388"/>
      <c r="H487" s="388"/>
      <c r="I487" s="388"/>
      <c r="J487" s="642"/>
      <c r="K487" s="642"/>
      <c r="L487" s="642"/>
      <c r="M487" s="388"/>
      <c r="N487" s="388"/>
      <c r="O487" s="388"/>
      <c r="P487" s="388"/>
      <c r="Q487" s="388"/>
      <c r="R487" s="388"/>
      <c r="S487" s="388"/>
      <c r="T487" s="388"/>
      <c r="U487" s="388"/>
      <c r="V487" s="388"/>
      <c r="W487" s="388"/>
      <c r="X487" s="388"/>
      <c r="Y487" s="388"/>
      <c r="Z487" s="388"/>
      <c r="AA487" s="388"/>
      <c r="AB487" s="388"/>
      <c r="AC487" s="388"/>
    </row>
    <row r="488">
      <c r="A488" s="388"/>
      <c r="B488" s="388"/>
      <c r="C488" s="388"/>
      <c r="D488" s="388"/>
      <c r="E488" s="388"/>
      <c r="F488" s="388"/>
      <c r="G488" s="388"/>
      <c r="H488" s="388"/>
      <c r="I488" s="388"/>
      <c r="J488" s="642"/>
      <c r="K488" s="642"/>
      <c r="L488" s="642"/>
      <c r="M488" s="388"/>
      <c r="N488" s="388"/>
      <c r="O488" s="388"/>
      <c r="P488" s="388"/>
      <c r="Q488" s="388"/>
      <c r="R488" s="388"/>
      <c r="S488" s="388"/>
      <c r="T488" s="388"/>
      <c r="U488" s="388"/>
      <c r="V488" s="388"/>
      <c r="W488" s="388"/>
      <c r="X488" s="388"/>
      <c r="Y488" s="388"/>
      <c r="Z488" s="388"/>
      <c r="AA488" s="388"/>
      <c r="AB488" s="388"/>
      <c r="AC488" s="388"/>
    </row>
    <row r="489">
      <c r="A489" s="388"/>
      <c r="B489" s="388"/>
      <c r="C489" s="388"/>
      <c r="D489" s="388"/>
      <c r="E489" s="388"/>
      <c r="F489" s="388"/>
      <c r="G489" s="388"/>
      <c r="H489" s="388"/>
      <c r="I489" s="388"/>
      <c r="J489" s="642"/>
      <c r="K489" s="642"/>
      <c r="L489" s="642"/>
      <c r="M489" s="388"/>
      <c r="N489" s="388"/>
      <c r="O489" s="388"/>
      <c r="P489" s="388"/>
      <c r="Q489" s="388"/>
      <c r="R489" s="388"/>
      <c r="S489" s="388"/>
      <c r="T489" s="388"/>
      <c r="U489" s="388"/>
      <c r="V489" s="388"/>
      <c r="W489" s="388"/>
      <c r="X489" s="388"/>
      <c r="Y489" s="388"/>
      <c r="Z489" s="388"/>
      <c r="AA489" s="388"/>
      <c r="AB489" s="388"/>
      <c r="AC489" s="388"/>
    </row>
    <row r="490">
      <c r="A490" s="388"/>
      <c r="B490" s="388"/>
      <c r="C490" s="388"/>
      <c r="D490" s="388"/>
      <c r="E490" s="388"/>
      <c r="F490" s="388"/>
      <c r="G490" s="388"/>
      <c r="H490" s="388"/>
      <c r="I490" s="388"/>
      <c r="J490" s="642"/>
      <c r="K490" s="642"/>
      <c r="L490" s="642"/>
      <c r="M490" s="388"/>
      <c r="N490" s="388"/>
      <c r="O490" s="388"/>
      <c r="P490" s="388"/>
      <c r="Q490" s="388"/>
      <c r="R490" s="388"/>
      <c r="S490" s="388"/>
      <c r="T490" s="388"/>
      <c r="U490" s="388"/>
      <c r="V490" s="388"/>
      <c r="W490" s="388"/>
      <c r="X490" s="388"/>
      <c r="Y490" s="388"/>
      <c r="Z490" s="388"/>
      <c r="AA490" s="388"/>
      <c r="AB490" s="388"/>
      <c r="AC490" s="388"/>
    </row>
    <row r="491">
      <c r="A491" s="388"/>
      <c r="B491" s="388"/>
      <c r="C491" s="388"/>
      <c r="D491" s="388"/>
      <c r="E491" s="388"/>
      <c r="F491" s="388"/>
      <c r="G491" s="388"/>
      <c r="H491" s="388"/>
      <c r="I491" s="388"/>
      <c r="J491" s="642"/>
      <c r="K491" s="642"/>
      <c r="L491" s="642"/>
      <c r="M491" s="388"/>
      <c r="N491" s="388"/>
      <c r="O491" s="388"/>
      <c r="P491" s="388"/>
      <c r="Q491" s="388"/>
      <c r="R491" s="388"/>
      <c r="S491" s="388"/>
      <c r="T491" s="388"/>
      <c r="U491" s="388"/>
      <c r="V491" s="388"/>
      <c r="W491" s="388"/>
      <c r="X491" s="388"/>
      <c r="Y491" s="388"/>
      <c r="Z491" s="388"/>
      <c r="AA491" s="388"/>
      <c r="AB491" s="388"/>
      <c r="AC491" s="388"/>
    </row>
    <row r="492">
      <c r="A492" s="388"/>
      <c r="B492" s="388"/>
      <c r="C492" s="388"/>
      <c r="D492" s="388"/>
      <c r="E492" s="388"/>
      <c r="F492" s="388"/>
      <c r="G492" s="388"/>
      <c r="H492" s="388"/>
      <c r="I492" s="388"/>
      <c r="J492" s="642"/>
      <c r="K492" s="642"/>
      <c r="L492" s="642"/>
      <c r="M492" s="388"/>
      <c r="N492" s="388"/>
      <c r="O492" s="388"/>
      <c r="P492" s="388"/>
      <c r="Q492" s="388"/>
      <c r="R492" s="388"/>
      <c r="S492" s="388"/>
      <c r="T492" s="388"/>
      <c r="U492" s="388"/>
      <c r="V492" s="388"/>
      <c r="W492" s="388"/>
      <c r="X492" s="388"/>
      <c r="Y492" s="388"/>
      <c r="Z492" s="388"/>
      <c r="AA492" s="388"/>
      <c r="AB492" s="388"/>
      <c r="AC492" s="388"/>
    </row>
    <row r="493">
      <c r="A493" s="388"/>
      <c r="B493" s="388"/>
      <c r="C493" s="388"/>
      <c r="D493" s="388"/>
      <c r="E493" s="388"/>
      <c r="F493" s="388"/>
      <c r="G493" s="388"/>
      <c r="H493" s="388"/>
      <c r="I493" s="388"/>
      <c r="J493" s="642"/>
      <c r="K493" s="642"/>
      <c r="L493" s="642"/>
      <c r="M493" s="388"/>
      <c r="N493" s="388"/>
      <c r="O493" s="388"/>
      <c r="P493" s="388"/>
      <c r="Q493" s="388"/>
      <c r="R493" s="388"/>
      <c r="S493" s="388"/>
      <c r="T493" s="388"/>
      <c r="U493" s="388"/>
      <c r="V493" s="388"/>
      <c r="W493" s="388"/>
      <c r="X493" s="388"/>
      <c r="Y493" s="388"/>
      <c r="Z493" s="388"/>
      <c r="AA493" s="388"/>
      <c r="AB493" s="388"/>
      <c r="AC493" s="388"/>
    </row>
    <row r="494">
      <c r="A494" s="388"/>
      <c r="B494" s="388"/>
      <c r="C494" s="388"/>
      <c r="D494" s="388"/>
      <c r="E494" s="388"/>
      <c r="F494" s="388"/>
      <c r="G494" s="388"/>
      <c r="H494" s="388"/>
      <c r="I494" s="388"/>
      <c r="J494" s="642"/>
      <c r="K494" s="642"/>
      <c r="L494" s="642"/>
      <c r="M494" s="388"/>
      <c r="N494" s="388"/>
      <c r="O494" s="388"/>
      <c r="P494" s="388"/>
      <c r="Q494" s="388"/>
      <c r="R494" s="388"/>
      <c r="S494" s="388"/>
      <c r="T494" s="388"/>
      <c r="U494" s="388"/>
      <c r="V494" s="388"/>
      <c r="W494" s="388"/>
      <c r="X494" s="388"/>
      <c r="Y494" s="388"/>
      <c r="Z494" s="388"/>
      <c r="AA494" s="388"/>
      <c r="AB494" s="388"/>
      <c r="AC494" s="388"/>
    </row>
    <row r="495">
      <c r="A495" s="388"/>
      <c r="B495" s="388"/>
      <c r="C495" s="388"/>
      <c r="D495" s="388"/>
      <c r="E495" s="388"/>
      <c r="F495" s="388"/>
      <c r="G495" s="388"/>
      <c r="H495" s="388"/>
      <c r="I495" s="388"/>
      <c r="J495" s="642"/>
      <c r="K495" s="642"/>
      <c r="L495" s="642"/>
      <c r="M495" s="388"/>
      <c r="N495" s="388"/>
      <c r="O495" s="388"/>
      <c r="P495" s="388"/>
      <c r="Q495" s="388"/>
      <c r="R495" s="388"/>
      <c r="S495" s="388"/>
      <c r="T495" s="388"/>
      <c r="U495" s="388"/>
      <c r="V495" s="388"/>
      <c r="W495" s="388"/>
      <c r="X495" s="388"/>
      <c r="Y495" s="388"/>
      <c r="Z495" s="388"/>
      <c r="AA495" s="388"/>
      <c r="AB495" s="388"/>
      <c r="AC495" s="388"/>
    </row>
    <row r="496">
      <c r="A496" s="388"/>
      <c r="B496" s="388"/>
      <c r="C496" s="388"/>
      <c r="D496" s="388"/>
      <c r="E496" s="388"/>
      <c r="F496" s="388"/>
      <c r="G496" s="388"/>
      <c r="H496" s="388"/>
      <c r="I496" s="388"/>
      <c r="J496" s="642"/>
      <c r="K496" s="642"/>
      <c r="L496" s="642"/>
      <c r="M496" s="388"/>
      <c r="N496" s="388"/>
      <c r="O496" s="388"/>
      <c r="P496" s="388"/>
      <c r="Q496" s="388"/>
      <c r="R496" s="388"/>
      <c r="S496" s="388"/>
      <c r="T496" s="388"/>
      <c r="U496" s="388"/>
      <c r="V496" s="388"/>
      <c r="W496" s="388"/>
      <c r="X496" s="388"/>
      <c r="Y496" s="388"/>
      <c r="Z496" s="388"/>
      <c r="AA496" s="388"/>
      <c r="AB496" s="388"/>
      <c r="AC496" s="388"/>
    </row>
    <row r="497">
      <c r="A497" s="388"/>
      <c r="B497" s="388"/>
      <c r="C497" s="388"/>
      <c r="D497" s="388"/>
      <c r="E497" s="388"/>
      <c r="F497" s="388"/>
      <c r="G497" s="388"/>
      <c r="H497" s="388"/>
      <c r="I497" s="388"/>
      <c r="J497" s="642"/>
      <c r="K497" s="642"/>
      <c r="L497" s="642"/>
      <c r="M497" s="388"/>
      <c r="N497" s="388"/>
      <c r="O497" s="388"/>
      <c r="P497" s="388"/>
      <c r="Q497" s="388"/>
      <c r="R497" s="388"/>
      <c r="S497" s="388"/>
      <c r="T497" s="388"/>
      <c r="U497" s="388"/>
      <c r="V497" s="388"/>
      <c r="W497" s="388"/>
      <c r="X497" s="388"/>
      <c r="Y497" s="388"/>
      <c r="Z497" s="388"/>
      <c r="AA497" s="388"/>
      <c r="AB497" s="388"/>
      <c r="AC497" s="388"/>
    </row>
    <row r="498">
      <c r="A498" s="388"/>
      <c r="B498" s="388"/>
      <c r="C498" s="388"/>
      <c r="D498" s="388"/>
      <c r="E498" s="388"/>
      <c r="F498" s="388"/>
      <c r="G498" s="388"/>
      <c r="H498" s="388"/>
      <c r="I498" s="388"/>
      <c r="J498" s="642"/>
      <c r="K498" s="642"/>
      <c r="L498" s="642"/>
      <c r="M498" s="388"/>
      <c r="N498" s="388"/>
      <c r="O498" s="388"/>
      <c r="P498" s="388"/>
      <c r="Q498" s="388"/>
      <c r="R498" s="388"/>
      <c r="S498" s="388"/>
      <c r="T498" s="388"/>
      <c r="U498" s="388"/>
      <c r="V498" s="388"/>
      <c r="W498" s="388"/>
      <c r="X498" s="388"/>
      <c r="Y498" s="388"/>
      <c r="Z498" s="388"/>
      <c r="AA498" s="388"/>
      <c r="AB498" s="388"/>
      <c r="AC498" s="388"/>
    </row>
    <row r="499">
      <c r="A499" s="388"/>
      <c r="B499" s="388"/>
      <c r="C499" s="388"/>
      <c r="D499" s="388"/>
      <c r="E499" s="388"/>
      <c r="F499" s="388"/>
      <c r="G499" s="388"/>
      <c r="H499" s="388"/>
      <c r="I499" s="388"/>
      <c r="J499" s="642"/>
      <c r="K499" s="642"/>
      <c r="L499" s="642"/>
      <c r="M499" s="388"/>
      <c r="N499" s="388"/>
      <c r="O499" s="388"/>
      <c r="P499" s="388"/>
      <c r="Q499" s="388"/>
      <c r="R499" s="388"/>
      <c r="S499" s="388"/>
      <c r="T499" s="388"/>
      <c r="U499" s="388"/>
      <c r="V499" s="388"/>
      <c r="W499" s="388"/>
      <c r="X499" s="388"/>
      <c r="Y499" s="388"/>
      <c r="Z499" s="388"/>
      <c r="AA499" s="388"/>
      <c r="AB499" s="388"/>
      <c r="AC499" s="388"/>
    </row>
    <row r="500">
      <c r="A500" s="388"/>
      <c r="B500" s="388"/>
      <c r="C500" s="388"/>
      <c r="D500" s="388"/>
      <c r="E500" s="388"/>
      <c r="F500" s="388"/>
      <c r="G500" s="388"/>
      <c r="H500" s="388"/>
      <c r="I500" s="388"/>
      <c r="J500" s="642"/>
      <c r="K500" s="642"/>
      <c r="L500" s="642"/>
      <c r="M500" s="388"/>
      <c r="N500" s="388"/>
      <c r="O500" s="388"/>
      <c r="P500" s="388"/>
      <c r="Q500" s="388"/>
      <c r="R500" s="388"/>
      <c r="S500" s="388"/>
      <c r="T500" s="388"/>
      <c r="U500" s="388"/>
      <c r="V500" s="388"/>
      <c r="W500" s="388"/>
      <c r="X500" s="388"/>
      <c r="Y500" s="388"/>
      <c r="Z500" s="388"/>
      <c r="AA500" s="388"/>
      <c r="AB500" s="388"/>
      <c r="AC500" s="388"/>
    </row>
    <row r="501">
      <c r="A501" s="388"/>
      <c r="B501" s="388"/>
      <c r="C501" s="388"/>
      <c r="D501" s="388"/>
      <c r="E501" s="388"/>
      <c r="F501" s="388"/>
      <c r="G501" s="388"/>
      <c r="H501" s="388"/>
      <c r="I501" s="388"/>
      <c r="J501" s="642"/>
      <c r="K501" s="642"/>
      <c r="L501" s="642"/>
      <c r="M501" s="388"/>
      <c r="N501" s="388"/>
      <c r="O501" s="388"/>
      <c r="P501" s="388"/>
      <c r="Q501" s="388"/>
      <c r="R501" s="388"/>
      <c r="S501" s="388"/>
      <c r="T501" s="388"/>
      <c r="U501" s="388"/>
      <c r="V501" s="388"/>
      <c r="W501" s="388"/>
      <c r="X501" s="388"/>
      <c r="Y501" s="388"/>
      <c r="Z501" s="388"/>
      <c r="AA501" s="388"/>
      <c r="AB501" s="388"/>
      <c r="AC501" s="388"/>
    </row>
    <row r="502">
      <c r="A502" s="388"/>
      <c r="B502" s="388"/>
      <c r="C502" s="388"/>
      <c r="D502" s="388"/>
      <c r="E502" s="388"/>
      <c r="F502" s="388"/>
      <c r="G502" s="388"/>
      <c r="H502" s="388"/>
      <c r="I502" s="388"/>
      <c r="J502" s="642"/>
      <c r="K502" s="642"/>
      <c r="L502" s="642"/>
      <c r="M502" s="388"/>
      <c r="N502" s="388"/>
      <c r="O502" s="388"/>
      <c r="P502" s="388"/>
      <c r="Q502" s="388"/>
      <c r="R502" s="388"/>
      <c r="S502" s="388"/>
      <c r="T502" s="388"/>
      <c r="U502" s="388"/>
      <c r="V502" s="388"/>
      <c r="W502" s="388"/>
      <c r="X502" s="388"/>
      <c r="Y502" s="388"/>
      <c r="Z502" s="388"/>
      <c r="AA502" s="388"/>
      <c r="AB502" s="388"/>
      <c r="AC502" s="388"/>
    </row>
    <row r="503">
      <c r="A503" s="388"/>
      <c r="B503" s="388"/>
      <c r="C503" s="388"/>
      <c r="D503" s="388"/>
      <c r="E503" s="388"/>
      <c r="F503" s="388"/>
      <c r="G503" s="388"/>
      <c r="H503" s="388"/>
      <c r="I503" s="388"/>
      <c r="J503" s="642"/>
      <c r="K503" s="642"/>
      <c r="L503" s="642"/>
      <c r="M503" s="388"/>
      <c r="N503" s="388"/>
      <c r="O503" s="388"/>
      <c r="P503" s="388"/>
      <c r="Q503" s="388"/>
      <c r="R503" s="388"/>
      <c r="S503" s="388"/>
      <c r="T503" s="388"/>
      <c r="U503" s="388"/>
      <c r="V503" s="388"/>
      <c r="W503" s="388"/>
      <c r="X503" s="388"/>
      <c r="Y503" s="388"/>
      <c r="Z503" s="388"/>
      <c r="AA503" s="388"/>
      <c r="AB503" s="388"/>
      <c r="AC503" s="388"/>
    </row>
    <row r="504">
      <c r="A504" s="388"/>
      <c r="B504" s="388"/>
      <c r="C504" s="388"/>
      <c r="D504" s="388"/>
      <c r="E504" s="388"/>
      <c r="F504" s="388"/>
      <c r="G504" s="388"/>
      <c r="H504" s="388"/>
      <c r="I504" s="388"/>
      <c r="J504" s="642"/>
      <c r="K504" s="642"/>
      <c r="L504" s="642"/>
      <c r="M504" s="388"/>
      <c r="N504" s="388"/>
      <c r="O504" s="388"/>
      <c r="P504" s="388"/>
      <c r="Q504" s="388"/>
      <c r="R504" s="388"/>
      <c r="S504" s="388"/>
      <c r="T504" s="388"/>
      <c r="U504" s="388"/>
      <c r="V504" s="388"/>
      <c r="W504" s="388"/>
      <c r="X504" s="388"/>
      <c r="Y504" s="388"/>
      <c r="Z504" s="388"/>
      <c r="AA504" s="388"/>
      <c r="AB504" s="388"/>
      <c r="AC504" s="388"/>
    </row>
    <row r="505">
      <c r="A505" s="388"/>
      <c r="B505" s="388"/>
      <c r="C505" s="388"/>
      <c r="D505" s="388"/>
      <c r="E505" s="388"/>
      <c r="F505" s="388"/>
      <c r="G505" s="388"/>
      <c r="H505" s="388"/>
      <c r="I505" s="388"/>
      <c r="J505" s="642"/>
      <c r="K505" s="642"/>
      <c r="L505" s="642"/>
      <c r="M505" s="388"/>
      <c r="N505" s="388"/>
      <c r="O505" s="388"/>
      <c r="P505" s="388"/>
      <c r="Q505" s="388"/>
      <c r="R505" s="388"/>
      <c r="S505" s="388"/>
      <c r="T505" s="388"/>
      <c r="U505" s="388"/>
      <c r="V505" s="388"/>
      <c r="W505" s="388"/>
      <c r="X505" s="388"/>
      <c r="Y505" s="388"/>
      <c r="Z505" s="388"/>
      <c r="AA505" s="388"/>
      <c r="AB505" s="388"/>
      <c r="AC505" s="388"/>
    </row>
    <row r="506">
      <c r="A506" s="388"/>
      <c r="B506" s="388"/>
      <c r="C506" s="388"/>
      <c r="D506" s="388"/>
      <c r="E506" s="388"/>
      <c r="F506" s="388"/>
      <c r="G506" s="388"/>
      <c r="H506" s="388"/>
      <c r="I506" s="388"/>
      <c r="J506" s="642"/>
      <c r="K506" s="642"/>
      <c r="L506" s="642"/>
      <c r="M506" s="388"/>
      <c r="N506" s="388"/>
      <c r="O506" s="388"/>
      <c r="P506" s="388"/>
      <c r="Q506" s="388"/>
      <c r="R506" s="388"/>
      <c r="S506" s="388"/>
      <c r="T506" s="388"/>
      <c r="U506" s="388"/>
      <c r="V506" s="388"/>
      <c r="W506" s="388"/>
      <c r="X506" s="388"/>
      <c r="Y506" s="388"/>
      <c r="Z506" s="388"/>
      <c r="AA506" s="388"/>
      <c r="AB506" s="388"/>
      <c r="AC506" s="388"/>
    </row>
    <row r="507">
      <c r="A507" s="388"/>
      <c r="B507" s="388"/>
      <c r="C507" s="388"/>
      <c r="D507" s="388"/>
      <c r="E507" s="388"/>
      <c r="F507" s="388"/>
      <c r="G507" s="388"/>
      <c r="H507" s="388"/>
      <c r="I507" s="388"/>
      <c r="J507" s="642"/>
      <c r="K507" s="642"/>
      <c r="L507" s="642"/>
      <c r="M507" s="388"/>
      <c r="N507" s="388"/>
      <c r="O507" s="388"/>
      <c r="P507" s="388"/>
      <c r="Q507" s="388"/>
      <c r="R507" s="388"/>
      <c r="S507" s="388"/>
      <c r="T507" s="388"/>
      <c r="U507" s="388"/>
      <c r="V507" s="388"/>
      <c r="W507" s="388"/>
      <c r="X507" s="388"/>
      <c r="Y507" s="388"/>
      <c r="Z507" s="388"/>
      <c r="AA507" s="388"/>
      <c r="AB507" s="388"/>
      <c r="AC507" s="388"/>
    </row>
    <row r="508">
      <c r="A508" s="388"/>
      <c r="B508" s="388"/>
      <c r="C508" s="388"/>
      <c r="D508" s="388"/>
      <c r="E508" s="388"/>
      <c r="F508" s="388"/>
      <c r="G508" s="388"/>
      <c r="H508" s="388"/>
      <c r="I508" s="388"/>
      <c r="J508" s="642"/>
      <c r="K508" s="642"/>
      <c r="L508" s="642"/>
      <c r="M508" s="388"/>
      <c r="N508" s="388"/>
      <c r="O508" s="388"/>
      <c r="P508" s="388"/>
      <c r="Q508" s="388"/>
      <c r="R508" s="388"/>
      <c r="S508" s="388"/>
      <c r="T508" s="388"/>
      <c r="U508" s="388"/>
      <c r="V508" s="388"/>
      <c r="W508" s="388"/>
      <c r="X508" s="388"/>
      <c r="Y508" s="388"/>
      <c r="Z508" s="388"/>
      <c r="AA508" s="388"/>
      <c r="AB508" s="388"/>
      <c r="AC508" s="388"/>
    </row>
    <row r="509">
      <c r="A509" s="388"/>
      <c r="B509" s="388"/>
      <c r="C509" s="388"/>
      <c r="D509" s="388"/>
      <c r="E509" s="388"/>
      <c r="F509" s="388"/>
      <c r="G509" s="388"/>
      <c r="H509" s="388"/>
      <c r="I509" s="388"/>
      <c r="J509" s="642"/>
      <c r="K509" s="642"/>
      <c r="L509" s="642"/>
      <c r="M509" s="388"/>
      <c r="N509" s="388"/>
      <c r="O509" s="388"/>
      <c r="P509" s="388"/>
      <c r="Q509" s="388"/>
      <c r="R509" s="388"/>
      <c r="S509" s="388"/>
      <c r="T509" s="388"/>
      <c r="U509" s="388"/>
      <c r="V509" s="388"/>
      <c r="W509" s="388"/>
      <c r="X509" s="388"/>
      <c r="Y509" s="388"/>
      <c r="Z509" s="388"/>
      <c r="AA509" s="388"/>
      <c r="AB509" s="388"/>
      <c r="AC509" s="388"/>
    </row>
    <row r="510">
      <c r="A510" s="388"/>
      <c r="B510" s="388"/>
      <c r="C510" s="388"/>
      <c r="D510" s="388"/>
      <c r="E510" s="388"/>
      <c r="F510" s="388"/>
      <c r="G510" s="388"/>
      <c r="H510" s="388"/>
      <c r="I510" s="388"/>
      <c r="J510" s="642"/>
      <c r="K510" s="642"/>
      <c r="L510" s="642"/>
      <c r="M510" s="388"/>
      <c r="N510" s="388"/>
      <c r="O510" s="388"/>
      <c r="P510" s="388"/>
      <c r="Q510" s="388"/>
      <c r="R510" s="388"/>
      <c r="S510" s="388"/>
      <c r="T510" s="388"/>
      <c r="U510" s="388"/>
      <c r="V510" s="388"/>
      <c r="W510" s="388"/>
      <c r="X510" s="388"/>
      <c r="Y510" s="388"/>
      <c r="Z510" s="388"/>
      <c r="AA510" s="388"/>
      <c r="AB510" s="388"/>
      <c r="AC510" s="388"/>
    </row>
    <row r="511">
      <c r="A511" s="388"/>
      <c r="B511" s="388"/>
      <c r="C511" s="388"/>
      <c r="D511" s="388"/>
      <c r="E511" s="388"/>
      <c r="F511" s="388"/>
      <c r="G511" s="388"/>
      <c r="H511" s="388"/>
      <c r="I511" s="388"/>
      <c r="J511" s="642"/>
      <c r="K511" s="642"/>
      <c r="L511" s="642"/>
      <c r="M511" s="388"/>
      <c r="N511" s="388"/>
      <c r="O511" s="388"/>
      <c r="P511" s="388"/>
      <c r="Q511" s="388"/>
      <c r="R511" s="388"/>
      <c r="S511" s="388"/>
      <c r="T511" s="388"/>
      <c r="U511" s="388"/>
      <c r="V511" s="388"/>
      <c r="W511" s="388"/>
      <c r="X511" s="388"/>
      <c r="Y511" s="388"/>
      <c r="Z511" s="388"/>
      <c r="AA511" s="388"/>
      <c r="AB511" s="388"/>
      <c r="AC511" s="388"/>
    </row>
    <row r="512">
      <c r="A512" s="388"/>
      <c r="B512" s="388"/>
      <c r="C512" s="388"/>
      <c r="D512" s="388"/>
      <c r="E512" s="388"/>
      <c r="F512" s="388"/>
      <c r="G512" s="388"/>
      <c r="H512" s="388"/>
      <c r="I512" s="388"/>
      <c r="J512" s="642"/>
      <c r="K512" s="642"/>
      <c r="L512" s="642"/>
      <c r="M512" s="388"/>
      <c r="N512" s="388"/>
      <c r="O512" s="388"/>
      <c r="P512" s="388"/>
      <c r="Q512" s="388"/>
      <c r="R512" s="388"/>
      <c r="S512" s="388"/>
      <c r="T512" s="388"/>
      <c r="U512" s="388"/>
      <c r="V512" s="388"/>
      <c r="W512" s="388"/>
      <c r="X512" s="388"/>
      <c r="Y512" s="388"/>
      <c r="Z512" s="388"/>
      <c r="AA512" s="388"/>
      <c r="AB512" s="388"/>
      <c r="AC512" s="388"/>
    </row>
    <row r="513">
      <c r="A513" s="388"/>
      <c r="B513" s="388"/>
      <c r="C513" s="388"/>
      <c r="D513" s="388"/>
      <c r="E513" s="388"/>
      <c r="F513" s="388"/>
      <c r="G513" s="388"/>
      <c r="H513" s="388"/>
      <c r="I513" s="388"/>
      <c r="J513" s="642"/>
      <c r="K513" s="642"/>
      <c r="L513" s="642"/>
      <c r="M513" s="388"/>
      <c r="N513" s="388"/>
      <c r="O513" s="388"/>
      <c r="P513" s="388"/>
      <c r="Q513" s="388"/>
      <c r="R513" s="388"/>
      <c r="S513" s="388"/>
      <c r="T513" s="388"/>
      <c r="U513" s="388"/>
      <c r="V513" s="388"/>
      <c r="W513" s="388"/>
      <c r="X513" s="388"/>
      <c r="Y513" s="388"/>
      <c r="Z513" s="388"/>
      <c r="AA513" s="388"/>
      <c r="AB513" s="388"/>
      <c r="AC513" s="388"/>
    </row>
    <row r="514">
      <c r="A514" s="388"/>
      <c r="B514" s="388"/>
      <c r="C514" s="388"/>
      <c r="D514" s="388"/>
      <c r="E514" s="388"/>
      <c r="F514" s="388"/>
      <c r="G514" s="388"/>
      <c r="H514" s="388"/>
      <c r="I514" s="388"/>
      <c r="J514" s="642"/>
      <c r="K514" s="642"/>
      <c r="L514" s="642"/>
      <c r="M514" s="388"/>
      <c r="N514" s="388"/>
      <c r="O514" s="388"/>
      <c r="P514" s="388"/>
      <c r="Q514" s="388"/>
      <c r="R514" s="388"/>
      <c r="S514" s="388"/>
      <c r="T514" s="388"/>
      <c r="U514" s="388"/>
      <c r="V514" s="388"/>
      <c r="W514" s="388"/>
      <c r="X514" s="388"/>
      <c r="Y514" s="388"/>
      <c r="Z514" s="388"/>
      <c r="AA514" s="388"/>
      <c r="AB514" s="388"/>
      <c r="AC514" s="388"/>
    </row>
    <row r="515">
      <c r="A515" s="388"/>
      <c r="B515" s="388"/>
      <c r="C515" s="388"/>
      <c r="D515" s="388"/>
      <c r="E515" s="388"/>
      <c r="F515" s="388"/>
      <c r="G515" s="388"/>
      <c r="H515" s="388"/>
      <c r="I515" s="388"/>
      <c r="J515" s="642"/>
      <c r="K515" s="642"/>
      <c r="L515" s="642"/>
      <c r="M515" s="388"/>
      <c r="N515" s="388"/>
      <c r="O515" s="388"/>
      <c r="P515" s="388"/>
      <c r="Q515" s="388"/>
      <c r="R515" s="388"/>
      <c r="S515" s="388"/>
      <c r="T515" s="388"/>
      <c r="U515" s="388"/>
      <c r="V515" s="388"/>
      <c r="W515" s="388"/>
      <c r="X515" s="388"/>
      <c r="Y515" s="388"/>
      <c r="Z515" s="388"/>
      <c r="AA515" s="388"/>
      <c r="AB515" s="388"/>
      <c r="AC515" s="388"/>
    </row>
    <row r="516">
      <c r="A516" s="388"/>
      <c r="B516" s="388"/>
      <c r="C516" s="388"/>
      <c r="D516" s="388"/>
      <c r="E516" s="388"/>
      <c r="F516" s="388"/>
      <c r="G516" s="388"/>
      <c r="H516" s="388"/>
      <c r="I516" s="388"/>
      <c r="J516" s="642"/>
      <c r="K516" s="642"/>
      <c r="L516" s="642"/>
      <c r="M516" s="388"/>
      <c r="N516" s="388"/>
      <c r="O516" s="388"/>
      <c r="P516" s="388"/>
      <c r="Q516" s="388"/>
      <c r="R516" s="388"/>
      <c r="S516" s="388"/>
      <c r="T516" s="388"/>
      <c r="U516" s="388"/>
      <c r="V516" s="388"/>
      <c r="W516" s="388"/>
      <c r="X516" s="388"/>
      <c r="Y516" s="388"/>
      <c r="Z516" s="388"/>
      <c r="AA516" s="388"/>
      <c r="AB516" s="388"/>
      <c r="AC516" s="388"/>
    </row>
    <row r="517">
      <c r="A517" s="388"/>
      <c r="B517" s="388"/>
      <c r="C517" s="388"/>
      <c r="D517" s="388"/>
      <c r="E517" s="388"/>
      <c r="F517" s="388"/>
      <c r="G517" s="388"/>
      <c r="H517" s="388"/>
      <c r="I517" s="388"/>
      <c r="J517" s="642"/>
      <c r="K517" s="642"/>
      <c r="L517" s="642"/>
      <c r="M517" s="388"/>
      <c r="N517" s="388"/>
      <c r="O517" s="388"/>
      <c r="P517" s="388"/>
      <c r="Q517" s="388"/>
      <c r="R517" s="388"/>
      <c r="S517" s="388"/>
      <c r="T517" s="388"/>
      <c r="U517" s="388"/>
      <c r="V517" s="388"/>
      <c r="W517" s="388"/>
      <c r="X517" s="388"/>
      <c r="Y517" s="388"/>
      <c r="Z517" s="388"/>
      <c r="AA517" s="388"/>
      <c r="AB517" s="388"/>
      <c r="AC517" s="388"/>
    </row>
    <row r="518">
      <c r="A518" s="388"/>
      <c r="B518" s="388"/>
      <c r="C518" s="388"/>
      <c r="D518" s="388"/>
      <c r="E518" s="388"/>
      <c r="F518" s="388"/>
      <c r="G518" s="388"/>
      <c r="H518" s="388"/>
      <c r="I518" s="388"/>
      <c r="J518" s="642"/>
      <c r="K518" s="642"/>
      <c r="L518" s="642"/>
      <c r="M518" s="388"/>
      <c r="N518" s="388"/>
      <c r="O518" s="388"/>
      <c r="P518" s="388"/>
      <c r="Q518" s="388"/>
      <c r="R518" s="388"/>
      <c r="S518" s="388"/>
      <c r="T518" s="388"/>
      <c r="U518" s="388"/>
      <c r="V518" s="388"/>
      <c r="W518" s="388"/>
      <c r="X518" s="388"/>
      <c r="Y518" s="388"/>
      <c r="Z518" s="388"/>
      <c r="AA518" s="388"/>
      <c r="AB518" s="388"/>
      <c r="AC518" s="388"/>
    </row>
    <row r="519">
      <c r="A519" s="388"/>
      <c r="B519" s="388"/>
      <c r="C519" s="388"/>
      <c r="D519" s="388"/>
      <c r="E519" s="388"/>
      <c r="F519" s="388"/>
      <c r="G519" s="388"/>
      <c r="H519" s="388"/>
      <c r="I519" s="388"/>
      <c r="J519" s="642"/>
      <c r="K519" s="642"/>
      <c r="L519" s="642"/>
      <c r="M519" s="388"/>
      <c r="N519" s="388"/>
      <c r="O519" s="388"/>
      <c r="P519" s="388"/>
      <c r="Q519" s="388"/>
      <c r="R519" s="388"/>
      <c r="S519" s="388"/>
      <c r="T519" s="388"/>
      <c r="U519" s="388"/>
      <c r="V519" s="388"/>
      <c r="W519" s="388"/>
      <c r="X519" s="388"/>
      <c r="Y519" s="388"/>
      <c r="Z519" s="388"/>
      <c r="AA519" s="388"/>
      <c r="AB519" s="388"/>
      <c r="AC519" s="388"/>
    </row>
    <row r="520">
      <c r="A520" s="388"/>
      <c r="B520" s="388"/>
      <c r="C520" s="388"/>
      <c r="D520" s="388"/>
      <c r="E520" s="388"/>
      <c r="F520" s="388"/>
      <c r="G520" s="388"/>
      <c r="H520" s="388"/>
      <c r="I520" s="388"/>
      <c r="J520" s="642"/>
      <c r="K520" s="642"/>
      <c r="L520" s="642"/>
      <c r="M520" s="388"/>
      <c r="N520" s="388"/>
      <c r="O520" s="388"/>
      <c r="P520" s="388"/>
      <c r="Q520" s="388"/>
      <c r="R520" s="388"/>
      <c r="S520" s="388"/>
      <c r="T520" s="388"/>
      <c r="U520" s="388"/>
      <c r="V520" s="388"/>
      <c r="W520" s="388"/>
      <c r="X520" s="388"/>
      <c r="Y520" s="388"/>
      <c r="Z520" s="388"/>
      <c r="AA520" s="388"/>
      <c r="AB520" s="388"/>
      <c r="AC520" s="388"/>
    </row>
    <row r="521">
      <c r="A521" s="388"/>
      <c r="B521" s="388"/>
      <c r="C521" s="388"/>
      <c r="D521" s="388"/>
      <c r="E521" s="388"/>
      <c r="F521" s="388"/>
      <c r="G521" s="388"/>
      <c r="H521" s="388"/>
      <c r="I521" s="388"/>
      <c r="J521" s="642"/>
      <c r="K521" s="642"/>
      <c r="L521" s="642"/>
      <c r="M521" s="388"/>
      <c r="N521" s="388"/>
      <c r="O521" s="388"/>
      <c r="P521" s="388"/>
      <c r="Q521" s="388"/>
      <c r="R521" s="388"/>
      <c r="S521" s="388"/>
      <c r="T521" s="388"/>
      <c r="U521" s="388"/>
      <c r="V521" s="388"/>
      <c r="W521" s="388"/>
      <c r="X521" s="388"/>
      <c r="Y521" s="388"/>
      <c r="Z521" s="388"/>
      <c r="AA521" s="388"/>
      <c r="AB521" s="388"/>
      <c r="AC521" s="388"/>
    </row>
    <row r="522">
      <c r="A522" s="388"/>
      <c r="B522" s="388"/>
      <c r="C522" s="388"/>
      <c r="D522" s="388"/>
      <c r="E522" s="388"/>
      <c r="F522" s="388"/>
      <c r="G522" s="388"/>
      <c r="H522" s="388"/>
      <c r="I522" s="388"/>
      <c r="J522" s="642"/>
      <c r="K522" s="642"/>
      <c r="L522" s="642"/>
      <c r="M522" s="388"/>
      <c r="N522" s="388"/>
      <c r="O522" s="388"/>
      <c r="P522" s="388"/>
      <c r="Q522" s="388"/>
      <c r="R522" s="388"/>
      <c r="S522" s="388"/>
      <c r="T522" s="388"/>
      <c r="U522" s="388"/>
      <c r="V522" s="388"/>
      <c r="W522" s="388"/>
      <c r="X522" s="388"/>
      <c r="Y522" s="388"/>
      <c r="Z522" s="388"/>
      <c r="AA522" s="388"/>
      <c r="AB522" s="388"/>
      <c r="AC522" s="388"/>
    </row>
    <row r="523">
      <c r="A523" s="388"/>
      <c r="B523" s="388"/>
      <c r="C523" s="388"/>
      <c r="D523" s="388"/>
      <c r="E523" s="388"/>
      <c r="F523" s="388"/>
      <c r="G523" s="388"/>
      <c r="H523" s="388"/>
      <c r="I523" s="388"/>
      <c r="J523" s="642"/>
      <c r="K523" s="642"/>
      <c r="L523" s="642"/>
      <c r="M523" s="388"/>
      <c r="N523" s="388"/>
      <c r="O523" s="388"/>
      <c r="P523" s="388"/>
      <c r="Q523" s="388"/>
      <c r="R523" s="388"/>
      <c r="S523" s="388"/>
      <c r="T523" s="388"/>
      <c r="U523" s="388"/>
      <c r="V523" s="388"/>
      <c r="W523" s="388"/>
      <c r="X523" s="388"/>
      <c r="Y523" s="388"/>
      <c r="Z523" s="388"/>
      <c r="AA523" s="388"/>
      <c r="AB523" s="388"/>
      <c r="AC523" s="388"/>
    </row>
    <row r="524">
      <c r="A524" s="388"/>
      <c r="B524" s="388"/>
      <c r="C524" s="388"/>
      <c r="D524" s="388"/>
      <c r="E524" s="388"/>
      <c r="F524" s="388"/>
      <c r="G524" s="388"/>
      <c r="H524" s="388"/>
      <c r="I524" s="388"/>
      <c r="J524" s="642"/>
      <c r="K524" s="642"/>
      <c r="L524" s="642"/>
      <c r="M524" s="388"/>
      <c r="N524" s="388"/>
      <c r="O524" s="388"/>
      <c r="P524" s="388"/>
      <c r="Q524" s="388"/>
      <c r="R524" s="388"/>
      <c r="S524" s="388"/>
      <c r="T524" s="388"/>
      <c r="U524" s="388"/>
      <c r="V524" s="388"/>
      <c r="W524" s="388"/>
      <c r="X524" s="388"/>
      <c r="Y524" s="388"/>
      <c r="Z524" s="388"/>
      <c r="AA524" s="388"/>
      <c r="AB524" s="388"/>
      <c r="AC524" s="388"/>
    </row>
    <row r="525">
      <c r="A525" s="388"/>
      <c r="B525" s="388"/>
      <c r="C525" s="388"/>
      <c r="D525" s="388"/>
      <c r="E525" s="388"/>
      <c r="F525" s="388"/>
      <c r="G525" s="388"/>
      <c r="H525" s="388"/>
      <c r="I525" s="388"/>
      <c r="J525" s="642"/>
      <c r="K525" s="642"/>
      <c r="L525" s="642"/>
      <c r="M525" s="388"/>
      <c r="N525" s="388"/>
      <c r="O525" s="388"/>
      <c r="P525" s="388"/>
      <c r="Q525" s="388"/>
      <c r="R525" s="388"/>
      <c r="S525" s="388"/>
      <c r="T525" s="388"/>
      <c r="U525" s="388"/>
      <c r="V525" s="388"/>
      <c r="W525" s="388"/>
      <c r="X525" s="388"/>
      <c r="Y525" s="388"/>
      <c r="Z525" s="388"/>
      <c r="AA525" s="388"/>
      <c r="AB525" s="388"/>
      <c r="AC525" s="388"/>
    </row>
    <row r="526">
      <c r="A526" s="388"/>
      <c r="B526" s="388"/>
      <c r="C526" s="388"/>
      <c r="D526" s="388"/>
      <c r="E526" s="388"/>
      <c r="F526" s="388"/>
      <c r="G526" s="388"/>
      <c r="H526" s="388"/>
      <c r="I526" s="388"/>
      <c r="J526" s="642"/>
      <c r="K526" s="642"/>
      <c r="L526" s="642"/>
      <c r="M526" s="388"/>
      <c r="N526" s="388"/>
      <c r="O526" s="388"/>
      <c r="P526" s="388"/>
      <c r="Q526" s="388"/>
      <c r="R526" s="388"/>
      <c r="S526" s="388"/>
      <c r="T526" s="388"/>
      <c r="U526" s="388"/>
      <c r="V526" s="388"/>
      <c r="W526" s="388"/>
      <c r="X526" s="388"/>
      <c r="Y526" s="388"/>
      <c r="Z526" s="388"/>
      <c r="AA526" s="388"/>
      <c r="AB526" s="388"/>
      <c r="AC526" s="388"/>
    </row>
    <row r="527">
      <c r="A527" s="388"/>
      <c r="B527" s="388"/>
      <c r="C527" s="388"/>
      <c r="D527" s="388"/>
      <c r="E527" s="388"/>
      <c r="F527" s="388"/>
      <c r="G527" s="388"/>
      <c r="H527" s="388"/>
      <c r="I527" s="388"/>
      <c r="J527" s="642"/>
      <c r="K527" s="642"/>
      <c r="L527" s="642"/>
      <c r="M527" s="388"/>
      <c r="N527" s="388"/>
      <c r="O527" s="388"/>
      <c r="P527" s="388"/>
      <c r="Q527" s="388"/>
      <c r="R527" s="388"/>
      <c r="S527" s="388"/>
      <c r="T527" s="388"/>
      <c r="U527" s="388"/>
      <c r="V527" s="388"/>
      <c r="W527" s="388"/>
      <c r="X527" s="388"/>
      <c r="Y527" s="388"/>
      <c r="Z527" s="388"/>
      <c r="AA527" s="388"/>
      <c r="AB527" s="388"/>
      <c r="AC527" s="388"/>
    </row>
    <row r="528">
      <c r="A528" s="388"/>
      <c r="B528" s="388"/>
      <c r="C528" s="388"/>
      <c r="D528" s="388"/>
      <c r="E528" s="388"/>
      <c r="F528" s="388"/>
      <c r="G528" s="388"/>
      <c r="H528" s="388"/>
      <c r="I528" s="388"/>
      <c r="J528" s="642"/>
      <c r="K528" s="642"/>
      <c r="L528" s="642"/>
      <c r="M528" s="388"/>
      <c r="N528" s="388"/>
      <c r="O528" s="388"/>
      <c r="P528" s="388"/>
      <c r="Q528" s="388"/>
      <c r="R528" s="388"/>
      <c r="S528" s="388"/>
      <c r="T528" s="388"/>
      <c r="U528" s="388"/>
      <c r="V528" s="388"/>
      <c r="W528" s="388"/>
      <c r="X528" s="388"/>
      <c r="Y528" s="388"/>
      <c r="Z528" s="388"/>
      <c r="AA528" s="388"/>
      <c r="AB528" s="388"/>
      <c r="AC528" s="388"/>
    </row>
    <row r="529">
      <c r="A529" s="388"/>
      <c r="B529" s="388"/>
      <c r="C529" s="388"/>
      <c r="D529" s="388"/>
      <c r="E529" s="388"/>
      <c r="F529" s="388"/>
      <c r="G529" s="388"/>
      <c r="H529" s="388"/>
      <c r="I529" s="388"/>
      <c r="J529" s="642"/>
      <c r="K529" s="642"/>
      <c r="L529" s="642"/>
      <c r="M529" s="388"/>
      <c r="N529" s="388"/>
      <c r="O529" s="388"/>
      <c r="P529" s="388"/>
      <c r="Q529" s="388"/>
      <c r="R529" s="388"/>
      <c r="S529" s="388"/>
      <c r="T529" s="388"/>
      <c r="U529" s="388"/>
      <c r="V529" s="388"/>
      <c r="W529" s="388"/>
      <c r="X529" s="388"/>
      <c r="Y529" s="388"/>
      <c r="Z529" s="388"/>
      <c r="AA529" s="388"/>
      <c r="AB529" s="388"/>
      <c r="AC529" s="388"/>
    </row>
    <row r="530">
      <c r="A530" s="388"/>
      <c r="B530" s="388"/>
      <c r="C530" s="388"/>
      <c r="D530" s="388"/>
      <c r="E530" s="388"/>
      <c r="F530" s="388"/>
      <c r="G530" s="388"/>
      <c r="H530" s="388"/>
      <c r="I530" s="388"/>
      <c r="J530" s="642"/>
      <c r="K530" s="642"/>
      <c r="L530" s="642"/>
      <c r="M530" s="388"/>
      <c r="N530" s="388"/>
      <c r="O530" s="388"/>
      <c r="P530" s="388"/>
      <c r="Q530" s="388"/>
      <c r="R530" s="388"/>
      <c r="S530" s="388"/>
      <c r="T530" s="388"/>
      <c r="U530" s="388"/>
      <c r="V530" s="388"/>
      <c r="W530" s="388"/>
      <c r="X530" s="388"/>
      <c r="Y530" s="388"/>
      <c r="Z530" s="388"/>
      <c r="AA530" s="388"/>
      <c r="AB530" s="388"/>
      <c r="AC530" s="388"/>
    </row>
    <row r="531">
      <c r="A531" s="388"/>
      <c r="B531" s="388"/>
      <c r="C531" s="388"/>
      <c r="D531" s="388"/>
      <c r="E531" s="388"/>
      <c r="F531" s="388"/>
      <c r="G531" s="388"/>
      <c r="H531" s="388"/>
      <c r="I531" s="388"/>
      <c r="J531" s="642"/>
      <c r="K531" s="642"/>
      <c r="L531" s="642"/>
      <c r="M531" s="388"/>
      <c r="N531" s="388"/>
      <c r="O531" s="388"/>
      <c r="P531" s="388"/>
      <c r="Q531" s="388"/>
      <c r="R531" s="388"/>
      <c r="S531" s="388"/>
      <c r="T531" s="388"/>
      <c r="U531" s="388"/>
      <c r="V531" s="388"/>
      <c r="W531" s="388"/>
      <c r="X531" s="388"/>
      <c r="Y531" s="388"/>
      <c r="Z531" s="388"/>
      <c r="AA531" s="388"/>
      <c r="AB531" s="388"/>
      <c r="AC531" s="388"/>
    </row>
    <row r="532">
      <c r="A532" s="388"/>
      <c r="B532" s="388"/>
      <c r="C532" s="388"/>
      <c r="D532" s="388"/>
      <c r="E532" s="388"/>
      <c r="F532" s="388"/>
      <c r="G532" s="388"/>
      <c r="H532" s="388"/>
      <c r="I532" s="388"/>
      <c r="J532" s="642"/>
      <c r="K532" s="642"/>
      <c r="L532" s="642"/>
      <c r="M532" s="388"/>
      <c r="N532" s="388"/>
      <c r="O532" s="388"/>
      <c r="P532" s="388"/>
      <c r="Q532" s="388"/>
      <c r="R532" s="388"/>
      <c r="S532" s="388"/>
      <c r="T532" s="388"/>
      <c r="U532" s="388"/>
      <c r="V532" s="388"/>
      <c r="W532" s="388"/>
      <c r="X532" s="388"/>
      <c r="Y532" s="388"/>
      <c r="Z532" s="388"/>
      <c r="AA532" s="388"/>
      <c r="AB532" s="388"/>
      <c r="AC532" s="388"/>
    </row>
    <row r="533">
      <c r="A533" s="388"/>
      <c r="B533" s="388"/>
      <c r="C533" s="388"/>
      <c r="D533" s="388"/>
      <c r="E533" s="388"/>
      <c r="F533" s="388"/>
      <c r="G533" s="388"/>
      <c r="H533" s="388"/>
      <c r="I533" s="388"/>
      <c r="J533" s="642"/>
      <c r="K533" s="642"/>
      <c r="L533" s="642"/>
      <c r="M533" s="388"/>
      <c r="N533" s="388"/>
      <c r="O533" s="388"/>
      <c r="P533" s="388"/>
      <c r="Q533" s="388"/>
      <c r="R533" s="388"/>
      <c r="S533" s="388"/>
      <c r="T533" s="388"/>
      <c r="U533" s="388"/>
      <c r="V533" s="388"/>
      <c r="W533" s="388"/>
      <c r="X533" s="388"/>
      <c r="Y533" s="388"/>
      <c r="Z533" s="388"/>
      <c r="AA533" s="388"/>
      <c r="AB533" s="388"/>
      <c r="AC533" s="388"/>
    </row>
    <row r="534">
      <c r="A534" s="388"/>
      <c r="B534" s="388"/>
      <c r="C534" s="388"/>
      <c r="D534" s="388"/>
      <c r="E534" s="388"/>
      <c r="F534" s="388"/>
      <c r="G534" s="388"/>
      <c r="H534" s="388"/>
      <c r="I534" s="388"/>
      <c r="J534" s="642"/>
      <c r="K534" s="642"/>
      <c r="L534" s="642"/>
      <c r="M534" s="388"/>
      <c r="N534" s="388"/>
      <c r="O534" s="388"/>
      <c r="P534" s="388"/>
      <c r="Q534" s="388"/>
      <c r="R534" s="388"/>
      <c r="S534" s="388"/>
      <c r="T534" s="388"/>
      <c r="U534" s="388"/>
      <c r="V534" s="388"/>
      <c r="W534" s="388"/>
      <c r="X534" s="388"/>
      <c r="Y534" s="388"/>
      <c r="Z534" s="388"/>
      <c r="AA534" s="388"/>
      <c r="AB534" s="388"/>
      <c r="AC534" s="388"/>
    </row>
    <row r="535">
      <c r="A535" s="388"/>
      <c r="B535" s="388"/>
      <c r="C535" s="388"/>
      <c r="D535" s="388"/>
      <c r="E535" s="388"/>
      <c r="F535" s="388"/>
      <c r="G535" s="388"/>
      <c r="H535" s="388"/>
      <c r="I535" s="388"/>
      <c r="J535" s="642"/>
      <c r="K535" s="642"/>
      <c r="L535" s="642"/>
      <c r="M535" s="388"/>
      <c r="N535" s="388"/>
      <c r="O535" s="388"/>
      <c r="P535" s="388"/>
      <c r="Q535" s="388"/>
      <c r="R535" s="388"/>
      <c r="S535" s="388"/>
      <c r="T535" s="388"/>
      <c r="U535" s="388"/>
      <c r="V535" s="388"/>
      <c r="W535" s="388"/>
      <c r="X535" s="388"/>
      <c r="Y535" s="388"/>
      <c r="Z535" s="388"/>
      <c r="AA535" s="388"/>
      <c r="AB535" s="388"/>
      <c r="AC535" s="388"/>
    </row>
    <row r="536">
      <c r="A536" s="388"/>
      <c r="B536" s="388"/>
      <c r="C536" s="388"/>
      <c r="D536" s="388"/>
      <c r="E536" s="388"/>
      <c r="F536" s="388"/>
      <c r="G536" s="388"/>
      <c r="H536" s="388"/>
      <c r="I536" s="388"/>
      <c r="J536" s="642"/>
      <c r="K536" s="642"/>
      <c r="L536" s="642"/>
      <c r="M536" s="388"/>
      <c r="N536" s="388"/>
      <c r="O536" s="388"/>
      <c r="P536" s="388"/>
      <c r="Q536" s="388"/>
      <c r="R536" s="388"/>
      <c r="S536" s="388"/>
      <c r="T536" s="388"/>
      <c r="U536" s="388"/>
      <c r="V536" s="388"/>
      <c r="W536" s="388"/>
      <c r="X536" s="388"/>
      <c r="Y536" s="388"/>
      <c r="Z536" s="388"/>
      <c r="AA536" s="388"/>
      <c r="AB536" s="388"/>
      <c r="AC536" s="388"/>
    </row>
    <row r="537">
      <c r="A537" s="388"/>
      <c r="B537" s="388"/>
      <c r="C537" s="388"/>
      <c r="D537" s="388"/>
      <c r="E537" s="388"/>
      <c r="F537" s="388"/>
      <c r="G537" s="388"/>
      <c r="H537" s="388"/>
      <c r="I537" s="388"/>
      <c r="J537" s="642"/>
      <c r="K537" s="642"/>
      <c r="L537" s="642"/>
      <c r="M537" s="388"/>
      <c r="N537" s="388"/>
      <c r="O537" s="388"/>
      <c r="P537" s="388"/>
      <c r="Q537" s="388"/>
      <c r="R537" s="388"/>
      <c r="S537" s="388"/>
      <c r="T537" s="388"/>
      <c r="U537" s="388"/>
      <c r="V537" s="388"/>
      <c r="W537" s="388"/>
      <c r="X537" s="388"/>
      <c r="Y537" s="388"/>
      <c r="Z537" s="388"/>
      <c r="AA537" s="388"/>
      <c r="AB537" s="388"/>
      <c r="AC537" s="388"/>
    </row>
    <row r="538">
      <c r="A538" s="388"/>
      <c r="B538" s="388"/>
      <c r="C538" s="388"/>
      <c r="D538" s="388"/>
      <c r="E538" s="388"/>
      <c r="F538" s="388"/>
      <c r="G538" s="388"/>
      <c r="H538" s="388"/>
      <c r="I538" s="388"/>
      <c r="J538" s="642"/>
      <c r="K538" s="642"/>
      <c r="L538" s="642"/>
      <c r="M538" s="388"/>
      <c r="N538" s="388"/>
      <c r="O538" s="388"/>
      <c r="P538" s="388"/>
      <c r="Q538" s="388"/>
      <c r="R538" s="388"/>
      <c r="S538" s="388"/>
      <c r="T538" s="388"/>
      <c r="U538" s="388"/>
      <c r="V538" s="388"/>
      <c r="W538" s="388"/>
      <c r="X538" s="388"/>
      <c r="Y538" s="388"/>
      <c r="Z538" s="388"/>
      <c r="AA538" s="388"/>
      <c r="AB538" s="388"/>
      <c r="AC538" s="388"/>
    </row>
    <row r="539">
      <c r="A539" s="388"/>
      <c r="B539" s="388"/>
      <c r="C539" s="388"/>
      <c r="D539" s="388"/>
      <c r="E539" s="388"/>
      <c r="F539" s="388"/>
      <c r="G539" s="388"/>
      <c r="H539" s="388"/>
      <c r="I539" s="388"/>
      <c r="J539" s="642"/>
      <c r="K539" s="642"/>
      <c r="L539" s="642"/>
      <c r="M539" s="388"/>
      <c r="N539" s="388"/>
      <c r="O539" s="388"/>
      <c r="P539" s="388"/>
      <c r="Q539" s="388"/>
      <c r="R539" s="388"/>
      <c r="S539" s="388"/>
      <c r="T539" s="388"/>
      <c r="U539" s="388"/>
      <c r="V539" s="388"/>
      <c r="W539" s="388"/>
      <c r="X539" s="388"/>
      <c r="Y539" s="388"/>
      <c r="Z539" s="388"/>
      <c r="AA539" s="388"/>
      <c r="AB539" s="388"/>
      <c r="AC539" s="388"/>
    </row>
    <row r="540">
      <c r="A540" s="388"/>
      <c r="B540" s="388"/>
      <c r="C540" s="388"/>
      <c r="D540" s="388"/>
      <c r="E540" s="388"/>
      <c r="F540" s="388"/>
      <c r="G540" s="388"/>
      <c r="H540" s="388"/>
      <c r="I540" s="388"/>
      <c r="J540" s="642"/>
      <c r="K540" s="642"/>
      <c r="L540" s="642"/>
      <c r="M540" s="388"/>
      <c r="N540" s="388"/>
      <c r="O540" s="388"/>
      <c r="P540" s="388"/>
      <c r="Q540" s="388"/>
      <c r="R540" s="388"/>
      <c r="S540" s="388"/>
      <c r="T540" s="388"/>
      <c r="U540" s="388"/>
      <c r="V540" s="388"/>
      <c r="W540" s="388"/>
      <c r="X540" s="388"/>
      <c r="Y540" s="388"/>
      <c r="Z540" s="388"/>
      <c r="AA540" s="388"/>
      <c r="AB540" s="388"/>
      <c r="AC540" s="388"/>
    </row>
    <row r="541">
      <c r="A541" s="388"/>
      <c r="B541" s="388"/>
      <c r="C541" s="388"/>
      <c r="D541" s="388"/>
      <c r="E541" s="388"/>
      <c r="F541" s="388"/>
      <c r="G541" s="388"/>
      <c r="H541" s="388"/>
      <c r="I541" s="388"/>
      <c r="J541" s="642"/>
      <c r="K541" s="642"/>
      <c r="L541" s="642"/>
      <c r="M541" s="388"/>
      <c r="N541" s="388"/>
      <c r="O541" s="388"/>
      <c r="P541" s="388"/>
      <c r="Q541" s="388"/>
      <c r="R541" s="388"/>
      <c r="S541" s="388"/>
      <c r="T541" s="388"/>
      <c r="U541" s="388"/>
      <c r="V541" s="388"/>
      <c r="W541" s="388"/>
      <c r="X541" s="388"/>
      <c r="Y541" s="388"/>
      <c r="Z541" s="388"/>
      <c r="AA541" s="388"/>
      <c r="AB541" s="388"/>
      <c r="AC541" s="388"/>
    </row>
    <row r="542">
      <c r="A542" s="388"/>
      <c r="B542" s="388"/>
      <c r="C542" s="388"/>
      <c r="D542" s="388"/>
      <c r="E542" s="388"/>
      <c r="F542" s="388"/>
      <c r="G542" s="388"/>
      <c r="H542" s="388"/>
      <c r="I542" s="388"/>
      <c r="J542" s="642"/>
      <c r="K542" s="642"/>
      <c r="L542" s="642"/>
      <c r="M542" s="388"/>
      <c r="N542" s="388"/>
      <c r="O542" s="388"/>
      <c r="P542" s="388"/>
      <c r="Q542" s="388"/>
      <c r="R542" s="388"/>
      <c r="S542" s="388"/>
      <c r="T542" s="388"/>
      <c r="U542" s="388"/>
      <c r="V542" s="388"/>
      <c r="W542" s="388"/>
      <c r="X542" s="388"/>
      <c r="Y542" s="388"/>
      <c r="Z542" s="388"/>
      <c r="AA542" s="388"/>
      <c r="AB542" s="388"/>
      <c r="AC542" s="388"/>
    </row>
    <row r="543">
      <c r="A543" s="388"/>
      <c r="B543" s="388"/>
      <c r="C543" s="388"/>
      <c r="D543" s="388"/>
      <c r="E543" s="388"/>
      <c r="F543" s="388"/>
      <c r="G543" s="388"/>
      <c r="H543" s="388"/>
      <c r="I543" s="388"/>
      <c r="J543" s="642"/>
      <c r="K543" s="642"/>
      <c r="L543" s="642"/>
      <c r="M543" s="388"/>
      <c r="N543" s="388"/>
      <c r="O543" s="388"/>
      <c r="P543" s="388"/>
      <c r="Q543" s="388"/>
      <c r="R543" s="388"/>
      <c r="S543" s="388"/>
      <c r="T543" s="388"/>
      <c r="U543" s="388"/>
      <c r="V543" s="388"/>
      <c r="W543" s="388"/>
      <c r="X543" s="388"/>
      <c r="Y543" s="388"/>
      <c r="Z543" s="388"/>
      <c r="AA543" s="388"/>
      <c r="AB543" s="388"/>
      <c r="AC543" s="388"/>
    </row>
    <row r="544">
      <c r="A544" s="388"/>
      <c r="B544" s="388"/>
      <c r="C544" s="388"/>
      <c r="D544" s="388"/>
      <c r="E544" s="388"/>
      <c r="F544" s="388"/>
      <c r="G544" s="388"/>
      <c r="H544" s="388"/>
      <c r="I544" s="388"/>
      <c r="J544" s="642"/>
      <c r="K544" s="642"/>
      <c r="L544" s="642"/>
      <c r="M544" s="388"/>
      <c r="N544" s="388"/>
      <c r="O544" s="388"/>
      <c r="P544" s="388"/>
      <c r="Q544" s="388"/>
      <c r="R544" s="388"/>
      <c r="S544" s="388"/>
      <c r="T544" s="388"/>
      <c r="U544" s="388"/>
      <c r="V544" s="388"/>
      <c r="W544" s="388"/>
      <c r="X544" s="388"/>
      <c r="Y544" s="388"/>
      <c r="Z544" s="388"/>
      <c r="AA544" s="388"/>
      <c r="AB544" s="388"/>
      <c r="AC544" s="388"/>
    </row>
    <row r="545">
      <c r="A545" s="388"/>
      <c r="B545" s="388"/>
      <c r="C545" s="388"/>
      <c r="D545" s="388"/>
      <c r="E545" s="388"/>
      <c r="F545" s="388"/>
      <c r="G545" s="388"/>
      <c r="H545" s="388"/>
      <c r="I545" s="388"/>
      <c r="J545" s="642"/>
      <c r="K545" s="642"/>
      <c r="L545" s="642"/>
      <c r="M545" s="388"/>
      <c r="N545" s="388"/>
      <c r="O545" s="388"/>
      <c r="P545" s="388"/>
      <c r="Q545" s="388"/>
      <c r="R545" s="388"/>
      <c r="S545" s="388"/>
      <c r="T545" s="388"/>
      <c r="U545" s="388"/>
      <c r="V545" s="388"/>
      <c r="W545" s="388"/>
      <c r="X545" s="388"/>
      <c r="Y545" s="388"/>
      <c r="Z545" s="388"/>
      <c r="AA545" s="388"/>
      <c r="AB545" s="388"/>
      <c r="AC545" s="388"/>
    </row>
    <row r="546">
      <c r="A546" s="388"/>
      <c r="B546" s="388"/>
      <c r="C546" s="388"/>
      <c r="D546" s="388"/>
      <c r="E546" s="388"/>
      <c r="F546" s="388"/>
      <c r="G546" s="388"/>
      <c r="H546" s="388"/>
      <c r="I546" s="388"/>
      <c r="J546" s="642"/>
      <c r="K546" s="642"/>
      <c r="L546" s="642"/>
      <c r="M546" s="388"/>
      <c r="N546" s="388"/>
      <c r="O546" s="388"/>
      <c r="P546" s="388"/>
      <c r="Q546" s="388"/>
      <c r="R546" s="388"/>
      <c r="S546" s="388"/>
      <c r="T546" s="388"/>
      <c r="U546" s="388"/>
      <c r="V546" s="388"/>
      <c r="W546" s="388"/>
      <c r="X546" s="388"/>
      <c r="Y546" s="388"/>
      <c r="Z546" s="388"/>
      <c r="AA546" s="388"/>
      <c r="AB546" s="388"/>
      <c r="AC546" s="388"/>
    </row>
    <row r="547">
      <c r="A547" s="388"/>
      <c r="B547" s="388"/>
      <c r="C547" s="388"/>
      <c r="D547" s="388"/>
      <c r="E547" s="388"/>
      <c r="F547" s="388"/>
      <c r="G547" s="388"/>
      <c r="H547" s="388"/>
      <c r="I547" s="388"/>
      <c r="J547" s="642"/>
      <c r="K547" s="642"/>
      <c r="L547" s="642"/>
      <c r="M547" s="388"/>
      <c r="N547" s="388"/>
      <c r="O547" s="388"/>
      <c r="P547" s="388"/>
      <c r="Q547" s="388"/>
      <c r="R547" s="388"/>
      <c r="S547" s="388"/>
      <c r="T547" s="388"/>
      <c r="U547" s="388"/>
      <c r="V547" s="388"/>
      <c r="W547" s="388"/>
      <c r="X547" s="388"/>
      <c r="Y547" s="388"/>
      <c r="Z547" s="388"/>
      <c r="AA547" s="388"/>
      <c r="AB547" s="388"/>
      <c r="AC547" s="388"/>
    </row>
    <row r="548">
      <c r="A548" s="388"/>
      <c r="B548" s="388"/>
      <c r="C548" s="388"/>
      <c r="D548" s="388"/>
      <c r="E548" s="388"/>
      <c r="F548" s="388"/>
      <c r="G548" s="388"/>
      <c r="H548" s="388"/>
      <c r="I548" s="388"/>
      <c r="J548" s="642"/>
      <c r="K548" s="642"/>
      <c r="L548" s="642"/>
      <c r="M548" s="388"/>
      <c r="N548" s="388"/>
      <c r="O548" s="388"/>
      <c r="P548" s="388"/>
      <c r="Q548" s="388"/>
      <c r="R548" s="388"/>
      <c r="S548" s="388"/>
      <c r="T548" s="388"/>
      <c r="U548" s="388"/>
      <c r="V548" s="388"/>
      <c r="W548" s="388"/>
      <c r="X548" s="388"/>
      <c r="Y548" s="388"/>
      <c r="Z548" s="388"/>
      <c r="AA548" s="388"/>
      <c r="AB548" s="388"/>
      <c r="AC548" s="388"/>
    </row>
    <row r="549">
      <c r="A549" s="388"/>
      <c r="B549" s="388"/>
      <c r="C549" s="388"/>
      <c r="D549" s="388"/>
      <c r="E549" s="388"/>
      <c r="F549" s="388"/>
      <c r="G549" s="388"/>
      <c r="H549" s="388"/>
      <c r="I549" s="388"/>
      <c r="J549" s="642"/>
      <c r="K549" s="642"/>
      <c r="L549" s="642"/>
      <c r="M549" s="388"/>
      <c r="N549" s="388"/>
      <c r="O549" s="388"/>
      <c r="P549" s="388"/>
      <c r="Q549" s="388"/>
      <c r="R549" s="388"/>
      <c r="S549" s="388"/>
      <c r="T549" s="388"/>
      <c r="U549" s="388"/>
      <c r="V549" s="388"/>
      <c r="W549" s="388"/>
      <c r="X549" s="388"/>
      <c r="Y549" s="388"/>
      <c r="Z549" s="388"/>
      <c r="AA549" s="388"/>
      <c r="AB549" s="388"/>
      <c r="AC549" s="388"/>
    </row>
    <row r="550">
      <c r="A550" s="388"/>
      <c r="B550" s="388"/>
      <c r="C550" s="388"/>
      <c r="D550" s="388"/>
      <c r="E550" s="388"/>
      <c r="F550" s="388"/>
      <c r="G550" s="388"/>
      <c r="H550" s="388"/>
      <c r="I550" s="388"/>
      <c r="J550" s="642"/>
      <c r="K550" s="642"/>
      <c r="L550" s="642"/>
      <c r="M550" s="388"/>
      <c r="N550" s="388"/>
      <c r="O550" s="388"/>
      <c r="P550" s="388"/>
      <c r="Q550" s="388"/>
      <c r="R550" s="388"/>
      <c r="S550" s="388"/>
      <c r="T550" s="388"/>
      <c r="U550" s="388"/>
      <c r="V550" s="388"/>
      <c r="W550" s="388"/>
      <c r="X550" s="388"/>
      <c r="Y550" s="388"/>
      <c r="Z550" s="388"/>
      <c r="AA550" s="388"/>
      <c r="AB550" s="388"/>
      <c r="AC550" s="388"/>
    </row>
    <row r="551">
      <c r="A551" s="388"/>
      <c r="B551" s="388"/>
      <c r="C551" s="388"/>
      <c r="D551" s="388"/>
      <c r="E551" s="388"/>
      <c r="F551" s="388"/>
      <c r="G551" s="388"/>
      <c r="H551" s="388"/>
      <c r="I551" s="388"/>
      <c r="J551" s="642"/>
      <c r="K551" s="642"/>
      <c r="L551" s="642"/>
      <c r="M551" s="388"/>
      <c r="N551" s="388"/>
      <c r="O551" s="388"/>
      <c r="P551" s="388"/>
      <c r="Q551" s="388"/>
      <c r="R551" s="388"/>
      <c r="S551" s="388"/>
      <c r="T551" s="388"/>
      <c r="U551" s="388"/>
      <c r="V551" s="388"/>
      <c r="W551" s="388"/>
      <c r="X551" s="388"/>
      <c r="Y551" s="388"/>
      <c r="Z551" s="388"/>
      <c r="AA551" s="388"/>
      <c r="AB551" s="388"/>
      <c r="AC551" s="388"/>
    </row>
    <row r="552">
      <c r="A552" s="388"/>
      <c r="B552" s="388"/>
      <c r="C552" s="388"/>
      <c r="D552" s="388"/>
      <c r="E552" s="388"/>
      <c r="F552" s="388"/>
      <c r="G552" s="388"/>
      <c r="H552" s="388"/>
      <c r="I552" s="388"/>
      <c r="J552" s="642"/>
      <c r="K552" s="642"/>
      <c r="L552" s="642"/>
      <c r="M552" s="388"/>
      <c r="N552" s="388"/>
      <c r="O552" s="388"/>
      <c r="P552" s="388"/>
      <c r="Q552" s="388"/>
      <c r="R552" s="388"/>
      <c r="S552" s="388"/>
      <c r="T552" s="388"/>
      <c r="U552" s="388"/>
      <c r="V552" s="388"/>
      <c r="W552" s="388"/>
      <c r="X552" s="388"/>
      <c r="Y552" s="388"/>
      <c r="Z552" s="388"/>
      <c r="AA552" s="388"/>
      <c r="AB552" s="388"/>
      <c r="AC552" s="388"/>
    </row>
    <row r="553">
      <c r="A553" s="388"/>
      <c r="B553" s="388"/>
      <c r="C553" s="388"/>
      <c r="D553" s="388"/>
      <c r="E553" s="388"/>
      <c r="F553" s="388"/>
      <c r="G553" s="388"/>
      <c r="H553" s="388"/>
      <c r="I553" s="388"/>
      <c r="J553" s="642"/>
      <c r="K553" s="642"/>
      <c r="L553" s="642"/>
      <c r="M553" s="388"/>
      <c r="N553" s="388"/>
      <c r="O553" s="388"/>
      <c r="P553" s="388"/>
      <c r="Q553" s="388"/>
      <c r="R553" s="388"/>
      <c r="S553" s="388"/>
      <c r="T553" s="388"/>
      <c r="U553" s="388"/>
      <c r="V553" s="388"/>
      <c r="W553" s="388"/>
      <c r="X553" s="388"/>
      <c r="Y553" s="388"/>
      <c r="Z553" s="388"/>
      <c r="AA553" s="388"/>
      <c r="AB553" s="388"/>
      <c r="AC553" s="388"/>
    </row>
    <row r="554">
      <c r="A554" s="388"/>
      <c r="B554" s="388"/>
      <c r="C554" s="388"/>
      <c r="D554" s="388"/>
      <c r="E554" s="388"/>
      <c r="F554" s="388"/>
      <c r="G554" s="388"/>
      <c r="H554" s="388"/>
      <c r="I554" s="388"/>
      <c r="J554" s="642"/>
      <c r="K554" s="642"/>
      <c r="L554" s="642"/>
      <c r="M554" s="388"/>
      <c r="N554" s="388"/>
      <c r="O554" s="388"/>
      <c r="P554" s="388"/>
      <c r="Q554" s="388"/>
      <c r="R554" s="388"/>
      <c r="S554" s="388"/>
      <c r="T554" s="388"/>
      <c r="U554" s="388"/>
      <c r="V554" s="388"/>
      <c r="W554" s="388"/>
      <c r="X554" s="388"/>
      <c r="Y554" s="388"/>
      <c r="Z554" s="388"/>
      <c r="AA554" s="388"/>
      <c r="AB554" s="388"/>
      <c r="AC554" s="388"/>
    </row>
    <row r="555">
      <c r="A555" s="388"/>
      <c r="B555" s="388"/>
      <c r="C555" s="388"/>
      <c r="D555" s="388"/>
      <c r="E555" s="388"/>
      <c r="F555" s="388"/>
      <c r="G555" s="388"/>
      <c r="H555" s="388"/>
      <c r="I555" s="388"/>
      <c r="J555" s="642"/>
      <c r="K555" s="642"/>
      <c r="L555" s="642"/>
      <c r="M555" s="388"/>
      <c r="N555" s="388"/>
      <c r="O555" s="388"/>
      <c r="P555" s="388"/>
      <c r="Q555" s="388"/>
      <c r="R555" s="388"/>
      <c r="S555" s="388"/>
      <c r="T555" s="388"/>
      <c r="U555" s="388"/>
      <c r="V555" s="388"/>
      <c r="W555" s="388"/>
      <c r="X555" s="388"/>
      <c r="Y555" s="388"/>
      <c r="Z555" s="388"/>
      <c r="AA555" s="388"/>
      <c r="AB555" s="388"/>
      <c r="AC555" s="388"/>
    </row>
    <row r="556">
      <c r="A556" s="388"/>
      <c r="B556" s="388"/>
      <c r="C556" s="388"/>
      <c r="D556" s="388"/>
      <c r="E556" s="388"/>
      <c r="F556" s="388"/>
      <c r="G556" s="388"/>
      <c r="H556" s="388"/>
      <c r="I556" s="388"/>
      <c r="J556" s="642"/>
      <c r="K556" s="642"/>
      <c r="L556" s="642"/>
      <c r="M556" s="388"/>
      <c r="N556" s="388"/>
      <c r="O556" s="388"/>
      <c r="P556" s="388"/>
      <c r="Q556" s="388"/>
      <c r="R556" s="388"/>
      <c r="S556" s="388"/>
      <c r="T556" s="388"/>
      <c r="U556" s="388"/>
      <c r="V556" s="388"/>
      <c r="W556" s="388"/>
      <c r="X556" s="388"/>
      <c r="Y556" s="388"/>
      <c r="Z556" s="388"/>
      <c r="AA556" s="388"/>
      <c r="AB556" s="388"/>
      <c r="AC556" s="388"/>
    </row>
    <row r="557">
      <c r="A557" s="388"/>
      <c r="B557" s="388"/>
      <c r="C557" s="388"/>
      <c r="D557" s="388"/>
      <c r="E557" s="388"/>
      <c r="F557" s="388"/>
      <c r="G557" s="388"/>
      <c r="H557" s="388"/>
      <c r="I557" s="388"/>
      <c r="J557" s="642"/>
      <c r="K557" s="642"/>
      <c r="L557" s="642"/>
      <c r="M557" s="388"/>
      <c r="N557" s="388"/>
      <c r="O557" s="388"/>
      <c r="P557" s="388"/>
      <c r="Q557" s="388"/>
      <c r="R557" s="388"/>
      <c r="S557" s="388"/>
      <c r="T557" s="388"/>
      <c r="U557" s="388"/>
      <c r="V557" s="388"/>
      <c r="W557" s="388"/>
      <c r="X557" s="388"/>
      <c r="Y557" s="388"/>
      <c r="Z557" s="388"/>
      <c r="AA557" s="388"/>
      <c r="AB557" s="388"/>
      <c r="AC557" s="388"/>
    </row>
    <row r="558">
      <c r="A558" s="388"/>
      <c r="B558" s="388"/>
      <c r="C558" s="388"/>
      <c r="D558" s="388"/>
      <c r="E558" s="388"/>
      <c r="F558" s="388"/>
      <c r="G558" s="388"/>
      <c r="H558" s="388"/>
      <c r="I558" s="388"/>
      <c r="J558" s="642"/>
      <c r="K558" s="642"/>
      <c r="L558" s="642"/>
      <c r="M558" s="388"/>
      <c r="N558" s="388"/>
      <c r="O558" s="388"/>
      <c r="P558" s="388"/>
      <c r="Q558" s="388"/>
      <c r="R558" s="388"/>
      <c r="S558" s="388"/>
      <c r="T558" s="388"/>
      <c r="U558" s="388"/>
      <c r="V558" s="388"/>
      <c r="W558" s="388"/>
      <c r="X558" s="388"/>
      <c r="Y558" s="388"/>
      <c r="Z558" s="388"/>
      <c r="AA558" s="388"/>
      <c r="AB558" s="388"/>
      <c r="AC558" s="388"/>
    </row>
    <row r="559">
      <c r="A559" s="388"/>
      <c r="B559" s="388"/>
      <c r="C559" s="388"/>
      <c r="D559" s="388"/>
      <c r="E559" s="388"/>
      <c r="F559" s="388"/>
      <c r="G559" s="388"/>
      <c r="H559" s="388"/>
      <c r="I559" s="388"/>
      <c r="J559" s="642"/>
      <c r="K559" s="642"/>
      <c r="L559" s="642"/>
      <c r="M559" s="388"/>
      <c r="N559" s="388"/>
      <c r="O559" s="388"/>
      <c r="P559" s="388"/>
      <c r="Q559" s="388"/>
      <c r="R559" s="388"/>
      <c r="S559" s="388"/>
      <c r="T559" s="388"/>
      <c r="U559" s="388"/>
      <c r="V559" s="388"/>
      <c r="W559" s="388"/>
      <c r="X559" s="388"/>
      <c r="Y559" s="388"/>
      <c r="Z559" s="388"/>
      <c r="AA559" s="388"/>
      <c r="AB559" s="388"/>
      <c r="AC559" s="388"/>
    </row>
    <row r="560">
      <c r="A560" s="388"/>
      <c r="B560" s="388"/>
      <c r="C560" s="388"/>
      <c r="D560" s="388"/>
      <c r="E560" s="388"/>
      <c r="F560" s="388"/>
      <c r="G560" s="388"/>
      <c r="H560" s="388"/>
      <c r="I560" s="388"/>
      <c r="J560" s="642"/>
      <c r="K560" s="642"/>
      <c r="L560" s="642"/>
      <c r="M560" s="388"/>
      <c r="N560" s="388"/>
      <c r="O560" s="388"/>
      <c r="P560" s="388"/>
      <c r="Q560" s="388"/>
      <c r="R560" s="388"/>
      <c r="S560" s="388"/>
      <c r="T560" s="388"/>
      <c r="U560" s="388"/>
      <c r="V560" s="388"/>
      <c r="W560" s="388"/>
      <c r="X560" s="388"/>
      <c r="Y560" s="388"/>
      <c r="Z560" s="388"/>
      <c r="AA560" s="388"/>
      <c r="AB560" s="388"/>
      <c r="AC560" s="388"/>
    </row>
    <row r="561">
      <c r="A561" s="388"/>
      <c r="B561" s="388"/>
      <c r="C561" s="388"/>
      <c r="D561" s="388"/>
      <c r="E561" s="388"/>
      <c r="F561" s="388"/>
      <c r="G561" s="388"/>
      <c r="H561" s="388"/>
      <c r="I561" s="388"/>
      <c r="J561" s="642"/>
      <c r="K561" s="642"/>
      <c r="L561" s="642"/>
      <c r="M561" s="388"/>
      <c r="N561" s="388"/>
      <c r="O561" s="388"/>
      <c r="P561" s="388"/>
      <c r="Q561" s="388"/>
      <c r="R561" s="388"/>
      <c r="S561" s="388"/>
      <c r="T561" s="388"/>
      <c r="U561" s="388"/>
      <c r="V561" s="388"/>
      <c r="W561" s="388"/>
      <c r="X561" s="388"/>
      <c r="Y561" s="388"/>
      <c r="Z561" s="388"/>
      <c r="AA561" s="388"/>
      <c r="AB561" s="388"/>
      <c r="AC561" s="388"/>
    </row>
    <row r="562">
      <c r="A562" s="388"/>
      <c r="B562" s="388"/>
      <c r="C562" s="388"/>
      <c r="D562" s="388"/>
      <c r="E562" s="388"/>
      <c r="F562" s="388"/>
      <c r="G562" s="388"/>
      <c r="H562" s="388"/>
      <c r="I562" s="388"/>
      <c r="J562" s="642"/>
      <c r="K562" s="642"/>
      <c r="L562" s="642"/>
      <c r="M562" s="388"/>
      <c r="N562" s="388"/>
      <c r="O562" s="388"/>
      <c r="P562" s="388"/>
      <c r="Q562" s="388"/>
      <c r="R562" s="388"/>
      <c r="S562" s="388"/>
      <c r="T562" s="388"/>
      <c r="U562" s="388"/>
      <c r="V562" s="388"/>
      <c r="W562" s="388"/>
      <c r="X562" s="388"/>
      <c r="Y562" s="388"/>
      <c r="Z562" s="388"/>
      <c r="AA562" s="388"/>
      <c r="AB562" s="388"/>
      <c r="AC562" s="388"/>
    </row>
    <row r="563">
      <c r="A563" s="388"/>
      <c r="B563" s="388"/>
      <c r="C563" s="388"/>
      <c r="D563" s="388"/>
      <c r="E563" s="388"/>
      <c r="F563" s="388"/>
      <c r="G563" s="388"/>
      <c r="H563" s="388"/>
      <c r="I563" s="388"/>
      <c r="J563" s="642"/>
      <c r="K563" s="642"/>
      <c r="L563" s="642"/>
      <c r="M563" s="388"/>
      <c r="N563" s="388"/>
      <c r="O563" s="388"/>
      <c r="P563" s="388"/>
      <c r="Q563" s="388"/>
      <c r="R563" s="388"/>
      <c r="S563" s="388"/>
      <c r="T563" s="388"/>
      <c r="U563" s="388"/>
      <c r="V563" s="388"/>
      <c r="W563" s="388"/>
      <c r="X563" s="388"/>
      <c r="Y563" s="388"/>
      <c r="Z563" s="388"/>
      <c r="AA563" s="388"/>
      <c r="AB563" s="388"/>
      <c r="AC563" s="388"/>
    </row>
    <row r="564">
      <c r="A564" s="388"/>
      <c r="B564" s="388"/>
      <c r="C564" s="388"/>
      <c r="D564" s="388"/>
      <c r="E564" s="388"/>
      <c r="F564" s="388"/>
      <c r="G564" s="388"/>
      <c r="H564" s="388"/>
      <c r="I564" s="388"/>
      <c r="J564" s="642"/>
      <c r="K564" s="642"/>
      <c r="L564" s="642"/>
      <c r="M564" s="388"/>
      <c r="N564" s="388"/>
      <c r="O564" s="388"/>
      <c r="P564" s="388"/>
      <c r="Q564" s="388"/>
      <c r="R564" s="388"/>
      <c r="S564" s="388"/>
      <c r="T564" s="388"/>
      <c r="U564" s="388"/>
      <c r="V564" s="388"/>
      <c r="W564" s="388"/>
      <c r="X564" s="388"/>
      <c r="Y564" s="388"/>
      <c r="Z564" s="388"/>
      <c r="AA564" s="388"/>
      <c r="AB564" s="388"/>
      <c r="AC564" s="388"/>
    </row>
    <row r="565">
      <c r="A565" s="388"/>
      <c r="B565" s="388"/>
      <c r="C565" s="388"/>
      <c r="D565" s="388"/>
      <c r="E565" s="388"/>
      <c r="F565" s="388"/>
      <c r="G565" s="388"/>
      <c r="H565" s="388"/>
      <c r="I565" s="388"/>
      <c r="J565" s="642"/>
      <c r="K565" s="642"/>
      <c r="L565" s="642"/>
      <c r="M565" s="388"/>
      <c r="N565" s="388"/>
      <c r="O565" s="388"/>
      <c r="P565" s="388"/>
      <c r="Q565" s="388"/>
      <c r="R565" s="388"/>
      <c r="S565" s="388"/>
      <c r="T565" s="388"/>
      <c r="U565" s="388"/>
      <c r="V565" s="388"/>
      <c r="W565" s="388"/>
      <c r="X565" s="388"/>
      <c r="Y565" s="388"/>
      <c r="Z565" s="388"/>
      <c r="AA565" s="388"/>
      <c r="AB565" s="388"/>
      <c r="AC565" s="388"/>
    </row>
    <row r="566">
      <c r="A566" s="388"/>
      <c r="B566" s="388"/>
      <c r="C566" s="388"/>
      <c r="D566" s="388"/>
      <c r="E566" s="388"/>
      <c r="F566" s="388"/>
      <c r="G566" s="388"/>
      <c r="H566" s="388"/>
      <c r="I566" s="388"/>
      <c r="J566" s="642"/>
      <c r="K566" s="642"/>
      <c r="L566" s="642"/>
      <c r="M566" s="388"/>
      <c r="N566" s="388"/>
      <c r="O566" s="388"/>
      <c r="P566" s="388"/>
      <c r="Q566" s="388"/>
      <c r="R566" s="388"/>
      <c r="S566" s="388"/>
      <c r="T566" s="388"/>
      <c r="U566" s="388"/>
      <c r="V566" s="388"/>
      <c r="W566" s="388"/>
      <c r="X566" s="388"/>
      <c r="Y566" s="388"/>
      <c r="Z566" s="388"/>
      <c r="AA566" s="388"/>
      <c r="AB566" s="388"/>
      <c r="AC566" s="388"/>
    </row>
    <row r="567">
      <c r="A567" s="388"/>
      <c r="B567" s="388"/>
      <c r="C567" s="388"/>
      <c r="D567" s="388"/>
      <c r="E567" s="388"/>
      <c r="F567" s="388"/>
      <c r="G567" s="388"/>
      <c r="H567" s="388"/>
      <c r="I567" s="388"/>
      <c r="J567" s="642"/>
      <c r="K567" s="642"/>
      <c r="L567" s="642"/>
      <c r="M567" s="388"/>
      <c r="N567" s="388"/>
      <c r="O567" s="388"/>
      <c r="P567" s="388"/>
      <c r="Q567" s="388"/>
      <c r="R567" s="388"/>
      <c r="S567" s="388"/>
      <c r="T567" s="388"/>
      <c r="U567" s="388"/>
      <c r="V567" s="388"/>
      <c r="W567" s="388"/>
      <c r="X567" s="388"/>
      <c r="Y567" s="388"/>
      <c r="Z567" s="388"/>
      <c r="AA567" s="388"/>
      <c r="AB567" s="388"/>
      <c r="AC567" s="388"/>
    </row>
    <row r="568">
      <c r="A568" s="388"/>
      <c r="B568" s="388"/>
      <c r="C568" s="388"/>
      <c r="D568" s="388"/>
      <c r="E568" s="388"/>
      <c r="F568" s="388"/>
      <c r="G568" s="388"/>
      <c r="H568" s="388"/>
      <c r="I568" s="388"/>
      <c r="J568" s="642"/>
      <c r="K568" s="642"/>
      <c r="L568" s="642"/>
      <c r="M568" s="388"/>
      <c r="N568" s="388"/>
      <c r="O568" s="388"/>
      <c r="P568" s="388"/>
      <c r="Q568" s="388"/>
      <c r="R568" s="388"/>
      <c r="S568" s="388"/>
      <c r="T568" s="388"/>
      <c r="U568" s="388"/>
      <c r="V568" s="388"/>
      <c r="W568" s="388"/>
      <c r="X568" s="388"/>
      <c r="Y568" s="388"/>
      <c r="Z568" s="388"/>
      <c r="AA568" s="388"/>
      <c r="AB568" s="388"/>
      <c r="AC568" s="388"/>
    </row>
    <row r="569">
      <c r="A569" s="388"/>
      <c r="B569" s="388"/>
      <c r="C569" s="388"/>
      <c r="D569" s="388"/>
      <c r="E569" s="388"/>
      <c r="F569" s="388"/>
      <c r="G569" s="388"/>
      <c r="H569" s="388"/>
      <c r="I569" s="388"/>
      <c r="J569" s="642"/>
      <c r="K569" s="642"/>
      <c r="L569" s="642"/>
      <c r="M569" s="388"/>
      <c r="N569" s="388"/>
      <c r="O569" s="388"/>
      <c r="P569" s="388"/>
      <c r="Q569" s="388"/>
      <c r="R569" s="388"/>
      <c r="S569" s="388"/>
      <c r="T569" s="388"/>
      <c r="U569" s="388"/>
      <c r="V569" s="388"/>
      <c r="W569" s="388"/>
      <c r="X569" s="388"/>
      <c r="Y569" s="388"/>
      <c r="Z569" s="388"/>
      <c r="AA569" s="388"/>
      <c r="AB569" s="388"/>
      <c r="AC569" s="388"/>
    </row>
    <row r="570">
      <c r="A570" s="388"/>
      <c r="B570" s="388"/>
      <c r="C570" s="388"/>
      <c r="D570" s="388"/>
      <c r="E570" s="388"/>
      <c r="F570" s="388"/>
      <c r="G570" s="388"/>
      <c r="H570" s="388"/>
      <c r="I570" s="388"/>
      <c r="J570" s="642"/>
      <c r="K570" s="642"/>
      <c r="L570" s="642"/>
      <c r="M570" s="388"/>
      <c r="N570" s="388"/>
      <c r="O570" s="388"/>
      <c r="P570" s="388"/>
      <c r="Q570" s="388"/>
      <c r="R570" s="388"/>
      <c r="S570" s="388"/>
      <c r="T570" s="388"/>
      <c r="U570" s="388"/>
      <c r="V570" s="388"/>
      <c r="W570" s="388"/>
      <c r="X570" s="388"/>
      <c r="Y570" s="388"/>
      <c r="Z570" s="388"/>
      <c r="AA570" s="388"/>
      <c r="AB570" s="388"/>
      <c r="AC570" s="388"/>
    </row>
    <row r="571">
      <c r="A571" s="388"/>
      <c r="B571" s="388"/>
      <c r="C571" s="388"/>
      <c r="D571" s="388"/>
      <c r="E571" s="388"/>
      <c r="F571" s="388"/>
      <c r="G571" s="388"/>
      <c r="H571" s="388"/>
      <c r="I571" s="388"/>
      <c r="J571" s="642"/>
      <c r="K571" s="642"/>
      <c r="L571" s="642"/>
      <c r="M571" s="388"/>
      <c r="N571" s="388"/>
      <c r="O571" s="388"/>
      <c r="P571" s="388"/>
      <c r="Q571" s="388"/>
      <c r="R571" s="388"/>
      <c r="S571" s="388"/>
      <c r="T571" s="388"/>
      <c r="U571" s="388"/>
      <c r="V571" s="388"/>
      <c r="W571" s="388"/>
      <c r="X571" s="388"/>
      <c r="Y571" s="388"/>
      <c r="Z571" s="388"/>
      <c r="AA571" s="388"/>
      <c r="AB571" s="388"/>
      <c r="AC571" s="388"/>
    </row>
    <row r="572">
      <c r="A572" s="388"/>
      <c r="B572" s="388"/>
      <c r="C572" s="388"/>
      <c r="D572" s="388"/>
      <c r="E572" s="388"/>
      <c r="F572" s="388"/>
      <c r="G572" s="388"/>
      <c r="H572" s="388"/>
      <c r="I572" s="388"/>
      <c r="J572" s="642"/>
      <c r="K572" s="642"/>
      <c r="L572" s="642"/>
      <c r="M572" s="388"/>
      <c r="N572" s="388"/>
      <c r="O572" s="388"/>
      <c r="P572" s="388"/>
      <c r="Q572" s="388"/>
      <c r="R572" s="388"/>
      <c r="S572" s="388"/>
      <c r="T572" s="388"/>
      <c r="U572" s="388"/>
      <c r="V572" s="388"/>
      <c r="W572" s="388"/>
      <c r="X572" s="388"/>
      <c r="Y572" s="388"/>
      <c r="Z572" s="388"/>
      <c r="AA572" s="388"/>
      <c r="AB572" s="388"/>
      <c r="AC572" s="388"/>
    </row>
    <row r="573">
      <c r="A573" s="388"/>
      <c r="B573" s="388"/>
      <c r="C573" s="388"/>
      <c r="D573" s="388"/>
      <c r="E573" s="388"/>
      <c r="F573" s="388"/>
      <c r="G573" s="388"/>
      <c r="H573" s="388"/>
      <c r="I573" s="388"/>
      <c r="J573" s="642"/>
      <c r="K573" s="642"/>
      <c r="L573" s="642"/>
      <c r="M573" s="388"/>
      <c r="N573" s="388"/>
      <c r="O573" s="388"/>
      <c r="P573" s="388"/>
      <c r="Q573" s="388"/>
      <c r="R573" s="388"/>
      <c r="S573" s="388"/>
      <c r="T573" s="388"/>
      <c r="U573" s="388"/>
      <c r="V573" s="388"/>
      <c r="W573" s="388"/>
      <c r="X573" s="388"/>
      <c r="Y573" s="388"/>
      <c r="Z573" s="388"/>
      <c r="AA573" s="388"/>
      <c r="AB573" s="388"/>
      <c r="AC573" s="388"/>
    </row>
    <row r="574">
      <c r="A574" s="388"/>
      <c r="B574" s="388"/>
      <c r="C574" s="388"/>
      <c r="D574" s="388"/>
      <c r="E574" s="388"/>
      <c r="F574" s="388"/>
      <c r="G574" s="388"/>
      <c r="H574" s="388"/>
      <c r="I574" s="388"/>
      <c r="J574" s="642"/>
      <c r="K574" s="642"/>
      <c r="L574" s="642"/>
      <c r="M574" s="388"/>
      <c r="N574" s="388"/>
      <c r="O574" s="388"/>
      <c r="P574" s="388"/>
      <c r="Q574" s="388"/>
      <c r="R574" s="388"/>
      <c r="S574" s="388"/>
      <c r="T574" s="388"/>
      <c r="U574" s="388"/>
      <c r="V574" s="388"/>
      <c r="W574" s="388"/>
      <c r="X574" s="388"/>
      <c r="Y574" s="388"/>
      <c r="Z574" s="388"/>
      <c r="AA574" s="388"/>
      <c r="AB574" s="388"/>
      <c r="AC574" s="388"/>
    </row>
    <row r="575">
      <c r="A575" s="388"/>
      <c r="B575" s="388"/>
      <c r="C575" s="388"/>
      <c r="D575" s="388"/>
      <c r="E575" s="388"/>
      <c r="F575" s="388"/>
      <c r="G575" s="388"/>
      <c r="H575" s="388"/>
      <c r="I575" s="388"/>
      <c r="J575" s="642"/>
      <c r="K575" s="642"/>
      <c r="L575" s="642"/>
      <c r="M575" s="388"/>
      <c r="N575" s="388"/>
      <c r="O575" s="388"/>
      <c r="P575" s="388"/>
      <c r="Q575" s="388"/>
      <c r="R575" s="388"/>
      <c r="S575" s="388"/>
      <c r="T575" s="388"/>
      <c r="U575" s="388"/>
      <c r="V575" s="388"/>
      <c r="W575" s="388"/>
      <c r="X575" s="388"/>
      <c r="Y575" s="388"/>
      <c r="Z575" s="388"/>
      <c r="AA575" s="388"/>
      <c r="AB575" s="388"/>
      <c r="AC575" s="388"/>
    </row>
    <row r="576">
      <c r="A576" s="388"/>
      <c r="B576" s="388"/>
      <c r="C576" s="388"/>
      <c r="D576" s="388"/>
      <c r="E576" s="388"/>
      <c r="F576" s="388"/>
      <c r="G576" s="388"/>
      <c r="H576" s="388"/>
      <c r="I576" s="388"/>
      <c r="J576" s="642"/>
      <c r="K576" s="642"/>
      <c r="L576" s="642"/>
      <c r="M576" s="388"/>
      <c r="N576" s="388"/>
      <c r="O576" s="388"/>
      <c r="P576" s="388"/>
      <c r="Q576" s="388"/>
      <c r="R576" s="388"/>
      <c r="S576" s="388"/>
      <c r="T576" s="388"/>
      <c r="U576" s="388"/>
      <c r="V576" s="388"/>
      <c r="W576" s="388"/>
      <c r="X576" s="388"/>
      <c r="Y576" s="388"/>
      <c r="Z576" s="388"/>
      <c r="AA576" s="388"/>
      <c r="AB576" s="388"/>
      <c r="AC576" s="388"/>
    </row>
    <row r="577">
      <c r="A577" s="388"/>
      <c r="B577" s="388"/>
      <c r="C577" s="388"/>
      <c r="D577" s="388"/>
      <c r="E577" s="388"/>
      <c r="F577" s="388"/>
      <c r="G577" s="388"/>
      <c r="H577" s="388"/>
      <c r="I577" s="388"/>
      <c r="J577" s="642"/>
      <c r="K577" s="642"/>
      <c r="L577" s="642"/>
      <c r="M577" s="388"/>
      <c r="N577" s="388"/>
      <c r="O577" s="388"/>
      <c r="P577" s="388"/>
      <c r="Q577" s="388"/>
      <c r="R577" s="388"/>
      <c r="S577" s="388"/>
      <c r="T577" s="388"/>
      <c r="U577" s="388"/>
      <c r="V577" s="388"/>
      <c r="W577" s="388"/>
      <c r="X577" s="388"/>
      <c r="Y577" s="388"/>
      <c r="Z577" s="388"/>
      <c r="AA577" s="388"/>
      <c r="AB577" s="388"/>
      <c r="AC577" s="388"/>
    </row>
    <row r="578">
      <c r="A578" s="388"/>
      <c r="B578" s="388"/>
      <c r="C578" s="388"/>
      <c r="D578" s="388"/>
      <c r="E578" s="388"/>
      <c r="F578" s="388"/>
      <c r="G578" s="388"/>
      <c r="H578" s="388"/>
      <c r="I578" s="388"/>
      <c r="J578" s="642"/>
      <c r="K578" s="642"/>
      <c r="L578" s="642"/>
      <c r="M578" s="388"/>
      <c r="N578" s="388"/>
      <c r="O578" s="388"/>
      <c r="P578" s="388"/>
      <c r="Q578" s="388"/>
      <c r="R578" s="388"/>
      <c r="S578" s="388"/>
      <c r="T578" s="388"/>
      <c r="U578" s="388"/>
      <c r="V578" s="388"/>
      <c r="W578" s="388"/>
      <c r="X578" s="388"/>
      <c r="Y578" s="388"/>
      <c r="Z578" s="388"/>
      <c r="AA578" s="388"/>
      <c r="AB578" s="388"/>
      <c r="AC578" s="388"/>
    </row>
    <row r="579">
      <c r="A579" s="388"/>
      <c r="B579" s="388"/>
      <c r="C579" s="388"/>
      <c r="D579" s="388"/>
      <c r="E579" s="388"/>
      <c r="F579" s="388"/>
      <c r="G579" s="388"/>
      <c r="H579" s="388"/>
      <c r="I579" s="388"/>
      <c r="J579" s="642"/>
      <c r="K579" s="642"/>
      <c r="L579" s="642"/>
      <c r="M579" s="388"/>
      <c r="N579" s="388"/>
      <c r="O579" s="388"/>
      <c r="P579" s="388"/>
      <c r="Q579" s="388"/>
      <c r="R579" s="388"/>
      <c r="S579" s="388"/>
      <c r="T579" s="388"/>
      <c r="U579" s="388"/>
      <c r="V579" s="388"/>
      <c r="W579" s="388"/>
      <c r="X579" s="388"/>
      <c r="Y579" s="388"/>
      <c r="Z579" s="388"/>
      <c r="AA579" s="388"/>
      <c r="AB579" s="388"/>
      <c r="AC579" s="388"/>
    </row>
    <row r="580">
      <c r="A580" s="388"/>
      <c r="B580" s="388"/>
      <c r="C580" s="388"/>
      <c r="D580" s="388"/>
      <c r="E580" s="388"/>
      <c r="F580" s="388"/>
      <c r="G580" s="388"/>
      <c r="H580" s="388"/>
      <c r="I580" s="388"/>
      <c r="J580" s="642"/>
      <c r="K580" s="642"/>
      <c r="L580" s="642"/>
      <c r="M580" s="388"/>
      <c r="N580" s="388"/>
      <c r="O580" s="388"/>
      <c r="P580" s="388"/>
      <c r="Q580" s="388"/>
      <c r="R580" s="388"/>
      <c r="S580" s="388"/>
      <c r="T580" s="388"/>
      <c r="U580" s="388"/>
      <c r="V580" s="388"/>
      <c r="W580" s="388"/>
      <c r="X580" s="388"/>
      <c r="Y580" s="388"/>
      <c r="Z580" s="388"/>
      <c r="AA580" s="388"/>
      <c r="AB580" s="388"/>
      <c r="AC580" s="388"/>
    </row>
    <row r="581">
      <c r="A581" s="388"/>
      <c r="B581" s="388"/>
      <c r="C581" s="388"/>
      <c r="D581" s="388"/>
      <c r="E581" s="388"/>
      <c r="F581" s="388"/>
      <c r="G581" s="388"/>
      <c r="H581" s="388"/>
      <c r="I581" s="388"/>
      <c r="J581" s="642"/>
      <c r="K581" s="642"/>
      <c r="L581" s="642"/>
      <c r="M581" s="388"/>
      <c r="N581" s="388"/>
      <c r="O581" s="388"/>
      <c r="P581" s="388"/>
      <c r="Q581" s="388"/>
      <c r="R581" s="388"/>
      <c r="S581" s="388"/>
      <c r="T581" s="388"/>
      <c r="U581" s="388"/>
      <c r="V581" s="388"/>
      <c r="W581" s="388"/>
      <c r="X581" s="388"/>
      <c r="Y581" s="388"/>
      <c r="Z581" s="388"/>
      <c r="AA581" s="388"/>
      <c r="AB581" s="388"/>
      <c r="AC581" s="388"/>
    </row>
    <row r="582">
      <c r="A582" s="388"/>
      <c r="B582" s="388"/>
      <c r="C582" s="388"/>
      <c r="D582" s="388"/>
      <c r="E582" s="388"/>
      <c r="F582" s="388"/>
      <c r="G582" s="388"/>
      <c r="H582" s="388"/>
      <c r="I582" s="388"/>
      <c r="J582" s="642"/>
      <c r="K582" s="642"/>
      <c r="L582" s="642"/>
      <c r="M582" s="388"/>
      <c r="N582" s="388"/>
      <c r="O582" s="388"/>
      <c r="P582" s="388"/>
      <c r="Q582" s="388"/>
      <c r="R582" s="388"/>
      <c r="S582" s="388"/>
      <c r="T582" s="388"/>
      <c r="U582" s="388"/>
      <c r="V582" s="388"/>
      <c r="W582" s="388"/>
      <c r="X582" s="388"/>
      <c r="Y582" s="388"/>
      <c r="Z582" s="388"/>
      <c r="AA582" s="388"/>
      <c r="AB582" s="388"/>
      <c r="AC582" s="388"/>
    </row>
    <row r="583">
      <c r="A583" s="388"/>
      <c r="B583" s="388"/>
      <c r="C583" s="388"/>
      <c r="D583" s="388"/>
      <c r="E583" s="388"/>
      <c r="F583" s="388"/>
      <c r="G583" s="388"/>
      <c r="H583" s="388"/>
      <c r="I583" s="388"/>
      <c r="J583" s="642"/>
      <c r="K583" s="642"/>
      <c r="L583" s="642"/>
      <c r="M583" s="388"/>
      <c r="N583" s="388"/>
      <c r="O583" s="388"/>
      <c r="P583" s="388"/>
      <c r="Q583" s="388"/>
      <c r="R583" s="388"/>
      <c r="S583" s="388"/>
      <c r="T583" s="388"/>
      <c r="U583" s="388"/>
      <c r="V583" s="388"/>
      <c r="W583" s="388"/>
      <c r="X583" s="388"/>
      <c r="Y583" s="388"/>
      <c r="Z583" s="388"/>
      <c r="AA583" s="388"/>
      <c r="AB583" s="388"/>
      <c r="AC583" s="388"/>
    </row>
    <row r="584">
      <c r="A584" s="388"/>
      <c r="B584" s="388"/>
      <c r="C584" s="388"/>
      <c r="D584" s="388"/>
      <c r="E584" s="388"/>
      <c r="F584" s="388"/>
      <c r="G584" s="388"/>
      <c r="H584" s="388"/>
      <c r="I584" s="388"/>
      <c r="J584" s="642"/>
      <c r="K584" s="642"/>
      <c r="L584" s="642"/>
      <c r="M584" s="388"/>
      <c r="N584" s="388"/>
      <c r="O584" s="388"/>
      <c r="P584" s="388"/>
      <c r="Q584" s="388"/>
      <c r="R584" s="388"/>
      <c r="S584" s="388"/>
      <c r="T584" s="388"/>
      <c r="U584" s="388"/>
      <c r="V584" s="388"/>
      <c r="W584" s="388"/>
      <c r="X584" s="388"/>
      <c r="Y584" s="388"/>
      <c r="Z584" s="388"/>
      <c r="AA584" s="388"/>
      <c r="AB584" s="388"/>
      <c r="AC584" s="388"/>
    </row>
    <row r="585">
      <c r="A585" s="388"/>
      <c r="B585" s="388"/>
      <c r="C585" s="388"/>
      <c r="D585" s="388"/>
      <c r="E585" s="388"/>
      <c r="F585" s="388"/>
      <c r="G585" s="388"/>
      <c r="H585" s="388"/>
      <c r="I585" s="388"/>
      <c r="J585" s="642"/>
      <c r="K585" s="642"/>
      <c r="L585" s="642"/>
      <c r="M585" s="388"/>
      <c r="N585" s="388"/>
      <c r="O585" s="388"/>
      <c r="P585" s="388"/>
      <c r="Q585" s="388"/>
      <c r="R585" s="388"/>
      <c r="S585" s="388"/>
      <c r="T585" s="388"/>
      <c r="U585" s="388"/>
      <c r="V585" s="388"/>
      <c r="W585" s="388"/>
      <c r="X585" s="388"/>
      <c r="Y585" s="388"/>
      <c r="Z585" s="388"/>
      <c r="AA585" s="388"/>
      <c r="AB585" s="388"/>
      <c r="AC585" s="388"/>
    </row>
    <row r="586">
      <c r="A586" s="388"/>
      <c r="B586" s="388"/>
      <c r="C586" s="388"/>
      <c r="D586" s="388"/>
      <c r="E586" s="388"/>
      <c r="F586" s="388"/>
      <c r="G586" s="388"/>
      <c r="H586" s="388"/>
      <c r="I586" s="388"/>
      <c r="J586" s="642"/>
      <c r="K586" s="642"/>
      <c r="L586" s="642"/>
      <c r="M586" s="388"/>
      <c r="N586" s="388"/>
      <c r="O586" s="388"/>
      <c r="P586" s="388"/>
      <c r="Q586" s="388"/>
      <c r="R586" s="388"/>
      <c r="S586" s="388"/>
      <c r="T586" s="388"/>
      <c r="U586" s="388"/>
      <c r="V586" s="388"/>
      <c r="W586" s="388"/>
      <c r="X586" s="388"/>
      <c r="Y586" s="388"/>
      <c r="Z586" s="388"/>
      <c r="AA586" s="388"/>
      <c r="AB586" s="388"/>
      <c r="AC586" s="388"/>
    </row>
    <row r="587">
      <c r="A587" s="388"/>
      <c r="B587" s="388"/>
      <c r="C587" s="388"/>
      <c r="D587" s="388"/>
      <c r="E587" s="388"/>
      <c r="F587" s="388"/>
      <c r="G587" s="388"/>
      <c r="H587" s="388"/>
      <c r="I587" s="388"/>
      <c r="J587" s="642"/>
      <c r="K587" s="642"/>
      <c r="L587" s="642"/>
      <c r="M587" s="388"/>
      <c r="N587" s="388"/>
      <c r="O587" s="388"/>
      <c r="P587" s="388"/>
      <c r="Q587" s="388"/>
      <c r="R587" s="388"/>
      <c r="S587" s="388"/>
      <c r="T587" s="388"/>
      <c r="U587" s="388"/>
      <c r="V587" s="388"/>
      <c r="W587" s="388"/>
      <c r="X587" s="388"/>
      <c r="Y587" s="388"/>
      <c r="Z587" s="388"/>
      <c r="AA587" s="388"/>
      <c r="AB587" s="388"/>
      <c r="AC587" s="388"/>
    </row>
    <row r="588">
      <c r="A588" s="388"/>
      <c r="B588" s="388"/>
      <c r="C588" s="388"/>
      <c r="D588" s="388"/>
      <c r="E588" s="388"/>
      <c r="F588" s="388"/>
      <c r="G588" s="388"/>
      <c r="H588" s="388"/>
      <c r="I588" s="388"/>
      <c r="J588" s="642"/>
      <c r="K588" s="642"/>
      <c r="L588" s="642"/>
      <c r="M588" s="388"/>
      <c r="N588" s="388"/>
      <c r="O588" s="388"/>
      <c r="P588" s="388"/>
      <c r="Q588" s="388"/>
      <c r="R588" s="388"/>
      <c r="S588" s="388"/>
      <c r="T588" s="388"/>
      <c r="U588" s="388"/>
      <c r="V588" s="388"/>
      <c r="W588" s="388"/>
      <c r="X588" s="388"/>
      <c r="Y588" s="388"/>
      <c r="Z588" s="388"/>
      <c r="AA588" s="388"/>
      <c r="AB588" s="388"/>
      <c r="AC588" s="388"/>
    </row>
    <row r="589">
      <c r="A589" s="388"/>
      <c r="B589" s="388"/>
      <c r="C589" s="388"/>
      <c r="D589" s="388"/>
      <c r="E589" s="388"/>
      <c r="F589" s="388"/>
      <c r="G589" s="388"/>
      <c r="H589" s="388"/>
      <c r="I589" s="388"/>
      <c r="J589" s="642"/>
      <c r="K589" s="642"/>
      <c r="L589" s="642"/>
      <c r="M589" s="388"/>
      <c r="N589" s="388"/>
      <c r="O589" s="388"/>
      <c r="P589" s="388"/>
      <c r="Q589" s="388"/>
      <c r="R589" s="388"/>
      <c r="S589" s="388"/>
      <c r="T589" s="388"/>
      <c r="U589" s="388"/>
      <c r="V589" s="388"/>
      <c r="W589" s="388"/>
      <c r="X589" s="388"/>
      <c r="Y589" s="388"/>
      <c r="Z589" s="388"/>
      <c r="AA589" s="388"/>
      <c r="AB589" s="388"/>
      <c r="AC589" s="388"/>
    </row>
    <row r="590">
      <c r="A590" s="388"/>
      <c r="B590" s="388"/>
      <c r="C590" s="388"/>
      <c r="D590" s="388"/>
      <c r="E590" s="388"/>
      <c r="F590" s="388"/>
      <c r="G590" s="388"/>
      <c r="H590" s="388"/>
      <c r="I590" s="388"/>
      <c r="J590" s="642"/>
      <c r="K590" s="642"/>
      <c r="L590" s="642"/>
      <c r="M590" s="388"/>
      <c r="N590" s="388"/>
      <c r="O590" s="388"/>
      <c r="P590" s="388"/>
      <c r="Q590" s="388"/>
      <c r="R590" s="388"/>
      <c r="S590" s="388"/>
      <c r="T590" s="388"/>
      <c r="U590" s="388"/>
      <c r="V590" s="388"/>
      <c r="W590" s="388"/>
      <c r="X590" s="388"/>
      <c r="Y590" s="388"/>
      <c r="Z590" s="388"/>
      <c r="AA590" s="388"/>
      <c r="AB590" s="388"/>
      <c r="AC590" s="388"/>
    </row>
    <row r="591">
      <c r="A591" s="388"/>
      <c r="B591" s="388"/>
      <c r="C591" s="388"/>
      <c r="D591" s="388"/>
      <c r="E591" s="388"/>
      <c r="F591" s="388"/>
      <c r="G591" s="388"/>
      <c r="H591" s="388"/>
      <c r="I591" s="388"/>
      <c r="J591" s="642"/>
      <c r="K591" s="642"/>
      <c r="L591" s="642"/>
      <c r="M591" s="388"/>
      <c r="N591" s="388"/>
      <c r="O591" s="388"/>
      <c r="P591" s="388"/>
      <c r="Q591" s="388"/>
      <c r="R591" s="388"/>
      <c r="S591" s="388"/>
      <c r="T591" s="388"/>
      <c r="U591" s="388"/>
      <c r="V591" s="388"/>
      <c r="W591" s="388"/>
      <c r="X591" s="388"/>
      <c r="Y591" s="388"/>
      <c r="Z591" s="388"/>
      <c r="AA591" s="388"/>
      <c r="AB591" s="388"/>
      <c r="AC591" s="388"/>
    </row>
    <row r="592">
      <c r="A592" s="388"/>
      <c r="B592" s="388"/>
      <c r="C592" s="388"/>
      <c r="D592" s="388"/>
      <c r="E592" s="388"/>
      <c r="F592" s="388"/>
      <c r="G592" s="388"/>
      <c r="H592" s="388"/>
      <c r="I592" s="388"/>
      <c r="J592" s="642"/>
      <c r="K592" s="642"/>
      <c r="L592" s="642"/>
      <c r="M592" s="388"/>
      <c r="N592" s="388"/>
      <c r="O592" s="388"/>
      <c r="P592" s="388"/>
      <c r="Q592" s="388"/>
      <c r="R592" s="388"/>
      <c r="S592" s="388"/>
      <c r="T592" s="388"/>
      <c r="U592" s="388"/>
      <c r="V592" s="388"/>
      <c r="W592" s="388"/>
      <c r="X592" s="388"/>
      <c r="Y592" s="388"/>
      <c r="Z592" s="388"/>
      <c r="AA592" s="388"/>
      <c r="AB592" s="388"/>
      <c r="AC592" s="388"/>
    </row>
    <row r="593">
      <c r="A593" s="388"/>
      <c r="B593" s="388"/>
      <c r="C593" s="388"/>
      <c r="D593" s="388"/>
      <c r="E593" s="388"/>
      <c r="F593" s="388"/>
      <c r="G593" s="388"/>
      <c r="H593" s="388"/>
      <c r="I593" s="388"/>
      <c r="J593" s="642"/>
      <c r="K593" s="642"/>
      <c r="L593" s="642"/>
      <c r="M593" s="388"/>
      <c r="N593" s="388"/>
      <c r="O593" s="388"/>
      <c r="P593" s="388"/>
      <c r="Q593" s="388"/>
      <c r="R593" s="388"/>
      <c r="S593" s="388"/>
      <c r="T593" s="388"/>
      <c r="U593" s="388"/>
      <c r="V593" s="388"/>
      <c r="W593" s="388"/>
      <c r="X593" s="388"/>
      <c r="Y593" s="388"/>
      <c r="Z593" s="388"/>
      <c r="AA593" s="388"/>
      <c r="AB593" s="388"/>
      <c r="AC593" s="388"/>
    </row>
    <row r="594">
      <c r="A594" s="388"/>
      <c r="B594" s="388"/>
      <c r="C594" s="388"/>
      <c r="D594" s="388"/>
      <c r="E594" s="388"/>
      <c r="F594" s="388"/>
      <c r="G594" s="388"/>
      <c r="H594" s="388"/>
      <c r="I594" s="388"/>
      <c r="J594" s="642"/>
      <c r="K594" s="642"/>
      <c r="L594" s="642"/>
      <c r="M594" s="388"/>
      <c r="N594" s="388"/>
      <c r="O594" s="388"/>
      <c r="P594" s="388"/>
      <c r="Q594" s="388"/>
      <c r="R594" s="388"/>
      <c r="S594" s="388"/>
      <c r="T594" s="388"/>
      <c r="U594" s="388"/>
      <c r="V594" s="388"/>
      <c r="W594" s="388"/>
      <c r="X594" s="388"/>
      <c r="Y594" s="388"/>
      <c r="Z594" s="388"/>
      <c r="AA594" s="388"/>
      <c r="AB594" s="388"/>
      <c r="AC594" s="388"/>
    </row>
    <row r="595">
      <c r="A595" s="388"/>
      <c r="B595" s="388"/>
      <c r="C595" s="388"/>
      <c r="D595" s="388"/>
      <c r="E595" s="388"/>
      <c r="F595" s="388"/>
      <c r="G595" s="388"/>
      <c r="H595" s="388"/>
      <c r="I595" s="388"/>
      <c r="J595" s="642"/>
      <c r="K595" s="642"/>
      <c r="L595" s="642"/>
      <c r="M595" s="388"/>
      <c r="N595" s="388"/>
      <c r="O595" s="388"/>
      <c r="P595" s="388"/>
      <c r="Q595" s="388"/>
      <c r="R595" s="388"/>
      <c r="S595" s="388"/>
      <c r="T595" s="388"/>
      <c r="U595" s="388"/>
      <c r="V595" s="388"/>
      <c r="W595" s="388"/>
      <c r="X595" s="388"/>
      <c r="Y595" s="388"/>
      <c r="Z595" s="388"/>
      <c r="AA595" s="388"/>
      <c r="AB595" s="388"/>
      <c r="AC595" s="388"/>
    </row>
    <row r="596">
      <c r="A596" s="388"/>
      <c r="B596" s="388"/>
      <c r="C596" s="388"/>
      <c r="D596" s="388"/>
      <c r="E596" s="388"/>
      <c r="F596" s="388"/>
      <c r="G596" s="388"/>
      <c r="H596" s="388"/>
      <c r="I596" s="388"/>
      <c r="J596" s="642"/>
      <c r="K596" s="642"/>
      <c r="L596" s="642"/>
      <c r="M596" s="388"/>
      <c r="N596" s="388"/>
      <c r="O596" s="388"/>
      <c r="P596" s="388"/>
      <c r="Q596" s="388"/>
      <c r="R596" s="388"/>
      <c r="S596" s="388"/>
      <c r="T596" s="388"/>
      <c r="U596" s="388"/>
      <c r="V596" s="388"/>
      <c r="W596" s="388"/>
      <c r="X596" s="388"/>
      <c r="Y596" s="388"/>
      <c r="Z596" s="388"/>
      <c r="AA596" s="388"/>
      <c r="AB596" s="388"/>
      <c r="AC596" s="388"/>
    </row>
    <row r="597">
      <c r="A597" s="388"/>
      <c r="B597" s="388"/>
      <c r="C597" s="388"/>
      <c r="D597" s="388"/>
      <c r="E597" s="388"/>
      <c r="F597" s="388"/>
      <c r="G597" s="388"/>
      <c r="H597" s="388"/>
      <c r="I597" s="388"/>
      <c r="J597" s="642"/>
      <c r="K597" s="642"/>
      <c r="L597" s="642"/>
      <c r="M597" s="388"/>
      <c r="N597" s="388"/>
      <c r="O597" s="388"/>
      <c r="P597" s="388"/>
      <c r="Q597" s="388"/>
      <c r="R597" s="388"/>
      <c r="S597" s="388"/>
      <c r="T597" s="388"/>
      <c r="U597" s="388"/>
      <c r="V597" s="388"/>
      <c r="W597" s="388"/>
      <c r="X597" s="388"/>
      <c r="Y597" s="388"/>
      <c r="Z597" s="388"/>
      <c r="AA597" s="388"/>
      <c r="AB597" s="388"/>
      <c r="AC597" s="388"/>
    </row>
    <row r="598">
      <c r="A598" s="388"/>
      <c r="B598" s="388"/>
      <c r="C598" s="388"/>
      <c r="D598" s="388"/>
      <c r="E598" s="388"/>
      <c r="F598" s="388"/>
      <c r="G598" s="388"/>
      <c r="H598" s="388"/>
      <c r="I598" s="388"/>
      <c r="J598" s="642"/>
      <c r="K598" s="642"/>
      <c r="L598" s="642"/>
      <c r="M598" s="388"/>
      <c r="N598" s="388"/>
      <c r="O598" s="388"/>
      <c r="P598" s="388"/>
      <c r="Q598" s="388"/>
      <c r="R598" s="388"/>
      <c r="S598" s="388"/>
      <c r="T598" s="388"/>
      <c r="U598" s="388"/>
      <c r="V598" s="388"/>
      <c r="W598" s="388"/>
      <c r="X598" s="388"/>
      <c r="Y598" s="388"/>
      <c r="Z598" s="388"/>
      <c r="AA598" s="388"/>
      <c r="AB598" s="388"/>
      <c r="AC598" s="388"/>
    </row>
    <row r="599">
      <c r="A599" s="388"/>
      <c r="B599" s="388"/>
      <c r="C599" s="388"/>
      <c r="D599" s="388"/>
      <c r="E599" s="388"/>
      <c r="F599" s="388"/>
      <c r="G599" s="388"/>
      <c r="H599" s="388"/>
      <c r="I599" s="388"/>
      <c r="J599" s="642"/>
      <c r="K599" s="642"/>
      <c r="L599" s="642"/>
      <c r="M599" s="388"/>
      <c r="N599" s="388"/>
      <c r="O599" s="388"/>
      <c r="P599" s="388"/>
      <c r="Q599" s="388"/>
      <c r="R599" s="388"/>
      <c r="S599" s="388"/>
      <c r="T599" s="388"/>
      <c r="U599" s="388"/>
      <c r="V599" s="388"/>
      <c r="W599" s="388"/>
      <c r="X599" s="388"/>
      <c r="Y599" s="388"/>
      <c r="Z599" s="388"/>
      <c r="AA599" s="388"/>
      <c r="AB599" s="388"/>
      <c r="AC599" s="388"/>
    </row>
    <row r="600">
      <c r="A600" s="388"/>
      <c r="B600" s="388"/>
      <c r="C600" s="388"/>
      <c r="D600" s="388"/>
      <c r="E600" s="388"/>
      <c r="F600" s="388"/>
      <c r="G600" s="388"/>
      <c r="H600" s="388"/>
      <c r="I600" s="388"/>
      <c r="J600" s="642"/>
      <c r="K600" s="642"/>
      <c r="L600" s="642"/>
      <c r="M600" s="388"/>
      <c r="N600" s="388"/>
      <c r="O600" s="388"/>
      <c r="P600" s="388"/>
      <c r="Q600" s="388"/>
      <c r="R600" s="388"/>
      <c r="S600" s="388"/>
      <c r="T600" s="388"/>
      <c r="U600" s="388"/>
      <c r="V600" s="388"/>
      <c r="W600" s="388"/>
      <c r="X600" s="388"/>
      <c r="Y600" s="388"/>
      <c r="Z600" s="388"/>
      <c r="AA600" s="388"/>
      <c r="AB600" s="388"/>
      <c r="AC600" s="388"/>
    </row>
    <row r="601">
      <c r="A601" s="388"/>
      <c r="B601" s="388"/>
      <c r="C601" s="388"/>
      <c r="D601" s="388"/>
      <c r="E601" s="388"/>
      <c r="F601" s="388"/>
      <c r="G601" s="388"/>
      <c r="H601" s="388"/>
      <c r="I601" s="388"/>
      <c r="J601" s="642"/>
      <c r="K601" s="642"/>
      <c r="L601" s="642"/>
      <c r="M601" s="388"/>
      <c r="N601" s="388"/>
      <c r="O601" s="388"/>
      <c r="P601" s="388"/>
      <c r="Q601" s="388"/>
      <c r="R601" s="388"/>
      <c r="S601" s="388"/>
      <c r="T601" s="388"/>
      <c r="U601" s="388"/>
      <c r="V601" s="388"/>
      <c r="W601" s="388"/>
      <c r="X601" s="388"/>
      <c r="Y601" s="388"/>
      <c r="Z601" s="388"/>
      <c r="AA601" s="388"/>
      <c r="AB601" s="388"/>
      <c r="AC601" s="388"/>
    </row>
    <row r="602">
      <c r="A602" s="388"/>
      <c r="B602" s="388"/>
      <c r="C602" s="388"/>
      <c r="D602" s="388"/>
      <c r="E602" s="388"/>
      <c r="F602" s="388"/>
      <c r="G602" s="388"/>
      <c r="H602" s="388"/>
      <c r="I602" s="388"/>
      <c r="J602" s="642"/>
      <c r="K602" s="642"/>
      <c r="L602" s="642"/>
      <c r="M602" s="388"/>
      <c r="N602" s="388"/>
      <c r="O602" s="388"/>
      <c r="P602" s="388"/>
      <c r="Q602" s="388"/>
      <c r="R602" s="388"/>
      <c r="S602" s="388"/>
      <c r="T602" s="388"/>
      <c r="U602" s="388"/>
      <c r="V602" s="388"/>
      <c r="W602" s="388"/>
      <c r="X602" s="388"/>
      <c r="Y602" s="388"/>
      <c r="Z602" s="388"/>
      <c r="AA602" s="388"/>
      <c r="AB602" s="388"/>
      <c r="AC602" s="388"/>
    </row>
    <row r="603">
      <c r="A603" s="388"/>
      <c r="B603" s="388"/>
      <c r="C603" s="388"/>
      <c r="D603" s="388"/>
      <c r="E603" s="388"/>
      <c r="F603" s="388"/>
      <c r="G603" s="388"/>
      <c r="H603" s="388"/>
      <c r="I603" s="388"/>
      <c r="J603" s="642"/>
      <c r="K603" s="642"/>
      <c r="L603" s="642"/>
      <c r="M603" s="388"/>
      <c r="N603" s="388"/>
      <c r="O603" s="388"/>
      <c r="P603" s="388"/>
      <c r="Q603" s="388"/>
      <c r="R603" s="388"/>
      <c r="S603" s="388"/>
      <c r="T603" s="388"/>
      <c r="U603" s="388"/>
      <c r="V603" s="388"/>
      <c r="W603" s="388"/>
      <c r="X603" s="388"/>
      <c r="Y603" s="388"/>
      <c r="Z603" s="388"/>
      <c r="AA603" s="388"/>
      <c r="AB603" s="388"/>
      <c r="AC603" s="388"/>
    </row>
    <row r="604">
      <c r="A604" s="388"/>
      <c r="B604" s="388"/>
      <c r="C604" s="388"/>
      <c r="D604" s="388"/>
      <c r="E604" s="388"/>
      <c r="F604" s="388"/>
      <c r="G604" s="388"/>
      <c r="H604" s="388"/>
      <c r="I604" s="388"/>
      <c r="J604" s="642"/>
      <c r="K604" s="642"/>
      <c r="L604" s="642"/>
      <c r="M604" s="388"/>
      <c r="N604" s="388"/>
      <c r="O604" s="388"/>
      <c r="P604" s="388"/>
      <c r="Q604" s="388"/>
      <c r="R604" s="388"/>
      <c r="S604" s="388"/>
      <c r="T604" s="388"/>
      <c r="U604" s="388"/>
      <c r="V604" s="388"/>
      <c r="W604" s="388"/>
      <c r="X604" s="388"/>
      <c r="Y604" s="388"/>
      <c r="Z604" s="388"/>
      <c r="AA604" s="388"/>
      <c r="AB604" s="388"/>
      <c r="AC604" s="388"/>
    </row>
    <row r="605">
      <c r="A605" s="388"/>
      <c r="B605" s="388"/>
      <c r="C605" s="388"/>
      <c r="D605" s="388"/>
      <c r="E605" s="388"/>
      <c r="F605" s="388"/>
      <c r="G605" s="388"/>
      <c r="H605" s="388"/>
      <c r="I605" s="388"/>
      <c r="J605" s="642"/>
      <c r="K605" s="642"/>
      <c r="L605" s="642"/>
      <c r="M605" s="388"/>
      <c r="N605" s="388"/>
      <c r="O605" s="388"/>
      <c r="P605" s="388"/>
      <c r="Q605" s="388"/>
      <c r="R605" s="388"/>
      <c r="S605" s="388"/>
      <c r="T605" s="388"/>
      <c r="U605" s="388"/>
      <c r="V605" s="388"/>
      <c r="W605" s="388"/>
      <c r="X605" s="388"/>
      <c r="Y605" s="388"/>
      <c r="Z605" s="388"/>
      <c r="AA605" s="388"/>
      <c r="AB605" s="388"/>
      <c r="AC605" s="388"/>
    </row>
    <row r="606">
      <c r="A606" s="388"/>
      <c r="B606" s="388"/>
      <c r="C606" s="388"/>
      <c r="D606" s="388"/>
      <c r="E606" s="388"/>
      <c r="F606" s="388"/>
      <c r="G606" s="388"/>
      <c r="H606" s="388"/>
      <c r="I606" s="388"/>
      <c r="J606" s="642"/>
      <c r="K606" s="642"/>
      <c r="L606" s="642"/>
      <c r="M606" s="388"/>
      <c r="N606" s="388"/>
      <c r="O606" s="388"/>
      <c r="P606" s="388"/>
      <c r="Q606" s="388"/>
      <c r="R606" s="388"/>
      <c r="S606" s="388"/>
      <c r="T606" s="388"/>
      <c r="U606" s="388"/>
      <c r="V606" s="388"/>
      <c r="W606" s="388"/>
      <c r="X606" s="388"/>
      <c r="Y606" s="388"/>
      <c r="Z606" s="388"/>
      <c r="AA606" s="388"/>
      <c r="AB606" s="388"/>
      <c r="AC606" s="388"/>
    </row>
    <row r="607">
      <c r="A607" s="388"/>
      <c r="B607" s="388"/>
      <c r="C607" s="388"/>
      <c r="D607" s="388"/>
      <c r="E607" s="388"/>
      <c r="F607" s="388"/>
      <c r="G607" s="388"/>
      <c r="H607" s="388"/>
      <c r="I607" s="388"/>
      <c r="J607" s="642"/>
      <c r="K607" s="642"/>
      <c r="L607" s="642"/>
      <c r="M607" s="388"/>
      <c r="N607" s="388"/>
      <c r="O607" s="388"/>
      <c r="P607" s="388"/>
      <c r="Q607" s="388"/>
      <c r="R607" s="388"/>
      <c r="S607" s="388"/>
      <c r="T607" s="388"/>
      <c r="U607" s="388"/>
      <c r="V607" s="388"/>
      <c r="W607" s="388"/>
      <c r="X607" s="388"/>
      <c r="Y607" s="388"/>
      <c r="Z607" s="388"/>
      <c r="AA607" s="388"/>
      <c r="AB607" s="388"/>
      <c r="AC607" s="388"/>
    </row>
    <row r="608">
      <c r="A608" s="388"/>
      <c r="B608" s="388"/>
      <c r="C608" s="388"/>
      <c r="D608" s="388"/>
      <c r="E608" s="388"/>
      <c r="F608" s="388"/>
      <c r="G608" s="388"/>
      <c r="H608" s="388"/>
      <c r="I608" s="388"/>
      <c r="J608" s="642"/>
      <c r="K608" s="642"/>
      <c r="L608" s="642"/>
      <c r="M608" s="388"/>
      <c r="N608" s="388"/>
      <c r="O608" s="388"/>
      <c r="P608" s="388"/>
      <c r="Q608" s="388"/>
      <c r="R608" s="388"/>
      <c r="S608" s="388"/>
      <c r="T608" s="388"/>
      <c r="U608" s="388"/>
      <c r="V608" s="388"/>
      <c r="W608" s="388"/>
      <c r="X608" s="388"/>
      <c r="Y608" s="388"/>
      <c r="Z608" s="388"/>
      <c r="AA608" s="388"/>
      <c r="AB608" s="388"/>
      <c r="AC608" s="388"/>
    </row>
    <row r="609">
      <c r="A609" s="388"/>
      <c r="B609" s="388"/>
      <c r="C609" s="388"/>
      <c r="D609" s="388"/>
      <c r="E609" s="388"/>
      <c r="F609" s="388"/>
      <c r="G609" s="388"/>
      <c r="H609" s="388"/>
      <c r="I609" s="388"/>
      <c r="J609" s="642"/>
      <c r="K609" s="642"/>
      <c r="L609" s="642"/>
      <c r="M609" s="388"/>
      <c r="N609" s="388"/>
      <c r="O609" s="388"/>
      <c r="P609" s="388"/>
      <c r="Q609" s="388"/>
      <c r="R609" s="388"/>
      <c r="S609" s="388"/>
      <c r="T609" s="388"/>
      <c r="U609" s="388"/>
      <c r="V609" s="388"/>
      <c r="W609" s="388"/>
      <c r="X609" s="388"/>
      <c r="Y609" s="388"/>
      <c r="Z609" s="388"/>
      <c r="AA609" s="388"/>
      <c r="AB609" s="388"/>
      <c r="AC609" s="388"/>
    </row>
    <row r="610">
      <c r="A610" s="388"/>
      <c r="B610" s="388"/>
      <c r="C610" s="388"/>
      <c r="D610" s="388"/>
      <c r="E610" s="388"/>
      <c r="F610" s="388"/>
      <c r="G610" s="388"/>
      <c r="H610" s="388"/>
      <c r="I610" s="388"/>
      <c r="J610" s="642"/>
      <c r="K610" s="642"/>
      <c r="L610" s="642"/>
      <c r="M610" s="388"/>
      <c r="N610" s="388"/>
      <c r="O610" s="388"/>
      <c r="P610" s="388"/>
      <c r="Q610" s="388"/>
      <c r="R610" s="388"/>
      <c r="S610" s="388"/>
      <c r="T610" s="388"/>
      <c r="U610" s="388"/>
      <c r="V610" s="388"/>
      <c r="W610" s="388"/>
      <c r="X610" s="388"/>
      <c r="Y610" s="388"/>
      <c r="Z610" s="388"/>
      <c r="AA610" s="388"/>
      <c r="AB610" s="388"/>
      <c r="AC610" s="388"/>
    </row>
    <row r="611">
      <c r="A611" s="388"/>
      <c r="B611" s="388"/>
      <c r="C611" s="388"/>
      <c r="D611" s="388"/>
      <c r="E611" s="388"/>
      <c r="F611" s="388"/>
      <c r="G611" s="388"/>
      <c r="H611" s="388"/>
      <c r="I611" s="388"/>
      <c r="J611" s="642"/>
      <c r="K611" s="642"/>
      <c r="L611" s="642"/>
      <c r="M611" s="388"/>
      <c r="N611" s="388"/>
      <c r="O611" s="388"/>
      <c r="P611" s="388"/>
      <c r="Q611" s="388"/>
      <c r="R611" s="388"/>
      <c r="S611" s="388"/>
      <c r="T611" s="388"/>
      <c r="U611" s="388"/>
      <c r="V611" s="388"/>
      <c r="W611" s="388"/>
      <c r="X611" s="388"/>
      <c r="Y611" s="388"/>
      <c r="Z611" s="388"/>
      <c r="AA611" s="388"/>
      <c r="AB611" s="388"/>
      <c r="AC611" s="388"/>
    </row>
    <row r="612">
      <c r="A612" s="388"/>
      <c r="B612" s="388"/>
      <c r="C612" s="388"/>
      <c r="D612" s="388"/>
      <c r="E612" s="388"/>
      <c r="F612" s="388"/>
      <c r="G612" s="388"/>
      <c r="H612" s="388"/>
      <c r="I612" s="388"/>
      <c r="J612" s="642"/>
      <c r="K612" s="642"/>
      <c r="L612" s="642"/>
      <c r="M612" s="388"/>
      <c r="N612" s="388"/>
      <c r="O612" s="388"/>
      <c r="P612" s="388"/>
      <c r="Q612" s="388"/>
      <c r="R612" s="388"/>
      <c r="S612" s="388"/>
      <c r="T612" s="388"/>
      <c r="U612" s="388"/>
      <c r="V612" s="388"/>
      <c r="W612" s="388"/>
      <c r="X612" s="388"/>
      <c r="Y612" s="388"/>
      <c r="Z612" s="388"/>
      <c r="AA612" s="388"/>
      <c r="AB612" s="388"/>
      <c r="AC612" s="388"/>
    </row>
    <row r="613">
      <c r="A613" s="388"/>
      <c r="B613" s="388"/>
      <c r="C613" s="388"/>
      <c r="D613" s="388"/>
      <c r="E613" s="388"/>
      <c r="F613" s="388"/>
      <c r="G613" s="388"/>
      <c r="H613" s="388"/>
      <c r="I613" s="388"/>
      <c r="J613" s="642"/>
      <c r="K613" s="642"/>
      <c r="L613" s="642"/>
      <c r="M613" s="388"/>
      <c r="N613" s="388"/>
      <c r="O613" s="388"/>
      <c r="P613" s="388"/>
      <c r="Q613" s="388"/>
      <c r="R613" s="388"/>
      <c r="S613" s="388"/>
      <c r="T613" s="388"/>
      <c r="U613" s="388"/>
      <c r="V613" s="388"/>
      <c r="W613" s="388"/>
      <c r="X613" s="388"/>
      <c r="Y613" s="388"/>
      <c r="Z613" s="388"/>
      <c r="AA613" s="388"/>
      <c r="AB613" s="388"/>
      <c r="AC613" s="388"/>
    </row>
    <row r="614">
      <c r="A614" s="388"/>
      <c r="B614" s="388"/>
      <c r="C614" s="388"/>
      <c r="D614" s="388"/>
      <c r="E614" s="388"/>
      <c r="F614" s="388"/>
      <c r="G614" s="388"/>
      <c r="H614" s="388"/>
      <c r="I614" s="388"/>
      <c r="J614" s="642"/>
      <c r="K614" s="642"/>
      <c r="L614" s="642"/>
      <c r="M614" s="388"/>
      <c r="N614" s="388"/>
      <c r="O614" s="388"/>
      <c r="P614" s="388"/>
      <c r="Q614" s="388"/>
      <c r="R614" s="388"/>
      <c r="S614" s="388"/>
      <c r="T614" s="388"/>
      <c r="U614" s="388"/>
      <c r="V614" s="388"/>
      <c r="W614" s="388"/>
      <c r="X614" s="388"/>
      <c r="Y614" s="388"/>
      <c r="Z614" s="388"/>
      <c r="AA614" s="388"/>
      <c r="AB614" s="388"/>
      <c r="AC614" s="388"/>
    </row>
    <row r="615">
      <c r="A615" s="388"/>
      <c r="B615" s="388"/>
      <c r="C615" s="388"/>
      <c r="D615" s="388"/>
      <c r="E615" s="388"/>
      <c r="F615" s="388"/>
      <c r="G615" s="388"/>
      <c r="H615" s="388"/>
      <c r="I615" s="388"/>
      <c r="J615" s="642"/>
      <c r="K615" s="642"/>
      <c r="L615" s="642"/>
      <c r="M615" s="388"/>
      <c r="N615" s="388"/>
      <c r="O615" s="388"/>
      <c r="P615" s="388"/>
      <c r="Q615" s="388"/>
      <c r="R615" s="388"/>
      <c r="S615" s="388"/>
      <c r="T615" s="388"/>
      <c r="U615" s="388"/>
      <c r="V615" s="388"/>
      <c r="W615" s="388"/>
      <c r="X615" s="388"/>
      <c r="Y615" s="388"/>
      <c r="Z615" s="388"/>
      <c r="AA615" s="388"/>
      <c r="AB615" s="388"/>
      <c r="AC615" s="388"/>
    </row>
    <row r="616">
      <c r="A616" s="388"/>
      <c r="B616" s="388"/>
      <c r="C616" s="388"/>
      <c r="D616" s="388"/>
      <c r="E616" s="388"/>
      <c r="F616" s="388"/>
      <c r="G616" s="388"/>
      <c r="H616" s="388"/>
      <c r="I616" s="388"/>
      <c r="J616" s="642"/>
      <c r="K616" s="642"/>
      <c r="L616" s="642"/>
      <c r="M616" s="388"/>
      <c r="N616" s="388"/>
      <c r="O616" s="388"/>
      <c r="P616" s="388"/>
      <c r="Q616" s="388"/>
      <c r="R616" s="388"/>
      <c r="S616" s="388"/>
      <c r="T616" s="388"/>
      <c r="U616" s="388"/>
      <c r="V616" s="388"/>
      <c r="W616" s="388"/>
      <c r="X616" s="388"/>
      <c r="Y616" s="388"/>
      <c r="Z616" s="388"/>
      <c r="AA616" s="388"/>
      <c r="AB616" s="388"/>
      <c r="AC616" s="388"/>
    </row>
    <row r="617">
      <c r="A617" s="388"/>
      <c r="B617" s="388"/>
      <c r="C617" s="388"/>
      <c r="D617" s="388"/>
      <c r="E617" s="388"/>
      <c r="F617" s="388"/>
      <c r="G617" s="388"/>
      <c r="H617" s="388"/>
      <c r="I617" s="388"/>
      <c r="J617" s="642"/>
      <c r="K617" s="642"/>
      <c r="L617" s="642"/>
      <c r="M617" s="388"/>
      <c r="N617" s="388"/>
      <c r="O617" s="388"/>
      <c r="P617" s="388"/>
      <c r="Q617" s="388"/>
      <c r="R617" s="388"/>
      <c r="S617" s="388"/>
      <c r="T617" s="388"/>
      <c r="U617" s="388"/>
      <c r="V617" s="388"/>
      <c r="W617" s="388"/>
      <c r="X617" s="388"/>
      <c r="Y617" s="388"/>
      <c r="Z617" s="388"/>
      <c r="AA617" s="388"/>
      <c r="AB617" s="388"/>
      <c r="AC617" s="388"/>
    </row>
    <row r="618">
      <c r="A618" s="388"/>
      <c r="B618" s="388"/>
      <c r="C618" s="388"/>
      <c r="D618" s="388"/>
      <c r="E618" s="388"/>
      <c r="F618" s="388"/>
      <c r="G618" s="388"/>
      <c r="H618" s="388"/>
      <c r="I618" s="388"/>
      <c r="J618" s="642"/>
      <c r="K618" s="642"/>
      <c r="L618" s="642"/>
      <c r="M618" s="388"/>
      <c r="N618" s="388"/>
      <c r="O618" s="388"/>
      <c r="P618" s="388"/>
      <c r="Q618" s="388"/>
      <c r="R618" s="388"/>
      <c r="S618" s="388"/>
      <c r="T618" s="388"/>
      <c r="U618" s="388"/>
      <c r="V618" s="388"/>
      <c r="W618" s="388"/>
      <c r="X618" s="388"/>
      <c r="Y618" s="388"/>
      <c r="Z618" s="388"/>
      <c r="AA618" s="388"/>
      <c r="AB618" s="388"/>
      <c r="AC618" s="388"/>
    </row>
    <row r="619">
      <c r="A619" s="388"/>
      <c r="B619" s="388"/>
      <c r="C619" s="388"/>
      <c r="D619" s="388"/>
      <c r="E619" s="388"/>
      <c r="F619" s="388"/>
      <c r="G619" s="388"/>
      <c r="H619" s="388"/>
      <c r="I619" s="388"/>
      <c r="J619" s="642"/>
      <c r="K619" s="642"/>
      <c r="L619" s="642"/>
      <c r="M619" s="388"/>
      <c r="N619" s="388"/>
      <c r="O619" s="388"/>
      <c r="P619" s="388"/>
      <c r="Q619" s="388"/>
      <c r="R619" s="388"/>
      <c r="S619" s="388"/>
      <c r="T619" s="388"/>
      <c r="U619" s="388"/>
      <c r="V619" s="388"/>
      <c r="W619" s="388"/>
      <c r="X619" s="388"/>
      <c r="Y619" s="388"/>
      <c r="Z619" s="388"/>
      <c r="AA619" s="388"/>
      <c r="AB619" s="388"/>
      <c r="AC619" s="388"/>
    </row>
    <row r="620">
      <c r="A620" s="388"/>
      <c r="B620" s="388"/>
      <c r="C620" s="388"/>
      <c r="D620" s="388"/>
      <c r="E620" s="388"/>
      <c r="F620" s="388"/>
      <c r="G620" s="388"/>
      <c r="H620" s="388"/>
      <c r="I620" s="388"/>
      <c r="J620" s="642"/>
      <c r="K620" s="642"/>
      <c r="L620" s="642"/>
      <c r="M620" s="388"/>
      <c r="N620" s="388"/>
      <c r="O620" s="388"/>
      <c r="P620" s="388"/>
      <c r="Q620" s="388"/>
      <c r="R620" s="388"/>
      <c r="S620" s="388"/>
      <c r="T620" s="388"/>
      <c r="U620" s="388"/>
      <c r="V620" s="388"/>
      <c r="W620" s="388"/>
      <c r="X620" s="388"/>
      <c r="Y620" s="388"/>
      <c r="Z620" s="388"/>
      <c r="AA620" s="388"/>
      <c r="AB620" s="388"/>
      <c r="AC620" s="388"/>
    </row>
    <row r="621">
      <c r="A621" s="388"/>
      <c r="B621" s="388"/>
      <c r="C621" s="388"/>
      <c r="D621" s="388"/>
      <c r="E621" s="388"/>
      <c r="F621" s="388"/>
      <c r="G621" s="388"/>
      <c r="H621" s="388"/>
      <c r="I621" s="388"/>
      <c r="J621" s="642"/>
      <c r="K621" s="642"/>
      <c r="L621" s="642"/>
      <c r="M621" s="388"/>
      <c r="N621" s="388"/>
      <c r="O621" s="388"/>
      <c r="P621" s="388"/>
      <c r="Q621" s="388"/>
      <c r="R621" s="388"/>
      <c r="S621" s="388"/>
      <c r="T621" s="388"/>
      <c r="U621" s="388"/>
      <c r="V621" s="388"/>
      <c r="W621" s="388"/>
      <c r="X621" s="388"/>
      <c r="Y621" s="388"/>
      <c r="Z621" s="388"/>
      <c r="AA621" s="388"/>
      <c r="AB621" s="388"/>
      <c r="AC621" s="388"/>
    </row>
    <row r="622">
      <c r="A622" s="388"/>
      <c r="B622" s="388"/>
      <c r="C622" s="388"/>
      <c r="D622" s="388"/>
      <c r="E622" s="388"/>
      <c r="F622" s="388"/>
      <c r="G622" s="388"/>
      <c r="H622" s="388"/>
      <c r="I622" s="388"/>
      <c r="J622" s="642"/>
      <c r="K622" s="642"/>
      <c r="L622" s="642"/>
      <c r="M622" s="388"/>
      <c r="N622" s="388"/>
      <c r="O622" s="388"/>
      <c r="P622" s="388"/>
      <c r="Q622" s="388"/>
      <c r="R622" s="388"/>
      <c r="S622" s="388"/>
      <c r="T622" s="388"/>
      <c r="U622" s="388"/>
      <c r="V622" s="388"/>
      <c r="W622" s="388"/>
      <c r="X622" s="388"/>
      <c r="Y622" s="388"/>
      <c r="Z622" s="388"/>
      <c r="AA622" s="388"/>
      <c r="AB622" s="388"/>
      <c r="AC622" s="388"/>
    </row>
    <row r="623">
      <c r="A623" s="388"/>
      <c r="B623" s="388"/>
      <c r="C623" s="388"/>
      <c r="D623" s="388"/>
      <c r="E623" s="388"/>
      <c r="F623" s="388"/>
      <c r="G623" s="388"/>
      <c r="H623" s="388"/>
      <c r="I623" s="388"/>
      <c r="J623" s="642"/>
      <c r="K623" s="642"/>
      <c r="L623" s="642"/>
      <c r="M623" s="388"/>
      <c r="N623" s="388"/>
      <c r="O623" s="388"/>
      <c r="P623" s="388"/>
      <c r="Q623" s="388"/>
      <c r="R623" s="388"/>
      <c r="S623" s="388"/>
      <c r="T623" s="388"/>
      <c r="U623" s="388"/>
      <c r="V623" s="388"/>
      <c r="W623" s="388"/>
      <c r="X623" s="388"/>
      <c r="Y623" s="388"/>
      <c r="Z623" s="388"/>
      <c r="AA623" s="388"/>
      <c r="AB623" s="388"/>
      <c r="AC623" s="388"/>
    </row>
    <row r="624">
      <c r="A624" s="388"/>
      <c r="B624" s="388"/>
      <c r="C624" s="388"/>
      <c r="D624" s="388"/>
      <c r="E624" s="388"/>
      <c r="F624" s="388"/>
      <c r="G624" s="388"/>
      <c r="H624" s="388"/>
      <c r="I624" s="388"/>
      <c r="J624" s="642"/>
      <c r="K624" s="642"/>
      <c r="L624" s="642"/>
      <c r="M624" s="388"/>
      <c r="N624" s="388"/>
      <c r="O624" s="388"/>
      <c r="P624" s="388"/>
      <c r="Q624" s="388"/>
      <c r="R624" s="388"/>
      <c r="S624" s="388"/>
      <c r="T624" s="388"/>
      <c r="U624" s="388"/>
      <c r="V624" s="388"/>
      <c r="W624" s="388"/>
      <c r="X624" s="388"/>
      <c r="Y624" s="388"/>
      <c r="Z624" s="388"/>
      <c r="AA624" s="388"/>
      <c r="AB624" s="388"/>
      <c r="AC624" s="388"/>
    </row>
    <row r="625">
      <c r="A625" s="388"/>
      <c r="B625" s="388"/>
      <c r="C625" s="388"/>
      <c r="D625" s="388"/>
      <c r="E625" s="388"/>
      <c r="F625" s="388"/>
      <c r="G625" s="388"/>
      <c r="H625" s="388"/>
      <c r="I625" s="388"/>
      <c r="J625" s="642"/>
      <c r="K625" s="642"/>
      <c r="L625" s="642"/>
      <c r="M625" s="388"/>
      <c r="N625" s="388"/>
      <c r="O625" s="388"/>
      <c r="P625" s="388"/>
      <c r="Q625" s="388"/>
      <c r="R625" s="388"/>
      <c r="S625" s="388"/>
      <c r="T625" s="388"/>
      <c r="U625" s="388"/>
      <c r="V625" s="388"/>
      <c r="W625" s="388"/>
      <c r="X625" s="388"/>
      <c r="Y625" s="388"/>
      <c r="Z625" s="388"/>
      <c r="AA625" s="388"/>
      <c r="AB625" s="388"/>
      <c r="AC625" s="388"/>
    </row>
    <row r="626">
      <c r="A626" s="388"/>
      <c r="B626" s="388"/>
      <c r="C626" s="388"/>
      <c r="D626" s="388"/>
      <c r="E626" s="388"/>
      <c r="F626" s="388"/>
      <c r="G626" s="388"/>
      <c r="H626" s="388"/>
      <c r="I626" s="388"/>
      <c r="J626" s="642"/>
      <c r="K626" s="642"/>
      <c r="L626" s="642"/>
      <c r="M626" s="388"/>
      <c r="N626" s="388"/>
      <c r="O626" s="388"/>
      <c r="P626" s="388"/>
      <c r="Q626" s="388"/>
      <c r="R626" s="388"/>
      <c r="S626" s="388"/>
      <c r="T626" s="388"/>
      <c r="U626" s="388"/>
      <c r="V626" s="388"/>
      <c r="W626" s="388"/>
      <c r="X626" s="388"/>
      <c r="Y626" s="388"/>
      <c r="Z626" s="388"/>
      <c r="AA626" s="388"/>
      <c r="AB626" s="388"/>
      <c r="AC626" s="388"/>
    </row>
    <row r="627">
      <c r="A627" s="388"/>
      <c r="B627" s="388"/>
      <c r="C627" s="388"/>
      <c r="D627" s="388"/>
      <c r="E627" s="388"/>
      <c r="F627" s="388"/>
      <c r="G627" s="388"/>
      <c r="H627" s="388"/>
      <c r="I627" s="388"/>
      <c r="J627" s="642"/>
      <c r="K627" s="642"/>
      <c r="L627" s="642"/>
      <c r="M627" s="388"/>
      <c r="N627" s="388"/>
      <c r="O627" s="388"/>
      <c r="P627" s="388"/>
      <c r="Q627" s="388"/>
      <c r="R627" s="388"/>
      <c r="S627" s="388"/>
      <c r="T627" s="388"/>
      <c r="U627" s="388"/>
      <c r="V627" s="388"/>
      <c r="W627" s="388"/>
      <c r="X627" s="388"/>
      <c r="Y627" s="388"/>
      <c r="Z627" s="388"/>
      <c r="AA627" s="388"/>
      <c r="AB627" s="388"/>
      <c r="AC627" s="388"/>
    </row>
    <row r="628">
      <c r="A628" s="388"/>
      <c r="B628" s="388"/>
      <c r="C628" s="388"/>
      <c r="D628" s="388"/>
      <c r="E628" s="388"/>
      <c r="F628" s="388"/>
      <c r="G628" s="388"/>
      <c r="H628" s="388"/>
      <c r="I628" s="388"/>
      <c r="J628" s="642"/>
      <c r="K628" s="642"/>
      <c r="L628" s="642"/>
      <c r="M628" s="388"/>
      <c r="N628" s="388"/>
      <c r="O628" s="388"/>
      <c r="P628" s="388"/>
      <c r="Q628" s="388"/>
      <c r="R628" s="388"/>
      <c r="S628" s="388"/>
      <c r="T628" s="388"/>
      <c r="U628" s="388"/>
      <c r="V628" s="388"/>
      <c r="W628" s="388"/>
      <c r="X628" s="388"/>
      <c r="Y628" s="388"/>
      <c r="Z628" s="388"/>
      <c r="AA628" s="388"/>
      <c r="AB628" s="388"/>
      <c r="AC628" s="388"/>
    </row>
    <row r="629">
      <c r="A629" s="388"/>
      <c r="B629" s="388"/>
      <c r="C629" s="388"/>
      <c r="D629" s="388"/>
      <c r="E629" s="388"/>
      <c r="F629" s="388"/>
      <c r="G629" s="388"/>
      <c r="H629" s="388"/>
      <c r="I629" s="388"/>
      <c r="J629" s="642"/>
      <c r="K629" s="642"/>
      <c r="L629" s="642"/>
      <c r="M629" s="388"/>
      <c r="N629" s="388"/>
      <c r="O629" s="388"/>
      <c r="P629" s="388"/>
      <c r="Q629" s="388"/>
      <c r="R629" s="388"/>
      <c r="S629" s="388"/>
      <c r="T629" s="388"/>
      <c r="U629" s="388"/>
      <c r="V629" s="388"/>
      <c r="W629" s="388"/>
      <c r="X629" s="388"/>
      <c r="Y629" s="388"/>
      <c r="Z629" s="388"/>
      <c r="AA629" s="388"/>
      <c r="AB629" s="388"/>
      <c r="AC629" s="388"/>
    </row>
    <row r="630">
      <c r="A630" s="388"/>
      <c r="B630" s="388"/>
      <c r="C630" s="388"/>
      <c r="D630" s="388"/>
      <c r="E630" s="388"/>
      <c r="F630" s="388"/>
      <c r="G630" s="388"/>
      <c r="H630" s="388"/>
      <c r="I630" s="388"/>
      <c r="J630" s="642"/>
      <c r="K630" s="642"/>
      <c r="L630" s="642"/>
      <c r="M630" s="388"/>
      <c r="N630" s="388"/>
      <c r="O630" s="388"/>
      <c r="P630" s="388"/>
      <c r="Q630" s="388"/>
      <c r="R630" s="388"/>
      <c r="S630" s="388"/>
      <c r="T630" s="388"/>
      <c r="U630" s="388"/>
      <c r="V630" s="388"/>
      <c r="W630" s="388"/>
      <c r="X630" s="388"/>
      <c r="Y630" s="388"/>
      <c r="Z630" s="388"/>
      <c r="AA630" s="388"/>
      <c r="AB630" s="388"/>
      <c r="AC630" s="388"/>
    </row>
    <row r="631">
      <c r="A631" s="388"/>
      <c r="B631" s="388"/>
      <c r="C631" s="388"/>
      <c r="D631" s="388"/>
      <c r="E631" s="388"/>
      <c r="F631" s="388"/>
      <c r="G631" s="388"/>
      <c r="H631" s="388"/>
      <c r="I631" s="388"/>
      <c r="J631" s="642"/>
      <c r="K631" s="642"/>
      <c r="L631" s="642"/>
      <c r="M631" s="388"/>
      <c r="N631" s="388"/>
      <c r="O631" s="388"/>
      <c r="P631" s="388"/>
      <c r="Q631" s="388"/>
      <c r="R631" s="388"/>
      <c r="S631" s="388"/>
      <c r="T631" s="388"/>
      <c r="U631" s="388"/>
      <c r="V631" s="388"/>
      <c r="W631" s="388"/>
      <c r="X631" s="388"/>
      <c r="Y631" s="388"/>
      <c r="Z631" s="388"/>
      <c r="AA631" s="388"/>
      <c r="AB631" s="388"/>
      <c r="AC631" s="388"/>
    </row>
    <row r="632">
      <c r="A632" s="388"/>
      <c r="B632" s="388"/>
      <c r="C632" s="388"/>
      <c r="D632" s="388"/>
      <c r="E632" s="388"/>
      <c r="F632" s="388"/>
      <c r="G632" s="388"/>
      <c r="H632" s="388"/>
      <c r="I632" s="388"/>
      <c r="J632" s="642"/>
      <c r="K632" s="642"/>
      <c r="L632" s="642"/>
      <c r="M632" s="388"/>
      <c r="N632" s="388"/>
      <c r="O632" s="388"/>
      <c r="P632" s="388"/>
      <c r="Q632" s="388"/>
      <c r="R632" s="388"/>
      <c r="S632" s="388"/>
      <c r="T632" s="388"/>
      <c r="U632" s="388"/>
      <c r="V632" s="388"/>
      <c r="W632" s="388"/>
      <c r="X632" s="388"/>
      <c r="Y632" s="388"/>
      <c r="Z632" s="388"/>
      <c r="AA632" s="388"/>
      <c r="AB632" s="388"/>
      <c r="AC632" s="388"/>
    </row>
    <row r="633">
      <c r="A633" s="388"/>
      <c r="B633" s="388"/>
      <c r="C633" s="388"/>
      <c r="D633" s="388"/>
      <c r="E633" s="388"/>
      <c r="F633" s="388"/>
      <c r="G633" s="388"/>
      <c r="H633" s="388"/>
      <c r="I633" s="388"/>
      <c r="J633" s="642"/>
      <c r="K633" s="642"/>
      <c r="L633" s="642"/>
      <c r="M633" s="388"/>
      <c r="N633" s="388"/>
      <c r="O633" s="388"/>
      <c r="P633" s="388"/>
      <c r="Q633" s="388"/>
      <c r="R633" s="388"/>
      <c r="S633" s="388"/>
      <c r="T633" s="388"/>
      <c r="U633" s="388"/>
      <c r="V633" s="388"/>
      <c r="W633" s="388"/>
      <c r="X633" s="388"/>
      <c r="Y633" s="388"/>
      <c r="Z633" s="388"/>
      <c r="AA633" s="388"/>
      <c r="AB633" s="388"/>
      <c r="AC633" s="388"/>
    </row>
    <row r="634">
      <c r="A634" s="388"/>
      <c r="B634" s="388"/>
      <c r="C634" s="388"/>
      <c r="D634" s="388"/>
      <c r="E634" s="388"/>
      <c r="F634" s="388"/>
      <c r="G634" s="388"/>
      <c r="H634" s="388"/>
      <c r="I634" s="388"/>
      <c r="J634" s="642"/>
      <c r="K634" s="642"/>
      <c r="L634" s="642"/>
      <c r="M634" s="388"/>
      <c r="N634" s="388"/>
      <c r="O634" s="388"/>
      <c r="P634" s="388"/>
      <c r="Q634" s="388"/>
      <c r="R634" s="388"/>
      <c r="S634" s="388"/>
      <c r="T634" s="388"/>
      <c r="U634" s="388"/>
      <c r="V634" s="388"/>
      <c r="W634" s="388"/>
      <c r="X634" s="388"/>
      <c r="Y634" s="388"/>
      <c r="Z634" s="388"/>
      <c r="AA634" s="388"/>
      <c r="AB634" s="388"/>
      <c r="AC634" s="388"/>
    </row>
    <row r="635">
      <c r="A635" s="388"/>
      <c r="B635" s="388"/>
      <c r="C635" s="388"/>
      <c r="D635" s="388"/>
      <c r="E635" s="388"/>
      <c r="F635" s="388"/>
      <c r="G635" s="388"/>
      <c r="H635" s="388"/>
      <c r="I635" s="388"/>
      <c r="J635" s="642"/>
      <c r="K635" s="642"/>
      <c r="L635" s="642"/>
      <c r="M635" s="388"/>
      <c r="N635" s="388"/>
      <c r="O635" s="388"/>
      <c r="P635" s="388"/>
      <c r="Q635" s="388"/>
      <c r="R635" s="388"/>
      <c r="S635" s="388"/>
      <c r="T635" s="388"/>
      <c r="U635" s="388"/>
      <c r="V635" s="388"/>
      <c r="W635" s="388"/>
      <c r="X635" s="388"/>
      <c r="Y635" s="388"/>
      <c r="Z635" s="388"/>
      <c r="AA635" s="388"/>
      <c r="AB635" s="388"/>
      <c r="AC635" s="388"/>
    </row>
    <row r="636">
      <c r="A636" s="388"/>
      <c r="B636" s="388"/>
      <c r="C636" s="388"/>
      <c r="D636" s="388"/>
      <c r="E636" s="388"/>
      <c r="F636" s="388"/>
      <c r="G636" s="388"/>
      <c r="H636" s="388"/>
      <c r="I636" s="388"/>
      <c r="J636" s="642"/>
      <c r="K636" s="642"/>
      <c r="L636" s="642"/>
      <c r="M636" s="388"/>
      <c r="N636" s="388"/>
      <c r="O636" s="388"/>
      <c r="P636" s="388"/>
      <c r="Q636" s="388"/>
      <c r="R636" s="388"/>
      <c r="S636" s="388"/>
      <c r="T636" s="388"/>
      <c r="U636" s="388"/>
      <c r="V636" s="388"/>
      <c r="W636" s="388"/>
      <c r="X636" s="388"/>
      <c r="Y636" s="388"/>
      <c r="Z636" s="388"/>
      <c r="AA636" s="388"/>
      <c r="AB636" s="388"/>
      <c r="AC636" s="388"/>
    </row>
    <row r="637">
      <c r="A637" s="388"/>
      <c r="B637" s="388"/>
      <c r="C637" s="388"/>
      <c r="D637" s="388"/>
      <c r="E637" s="388"/>
      <c r="F637" s="388"/>
      <c r="G637" s="388"/>
      <c r="H637" s="388"/>
      <c r="I637" s="388"/>
      <c r="J637" s="642"/>
      <c r="K637" s="642"/>
      <c r="L637" s="642"/>
      <c r="M637" s="388"/>
      <c r="N637" s="388"/>
      <c r="O637" s="388"/>
      <c r="P637" s="388"/>
      <c r="Q637" s="388"/>
      <c r="R637" s="388"/>
      <c r="S637" s="388"/>
      <c r="T637" s="388"/>
      <c r="U637" s="388"/>
      <c r="V637" s="388"/>
      <c r="W637" s="388"/>
      <c r="X637" s="388"/>
      <c r="Y637" s="388"/>
      <c r="Z637" s="388"/>
      <c r="AA637" s="388"/>
      <c r="AB637" s="388"/>
      <c r="AC637" s="388"/>
    </row>
    <row r="638">
      <c r="A638" s="388"/>
      <c r="B638" s="388"/>
      <c r="C638" s="388"/>
      <c r="D638" s="388"/>
      <c r="E638" s="388"/>
      <c r="F638" s="388"/>
      <c r="G638" s="388"/>
      <c r="H638" s="388"/>
      <c r="I638" s="388"/>
      <c r="J638" s="642"/>
      <c r="K638" s="642"/>
      <c r="L638" s="642"/>
      <c r="M638" s="388"/>
      <c r="N638" s="388"/>
      <c r="O638" s="388"/>
      <c r="P638" s="388"/>
      <c r="Q638" s="388"/>
      <c r="R638" s="388"/>
      <c r="S638" s="388"/>
      <c r="T638" s="388"/>
      <c r="U638" s="388"/>
      <c r="V638" s="388"/>
      <c r="W638" s="388"/>
      <c r="X638" s="388"/>
      <c r="Y638" s="388"/>
      <c r="Z638" s="388"/>
      <c r="AA638" s="388"/>
      <c r="AB638" s="388"/>
      <c r="AC638" s="388"/>
    </row>
    <row r="639">
      <c r="A639" s="388"/>
      <c r="B639" s="388"/>
      <c r="C639" s="388"/>
      <c r="D639" s="388"/>
      <c r="E639" s="388"/>
      <c r="F639" s="388"/>
      <c r="G639" s="388"/>
      <c r="H639" s="388"/>
      <c r="I639" s="388"/>
      <c r="J639" s="642"/>
      <c r="K639" s="642"/>
      <c r="L639" s="642"/>
      <c r="M639" s="388"/>
      <c r="N639" s="388"/>
      <c r="O639" s="388"/>
      <c r="P639" s="388"/>
      <c r="Q639" s="388"/>
      <c r="R639" s="388"/>
      <c r="S639" s="388"/>
      <c r="T639" s="388"/>
      <c r="U639" s="388"/>
      <c r="V639" s="388"/>
      <c r="W639" s="388"/>
      <c r="X639" s="388"/>
      <c r="Y639" s="388"/>
      <c r="Z639" s="388"/>
      <c r="AA639" s="388"/>
      <c r="AB639" s="388"/>
      <c r="AC639" s="388"/>
    </row>
    <row r="640">
      <c r="A640" s="388"/>
      <c r="B640" s="388"/>
      <c r="C640" s="388"/>
      <c r="D640" s="388"/>
      <c r="E640" s="388"/>
      <c r="F640" s="388"/>
      <c r="G640" s="388"/>
      <c r="H640" s="388"/>
      <c r="I640" s="388"/>
      <c r="J640" s="642"/>
      <c r="K640" s="642"/>
      <c r="L640" s="642"/>
      <c r="M640" s="388"/>
      <c r="N640" s="388"/>
      <c r="O640" s="388"/>
      <c r="P640" s="388"/>
      <c r="Q640" s="388"/>
      <c r="R640" s="388"/>
      <c r="S640" s="388"/>
      <c r="T640" s="388"/>
      <c r="U640" s="388"/>
      <c r="V640" s="388"/>
      <c r="W640" s="388"/>
      <c r="X640" s="388"/>
      <c r="Y640" s="388"/>
      <c r="Z640" s="388"/>
      <c r="AA640" s="388"/>
      <c r="AB640" s="388"/>
      <c r="AC640" s="388"/>
    </row>
    <row r="641">
      <c r="A641" s="388"/>
      <c r="B641" s="388"/>
      <c r="C641" s="388"/>
      <c r="D641" s="388"/>
      <c r="E641" s="388"/>
      <c r="F641" s="388"/>
      <c r="G641" s="388"/>
      <c r="H641" s="388"/>
      <c r="I641" s="388"/>
      <c r="J641" s="642"/>
      <c r="K641" s="642"/>
      <c r="L641" s="642"/>
      <c r="M641" s="388"/>
      <c r="N641" s="388"/>
      <c r="O641" s="388"/>
      <c r="P641" s="388"/>
      <c r="Q641" s="388"/>
      <c r="R641" s="388"/>
      <c r="S641" s="388"/>
      <c r="T641" s="388"/>
      <c r="U641" s="388"/>
      <c r="V641" s="388"/>
      <c r="W641" s="388"/>
      <c r="X641" s="388"/>
      <c r="Y641" s="388"/>
      <c r="Z641" s="388"/>
      <c r="AA641" s="388"/>
      <c r="AB641" s="388"/>
      <c r="AC641" s="388"/>
    </row>
    <row r="642">
      <c r="A642" s="388"/>
      <c r="B642" s="388"/>
      <c r="C642" s="388"/>
      <c r="D642" s="388"/>
      <c r="E642" s="388"/>
      <c r="F642" s="388"/>
      <c r="G642" s="388"/>
      <c r="H642" s="388"/>
      <c r="I642" s="388"/>
      <c r="J642" s="642"/>
      <c r="K642" s="642"/>
      <c r="L642" s="642"/>
      <c r="M642" s="388"/>
      <c r="N642" s="388"/>
      <c r="O642" s="388"/>
      <c r="P642" s="388"/>
      <c r="Q642" s="388"/>
      <c r="R642" s="388"/>
      <c r="S642" s="388"/>
      <c r="T642" s="388"/>
      <c r="U642" s="388"/>
      <c r="V642" s="388"/>
      <c r="W642" s="388"/>
      <c r="X642" s="388"/>
      <c r="Y642" s="388"/>
      <c r="Z642" s="388"/>
      <c r="AA642" s="388"/>
      <c r="AB642" s="388"/>
      <c r="AC642" s="388"/>
    </row>
    <row r="643">
      <c r="A643" s="388"/>
      <c r="B643" s="388"/>
      <c r="C643" s="388"/>
      <c r="D643" s="388"/>
      <c r="E643" s="388"/>
      <c r="F643" s="388"/>
      <c r="G643" s="388"/>
      <c r="H643" s="388"/>
      <c r="I643" s="388"/>
      <c r="J643" s="642"/>
      <c r="K643" s="642"/>
      <c r="L643" s="642"/>
      <c r="M643" s="388"/>
      <c r="N643" s="388"/>
      <c r="O643" s="388"/>
      <c r="P643" s="388"/>
      <c r="Q643" s="388"/>
      <c r="R643" s="388"/>
      <c r="S643" s="388"/>
      <c r="T643" s="388"/>
      <c r="U643" s="388"/>
      <c r="V643" s="388"/>
      <c r="W643" s="388"/>
      <c r="X643" s="388"/>
      <c r="Y643" s="388"/>
      <c r="Z643" s="388"/>
      <c r="AA643" s="388"/>
      <c r="AB643" s="388"/>
      <c r="AC643" s="388"/>
    </row>
    <row r="644">
      <c r="A644" s="388"/>
      <c r="B644" s="388"/>
      <c r="C644" s="388"/>
      <c r="D644" s="388"/>
      <c r="E644" s="388"/>
      <c r="F644" s="388"/>
      <c r="G644" s="388"/>
      <c r="H644" s="388"/>
      <c r="I644" s="388"/>
      <c r="J644" s="642"/>
      <c r="K644" s="642"/>
      <c r="L644" s="642"/>
      <c r="M644" s="388"/>
      <c r="N644" s="388"/>
      <c r="O644" s="388"/>
      <c r="P644" s="388"/>
      <c r="Q644" s="388"/>
      <c r="R644" s="388"/>
      <c r="S644" s="388"/>
      <c r="T644" s="388"/>
      <c r="U644" s="388"/>
      <c r="V644" s="388"/>
      <c r="W644" s="388"/>
      <c r="X644" s="388"/>
      <c r="Y644" s="388"/>
      <c r="Z644" s="388"/>
      <c r="AA644" s="388"/>
      <c r="AB644" s="388"/>
      <c r="AC644" s="388"/>
    </row>
    <row r="645">
      <c r="A645" s="388"/>
      <c r="B645" s="388"/>
      <c r="C645" s="388"/>
      <c r="D645" s="388"/>
      <c r="E645" s="388"/>
      <c r="F645" s="388"/>
      <c r="G645" s="388"/>
      <c r="H645" s="388"/>
      <c r="I645" s="388"/>
      <c r="J645" s="642"/>
      <c r="K645" s="642"/>
      <c r="L645" s="642"/>
      <c r="M645" s="388"/>
      <c r="N645" s="388"/>
      <c r="O645" s="388"/>
      <c r="P645" s="388"/>
      <c r="Q645" s="388"/>
      <c r="R645" s="388"/>
      <c r="S645" s="388"/>
      <c r="T645" s="388"/>
      <c r="U645" s="388"/>
      <c r="V645" s="388"/>
      <c r="W645" s="388"/>
      <c r="X645" s="388"/>
      <c r="Y645" s="388"/>
      <c r="Z645" s="388"/>
      <c r="AA645" s="388"/>
      <c r="AB645" s="388"/>
      <c r="AC645" s="388"/>
    </row>
    <row r="646">
      <c r="A646" s="388"/>
      <c r="B646" s="388"/>
      <c r="C646" s="388"/>
      <c r="D646" s="388"/>
      <c r="E646" s="388"/>
      <c r="F646" s="388"/>
      <c r="G646" s="388"/>
      <c r="H646" s="388"/>
      <c r="I646" s="388"/>
      <c r="J646" s="642"/>
      <c r="K646" s="642"/>
      <c r="L646" s="642"/>
      <c r="M646" s="388"/>
      <c r="N646" s="388"/>
      <c r="O646" s="388"/>
      <c r="P646" s="388"/>
      <c r="Q646" s="388"/>
      <c r="R646" s="388"/>
      <c r="S646" s="388"/>
      <c r="T646" s="388"/>
      <c r="U646" s="388"/>
      <c r="V646" s="388"/>
      <c r="W646" s="388"/>
      <c r="X646" s="388"/>
      <c r="Y646" s="388"/>
      <c r="Z646" s="388"/>
      <c r="AA646" s="388"/>
      <c r="AB646" s="388"/>
      <c r="AC646" s="388"/>
    </row>
    <row r="647">
      <c r="A647" s="388"/>
      <c r="B647" s="388"/>
      <c r="C647" s="388"/>
      <c r="D647" s="388"/>
      <c r="E647" s="388"/>
      <c r="F647" s="388"/>
      <c r="G647" s="388"/>
      <c r="H647" s="388"/>
      <c r="I647" s="388"/>
      <c r="J647" s="642"/>
      <c r="K647" s="642"/>
      <c r="L647" s="642"/>
      <c r="M647" s="388"/>
      <c r="N647" s="388"/>
      <c r="O647" s="388"/>
      <c r="P647" s="388"/>
      <c r="Q647" s="388"/>
      <c r="R647" s="388"/>
      <c r="S647" s="388"/>
      <c r="T647" s="388"/>
      <c r="U647" s="388"/>
      <c r="V647" s="388"/>
      <c r="W647" s="388"/>
      <c r="X647" s="388"/>
      <c r="Y647" s="388"/>
      <c r="Z647" s="388"/>
      <c r="AA647" s="388"/>
      <c r="AB647" s="388"/>
      <c r="AC647" s="388"/>
    </row>
    <row r="648">
      <c r="A648" s="388"/>
      <c r="B648" s="388"/>
      <c r="C648" s="388"/>
      <c r="D648" s="388"/>
      <c r="E648" s="388"/>
      <c r="F648" s="388"/>
      <c r="G648" s="388"/>
      <c r="H648" s="388"/>
      <c r="I648" s="388"/>
      <c r="J648" s="642"/>
      <c r="K648" s="642"/>
      <c r="L648" s="642"/>
      <c r="M648" s="388"/>
      <c r="N648" s="388"/>
      <c r="O648" s="388"/>
      <c r="P648" s="388"/>
      <c r="Q648" s="388"/>
      <c r="R648" s="388"/>
      <c r="S648" s="388"/>
      <c r="T648" s="388"/>
      <c r="U648" s="388"/>
      <c r="V648" s="388"/>
      <c r="W648" s="388"/>
      <c r="X648" s="388"/>
      <c r="Y648" s="388"/>
      <c r="Z648" s="388"/>
      <c r="AA648" s="388"/>
      <c r="AB648" s="388"/>
      <c r="AC648" s="388"/>
    </row>
    <row r="649">
      <c r="A649" s="388"/>
      <c r="B649" s="388"/>
      <c r="C649" s="388"/>
      <c r="D649" s="388"/>
      <c r="E649" s="388"/>
      <c r="F649" s="388"/>
      <c r="G649" s="388"/>
      <c r="H649" s="388"/>
      <c r="I649" s="388"/>
      <c r="J649" s="642"/>
      <c r="K649" s="642"/>
      <c r="L649" s="642"/>
      <c r="M649" s="388"/>
      <c r="N649" s="388"/>
      <c r="O649" s="388"/>
      <c r="P649" s="388"/>
      <c r="Q649" s="388"/>
      <c r="R649" s="388"/>
      <c r="S649" s="388"/>
      <c r="T649" s="388"/>
      <c r="U649" s="388"/>
      <c r="V649" s="388"/>
      <c r="W649" s="388"/>
      <c r="X649" s="388"/>
      <c r="Y649" s="388"/>
      <c r="Z649" s="388"/>
      <c r="AA649" s="388"/>
      <c r="AB649" s="388"/>
      <c r="AC649" s="388"/>
    </row>
    <row r="650">
      <c r="A650" s="388"/>
      <c r="B650" s="388"/>
      <c r="C650" s="388"/>
      <c r="D650" s="388"/>
      <c r="E650" s="388"/>
      <c r="F650" s="388"/>
      <c r="G650" s="388"/>
      <c r="H650" s="388"/>
      <c r="I650" s="388"/>
      <c r="J650" s="642"/>
      <c r="K650" s="642"/>
      <c r="L650" s="642"/>
      <c r="M650" s="388"/>
      <c r="N650" s="388"/>
      <c r="O650" s="388"/>
      <c r="P650" s="388"/>
      <c r="Q650" s="388"/>
      <c r="R650" s="388"/>
      <c r="S650" s="388"/>
      <c r="T650" s="388"/>
      <c r="U650" s="388"/>
      <c r="V650" s="388"/>
      <c r="W650" s="388"/>
      <c r="X650" s="388"/>
      <c r="Y650" s="388"/>
      <c r="Z650" s="388"/>
      <c r="AA650" s="388"/>
      <c r="AB650" s="388"/>
      <c r="AC650" s="388"/>
    </row>
    <row r="651">
      <c r="A651" s="388"/>
      <c r="B651" s="388"/>
      <c r="C651" s="388"/>
      <c r="D651" s="388"/>
      <c r="E651" s="388"/>
      <c r="F651" s="388"/>
      <c r="G651" s="388"/>
      <c r="H651" s="388"/>
      <c r="I651" s="388"/>
      <c r="J651" s="642"/>
      <c r="K651" s="642"/>
      <c r="L651" s="642"/>
      <c r="M651" s="388"/>
      <c r="N651" s="388"/>
      <c r="O651" s="388"/>
      <c r="P651" s="388"/>
      <c r="Q651" s="388"/>
      <c r="R651" s="388"/>
      <c r="S651" s="388"/>
      <c r="T651" s="388"/>
      <c r="U651" s="388"/>
      <c r="V651" s="388"/>
      <c r="W651" s="388"/>
      <c r="X651" s="388"/>
      <c r="Y651" s="388"/>
      <c r="Z651" s="388"/>
      <c r="AA651" s="388"/>
      <c r="AB651" s="388"/>
      <c r="AC651" s="388"/>
    </row>
    <row r="652">
      <c r="A652" s="388"/>
      <c r="B652" s="388"/>
      <c r="C652" s="388"/>
      <c r="D652" s="388"/>
      <c r="E652" s="388"/>
      <c r="F652" s="388"/>
      <c r="G652" s="388"/>
      <c r="H652" s="388"/>
      <c r="I652" s="388"/>
      <c r="J652" s="642"/>
      <c r="K652" s="642"/>
      <c r="L652" s="642"/>
      <c r="M652" s="388"/>
      <c r="N652" s="388"/>
      <c r="O652" s="388"/>
      <c r="P652" s="388"/>
      <c r="Q652" s="388"/>
      <c r="R652" s="388"/>
      <c r="S652" s="388"/>
      <c r="T652" s="388"/>
      <c r="U652" s="388"/>
      <c r="V652" s="388"/>
      <c r="W652" s="388"/>
      <c r="X652" s="388"/>
      <c r="Y652" s="388"/>
      <c r="Z652" s="388"/>
      <c r="AA652" s="388"/>
      <c r="AB652" s="388"/>
      <c r="AC652" s="388"/>
    </row>
    <row r="653">
      <c r="A653" s="388"/>
      <c r="B653" s="388"/>
      <c r="C653" s="388"/>
      <c r="D653" s="388"/>
      <c r="E653" s="388"/>
      <c r="F653" s="388"/>
      <c r="G653" s="388"/>
      <c r="H653" s="388"/>
      <c r="I653" s="388"/>
      <c r="J653" s="642"/>
      <c r="K653" s="642"/>
      <c r="L653" s="642"/>
      <c r="M653" s="388"/>
      <c r="N653" s="388"/>
      <c r="O653" s="388"/>
      <c r="P653" s="388"/>
      <c r="Q653" s="388"/>
      <c r="R653" s="388"/>
      <c r="S653" s="388"/>
      <c r="T653" s="388"/>
      <c r="U653" s="388"/>
      <c r="V653" s="388"/>
      <c r="W653" s="388"/>
      <c r="X653" s="388"/>
      <c r="Y653" s="388"/>
      <c r="Z653" s="388"/>
      <c r="AA653" s="388"/>
      <c r="AB653" s="388"/>
      <c r="AC653" s="388"/>
    </row>
    <row r="654">
      <c r="A654" s="388"/>
      <c r="B654" s="388"/>
      <c r="C654" s="388"/>
      <c r="D654" s="388"/>
      <c r="E654" s="388"/>
      <c r="F654" s="388"/>
      <c r="G654" s="388"/>
      <c r="H654" s="388"/>
      <c r="I654" s="388"/>
      <c r="J654" s="642"/>
      <c r="K654" s="642"/>
      <c r="L654" s="642"/>
      <c r="M654" s="388"/>
      <c r="N654" s="388"/>
      <c r="O654" s="388"/>
      <c r="P654" s="388"/>
      <c r="Q654" s="388"/>
      <c r="R654" s="388"/>
      <c r="S654" s="388"/>
      <c r="T654" s="388"/>
      <c r="U654" s="388"/>
      <c r="V654" s="388"/>
      <c r="W654" s="388"/>
      <c r="X654" s="388"/>
      <c r="Y654" s="388"/>
      <c r="Z654" s="388"/>
      <c r="AA654" s="388"/>
      <c r="AB654" s="388"/>
      <c r="AC654" s="388"/>
    </row>
    <row r="655">
      <c r="A655" s="388"/>
      <c r="B655" s="388"/>
      <c r="C655" s="388"/>
      <c r="D655" s="388"/>
      <c r="E655" s="388"/>
      <c r="F655" s="388"/>
      <c r="G655" s="388"/>
      <c r="H655" s="388"/>
      <c r="I655" s="388"/>
      <c r="J655" s="642"/>
      <c r="K655" s="642"/>
      <c r="L655" s="642"/>
      <c r="M655" s="388"/>
      <c r="N655" s="388"/>
      <c r="O655" s="388"/>
      <c r="P655" s="388"/>
      <c r="Q655" s="388"/>
      <c r="R655" s="388"/>
      <c r="S655" s="388"/>
      <c r="T655" s="388"/>
      <c r="U655" s="388"/>
      <c r="V655" s="388"/>
      <c r="W655" s="388"/>
      <c r="X655" s="388"/>
      <c r="Y655" s="388"/>
      <c r="Z655" s="388"/>
      <c r="AA655" s="388"/>
      <c r="AB655" s="388"/>
      <c r="AC655" s="388"/>
    </row>
    <row r="656">
      <c r="A656" s="388"/>
      <c r="B656" s="388"/>
      <c r="C656" s="388"/>
      <c r="D656" s="388"/>
      <c r="E656" s="388"/>
      <c r="F656" s="388"/>
      <c r="G656" s="388"/>
      <c r="H656" s="388"/>
      <c r="I656" s="388"/>
      <c r="J656" s="642"/>
      <c r="K656" s="642"/>
      <c r="L656" s="642"/>
      <c r="M656" s="388"/>
      <c r="N656" s="388"/>
      <c r="O656" s="388"/>
      <c r="P656" s="388"/>
      <c r="Q656" s="388"/>
      <c r="R656" s="388"/>
      <c r="S656" s="388"/>
      <c r="T656" s="388"/>
      <c r="U656" s="388"/>
      <c r="V656" s="388"/>
      <c r="W656" s="388"/>
      <c r="X656" s="388"/>
      <c r="Y656" s="388"/>
      <c r="Z656" s="388"/>
      <c r="AA656" s="388"/>
      <c r="AB656" s="388"/>
      <c r="AC656" s="388"/>
    </row>
    <row r="657">
      <c r="A657" s="388"/>
      <c r="B657" s="388"/>
      <c r="C657" s="388"/>
      <c r="D657" s="388"/>
      <c r="E657" s="388"/>
      <c r="F657" s="388"/>
      <c r="G657" s="388"/>
      <c r="H657" s="388"/>
      <c r="I657" s="388"/>
      <c r="J657" s="642"/>
      <c r="K657" s="642"/>
      <c r="L657" s="642"/>
      <c r="M657" s="388"/>
      <c r="N657" s="388"/>
      <c r="O657" s="388"/>
      <c r="P657" s="388"/>
      <c r="Q657" s="388"/>
      <c r="R657" s="388"/>
      <c r="S657" s="388"/>
      <c r="T657" s="388"/>
      <c r="U657" s="388"/>
      <c r="V657" s="388"/>
      <c r="W657" s="388"/>
      <c r="X657" s="388"/>
      <c r="Y657" s="388"/>
      <c r="Z657" s="388"/>
      <c r="AA657" s="388"/>
      <c r="AB657" s="388"/>
      <c r="AC657" s="388"/>
    </row>
    <row r="658">
      <c r="A658" s="388"/>
      <c r="B658" s="388"/>
      <c r="C658" s="388"/>
      <c r="D658" s="388"/>
      <c r="E658" s="388"/>
      <c r="F658" s="388"/>
      <c r="G658" s="388"/>
      <c r="H658" s="388"/>
      <c r="I658" s="388"/>
      <c r="J658" s="642"/>
      <c r="K658" s="642"/>
      <c r="L658" s="642"/>
      <c r="M658" s="388"/>
      <c r="N658" s="388"/>
      <c r="O658" s="388"/>
      <c r="P658" s="388"/>
      <c r="Q658" s="388"/>
      <c r="R658" s="388"/>
      <c r="S658" s="388"/>
      <c r="T658" s="388"/>
      <c r="U658" s="388"/>
      <c r="V658" s="388"/>
      <c r="W658" s="388"/>
      <c r="X658" s="388"/>
      <c r="Y658" s="388"/>
      <c r="Z658" s="388"/>
      <c r="AA658" s="388"/>
      <c r="AB658" s="388"/>
      <c r="AC658" s="388"/>
    </row>
    <row r="659">
      <c r="A659" s="388"/>
      <c r="B659" s="388"/>
      <c r="C659" s="388"/>
      <c r="D659" s="388"/>
      <c r="E659" s="388"/>
      <c r="F659" s="388"/>
      <c r="G659" s="388"/>
      <c r="H659" s="388"/>
      <c r="I659" s="388"/>
      <c r="J659" s="642"/>
      <c r="K659" s="642"/>
      <c r="L659" s="642"/>
      <c r="M659" s="388"/>
      <c r="N659" s="388"/>
      <c r="O659" s="388"/>
      <c r="P659" s="388"/>
      <c r="Q659" s="388"/>
      <c r="R659" s="388"/>
      <c r="S659" s="388"/>
      <c r="T659" s="388"/>
      <c r="U659" s="388"/>
      <c r="V659" s="388"/>
      <c r="W659" s="388"/>
      <c r="X659" s="388"/>
      <c r="Y659" s="388"/>
      <c r="Z659" s="388"/>
      <c r="AA659" s="388"/>
      <c r="AB659" s="388"/>
      <c r="AC659" s="388"/>
    </row>
    <row r="660">
      <c r="A660" s="388"/>
      <c r="B660" s="388"/>
      <c r="C660" s="388"/>
      <c r="D660" s="388"/>
      <c r="E660" s="388"/>
      <c r="F660" s="388"/>
      <c r="G660" s="388"/>
      <c r="H660" s="388"/>
      <c r="I660" s="388"/>
      <c r="J660" s="642"/>
      <c r="K660" s="642"/>
      <c r="L660" s="642"/>
      <c r="M660" s="388"/>
      <c r="N660" s="388"/>
      <c r="O660" s="388"/>
      <c r="P660" s="388"/>
      <c r="Q660" s="388"/>
      <c r="R660" s="388"/>
      <c r="S660" s="388"/>
      <c r="T660" s="388"/>
      <c r="U660" s="388"/>
      <c r="V660" s="388"/>
      <c r="W660" s="388"/>
      <c r="X660" s="388"/>
      <c r="Y660" s="388"/>
      <c r="Z660" s="388"/>
      <c r="AA660" s="388"/>
      <c r="AB660" s="388"/>
      <c r="AC660" s="388"/>
    </row>
    <row r="661">
      <c r="A661" s="388"/>
      <c r="B661" s="388"/>
      <c r="C661" s="388"/>
      <c r="D661" s="388"/>
      <c r="E661" s="388"/>
      <c r="F661" s="388"/>
      <c r="G661" s="388"/>
      <c r="H661" s="388"/>
      <c r="I661" s="388"/>
      <c r="J661" s="642"/>
      <c r="K661" s="642"/>
      <c r="L661" s="642"/>
      <c r="M661" s="388"/>
      <c r="N661" s="388"/>
      <c r="O661" s="388"/>
      <c r="P661" s="388"/>
      <c r="Q661" s="388"/>
      <c r="R661" s="388"/>
      <c r="S661" s="388"/>
      <c r="T661" s="388"/>
      <c r="U661" s="388"/>
      <c r="V661" s="388"/>
      <c r="W661" s="388"/>
      <c r="X661" s="388"/>
      <c r="Y661" s="388"/>
      <c r="Z661" s="388"/>
      <c r="AA661" s="388"/>
      <c r="AB661" s="388"/>
      <c r="AC661" s="388"/>
    </row>
    <row r="662">
      <c r="A662" s="388"/>
      <c r="B662" s="388"/>
      <c r="C662" s="388"/>
      <c r="D662" s="388"/>
      <c r="E662" s="388"/>
      <c r="F662" s="388"/>
      <c r="G662" s="388"/>
      <c r="H662" s="388"/>
      <c r="I662" s="388"/>
      <c r="J662" s="642"/>
      <c r="K662" s="642"/>
      <c r="L662" s="642"/>
      <c r="M662" s="388"/>
      <c r="N662" s="388"/>
      <c r="O662" s="388"/>
      <c r="P662" s="388"/>
      <c r="Q662" s="388"/>
      <c r="R662" s="388"/>
      <c r="S662" s="388"/>
      <c r="T662" s="388"/>
      <c r="U662" s="388"/>
      <c r="V662" s="388"/>
      <c r="W662" s="388"/>
      <c r="X662" s="388"/>
      <c r="Y662" s="388"/>
      <c r="Z662" s="388"/>
      <c r="AA662" s="388"/>
      <c r="AB662" s="388"/>
      <c r="AC662" s="388"/>
    </row>
    <row r="663">
      <c r="A663" s="388"/>
      <c r="B663" s="388"/>
      <c r="C663" s="388"/>
      <c r="D663" s="388"/>
      <c r="E663" s="388"/>
      <c r="F663" s="388"/>
      <c r="G663" s="388"/>
      <c r="H663" s="388"/>
      <c r="I663" s="388"/>
      <c r="J663" s="642"/>
      <c r="K663" s="642"/>
      <c r="L663" s="642"/>
      <c r="M663" s="388"/>
      <c r="N663" s="388"/>
      <c r="O663" s="388"/>
      <c r="P663" s="388"/>
      <c r="Q663" s="388"/>
      <c r="R663" s="388"/>
      <c r="S663" s="388"/>
      <c r="T663" s="388"/>
      <c r="U663" s="388"/>
      <c r="V663" s="388"/>
      <c r="W663" s="388"/>
      <c r="X663" s="388"/>
      <c r="Y663" s="388"/>
      <c r="Z663" s="388"/>
      <c r="AA663" s="388"/>
      <c r="AB663" s="388"/>
      <c r="AC663" s="388"/>
    </row>
    <row r="664">
      <c r="A664" s="388"/>
      <c r="B664" s="388"/>
      <c r="C664" s="388"/>
      <c r="D664" s="388"/>
      <c r="E664" s="388"/>
      <c r="F664" s="388"/>
      <c r="G664" s="388"/>
      <c r="H664" s="388"/>
      <c r="I664" s="388"/>
      <c r="J664" s="642"/>
      <c r="K664" s="642"/>
      <c r="L664" s="642"/>
      <c r="M664" s="388"/>
      <c r="N664" s="388"/>
      <c r="O664" s="388"/>
      <c r="P664" s="388"/>
      <c r="Q664" s="388"/>
      <c r="R664" s="388"/>
      <c r="S664" s="388"/>
      <c r="T664" s="388"/>
      <c r="U664" s="388"/>
      <c r="V664" s="388"/>
      <c r="W664" s="388"/>
      <c r="X664" s="388"/>
      <c r="Y664" s="388"/>
      <c r="Z664" s="388"/>
      <c r="AA664" s="388"/>
      <c r="AB664" s="388"/>
      <c r="AC664" s="388"/>
    </row>
    <row r="665">
      <c r="A665" s="388"/>
      <c r="B665" s="388"/>
      <c r="C665" s="388"/>
      <c r="D665" s="388"/>
      <c r="E665" s="388"/>
      <c r="F665" s="388"/>
      <c r="G665" s="388"/>
      <c r="H665" s="388"/>
      <c r="I665" s="388"/>
      <c r="J665" s="642"/>
      <c r="K665" s="642"/>
      <c r="L665" s="642"/>
      <c r="M665" s="388"/>
      <c r="N665" s="388"/>
      <c r="O665" s="388"/>
      <c r="P665" s="388"/>
      <c r="Q665" s="388"/>
      <c r="R665" s="388"/>
      <c r="S665" s="388"/>
      <c r="T665" s="388"/>
      <c r="U665" s="388"/>
      <c r="V665" s="388"/>
      <c r="W665" s="388"/>
      <c r="X665" s="388"/>
      <c r="Y665" s="388"/>
      <c r="Z665" s="388"/>
      <c r="AA665" s="388"/>
      <c r="AB665" s="388"/>
      <c r="AC665" s="388"/>
    </row>
    <row r="666">
      <c r="A666" s="388"/>
      <c r="B666" s="388"/>
      <c r="C666" s="388"/>
      <c r="D666" s="388"/>
      <c r="E666" s="388"/>
      <c r="F666" s="388"/>
      <c r="G666" s="388"/>
      <c r="H666" s="388"/>
      <c r="I666" s="388"/>
      <c r="J666" s="642"/>
      <c r="K666" s="642"/>
      <c r="L666" s="642"/>
      <c r="M666" s="388"/>
      <c r="N666" s="388"/>
      <c r="O666" s="388"/>
      <c r="P666" s="388"/>
      <c r="Q666" s="388"/>
      <c r="R666" s="388"/>
      <c r="S666" s="388"/>
      <c r="T666" s="388"/>
      <c r="U666" s="388"/>
      <c r="V666" s="388"/>
      <c r="W666" s="388"/>
      <c r="X666" s="388"/>
      <c r="Y666" s="388"/>
      <c r="Z666" s="388"/>
      <c r="AA666" s="388"/>
      <c r="AB666" s="388"/>
      <c r="AC666" s="388"/>
    </row>
    <row r="667">
      <c r="A667" s="388"/>
      <c r="B667" s="388"/>
      <c r="C667" s="388"/>
      <c r="D667" s="388"/>
      <c r="E667" s="388"/>
      <c r="F667" s="388"/>
      <c r="G667" s="388"/>
      <c r="H667" s="388"/>
      <c r="I667" s="388"/>
      <c r="J667" s="642"/>
      <c r="K667" s="642"/>
      <c r="L667" s="642"/>
      <c r="M667" s="388"/>
      <c r="N667" s="388"/>
      <c r="O667" s="388"/>
      <c r="P667" s="388"/>
      <c r="Q667" s="388"/>
      <c r="R667" s="388"/>
      <c r="S667" s="388"/>
      <c r="T667" s="388"/>
      <c r="U667" s="388"/>
      <c r="V667" s="388"/>
      <c r="W667" s="388"/>
      <c r="X667" s="388"/>
      <c r="Y667" s="388"/>
      <c r="Z667" s="388"/>
      <c r="AA667" s="388"/>
      <c r="AB667" s="388"/>
      <c r="AC667" s="388"/>
    </row>
    <row r="668">
      <c r="A668" s="388"/>
      <c r="B668" s="388"/>
      <c r="C668" s="388"/>
      <c r="D668" s="388"/>
      <c r="E668" s="388"/>
      <c r="F668" s="388"/>
      <c r="G668" s="388"/>
      <c r="H668" s="388"/>
      <c r="I668" s="388"/>
      <c r="J668" s="642"/>
      <c r="K668" s="642"/>
      <c r="L668" s="642"/>
      <c r="M668" s="388"/>
      <c r="N668" s="388"/>
      <c r="O668" s="388"/>
      <c r="P668" s="388"/>
      <c r="Q668" s="388"/>
      <c r="R668" s="388"/>
      <c r="S668" s="388"/>
      <c r="T668" s="388"/>
      <c r="U668" s="388"/>
      <c r="V668" s="388"/>
      <c r="W668" s="388"/>
      <c r="X668" s="388"/>
      <c r="Y668" s="388"/>
      <c r="Z668" s="388"/>
      <c r="AA668" s="388"/>
      <c r="AB668" s="388"/>
      <c r="AC668" s="388"/>
    </row>
    <row r="669">
      <c r="A669" s="388"/>
      <c r="B669" s="388"/>
      <c r="C669" s="388"/>
      <c r="D669" s="388"/>
      <c r="E669" s="388"/>
      <c r="F669" s="388"/>
      <c r="G669" s="388"/>
      <c r="H669" s="388"/>
      <c r="I669" s="388"/>
      <c r="J669" s="642"/>
      <c r="K669" s="642"/>
      <c r="L669" s="642"/>
      <c r="M669" s="388"/>
      <c r="N669" s="388"/>
      <c r="O669" s="388"/>
      <c r="P669" s="388"/>
      <c r="Q669" s="388"/>
      <c r="R669" s="388"/>
      <c r="S669" s="388"/>
      <c r="T669" s="388"/>
      <c r="U669" s="388"/>
      <c r="V669" s="388"/>
      <c r="W669" s="388"/>
      <c r="X669" s="388"/>
      <c r="Y669" s="388"/>
      <c r="Z669" s="388"/>
      <c r="AA669" s="388"/>
      <c r="AB669" s="388"/>
      <c r="AC669" s="388"/>
    </row>
    <row r="670">
      <c r="A670" s="388"/>
      <c r="B670" s="388"/>
      <c r="C670" s="388"/>
      <c r="D670" s="388"/>
      <c r="E670" s="388"/>
      <c r="F670" s="388"/>
      <c r="G670" s="388"/>
      <c r="H670" s="388"/>
      <c r="I670" s="388"/>
      <c r="J670" s="642"/>
      <c r="K670" s="642"/>
      <c r="L670" s="642"/>
      <c r="M670" s="388"/>
      <c r="N670" s="388"/>
      <c r="O670" s="388"/>
      <c r="P670" s="388"/>
      <c r="Q670" s="388"/>
      <c r="R670" s="388"/>
      <c r="S670" s="388"/>
      <c r="T670" s="388"/>
      <c r="U670" s="388"/>
      <c r="V670" s="388"/>
      <c r="W670" s="388"/>
      <c r="X670" s="388"/>
      <c r="Y670" s="388"/>
      <c r="Z670" s="388"/>
      <c r="AA670" s="388"/>
      <c r="AB670" s="388"/>
      <c r="AC670" s="388"/>
    </row>
    <row r="671">
      <c r="A671" s="388"/>
      <c r="B671" s="388"/>
      <c r="C671" s="388"/>
      <c r="D671" s="388"/>
      <c r="E671" s="388"/>
      <c r="F671" s="388"/>
      <c r="G671" s="388"/>
      <c r="H671" s="388"/>
      <c r="I671" s="388"/>
      <c r="J671" s="642"/>
      <c r="K671" s="642"/>
      <c r="L671" s="642"/>
      <c r="M671" s="388"/>
      <c r="N671" s="388"/>
      <c r="O671" s="388"/>
      <c r="P671" s="388"/>
      <c r="Q671" s="388"/>
      <c r="R671" s="388"/>
      <c r="S671" s="388"/>
      <c r="T671" s="388"/>
      <c r="U671" s="388"/>
      <c r="V671" s="388"/>
      <c r="W671" s="388"/>
      <c r="X671" s="388"/>
      <c r="Y671" s="388"/>
      <c r="Z671" s="388"/>
      <c r="AA671" s="388"/>
      <c r="AB671" s="388"/>
      <c r="AC671" s="388"/>
    </row>
    <row r="672">
      <c r="A672" s="388"/>
      <c r="B672" s="388"/>
      <c r="C672" s="388"/>
      <c r="D672" s="388"/>
      <c r="E672" s="388"/>
      <c r="F672" s="388"/>
      <c r="G672" s="388"/>
      <c r="H672" s="388"/>
      <c r="I672" s="388"/>
      <c r="J672" s="642"/>
      <c r="K672" s="642"/>
      <c r="L672" s="642"/>
      <c r="M672" s="388"/>
      <c r="N672" s="388"/>
      <c r="O672" s="388"/>
      <c r="P672" s="388"/>
      <c r="Q672" s="388"/>
      <c r="R672" s="388"/>
      <c r="S672" s="388"/>
      <c r="T672" s="388"/>
      <c r="U672" s="388"/>
      <c r="V672" s="388"/>
      <c r="W672" s="388"/>
      <c r="X672" s="388"/>
      <c r="Y672" s="388"/>
      <c r="Z672" s="388"/>
      <c r="AA672" s="388"/>
      <c r="AB672" s="388"/>
      <c r="AC672" s="388"/>
    </row>
    <row r="673">
      <c r="A673" s="388"/>
      <c r="B673" s="388"/>
      <c r="C673" s="388"/>
      <c r="D673" s="388"/>
      <c r="E673" s="388"/>
      <c r="F673" s="388"/>
      <c r="G673" s="388"/>
      <c r="H673" s="388"/>
      <c r="I673" s="388"/>
      <c r="J673" s="642"/>
      <c r="K673" s="642"/>
      <c r="L673" s="642"/>
      <c r="M673" s="388"/>
      <c r="N673" s="388"/>
      <c r="O673" s="388"/>
      <c r="P673" s="388"/>
      <c r="Q673" s="388"/>
      <c r="R673" s="388"/>
      <c r="S673" s="388"/>
      <c r="T673" s="388"/>
      <c r="U673" s="388"/>
      <c r="V673" s="388"/>
      <c r="W673" s="388"/>
      <c r="X673" s="388"/>
      <c r="Y673" s="388"/>
      <c r="Z673" s="388"/>
      <c r="AA673" s="388"/>
      <c r="AB673" s="388"/>
      <c r="AC673" s="388"/>
    </row>
    <row r="674">
      <c r="A674" s="388"/>
      <c r="B674" s="388"/>
      <c r="C674" s="388"/>
      <c r="D674" s="388"/>
      <c r="E674" s="388"/>
      <c r="F674" s="388"/>
      <c r="G674" s="388"/>
      <c r="H674" s="388"/>
      <c r="I674" s="388"/>
      <c r="J674" s="642"/>
      <c r="K674" s="642"/>
      <c r="L674" s="642"/>
      <c r="M674" s="388"/>
      <c r="N674" s="388"/>
      <c r="O674" s="388"/>
      <c r="P674" s="388"/>
      <c r="Q674" s="388"/>
      <c r="R674" s="388"/>
      <c r="S674" s="388"/>
      <c r="T674" s="388"/>
      <c r="U674" s="388"/>
      <c r="V674" s="388"/>
      <c r="W674" s="388"/>
      <c r="X674" s="388"/>
      <c r="Y674" s="388"/>
      <c r="Z674" s="388"/>
      <c r="AA674" s="388"/>
      <c r="AB674" s="388"/>
      <c r="AC674" s="388"/>
    </row>
    <row r="675">
      <c r="A675" s="388"/>
      <c r="B675" s="388"/>
      <c r="C675" s="388"/>
      <c r="D675" s="388"/>
      <c r="E675" s="388"/>
      <c r="F675" s="388"/>
      <c r="G675" s="388"/>
      <c r="H675" s="388"/>
      <c r="I675" s="388"/>
      <c r="J675" s="642"/>
      <c r="K675" s="642"/>
      <c r="L675" s="642"/>
      <c r="M675" s="388"/>
      <c r="N675" s="388"/>
      <c r="O675" s="388"/>
      <c r="P675" s="388"/>
      <c r="Q675" s="388"/>
      <c r="R675" s="388"/>
      <c r="S675" s="388"/>
      <c r="T675" s="388"/>
      <c r="U675" s="388"/>
      <c r="V675" s="388"/>
      <c r="W675" s="388"/>
      <c r="X675" s="388"/>
      <c r="Y675" s="388"/>
      <c r="Z675" s="388"/>
      <c r="AA675" s="388"/>
      <c r="AB675" s="388"/>
      <c r="AC675" s="388"/>
    </row>
    <row r="676">
      <c r="A676" s="388"/>
      <c r="B676" s="388"/>
      <c r="C676" s="388"/>
      <c r="D676" s="388"/>
      <c r="E676" s="388"/>
      <c r="F676" s="388"/>
      <c r="G676" s="388"/>
      <c r="H676" s="388"/>
      <c r="I676" s="388"/>
      <c r="J676" s="642"/>
      <c r="K676" s="642"/>
      <c r="L676" s="642"/>
      <c r="M676" s="388"/>
      <c r="N676" s="388"/>
      <c r="O676" s="388"/>
      <c r="P676" s="388"/>
      <c r="Q676" s="388"/>
      <c r="R676" s="388"/>
      <c r="S676" s="388"/>
      <c r="T676" s="388"/>
      <c r="U676" s="388"/>
      <c r="V676" s="388"/>
      <c r="W676" s="388"/>
      <c r="X676" s="388"/>
      <c r="Y676" s="388"/>
      <c r="Z676" s="388"/>
      <c r="AA676" s="388"/>
      <c r="AB676" s="388"/>
      <c r="AC676" s="388"/>
    </row>
    <row r="677">
      <c r="A677" s="388"/>
      <c r="B677" s="388"/>
      <c r="C677" s="388"/>
      <c r="D677" s="388"/>
      <c r="E677" s="388"/>
      <c r="F677" s="388"/>
      <c r="G677" s="388"/>
      <c r="H677" s="388"/>
      <c r="I677" s="388"/>
      <c r="J677" s="642"/>
      <c r="K677" s="642"/>
      <c r="L677" s="642"/>
      <c r="M677" s="388"/>
      <c r="N677" s="388"/>
      <c r="O677" s="388"/>
      <c r="P677" s="388"/>
      <c r="Q677" s="388"/>
      <c r="R677" s="388"/>
      <c r="S677" s="388"/>
      <c r="T677" s="388"/>
      <c r="U677" s="388"/>
      <c r="V677" s="388"/>
      <c r="W677" s="388"/>
      <c r="X677" s="388"/>
      <c r="Y677" s="388"/>
      <c r="Z677" s="388"/>
      <c r="AA677" s="388"/>
      <c r="AB677" s="388"/>
      <c r="AC677" s="388"/>
    </row>
    <row r="678">
      <c r="A678" s="388"/>
      <c r="B678" s="388"/>
      <c r="C678" s="388"/>
      <c r="D678" s="388"/>
      <c r="E678" s="388"/>
      <c r="F678" s="388"/>
      <c r="G678" s="388"/>
      <c r="H678" s="388"/>
      <c r="I678" s="388"/>
      <c r="J678" s="642"/>
      <c r="K678" s="642"/>
      <c r="L678" s="642"/>
      <c r="M678" s="388"/>
      <c r="N678" s="388"/>
      <c r="O678" s="388"/>
      <c r="P678" s="388"/>
      <c r="Q678" s="388"/>
      <c r="R678" s="388"/>
      <c r="S678" s="388"/>
      <c r="T678" s="388"/>
      <c r="U678" s="388"/>
      <c r="V678" s="388"/>
      <c r="W678" s="388"/>
      <c r="X678" s="388"/>
      <c r="Y678" s="388"/>
      <c r="Z678" s="388"/>
      <c r="AA678" s="388"/>
      <c r="AB678" s="388"/>
      <c r="AC678" s="388"/>
    </row>
    <row r="679">
      <c r="A679" s="388"/>
      <c r="B679" s="388"/>
      <c r="C679" s="388"/>
      <c r="D679" s="388"/>
      <c r="E679" s="388"/>
      <c r="F679" s="388"/>
      <c r="G679" s="388"/>
      <c r="H679" s="388"/>
      <c r="I679" s="388"/>
      <c r="J679" s="642"/>
      <c r="K679" s="642"/>
      <c r="L679" s="642"/>
      <c r="M679" s="388"/>
      <c r="N679" s="388"/>
      <c r="O679" s="388"/>
      <c r="P679" s="388"/>
      <c r="Q679" s="388"/>
      <c r="R679" s="388"/>
      <c r="S679" s="388"/>
      <c r="T679" s="388"/>
      <c r="U679" s="388"/>
      <c r="V679" s="388"/>
      <c r="W679" s="388"/>
      <c r="X679" s="388"/>
      <c r="Y679" s="388"/>
      <c r="Z679" s="388"/>
      <c r="AA679" s="388"/>
      <c r="AB679" s="388"/>
      <c r="AC679" s="388"/>
    </row>
    <row r="680">
      <c r="A680" s="388"/>
      <c r="B680" s="388"/>
      <c r="C680" s="388"/>
      <c r="D680" s="388"/>
      <c r="E680" s="388"/>
      <c r="F680" s="388"/>
      <c r="G680" s="388"/>
      <c r="H680" s="388"/>
      <c r="I680" s="388"/>
      <c r="J680" s="642"/>
      <c r="K680" s="642"/>
      <c r="L680" s="642"/>
      <c r="M680" s="388"/>
      <c r="N680" s="388"/>
      <c r="O680" s="388"/>
      <c r="P680" s="388"/>
      <c r="Q680" s="388"/>
      <c r="R680" s="388"/>
      <c r="S680" s="388"/>
      <c r="T680" s="388"/>
      <c r="U680" s="388"/>
      <c r="V680" s="388"/>
      <c r="W680" s="388"/>
      <c r="X680" s="388"/>
      <c r="Y680" s="388"/>
      <c r="Z680" s="388"/>
      <c r="AA680" s="388"/>
      <c r="AB680" s="388"/>
      <c r="AC680" s="388"/>
    </row>
    <row r="681">
      <c r="A681" s="388"/>
      <c r="B681" s="388"/>
      <c r="C681" s="388"/>
      <c r="D681" s="388"/>
      <c r="E681" s="388"/>
      <c r="F681" s="388"/>
      <c r="G681" s="388"/>
      <c r="H681" s="388"/>
      <c r="I681" s="388"/>
      <c r="J681" s="642"/>
      <c r="K681" s="642"/>
      <c r="L681" s="642"/>
      <c r="M681" s="388"/>
      <c r="N681" s="388"/>
      <c r="O681" s="388"/>
      <c r="P681" s="388"/>
      <c r="Q681" s="388"/>
      <c r="R681" s="388"/>
      <c r="S681" s="388"/>
      <c r="T681" s="388"/>
      <c r="U681" s="388"/>
      <c r="V681" s="388"/>
      <c r="W681" s="388"/>
      <c r="X681" s="388"/>
      <c r="Y681" s="388"/>
      <c r="Z681" s="388"/>
      <c r="AA681" s="388"/>
      <c r="AB681" s="388"/>
      <c r="AC681" s="388"/>
    </row>
    <row r="682">
      <c r="A682" s="388"/>
      <c r="B682" s="388"/>
      <c r="C682" s="388"/>
      <c r="D682" s="388"/>
      <c r="E682" s="388"/>
      <c r="F682" s="388"/>
      <c r="G682" s="388"/>
      <c r="H682" s="388"/>
      <c r="I682" s="388"/>
      <c r="J682" s="642"/>
      <c r="K682" s="642"/>
      <c r="L682" s="642"/>
      <c r="M682" s="388"/>
      <c r="N682" s="388"/>
      <c r="O682" s="388"/>
      <c r="P682" s="388"/>
      <c r="Q682" s="388"/>
      <c r="R682" s="388"/>
      <c r="S682" s="388"/>
      <c r="T682" s="388"/>
      <c r="U682" s="388"/>
      <c r="V682" s="388"/>
      <c r="W682" s="388"/>
      <c r="X682" s="388"/>
      <c r="Y682" s="388"/>
      <c r="Z682" s="388"/>
      <c r="AA682" s="388"/>
      <c r="AB682" s="388"/>
      <c r="AC682" s="388"/>
    </row>
    <row r="683">
      <c r="A683" s="388"/>
      <c r="B683" s="388"/>
      <c r="C683" s="388"/>
      <c r="D683" s="388"/>
      <c r="E683" s="388"/>
      <c r="F683" s="388"/>
      <c r="G683" s="388"/>
      <c r="H683" s="388"/>
      <c r="I683" s="388"/>
      <c r="J683" s="642"/>
      <c r="K683" s="642"/>
      <c r="L683" s="642"/>
      <c r="M683" s="388"/>
      <c r="N683" s="388"/>
      <c r="O683" s="388"/>
      <c r="P683" s="388"/>
      <c r="Q683" s="388"/>
      <c r="R683" s="388"/>
      <c r="S683" s="388"/>
      <c r="T683" s="388"/>
      <c r="U683" s="388"/>
      <c r="V683" s="388"/>
      <c r="W683" s="388"/>
      <c r="X683" s="388"/>
      <c r="Y683" s="388"/>
      <c r="Z683" s="388"/>
      <c r="AA683" s="388"/>
      <c r="AB683" s="388"/>
      <c r="AC683" s="388"/>
    </row>
    <row r="684">
      <c r="A684" s="388"/>
      <c r="B684" s="388"/>
      <c r="C684" s="388"/>
      <c r="D684" s="388"/>
      <c r="E684" s="388"/>
      <c r="F684" s="388"/>
      <c r="G684" s="388"/>
      <c r="H684" s="388"/>
      <c r="I684" s="388"/>
      <c r="J684" s="642"/>
      <c r="K684" s="642"/>
      <c r="L684" s="642"/>
      <c r="M684" s="388"/>
      <c r="N684" s="388"/>
      <c r="O684" s="388"/>
      <c r="P684" s="388"/>
      <c r="Q684" s="388"/>
      <c r="R684" s="388"/>
      <c r="S684" s="388"/>
      <c r="T684" s="388"/>
      <c r="U684" s="388"/>
      <c r="V684" s="388"/>
      <c r="W684" s="388"/>
      <c r="X684" s="388"/>
      <c r="Y684" s="388"/>
      <c r="Z684" s="388"/>
      <c r="AA684" s="388"/>
      <c r="AB684" s="388"/>
      <c r="AC684" s="388"/>
    </row>
    <row r="685">
      <c r="A685" s="388"/>
      <c r="B685" s="388"/>
      <c r="C685" s="388"/>
      <c r="D685" s="388"/>
      <c r="E685" s="388"/>
      <c r="F685" s="388"/>
      <c r="G685" s="388"/>
      <c r="H685" s="388"/>
      <c r="I685" s="388"/>
      <c r="J685" s="642"/>
      <c r="K685" s="642"/>
      <c r="L685" s="642"/>
      <c r="M685" s="388"/>
      <c r="N685" s="388"/>
      <c r="O685" s="388"/>
      <c r="P685" s="388"/>
      <c r="Q685" s="388"/>
      <c r="R685" s="388"/>
      <c r="S685" s="388"/>
      <c r="T685" s="388"/>
      <c r="U685" s="388"/>
      <c r="V685" s="388"/>
      <c r="W685" s="388"/>
      <c r="X685" s="388"/>
      <c r="Y685" s="388"/>
      <c r="Z685" s="388"/>
      <c r="AA685" s="388"/>
      <c r="AB685" s="388"/>
      <c r="AC685" s="388"/>
    </row>
    <row r="686">
      <c r="A686" s="388"/>
      <c r="B686" s="388"/>
      <c r="C686" s="388"/>
      <c r="D686" s="388"/>
      <c r="E686" s="388"/>
      <c r="F686" s="388"/>
      <c r="G686" s="388"/>
      <c r="H686" s="388"/>
      <c r="I686" s="388"/>
      <c r="J686" s="642"/>
      <c r="K686" s="642"/>
      <c r="L686" s="642"/>
      <c r="M686" s="388"/>
      <c r="N686" s="388"/>
      <c r="O686" s="388"/>
      <c r="P686" s="388"/>
      <c r="Q686" s="388"/>
      <c r="R686" s="388"/>
      <c r="S686" s="388"/>
      <c r="T686" s="388"/>
      <c r="U686" s="388"/>
      <c r="V686" s="388"/>
      <c r="W686" s="388"/>
      <c r="X686" s="388"/>
      <c r="Y686" s="388"/>
      <c r="Z686" s="388"/>
      <c r="AA686" s="388"/>
      <c r="AB686" s="388"/>
      <c r="AC686" s="388"/>
    </row>
    <row r="687">
      <c r="A687" s="388"/>
      <c r="B687" s="388"/>
      <c r="C687" s="388"/>
      <c r="D687" s="388"/>
      <c r="E687" s="388"/>
      <c r="F687" s="388"/>
      <c r="G687" s="388"/>
      <c r="H687" s="388"/>
      <c r="I687" s="388"/>
      <c r="J687" s="642"/>
      <c r="K687" s="642"/>
      <c r="L687" s="642"/>
      <c r="M687" s="388"/>
      <c r="N687" s="388"/>
      <c r="O687" s="388"/>
      <c r="P687" s="388"/>
      <c r="Q687" s="388"/>
      <c r="R687" s="388"/>
      <c r="S687" s="388"/>
      <c r="T687" s="388"/>
      <c r="U687" s="388"/>
      <c r="V687" s="388"/>
      <c r="W687" s="388"/>
      <c r="X687" s="388"/>
      <c r="Y687" s="388"/>
      <c r="Z687" s="388"/>
      <c r="AA687" s="388"/>
      <c r="AB687" s="388"/>
      <c r="AC687" s="388"/>
    </row>
    <row r="688">
      <c r="A688" s="388"/>
      <c r="B688" s="388"/>
      <c r="C688" s="388"/>
      <c r="D688" s="388"/>
      <c r="E688" s="388"/>
      <c r="F688" s="388"/>
      <c r="G688" s="388"/>
      <c r="H688" s="388"/>
      <c r="I688" s="388"/>
      <c r="J688" s="642"/>
      <c r="K688" s="642"/>
      <c r="L688" s="642"/>
      <c r="M688" s="388"/>
      <c r="N688" s="388"/>
      <c r="O688" s="388"/>
      <c r="P688" s="388"/>
      <c r="Q688" s="388"/>
      <c r="R688" s="388"/>
      <c r="S688" s="388"/>
      <c r="T688" s="388"/>
      <c r="U688" s="388"/>
      <c r="V688" s="388"/>
      <c r="W688" s="388"/>
      <c r="X688" s="388"/>
      <c r="Y688" s="388"/>
      <c r="Z688" s="388"/>
      <c r="AA688" s="388"/>
      <c r="AB688" s="388"/>
      <c r="AC688" s="388"/>
    </row>
    <row r="689">
      <c r="A689" s="388"/>
      <c r="B689" s="388"/>
      <c r="C689" s="388"/>
      <c r="D689" s="388"/>
      <c r="E689" s="388"/>
      <c r="F689" s="388"/>
      <c r="G689" s="388"/>
      <c r="H689" s="388"/>
      <c r="I689" s="388"/>
      <c r="J689" s="642"/>
      <c r="K689" s="642"/>
      <c r="L689" s="642"/>
      <c r="M689" s="388"/>
      <c r="N689" s="388"/>
      <c r="O689" s="388"/>
      <c r="P689" s="388"/>
      <c r="Q689" s="388"/>
      <c r="R689" s="388"/>
      <c r="S689" s="388"/>
      <c r="T689" s="388"/>
      <c r="U689" s="388"/>
      <c r="V689" s="388"/>
      <c r="W689" s="388"/>
      <c r="X689" s="388"/>
      <c r="Y689" s="388"/>
      <c r="Z689" s="388"/>
      <c r="AA689" s="388"/>
      <c r="AB689" s="388"/>
      <c r="AC689" s="388"/>
    </row>
    <row r="690">
      <c r="A690" s="388"/>
      <c r="B690" s="388"/>
      <c r="C690" s="388"/>
      <c r="D690" s="388"/>
      <c r="E690" s="388"/>
      <c r="F690" s="388"/>
      <c r="G690" s="388"/>
      <c r="H690" s="388"/>
      <c r="I690" s="388"/>
      <c r="J690" s="642"/>
      <c r="K690" s="642"/>
      <c r="L690" s="642"/>
      <c r="M690" s="388"/>
      <c r="N690" s="388"/>
      <c r="O690" s="388"/>
      <c r="P690" s="388"/>
      <c r="Q690" s="388"/>
      <c r="R690" s="388"/>
      <c r="S690" s="388"/>
      <c r="T690" s="388"/>
      <c r="U690" s="388"/>
      <c r="V690" s="388"/>
      <c r="W690" s="388"/>
      <c r="X690" s="388"/>
      <c r="Y690" s="388"/>
      <c r="Z690" s="388"/>
      <c r="AA690" s="388"/>
      <c r="AB690" s="388"/>
      <c r="AC690" s="388"/>
    </row>
    <row r="691">
      <c r="A691" s="388"/>
      <c r="B691" s="388"/>
      <c r="C691" s="388"/>
      <c r="D691" s="388"/>
      <c r="E691" s="388"/>
      <c r="F691" s="388"/>
      <c r="G691" s="388"/>
      <c r="H691" s="388"/>
      <c r="I691" s="388"/>
      <c r="J691" s="642"/>
      <c r="K691" s="642"/>
      <c r="L691" s="642"/>
      <c r="M691" s="388"/>
      <c r="N691" s="388"/>
      <c r="O691" s="388"/>
      <c r="P691" s="388"/>
      <c r="Q691" s="388"/>
      <c r="R691" s="388"/>
      <c r="S691" s="388"/>
      <c r="T691" s="388"/>
      <c r="U691" s="388"/>
      <c r="V691" s="388"/>
      <c r="W691" s="388"/>
      <c r="X691" s="388"/>
      <c r="Y691" s="388"/>
      <c r="Z691" s="388"/>
      <c r="AA691" s="388"/>
      <c r="AB691" s="388"/>
      <c r="AC691" s="388"/>
    </row>
    <row r="692">
      <c r="A692" s="388"/>
      <c r="B692" s="388"/>
      <c r="C692" s="388"/>
      <c r="D692" s="388"/>
      <c r="E692" s="388"/>
      <c r="F692" s="388"/>
      <c r="G692" s="388"/>
      <c r="H692" s="388"/>
      <c r="I692" s="388"/>
      <c r="J692" s="642"/>
      <c r="K692" s="642"/>
      <c r="L692" s="642"/>
      <c r="M692" s="388"/>
      <c r="N692" s="388"/>
      <c r="O692" s="388"/>
      <c r="P692" s="388"/>
      <c r="Q692" s="388"/>
      <c r="R692" s="388"/>
      <c r="S692" s="388"/>
      <c r="T692" s="388"/>
      <c r="U692" s="388"/>
      <c r="V692" s="388"/>
      <c r="W692" s="388"/>
      <c r="X692" s="388"/>
      <c r="Y692" s="388"/>
      <c r="Z692" s="388"/>
      <c r="AA692" s="388"/>
      <c r="AB692" s="388"/>
      <c r="AC692" s="388"/>
    </row>
    <row r="693">
      <c r="A693" s="388"/>
      <c r="B693" s="388"/>
      <c r="C693" s="388"/>
      <c r="D693" s="388"/>
      <c r="E693" s="388"/>
      <c r="F693" s="388"/>
      <c r="G693" s="388"/>
      <c r="H693" s="388"/>
      <c r="I693" s="388"/>
      <c r="J693" s="642"/>
      <c r="K693" s="642"/>
      <c r="L693" s="642"/>
      <c r="M693" s="388"/>
      <c r="N693" s="388"/>
      <c r="O693" s="388"/>
      <c r="P693" s="388"/>
      <c r="Q693" s="388"/>
      <c r="R693" s="388"/>
      <c r="S693" s="388"/>
      <c r="T693" s="388"/>
      <c r="U693" s="388"/>
      <c r="V693" s="388"/>
      <c r="W693" s="388"/>
      <c r="X693" s="388"/>
      <c r="Y693" s="388"/>
      <c r="Z693" s="388"/>
      <c r="AA693" s="388"/>
      <c r="AB693" s="388"/>
      <c r="AC693" s="388"/>
    </row>
    <row r="694">
      <c r="A694" s="388"/>
      <c r="B694" s="388"/>
      <c r="C694" s="388"/>
      <c r="D694" s="388"/>
      <c r="E694" s="388"/>
      <c r="F694" s="388"/>
      <c r="G694" s="388"/>
      <c r="H694" s="388"/>
      <c r="I694" s="388"/>
      <c r="J694" s="642"/>
      <c r="K694" s="642"/>
      <c r="L694" s="642"/>
      <c r="M694" s="388"/>
      <c r="N694" s="388"/>
      <c r="O694" s="388"/>
      <c r="P694" s="388"/>
      <c r="Q694" s="388"/>
      <c r="R694" s="388"/>
      <c r="S694" s="388"/>
      <c r="T694" s="388"/>
      <c r="U694" s="388"/>
      <c r="V694" s="388"/>
      <c r="W694" s="388"/>
      <c r="X694" s="388"/>
      <c r="Y694" s="388"/>
      <c r="Z694" s="388"/>
      <c r="AA694" s="388"/>
      <c r="AB694" s="388"/>
      <c r="AC694" s="388"/>
    </row>
    <row r="695">
      <c r="A695" s="388"/>
      <c r="B695" s="388"/>
      <c r="C695" s="388"/>
      <c r="D695" s="388"/>
      <c r="E695" s="388"/>
      <c r="F695" s="388"/>
      <c r="G695" s="388"/>
      <c r="H695" s="388"/>
      <c r="I695" s="388"/>
      <c r="J695" s="642"/>
      <c r="K695" s="642"/>
      <c r="L695" s="642"/>
      <c r="M695" s="388"/>
      <c r="N695" s="388"/>
      <c r="O695" s="388"/>
      <c r="P695" s="388"/>
      <c r="Q695" s="388"/>
      <c r="R695" s="388"/>
      <c r="S695" s="388"/>
      <c r="T695" s="388"/>
      <c r="U695" s="388"/>
      <c r="V695" s="388"/>
      <c r="W695" s="388"/>
      <c r="X695" s="388"/>
      <c r="Y695" s="388"/>
      <c r="Z695" s="388"/>
      <c r="AA695" s="388"/>
      <c r="AB695" s="388"/>
      <c r="AC695" s="388"/>
    </row>
    <row r="696">
      <c r="A696" s="388"/>
      <c r="B696" s="388"/>
      <c r="C696" s="388"/>
      <c r="D696" s="388"/>
      <c r="E696" s="388"/>
      <c r="F696" s="388"/>
      <c r="G696" s="388"/>
      <c r="H696" s="388"/>
      <c r="I696" s="388"/>
      <c r="J696" s="642"/>
      <c r="K696" s="642"/>
      <c r="L696" s="642"/>
      <c r="M696" s="388"/>
      <c r="N696" s="388"/>
      <c r="O696" s="388"/>
      <c r="P696" s="388"/>
      <c r="Q696" s="388"/>
      <c r="R696" s="388"/>
      <c r="S696" s="388"/>
      <c r="T696" s="388"/>
      <c r="U696" s="388"/>
      <c r="V696" s="388"/>
      <c r="W696" s="388"/>
      <c r="X696" s="388"/>
      <c r="Y696" s="388"/>
      <c r="Z696" s="388"/>
      <c r="AA696" s="388"/>
      <c r="AB696" s="388"/>
      <c r="AC696" s="388"/>
    </row>
    <row r="697">
      <c r="A697" s="388"/>
      <c r="B697" s="388"/>
      <c r="C697" s="388"/>
      <c r="D697" s="388"/>
      <c r="E697" s="388"/>
      <c r="F697" s="388"/>
      <c r="G697" s="388"/>
      <c r="H697" s="388"/>
      <c r="I697" s="388"/>
      <c r="J697" s="642"/>
      <c r="K697" s="642"/>
      <c r="L697" s="642"/>
      <c r="M697" s="388"/>
      <c r="N697" s="388"/>
      <c r="O697" s="388"/>
      <c r="P697" s="388"/>
      <c r="Q697" s="388"/>
      <c r="R697" s="388"/>
      <c r="S697" s="388"/>
      <c r="T697" s="388"/>
      <c r="U697" s="388"/>
      <c r="V697" s="388"/>
      <c r="W697" s="388"/>
      <c r="X697" s="388"/>
      <c r="Y697" s="388"/>
      <c r="Z697" s="388"/>
      <c r="AA697" s="388"/>
      <c r="AB697" s="388"/>
      <c r="AC697" s="388"/>
    </row>
    <row r="698">
      <c r="A698" s="388"/>
      <c r="B698" s="388"/>
      <c r="C698" s="388"/>
      <c r="D698" s="388"/>
      <c r="E698" s="388"/>
      <c r="F698" s="388"/>
      <c r="G698" s="388"/>
      <c r="H698" s="388"/>
      <c r="I698" s="388"/>
      <c r="J698" s="642"/>
      <c r="K698" s="642"/>
      <c r="L698" s="642"/>
      <c r="M698" s="388"/>
      <c r="N698" s="388"/>
      <c r="O698" s="388"/>
      <c r="P698" s="388"/>
      <c r="Q698" s="388"/>
      <c r="R698" s="388"/>
      <c r="S698" s="388"/>
      <c r="T698" s="388"/>
      <c r="U698" s="388"/>
      <c r="V698" s="388"/>
      <c r="W698" s="388"/>
      <c r="X698" s="388"/>
      <c r="Y698" s="388"/>
      <c r="Z698" s="388"/>
      <c r="AA698" s="388"/>
      <c r="AB698" s="388"/>
      <c r="AC698" s="388"/>
    </row>
    <row r="699">
      <c r="A699" s="388"/>
      <c r="B699" s="388"/>
      <c r="C699" s="388"/>
      <c r="D699" s="388"/>
      <c r="E699" s="388"/>
      <c r="F699" s="388"/>
      <c r="G699" s="388"/>
      <c r="H699" s="388"/>
      <c r="I699" s="388"/>
      <c r="J699" s="642"/>
      <c r="K699" s="642"/>
      <c r="L699" s="642"/>
      <c r="M699" s="388"/>
      <c r="N699" s="388"/>
      <c r="O699" s="388"/>
      <c r="P699" s="388"/>
      <c r="Q699" s="388"/>
      <c r="R699" s="388"/>
      <c r="S699" s="388"/>
      <c r="T699" s="388"/>
      <c r="U699" s="388"/>
      <c r="V699" s="388"/>
      <c r="W699" s="388"/>
      <c r="X699" s="388"/>
      <c r="Y699" s="388"/>
      <c r="Z699" s="388"/>
      <c r="AA699" s="388"/>
      <c r="AB699" s="388"/>
      <c r="AC699" s="388"/>
    </row>
    <row r="700">
      <c r="A700" s="388"/>
      <c r="B700" s="388"/>
      <c r="C700" s="388"/>
      <c r="D700" s="388"/>
      <c r="E700" s="388"/>
      <c r="F700" s="388"/>
      <c r="G700" s="388"/>
      <c r="H700" s="388"/>
      <c r="I700" s="388"/>
      <c r="J700" s="642"/>
      <c r="K700" s="642"/>
      <c r="L700" s="642"/>
      <c r="M700" s="388"/>
      <c r="N700" s="388"/>
      <c r="O700" s="388"/>
      <c r="P700" s="388"/>
      <c r="Q700" s="388"/>
      <c r="R700" s="388"/>
      <c r="S700" s="388"/>
      <c r="T700" s="388"/>
      <c r="U700" s="388"/>
      <c r="V700" s="388"/>
      <c r="W700" s="388"/>
      <c r="X700" s="388"/>
      <c r="Y700" s="388"/>
      <c r="Z700" s="388"/>
      <c r="AA700" s="388"/>
      <c r="AB700" s="388"/>
      <c r="AC700" s="388"/>
    </row>
    <row r="701">
      <c r="A701" s="388"/>
      <c r="B701" s="388"/>
      <c r="C701" s="388"/>
      <c r="D701" s="388"/>
      <c r="E701" s="388"/>
      <c r="F701" s="388"/>
      <c r="G701" s="388"/>
      <c r="H701" s="388"/>
      <c r="I701" s="388"/>
      <c r="J701" s="642"/>
      <c r="K701" s="642"/>
      <c r="L701" s="642"/>
      <c r="M701" s="388"/>
      <c r="N701" s="388"/>
      <c r="O701" s="388"/>
      <c r="P701" s="388"/>
      <c r="Q701" s="388"/>
      <c r="R701" s="388"/>
      <c r="S701" s="388"/>
      <c r="T701" s="388"/>
      <c r="U701" s="388"/>
      <c r="V701" s="388"/>
      <c r="W701" s="388"/>
      <c r="X701" s="388"/>
      <c r="Y701" s="388"/>
      <c r="Z701" s="388"/>
      <c r="AA701" s="388"/>
      <c r="AB701" s="388"/>
      <c r="AC701" s="388"/>
    </row>
    <row r="702">
      <c r="A702" s="388"/>
      <c r="B702" s="388"/>
      <c r="C702" s="388"/>
      <c r="D702" s="388"/>
      <c r="E702" s="388"/>
      <c r="F702" s="388"/>
      <c r="G702" s="388"/>
      <c r="H702" s="388"/>
      <c r="I702" s="388"/>
      <c r="J702" s="642"/>
      <c r="K702" s="642"/>
      <c r="L702" s="642"/>
      <c r="M702" s="388"/>
      <c r="N702" s="388"/>
      <c r="O702" s="388"/>
      <c r="P702" s="388"/>
      <c r="Q702" s="388"/>
      <c r="R702" s="388"/>
      <c r="S702" s="388"/>
      <c r="T702" s="388"/>
      <c r="U702" s="388"/>
      <c r="V702" s="388"/>
      <c r="W702" s="388"/>
      <c r="X702" s="388"/>
      <c r="Y702" s="388"/>
      <c r="Z702" s="388"/>
      <c r="AA702" s="388"/>
      <c r="AB702" s="388"/>
      <c r="AC702" s="388"/>
    </row>
    <row r="703">
      <c r="A703" s="388"/>
      <c r="B703" s="388"/>
      <c r="C703" s="388"/>
      <c r="D703" s="388"/>
      <c r="E703" s="388"/>
      <c r="F703" s="388"/>
      <c r="G703" s="388"/>
      <c r="H703" s="388"/>
      <c r="I703" s="388"/>
      <c r="J703" s="642"/>
      <c r="K703" s="642"/>
      <c r="L703" s="642"/>
      <c r="M703" s="388"/>
      <c r="N703" s="388"/>
      <c r="O703" s="388"/>
      <c r="P703" s="388"/>
      <c r="Q703" s="388"/>
      <c r="R703" s="388"/>
      <c r="S703" s="388"/>
      <c r="T703" s="388"/>
      <c r="U703" s="388"/>
      <c r="V703" s="388"/>
      <c r="W703" s="388"/>
      <c r="X703" s="388"/>
      <c r="Y703" s="388"/>
      <c r="Z703" s="388"/>
      <c r="AA703" s="388"/>
      <c r="AB703" s="388"/>
      <c r="AC703" s="388"/>
    </row>
    <row r="704">
      <c r="A704" s="388"/>
      <c r="B704" s="388"/>
      <c r="C704" s="388"/>
      <c r="D704" s="388"/>
      <c r="E704" s="388"/>
      <c r="F704" s="388"/>
      <c r="G704" s="388"/>
      <c r="H704" s="388"/>
      <c r="I704" s="388"/>
      <c r="J704" s="642"/>
      <c r="K704" s="642"/>
      <c r="L704" s="642"/>
      <c r="M704" s="388"/>
      <c r="N704" s="388"/>
      <c r="O704" s="388"/>
      <c r="P704" s="388"/>
      <c r="Q704" s="388"/>
      <c r="R704" s="388"/>
      <c r="S704" s="388"/>
      <c r="T704" s="388"/>
      <c r="U704" s="388"/>
      <c r="V704" s="388"/>
      <c r="W704" s="388"/>
      <c r="X704" s="388"/>
      <c r="Y704" s="388"/>
      <c r="Z704" s="388"/>
      <c r="AA704" s="388"/>
      <c r="AB704" s="388"/>
      <c r="AC704" s="388"/>
    </row>
    <row r="705">
      <c r="A705" s="388"/>
      <c r="B705" s="388"/>
      <c r="C705" s="388"/>
      <c r="D705" s="388"/>
      <c r="E705" s="388"/>
      <c r="F705" s="388"/>
      <c r="G705" s="388"/>
      <c r="H705" s="388"/>
      <c r="I705" s="388"/>
      <c r="J705" s="642"/>
      <c r="K705" s="642"/>
      <c r="L705" s="642"/>
      <c r="M705" s="388"/>
      <c r="N705" s="388"/>
      <c r="O705" s="388"/>
      <c r="P705" s="388"/>
      <c r="Q705" s="388"/>
      <c r="R705" s="388"/>
      <c r="S705" s="388"/>
      <c r="T705" s="388"/>
      <c r="U705" s="388"/>
      <c r="V705" s="388"/>
      <c r="W705" s="388"/>
      <c r="X705" s="388"/>
      <c r="Y705" s="388"/>
      <c r="Z705" s="388"/>
      <c r="AA705" s="388"/>
      <c r="AB705" s="388"/>
      <c r="AC705" s="388"/>
    </row>
    <row r="706">
      <c r="A706" s="388"/>
      <c r="B706" s="388"/>
      <c r="C706" s="388"/>
      <c r="D706" s="388"/>
      <c r="E706" s="388"/>
      <c r="F706" s="388"/>
      <c r="G706" s="388"/>
      <c r="H706" s="388"/>
      <c r="I706" s="388"/>
      <c r="J706" s="642"/>
      <c r="K706" s="642"/>
      <c r="L706" s="642"/>
      <c r="M706" s="388"/>
      <c r="N706" s="388"/>
      <c r="O706" s="388"/>
      <c r="P706" s="388"/>
      <c r="Q706" s="388"/>
      <c r="R706" s="388"/>
      <c r="S706" s="388"/>
      <c r="T706" s="388"/>
      <c r="U706" s="388"/>
      <c r="V706" s="388"/>
      <c r="W706" s="388"/>
      <c r="X706" s="388"/>
      <c r="Y706" s="388"/>
      <c r="Z706" s="388"/>
      <c r="AA706" s="388"/>
      <c r="AB706" s="388"/>
      <c r="AC706" s="388"/>
    </row>
    <row r="707">
      <c r="A707" s="388"/>
      <c r="B707" s="388"/>
      <c r="C707" s="388"/>
      <c r="D707" s="388"/>
      <c r="E707" s="388"/>
      <c r="F707" s="388"/>
      <c r="G707" s="388"/>
      <c r="H707" s="388"/>
      <c r="I707" s="388"/>
      <c r="J707" s="642"/>
      <c r="K707" s="642"/>
      <c r="L707" s="642"/>
      <c r="M707" s="388"/>
      <c r="N707" s="388"/>
      <c r="O707" s="388"/>
      <c r="P707" s="388"/>
      <c r="Q707" s="388"/>
      <c r="R707" s="388"/>
      <c r="S707" s="388"/>
      <c r="T707" s="388"/>
      <c r="U707" s="388"/>
      <c r="V707" s="388"/>
      <c r="W707" s="388"/>
      <c r="X707" s="388"/>
      <c r="Y707" s="388"/>
      <c r="Z707" s="388"/>
      <c r="AA707" s="388"/>
      <c r="AB707" s="388"/>
      <c r="AC707" s="388"/>
    </row>
    <row r="708">
      <c r="A708" s="388"/>
      <c r="B708" s="388"/>
      <c r="C708" s="388"/>
      <c r="D708" s="388"/>
      <c r="E708" s="388"/>
      <c r="F708" s="388"/>
      <c r="G708" s="388"/>
      <c r="H708" s="388"/>
      <c r="I708" s="388"/>
      <c r="J708" s="642"/>
      <c r="K708" s="642"/>
      <c r="L708" s="642"/>
      <c r="M708" s="388"/>
      <c r="N708" s="388"/>
      <c r="O708" s="388"/>
      <c r="P708" s="388"/>
      <c r="Q708" s="388"/>
      <c r="R708" s="388"/>
      <c r="S708" s="388"/>
      <c r="T708" s="388"/>
      <c r="U708" s="388"/>
      <c r="V708" s="388"/>
      <c r="W708" s="388"/>
      <c r="X708" s="388"/>
      <c r="Y708" s="388"/>
      <c r="Z708" s="388"/>
      <c r="AA708" s="388"/>
      <c r="AB708" s="388"/>
      <c r="AC708" s="388"/>
    </row>
    <row r="709">
      <c r="A709" s="388"/>
      <c r="B709" s="388"/>
      <c r="C709" s="388"/>
      <c r="D709" s="388"/>
      <c r="E709" s="388"/>
      <c r="F709" s="388"/>
      <c r="G709" s="388"/>
      <c r="H709" s="388"/>
      <c r="I709" s="388"/>
      <c r="J709" s="642"/>
      <c r="K709" s="642"/>
      <c r="L709" s="642"/>
      <c r="M709" s="388"/>
      <c r="N709" s="388"/>
      <c r="O709" s="388"/>
      <c r="P709" s="388"/>
      <c r="Q709" s="388"/>
      <c r="R709" s="388"/>
      <c r="S709" s="388"/>
      <c r="T709" s="388"/>
      <c r="U709" s="388"/>
      <c r="V709" s="388"/>
      <c r="W709" s="388"/>
      <c r="X709" s="388"/>
      <c r="Y709" s="388"/>
      <c r="Z709" s="388"/>
      <c r="AA709" s="388"/>
      <c r="AB709" s="388"/>
      <c r="AC709" s="388"/>
    </row>
    <row r="710">
      <c r="A710" s="388"/>
      <c r="B710" s="388"/>
      <c r="C710" s="388"/>
      <c r="D710" s="388"/>
      <c r="E710" s="388"/>
      <c r="F710" s="388"/>
      <c r="G710" s="388"/>
      <c r="H710" s="388"/>
      <c r="I710" s="388"/>
      <c r="J710" s="642"/>
      <c r="K710" s="642"/>
      <c r="L710" s="642"/>
      <c r="M710" s="388"/>
      <c r="N710" s="388"/>
      <c r="O710" s="388"/>
      <c r="P710" s="388"/>
      <c r="Q710" s="388"/>
      <c r="R710" s="388"/>
      <c r="S710" s="388"/>
      <c r="T710" s="388"/>
      <c r="U710" s="388"/>
      <c r="V710" s="388"/>
      <c r="W710" s="388"/>
      <c r="X710" s="388"/>
      <c r="Y710" s="388"/>
      <c r="Z710" s="388"/>
      <c r="AA710" s="388"/>
      <c r="AB710" s="388"/>
      <c r="AC710" s="388"/>
    </row>
    <row r="711">
      <c r="A711" s="388"/>
      <c r="B711" s="388"/>
      <c r="C711" s="388"/>
      <c r="D711" s="388"/>
      <c r="E711" s="388"/>
      <c r="F711" s="388"/>
      <c r="G711" s="388"/>
      <c r="H711" s="388"/>
      <c r="I711" s="388"/>
      <c r="J711" s="642"/>
      <c r="K711" s="642"/>
      <c r="L711" s="642"/>
      <c r="M711" s="388"/>
      <c r="N711" s="388"/>
      <c r="O711" s="388"/>
      <c r="P711" s="388"/>
      <c r="Q711" s="388"/>
      <c r="R711" s="388"/>
      <c r="S711" s="388"/>
      <c r="T711" s="388"/>
      <c r="U711" s="388"/>
      <c r="V711" s="388"/>
      <c r="W711" s="388"/>
      <c r="X711" s="388"/>
      <c r="Y711" s="388"/>
      <c r="Z711" s="388"/>
      <c r="AA711" s="388"/>
      <c r="AB711" s="388"/>
      <c r="AC711" s="388"/>
    </row>
    <row r="712">
      <c r="A712" s="388"/>
      <c r="B712" s="388"/>
      <c r="C712" s="388"/>
      <c r="D712" s="388"/>
      <c r="E712" s="388"/>
      <c r="F712" s="388"/>
      <c r="G712" s="388"/>
      <c r="H712" s="388"/>
      <c r="I712" s="388"/>
      <c r="J712" s="642"/>
      <c r="K712" s="642"/>
      <c r="L712" s="642"/>
      <c r="M712" s="388"/>
      <c r="N712" s="388"/>
      <c r="O712" s="388"/>
      <c r="P712" s="388"/>
      <c r="Q712" s="388"/>
      <c r="R712" s="388"/>
      <c r="S712" s="388"/>
      <c r="T712" s="388"/>
      <c r="U712" s="388"/>
      <c r="V712" s="388"/>
      <c r="W712" s="388"/>
      <c r="X712" s="388"/>
      <c r="Y712" s="388"/>
      <c r="Z712" s="388"/>
      <c r="AA712" s="388"/>
      <c r="AB712" s="388"/>
      <c r="AC712" s="388"/>
    </row>
    <row r="713">
      <c r="A713" s="388"/>
      <c r="B713" s="388"/>
      <c r="C713" s="388"/>
      <c r="D713" s="388"/>
      <c r="E713" s="388"/>
      <c r="F713" s="388"/>
      <c r="G713" s="388"/>
      <c r="H713" s="388"/>
      <c r="I713" s="388"/>
      <c r="J713" s="642"/>
      <c r="K713" s="642"/>
      <c r="L713" s="642"/>
      <c r="M713" s="388"/>
      <c r="N713" s="388"/>
      <c r="O713" s="388"/>
      <c r="P713" s="388"/>
      <c r="Q713" s="388"/>
      <c r="R713" s="388"/>
      <c r="S713" s="388"/>
      <c r="T713" s="388"/>
      <c r="U713" s="388"/>
      <c r="V713" s="388"/>
      <c r="W713" s="388"/>
      <c r="X713" s="388"/>
      <c r="Y713" s="388"/>
      <c r="Z713" s="388"/>
      <c r="AA713" s="388"/>
      <c r="AB713" s="388"/>
      <c r="AC713" s="388"/>
    </row>
    <row r="714">
      <c r="A714" s="388"/>
      <c r="B714" s="388"/>
      <c r="C714" s="388"/>
      <c r="D714" s="388"/>
      <c r="E714" s="388"/>
      <c r="F714" s="388"/>
      <c r="G714" s="388"/>
      <c r="H714" s="388"/>
      <c r="I714" s="388"/>
      <c r="J714" s="642"/>
      <c r="K714" s="642"/>
      <c r="L714" s="642"/>
      <c r="M714" s="388"/>
      <c r="N714" s="388"/>
      <c r="O714" s="388"/>
      <c r="P714" s="388"/>
      <c r="Q714" s="388"/>
      <c r="R714" s="388"/>
      <c r="S714" s="388"/>
      <c r="T714" s="388"/>
      <c r="U714" s="388"/>
      <c r="V714" s="388"/>
      <c r="W714" s="388"/>
      <c r="X714" s="388"/>
      <c r="Y714" s="388"/>
      <c r="Z714" s="388"/>
      <c r="AA714" s="388"/>
      <c r="AB714" s="388"/>
      <c r="AC714" s="388"/>
    </row>
    <row r="715">
      <c r="A715" s="388"/>
      <c r="B715" s="388"/>
      <c r="C715" s="388"/>
      <c r="D715" s="388"/>
      <c r="E715" s="388"/>
      <c r="F715" s="388"/>
      <c r="G715" s="388"/>
      <c r="H715" s="388"/>
      <c r="I715" s="388"/>
      <c r="J715" s="642"/>
      <c r="K715" s="642"/>
      <c r="L715" s="642"/>
      <c r="M715" s="388"/>
      <c r="N715" s="388"/>
      <c r="O715" s="388"/>
      <c r="P715" s="388"/>
      <c r="Q715" s="388"/>
      <c r="R715" s="388"/>
      <c r="S715" s="388"/>
      <c r="T715" s="388"/>
      <c r="U715" s="388"/>
      <c r="V715" s="388"/>
      <c r="W715" s="388"/>
      <c r="X715" s="388"/>
      <c r="Y715" s="388"/>
      <c r="Z715" s="388"/>
      <c r="AA715" s="388"/>
      <c r="AB715" s="388"/>
      <c r="AC715" s="388"/>
    </row>
    <row r="716">
      <c r="A716" s="388"/>
      <c r="B716" s="388"/>
      <c r="C716" s="388"/>
      <c r="D716" s="388"/>
      <c r="E716" s="388"/>
      <c r="F716" s="388"/>
      <c r="G716" s="388"/>
      <c r="H716" s="388"/>
      <c r="I716" s="388"/>
      <c r="J716" s="642"/>
      <c r="K716" s="642"/>
      <c r="L716" s="642"/>
      <c r="M716" s="388"/>
      <c r="N716" s="388"/>
      <c r="O716" s="388"/>
      <c r="P716" s="388"/>
      <c r="Q716" s="388"/>
      <c r="R716" s="388"/>
      <c r="S716" s="388"/>
      <c r="T716" s="388"/>
      <c r="U716" s="388"/>
      <c r="V716" s="388"/>
      <c r="W716" s="388"/>
      <c r="X716" s="388"/>
      <c r="Y716" s="388"/>
      <c r="Z716" s="388"/>
      <c r="AA716" s="388"/>
      <c r="AB716" s="388"/>
      <c r="AC716" s="388"/>
    </row>
    <row r="717">
      <c r="A717" s="388"/>
      <c r="B717" s="388"/>
      <c r="C717" s="388"/>
      <c r="D717" s="388"/>
      <c r="E717" s="388"/>
      <c r="F717" s="388"/>
      <c r="G717" s="388"/>
      <c r="H717" s="388"/>
      <c r="I717" s="388"/>
      <c r="J717" s="642"/>
      <c r="K717" s="642"/>
      <c r="L717" s="642"/>
      <c r="M717" s="388"/>
      <c r="N717" s="388"/>
      <c r="O717" s="388"/>
      <c r="P717" s="388"/>
      <c r="Q717" s="388"/>
      <c r="R717" s="388"/>
      <c r="S717" s="388"/>
      <c r="T717" s="388"/>
      <c r="U717" s="388"/>
      <c r="V717" s="388"/>
      <c r="W717" s="388"/>
      <c r="X717" s="388"/>
      <c r="Y717" s="388"/>
      <c r="Z717" s="388"/>
      <c r="AA717" s="388"/>
      <c r="AB717" s="388"/>
      <c r="AC717" s="388"/>
    </row>
    <row r="718">
      <c r="A718" s="388"/>
      <c r="B718" s="388"/>
      <c r="C718" s="388"/>
      <c r="D718" s="388"/>
      <c r="E718" s="388"/>
      <c r="F718" s="388"/>
      <c r="G718" s="388"/>
      <c r="H718" s="388"/>
      <c r="I718" s="388"/>
      <c r="J718" s="642"/>
      <c r="K718" s="642"/>
      <c r="L718" s="642"/>
      <c r="M718" s="388"/>
      <c r="N718" s="388"/>
      <c r="O718" s="388"/>
      <c r="P718" s="388"/>
      <c r="Q718" s="388"/>
      <c r="R718" s="388"/>
      <c r="S718" s="388"/>
      <c r="T718" s="388"/>
      <c r="U718" s="388"/>
      <c r="V718" s="388"/>
      <c r="W718" s="388"/>
      <c r="X718" s="388"/>
      <c r="Y718" s="388"/>
      <c r="Z718" s="388"/>
      <c r="AA718" s="388"/>
      <c r="AB718" s="388"/>
      <c r="AC718" s="388"/>
    </row>
    <row r="719">
      <c r="A719" s="388"/>
      <c r="B719" s="388"/>
      <c r="C719" s="388"/>
      <c r="D719" s="388"/>
      <c r="E719" s="388"/>
      <c r="F719" s="388"/>
      <c r="G719" s="388"/>
      <c r="H719" s="388"/>
      <c r="I719" s="388"/>
      <c r="J719" s="642"/>
      <c r="K719" s="642"/>
      <c r="L719" s="642"/>
      <c r="M719" s="388"/>
      <c r="N719" s="388"/>
      <c r="O719" s="388"/>
      <c r="P719" s="388"/>
      <c r="Q719" s="388"/>
      <c r="R719" s="388"/>
      <c r="S719" s="388"/>
      <c r="T719" s="388"/>
      <c r="U719" s="388"/>
      <c r="V719" s="388"/>
      <c r="W719" s="388"/>
      <c r="X719" s="388"/>
      <c r="Y719" s="388"/>
      <c r="Z719" s="388"/>
      <c r="AA719" s="388"/>
      <c r="AB719" s="388"/>
      <c r="AC719" s="388"/>
    </row>
    <row r="720">
      <c r="A720" s="388"/>
      <c r="B720" s="388"/>
      <c r="C720" s="388"/>
      <c r="D720" s="388"/>
      <c r="E720" s="388"/>
      <c r="F720" s="388"/>
      <c r="G720" s="388"/>
      <c r="H720" s="388"/>
      <c r="I720" s="388"/>
      <c r="J720" s="642"/>
      <c r="K720" s="642"/>
      <c r="L720" s="642"/>
      <c r="M720" s="388"/>
      <c r="N720" s="388"/>
      <c r="O720" s="388"/>
      <c r="P720" s="388"/>
      <c r="Q720" s="388"/>
      <c r="R720" s="388"/>
      <c r="S720" s="388"/>
      <c r="T720" s="388"/>
      <c r="U720" s="388"/>
      <c r="V720" s="388"/>
      <c r="W720" s="388"/>
      <c r="X720" s="388"/>
      <c r="Y720" s="388"/>
      <c r="Z720" s="388"/>
      <c r="AA720" s="388"/>
      <c r="AB720" s="388"/>
      <c r="AC720" s="388"/>
    </row>
    <row r="721">
      <c r="A721" s="388"/>
      <c r="B721" s="388"/>
      <c r="C721" s="388"/>
      <c r="D721" s="388"/>
      <c r="E721" s="388"/>
      <c r="F721" s="388"/>
      <c r="G721" s="388"/>
      <c r="H721" s="388"/>
      <c r="I721" s="388"/>
      <c r="J721" s="642"/>
      <c r="K721" s="642"/>
      <c r="L721" s="642"/>
      <c r="M721" s="388"/>
      <c r="N721" s="388"/>
      <c r="O721" s="388"/>
      <c r="P721" s="388"/>
      <c r="Q721" s="388"/>
      <c r="R721" s="388"/>
      <c r="S721" s="388"/>
      <c r="T721" s="388"/>
      <c r="U721" s="388"/>
      <c r="V721" s="388"/>
      <c r="W721" s="388"/>
      <c r="X721" s="388"/>
      <c r="Y721" s="388"/>
      <c r="Z721" s="388"/>
      <c r="AA721" s="388"/>
      <c r="AB721" s="388"/>
      <c r="AC721" s="388"/>
    </row>
    <row r="722">
      <c r="A722" s="388"/>
      <c r="B722" s="388"/>
      <c r="C722" s="388"/>
      <c r="D722" s="388"/>
      <c r="E722" s="388"/>
      <c r="F722" s="388"/>
      <c r="G722" s="388"/>
      <c r="H722" s="388"/>
      <c r="I722" s="388"/>
      <c r="J722" s="642"/>
      <c r="K722" s="642"/>
      <c r="L722" s="642"/>
      <c r="M722" s="388"/>
      <c r="N722" s="388"/>
      <c r="O722" s="388"/>
      <c r="P722" s="388"/>
      <c r="Q722" s="388"/>
      <c r="R722" s="388"/>
      <c r="S722" s="388"/>
      <c r="T722" s="388"/>
      <c r="U722" s="388"/>
      <c r="V722" s="388"/>
      <c r="W722" s="388"/>
      <c r="X722" s="388"/>
      <c r="Y722" s="388"/>
      <c r="Z722" s="388"/>
      <c r="AA722" s="388"/>
      <c r="AB722" s="388"/>
      <c r="AC722" s="388"/>
    </row>
    <row r="723">
      <c r="A723" s="388"/>
      <c r="B723" s="388"/>
      <c r="C723" s="388"/>
      <c r="D723" s="388"/>
      <c r="E723" s="388"/>
      <c r="F723" s="388"/>
      <c r="G723" s="388"/>
      <c r="H723" s="388"/>
      <c r="I723" s="388"/>
      <c r="J723" s="642"/>
      <c r="K723" s="642"/>
      <c r="L723" s="642"/>
      <c r="M723" s="388"/>
      <c r="N723" s="388"/>
      <c r="O723" s="388"/>
      <c r="P723" s="388"/>
      <c r="Q723" s="388"/>
      <c r="R723" s="388"/>
      <c r="S723" s="388"/>
      <c r="T723" s="388"/>
      <c r="U723" s="388"/>
      <c r="V723" s="388"/>
      <c r="W723" s="388"/>
      <c r="X723" s="388"/>
      <c r="Y723" s="388"/>
      <c r="Z723" s="388"/>
      <c r="AA723" s="388"/>
      <c r="AB723" s="388"/>
      <c r="AC723" s="388"/>
    </row>
    <row r="724">
      <c r="A724" s="388"/>
      <c r="B724" s="388"/>
      <c r="C724" s="388"/>
      <c r="D724" s="388"/>
      <c r="E724" s="388"/>
      <c r="F724" s="388"/>
      <c r="G724" s="388"/>
      <c r="H724" s="388"/>
      <c r="I724" s="388"/>
      <c r="J724" s="642"/>
      <c r="K724" s="642"/>
      <c r="L724" s="642"/>
      <c r="M724" s="388"/>
      <c r="N724" s="388"/>
      <c r="O724" s="388"/>
      <c r="P724" s="388"/>
      <c r="Q724" s="388"/>
      <c r="R724" s="388"/>
      <c r="S724" s="388"/>
      <c r="T724" s="388"/>
      <c r="U724" s="388"/>
      <c r="V724" s="388"/>
      <c r="W724" s="388"/>
      <c r="X724" s="388"/>
      <c r="Y724" s="388"/>
      <c r="Z724" s="388"/>
      <c r="AA724" s="388"/>
      <c r="AB724" s="388"/>
      <c r="AC724" s="388"/>
    </row>
    <row r="725">
      <c r="A725" s="388"/>
      <c r="B725" s="388"/>
      <c r="C725" s="388"/>
      <c r="D725" s="388"/>
      <c r="E725" s="388"/>
      <c r="F725" s="388"/>
      <c r="G725" s="388"/>
      <c r="H725" s="388"/>
      <c r="I725" s="388"/>
      <c r="J725" s="642"/>
      <c r="K725" s="642"/>
      <c r="L725" s="642"/>
      <c r="M725" s="388"/>
      <c r="N725" s="388"/>
      <c r="O725" s="388"/>
      <c r="P725" s="388"/>
      <c r="Q725" s="388"/>
      <c r="R725" s="388"/>
      <c r="S725" s="388"/>
      <c r="T725" s="388"/>
      <c r="U725" s="388"/>
      <c r="V725" s="388"/>
      <c r="W725" s="388"/>
      <c r="X725" s="388"/>
      <c r="Y725" s="388"/>
      <c r="Z725" s="388"/>
      <c r="AA725" s="388"/>
      <c r="AB725" s="388"/>
      <c r="AC725" s="388"/>
    </row>
    <row r="726">
      <c r="A726" s="388"/>
      <c r="B726" s="388"/>
      <c r="C726" s="388"/>
      <c r="D726" s="388"/>
      <c r="E726" s="388"/>
      <c r="F726" s="388"/>
      <c r="G726" s="388"/>
      <c r="H726" s="388"/>
      <c r="I726" s="388"/>
      <c r="J726" s="642"/>
      <c r="K726" s="642"/>
      <c r="L726" s="642"/>
      <c r="M726" s="388"/>
      <c r="N726" s="388"/>
      <c r="O726" s="388"/>
      <c r="P726" s="388"/>
      <c r="Q726" s="388"/>
      <c r="R726" s="388"/>
      <c r="S726" s="388"/>
      <c r="T726" s="388"/>
      <c r="U726" s="388"/>
      <c r="V726" s="388"/>
      <c r="W726" s="388"/>
      <c r="X726" s="388"/>
      <c r="Y726" s="388"/>
      <c r="Z726" s="388"/>
      <c r="AA726" s="388"/>
      <c r="AB726" s="388"/>
      <c r="AC726" s="388"/>
    </row>
    <row r="727">
      <c r="A727" s="388"/>
      <c r="B727" s="388"/>
      <c r="C727" s="388"/>
      <c r="D727" s="388"/>
      <c r="E727" s="388"/>
      <c r="F727" s="388"/>
      <c r="G727" s="388"/>
      <c r="H727" s="388"/>
      <c r="I727" s="388"/>
      <c r="J727" s="642"/>
      <c r="K727" s="642"/>
      <c r="L727" s="642"/>
      <c r="M727" s="388"/>
      <c r="N727" s="388"/>
      <c r="O727" s="388"/>
      <c r="P727" s="388"/>
      <c r="Q727" s="388"/>
      <c r="R727" s="388"/>
      <c r="S727" s="388"/>
      <c r="T727" s="388"/>
      <c r="U727" s="388"/>
      <c r="V727" s="388"/>
      <c r="W727" s="388"/>
      <c r="X727" s="388"/>
      <c r="Y727" s="388"/>
      <c r="Z727" s="388"/>
      <c r="AA727" s="388"/>
      <c r="AB727" s="388"/>
      <c r="AC727" s="388"/>
    </row>
    <row r="728">
      <c r="A728" s="388"/>
      <c r="B728" s="388"/>
      <c r="C728" s="388"/>
      <c r="D728" s="388"/>
      <c r="E728" s="388"/>
      <c r="F728" s="388"/>
      <c r="G728" s="388"/>
      <c r="H728" s="388"/>
      <c r="I728" s="388"/>
      <c r="J728" s="642"/>
      <c r="K728" s="642"/>
      <c r="L728" s="642"/>
      <c r="M728" s="388"/>
      <c r="N728" s="388"/>
      <c r="O728" s="388"/>
      <c r="P728" s="388"/>
      <c r="Q728" s="388"/>
      <c r="R728" s="388"/>
      <c r="S728" s="388"/>
      <c r="T728" s="388"/>
      <c r="U728" s="388"/>
      <c r="V728" s="388"/>
      <c r="W728" s="388"/>
      <c r="X728" s="388"/>
      <c r="Y728" s="388"/>
      <c r="Z728" s="388"/>
      <c r="AA728" s="388"/>
      <c r="AB728" s="388"/>
      <c r="AC728" s="388"/>
    </row>
    <row r="729">
      <c r="A729" s="388"/>
      <c r="B729" s="388"/>
      <c r="C729" s="388"/>
      <c r="D729" s="388"/>
      <c r="E729" s="388"/>
      <c r="F729" s="388"/>
      <c r="G729" s="388"/>
      <c r="H729" s="388"/>
      <c r="I729" s="388"/>
      <c r="J729" s="642"/>
      <c r="K729" s="642"/>
      <c r="L729" s="642"/>
      <c r="M729" s="388"/>
      <c r="N729" s="388"/>
      <c r="O729" s="388"/>
      <c r="P729" s="388"/>
      <c r="Q729" s="388"/>
      <c r="R729" s="388"/>
      <c r="S729" s="388"/>
      <c r="T729" s="388"/>
      <c r="U729" s="388"/>
      <c r="V729" s="388"/>
      <c r="W729" s="388"/>
      <c r="X729" s="388"/>
      <c r="Y729" s="388"/>
      <c r="Z729" s="388"/>
      <c r="AA729" s="388"/>
      <c r="AB729" s="388"/>
      <c r="AC729" s="388"/>
    </row>
    <row r="730">
      <c r="A730" s="388"/>
      <c r="B730" s="388"/>
      <c r="C730" s="388"/>
      <c r="D730" s="388"/>
      <c r="E730" s="388"/>
      <c r="F730" s="388"/>
      <c r="G730" s="388"/>
      <c r="H730" s="388"/>
      <c r="I730" s="388"/>
      <c r="J730" s="642"/>
      <c r="K730" s="642"/>
      <c r="L730" s="642"/>
      <c r="M730" s="388"/>
      <c r="N730" s="388"/>
      <c r="O730" s="388"/>
      <c r="P730" s="388"/>
      <c r="Q730" s="388"/>
      <c r="R730" s="388"/>
      <c r="S730" s="388"/>
      <c r="T730" s="388"/>
      <c r="U730" s="388"/>
      <c r="V730" s="388"/>
      <c r="W730" s="388"/>
      <c r="X730" s="388"/>
      <c r="Y730" s="388"/>
      <c r="Z730" s="388"/>
      <c r="AA730" s="388"/>
      <c r="AB730" s="388"/>
      <c r="AC730" s="388"/>
    </row>
    <row r="731">
      <c r="A731" s="388"/>
      <c r="B731" s="388"/>
      <c r="C731" s="388"/>
      <c r="D731" s="388"/>
      <c r="E731" s="388"/>
      <c r="F731" s="388"/>
      <c r="G731" s="388"/>
      <c r="H731" s="388"/>
      <c r="I731" s="388"/>
      <c r="J731" s="642"/>
      <c r="K731" s="642"/>
      <c r="L731" s="642"/>
      <c r="M731" s="388"/>
      <c r="N731" s="388"/>
      <c r="O731" s="388"/>
      <c r="P731" s="388"/>
      <c r="Q731" s="388"/>
      <c r="R731" s="388"/>
      <c r="S731" s="388"/>
      <c r="T731" s="388"/>
      <c r="U731" s="388"/>
      <c r="V731" s="388"/>
      <c r="W731" s="388"/>
      <c r="X731" s="388"/>
      <c r="Y731" s="388"/>
      <c r="Z731" s="388"/>
      <c r="AA731" s="388"/>
      <c r="AB731" s="388"/>
      <c r="AC731" s="388"/>
    </row>
    <row r="732">
      <c r="A732" s="388"/>
      <c r="B732" s="388"/>
      <c r="C732" s="388"/>
      <c r="D732" s="388"/>
      <c r="E732" s="388"/>
      <c r="F732" s="388"/>
      <c r="G732" s="388"/>
      <c r="H732" s="388"/>
      <c r="I732" s="388"/>
      <c r="J732" s="642"/>
      <c r="K732" s="642"/>
      <c r="L732" s="642"/>
      <c r="M732" s="388"/>
      <c r="N732" s="388"/>
      <c r="O732" s="388"/>
      <c r="P732" s="388"/>
      <c r="Q732" s="388"/>
      <c r="R732" s="388"/>
      <c r="S732" s="388"/>
      <c r="T732" s="388"/>
      <c r="U732" s="388"/>
      <c r="V732" s="388"/>
      <c r="W732" s="388"/>
      <c r="X732" s="388"/>
      <c r="Y732" s="388"/>
      <c r="Z732" s="388"/>
      <c r="AA732" s="388"/>
      <c r="AB732" s="388"/>
      <c r="AC732" s="388"/>
    </row>
    <row r="733">
      <c r="A733" s="388"/>
      <c r="B733" s="388"/>
      <c r="C733" s="388"/>
      <c r="D733" s="388"/>
      <c r="E733" s="388"/>
      <c r="F733" s="388"/>
      <c r="G733" s="388"/>
      <c r="H733" s="388"/>
      <c r="I733" s="388"/>
      <c r="J733" s="642"/>
      <c r="K733" s="642"/>
      <c r="L733" s="642"/>
      <c r="M733" s="388"/>
      <c r="N733" s="388"/>
      <c r="O733" s="388"/>
      <c r="P733" s="388"/>
      <c r="Q733" s="388"/>
      <c r="R733" s="388"/>
      <c r="S733" s="388"/>
      <c r="T733" s="388"/>
      <c r="U733" s="388"/>
      <c r="V733" s="388"/>
      <c r="W733" s="388"/>
      <c r="X733" s="388"/>
      <c r="Y733" s="388"/>
      <c r="Z733" s="388"/>
      <c r="AA733" s="388"/>
      <c r="AB733" s="388"/>
      <c r="AC733" s="388"/>
    </row>
    <row r="734">
      <c r="A734" s="388"/>
      <c r="B734" s="388"/>
      <c r="C734" s="388"/>
      <c r="D734" s="388"/>
      <c r="E734" s="388"/>
      <c r="F734" s="388"/>
      <c r="G734" s="388"/>
      <c r="H734" s="388"/>
      <c r="I734" s="388"/>
      <c r="J734" s="642"/>
      <c r="K734" s="642"/>
      <c r="L734" s="642"/>
      <c r="M734" s="388"/>
      <c r="N734" s="388"/>
      <c r="O734" s="388"/>
      <c r="P734" s="388"/>
      <c r="Q734" s="388"/>
      <c r="R734" s="388"/>
      <c r="S734" s="388"/>
      <c r="T734" s="388"/>
      <c r="U734" s="388"/>
      <c r="V734" s="388"/>
      <c r="W734" s="388"/>
      <c r="X734" s="388"/>
      <c r="Y734" s="388"/>
      <c r="Z734" s="388"/>
      <c r="AA734" s="388"/>
      <c r="AB734" s="388"/>
      <c r="AC734" s="388"/>
    </row>
    <row r="735">
      <c r="A735" s="388"/>
      <c r="B735" s="388"/>
      <c r="C735" s="388"/>
      <c r="D735" s="388"/>
      <c r="E735" s="388"/>
      <c r="F735" s="388"/>
      <c r="G735" s="388"/>
      <c r="H735" s="388"/>
      <c r="I735" s="388"/>
      <c r="J735" s="642"/>
      <c r="K735" s="642"/>
      <c r="L735" s="642"/>
      <c r="M735" s="388"/>
      <c r="N735" s="388"/>
      <c r="O735" s="388"/>
      <c r="P735" s="388"/>
      <c r="Q735" s="388"/>
      <c r="R735" s="388"/>
      <c r="S735" s="388"/>
      <c r="T735" s="388"/>
      <c r="U735" s="388"/>
      <c r="V735" s="388"/>
      <c r="W735" s="388"/>
      <c r="X735" s="388"/>
      <c r="Y735" s="388"/>
      <c r="Z735" s="388"/>
      <c r="AA735" s="388"/>
      <c r="AB735" s="388"/>
      <c r="AC735" s="388"/>
    </row>
    <row r="736">
      <c r="A736" s="388"/>
      <c r="B736" s="388"/>
      <c r="C736" s="388"/>
      <c r="D736" s="388"/>
      <c r="E736" s="388"/>
      <c r="F736" s="388"/>
      <c r="G736" s="388"/>
      <c r="H736" s="388"/>
      <c r="I736" s="388"/>
      <c r="J736" s="642"/>
      <c r="K736" s="642"/>
      <c r="L736" s="642"/>
      <c r="M736" s="388"/>
      <c r="N736" s="388"/>
      <c r="O736" s="388"/>
      <c r="P736" s="388"/>
      <c r="Q736" s="388"/>
      <c r="R736" s="388"/>
      <c r="S736" s="388"/>
      <c r="T736" s="388"/>
      <c r="U736" s="388"/>
      <c r="V736" s="388"/>
      <c r="W736" s="388"/>
      <c r="X736" s="388"/>
      <c r="Y736" s="388"/>
      <c r="Z736" s="388"/>
      <c r="AA736" s="388"/>
      <c r="AB736" s="388"/>
      <c r="AC736" s="388"/>
    </row>
    <row r="737">
      <c r="A737" s="388"/>
      <c r="B737" s="388"/>
      <c r="C737" s="388"/>
      <c r="D737" s="388"/>
      <c r="E737" s="388"/>
      <c r="F737" s="388"/>
      <c r="G737" s="388"/>
      <c r="H737" s="388"/>
      <c r="I737" s="388"/>
      <c r="J737" s="642"/>
      <c r="K737" s="642"/>
      <c r="L737" s="642"/>
      <c r="M737" s="388"/>
      <c r="N737" s="388"/>
      <c r="O737" s="388"/>
      <c r="P737" s="388"/>
      <c r="Q737" s="388"/>
      <c r="R737" s="388"/>
      <c r="S737" s="388"/>
      <c r="T737" s="388"/>
      <c r="U737" s="388"/>
      <c r="V737" s="388"/>
      <c r="W737" s="388"/>
      <c r="X737" s="388"/>
      <c r="Y737" s="388"/>
      <c r="Z737" s="388"/>
      <c r="AA737" s="388"/>
      <c r="AB737" s="388"/>
      <c r="AC737" s="388"/>
    </row>
    <row r="738">
      <c r="A738" s="388"/>
      <c r="B738" s="388"/>
      <c r="C738" s="388"/>
      <c r="D738" s="388"/>
      <c r="E738" s="388"/>
      <c r="F738" s="388"/>
      <c r="G738" s="388"/>
      <c r="H738" s="388"/>
      <c r="I738" s="388"/>
      <c r="J738" s="642"/>
      <c r="K738" s="642"/>
      <c r="L738" s="642"/>
      <c r="M738" s="388"/>
      <c r="N738" s="388"/>
      <c r="O738" s="388"/>
      <c r="P738" s="388"/>
      <c r="Q738" s="388"/>
      <c r="R738" s="388"/>
      <c r="S738" s="388"/>
      <c r="T738" s="388"/>
      <c r="U738" s="388"/>
      <c r="V738" s="388"/>
      <c r="W738" s="388"/>
      <c r="X738" s="388"/>
      <c r="Y738" s="388"/>
      <c r="Z738" s="388"/>
      <c r="AA738" s="388"/>
      <c r="AB738" s="388"/>
      <c r="AC738" s="388"/>
    </row>
    <row r="739">
      <c r="A739" s="388"/>
      <c r="B739" s="388"/>
      <c r="C739" s="388"/>
      <c r="D739" s="388"/>
      <c r="E739" s="388"/>
      <c r="F739" s="388"/>
      <c r="G739" s="388"/>
      <c r="H739" s="388"/>
      <c r="I739" s="388"/>
      <c r="J739" s="642"/>
      <c r="K739" s="642"/>
      <c r="L739" s="642"/>
      <c r="M739" s="388"/>
      <c r="N739" s="388"/>
      <c r="O739" s="388"/>
      <c r="P739" s="388"/>
      <c r="Q739" s="388"/>
      <c r="R739" s="388"/>
      <c r="S739" s="388"/>
      <c r="T739" s="388"/>
      <c r="U739" s="388"/>
      <c r="V739" s="388"/>
      <c r="W739" s="388"/>
      <c r="X739" s="388"/>
      <c r="Y739" s="388"/>
      <c r="Z739" s="388"/>
      <c r="AA739" s="388"/>
      <c r="AB739" s="388"/>
      <c r="AC739" s="388"/>
    </row>
    <row r="740">
      <c r="A740" s="388"/>
      <c r="B740" s="388"/>
      <c r="C740" s="388"/>
      <c r="D740" s="388"/>
      <c r="E740" s="388"/>
      <c r="F740" s="388"/>
      <c r="G740" s="388"/>
      <c r="H740" s="388"/>
      <c r="I740" s="388"/>
      <c r="J740" s="642"/>
      <c r="K740" s="642"/>
      <c r="L740" s="642"/>
      <c r="M740" s="388"/>
      <c r="N740" s="388"/>
      <c r="O740" s="388"/>
      <c r="P740" s="388"/>
      <c r="Q740" s="388"/>
      <c r="R740" s="388"/>
      <c r="S740" s="388"/>
      <c r="T740" s="388"/>
      <c r="U740" s="388"/>
      <c r="V740" s="388"/>
      <c r="W740" s="388"/>
      <c r="X740" s="388"/>
      <c r="Y740" s="388"/>
      <c r="Z740" s="388"/>
      <c r="AA740" s="388"/>
      <c r="AB740" s="388"/>
      <c r="AC740" s="388"/>
    </row>
    <row r="741">
      <c r="A741" s="388"/>
      <c r="B741" s="388"/>
      <c r="C741" s="388"/>
      <c r="D741" s="388"/>
      <c r="E741" s="388"/>
      <c r="F741" s="388"/>
      <c r="G741" s="388"/>
      <c r="H741" s="388"/>
      <c r="I741" s="388"/>
      <c r="J741" s="642"/>
      <c r="K741" s="642"/>
      <c r="L741" s="642"/>
      <c r="M741" s="388"/>
      <c r="N741" s="388"/>
      <c r="O741" s="388"/>
      <c r="P741" s="388"/>
      <c r="Q741" s="388"/>
      <c r="R741" s="388"/>
      <c r="S741" s="388"/>
      <c r="T741" s="388"/>
      <c r="U741" s="388"/>
      <c r="V741" s="388"/>
      <c r="W741" s="388"/>
      <c r="X741" s="388"/>
      <c r="Y741" s="388"/>
      <c r="Z741" s="388"/>
      <c r="AA741" s="388"/>
      <c r="AB741" s="388"/>
      <c r="AC741" s="388"/>
    </row>
    <row r="742">
      <c r="A742" s="388"/>
      <c r="B742" s="388"/>
      <c r="C742" s="388"/>
      <c r="D742" s="388"/>
      <c r="E742" s="388"/>
      <c r="F742" s="388"/>
      <c r="G742" s="388"/>
      <c r="H742" s="388"/>
      <c r="I742" s="388"/>
      <c r="J742" s="642"/>
      <c r="K742" s="642"/>
      <c r="L742" s="642"/>
      <c r="M742" s="388"/>
      <c r="N742" s="388"/>
      <c r="O742" s="388"/>
      <c r="P742" s="388"/>
      <c r="Q742" s="388"/>
      <c r="R742" s="388"/>
      <c r="S742" s="388"/>
      <c r="T742" s="388"/>
      <c r="U742" s="388"/>
      <c r="V742" s="388"/>
      <c r="W742" s="388"/>
      <c r="X742" s="388"/>
      <c r="Y742" s="388"/>
      <c r="Z742" s="388"/>
      <c r="AA742" s="388"/>
      <c r="AB742" s="388"/>
      <c r="AC742" s="388"/>
    </row>
    <row r="743">
      <c r="A743" s="388"/>
      <c r="B743" s="388"/>
      <c r="C743" s="388"/>
      <c r="D743" s="388"/>
      <c r="E743" s="388"/>
      <c r="F743" s="388"/>
      <c r="G743" s="388"/>
      <c r="H743" s="388"/>
      <c r="I743" s="388"/>
      <c r="J743" s="642"/>
      <c r="K743" s="642"/>
      <c r="L743" s="642"/>
      <c r="M743" s="388"/>
      <c r="N743" s="388"/>
      <c r="O743" s="388"/>
      <c r="P743" s="388"/>
      <c r="Q743" s="388"/>
      <c r="R743" s="388"/>
      <c r="S743" s="388"/>
      <c r="T743" s="388"/>
      <c r="U743" s="388"/>
      <c r="V743" s="388"/>
      <c r="W743" s="388"/>
      <c r="X743" s="388"/>
      <c r="Y743" s="388"/>
      <c r="Z743" s="388"/>
      <c r="AA743" s="388"/>
      <c r="AB743" s="388"/>
      <c r="AC743" s="388"/>
    </row>
    <row r="744">
      <c r="A744" s="388"/>
      <c r="B744" s="388"/>
      <c r="C744" s="388"/>
      <c r="D744" s="388"/>
      <c r="E744" s="388"/>
      <c r="F744" s="388"/>
      <c r="G744" s="388"/>
      <c r="H744" s="388"/>
      <c r="I744" s="388"/>
      <c r="J744" s="642"/>
      <c r="K744" s="642"/>
      <c r="L744" s="642"/>
      <c r="M744" s="388"/>
      <c r="N744" s="388"/>
      <c r="O744" s="388"/>
      <c r="P744" s="388"/>
      <c r="Q744" s="388"/>
      <c r="R744" s="388"/>
      <c r="S744" s="388"/>
      <c r="T744" s="388"/>
      <c r="U744" s="388"/>
      <c r="V744" s="388"/>
      <c r="W744" s="388"/>
      <c r="X744" s="388"/>
      <c r="Y744" s="388"/>
      <c r="Z744" s="388"/>
      <c r="AA744" s="388"/>
      <c r="AB744" s="388"/>
      <c r="AC744" s="388"/>
    </row>
    <row r="745">
      <c r="A745" s="388"/>
      <c r="B745" s="388"/>
      <c r="C745" s="388"/>
      <c r="D745" s="388"/>
      <c r="E745" s="388"/>
      <c r="F745" s="388"/>
      <c r="G745" s="388"/>
      <c r="H745" s="388"/>
      <c r="I745" s="388"/>
      <c r="J745" s="642"/>
      <c r="K745" s="642"/>
      <c r="L745" s="642"/>
      <c r="M745" s="388"/>
      <c r="N745" s="388"/>
      <c r="O745" s="388"/>
      <c r="P745" s="388"/>
      <c r="Q745" s="388"/>
      <c r="R745" s="388"/>
      <c r="S745" s="388"/>
      <c r="T745" s="388"/>
      <c r="U745" s="388"/>
      <c r="V745" s="388"/>
      <c r="W745" s="388"/>
      <c r="X745" s="388"/>
      <c r="Y745" s="388"/>
      <c r="Z745" s="388"/>
      <c r="AA745" s="388"/>
      <c r="AB745" s="388"/>
      <c r="AC745" s="388"/>
    </row>
    <row r="746">
      <c r="A746" s="388"/>
      <c r="B746" s="388"/>
      <c r="C746" s="388"/>
      <c r="D746" s="388"/>
      <c r="E746" s="388"/>
      <c r="F746" s="388"/>
      <c r="G746" s="388"/>
      <c r="H746" s="388"/>
      <c r="I746" s="388"/>
      <c r="J746" s="642"/>
      <c r="K746" s="642"/>
      <c r="L746" s="642"/>
      <c r="M746" s="388"/>
      <c r="N746" s="388"/>
      <c r="O746" s="388"/>
      <c r="P746" s="388"/>
      <c r="Q746" s="388"/>
      <c r="R746" s="388"/>
      <c r="S746" s="388"/>
      <c r="T746" s="388"/>
      <c r="U746" s="388"/>
      <c r="V746" s="388"/>
      <c r="W746" s="388"/>
      <c r="X746" s="388"/>
      <c r="Y746" s="388"/>
      <c r="Z746" s="388"/>
      <c r="AA746" s="388"/>
      <c r="AB746" s="388"/>
      <c r="AC746" s="388"/>
    </row>
    <row r="747">
      <c r="A747" s="388"/>
      <c r="B747" s="388"/>
      <c r="C747" s="388"/>
      <c r="D747" s="388"/>
      <c r="E747" s="388"/>
      <c r="F747" s="388"/>
      <c r="G747" s="388"/>
      <c r="H747" s="388"/>
      <c r="I747" s="388"/>
      <c r="J747" s="642"/>
      <c r="K747" s="642"/>
      <c r="L747" s="642"/>
      <c r="M747" s="388"/>
      <c r="N747" s="388"/>
      <c r="O747" s="388"/>
      <c r="P747" s="388"/>
      <c r="Q747" s="388"/>
      <c r="R747" s="388"/>
      <c r="S747" s="388"/>
      <c r="T747" s="388"/>
      <c r="U747" s="388"/>
      <c r="V747" s="388"/>
      <c r="W747" s="388"/>
      <c r="X747" s="388"/>
      <c r="Y747" s="388"/>
      <c r="Z747" s="388"/>
      <c r="AA747" s="388"/>
      <c r="AB747" s="388"/>
      <c r="AC747" s="388"/>
    </row>
    <row r="748">
      <c r="A748" s="388"/>
      <c r="B748" s="388"/>
      <c r="C748" s="388"/>
      <c r="D748" s="388"/>
      <c r="E748" s="388"/>
      <c r="F748" s="388"/>
      <c r="G748" s="388"/>
      <c r="H748" s="388"/>
      <c r="I748" s="388"/>
      <c r="J748" s="642"/>
      <c r="K748" s="642"/>
      <c r="L748" s="642"/>
      <c r="M748" s="388"/>
      <c r="N748" s="388"/>
      <c r="O748" s="388"/>
      <c r="P748" s="388"/>
      <c r="Q748" s="388"/>
      <c r="R748" s="388"/>
      <c r="S748" s="388"/>
      <c r="T748" s="388"/>
      <c r="U748" s="388"/>
      <c r="V748" s="388"/>
      <c r="W748" s="388"/>
      <c r="X748" s="388"/>
      <c r="Y748" s="388"/>
      <c r="Z748" s="388"/>
      <c r="AA748" s="388"/>
      <c r="AB748" s="388"/>
      <c r="AC748" s="388"/>
    </row>
    <row r="749">
      <c r="A749" s="388"/>
      <c r="B749" s="388"/>
      <c r="C749" s="388"/>
      <c r="D749" s="388"/>
      <c r="E749" s="388"/>
      <c r="F749" s="388"/>
      <c r="G749" s="388"/>
      <c r="H749" s="388"/>
      <c r="I749" s="388"/>
      <c r="J749" s="642"/>
      <c r="K749" s="642"/>
      <c r="L749" s="642"/>
      <c r="M749" s="388"/>
      <c r="N749" s="388"/>
      <c r="O749" s="388"/>
      <c r="P749" s="388"/>
      <c r="Q749" s="388"/>
      <c r="R749" s="388"/>
      <c r="S749" s="388"/>
      <c r="T749" s="388"/>
      <c r="U749" s="388"/>
      <c r="V749" s="388"/>
      <c r="W749" s="388"/>
      <c r="X749" s="388"/>
      <c r="Y749" s="388"/>
      <c r="Z749" s="388"/>
      <c r="AA749" s="388"/>
      <c r="AB749" s="388"/>
      <c r="AC749" s="388"/>
    </row>
    <row r="750">
      <c r="A750" s="388"/>
      <c r="B750" s="388"/>
      <c r="C750" s="388"/>
      <c r="D750" s="388"/>
      <c r="E750" s="388"/>
      <c r="F750" s="388"/>
      <c r="G750" s="388"/>
      <c r="H750" s="388"/>
      <c r="I750" s="388"/>
      <c r="J750" s="642"/>
      <c r="K750" s="642"/>
      <c r="L750" s="642"/>
      <c r="M750" s="388"/>
      <c r="N750" s="388"/>
      <c r="O750" s="388"/>
      <c r="P750" s="388"/>
      <c r="Q750" s="388"/>
      <c r="R750" s="388"/>
      <c r="S750" s="388"/>
      <c r="T750" s="388"/>
      <c r="U750" s="388"/>
      <c r="V750" s="388"/>
      <c r="W750" s="388"/>
      <c r="X750" s="388"/>
      <c r="Y750" s="388"/>
      <c r="Z750" s="388"/>
      <c r="AA750" s="388"/>
      <c r="AB750" s="388"/>
      <c r="AC750" s="388"/>
    </row>
    <row r="751">
      <c r="A751" s="388"/>
      <c r="B751" s="388"/>
      <c r="C751" s="388"/>
      <c r="D751" s="388"/>
      <c r="E751" s="388"/>
      <c r="F751" s="388"/>
      <c r="G751" s="388"/>
      <c r="H751" s="388"/>
      <c r="I751" s="388"/>
      <c r="J751" s="642"/>
      <c r="K751" s="642"/>
      <c r="L751" s="642"/>
      <c r="M751" s="388"/>
      <c r="N751" s="388"/>
      <c r="O751" s="388"/>
      <c r="P751" s="388"/>
      <c r="Q751" s="388"/>
      <c r="R751" s="388"/>
      <c r="S751" s="388"/>
      <c r="T751" s="388"/>
      <c r="U751" s="388"/>
      <c r="V751" s="388"/>
      <c r="W751" s="388"/>
      <c r="X751" s="388"/>
      <c r="Y751" s="388"/>
      <c r="Z751" s="388"/>
      <c r="AA751" s="388"/>
      <c r="AB751" s="388"/>
      <c r="AC751" s="388"/>
    </row>
    <row r="752">
      <c r="A752" s="388"/>
      <c r="B752" s="388"/>
      <c r="C752" s="388"/>
      <c r="D752" s="388"/>
      <c r="E752" s="388"/>
      <c r="F752" s="388"/>
      <c r="G752" s="388"/>
      <c r="H752" s="388"/>
      <c r="I752" s="388"/>
      <c r="J752" s="642"/>
      <c r="K752" s="642"/>
      <c r="L752" s="642"/>
      <c r="M752" s="388"/>
      <c r="N752" s="388"/>
      <c r="O752" s="388"/>
      <c r="P752" s="388"/>
      <c r="Q752" s="388"/>
      <c r="R752" s="388"/>
      <c r="S752" s="388"/>
      <c r="T752" s="388"/>
      <c r="U752" s="388"/>
      <c r="V752" s="388"/>
      <c r="W752" s="388"/>
      <c r="X752" s="388"/>
      <c r="Y752" s="388"/>
      <c r="Z752" s="388"/>
      <c r="AA752" s="388"/>
      <c r="AB752" s="388"/>
      <c r="AC752" s="388"/>
    </row>
    <row r="753">
      <c r="A753" s="388"/>
      <c r="B753" s="388"/>
      <c r="C753" s="388"/>
      <c r="D753" s="388"/>
      <c r="E753" s="388"/>
      <c r="F753" s="388"/>
      <c r="G753" s="388"/>
      <c r="H753" s="388"/>
      <c r="I753" s="388"/>
      <c r="J753" s="642"/>
      <c r="K753" s="642"/>
      <c r="L753" s="642"/>
      <c r="M753" s="388"/>
      <c r="N753" s="388"/>
      <c r="O753" s="388"/>
      <c r="P753" s="388"/>
      <c r="Q753" s="388"/>
      <c r="R753" s="388"/>
      <c r="S753" s="388"/>
      <c r="T753" s="388"/>
      <c r="U753" s="388"/>
      <c r="V753" s="388"/>
      <c r="W753" s="388"/>
      <c r="X753" s="388"/>
      <c r="Y753" s="388"/>
      <c r="Z753" s="388"/>
      <c r="AA753" s="388"/>
      <c r="AB753" s="388"/>
      <c r="AC753" s="388"/>
    </row>
    <row r="754">
      <c r="A754" s="388"/>
      <c r="B754" s="388"/>
      <c r="C754" s="388"/>
      <c r="D754" s="388"/>
      <c r="E754" s="388"/>
      <c r="F754" s="388"/>
      <c r="G754" s="388"/>
      <c r="H754" s="388"/>
      <c r="I754" s="388"/>
      <c r="J754" s="642"/>
      <c r="K754" s="642"/>
      <c r="L754" s="642"/>
      <c r="M754" s="388"/>
      <c r="N754" s="388"/>
      <c r="O754" s="388"/>
      <c r="P754" s="388"/>
      <c r="Q754" s="388"/>
      <c r="R754" s="388"/>
      <c r="S754" s="388"/>
      <c r="T754" s="388"/>
      <c r="U754" s="388"/>
      <c r="V754" s="388"/>
      <c r="W754" s="388"/>
      <c r="X754" s="388"/>
      <c r="Y754" s="388"/>
      <c r="Z754" s="388"/>
      <c r="AA754" s="388"/>
      <c r="AB754" s="388"/>
      <c r="AC754" s="388"/>
    </row>
    <row r="755">
      <c r="A755" s="388"/>
      <c r="B755" s="388"/>
      <c r="C755" s="388"/>
      <c r="D755" s="388"/>
      <c r="E755" s="388"/>
      <c r="F755" s="388"/>
      <c r="G755" s="388"/>
      <c r="H755" s="388"/>
      <c r="I755" s="388"/>
      <c r="J755" s="642"/>
      <c r="K755" s="642"/>
      <c r="L755" s="642"/>
      <c r="M755" s="388"/>
      <c r="N755" s="388"/>
      <c r="O755" s="388"/>
      <c r="P755" s="388"/>
      <c r="Q755" s="388"/>
      <c r="R755" s="388"/>
      <c r="S755" s="388"/>
      <c r="T755" s="388"/>
      <c r="U755" s="388"/>
      <c r="V755" s="388"/>
      <c r="W755" s="388"/>
      <c r="X755" s="388"/>
      <c r="Y755" s="388"/>
      <c r="Z755" s="388"/>
      <c r="AA755" s="388"/>
      <c r="AB755" s="388"/>
      <c r="AC755" s="388"/>
    </row>
    <row r="756">
      <c r="A756" s="388"/>
      <c r="B756" s="388"/>
      <c r="C756" s="388"/>
      <c r="D756" s="388"/>
      <c r="E756" s="388"/>
      <c r="F756" s="388"/>
      <c r="G756" s="388"/>
      <c r="H756" s="388"/>
      <c r="I756" s="388"/>
      <c r="J756" s="642"/>
      <c r="K756" s="642"/>
      <c r="L756" s="642"/>
      <c r="M756" s="388"/>
      <c r="N756" s="388"/>
      <c r="O756" s="388"/>
      <c r="P756" s="388"/>
      <c r="Q756" s="388"/>
      <c r="R756" s="388"/>
      <c r="S756" s="388"/>
      <c r="T756" s="388"/>
      <c r="U756" s="388"/>
      <c r="V756" s="388"/>
      <c r="W756" s="388"/>
      <c r="X756" s="388"/>
      <c r="Y756" s="388"/>
      <c r="Z756" s="388"/>
      <c r="AA756" s="388"/>
      <c r="AB756" s="388"/>
      <c r="AC756" s="388"/>
    </row>
    <row r="757">
      <c r="A757" s="388"/>
      <c r="B757" s="388"/>
      <c r="C757" s="388"/>
      <c r="D757" s="388"/>
      <c r="E757" s="388"/>
      <c r="F757" s="388"/>
      <c r="G757" s="388"/>
      <c r="H757" s="388"/>
      <c r="I757" s="388"/>
      <c r="J757" s="642"/>
      <c r="K757" s="642"/>
      <c r="L757" s="642"/>
      <c r="M757" s="388"/>
      <c r="N757" s="388"/>
      <c r="O757" s="388"/>
      <c r="P757" s="388"/>
      <c r="Q757" s="388"/>
      <c r="R757" s="388"/>
      <c r="S757" s="388"/>
      <c r="T757" s="388"/>
      <c r="U757" s="388"/>
      <c r="V757" s="388"/>
      <c r="W757" s="388"/>
      <c r="X757" s="388"/>
      <c r="Y757" s="388"/>
      <c r="Z757" s="388"/>
      <c r="AA757" s="388"/>
      <c r="AB757" s="388"/>
      <c r="AC757" s="388"/>
    </row>
    <row r="758">
      <c r="A758" s="388"/>
      <c r="B758" s="388"/>
      <c r="C758" s="388"/>
      <c r="D758" s="388"/>
      <c r="E758" s="388"/>
      <c r="F758" s="388"/>
      <c r="G758" s="388"/>
      <c r="H758" s="388"/>
      <c r="I758" s="388"/>
      <c r="J758" s="642"/>
      <c r="K758" s="642"/>
      <c r="L758" s="642"/>
      <c r="M758" s="388"/>
      <c r="N758" s="388"/>
      <c r="O758" s="388"/>
      <c r="P758" s="388"/>
      <c r="Q758" s="388"/>
      <c r="R758" s="388"/>
      <c r="S758" s="388"/>
      <c r="T758" s="388"/>
      <c r="U758" s="388"/>
      <c r="V758" s="388"/>
      <c r="W758" s="388"/>
      <c r="X758" s="388"/>
      <c r="Y758" s="388"/>
      <c r="Z758" s="388"/>
      <c r="AA758" s="388"/>
      <c r="AB758" s="388"/>
      <c r="AC758" s="388"/>
    </row>
    <row r="759">
      <c r="A759" s="388"/>
      <c r="B759" s="388"/>
      <c r="C759" s="388"/>
      <c r="D759" s="388"/>
      <c r="E759" s="388"/>
      <c r="F759" s="388"/>
      <c r="G759" s="388"/>
      <c r="H759" s="388"/>
      <c r="I759" s="388"/>
      <c r="J759" s="642"/>
      <c r="K759" s="642"/>
      <c r="L759" s="642"/>
      <c r="M759" s="388"/>
      <c r="N759" s="388"/>
      <c r="O759" s="388"/>
      <c r="P759" s="388"/>
      <c r="Q759" s="388"/>
      <c r="R759" s="388"/>
      <c r="S759" s="388"/>
      <c r="T759" s="388"/>
      <c r="U759" s="388"/>
      <c r="V759" s="388"/>
      <c r="W759" s="388"/>
      <c r="X759" s="388"/>
      <c r="Y759" s="388"/>
      <c r="Z759" s="388"/>
      <c r="AA759" s="388"/>
      <c r="AB759" s="388"/>
      <c r="AC759" s="388"/>
    </row>
    <row r="760">
      <c r="A760" s="388"/>
      <c r="B760" s="388"/>
      <c r="C760" s="388"/>
      <c r="D760" s="388"/>
      <c r="E760" s="388"/>
      <c r="F760" s="388"/>
      <c r="G760" s="388"/>
      <c r="H760" s="388"/>
      <c r="I760" s="388"/>
      <c r="J760" s="642"/>
      <c r="K760" s="642"/>
      <c r="L760" s="642"/>
      <c r="M760" s="388"/>
      <c r="N760" s="388"/>
      <c r="O760" s="388"/>
      <c r="P760" s="388"/>
      <c r="Q760" s="388"/>
      <c r="R760" s="388"/>
      <c r="S760" s="388"/>
      <c r="T760" s="388"/>
      <c r="U760" s="388"/>
      <c r="V760" s="388"/>
      <c r="W760" s="388"/>
      <c r="X760" s="388"/>
      <c r="Y760" s="388"/>
      <c r="Z760" s="388"/>
      <c r="AA760" s="388"/>
      <c r="AB760" s="388"/>
      <c r="AC760" s="388"/>
    </row>
    <row r="761">
      <c r="A761" s="388"/>
      <c r="B761" s="388"/>
      <c r="C761" s="388"/>
      <c r="D761" s="388"/>
      <c r="E761" s="388"/>
      <c r="F761" s="388"/>
      <c r="G761" s="388"/>
      <c r="H761" s="388"/>
      <c r="I761" s="388"/>
      <c r="J761" s="642"/>
      <c r="K761" s="642"/>
      <c r="L761" s="642"/>
      <c r="M761" s="388"/>
      <c r="N761" s="388"/>
      <c r="O761" s="388"/>
      <c r="P761" s="388"/>
      <c r="Q761" s="388"/>
      <c r="R761" s="388"/>
      <c r="S761" s="388"/>
      <c r="T761" s="388"/>
      <c r="U761" s="388"/>
      <c r="V761" s="388"/>
      <c r="W761" s="388"/>
      <c r="X761" s="388"/>
      <c r="Y761" s="388"/>
      <c r="Z761" s="388"/>
      <c r="AA761" s="388"/>
      <c r="AB761" s="388"/>
      <c r="AC761" s="388"/>
    </row>
    <row r="762">
      <c r="A762" s="388"/>
      <c r="B762" s="388"/>
      <c r="C762" s="388"/>
      <c r="D762" s="388"/>
      <c r="E762" s="388"/>
      <c r="F762" s="388"/>
      <c r="G762" s="388"/>
      <c r="H762" s="388"/>
      <c r="I762" s="388"/>
      <c r="J762" s="642"/>
      <c r="K762" s="642"/>
      <c r="L762" s="642"/>
      <c r="M762" s="388"/>
      <c r="N762" s="388"/>
      <c r="O762" s="388"/>
      <c r="P762" s="388"/>
      <c r="Q762" s="388"/>
      <c r="R762" s="388"/>
      <c r="S762" s="388"/>
      <c r="T762" s="388"/>
      <c r="U762" s="388"/>
      <c r="V762" s="388"/>
      <c r="W762" s="388"/>
      <c r="X762" s="388"/>
      <c r="Y762" s="388"/>
      <c r="Z762" s="388"/>
      <c r="AA762" s="388"/>
      <c r="AB762" s="388"/>
      <c r="AC762" s="388"/>
    </row>
    <row r="763">
      <c r="A763" s="388"/>
      <c r="B763" s="388"/>
      <c r="C763" s="388"/>
      <c r="D763" s="388"/>
      <c r="E763" s="388"/>
      <c r="F763" s="388"/>
      <c r="G763" s="388"/>
      <c r="H763" s="388"/>
      <c r="I763" s="388"/>
      <c r="J763" s="642"/>
      <c r="K763" s="642"/>
      <c r="L763" s="642"/>
      <c r="M763" s="388"/>
      <c r="N763" s="388"/>
      <c r="O763" s="388"/>
      <c r="P763" s="388"/>
      <c r="Q763" s="388"/>
      <c r="R763" s="388"/>
      <c r="S763" s="388"/>
      <c r="T763" s="388"/>
      <c r="U763" s="388"/>
      <c r="V763" s="388"/>
      <c r="W763" s="388"/>
      <c r="X763" s="388"/>
      <c r="Y763" s="388"/>
      <c r="Z763" s="388"/>
      <c r="AA763" s="388"/>
      <c r="AB763" s="388"/>
      <c r="AC763" s="388"/>
    </row>
    <row r="764">
      <c r="A764" s="388"/>
      <c r="B764" s="388"/>
      <c r="C764" s="388"/>
      <c r="D764" s="388"/>
      <c r="E764" s="388"/>
      <c r="F764" s="388"/>
      <c r="G764" s="388"/>
      <c r="H764" s="388"/>
      <c r="I764" s="388"/>
      <c r="J764" s="642"/>
      <c r="K764" s="642"/>
      <c r="L764" s="642"/>
      <c r="M764" s="388"/>
      <c r="N764" s="388"/>
      <c r="O764" s="388"/>
      <c r="P764" s="388"/>
      <c r="Q764" s="388"/>
      <c r="R764" s="388"/>
      <c r="S764" s="388"/>
      <c r="T764" s="388"/>
      <c r="U764" s="388"/>
      <c r="V764" s="388"/>
      <c r="W764" s="388"/>
      <c r="X764" s="388"/>
      <c r="Y764" s="388"/>
      <c r="Z764" s="388"/>
      <c r="AA764" s="388"/>
      <c r="AB764" s="388"/>
      <c r="AC764" s="388"/>
    </row>
    <row r="765">
      <c r="A765" s="388"/>
      <c r="B765" s="388"/>
      <c r="C765" s="388"/>
      <c r="D765" s="388"/>
      <c r="E765" s="388"/>
      <c r="F765" s="388"/>
      <c r="G765" s="388"/>
      <c r="H765" s="388"/>
      <c r="I765" s="388"/>
      <c r="J765" s="642"/>
      <c r="K765" s="642"/>
      <c r="L765" s="642"/>
      <c r="M765" s="388"/>
      <c r="N765" s="388"/>
      <c r="O765" s="388"/>
      <c r="P765" s="388"/>
      <c r="Q765" s="388"/>
      <c r="R765" s="388"/>
      <c r="S765" s="388"/>
      <c r="T765" s="388"/>
      <c r="U765" s="388"/>
      <c r="V765" s="388"/>
      <c r="W765" s="388"/>
      <c r="X765" s="388"/>
      <c r="Y765" s="388"/>
      <c r="Z765" s="388"/>
      <c r="AA765" s="388"/>
      <c r="AB765" s="388"/>
      <c r="AC765" s="388"/>
    </row>
    <row r="766">
      <c r="A766" s="388"/>
      <c r="B766" s="388"/>
      <c r="C766" s="388"/>
      <c r="D766" s="388"/>
      <c r="E766" s="388"/>
      <c r="F766" s="388"/>
      <c r="G766" s="388"/>
      <c r="H766" s="388"/>
      <c r="I766" s="388"/>
      <c r="J766" s="642"/>
      <c r="K766" s="642"/>
      <c r="L766" s="642"/>
      <c r="M766" s="388"/>
      <c r="N766" s="388"/>
      <c r="O766" s="388"/>
      <c r="P766" s="388"/>
      <c r="Q766" s="388"/>
      <c r="R766" s="388"/>
      <c r="S766" s="388"/>
      <c r="T766" s="388"/>
      <c r="U766" s="388"/>
      <c r="V766" s="388"/>
      <c r="W766" s="388"/>
      <c r="X766" s="388"/>
      <c r="Y766" s="388"/>
      <c r="Z766" s="388"/>
      <c r="AA766" s="388"/>
      <c r="AB766" s="388"/>
      <c r="AC766" s="388"/>
    </row>
    <row r="767">
      <c r="A767" s="388"/>
      <c r="B767" s="388"/>
      <c r="C767" s="388"/>
      <c r="D767" s="388"/>
      <c r="E767" s="388"/>
      <c r="F767" s="388"/>
      <c r="G767" s="388"/>
      <c r="H767" s="388"/>
      <c r="I767" s="388"/>
      <c r="J767" s="642"/>
      <c r="K767" s="642"/>
      <c r="L767" s="642"/>
      <c r="M767" s="388"/>
      <c r="N767" s="388"/>
      <c r="O767" s="388"/>
      <c r="P767" s="388"/>
      <c r="Q767" s="388"/>
      <c r="R767" s="388"/>
      <c r="S767" s="388"/>
      <c r="T767" s="388"/>
      <c r="U767" s="388"/>
      <c r="V767" s="388"/>
      <c r="W767" s="388"/>
      <c r="X767" s="388"/>
      <c r="Y767" s="388"/>
      <c r="Z767" s="388"/>
      <c r="AA767" s="388"/>
      <c r="AB767" s="388"/>
      <c r="AC767" s="388"/>
    </row>
    <row r="768">
      <c r="A768" s="388"/>
      <c r="B768" s="388"/>
      <c r="C768" s="388"/>
      <c r="D768" s="388"/>
      <c r="E768" s="388"/>
      <c r="F768" s="388"/>
      <c r="G768" s="388"/>
      <c r="H768" s="388"/>
      <c r="I768" s="388"/>
      <c r="J768" s="642"/>
      <c r="K768" s="642"/>
      <c r="L768" s="642"/>
      <c r="M768" s="388"/>
      <c r="N768" s="388"/>
      <c r="O768" s="388"/>
      <c r="P768" s="388"/>
      <c r="Q768" s="388"/>
      <c r="R768" s="388"/>
      <c r="S768" s="388"/>
      <c r="T768" s="388"/>
      <c r="U768" s="388"/>
      <c r="V768" s="388"/>
      <c r="W768" s="388"/>
      <c r="X768" s="388"/>
      <c r="Y768" s="388"/>
      <c r="Z768" s="388"/>
      <c r="AA768" s="388"/>
      <c r="AB768" s="388"/>
      <c r="AC768" s="388"/>
    </row>
    <row r="769">
      <c r="A769" s="388"/>
      <c r="B769" s="388"/>
      <c r="C769" s="388"/>
      <c r="D769" s="388"/>
      <c r="E769" s="388"/>
      <c r="F769" s="388"/>
      <c r="G769" s="388"/>
      <c r="H769" s="388"/>
      <c r="I769" s="388"/>
      <c r="J769" s="642"/>
      <c r="K769" s="642"/>
      <c r="L769" s="642"/>
      <c r="M769" s="388"/>
      <c r="N769" s="388"/>
      <c r="O769" s="388"/>
      <c r="P769" s="388"/>
      <c r="Q769" s="388"/>
      <c r="R769" s="388"/>
      <c r="S769" s="388"/>
      <c r="T769" s="388"/>
      <c r="U769" s="388"/>
      <c r="V769" s="388"/>
      <c r="W769" s="388"/>
      <c r="X769" s="388"/>
      <c r="Y769" s="388"/>
      <c r="Z769" s="388"/>
      <c r="AA769" s="388"/>
      <c r="AB769" s="388"/>
      <c r="AC769" s="388"/>
    </row>
    <row r="770">
      <c r="A770" s="388"/>
      <c r="B770" s="388"/>
      <c r="C770" s="388"/>
      <c r="D770" s="388"/>
      <c r="E770" s="388"/>
      <c r="F770" s="388"/>
      <c r="G770" s="388"/>
      <c r="H770" s="388"/>
      <c r="I770" s="388"/>
      <c r="J770" s="642"/>
      <c r="K770" s="642"/>
      <c r="L770" s="642"/>
      <c r="M770" s="388"/>
      <c r="N770" s="388"/>
      <c r="O770" s="388"/>
      <c r="P770" s="388"/>
      <c r="Q770" s="388"/>
      <c r="R770" s="388"/>
      <c r="S770" s="388"/>
      <c r="T770" s="388"/>
      <c r="U770" s="388"/>
      <c r="V770" s="388"/>
      <c r="W770" s="388"/>
      <c r="X770" s="388"/>
      <c r="Y770" s="388"/>
      <c r="Z770" s="388"/>
      <c r="AA770" s="388"/>
      <c r="AB770" s="388"/>
      <c r="AC770" s="388"/>
    </row>
    <row r="771">
      <c r="A771" s="388"/>
      <c r="B771" s="388"/>
      <c r="C771" s="388"/>
      <c r="D771" s="388"/>
      <c r="E771" s="388"/>
      <c r="F771" s="388"/>
      <c r="G771" s="388"/>
      <c r="H771" s="388"/>
      <c r="I771" s="388"/>
      <c r="J771" s="642"/>
      <c r="K771" s="642"/>
      <c r="L771" s="642"/>
      <c r="M771" s="388"/>
      <c r="N771" s="388"/>
      <c r="O771" s="388"/>
      <c r="P771" s="388"/>
      <c r="Q771" s="388"/>
      <c r="R771" s="388"/>
      <c r="S771" s="388"/>
      <c r="T771" s="388"/>
      <c r="U771" s="388"/>
      <c r="V771" s="388"/>
      <c r="W771" s="388"/>
      <c r="X771" s="388"/>
      <c r="Y771" s="388"/>
      <c r="Z771" s="388"/>
      <c r="AA771" s="388"/>
      <c r="AB771" s="388"/>
      <c r="AC771" s="388"/>
    </row>
    <row r="772">
      <c r="A772" s="388"/>
      <c r="B772" s="388"/>
      <c r="C772" s="388"/>
      <c r="D772" s="388"/>
      <c r="E772" s="388"/>
      <c r="F772" s="388"/>
      <c r="G772" s="388"/>
      <c r="H772" s="388"/>
      <c r="I772" s="388"/>
      <c r="J772" s="642"/>
      <c r="K772" s="642"/>
      <c r="L772" s="642"/>
      <c r="M772" s="388"/>
      <c r="N772" s="388"/>
      <c r="O772" s="388"/>
      <c r="P772" s="388"/>
      <c r="Q772" s="388"/>
      <c r="R772" s="388"/>
      <c r="S772" s="388"/>
      <c r="T772" s="388"/>
      <c r="U772" s="388"/>
      <c r="V772" s="388"/>
      <c r="W772" s="388"/>
      <c r="X772" s="388"/>
      <c r="Y772" s="388"/>
      <c r="Z772" s="388"/>
      <c r="AA772" s="388"/>
      <c r="AB772" s="388"/>
      <c r="AC772" s="388"/>
    </row>
    <row r="773">
      <c r="A773" s="388"/>
      <c r="B773" s="388"/>
      <c r="C773" s="388"/>
      <c r="D773" s="388"/>
      <c r="E773" s="388"/>
      <c r="F773" s="388"/>
      <c r="G773" s="388"/>
      <c r="H773" s="388"/>
      <c r="I773" s="388"/>
      <c r="J773" s="642"/>
      <c r="K773" s="642"/>
      <c r="L773" s="642"/>
      <c r="M773" s="388"/>
      <c r="N773" s="388"/>
      <c r="O773" s="388"/>
      <c r="P773" s="388"/>
      <c r="Q773" s="388"/>
      <c r="R773" s="388"/>
      <c r="S773" s="388"/>
      <c r="T773" s="388"/>
      <c r="U773" s="388"/>
      <c r="V773" s="388"/>
      <c r="W773" s="388"/>
      <c r="X773" s="388"/>
      <c r="Y773" s="388"/>
      <c r="Z773" s="388"/>
      <c r="AA773" s="388"/>
      <c r="AB773" s="388"/>
      <c r="AC773" s="388"/>
    </row>
    <row r="774">
      <c r="A774" s="388"/>
      <c r="B774" s="388"/>
      <c r="C774" s="388"/>
      <c r="D774" s="388"/>
      <c r="E774" s="388"/>
      <c r="F774" s="388"/>
      <c r="G774" s="388"/>
      <c r="H774" s="388"/>
      <c r="I774" s="388"/>
      <c r="J774" s="642"/>
      <c r="K774" s="642"/>
      <c r="L774" s="642"/>
      <c r="M774" s="388"/>
      <c r="N774" s="388"/>
      <c r="O774" s="388"/>
      <c r="P774" s="388"/>
      <c r="Q774" s="388"/>
      <c r="R774" s="388"/>
      <c r="S774" s="388"/>
      <c r="T774" s="388"/>
      <c r="U774" s="388"/>
      <c r="V774" s="388"/>
      <c r="W774" s="388"/>
      <c r="X774" s="388"/>
      <c r="Y774" s="388"/>
      <c r="Z774" s="388"/>
      <c r="AA774" s="388"/>
      <c r="AB774" s="388"/>
      <c r="AC774" s="388"/>
    </row>
    <row r="775">
      <c r="A775" s="388"/>
      <c r="B775" s="388"/>
      <c r="C775" s="388"/>
      <c r="D775" s="388"/>
      <c r="E775" s="388"/>
      <c r="F775" s="388"/>
      <c r="G775" s="388"/>
      <c r="H775" s="388"/>
      <c r="I775" s="388"/>
      <c r="J775" s="642"/>
      <c r="K775" s="642"/>
      <c r="L775" s="642"/>
      <c r="M775" s="388"/>
      <c r="N775" s="388"/>
      <c r="O775" s="388"/>
      <c r="P775" s="388"/>
      <c r="Q775" s="388"/>
      <c r="R775" s="388"/>
      <c r="S775" s="388"/>
      <c r="T775" s="388"/>
      <c r="U775" s="388"/>
      <c r="V775" s="388"/>
      <c r="W775" s="388"/>
      <c r="X775" s="388"/>
      <c r="Y775" s="388"/>
      <c r="Z775" s="388"/>
      <c r="AA775" s="388"/>
      <c r="AB775" s="388"/>
      <c r="AC775" s="388"/>
    </row>
    <row r="776">
      <c r="A776" s="388"/>
      <c r="B776" s="388"/>
      <c r="C776" s="388"/>
      <c r="D776" s="388"/>
      <c r="E776" s="388"/>
      <c r="F776" s="388"/>
      <c r="G776" s="388"/>
      <c r="H776" s="388"/>
      <c r="I776" s="388"/>
      <c r="J776" s="642"/>
      <c r="K776" s="642"/>
      <c r="L776" s="642"/>
      <c r="M776" s="388"/>
      <c r="N776" s="388"/>
      <c r="O776" s="388"/>
      <c r="P776" s="388"/>
      <c r="Q776" s="388"/>
      <c r="R776" s="388"/>
      <c r="S776" s="388"/>
      <c r="T776" s="388"/>
      <c r="U776" s="388"/>
      <c r="V776" s="388"/>
      <c r="W776" s="388"/>
      <c r="X776" s="388"/>
      <c r="Y776" s="388"/>
      <c r="Z776" s="388"/>
      <c r="AA776" s="388"/>
      <c r="AB776" s="388"/>
      <c r="AC776" s="388"/>
    </row>
    <row r="777">
      <c r="A777" s="388"/>
      <c r="B777" s="388"/>
      <c r="C777" s="388"/>
      <c r="D777" s="388"/>
      <c r="E777" s="388"/>
      <c r="F777" s="388"/>
      <c r="G777" s="388"/>
      <c r="H777" s="388"/>
      <c r="I777" s="388"/>
      <c r="J777" s="642"/>
      <c r="K777" s="642"/>
      <c r="L777" s="642"/>
      <c r="M777" s="388"/>
      <c r="N777" s="388"/>
      <c r="O777" s="388"/>
      <c r="P777" s="388"/>
      <c r="Q777" s="388"/>
      <c r="R777" s="388"/>
      <c r="S777" s="388"/>
      <c r="T777" s="388"/>
      <c r="U777" s="388"/>
      <c r="V777" s="388"/>
      <c r="W777" s="388"/>
      <c r="X777" s="388"/>
      <c r="Y777" s="388"/>
      <c r="Z777" s="388"/>
      <c r="AA777" s="388"/>
      <c r="AB777" s="388"/>
      <c r="AC777" s="388"/>
    </row>
    <row r="778">
      <c r="A778" s="388"/>
      <c r="B778" s="388"/>
      <c r="C778" s="388"/>
      <c r="D778" s="388"/>
      <c r="E778" s="388"/>
      <c r="F778" s="388"/>
      <c r="G778" s="388"/>
      <c r="H778" s="388"/>
      <c r="I778" s="388"/>
      <c r="J778" s="642"/>
      <c r="K778" s="642"/>
      <c r="L778" s="642"/>
      <c r="M778" s="388"/>
      <c r="N778" s="388"/>
      <c r="O778" s="388"/>
      <c r="P778" s="388"/>
      <c r="Q778" s="388"/>
      <c r="R778" s="388"/>
      <c r="S778" s="388"/>
      <c r="T778" s="388"/>
      <c r="U778" s="388"/>
      <c r="V778" s="388"/>
      <c r="W778" s="388"/>
      <c r="X778" s="388"/>
      <c r="Y778" s="388"/>
      <c r="Z778" s="388"/>
      <c r="AA778" s="388"/>
      <c r="AB778" s="388"/>
      <c r="AC778" s="388"/>
    </row>
    <row r="779">
      <c r="A779" s="388"/>
      <c r="B779" s="388"/>
      <c r="C779" s="388"/>
      <c r="D779" s="388"/>
      <c r="E779" s="388"/>
      <c r="F779" s="388"/>
      <c r="G779" s="388"/>
      <c r="H779" s="388"/>
      <c r="I779" s="388"/>
      <c r="J779" s="642"/>
      <c r="K779" s="642"/>
      <c r="L779" s="642"/>
      <c r="M779" s="388"/>
      <c r="N779" s="388"/>
      <c r="O779" s="388"/>
      <c r="P779" s="388"/>
      <c r="Q779" s="388"/>
      <c r="R779" s="388"/>
      <c r="S779" s="388"/>
      <c r="T779" s="388"/>
      <c r="U779" s="388"/>
      <c r="V779" s="388"/>
      <c r="W779" s="388"/>
      <c r="X779" s="388"/>
      <c r="Y779" s="388"/>
      <c r="Z779" s="388"/>
      <c r="AA779" s="388"/>
      <c r="AB779" s="388"/>
      <c r="AC779" s="388"/>
    </row>
    <row r="780">
      <c r="A780" s="388"/>
      <c r="B780" s="388"/>
      <c r="C780" s="388"/>
      <c r="D780" s="388"/>
      <c r="E780" s="388"/>
      <c r="F780" s="388"/>
      <c r="G780" s="388"/>
      <c r="H780" s="388"/>
      <c r="I780" s="388"/>
      <c r="J780" s="642"/>
      <c r="K780" s="642"/>
      <c r="L780" s="642"/>
      <c r="M780" s="388"/>
      <c r="N780" s="388"/>
      <c r="O780" s="388"/>
      <c r="P780" s="388"/>
      <c r="Q780" s="388"/>
      <c r="R780" s="388"/>
      <c r="S780" s="388"/>
      <c r="T780" s="388"/>
      <c r="U780" s="388"/>
      <c r="V780" s="388"/>
      <c r="W780" s="388"/>
      <c r="X780" s="388"/>
      <c r="Y780" s="388"/>
      <c r="Z780" s="388"/>
      <c r="AA780" s="388"/>
      <c r="AB780" s="388"/>
      <c r="AC780" s="388"/>
    </row>
    <row r="781">
      <c r="A781" s="388"/>
      <c r="B781" s="388"/>
      <c r="C781" s="388"/>
      <c r="D781" s="388"/>
      <c r="E781" s="388"/>
      <c r="F781" s="388"/>
      <c r="G781" s="388"/>
      <c r="H781" s="388"/>
      <c r="I781" s="388"/>
      <c r="J781" s="642"/>
      <c r="K781" s="642"/>
      <c r="L781" s="642"/>
      <c r="M781" s="388"/>
      <c r="N781" s="388"/>
      <c r="O781" s="388"/>
      <c r="P781" s="388"/>
      <c r="Q781" s="388"/>
      <c r="R781" s="388"/>
      <c r="S781" s="388"/>
      <c r="T781" s="388"/>
      <c r="U781" s="388"/>
      <c r="V781" s="388"/>
      <c r="W781" s="388"/>
      <c r="X781" s="388"/>
      <c r="Y781" s="388"/>
      <c r="Z781" s="388"/>
      <c r="AA781" s="388"/>
      <c r="AB781" s="388"/>
      <c r="AC781" s="388"/>
    </row>
    <row r="782">
      <c r="A782" s="388"/>
      <c r="B782" s="388"/>
      <c r="C782" s="388"/>
      <c r="D782" s="388"/>
      <c r="E782" s="388"/>
      <c r="F782" s="388"/>
      <c r="G782" s="388"/>
      <c r="H782" s="388"/>
      <c r="I782" s="388"/>
      <c r="J782" s="642"/>
      <c r="K782" s="642"/>
      <c r="L782" s="642"/>
      <c r="M782" s="388"/>
      <c r="N782" s="388"/>
      <c r="O782" s="388"/>
      <c r="P782" s="388"/>
      <c r="Q782" s="388"/>
      <c r="R782" s="388"/>
      <c r="S782" s="388"/>
      <c r="T782" s="388"/>
      <c r="U782" s="388"/>
      <c r="V782" s="388"/>
      <c r="W782" s="388"/>
      <c r="X782" s="388"/>
      <c r="Y782" s="388"/>
      <c r="Z782" s="388"/>
      <c r="AA782" s="388"/>
      <c r="AB782" s="388"/>
      <c r="AC782" s="388"/>
    </row>
    <row r="783">
      <c r="A783" s="388"/>
      <c r="B783" s="388"/>
      <c r="C783" s="388"/>
      <c r="D783" s="388"/>
      <c r="E783" s="388"/>
      <c r="F783" s="388"/>
      <c r="G783" s="388"/>
      <c r="H783" s="388"/>
      <c r="I783" s="388"/>
      <c r="J783" s="642"/>
      <c r="K783" s="642"/>
      <c r="L783" s="642"/>
      <c r="M783" s="388"/>
      <c r="N783" s="388"/>
      <c r="O783" s="388"/>
      <c r="P783" s="388"/>
      <c r="Q783" s="388"/>
      <c r="R783" s="388"/>
      <c r="S783" s="388"/>
      <c r="T783" s="388"/>
      <c r="U783" s="388"/>
      <c r="V783" s="388"/>
      <c r="W783" s="388"/>
      <c r="X783" s="388"/>
      <c r="Y783" s="388"/>
      <c r="Z783" s="388"/>
      <c r="AA783" s="388"/>
      <c r="AB783" s="388"/>
      <c r="AC783" s="388"/>
    </row>
    <row r="784">
      <c r="A784" s="388"/>
      <c r="B784" s="388"/>
      <c r="C784" s="388"/>
      <c r="D784" s="388"/>
      <c r="E784" s="388"/>
      <c r="F784" s="388"/>
      <c r="G784" s="388"/>
      <c r="H784" s="388"/>
      <c r="I784" s="388"/>
      <c r="J784" s="642"/>
      <c r="K784" s="642"/>
      <c r="L784" s="642"/>
      <c r="M784" s="388"/>
      <c r="N784" s="388"/>
      <c r="O784" s="388"/>
      <c r="P784" s="388"/>
      <c r="Q784" s="388"/>
      <c r="R784" s="388"/>
      <c r="S784" s="388"/>
      <c r="T784" s="388"/>
      <c r="U784" s="388"/>
      <c r="V784" s="388"/>
      <c r="W784" s="388"/>
      <c r="X784" s="388"/>
      <c r="Y784" s="388"/>
      <c r="Z784" s="388"/>
      <c r="AA784" s="388"/>
      <c r="AB784" s="388"/>
      <c r="AC784" s="388"/>
    </row>
    <row r="785">
      <c r="A785" s="388"/>
      <c r="B785" s="388"/>
      <c r="C785" s="388"/>
      <c r="D785" s="388"/>
      <c r="E785" s="388"/>
      <c r="F785" s="388"/>
      <c r="G785" s="388"/>
      <c r="H785" s="388"/>
      <c r="I785" s="388"/>
      <c r="J785" s="642"/>
      <c r="K785" s="642"/>
      <c r="L785" s="642"/>
      <c r="M785" s="388"/>
      <c r="N785" s="388"/>
      <c r="O785" s="388"/>
      <c r="P785" s="388"/>
      <c r="Q785" s="388"/>
      <c r="R785" s="388"/>
      <c r="S785" s="388"/>
      <c r="T785" s="388"/>
      <c r="U785" s="388"/>
      <c r="V785" s="388"/>
      <c r="W785" s="388"/>
      <c r="X785" s="388"/>
      <c r="Y785" s="388"/>
      <c r="Z785" s="388"/>
      <c r="AA785" s="388"/>
      <c r="AB785" s="388"/>
      <c r="AC785" s="388"/>
    </row>
    <row r="786">
      <c r="A786" s="388"/>
      <c r="B786" s="388"/>
      <c r="C786" s="388"/>
      <c r="D786" s="388"/>
      <c r="E786" s="388"/>
      <c r="F786" s="388"/>
      <c r="G786" s="388"/>
      <c r="H786" s="388"/>
      <c r="I786" s="388"/>
      <c r="J786" s="642"/>
      <c r="K786" s="642"/>
      <c r="L786" s="642"/>
      <c r="M786" s="388"/>
      <c r="N786" s="388"/>
      <c r="O786" s="388"/>
      <c r="P786" s="388"/>
      <c r="Q786" s="388"/>
      <c r="R786" s="388"/>
      <c r="S786" s="388"/>
      <c r="T786" s="388"/>
      <c r="U786" s="388"/>
      <c r="V786" s="388"/>
      <c r="W786" s="388"/>
      <c r="X786" s="388"/>
      <c r="Y786" s="388"/>
      <c r="Z786" s="388"/>
      <c r="AA786" s="388"/>
      <c r="AB786" s="388"/>
      <c r="AC786" s="388"/>
    </row>
    <row r="787">
      <c r="A787" s="388"/>
      <c r="B787" s="388"/>
      <c r="C787" s="388"/>
      <c r="D787" s="388"/>
      <c r="E787" s="388"/>
      <c r="F787" s="388"/>
      <c r="G787" s="388"/>
      <c r="H787" s="388"/>
      <c r="I787" s="388"/>
      <c r="J787" s="642"/>
      <c r="K787" s="642"/>
      <c r="L787" s="642"/>
      <c r="M787" s="388"/>
      <c r="N787" s="388"/>
      <c r="O787" s="388"/>
      <c r="P787" s="388"/>
      <c r="Q787" s="388"/>
      <c r="R787" s="388"/>
      <c r="S787" s="388"/>
      <c r="T787" s="388"/>
      <c r="U787" s="388"/>
      <c r="V787" s="388"/>
      <c r="W787" s="388"/>
      <c r="X787" s="388"/>
      <c r="Y787" s="388"/>
      <c r="Z787" s="388"/>
      <c r="AA787" s="388"/>
      <c r="AB787" s="388"/>
      <c r="AC787" s="388"/>
    </row>
    <row r="788">
      <c r="A788" s="388"/>
      <c r="B788" s="388"/>
      <c r="C788" s="388"/>
      <c r="D788" s="388"/>
      <c r="E788" s="388"/>
      <c r="F788" s="388"/>
      <c r="G788" s="388"/>
      <c r="H788" s="388"/>
      <c r="I788" s="388"/>
      <c r="J788" s="642"/>
      <c r="K788" s="642"/>
      <c r="L788" s="642"/>
      <c r="M788" s="388"/>
      <c r="N788" s="388"/>
      <c r="O788" s="388"/>
      <c r="P788" s="388"/>
      <c r="Q788" s="388"/>
      <c r="R788" s="388"/>
      <c r="S788" s="388"/>
      <c r="T788" s="388"/>
      <c r="U788" s="388"/>
      <c r="V788" s="388"/>
      <c r="W788" s="388"/>
      <c r="X788" s="388"/>
      <c r="Y788" s="388"/>
      <c r="Z788" s="388"/>
      <c r="AA788" s="388"/>
      <c r="AB788" s="388"/>
      <c r="AC788" s="388"/>
    </row>
    <row r="789">
      <c r="A789" s="388"/>
      <c r="B789" s="388"/>
      <c r="C789" s="388"/>
      <c r="D789" s="388"/>
      <c r="E789" s="388"/>
      <c r="F789" s="388"/>
      <c r="G789" s="388"/>
      <c r="H789" s="388"/>
      <c r="I789" s="388"/>
      <c r="J789" s="642"/>
      <c r="K789" s="642"/>
      <c r="L789" s="642"/>
      <c r="M789" s="388"/>
      <c r="N789" s="388"/>
      <c r="O789" s="388"/>
      <c r="P789" s="388"/>
      <c r="Q789" s="388"/>
      <c r="R789" s="388"/>
      <c r="S789" s="388"/>
      <c r="T789" s="388"/>
      <c r="U789" s="388"/>
      <c r="V789" s="388"/>
      <c r="W789" s="388"/>
      <c r="X789" s="388"/>
      <c r="Y789" s="388"/>
      <c r="Z789" s="388"/>
      <c r="AA789" s="388"/>
      <c r="AB789" s="388"/>
      <c r="AC789" s="388"/>
    </row>
    <row r="790">
      <c r="A790" s="388"/>
      <c r="B790" s="388"/>
      <c r="C790" s="388"/>
      <c r="D790" s="388"/>
      <c r="E790" s="388"/>
      <c r="F790" s="388"/>
      <c r="G790" s="388"/>
      <c r="H790" s="388"/>
      <c r="I790" s="388"/>
      <c r="J790" s="642"/>
      <c r="K790" s="642"/>
      <c r="L790" s="642"/>
      <c r="M790" s="388"/>
      <c r="N790" s="388"/>
      <c r="O790" s="388"/>
      <c r="P790" s="388"/>
      <c r="Q790" s="388"/>
      <c r="R790" s="388"/>
      <c r="S790" s="388"/>
      <c r="T790" s="388"/>
      <c r="U790" s="388"/>
      <c r="V790" s="388"/>
      <c r="W790" s="388"/>
      <c r="X790" s="388"/>
      <c r="Y790" s="388"/>
      <c r="Z790" s="388"/>
      <c r="AA790" s="388"/>
      <c r="AB790" s="388"/>
      <c r="AC790" s="388"/>
    </row>
    <row r="791">
      <c r="A791" s="388"/>
      <c r="B791" s="388"/>
      <c r="C791" s="388"/>
      <c r="D791" s="388"/>
      <c r="E791" s="388"/>
      <c r="F791" s="388"/>
      <c r="G791" s="388"/>
      <c r="H791" s="388"/>
      <c r="I791" s="388"/>
      <c r="J791" s="642"/>
      <c r="K791" s="642"/>
      <c r="L791" s="642"/>
      <c r="M791" s="388"/>
      <c r="N791" s="388"/>
      <c r="O791" s="388"/>
      <c r="P791" s="388"/>
      <c r="Q791" s="388"/>
      <c r="R791" s="388"/>
      <c r="S791" s="388"/>
      <c r="T791" s="388"/>
      <c r="U791" s="388"/>
      <c r="V791" s="388"/>
      <c r="W791" s="388"/>
      <c r="X791" s="388"/>
      <c r="Y791" s="388"/>
      <c r="Z791" s="388"/>
      <c r="AA791" s="388"/>
      <c r="AB791" s="388"/>
      <c r="AC791" s="388"/>
    </row>
    <row r="792">
      <c r="A792" s="388"/>
      <c r="B792" s="388"/>
      <c r="C792" s="388"/>
      <c r="D792" s="388"/>
      <c r="E792" s="388"/>
      <c r="F792" s="388"/>
      <c r="G792" s="388"/>
      <c r="H792" s="388"/>
      <c r="I792" s="388"/>
      <c r="J792" s="642"/>
      <c r="K792" s="642"/>
      <c r="L792" s="642"/>
      <c r="M792" s="388"/>
      <c r="N792" s="388"/>
      <c r="O792" s="388"/>
      <c r="P792" s="388"/>
      <c r="Q792" s="388"/>
      <c r="R792" s="388"/>
      <c r="S792" s="388"/>
      <c r="T792" s="388"/>
      <c r="U792" s="388"/>
      <c r="V792" s="388"/>
      <c r="W792" s="388"/>
      <c r="X792" s="388"/>
      <c r="Y792" s="388"/>
      <c r="Z792" s="388"/>
      <c r="AA792" s="388"/>
      <c r="AB792" s="388"/>
      <c r="AC792" s="388"/>
    </row>
    <row r="793">
      <c r="A793" s="388"/>
      <c r="B793" s="388"/>
      <c r="C793" s="388"/>
      <c r="D793" s="388"/>
      <c r="E793" s="388"/>
      <c r="F793" s="388"/>
      <c r="G793" s="388"/>
      <c r="H793" s="388"/>
      <c r="I793" s="388"/>
      <c r="J793" s="642"/>
      <c r="K793" s="642"/>
      <c r="L793" s="642"/>
      <c r="M793" s="388"/>
      <c r="N793" s="388"/>
      <c r="O793" s="388"/>
      <c r="P793" s="388"/>
      <c r="Q793" s="388"/>
      <c r="R793" s="388"/>
      <c r="S793" s="388"/>
      <c r="T793" s="388"/>
      <c r="U793" s="388"/>
      <c r="V793" s="388"/>
      <c r="W793" s="388"/>
      <c r="X793" s="388"/>
      <c r="Y793" s="388"/>
      <c r="Z793" s="388"/>
      <c r="AA793" s="388"/>
      <c r="AB793" s="388"/>
      <c r="AC793" s="388"/>
    </row>
    <row r="794">
      <c r="A794" s="388"/>
      <c r="B794" s="388"/>
      <c r="C794" s="388"/>
      <c r="D794" s="388"/>
      <c r="E794" s="388"/>
      <c r="F794" s="388"/>
      <c r="G794" s="388"/>
      <c r="H794" s="388"/>
      <c r="I794" s="388"/>
      <c r="J794" s="642"/>
      <c r="K794" s="642"/>
      <c r="L794" s="642"/>
      <c r="M794" s="388"/>
      <c r="N794" s="388"/>
      <c r="O794" s="388"/>
      <c r="P794" s="388"/>
      <c r="Q794" s="388"/>
      <c r="R794" s="388"/>
      <c r="S794" s="388"/>
      <c r="T794" s="388"/>
      <c r="U794" s="388"/>
      <c r="V794" s="388"/>
      <c r="W794" s="388"/>
      <c r="X794" s="388"/>
      <c r="Y794" s="388"/>
      <c r="Z794" s="388"/>
      <c r="AA794" s="388"/>
      <c r="AB794" s="388"/>
      <c r="AC794" s="388"/>
    </row>
    <row r="795">
      <c r="A795" s="388"/>
      <c r="B795" s="388"/>
      <c r="C795" s="388"/>
      <c r="D795" s="388"/>
      <c r="E795" s="388"/>
      <c r="F795" s="388"/>
      <c r="G795" s="388"/>
      <c r="H795" s="388"/>
      <c r="I795" s="388"/>
      <c r="J795" s="642"/>
      <c r="K795" s="642"/>
      <c r="L795" s="642"/>
      <c r="M795" s="388"/>
      <c r="N795" s="388"/>
      <c r="O795" s="388"/>
      <c r="P795" s="388"/>
      <c r="Q795" s="388"/>
      <c r="R795" s="388"/>
      <c r="S795" s="388"/>
      <c r="T795" s="388"/>
      <c r="U795" s="388"/>
      <c r="V795" s="388"/>
      <c r="W795" s="388"/>
      <c r="X795" s="388"/>
      <c r="Y795" s="388"/>
      <c r="Z795" s="388"/>
      <c r="AA795" s="388"/>
      <c r="AB795" s="388"/>
      <c r="AC795" s="388"/>
    </row>
    <row r="796">
      <c r="A796" s="388"/>
      <c r="B796" s="388"/>
      <c r="C796" s="388"/>
      <c r="D796" s="388"/>
      <c r="E796" s="388"/>
      <c r="F796" s="388"/>
      <c r="G796" s="388"/>
      <c r="H796" s="388"/>
      <c r="I796" s="388"/>
      <c r="J796" s="642"/>
      <c r="K796" s="642"/>
      <c r="L796" s="642"/>
      <c r="M796" s="388"/>
      <c r="N796" s="388"/>
      <c r="O796" s="388"/>
      <c r="P796" s="388"/>
      <c r="Q796" s="388"/>
      <c r="R796" s="388"/>
      <c r="S796" s="388"/>
      <c r="T796" s="388"/>
      <c r="U796" s="388"/>
      <c r="V796" s="388"/>
      <c r="W796" s="388"/>
      <c r="X796" s="388"/>
      <c r="Y796" s="388"/>
      <c r="Z796" s="388"/>
      <c r="AA796" s="388"/>
      <c r="AB796" s="388"/>
      <c r="AC796" s="388"/>
    </row>
    <row r="797">
      <c r="A797" s="388"/>
      <c r="B797" s="388"/>
      <c r="C797" s="388"/>
      <c r="D797" s="388"/>
      <c r="E797" s="388"/>
      <c r="F797" s="388"/>
      <c r="G797" s="388"/>
      <c r="H797" s="388"/>
      <c r="I797" s="388"/>
      <c r="J797" s="642"/>
      <c r="K797" s="642"/>
      <c r="L797" s="642"/>
      <c r="M797" s="388"/>
      <c r="N797" s="388"/>
      <c r="O797" s="388"/>
      <c r="P797" s="388"/>
      <c r="Q797" s="388"/>
      <c r="R797" s="388"/>
      <c r="S797" s="388"/>
      <c r="T797" s="388"/>
      <c r="U797" s="388"/>
      <c r="V797" s="388"/>
      <c r="W797" s="388"/>
      <c r="X797" s="388"/>
      <c r="Y797" s="388"/>
      <c r="Z797" s="388"/>
      <c r="AA797" s="388"/>
      <c r="AB797" s="388"/>
      <c r="AC797" s="388"/>
    </row>
    <row r="798">
      <c r="A798" s="388"/>
      <c r="B798" s="388"/>
      <c r="C798" s="388"/>
      <c r="D798" s="388"/>
      <c r="E798" s="388"/>
      <c r="F798" s="388"/>
      <c r="G798" s="388"/>
      <c r="H798" s="388"/>
      <c r="I798" s="388"/>
      <c r="J798" s="642"/>
      <c r="K798" s="642"/>
      <c r="L798" s="642"/>
      <c r="M798" s="388"/>
      <c r="N798" s="388"/>
      <c r="O798" s="388"/>
      <c r="P798" s="388"/>
      <c r="Q798" s="388"/>
      <c r="R798" s="388"/>
      <c r="S798" s="388"/>
      <c r="T798" s="388"/>
      <c r="U798" s="388"/>
      <c r="V798" s="388"/>
      <c r="W798" s="388"/>
      <c r="X798" s="388"/>
      <c r="Y798" s="388"/>
      <c r="Z798" s="388"/>
      <c r="AA798" s="388"/>
      <c r="AB798" s="388"/>
      <c r="AC798" s="388"/>
    </row>
    <row r="799">
      <c r="A799" s="388"/>
      <c r="B799" s="388"/>
      <c r="C799" s="388"/>
      <c r="D799" s="388"/>
      <c r="E799" s="388"/>
      <c r="F799" s="388"/>
      <c r="G799" s="388"/>
      <c r="H799" s="388"/>
      <c r="I799" s="388"/>
      <c r="J799" s="642"/>
      <c r="K799" s="642"/>
      <c r="L799" s="642"/>
      <c r="M799" s="388"/>
      <c r="N799" s="388"/>
      <c r="O799" s="388"/>
      <c r="P799" s="388"/>
      <c r="Q799" s="388"/>
      <c r="R799" s="388"/>
      <c r="S799" s="388"/>
      <c r="T799" s="388"/>
      <c r="U799" s="388"/>
      <c r="V799" s="388"/>
      <c r="W799" s="388"/>
      <c r="X799" s="388"/>
      <c r="Y799" s="388"/>
      <c r="Z799" s="388"/>
      <c r="AA799" s="388"/>
      <c r="AB799" s="388"/>
      <c r="AC799" s="388"/>
    </row>
    <row r="800">
      <c r="A800" s="388"/>
      <c r="B800" s="388"/>
      <c r="C800" s="388"/>
      <c r="D800" s="388"/>
      <c r="E800" s="388"/>
      <c r="F800" s="388"/>
      <c r="G800" s="388"/>
      <c r="H800" s="388"/>
      <c r="I800" s="388"/>
      <c r="J800" s="642"/>
      <c r="K800" s="642"/>
      <c r="L800" s="642"/>
      <c r="M800" s="388"/>
      <c r="N800" s="388"/>
      <c r="O800" s="388"/>
      <c r="P800" s="388"/>
      <c r="Q800" s="388"/>
      <c r="R800" s="388"/>
      <c r="S800" s="388"/>
      <c r="T800" s="388"/>
      <c r="U800" s="388"/>
      <c r="V800" s="388"/>
      <c r="W800" s="388"/>
      <c r="X800" s="388"/>
      <c r="Y800" s="388"/>
      <c r="Z800" s="388"/>
      <c r="AA800" s="388"/>
      <c r="AB800" s="388"/>
      <c r="AC800" s="388"/>
    </row>
    <row r="801">
      <c r="A801" s="388"/>
      <c r="B801" s="388"/>
      <c r="C801" s="388"/>
      <c r="D801" s="388"/>
      <c r="E801" s="388"/>
      <c r="F801" s="388"/>
      <c r="G801" s="388"/>
      <c r="H801" s="388"/>
      <c r="I801" s="388"/>
      <c r="J801" s="642"/>
      <c r="K801" s="642"/>
      <c r="L801" s="642"/>
      <c r="M801" s="388"/>
      <c r="N801" s="388"/>
      <c r="O801" s="388"/>
      <c r="P801" s="388"/>
      <c r="Q801" s="388"/>
      <c r="R801" s="388"/>
      <c r="S801" s="388"/>
      <c r="T801" s="388"/>
      <c r="U801" s="388"/>
      <c r="V801" s="388"/>
      <c r="W801" s="388"/>
      <c r="X801" s="388"/>
      <c r="Y801" s="388"/>
      <c r="Z801" s="388"/>
      <c r="AA801" s="388"/>
      <c r="AB801" s="388"/>
      <c r="AC801" s="388"/>
    </row>
    <row r="802">
      <c r="A802" s="388"/>
      <c r="B802" s="388"/>
      <c r="C802" s="388"/>
      <c r="D802" s="388"/>
      <c r="E802" s="388"/>
      <c r="F802" s="388"/>
      <c r="G802" s="388"/>
      <c r="H802" s="388"/>
      <c r="I802" s="388"/>
      <c r="J802" s="642"/>
      <c r="K802" s="642"/>
      <c r="L802" s="642"/>
      <c r="M802" s="388"/>
      <c r="N802" s="388"/>
      <c r="O802" s="388"/>
      <c r="P802" s="388"/>
      <c r="Q802" s="388"/>
      <c r="R802" s="388"/>
      <c r="S802" s="388"/>
      <c r="T802" s="388"/>
      <c r="U802" s="388"/>
      <c r="V802" s="388"/>
      <c r="W802" s="388"/>
      <c r="X802" s="388"/>
      <c r="Y802" s="388"/>
      <c r="Z802" s="388"/>
      <c r="AA802" s="388"/>
      <c r="AB802" s="388"/>
      <c r="AC802" s="388"/>
    </row>
    <row r="803">
      <c r="A803" s="388"/>
      <c r="B803" s="388"/>
      <c r="C803" s="388"/>
      <c r="D803" s="388"/>
      <c r="E803" s="388"/>
      <c r="F803" s="388"/>
      <c r="G803" s="388"/>
      <c r="H803" s="388"/>
      <c r="I803" s="388"/>
      <c r="J803" s="642"/>
      <c r="K803" s="642"/>
      <c r="L803" s="642"/>
      <c r="M803" s="388"/>
      <c r="N803" s="388"/>
      <c r="O803" s="388"/>
      <c r="P803" s="388"/>
      <c r="Q803" s="388"/>
      <c r="R803" s="388"/>
      <c r="S803" s="388"/>
      <c r="T803" s="388"/>
      <c r="U803" s="388"/>
      <c r="V803" s="388"/>
      <c r="W803" s="388"/>
      <c r="X803" s="388"/>
      <c r="Y803" s="388"/>
      <c r="Z803" s="388"/>
      <c r="AA803" s="388"/>
      <c r="AB803" s="388"/>
      <c r="AC803" s="388"/>
    </row>
    <row r="804">
      <c r="A804" s="388"/>
      <c r="B804" s="388"/>
      <c r="C804" s="388"/>
      <c r="D804" s="388"/>
      <c r="E804" s="388"/>
      <c r="F804" s="388"/>
      <c r="G804" s="388"/>
      <c r="H804" s="388"/>
      <c r="I804" s="388"/>
      <c r="J804" s="642"/>
      <c r="K804" s="642"/>
      <c r="L804" s="642"/>
      <c r="M804" s="388"/>
      <c r="N804" s="388"/>
      <c r="O804" s="388"/>
      <c r="P804" s="388"/>
      <c r="Q804" s="388"/>
      <c r="R804" s="388"/>
      <c r="S804" s="388"/>
      <c r="T804" s="388"/>
      <c r="U804" s="388"/>
      <c r="V804" s="388"/>
      <c r="W804" s="388"/>
      <c r="X804" s="388"/>
      <c r="Y804" s="388"/>
      <c r="Z804" s="388"/>
      <c r="AA804" s="388"/>
      <c r="AB804" s="388"/>
      <c r="AC804" s="388"/>
    </row>
    <row r="805">
      <c r="A805" s="388"/>
      <c r="B805" s="388"/>
      <c r="C805" s="388"/>
      <c r="D805" s="388"/>
      <c r="E805" s="388"/>
      <c r="F805" s="388"/>
      <c r="G805" s="388"/>
      <c r="H805" s="388"/>
      <c r="I805" s="388"/>
      <c r="J805" s="642"/>
      <c r="K805" s="642"/>
      <c r="L805" s="642"/>
      <c r="M805" s="388"/>
      <c r="N805" s="388"/>
      <c r="O805" s="388"/>
      <c r="P805" s="388"/>
      <c r="Q805" s="388"/>
      <c r="R805" s="388"/>
      <c r="S805" s="388"/>
      <c r="T805" s="388"/>
      <c r="U805" s="388"/>
      <c r="V805" s="388"/>
      <c r="W805" s="388"/>
      <c r="X805" s="388"/>
      <c r="Y805" s="388"/>
      <c r="Z805" s="388"/>
      <c r="AA805" s="388"/>
      <c r="AB805" s="388"/>
      <c r="AC805" s="388"/>
    </row>
    <row r="806">
      <c r="A806" s="388"/>
      <c r="B806" s="388"/>
      <c r="C806" s="388"/>
      <c r="D806" s="388"/>
      <c r="E806" s="388"/>
      <c r="F806" s="388"/>
      <c r="G806" s="388"/>
      <c r="H806" s="388"/>
      <c r="I806" s="388"/>
      <c r="J806" s="642"/>
      <c r="K806" s="642"/>
      <c r="L806" s="642"/>
      <c r="M806" s="388"/>
      <c r="N806" s="388"/>
      <c r="O806" s="388"/>
      <c r="P806" s="388"/>
      <c r="Q806" s="388"/>
      <c r="R806" s="388"/>
      <c r="S806" s="388"/>
      <c r="T806" s="388"/>
      <c r="U806" s="388"/>
      <c r="V806" s="388"/>
      <c r="W806" s="388"/>
      <c r="X806" s="388"/>
      <c r="Y806" s="388"/>
      <c r="Z806" s="388"/>
      <c r="AA806" s="388"/>
      <c r="AB806" s="388"/>
      <c r="AC806" s="388"/>
    </row>
    <row r="807">
      <c r="A807" s="388"/>
      <c r="B807" s="388"/>
      <c r="C807" s="388"/>
      <c r="D807" s="388"/>
      <c r="E807" s="388"/>
      <c r="F807" s="388"/>
      <c r="G807" s="388"/>
      <c r="H807" s="388"/>
      <c r="I807" s="388"/>
      <c r="J807" s="642"/>
      <c r="K807" s="642"/>
      <c r="L807" s="642"/>
      <c r="M807" s="388"/>
      <c r="N807" s="388"/>
      <c r="O807" s="388"/>
      <c r="P807" s="388"/>
      <c r="Q807" s="388"/>
      <c r="R807" s="388"/>
      <c r="S807" s="388"/>
      <c r="T807" s="388"/>
      <c r="U807" s="388"/>
      <c r="V807" s="388"/>
      <c r="W807" s="388"/>
      <c r="X807" s="388"/>
      <c r="Y807" s="388"/>
      <c r="Z807" s="388"/>
      <c r="AA807" s="388"/>
      <c r="AB807" s="388"/>
      <c r="AC807" s="388"/>
    </row>
    <row r="808">
      <c r="A808" s="388"/>
      <c r="B808" s="388"/>
      <c r="C808" s="388"/>
      <c r="D808" s="388"/>
      <c r="E808" s="388"/>
      <c r="F808" s="388"/>
      <c r="G808" s="388"/>
      <c r="H808" s="388"/>
      <c r="I808" s="388"/>
      <c r="J808" s="642"/>
      <c r="K808" s="642"/>
      <c r="L808" s="642"/>
      <c r="M808" s="388"/>
      <c r="N808" s="388"/>
      <c r="O808" s="388"/>
      <c r="P808" s="388"/>
      <c r="Q808" s="388"/>
      <c r="R808" s="388"/>
      <c r="S808" s="388"/>
      <c r="T808" s="388"/>
      <c r="U808" s="388"/>
      <c r="V808" s="388"/>
      <c r="W808" s="388"/>
      <c r="X808" s="388"/>
      <c r="Y808" s="388"/>
      <c r="Z808" s="388"/>
      <c r="AA808" s="388"/>
      <c r="AB808" s="388"/>
      <c r="AC808" s="388"/>
    </row>
    <row r="809">
      <c r="A809" s="388"/>
      <c r="B809" s="388"/>
      <c r="C809" s="388"/>
      <c r="D809" s="388"/>
      <c r="E809" s="388"/>
      <c r="F809" s="388"/>
      <c r="G809" s="388"/>
      <c r="H809" s="388"/>
      <c r="I809" s="388"/>
      <c r="J809" s="642"/>
      <c r="K809" s="642"/>
      <c r="L809" s="642"/>
      <c r="M809" s="388"/>
      <c r="N809" s="388"/>
      <c r="O809" s="388"/>
      <c r="P809" s="388"/>
      <c r="Q809" s="388"/>
      <c r="R809" s="388"/>
      <c r="S809" s="388"/>
      <c r="T809" s="388"/>
      <c r="U809" s="388"/>
      <c r="V809" s="388"/>
      <c r="W809" s="388"/>
      <c r="X809" s="388"/>
      <c r="Y809" s="388"/>
      <c r="Z809" s="388"/>
      <c r="AA809" s="388"/>
      <c r="AB809" s="388"/>
      <c r="AC809" s="388"/>
    </row>
    <row r="810">
      <c r="A810" s="388"/>
      <c r="B810" s="388"/>
      <c r="C810" s="388"/>
      <c r="D810" s="388"/>
      <c r="E810" s="388"/>
      <c r="F810" s="388"/>
      <c r="G810" s="388"/>
      <c r="H810" s="388"/>
      <c r="I810" s="388"/>
      <c r="J810" s="642"/>
      <c r="K810" s="642"/>
      <c r="L810" s="642"/>
      <c r="M810" s="388"/>
      <c r="N810" s="388"/>
      <c r="O810" s="388"/>
      <c r="P810" s="388"/>
      <c r="Q810" s="388"/>
      <c r="R810" s="388"/>
      <c r="S810" s="388"/>
      <c r="T810" s="388"/>
      <c r="U810" s="388"/>
      <c r="V810" s="388"/>
      <c r="W810" s="388"/>
      <c r="X810" s="388"/>
      <c r="Y810" s="388"/>
      <c r="Z810" s="388"/>
      <c r="AA810" s="388"/>
      <c r="AB810" s="388"/>
      <c r="AC810" s="388"/>
    </row>
    <row r="811">
      <c r="A811" s="388"/>
      <c r="B811" s="388"/>
      <c r="C811" s="388"/>
      <c r="D811" s="388"/>
      <c r="E811" s="388"/>
      <c r="F811" s="388"/>
      <c r="G811" s="388"/>
      <c r="H811" s="388"/>
      <c r="I811" s="388"/>
      <c r="J811" s="642"/>
      <c r="K811" s="642"/>
      <c r="L811" s="642"/>
      <c r="M811" s="388"/>
      <c r="N811" s="388"/>
      <c r="O811" s="388"/>
      <c r="P811" s="388"/>
      <c r="Q811" s="388"/>
      <c r="R811" s="388"/>
      <c r="S811" s="388"/>
      <c r="T811" s="388"/>
      <c r="U811" s="388"/>
      <c r="V811" s="388"/>
      <c r="W811" s="388"/>
      <c r="X811" s="388"/>
      <c r="Y811" s="388"/>
      <c r="Z811" s="388"/>
      <c r="AA811" s="388"/>
      <c r="AB811" s="388"/>
      <c r="AC811" s="388"/>
    </row>
    <row r="812">
      <c r="A812" s="388"/>
      <c r="B812" s="388"/>
      <c r="C812" s="388"/>
      <c r="D812" s="388"/>
      <c r="E812" s="388"/>
      <c r="F812" s="388"/>
      <c r="G812" s="388"/>
      <c r="H812" s="388"/>
      <c r="I812" s="388"/>
      <c r="J812" s="642"/>
      <c r="K812" s="642"/>
      <c r="L812" s="642"/>
      <c r="M812" s="388"/>
      <c r="N812" s="388"/>
      <c r="O812" s="388"/>
      <c r="P812" s="388"/>
      <c r="Q812" s="388"/>
      <c r="R812" s="388"/>
      <c r="S812" s="388"/>
      <c r="T812" s="388"/>
      <c r="U812" s="388"/>
      <c r="V812" s="388"/>
      <c r="W812" s="388"/>
      <c r="X812" s="388"/>
      <c r="Y812" s="388"/>
      <c r="Z812" s="388"/>
      <c r="AA812" s="388"/>
      <c r="AB812" s="388"/>
      <c r="AC812" s="388"/>
    </row>
    <row r="813">
      <c r="A813" s="388"/>
      <c r="B813" s="388"/>
      <c r="C813" s="388"/>
      <c r="D813" s="388"/>
      <c r="E813" s="388"/>
      <c r="F813" s="388"/>
      <c r="G813" s="388"/>
      <c r="H813" s="388"/>
      <c r="I813" s="388"/>
      <c r="J813" s="642"/>
      <c r="K813" s="642"/>
      <c r="L813" s="642"/>
      <c r="M813" s="388"/>
      <c r="N813" s="388"/>
      <c r="O813" s="388"/>
      <c r="P813" s="388"/>
      <c r="Q813" s="388"/>
      <c r="R813" s="388"/>
      <c r="S813" s="388"/>
      <c r="T813" s="388"/>
      <c r="U813" s="388"/>
      <c r="V813" s="388"/>
      <c r="W813" s="388"/>
      <c r="X813" s="388"/>
      <c r="Y813" s="388"/>
      <c r="Z813" s="388"/>
      <c r="AA813" s="388"/>
      <c r="AB813" s="388"/>
      <c r="AC813" s="388"/>
    </row>
    <row r="814">
      <c r="A814" s="388"/>
      <c r="B814" s="388"/>
      <c r="C814" s="388"/>
      <c r="D814" s="388"/>
      <c r="E814" s="388"/>
      <c r="F814" s="388"/>
      <c r="G814" s="388"/>
      <c r="H814" s="388"/>
      <c r="I814" s="388"/>
      <c r="J814" s="642"/>
      <c r="K814" s="642"/>
      <c r="L814" s="642"/>
      <c r="M814" s="388"/>
      <c r="N814" s="388"/>
      <c r="O814" s="388"/>
      <c r="P814" s="388"/>
      <c r="Q814" s="388"/>
      <c r="R814" s="388"/>
      <c r="S814" s="388"/>
      <c r="T814" s="388"/>
      <c r="U814" s="388"/>
      <c r="V814" s="388"/>
      <c r="W814" s="388"/>
      <c r="X814" s="388"/>
      <c r="Y814" s="388"/>
      <c r="Z814" s="388"/>
      <c r="AA814" s="388"/>
      <c r="AB814" s="388"/>
      <c r="AC814" s="388"/>
    </row>
    <row r="815">
      <c r="A815" s="388"/>
      <c r="B815" s="388"/>
      <c r="C815" s="388"/>
      <c r="D815" s="388"/>
      <c r="E815" s="388"/>
      <c r="F815" s="388"/>
      <c r="G815" s="388"/>
      <c r="H815" s="388"/>
      <c r="I815" s="388"/>
      <c r="J815" s="642"/>
      <c r="K815" s="642"/>
      <c r="L815" s="642"/>
      <c r="M815" s="388"/>
      <c r="N815" s="388"/>
      <c r="O815" s="388"/>
      <c r="P815" s="388"/>
      <c r="Q815" s="388"/>
      <c r="R815" s="388"/>
      <c r="S815" s="388"/>
      <c r="T815" s="388"/>
      <c r="U815" s="388"/>
      <c r="V815" s="388"/>
      <c r="W815" s="388"/>
      <c r="X815" s="388"/>
      <c r="Y815" s="388"/>
      <c r="Z815" s="388"/>
      <c r="AA815" s="388"/>
      <c r="AB815" s="388"/>
      <c r="AC815" s="388"/>
    </row>
    <row r="816">
      <c r="A816" s="388"/>
      <c r="B816" s="388"/>
      <c r="C816" s="388"/>
      <c r="D816" s="388"/>
      <c r="E816" s="388"/>
      <c r="F816" s="388"/>
      <c r="G816" s="388"/>
      <c r="H816" s="388"/>
      <c r="I816" s="388"/>
      <c r="J816" s="642"/>
      <c r="K816" s="642"/>
      <c r="L816" s="642"/>
      <c r="M816" s="388"/>
      <c r="N816" s="388"/>
      <c r="O816" s="388"/>
      <c r="P816" s="388"/>
      <c r="Q816" s="388"/>
      <c r="R816" s="388"/>
      <c r="S816" s="388"/>
      <c r="T816" s="388"/>
      <c r="U816" s="388"/>
      <c r="V816" s="388"/>
      <c r="W816" s="388"/>
      <c r="X816" s="388"/>
      <c r="Y816" s="388"/>
      <c r="Z816" s="388"/>
      <c r="AA816" s="388"/>
      <c r="AB816" s="388"/>
      <c r="AC816" s="388"/>
    </row>
    <row r="817">
      <c r="A817" s="388"/>
      <c r="B817" s="388"/>
      <c r="C817" s="388"/>
      <c r="D817" s="388"/>
      <c r="E817" s="388"/>
      <c r="F817" s="388"/>
      <c r="G817" s="388"/>
      <c r="H817" s="388"/>
      <c r="I817" s="388"/>
      <c r="J817" s="642"/>
      <c r="K817" s="642"/>
      <c r="L817" s="642"/>
      <c r="M817" s="388"/>
      <c r="N817" s="388"/>
      <c r="O817" s="388"/>
      <c r="P817" s="388"/>
      <c r="Q817" s="388"/>
      <c r="R817" s="388"/>
      <c r="S817" s="388"/>
      <c r="T817" s="388"/>
      <c r="U817" s="388"/>
      <c r="V817" s="388"/>
      <c r="W817" s="388"/>
      <c r="X817" s="388"/>
      <c r="Y817" s="388"/>
      <c r="Z817" s="388"/>
      <c r="AA817" s="388"/>
      <c r="AB817" s="388"/>
      <c r="AC817" s="388"/>
    </row>
    <row r="818">
      <c r="A818" s="388"/>
      <c r="B818" s="388"/>
      <c r="C818" s="388"/>
      <c r="D818" s="388"/>
      <c r="E818" s="388"/>
      <c r="F818" s="388"/>
      <c r="G818" s="388"/>
      <c r="H818" s="388"/>
      <c r="I818" s="388"/>
      <c r="J818" s="642"/>
      <c r="K818" s="642"/>
      <c r="L818" s="642"/>
      <c r="M818" s="388"/>
      <c r="N818" s="388"/>
      <c r="O818" s="388"/>
      <c r="P818" s="388"/>
      <c r="Q818" s="388"/>
      <c r="R818" s="388"/>
      <c r="S818" s="388"/>
      <c r="T818" s="388"/>
      <c r="U818" s="388"/>
      <c r="V818" s="388"/>
      <c r="W818" s="388"/>
      <c r="X818" s="388"/>
      <c r="Y818" s="388"/>
      <c r="Z818" s="388"/>
      <c r="AA818" s="388"/>
      <c r="AB818" s="388"/>
      <c r="AC818" s="388"/>
    </row>
    <row r="819">
      <c r="A819" s="388"/>
      <c r="B819" s="388"/>
      <c r="C819" s="388"/>
      <c r="D819" s="388"/>
      <c r="E819" s="388"/>
      <c r="F819" s="388"/>
      <c r="G819" s="388"/>
      <c r="H819" s="388"/>
      <c r="I819" s="388"/>
      <c r="J819" s="642"/>
      <c r="K819" s="642"/>
      <c r="L819" s="642"/>
      <c r="M819" s="388"/>
      <c r="N819" s="388"/>
      <c r="O819" s="388"/>
      <c r="P819" s="388"/>
      <c r="Q819" s="388"/>
      <c r="R819" s="388"/>
      <c r="S819" s="388"/>
      <c r="T819" s="388"/>
      <c r="U819" s="388"/>
      <c r="V819" s="388"/>
      <c r="W819" s="388"/>
      <c r="X819" s="388"/>
      <c r="Y819" s="388"/>
      <c r="Z819" s="388"/>
      <c r="AA819" s="388"/>
      <c r="AB819" s="388"/>
      <c r="AC819" s="388"/>
    </row>
    <row r="820">
      <c r="A820" s="388"/>
      <c r="B820" s="388"/>
      <c r="C820" s="388"/>
      <c r="D820" s="388"/>
      <c r="E820" s="388"/>
      <c r="F820" s="388"/>
      <c r="G820" s="388"/>
      <c r="H820" s="388"/>
      <c r="I820" s="388"/>
      <c r="J820" s="642"/>
      <c r="K820" s="642"/>
      <c r="L820" s="642"/>
      <c r="M820" s="388"/>
      <c r="N820" s="388"/>
      <c r="O820" s="388"/>
      <c r="P820" s="388"/>
      <c r="Q820" s="388"/>
      <c r="R820" s="388"/>
      <c r="S820" s="388"/>
      <c r="T820" s="388"/>
      <c r="U820" s="388"/>
      <c r="V820" s="388"/>
      <c r="W820" s="388"/>
      <c r="X820" s="388"/>
      <c r="Y820" s="388"/>
      <c r="Z820" s="388"/>
      <c r="AA820" s="388"/>
      <c r="AB820" s="388"/>
      <c r="AC820" s="388"/>
    </row>
    <row r="821">
      <c r="A821" s="388"/>
      <c r="B821" s="388"/>
      <c r="C821" s="388"/>
      <c r="D821" s="388"/>
      <c r="E821" s="388"/>
      <c r="F821" s="388"/>
      <c r="G821" s="388"/>
      <c r="H821" s="388"/>
      <c r="I821" s="388"/>
      <c r="J821" s="642"/>
      <c r="K821" s="642"/>
      <c r="L821" s="642"/>
      <c r="M821" s="388"/>
      <c r="N821" s="388"/>
      <c r="O821" s="388"/>
      <c r="P821" s="388"/>
      <c r="Q821" s="388"/>
      <c r="R821" s="388"/>
      <c r="S821" s="388"/>
      <c r="T821" s="388"/>
      <c r="U821" s="388"/>
      <c r="V821" s="388"/>
      <c r="W821" s="388"/>
      <c r="X821" s="388"/>
      <c r="Y821" s="388"/>
      <c r="Z821" s="388"/>
      <c r="AA821" s="388"/>
      <c r="AB821" s="388"/>
      <c r="AC821" s="388"/>
    </row>
    <row r="822">
      <c r="A822" s="388"/>
      <c r="B822" s="388"/>
      <c r="C822" s="388"/>
      <c r="D822" s="388"/>
      <c r="E822" s="388"/>
      <c r="F822" s="388"/>
      <c r="G822" s="388"/>
      <c r="H822" s="388"/>
      <c r="I822" s="388"/>
      <c r="J822" s="642"/>
      <c r="K822" s="642"/>
      <c r="L822" s="642"/>
      <c r="M822" s="388"/>
      <c r="N822" s="388"/>
      <c r="O822" s="388"/>
      <c r="P822" s="388"/>
      <c r="Q822" s="388"/>
      <c r="R822" s="388"/>
      <c r="S822" s="388"/>
      <c r="T822" s="388"/>
      <c r="U822" s="388"/>
      <c r="V822" s="388"/>
      <c r="W822" s="388"/>
      <c r="X822" s="388"/>
      <c r="Y822" s="388"/>
      <c r="Z822" s="388"/>
      <c r="AA822" s="388"/>
      <c r="AB822" s="388"/>
      <c r="AC822" s="388"/>
    </row>
    <row r="823">
      <c r="A823" s="388"/>
      <c r="B823" s="388"/>
      <c r="C823" s="388"/>
      <c r="D823" s="388"/>
      <c r="E823" s="388"/>
      <c r="F823" s="388"/>
      <c r="G823" s="388"/>
      <c r="H823" s="388"/>
      <c r="I823" s="388"/>
      <c r="J823" s="642"/>
      <c r="K823" s="642"/>
      <c r="L823" s="642"/>
      <c r="M823" s="388"/>
      <c r="N823" s="388"/>
      <c r="O823" s="388"/>
      <c r="P823" s="388"/>
      <c r="Q823" s="388"/>
      <c r="R823" s="388"/>
      <c r="S823" s="388"/>
      <c r="T823" s="388"/>
      <c r="U823" s="388"/>
      <c r="V823" s="388"/>
      <c r="W823" s="388"/>
      <c r="X823" s="388"/>
      <c r="Y823" s="388"/>
      <c r="Z823" s="388"/>
      <c r="AA823" s="388"/>
      <c r="AB823" s="388"/>
      <c r="AC823" s="388"/>
    </row>
    <row r="824">
      <c r="A824" s="388"/>
      <c r="B824" s="388"/>
      <c r="C824" s="388"/>
      <c r="D824" s="388"/>
      <c r="E824" s="388"/>
      <c r="F824" s="388"/>
      <c r="G824" s="388"/>
      <c r="H824" s="388"/>
      <c r="I824" s="388"/>
      <c r="J824" s="642"/>
      <c r="K824" s="642"/>
      <c r="L824" s="642"/>
      <c r="M824" s="388"/>
      <c r="N824" s="388"/>
      <c r="O824" s="388"/>
      <c r="P824" s="388"/>
      <c r="Q824" s="388"/>
      <c r="R824" s="388"/>
      <c r="S824" s="388"/>
      <c r="T824" s="388"/>
      <c r="U824" s="388"/>
      <c r="V824" s="388"/>
      <c r="W824" s="388"/>
      <c r="X824" s="388"/>
      <c r="Y824" s="388"/>
      <c r="Z824" s="388"/>
      <c r="AA824" s="388"/>
      <c r="AB824" s="388"/>
      <c r="AC824" s="388"/>
    </row>
    <row r="825">
      <c r="A825" s="388"/>
      <c r="B825" s="388"/>
      <c r="C825" s="388"/>
      <c r="D825" s="388"/>
      <c r="E825" s="388"/>
      <c r="F825" s="388"/>
      <c r="G825" s="388"/>
      <c r="H825" s="388"/>
      <c r="I825" s="388"/>
      <c r="J825" s="642"/>
      <c r="K825" s="642"/>
      <c r="L825" s="642"/>
      <c r="M825" s="388"/>
      <c r="N825" s="388"/>
      <c r="O825" s="388"/>
      <c r="P825" s="388"/>
      <c r="Q825" s="388"/>
      <c r="R825" s="388"/>
      <c r="S825" s="388"/>
      <c r="T825" s="388"/>
      <c r="U825" s="388"/>
      <c r="V825" s="388"/>
      <c r="W825" s="388"/>
      <c r="X825" s="388"/>
      <c r="Y825" s="388"/>
      <c r="Z825" s="388"/>
      <c r="AA825" s="388"/>
      <c r="AB825" s="388"/>
      <c r="AC825" s="388"/>
    </row>
    <row r="826">
      <c r="A826" s="388"/>
      <c r="B826" s="388"/>
      <c r="C826" s="388"/>
      <c r="D826" s="388"/>
      <c r="E826" s="388"/>
      <c r="F826" s="388"/>
      <c r="G826" s="388"/>
      <c r="H826" s="388"/>
      <c r="I826" s="388"/>
      <c r="J826" s="642"/>
      <c r="K826" s="642"/>
      <c r="L826" s="642"/>
      <c r="M826" s="388"/>
      <c r="N826" s="388"/>
      <c r="O826" s="388"/>
      <c r="P826" s="388"/>
      <c r="Q826" s="388"/>
      <c r="R826" s="388"/>
      <c r="S826" s="388"/>
      <c r="T826" s="388"/>
      <c r="U826" s="388"/>
      <c r="V826" s="388"/>
      <c r="W826" s="388"/>
      <c r="X826" s="388"/>
      <c r="Y826" s="388"/>
      <c r="Z826" s="388"/>
      <c r="AA826" s="388"/>
      <c r="AB826" s="388"/>
      <c r="AC826" s="388"/>
    </row>
    <row r="827">
      <c r="A827" s="388"/>
      <c r="B827" s="388"/>
      <c r="C827" s="388"/>
      <c r="D827" s="388"/>
      <c r="E827" s="388"/>
      <c r="F827" s="388"/>
      <c r="G827" s="388"/>
      <c r="H827" s="388"/>
      <c r="I827" s="388"/>
      <c r="J827" s="642"/>
      <c r="K827" s="642"/>
      <c r="L827" s="642"/>
      <c r="M827" s="388"/>
      <c r="N827" s="388"/>
      <c r="O827" s="388"/>
      <c r="P827" s="388"/>
      <c r="Q827" s="388"/>
      <c r="R827" s="388"/>
      <c r="S827" s="388"/>
      <c r="T827" s="388"/>
      <c r="U827" s="388"/>
      <c r="V827" s="388"/>
      <c r="W827" s="388"/>
      <c r="X827" s="388"/>
      <c r="Y827" s="388"/>
      <c r="Z827" s="388"/>
      <c r="AA827" s="388"/>
      <c r="AB827" s="388"/>
      <c r="AC827" s="388"/>
    </row>
    <row r="828">
      <c r="A828" s="388"/>
      <c r="B828" s="388"/>
      <c r="C828" s="388"/>
      <c r="D828" s="388"/>
      <c r="E828" s="388"/>
      <c r="F828" s="388"/>
      <c r="G828" s="388"/>
      <c r="H828" s="388"/>
      <c r="I828" s="388"/>
      <c r="J828" s="642"/>
      <c r="K828" s="642"/>
      <c r="L828" s="642"/>
      <c r="M828" s="388"/>
      <c r="N828" s="388"/>
      <c r="O828" s="388"/>
      <c r="P828" s="388"/>
      <c r="Q828" s="388"/>
      <c r="R828" s="388"/>
      <c r="S828" s="388"/>
      <c r="T828" s="388"/>
      <c r="U828" s="388"/>
      <c r="V828" s="388"/>
      <c r="W828" s="388"/>
      <c r="X828" s="388"/>
      <c r="Y828" s="388"/>
      <c r="Z828" s="388"/>
      <c r="AA828" s="388"/>
      <c r="AB828" s="388"/>
      <c r="AC828" s="388"/>
    </row>
    <row r="829">
      <c r="A829" s="388"/>
      <c r="B829" s="388"/>
      <c r="C829" s="388"/>
      <c r="D829" s="388"/>
      <c r="E829" s="388"/>
      <c r="F829" s="388"/>
      <c r="G829" s="388"/>
      <c r="H829" s="388"/>
      <c r="I829" s="388"/>
      <c r="J829" s="642"/>
      <c r="K829" s="642"/>
      <c r="L829" s="642"/>
      <c r="M829" s="388"/>
      <c r="N829" s="388"/>
      <c r="O829" s="388"/>
      <c r="P829" s="388"/>
      <c r="Q829" s="388"/>
      <c r="R829" s="388"/>
      <c r="S829" s="388"/>
      <c r="T829" s="388"/>
      <c r="U829" s="388"/>
      <c r="V829" s="388"/>
      <c r="W829" s="388"/>
      <c r="X829" s="388"/>
      <c r="Y829" s="388"/>
      <c r="Z829" s="388"/>
      <c r="AA829" s="388"/>
      <c r="AB829" s="388"/>
      <c r="AC829" s="388"/>
    </row>
    <row r="830">
      <c r="A830" s="388"/>
      <c r="B830" s="388"/>
      <c r="C830" s="388"/>
      <c r="D830" s="388"/>
      <c r="E830" s="388"/>
      <c r="F830" s="388"/>
      <c r="G830" s="388"/>
      <c r="H830" s="388"/>
      <c r="I830" s="388"/>
      <c r="J830" s="642"/>
      <c r="K830" s="642"/>
      <c r="L830" s="642"/>
      <c r="M830" s="388"/>
      <c r="N830" s="388"/>
      <c r="O830" s="388"/>
      <c r="P830" s="388"/>
      <c r="Q830" s="388"/>
      <c r="R830" s="388"/>
      <c r="S830" s="388"/>
      <c r="T830" s="388"/>
      <c r="U830" s="388"/>
      <c r="V830" s="388"/>
      <c r="W830" s="388"/>
      <c r="X830" s="388"/>
      <c r="Y830" s="388"/>
      <c r="Z830" s="388"/>
      <c r="AA830" s="388"/>
      <c r="AB830" s="388"/>
      <c r="AC830" s="388"/>
    </row>
    <row r="831">
      <c r="A831" s="388"/>
      <c r="B831" s="388"/>
      <c r="C831" s="388"/>
      <c r="D831" s="388"/>
      <c r="E831" s="388"/>
      <c r="F831" s="388"/>
      <c r="G831" s="388"/>
      <c r="H831" s="388"/>
      <c r="I831" s="388"/>
      <c r="J831" s="642"/>
      <c r="K831" s="642"/>
      <c r="L831" s="642"/>
      <c r="M831" s="388"/>
      <c r="N831" s="388"/>
      <c r="O831" s="388"/>
      <c r="P831" s="388"/>
      <c r="Q831" s="388"/>
      <c r="R831" s="388"/>
      <c r="S831" s="388"/>
      <c r="T831" s="388"/>
      <c r="U831" s="388"/>
      <c r="V831" s="388"/>
      <c r="W831" s="388"/>
      <c r="X831" s="388"/>
      <c r="Y831" s="388"/>
      <c r="Z831" s="388"/>
      <c r="AA831" s="388"/>
      <c r="AB831" s="388"/>
      <c r="AC831" s="388"/>
    </row>
    <row r="832">
      <c r="A832" s="388"/>
      <c r="B832" s="388"/>
      <c r="C832" s="388"/>
      <c r="D832" s="388"/>
      <c r="E832" s="388"/>
      <c r="F832" s="388"/>
      <c r="G832" s="388"/>
      <c r="H832" s="388"/>
      <c r="I832" s="388"/>
      <c r="J832" s="642"/>
      <c r="K832" s="642"/>
      <c r="L832" s="642"/>
      <c r="M832" s="388"/>
      <c r="N832" s="388"/>
      <c r="O832" s="388"/>
      <c r="P832" s="388"/>
      <c r="Q832" s="388"/>
      <c r="R832" s="388"/>
      <c r="S832" s="388"/>
      <c r="T832" s="388"/>
      <c r="U832" s="388"/>
      <c r="V832" s="388"/>
      <c r="W832" s="388"/>
      <c r="X832" s="388"/>
      <c r="Y832" s="388"/>
      <c r="Z832" s="388"/>
      <c r="AA832" s="388"/>
      <c r="AB832" s="388"/>
      <c r="AC832" s="388"/>
    </row>
    <row r="833">
      <c r="A833" s="388"/>
      <c r="B833" s="388"/>
      <c r="C833" s="388"/>
      <c r="D833" s="388"/>
      <c r="E833" s="388"/>
      <c r="F833" s="388"/>
      <c r="G833" s="388"/>
      <c r="H833" s="388"/>
      <c r="I833" s="388"/>
      <c r="J833" s="642"/>
      <c r="K833" s="642"/>
      <c r="L833" s="642"/>
      <c r="M833" s="388"/>
      <c r="N833" s="388"/>
      <c r="O833" s="388"/>
      <c r="P833" s="388"/>
      <c r="Q833" s="388"/>
      <c r="R833" s="388"/>
      <c r="S833" s="388"/>
      <c r="T833" s="388"/>
      <c r="U833" s="388"/>
      <c r="V833" s="388"/>
      <c r="W833" s="388"/>
      <c r="X833" s="388"/>
      <c r="Y833" s="388"/>
      <c r="Z833" s="388"/>
      <c r="AA833" s="388"/>
      <c r="AB833" s="388"/>
      <c r="AC833" s="388"/>
    </row>
    <row r="834">
      <c r="A834" s="388"/>
      <c r="B834" s="388"/>
      <c r="C834" s="388"/>
      <c r="D834" s="388"/>
      <c r="E834" s="388"/>
      <c r="F834" s="388"/>
      <c r="G834" s="388"/>
      <c r="H834" s="388"/>
      <c r="I834" s="388"/>
      <c r="J834" s="642"/>
      <c r="K834" s="642"/>
      <c r="L834" s="642"/>
      <c r="M834" s="388"/>
      <c r="N834" s="388"/>
      <c r="O834" s="388"/>
      <c r="P834" s="388"/>
      <c r="Q834" s="388"/>
      <c r="R834" s="388"/>
      <c r="S834" s="388"/>
      <c r="T834" s="388"/>
      <c r="U834" s="388"/>
      <c r="V834" s="388"/>
      <c r="W834" s="388"/>
      <c r="X834" s="388"/>
      <c r="Y834" s="388"/>
      <c r="Z834" s="388"/>
      <c r="AA834" s="388"/>
      <c r="AB834" s="388"/>
      <c r="AC834" s="388"/>
    </row>
    <row r="835">
      <c r="A835" s="388"/>
      <c r="B835" s="388"/>
      <c r="C835" s="388"/>
      <c r="D835" s="388"/>
      <c r="E835" s="388"/>
      <c r="F835" s="388"/>
      <c r="G835" s="388"/>
      <c r="H835" s="388"/>
      <c r="I835" s="388"/>
      <c r="J835" s="642"/>
      <c r="K835" s="642"/>
      <c r="L835" s="642"/>
      <c r="M835" s="388"/>
      <c r="N835" s="388"/>
      <c r="O835" s="388"/>
      <c r="P835" s="388"/>
      <c r="Q835" s="388"/>
      <c r="R835" s="388"/>
      <c r="S835" s="388"/>
      <c r="T835" s="388"/>
      <c r="U835" s="388"/>
      <c r="V835" s="388"/>
      <c r="W835" s="388"/>
      <c r="X835" s="388"/>
      <c r="Y835" s="388"/>
      <c r="Z835" s="388"/>
      <c r="AA835" s="388"/>
      <c r="AB835" s="388"/>
      <c r="AC835" s="388"/>
    </row>
    <row r="836">
      <c r="A836" s="388"/>
      <c r="B836" s="388"/>
      <c r="C836" s="388"/>
      <c r="D836" s="388"/>
      <c r="E836" s="388"/>
      <c r="F836" s="388"/>
      <c r="G836" s="388"/>
      <c r="H836" s="388"/>
      <c r="I836" s="388"/>
      <c r="J836" s="642"/>
      <c r="K836" s="642"/>
      <c r="L836" s="642"/>
      <c r="M836" s="388"/>
      <c r="N836" s="388"/>
      <c r="O836" s="388"/>
      <c r="P836" s="388"/>
      <c r="Q836" s="388"/>
      <c r="R836" s="388"/>
      <c r="S836" s="388"/>
      <c r="T836" s="388"/>
      <c r="U836" s="388"/>
      <c r="V836" s="388"/>
      <c r="W836" s="388"/>
      <c r="X836" s="388"/>
      <c r="Y836" s="388"/>
      <c r="Z836" s="388"/>
      <c r="AA836" s="388"/>
      <c r="AB836" s="388"/>
      <c r="AC836" s="388"/>
    </row>
    <row r="837">
      <c r="A837" s="388"/>
      <c r="B837" s="388"/>
      <c r="C837" s="388"/>
      <c r="D837" s="388"/>
      <c r="E837" s="388"/>
      <c r="F837" s="388"/>
      <c r="G837" s="388"/>
      <c r="H837" s="388"/>
      <c r="I837" s="388"/>
      <c r="J837" s="642"/>
      <c r="K837" s="642"/>
      <c r="L837" s="642"/>
      <c r="M837" s="388"/>
      <c r="N837" s="388"/>
      <c r="O837" s="388"/>
      <c r="P837" s="388"/>
      <c r="Q837" s="388"/>
      <c r="R837" s="388"/>
      <c r="S837" s="388"/>
      <c r="T837" s="388"/>
      <c r="U837" s="388"/>
      <c r="V837" s="388"/>
      <c r="W837" s="388"/>
      <c r="X837" s="388"/>
      <c r="Y837" s="388"/>
      <c r="Z837" s="388"/>
      <c r="AA837" s="388"/>
      <c r="AB837" s="388"/>
      <c r="AC837" s="388"/>
    </row>
    <row r="838">
      <c r="A838" s="388"/>
      <c r="B838" s="388"/>
      <c r="C838" s="388"/>
      <c r="D838" s="388"/>
      <c r="E838" s="388"/>
      <c r="F838" s="388"/>
      <c r="G838" s="388"/>
      <c r="H838" s="388"/>
      <c r="I838" s="388"/>
      <c r="J838" s="642"/>
      <c r="K838" s="642"/>
      <c r="L838" s="642"/>
      <c r="M838" s="388"/>
      <c r="N838" s="388"/>
      <c r="O838" s="388"/>
      <c r="P838" s="388"/>
      <c r="Q838" s="388"/>
      <c r="R838" s="388"/>
      <c r="S838" s="388"/>
      <c r="T838" s="388"/>
      <c r="U838" s="388"/>
      <c r="V838" s="388"/>
      <c r="W838" s="388"/>
      <c r="X838" s="388"/>
      <c r="Y838" s="388"/>
      <c r="Z838" s="388"/>
      <c r="AA838" s="388"/>
      <c r="AB838" s="388"/>
      <c r="AC838" s="388"/>
    </row>
    <row r="839">
      <c r="A839" s="388"/>
      <c r="B839" s="388"/>
      <c r="C839" s="388"/>
      <c r="D839" s="388"/>
      <c r="E839" s="388"/>
      <c r="F839" s="388"/>
      <c r="G839" s="388"/>
      <c r="H839" s="388"/>
      <c r="I839" s="388"/>
      <c r="J839" s="642"/>
      <c r="K839" s="642"/>
      <c r="L839" s="642"/>
      <c r="M839" s="388"/>
      <c r="N839" s="388"/>
      <c r="O839" s="388"/>
      <c r="P839" s="388"/>
      <c r="Q839" s="388"/>
      <c r="R839" s="388"/>
      <c r="S839" s="388"/>
      <c r="T839" s="388"/>
      <c r="U839" s="388"/>
      <c r="V839" s="388"/>
      <c r="W839" s="388"/>
      <c r="X839" s="388"/>
      <c r="Y839" s="388"/>
      <c r="Z839" s="388"/>
      <c r="AA839" s="388"/>
      <c r="AB839" s="388"/>
      <c r="AC839" s="388"/>
    </row>
    <row r="840">
      <c r="A840" s="388"/>
      <c r="B840" s="388"/>
      <c r="C840" s="388"/>
      <c r="D840" s="388"/>
      <c r="E840" s="388"/>
      <c r="F840" s="388"/>
      <c r="G840" s="388"/>
      <c r="H840" s="388"/>
      <c r="I840" s="388"/>
      <c r="J840" s="642"/>
      <c r="K840" s="642"/>
      <c r="L840" s="642"/>
      <c r="M840" s="388"/>
      <c r="N840" s="388"/>
      <c r="O840" s="388"/>
      <c r="P840" s="388"/>
      <c r="Q840" s="388"/>
      <c r="R840" s="388"/>
      <c r="S840" s="388"/>
      <c r="T840" s="388"/>
      <c r="U840" s="388"/>
      <c r="V840" s="388"/>
      <c r="W840" s="388"/>
      <c r="X840" s="388"/>
      <c r="Y840" s="388"/>
      <c r="Z840" s="388"/>
      <c r="AA840" s="388"/>
      <c r="AB840" s="388"/>
      <c r="AC840" s="388"/>
    </row>
    <row r="841">
      <c r="A841" s="388"/>
      <c r="B841" s="388"/>
      <c r="C841" s="388"/>
      <c r="D841" s="388"/>
      <c r="E841" s="388"/>
      <c r="F841" s="388"/>
      <c r="G841" s="388"/>
      <c r="H841" s="388"/>
      <c r="I841" s="388"/>
      <c r="J841" s="642"/>
      <c r="K841" s="642"/>
      <c r="L841" s="642"/>
      <c r="M841" s="388"/>
      <c r="N841" s="388"/>
      <c r="O841" s="388"/>
      <c r="P841" s="388"/>
      <c r="Q841" s="388"/>
      <c r="R841" s="388"/>
      <c r="S841" s="388"/>
      <c r="T841" s="388"/>
      <c r="U841" s="388"/>
      <c r="V841" s="388"/>
      <c r="W841" s="388"/>
      <c r="X841" s="388"/>
      <c r="Y841" s="388"/>
      <c r="Z841" s="388"/>
      <c r="AA841" s="388"/>
      <c r="AB841" s="388"/>
      <c r="AC841" s="388"/>
    </row>
    <row r="842">
      <c r="A842" s="388"/>
      <c r="B842" s="388"/>
      <c r="C842" s="388"/>
      <c r="D842" s="388"/>
      <c r="E842" s="388"/>
      <c r="F842" s="388"/>
      <c r="G842" s="388"/>
      <c r="H842" s="388"/>
      <c r="I842" s="388"/>
      <c r="J842" s="642"/>
      <c r="K842" s="642"/>
      <c r="L842" s="642"/>
      <c r="M842" s="388"/>
      <c r="N842" s="388"/>
      <c r="O842" s="388"/>
      <c r="P842" s="388"/>
      <c r="Q842" s="388"/>
      <c r="R842" s="388"/>
      <c r="S842" s="388"/>
      <c r="T842" s="388"/>
      <c r="U842" s="388"/>
      <c r="V842" s="388"/>
      <c r="W842" s="388"/>
      <c r="X842" s="388"/>
      <c r="Y842" s="388"/>
      <c r="Z842" s="388"/>
      <c r="AA842" s="388"/>
      <c r="AB842" s="388"/>
      <c r="AC842" s="388"/>
    </row>
    <row r="843">
      <c r="A843" s="388"/>
      <c r="B843" s="388"/>
      <c r="C843" s="388"/>
      <c r="D843" s="388"/>
      <c r="E843" s="388"/>
      <c r="F843" s="388"/>
      <c r="G843" s="388"/>
      <c r="H843" s="388"/>
      <c r="I843" s="388"/>
      <c r="J843" s="642"/>
      <c r="K843" s="642"/>
      <c r="L843" s="642"/>
      <c r="M843" s="388"/>
      <c r="N843" s="388"/>
      <c r="O843" s="388"/>
      <c r="P843" s="388"/>
      <c r="Q843" s="388"/>
      <c r="R843" s="388"/>
      <c r="S843" s="388"/>
      <c r="T843" s="388"/>
      <c r="U843" s="388"/>
      <c r="V843" s="388"/>
      <c r="W843" s="388"/>
      <c r="X843" s="388"/>
      <c r="Y843" s="388"/>
      <c r="Z843" s="388"/>
      <c r="AA843" s="388"/>
      <c r="AB843" s="388"/>
      <c r="AC843" s="388"/>
    </row>
    <row r="844">
      <c r="A844" s="388"/>
      <c r="B844" s="388"/>
      <c r="C844" s="388"/>
      <c r="D844" s="388"/>
      <c r="E844" s="388"/>
      <c r="F844" s="388"/>
      <c r="G844" s="388"/>
      <c r="H844" s="388"/>
      <c r="I844" s="388"/>
      <c r="J844" s="642"/>
      <c r="K844" s="642"/>
      <c r="L844" s="642"/>
      <c r="M844" s="388"/>
      <c r="N844" s="388"/>
      <c r="O844" s="388"/>
      <c r="P844" s="388"/>
      <c r="Q844" s="388"/>
      <c r="R844" s="388"/>
      <c r="S844" s="388"/>
      <c r="T844" s="388"/>
      <c r="U844" s="388"/>
      <c r="V844" s="388"/>
      <c r="W844" s="388"/>
      <c r="X844" s="388"/>
      <c r="Y844" s="388"/>
      <c r="Z844" s="388"/>
      <c r="AA844" s="388"/>
      <c r="AB844" s="388"/>
      <c r="AC844" s="388"/>
    </row>
    <row r="845">
      <c r="A845" s="388"/>
      <c r="B845" s="388"/>
      <c r="C845" s="388"/>
      <c r="D845" s="388"/>
      <c r="E845" s="388"/>
      <c r="F845" s="388"/>
      <c r="G845" s="388"/>
      <c r="H845" s="388"/>
      <c r="I845" s="388"/>
      <c r="J845" s="642"/>
      <c r="K845" s="642"/>
      <c r="L845" s="642"/>
      <c r="M845" s="388"/>
      <c r="N845" s="388"/>
      <c r="O845" s="388"/>
      <c r="P845" s="388"/>
      <c r="Q845" s="388"/>
      <c r="R845" s="388"/>
      <c r="S845" s="388"/>
      <c r="T845" s="388"/>
      <c r="U845" s="388"/>
      <c r="V845" s="388"/>
      <c r="W845" s="388"/>
      <c r="X845" s="388"/>
      <c r="Y845" s="388"/>
      <c r="Z845" s="388"/>
      <c r="AA845" s="388"/>
      <c r="AB845" s="388"/>
      <c r="AC845" s="388"/>
    </row>
    <row r="846">
      <c r="A846" s="388"/>
      <c r="B846" s="388"/>
      <c r="C846" s="388"/>
      <c r="D846" s="388"/>
      <c r="E846" s="388"/>
      <c r="F846" s="388"/>
      <c r="G846" s="388"/>
      <c r="H846" s="388"/>
      <c r="I846" s="388"/>
      <c r="J846" s="642"/>
      <c r="K846" s="642"/>
      <c r="L846" s="642"/>
      <c r="M846" s="388"/>
      <c r="N846" s="388"/>
      <c r="O846" s="388"/>
      <c r="P846" s="388"/>
      <c r="Q846" s="388"/>
      <c r="R846" s="388"/>
      <c r="S846" s="388"/>
      <c r="T846" s="388"/>
      <c r="U846" s="388"/>
      <c r="V846" s="388"/>
      <c r="W846" s="388"/>
      <c r="X846" s="388"/>
      <c r="Y846" s="388"/>
      <c r="Z846" s="388"/>
      <c r="AA846" s="388"/>
      <c r="AB846" s="388"/>
      <c r="AC846" s="388"/>
    </row>
    <row r="847">
      <c r="A847" s="388"/>
      <c r="B847" s="388"/>
      <c r="C847" s="388"/>
      <c r="D847" s="388"/>
      <c r="E847" s="388"/>
      <c r="F847" s="388"/>
      <c r="G847" s="388"/>
      <c r="H847" s="388"/>
      <c r="I847" s="388"/>
      <c r="J847" s="642"/>
      <c r="K847" s="642"/>
      <c r="L847" s="642"/>
      <c r="M847" s="388"/>
      <c r="N847" s="388"/>
      <c r="O847" s="388"/>
      <c r="P847" s="388"/>
      <c r="Q847" s="388"/>
      <c r="R847" s="388"/>
      <c r="S847" s="388"/>
      <c r="T847" s="388"/>
      <c r="U847" s="388"/>
      <c r="V847" s="388"/>
      <c r="W847" s="388"/>
      <c r="X847" s="388"/>
      <c r="Y847" s="388"/>
      <c r="Z847" s="388"/>
      <c r="AA847" s="388"/>
      <c r="AB847" s="388"/>
      <c r="AC847" s="388"/>
    </row>
    <row r="848">
      <c r="A848" s="388"/>
      <c r="B848" s="388"/>
      <c r="C848" s="388"/>
      <c r="D848" s="388"/>
      <c r="E848" s="388"/>
      <c r="F848" s="388"/>
      <c r="G848" s="388"/>
      <c r="H848" s="388"/>
      <c r="I848" s="388"/>
      <c r="J848" s="642"/>
      <c r="K848" s="642"/>
      <c r="L848" s="642"/>
      <c r="M848" s="388"/>
      <c r="N848" s="388"/>
      <c r="O848" s="388"/>
      <c r="P848" s="388"/>
      <c r="Q848" s="388"/>
      <c r="R848" s="388"/>
      <c r="S848" s="388"/>
      <c r="T848" s="388"/>
      <c r="U848" s="388"/>
      <c r="V848" s="388"/>
      <c r="W848" s="388"/>
      <c r="X848" s="388"/>
      <c r="Y848" s="388"/>
      <c r="Z848" s="388"/>
      <c r="AA848" s="388"/>
      <c r="AB848" s="388"/>
      <c r="AC848" s="388"/>
    </row>
    <row r="849">
      <c r="A849" s="388"/>
      <c r="B849" s="388"/>
      <c r="C849" s="388"/>
      <c r="D849" s="388"/>
      <c r="E849" s="388"/>
      <c r="F849" s="388"/>
      <c r="G849" s="388"/>
      <c r="H849" s="388"/>
      <c r="I849" s="388"/>
      <c r="J849" s="642"/>
      <c r="K849" s="642"/>
      <c r="L849" s="642"/>
      <c r="M849" s="388"/>
      <c r="N849" s="388"/>
      <c r="O849" s="388"/>
      <c r="P849" s="388"/>
      <c r="Q849" s="388"/>
      <c r="R849" s="388"/>
      <c r="S849" s="388"/>
      <c r="T849" s="388"/>
      <c r="U849" s="388"/>
      <c r="V849" s="388"/>
      <c r="W849" s="388"/>
      <c r="X849" s="388"/>
      <c r="Y849" s="388"/>
      <c r="Z849" s="388"/>
      <c r="AA849" s="388"/>
      <c r="AB849" s="388"/>
      <c r="AC849" s="388"/>
    </row>
    <row r="850">
      <c r="A850" s="388"/>
      <c r="B850" s="388"/>
      <c r="C850" s="388"/>
      <c r="D850" s="388"/>
      <c r="E850" s="388"/>
      <c r="F850" s="388"/>
      <c r="G850" s="388"/>
      <c r="H850" s="388"/>
      <c r="I850" s="388"/>
      <c r="J850" s="642"/>
      <c r="K850" s="642"/>
      <c r="L850" s="642"/>
      <c r="M850" s="388"/>
      <c r="N850" s="388"/>
      <c r="O850" s="388"/>
      <c r="P850" s="388"/>
      <c r="Q850" s="388"/>
      <c r="R850" s="388"/>
      <c r="S850" s="388"/>
      <c r="T850" s="388"/>
      <c r="U850" s="388"/>
      <c r="V850" s="388"/>
      <c r="W850" s="388"/>
      <c r="X850" s="388"/>
      <c r="Y850" s="388"/>
      <c r="Z850" s="388"/>
      <c r="AA850" s="388"/>
      <c r="AB850" s="388"/>
      <c r="AC850" s="388"/>
    </row>
    <row r="851">
      <c r="A851" s="388"/>
      <c r="B851" s="388"/>
      <c r="C851" s="388"/>
      <c r="D851" s="388"/>
      <c r="E851" s="388"/>
      <c r="F851" s="388"/>
      <c r="G851" s="388"/>
      <c r="H851" s="388"/>
      <c r="I851" s="388"/>
      <c r="J851" s="642"/>
      <c r="K851" s="642"/>
      <c r="L851" s="642"/>
      <c r="M851" s="388"/>
      <c r="N851" s="388"/>
      <c r="O851" s="388"/>
      <c r="P851" s="388"/>
      <c r="Q851" s="388"/>
      <c r="R851" s="388"/>
      <c r="S851" s="388"/>
      <c r="T851" s="388"/>
      <c r="U851" s="388"/>
      <c r="V851" s="388"/>
      <c r="W851" s="388"/>
      <c r="X851" s="388"/>
      <c r="Y851" s="388"/>
      <c r="Z851" s="388"/>
      <c r="AA851" s="388"/>
      <c r="AB851" s="388"/>
      <c r="AC851" s="388"/>
    </row>
    <row r="852">
      <c r="A852" s="388"/>
      <c r="B852" s="388"/>
      <c r="C852" s="388"/>
      <c r="D852" s="388"/>
      <c r="E852" s="388"/>
      <c r="F852" s="388"/>
      <c r="G852" s="388"/>
      <c r="H852" s="388"/>
      <c r="I852" s="388"/>
      <c r="J852" s="642"/>
      <c r="K852" s="642"/>
      <c r="L852" s="642"/>
      <c r="M852" s="388"/>
      <c r="N852" s="388"/>
      <c r="O852" s="388"/>
      <c r="P852" s="388"/>
      <c r="Q852" s="388"/>
      <c r="R852" s="388"/>
      <c r="S852" s="388"/>
      <c r="T852" s="388"/>
      <c r="U852" s="388"/>
      <c r="V852" s="388"/>
      <c r="W852" s="388"/>
      <c r="X852" s="388"/>
      <c r="Y852" s="388"/>
      <c r="Z852" s="388"/>
      <c r="AA852" s="388"/>
      <c r="AB852" s="388"/>
      <c r="AC852" s="388"/>
    </row>
    <row r="853">
      <c r="A853" s="388"/>
      <c r="B853" s="388"/>
      <c r="C853" s="388"/>
      <c r="D853" s="388"/>
      <c r="E853" s="388"/>
      <c r="F853" s="388"/>
      <c r="G853" s="388"/>
      <c r="H853" s="388"/>
      <c r="I853" s="388"/>
      <c r="J853" s="642"/>
      <c r="K853" s="642"/>
      <c r="L853" s="642"/>
      <c r="M853" s="388"/>
      <c r="N853" s="388"/>
      <c r="O853" s="388"/>
      <c r="P853" s="388"/>
      <c r="Q853" s="388"/>
      <c r="R853" s="388"/>
      <c r="S853" s="388"/>
      <c r="T853" s="388"/>
      <c r="U853" s="388"/>
      <c r="V853" s="388"/>
      <c r="W853" s="388"/>
      <c r="X853" s="388"/>
      <c r="Y853" s="388"/>
      <c r="Z853" s="388"/>
      <c r="AA853" s="388"/>
      <c r="AB853" s="388"/>
      <c r="AC853" s="388"/>
    </row>
    <row r="854">
      <c r="A854" s="388"/>
      <c r="B854" s="388"/>
      <c r="C854" s="388"/>
      <c r="D854" s="388"/>
      <c r="E854" s="388"/>
      <c r="F854" s="388"/>
      <c r="G854" s="388"/>
      <c r="H854" s="388"/>
      <c r="I854" s="388"/>
      <c r="J854" s="642"/>
      <c r="K854" s="642"/>
      <c r="L854" s="642"/>
      <c r="M854" s="388"/>
      <c r="N854" s="388"/>
      <c r="O854" s="388"/>
      <c r="P854" s="388"/>
      <c r="Q854" s="388"/>
      <c r="R854" s="388"/>
      <c r="S854" s="388"/>
      <c r="T854" s="388"/>
      <c r="U854" s="388"/>
      <c r="V854" s="388"/>
      <c r="W854" s="388"/>
      <c r="X854" s="388"/>
      <c r="Y854" s="388"/>
      <c r="Z854" s="388"/>
      <c r="AA854" s="388"/>
      <c r="AB854" s="388"/>
      <c r="AC854" s="388"/>
    </row>
    <row r="855">
      <c r="A855" s="388"/>
      <c r="B855" s="388"/>
      <c r="C855" s="388"/>
      <c r="D855" s="388"/>
      <c r="E855" s="388"/>
      <c r="F855" s="388"/>
      <c r="G855" s="388"/>
      <c r="H855" s="388"/>
      <c r="I855" s="388"/>
      <c r="J855" s="642"/>
      <c r="K855" s="642"/>
      <c r="L855" s="642"/>
      <c r="M855" s="388"/>
      <c r="N855" s="388"/>
      <c r="O855" s="388"/>
      <c r="P855" s="388"/>
      <c r="Q855" s="388"/>
      <c r="R855" s="388"/>
      <c r="S855" s="388"/>
      <c r="T855" s="388"/>
      <c r="U855" s="388"/>
      <c r="V855" s="388"/>
      <c r="W855" s="388"/>
      <c r="X855" s="388"/>
      <c r="Y855" s="388"/>
      <c r="Z855" s="388"/>
      <c r="AA855" s="388"/>
      <c r="AB855" s="388"/>
      <c r="AC855" s="388"/>
    </row>
    <row r="856">
      <c r="A856" s="388"/>
      <c r="B856" s="388"/>
      <c r="C856" s="388"/>
      <c r="D856" s="388"/>
      <c r="E856" s="388"/>
      <c r="F856" s="388"/>
      <c r="G856" s="388"/>
      <c r="H856" s="388"/>
      <c r="I856" s="388"/>
      <c r="J856" s="642"/>
      <c r="K856" s="642"/>
      <c r="L856" s="642"/>
      <c r="M856" s="388"/>
      <c r="N856" s="388"/>
      <c r="O856" s="388"/>
      <c r="P856" s="388"/>
      <c r="Q856" s="388"/>
      <c r="R856" s="388"/>
      <c r="S856" s="388"/>
      <c r="T856" s="388"/>
      <c r="U856" s="388"/>
      <c r="V856" s="388"/>
      <c r="W856" s="388"/>
      <c r="X856" s="388"/>
      <c r="Y856" s="388"/>
      <c r="Z856" s="388"/>
      <c r="AA856" s="388"/>
      <c r="AB856" s="388"/>
      <c r="AC856" s="388"/>
    </row>
    <row r="857">
      <c r="A857" s="388"/>
      <c r="B857" s="388"/>
      <c r="C857" s="388"/>
      <c r="D857" s="388"/>
      <c r="E857" s="388"/>
      <c r="F857" s="388"/>
      <c r="G857" s="388"/>
      <c r="H857" s="388"/>
      <c r="I857" s="388"/>
      <c r="J857" s="642"/>
      <c r="K857" s="642"/>
      <c r="L857" s="642"/>
      <c r="M857" s="388"/>
      <c r="N857" s="388"/>
      <c r="O857" s="388"/>
      <c r="P857" s="388"/>
      <c r="Q857" s="388"/>
      <c r="R857" s="388"/>
      <c r="S857" s="388"/>
      <c r="T857" s="388"/>
      <c r="U857" s="388"/>
      <c r="V857" s="388"/>
      <c r="W857" s="388"/>
      <c r="X857" s="388"/>
      <c r="Y857" s="388"/>
      <c r="Z857" s="388"/>
      <c r="AA857" s="388"/>
      <c r="AB857" s="388"/>
      <c r="AC857" s="388"/>
    </row>
    <row r="858">
      <c r="A858" s="388"/>
      <c r="B858" s="388"/>
      <c r="C858" s="388"/>
      <c r="D858" s="388"/>
      <c r="E858" s="388"/>
      <c r="F858" s="388"/>
      <c r="G858" s="388"/>
      <c r="H858" s="388"/>
      <c r="I858" s="388"/>
      <c r="J858" s="642"/>
      <c r="K858" s="642"/>
      <c r="L858" s="642"/>
      <c r="M858" s="388"/>
      <c r="N858" s="388"/>
      <c r="O858" s="388"/>
      <c r="P858" s="388"/>
      <c r="Q858" s="388"/>
      <c r="R858" s="388"/>
      <c r="S858" s="388"/>
      <c r="T858" s="388"/>
      <c r="U858" s="388"/>
      <c r="V858" s="388"/>
      <c r="W858" s="388"/>
      <c r="X858" s="388"/>
      <c r="Y858" s="388"/>
      <c r="Z858" s="388"/>
      <c r="AA858" s="388"/>
      <c r="AB858" s="388"/>
      <c r="AC858" s="388"/>
    </row>
    <row r="859">
      <c r="A859" s="388"/>
      <c r="B859" s="388"/>
      <c r="C859" s="388"/>
      <c r="D859" s="388"/>
      <c r="E859" s="388"/>
      <c r="F859" s="388"/>
      <c r="G859" s="388"/>
      <c r="H859" s="388"/>
      <c r="I859" s="388"/>
      <c r="J859" s="642"/>
      <c r="K859" s="642"/>
      <c r="L859" s="642"/>
      <c r="M859" s="388"/>
      <c r="N859" s="388"/>
      <c r="O859" s="388"/>
      <c r="P859" s="388"/>
      <c r="Q859" s="388"/>
      <c r="R859" s="388"/>
      <c r="S859" s="388"/>
      <c r="T859" s="388"/>
      <c r="U859" s="388"/>
      <c r="V859" s="388"/>
      <c r="W859" s="388"/>
      <c r="X859" s="388"/>
      <c r="Y859" s="388"/>
      <c r="Z859" s="388"/>
      <c r="AA859" s="388"/>
      <c r="AB859" s="388"/>
      <c r="AC859" s="388"/>
    </row>
    <row r="860">
      <c r="A860" s="388"/>
      <c r="B860" s="388"/>
      <c r="C860" s="388"/>
      <c r="D860" s="388"/>
      <c r="E860" s="388"/>
      <c r="F860" s="388"/>
      <c r="G860" s="388"/>
      <c r="H860" s="388"/>
      <c r="I860" s="388"/>
      <c r="J860" s="642"/>
      <c r="K860" s="642"/>
      <c r="L860" s="642"/>
      <c r="M860" s="388"/>
      <c r="N860" s="388"/>
      <c r="O860" s="388"/>
      <c r="P860" s="388"/>
      <c r="Q860" s="388"/>
      <c r="R860" s="388"/>
      <c r="S860" s="388"/>
      <c r="T860" s="388"/>
      <c r="U860" s="388"/>
      <c r="V860" s="388"/>
      <c r="W860" s="388"/>
      <c r="X860" s="388"/>
      <c r="Y860" s="388"/>
      <c r="Z860" s="388"/>
      <c r="AA860" s="388"/>
      <c r="AB860" s="388"/>
      <c r="AC860" s="388"/>
    </row>
    <row r="861">
      <c r="A861" s="388"/>
      <c r="B861" s="388"/>
      <c r="C861" s="388"/>
      <c r="D861" s="388"/>
      <c r="E861" s="388"/>
      <c r="F861" s="388"/>
      <c r="G861" s="388"/>
      <c r="H861" s="388"/>
      <c r="I861" s="388"/>
      <c r="J861" s="642"/>
      <c r="K861" s="642"/>
      <c r="L861" s="642"/>
      <c r="M861" s="388"/>
      <c r="N861" s="388"/>
      <c r="O861" s="388"/>
      <c r="P861" s="388"/>
      <c r="Q861" s="388"/>
      <c r="R861" s="388"/>
      <c r="S861" s="388"/>
      <c r="T861" s="388"/>
      <c r="U861" s="388"/>
      <c r="V861" s="388"/>
      <c r="W861" s="388"/>
      <c r="X861" s="388"/>
      <c r="Y861" s="388"/>
      <c r="Z861" s="388"/>
      <c r="AA861" s="388"/>
      <c r="AB861" s="388"/>
      <c r="AC861" s="388"/>
    </row>
    <row r="862">
      <c r="A862" s="388"/>
      <c r="B862" s="388"/>
      <c r="C862" s="388"/>
      <c r="D862" s="388"/>
      <c r="E862" s="388"/>
      <c r="F862" s="388"/>
      <c r="G862" s="388"/>
      <c r="H862" s="388"/>
      <c r="I862" s="388"/>
      <c r="J862" s="642"/>
      <c r="K862" s="642"/>
      <c r="L862" s="642"/>
      <c r="M862" s="388"/>
      <c r="N862" s="388"/>
      <c r="O862" s="388"/>
      <c r="P862" s="388"/>
      <c r="Q862" s="388"/>
      <c r="R862" s="388"/>
      <c r="S862" s="388"/>
      <c r="T862" s="388"/>
      <c r="U862" s="388"/>
      <c r="V862" s="388"/>
      <c r="W862" s="388"/>
      <c r="X862" s="388"/>
      <c r="Y862" s="388"/>
      <c r="Z862" s="388"/>
      <c r="AA862" s="388"/>
      <c r="AB862" s="388"/>
      <c r="AC862" s="388"/>
    </row>
    <row r="863">
      <c r="A863" s="388"/>
      <c r="B863" s="388"/>
      <c r="C863" s="388"/>
      <c r="D863" s="388"/>
      <c r="E863" s="388"/>
      <c r="F863" s="388"/>
      <c r="G863" s="388"/>
      <c r="H863" s="388"/>
      <c r="I863" s="388"/>
      <c r="J863" s="642"/>
      <c r="K863" s="642"/>
      <c r="L863" s="642"/>
      <c r="M863" s="388"/>
      <c r="N863" s="388"/>
      <c r="O863" s="388"/>
      <c r="P863" s="388"/>
      <c r="Q863" s="388"/>
      <c r="R863" s="388"/>
      <c r="S863" s="388"/>
      <c r="T863" s="388"/>
      <c r="U863" s="388"/>
      <c r="V863" s="388"/>
      <c r="W863" s="388"/>
      <c r="X863" s="388"/>
      <c r="Y863" s="388"/>
      <c r="Z863" s="388"/>
      <c r="AA863" s="388"/>
      <c r="AB863" s="388"/>
      <c r="AC863" s="388"/>
    </row>
    <row r="864">
      <c r="A864" s="388"/>
      <c r="B864" s="388"/>
      <c r="C864" s="388"/>
      <c r="D864" s="388"/>
      <c r="E864" s="388"/>
      <c r="F864" s="388"/>
      <c r="G864" s="388"/>
      <c r="H864" s="388"/>
      <c r="I864" s="388"/>
      <c r="J864" s="642"/>
      <c r="K864" s="642"/>
      <c r="L864" s="642"/>
      <c r="M864" s="388"/>
      <c r="N864" s="388"/>
      <c r="O864" s="388"/>
      <c r="P864" s="388"/>
      <c r="Q864" s="388"/>
      <c r="R864" s="388"/>
      <c r="S864" s="388"/>
      <c r="T864" s="388"/>
      <c r="U864" s="388"/>
      <c r="V864" s="388"/>
      <c r="W864" s="388"/>
      <c r="X864" s="388"/>
      <c r="Y864" s="388"/>
      <c r="Z864" s="388"/>
      <c r="AA864" s="388"/>
      <c r="AB864" s="388"/>
      <c r="AC864" s="388"/>
    </row>
    <row r="865">
      <c r="A865" s="388"/>
      <c r="B865" s="388"/>
      <c r="C865" s="388"/>
      <c r="D865" s="388"/>
      <c r="E865" s="388"/>
      <c r="F865" s="388"/>
      <c r="G865" s="388"/>
      <c r="H865" s="388"/>
      <c r="I865" s="388"/>
      <c r="J865" s="642"/>
      <c r="K865" s="642"/>
      <c r="L865" s="642"/>
      <c r="M865" s="388"/>
      <c r="N865" s="388"/>
      <c r="O865" s="388"/>
      <c r="P865" s="388"/>
      <c r="Q865" s="388"/>
      <c r="R865" s="388"/>
      <c r="S865" s="388"/>
      <c r="T865" s="388"/>
      <c r="U865" s="388"/>
      <c r="V865" s="388"/>
      <c r="W865" s="388"/>
      <c r="X865" s="388"/>
      <c r="Y865" s="388"/>
      <c r="Z865" s="388"/>
      <c r="AA865" s="388"/>
      <c r="AB865" s="388"/>
      <c r="AC865" s="388"/>
    </row>
    <row r="866">
      <c r="A866" s="388"/>
      <c r="B866" s="388"/>
      <c r="C866" s="388"/>
      <c r="D866" s="388"/>
      <c r="E866" s="388"/>
      <c r="F866" s="388"/>
      <c r="G866" s="388"/>
      <c r="H866" s="388"/>
      <c r="I866" s="388"/>
      <c r="J866" s="642"/>
      <c r="K866" s="642"/>
      <c r="L866" s="642"/>
      <c r="M866" s="388"/>
      <c r="N866" s="388"/>
      <c r="O866" s="388"/>
      <c r="P866" s="388"/>
      <c r="Q866" s="388"/>
      <c r="R866" s="388"/>
      <c r="S866" s="388"/>
      <c r="T866" s="388"/>
      <c r="U866" s="388"/>
      <c r="V866" s="388"/>
      <c r="W866" s="388"/>
      <c r="X866" s="388"/>
      <c r="Y866" s="388"/>
      <c r="Z866" s="388"/>
      <c r="AA866" s="388"/>
      <c r="AB866" s="388"/>
      <c r="AC866" s="388"/>
    </row>
    <row r="867">
      <c r="A867" s="388"/>
      <c r="B867" s="388"/>
      <c r="C867" s="388"/>
      <c r="D867" s="388"/>
      <c r="E867" s="388"/>
      <c r="F867" s="388"/>
      <c r="G867" s="388"/>
      <c r="H867" s="388"/>
      <c r="I867" s="388"/>
      <c r="J867" s="642"/>
      <c r="K867" s="642"/>
      <c r="L867" s="642"/>
      <c r="M867" s="388"/>
      <c r="N867" s="388"/>
      <c r="O867" s="388"/>
      <c r="P867" s="388"/>
      <c r="Q867" s="388"/>
      <c r="R867" s="388"/>
      <c r="S867" s="388"/>
      <c r="T867" s="388"/>
      <c r="U867" s="388"/>
      <c r="V867" s="388"/>
      <c r="W867" s="388"/>
      <c r="X867" s="388"/>
      <c r="Y867" s="388"/>
      <c r="Z867" s="388"/>
      <c r="AA867" s="388"/>
      <c r="AB867" s="388"/>
      <c r="AC867" s="388"/>
    </row>
    <row r="868">
      <c r="A868" s="388"/>
      <c r="B868" s="388"/>
      <c r="C868" s="388"/>
      <c r="D868" s="388"/>
      <c r="E868" s="388"/>
      <c r="F868" s="388"/>
      <c r="G868" s="388"/>
      <c r="H868" s="388"/>
      <c r="I868" s="388"/>
      <c r="J868" s="642"/>
      <c r="K868" s="642"/>
      <c r="L868" s="642"/>
      <c r="M868" s="388"/>
      <c r="N868" s="388"/>
      <c r="O868" s="388"/>
      <c r="P868" s="388"/>
      <c r="Q868" s="388"/>
      <c r="R868" s="388"/>
      <c r="S868" s="388"/>
      <c r="T868" s="388"/>
      <c r="U868" s="388"/>
      <c r="V868" s="388"/>
      <c r="W868" s="388"/>
      <c r="X868" s="388"/>
      <c r="Y868" s="388"/>
      <c r="Z868" s="388"/>
      <c r="AA868" s="388"/>
      <c r="AB868" s="388"/>
      <c r="AC868" s="388"/>
    </row>
    <row r="869">
      <c r="A869" s="388"/>
      <c r="B869" s="388"/>
      <c r="C869" s="388"/>
      <c r="D869" s="388"/>
      <c r="E869" s="388"/>
      <c r="F869" s="388"/>
      <c r="G869" s="388"/>
      <c r="H869" s="388"/>
      <c r="I869" s="388"/>
      <c r="J869" s="642"/>
      <c r="K869" s="642"/>
      <c r="L869" s="642"/>
      <c r="M869" s="388"/>
      <c r="N869" s="388"/>
      <c r="O869" s="388"/>
      <c r="P869" s="388"/>
      <c r="Q869" s="388"/>
      <c r="R869" s="388"/>
      <c r="S869" s="388"/>
      <c r="T869" s="388"/>
      <c r="U869" s="388"/>
      <c r="V869" s="388"/>
      <c r="W869" s="388"/>
      <c r="X869" s="388"/>
      <c r="Y869" s="388"/>
      <c r="Z869" s="388"/>
      <c r="AA869" s="388"/>
      <c r="AB869" s="388"/>
      <c r="AC869" s="388"/>
    </row>
    <row r="870">
      <c r="A870" s="388"/>
      <c r="B870" s="388"/>
      <c r="C870" s="388"/>
      <c r="D870" s="388"/>
      <c r="E870" s="388"/>
      <c r="F870" s="388"/>
      <c r="G870" s="388"/>
      <c r="H870" s="388"/>
      <c r="I870" s="388"/>
      <c r="J870" s="642"/>
      <c r="K870" s="642"/>
      <c r="L870" s="642"/>
      <c r="M870" s="388"/>
      <c r="N870" s="388"/>
      <c r="O870" s="388"/>
      <c r="P870" s="388"/>
      <c r="Q870" s="388"/>
      <c r="R870" s="388"/>
      <c r="S870" s="388"/>
      <c r="T870" s="388"/>
      <c r="U870" s="388"/>
      <c r="V870" s="388"/>
      <c r="W870" s="388"/>
      <c r="X870" s="388"/>
      <c r="Y870" s="388"/>
      <c r="Z870" s="388"/>
      <c r="AA870" s="388"/>
      <c r="AB870" s="388"/>
      <c r="AC870" s="388"/>
    </row>
    <row r="871">
      <c r="A871" s="388"/>
      <c r="B871" s="388"/>
      <c r="C871" s="388"/>
      <c r="D871" s="388"/>
      <c r="E871" s="388"/>
      <c r="F871" s="388"/>
      <c r="G871" s="388"/>
      <c r="H871" s="388"/>
      <c r="I871" s="388"/>
      <c r="J871" s="642"/>
      <c r="K871" s="642"/>
      <c r="L871" s="642"/>
      <c r="M871" s="388"/>
      <c r="N871" s="388"/>
      <c r="O871" s="388"/>
      <c r="P871" s="388"/>
      <c r="Q871" s="388"/>
      <c r="R871" s="388"/>
      <c r="S871" s="388"/>
      <c r="T871" s="388"/>
      <c r="U871" s="388"/>
      <c r="V871" s="388"/>
      <c r="W871" s="388"/>
      <c r="X871" s="388"/>
      <c r="Y871" s="388"/>
      <c r="Z871" s="388"/>
      <c r="AA871" s="388"/>
      <c r="AB871" s="388"/>
      <c r="AC871" s="388"/>
    </row>
    <row r="872">
      <c r="A872" s="388"/>
      <c r="B872" s="388"/>
      <c r="C872" s="388"/>
      <c r="D872" s="388"/>
      <c r="E872" s="388"/>
      <c r="F872" s="388"/>
      <c r="G872" s="388"/>
      <c r="H872" s="388"/>
      <c r="I872" s="388"/>
      <c r="J872" s="642"/>
      <c r="K872" s="642"/>
      <c r="L872" s="642"/>
      <c r="M872" s="388"/>
      <c r="N872" s="388"/>
      <c r="O872" s="388"/>
      <c r="P872" s="388"/>
      <c r="Q872" s="388"/>
      <c r="R872" s="388"/>
      <c r="S872" s="388"/>
      <c r="T872" s="388"/>
      <c r="U872" s="388"/>
      <c r="V872" s="388"/>
      <c r="W872" s="388"/>
      <c r="X872" s="388"/>
      <c r="Y872" s="388"/>
      <c r="Z872" s="388"/>
      <c r="AA872" s="388"/>
      <c r="AB872" s="388"/>
      <c r="AC872" s="388"/>
    </row>
    <row r="873">
      <c r="A873" s="388"/>
      <c r="B873" s="388"/>
      <c r="C873" s="388"/>
      <c r="D873" s="388"/>
      <c r="E873" s="388"/>
      <c r="F873" s="388"/>
      <c r="G873" s="388"/>
      <c r="H873" s="388"/>
      <c r="I873" s="388"/>
      <c r="J873" s="642"/>
      <c r="K873" s="642"/>
      <c r="L873" s="642"/>
      <c r="M873" s="388"/>
      <c r="N873" s="388"/>
      <c r="O873" s="388"/>
      <c r="P873" s="388"/>
      <c r="Q873" s="388"/>
      <c r="R873" s="388"/>
      <c r="S873" s="388"/>
      <c r="T873" s="388"/>
      <c r="U873" s="388"/>
      <c r="V873" s="388"/>
      <c r="W873" s="388"/>
      <c r="X873" s="388"/>
      <c r="Y873" s="388"/>
      <c r="Z873" s="388"/>
      <c r="AA873" s="388"/>
      <c r="AB873" s="388"/>
      <c r="AC873" s="388"/>
    </row>
    <row r="874">
      <c r="A874" s="388"/>
      <c r="B874" s="388"/>
      <c r="C874" s="388"/>
      <c r="D874" s="388"/>
      <c r="E874" s="388"/>
      <c r="F874" s="388"/>
      <c r="G874" s="388"/>
      <c r="H874" s="388"/>
      <c r="I874" s="388"/>
      <c r="J874" s="642"/>
      <c r="K874" s="642"/>
      <c r="L874" s="642"/>
      <c r="M874" s="388"/>
      <c r="N874" s="388"/>
      <c r="O874" s="388"/>
      <c r="P874" s="388"/>
      <c r="Q874" s="388"/>
      <c r="R874" s="388"/>
      <c r="S874" s="388"/>
      <c r="T874" s="388"/>
      <c r="U874" s="388"/>
      <c r="V874" s="388"/>
      <c r="W874" s="388"/>
      <c r="X874" s="388"/>
      <c r="Y874" s="388"/>
      <c r="Z874" s="388"/>
      <c r="AA874" s="388"/>
      <c r="AB874" s="388"/>
      <c r="AC874" s="388"/>
    </row>
    <row r="875">
      <c r="A875" s="388"/>
      <c r="B875" s="388"/>
      <c r="C875" s="388"/>
      <c r="D875" s="388"/>
      <c r="E875" s="388"/>
      <c r="F875" s="388"/>
      <c r="G875" s="388"/>
      <c r="H875" s="388"/>
      <c r="I875" s="388"/>
      <c r="J875" s="642"/>
      <c r="K875" s="642"/>
      <c r="L875" s="642"/>
      <c r="M875" s="388"/>
      <c r="N875" s="388"/>
      <c r="O875" s="388"/>
      <c r="P875" s="388"/>
      <c r="Q875" s="388"/>
      <c r="R875" s="388"/>
      <c r="S875" s="388"/>
      <c r="T875" s="388"/>
      <c r="U875" s="388"/>
      <c r="V875" s="388"/>
      <c r="W875" s="388"/>
      <c r="X875" s="388"/>
      <c r="Y875" s="388"/>
      <c r="Z875" s="388"/>
      <c r="AA875" s="388"/>
      <c r="AB875" s="388"/>
      <c r="AC875" s="388"/>
    </row>
    <row r="876">
      <c r="A876" s="388"/>
      <c r="B876" s="388"/>
      <c r="C876" s="388"/>
      <c r="D876" s="388"/>
      <c r="E876" s="388"/>
      <c r="F876" s="388"/>
      <c r="G876" s="388"/>
      <c r="H876" s="388"/>
      <c r="I876" s="388"/>
      <c r="J876" s="642"/>
      <c r="K876" s="642"/>
      <c r="L876" s="642"/>
      <c r="M876" s="388"/>
      <c r="N876" s="388"/>
      <c r="O876" s="388"/>
      <c r="P876" s="388"/>
      <c r="Q876" s="388"/>
      <c r="R876" s="388"/>
      <c r="S876" s="388"/>
      <c r="T876" s="388"/>
      <c r="U876" s="388"/>
      <c r="V876" s="388"/>
      <c r="W876" s="388"/>
      <c r="X876" s="388"/>
      <c r="Y876" s="388"/>
      <c r="Z876" s="388"/>
      <c r="AA876" s="388"/>
      <c r="AB876" s="388"/>
      <c r="AC876" s="388"/>
    </row>
    <row r="877">
      <c r="A877" s="388"/>
      <c r="B877" s="388"/>
      <c r="C877" s="388"/>
      <c r="D877" s="388"/>
      <c r="E877" s="388"/>
      <c r="F877" s="388"/>
      <c r="G877" s="388"/>
      <c r="H877" s="388"/>
      <c r="I877" s="388"/>
      <c r="J877" s="642"/>
      <c r="K877" s="642"/>
      <c r="L877" s="642"/>
      <c r="M877" s="388"/>
      <c r="N877" s="388"/>
      <c r="O877" s="388"/>
      <c r="P877" s="388"/>
      <c r="Q877" s="388"/>
      <c r="R877" s="388"/>
      <c r="S877" s="388"/>
      <c r="T877" s="388"/>
      <c r="U877" s="388"/>
      <c r="V877" s="388"/>
      <c r="W877" s="388"/>
      <c r="X877" s="388"/>
      <c r="Y877" s="388"/>
      <c r="Z877" s="388"/>
      <c r="AA877" s="388"/>
      <c r="AB877" s="388"/>
      <c r="AC877" s="388"/>
    </row>
    <row r="878">
      <c r="A878" s="388"/>
      <c r="B878" s="388"/>
      <c r="C878" s="388"/>
      <c r="D878" s="388"/>
      <c r="E878" s="388"/>
      <c r="F878" s="388"/>
      <c r="G878" s="388"/>
      <c r="H878" s="388"/>
      <c r="I878" s="388"/>
      <c r="J878" s="642"/>
      <c r="K878" s="642"/>
      <c r="L878" s="642"/>
      <c r="M878" s="388"/>
      <c r="N878" s="388"/>
      <c r="O878" s="388"/>
      <c r="P878" s="388"/>
      <c r="Q878" s="388"/>
      <c r="R878" s="388"/>
      <c r="S878" s="388"/>
      <c r="T878" s="388"/>
      <c r="U878" s="388"/>
      <c r="V878" s="388"/>
      <c r="W878" s="388"/>
      <c r="X878" s="388"/>
      <c r="Y878" s="388"/>
      <c r="Z878" s="388"/>
      <c r="AA878" s="388"/>
      <c r="AB878" s="388"/>
      <c r="AC878" s="388"/>
    </row>
    <row r="879">
      <c r="A879" s="388"/>
      <c r="B879" s="388"/>
      <c r="C879" s="388"/>
      <c r="D879" s="388"/>
      <c r="E879" s="388"/>
      <c r="F879" s="388"/>
      <c r="G879" s="388"/>
      <c r="H879" s="388"/>
      <c r="I879" s="388"/>
      <c r="J879" s="642"/>
      <c r="K879" s="642"/>
      <c r="L879" s="642"/>
      <c r="M879" s="388"/>
      <c r="N879" s="388"/>
      <c r="O879" s="388"/>
      <c r="P879" s="388"/>
      <c r="Q879" s="388"/>
      <c r="R879" s="388"/>
      <c r="S879" s="388"/>
      <c r="T879" s="388"/>
      <c r="U879" s="388"/>
      <c r="V879" s="388"/>
      <c r="W879" s="388"/>
      <c r="X879" s="388"/>
      <c r="Y879" s="388"/>
      <c r="Z879" s="388"/>
      <c r="AA879" s="388"/>
      <c r="AB879" s="388"/>
      <c r="AC879" s="388"/>
    </row>
    <row r="880">
      <c r="A880" s="388"/>
      <c r="B880" s="388"/>
      <c r="C880" s="388"/>
      <c r="D880" s="388"/>
      <c r="E880" s="388"/>
      <c r="F880" s="388"/>
      <c r="G880" s="388"/>
      <c r="H880" s="388"/>
      <c r="I880" s="388"/>
      <c r="J880" s="642"/>
      <c r="K880" s="642"/>
      <c r="L880" s="642"/>
      <c r="M880" s="388"/>
      <c r="N880" s="388"/>
      <c r="O880" s="388"/>
      <c r="P880" s="388"/>
      <c r="Q880" s="388"/>
      <c r="R880" s="388"/>
      <c r="S880" s="388"/>
      <c r="T880" s="388"/>
      <c r="U880" s="388"/>
      <c r="V880" s="388"/>
      <c r="W880" s="388"/>
      <c r="X880" s="388"/>
      <c r="Y880" s="388"/>
      <c r="Z880" s="388"/>
      <c r="AA880" s="388"/>
      <c r="AB880" s="388"/>
      <c r="AC880" s="388"/>
    </row>
    <row r="881">
      <c r="A881" s="388"/>
      <c r="B881" s="388"/>
      <c r="C881" s="388"/>
      <c r="D881" s="388"/>
      <c r="E881" s="388"/>
      <c r="F881" s="388"/>
      <c r="G881" s="388"/>
      <c r="H881" s="388"/>
      <c r="I881" s="388"/>
      <c r="J881" s="642"/>
      <c r="K881" s="642"/>
      <c r="L881" s="642"/>
      <c r="M881" s="388"/>
      <c r="N881" s="388"/>
      <c r="O881" s="388"/>
      <c r="P881" s="388"/>
      <c r="Q881" s="388"/>
      <c r="R881" s="388"/>
      <c r="S881" s="388"/>
      <c r="T881" s="388"/>
      <c r="U881" s="388"/>
      <c r="V881" s="388"/>
      <c r="W881" s="388"/>
      <c r="X881" s="388"/>
      <c r="Y881" s="388"/>
      <c r="Z881" s="388"/>
      <c r="AA881" s="388"/>
      <c r="AB881" s="388"/>
      <c r="AC881" s="388"/>
    </row>
    <row r="882">
      <c r="A882" s="388"/>
      <c r="B882" s="388"/>
      <c r="C882" s="388"/>
      <c r="D882" s="388"/>
      <c r="E882" s="388"/>
      <c r="F882" s="388"/>
      <c r="G882" s="388"/>
      <c r="H882" s="388"/>
      <c r="I882" s="388"/>
      <c r="J882" s="642"/>
      <c r="K882" s="642"/>
      <c r="L882" s="642"/>
      <c r="M882" s="388"/>
      <c r="N882" s="388"/>
      <c r="O882" s="388"/>
      <c r="P882" s="388"/>
      <c r="Q882" s="388"/>
      <c r="R882" s="388"/>
      <c r="S882" s="388"/>
      <c r="T882" s="388"/>
      <c r="U882" s="388"/>
      <c r="V882" s="388"/>
      <c r="W882" s="388"/>
      <c r="X882" s="388"/>
      <c r="Y882" s="388"/>
      <c r="Z882" s="388"/>
      <c r="AA882" s="388"/>
      <c r="AB882" s="388"/>
      <c r="AC882" s="388"/>
    </row>
    <row r="883">
      <c r="A883" s="388"/>
      <c r="B883" s="388"/>
      <c r="C883" s="388"/>
      <c r="D883" s="388"/>
      <c r="E883" s="388"/>
      <c r="F883" s="388"/>
      <c r="G883" s="388"/>
      <c r="H883" s="388"/>
      <c r="I883" s="388"/>
      <c r="J883" s="642"/>
      <c r="K883" s="642"/>
      <c r="L883" s="642"/>
      <c r="M883" s="388"/>
      <c r="N883" s="388"/>
      <c r="O883" s="388"/>
      <c r="P883" s="388"/>
      <c r="Q883" s="388"/>
      <c r="R883" s="388"/>
      <c r="S883" s="388"/>
      <c r="T883" s="388"/>
      <c r="U883" s="388"/>
      <c r="V883" s="388"/>
      <c r="W883" s="388"/>
      <c r="X883" s="388"/>
      <c r="Y883" s="388"/>
      <c r="Z883" s="388"/>
      <c r="AA883" s="388"/>
      <c r="AB883" s="388"/>
      <c r="AC883" s="388"/>
    </row>
    <row r="884">
      <c r="A884" s="388"/>
      <c r="B884" s="388"/>
      <c r="C884" s="388"/>
      <c r="D884" s="388"/>
      <c r="E884" s="388"/>
      <c r="F884" s="388"/>
      <c r="G884" s="388"/>
      <c r="H884" s="388"/>
      <c r="I884" s="388"/>
      <c r="J884" s="642"/>
      <c r="K884" s="642"/>
      <c r="L884" s="642"/>
      <c r="M884" s="388"/>
      <c r="N884" s="388"/>
      <c r="O884" s="388"/>
      <c r="P884" s="388"/>
      <c r="Q884" s="388"/>
      <c r="R884" s="388"/>
      <c r="S884" s="388"/>
      <c r="T884" s="388"/>
      <c r="U884" s="388"/>
      <c r="V884" s="388"/>
      <c r="W884" s="388"/>
      <c r="X884" s="388"/>
      <c r="Y884" s="388"/>
      <c r="Z884" s="388"/>
      <c r="AA884" s="388"/>
      <c r="AB884" s="388"/>
      <c r="AC884" s="388"/>
    </row>
    <row r="885">
      <c r="A885" s="388"/>
      <c r="B885" s="388"/>
      <c r="C885" s="388"/>
      <c r="D885" s="388"/>
      <c r="E885" s="388"/>
      <c r="F885" s="388"/>
      <c r="G885" s="388"/>
      <c r="H885" s="388"/>
      <c r="I885" s="388"/>
      <c r="J885" s="642"/>
      <c r="K885" s="642"/>
      <c r="L885" s="642"/>
      <c r="M885" s="388"/>
      <c r="N885" s="388"/>
      <c r="O885" s="388"/>
      <c r="P885" s="388"/>
      <c r="Q885" s="388"/>
      <c r="R885" s="388"/>
      <c r="S885" s="388"/>
      <c r="T885" s="388"/>
      <c r="U885" s="388"/>
      <c r="V885" s="388"/>
      <c r="W885" s="388"/>
      <c r="X885" s="388"/>
      <c r="Y885" s="388"/>
      <c r="Z885" s="388"/>
      <c r="AA885" s="388"/>
      <c r="AB885" s="388"/>
      <c r="AC885" s="388"/>
    </row>
    <row r="886">
      <c r="A886" s="388"/>
      <c r="B886" s="388"/>
      <c r="C886" s="388"/>
      <c r="D886" s="388"/>
      <c r="E886" s="388"/>
      <c r="F886" s="388"/>
      <c r="G886" s="388"/>
      <c r="H886" s="388"/>
      <c r="I886" s="388"/>
      <c r="J886" s="642"/>
      <c r="K886" s="642"/>
      <c r="L886" s="642"/>
      <c r="M886" s="388"/>
      <c r="N886" s="388"/>
      <c r="O886" s="388"/>
      <c r="P886" s="388"/>
      <c r="Q886" s="388"/>
      <c r="R886" s="388"/>
      <c r="S886" s="388"/>
      <c r="T886" s="388"/>
      <c r="U886" s="388"/>
      <c r="V886" s="388"/>
      <c r="W886" s="388"/>
      <c r="X886" s="388"/>
      <c r="Y886" s="388"/>
      <c r="Z886" s="388"/>
      <c r="AA886" s="388"/>
      <c r="AB886" s="388"/>
      <c r="AC886" s="388"/>
    </row>
    <row r="887">
      <c r="A887" s="388"/>
      <c r="B887" s="388"/>
      <c r="C887" s="388"/>
      <c r="D887" s="388"/>
      <c r="E887" s="388"/>
      <c r="F887" s="388"/>
      <c r="G887" s="388"/>
      <c r="H887" s="388"/>
      <c r="I887" s="388"/>
      <c r="J887" s="642"/>
      <c r="K887" s="642"/>
      <c r="L887" s="642"/>
      <c r="M887" s="388"/>
      <c r="N887" s="388"/>
      <c r="O887" s="388"/>
      <c r="P887" s="388"/>
      <c r="Q887" s="388"/>
      <c r="R887" s="388"/>
      <c r="S887" s="388"/>
      <c r="T887" s="388"/>
      <c r="U887" s="388"/>
      <c r="V887" s="388"/>
      <c r="W887" s="388"/>
      <c r="X887" s="388"/>
      <c r="Y887" s="388"/>
      <c r="Z887" s="388"/>
      <c r="AA887" s="388"/>
      <c r="AB887" s="388"/>
      <c r="AC887" s="388"/>
    </row>
    <row r="888">
      <c r="A888" s="388"/>
      <c r="B888" s="388"/>
      <c r="C888" s="388"/>
      <c r="D888" s="388"/>
      <c r="E888" s="388"/>
      <c r="F888" s="388"/>
      <c r="G888" s="388"/>
      <c r="H888" s="388"/>
      <c r="I888" s="388"/>
      <c r="J888" s="642"/>
      <c r="K888" s="642"/>
      <c r="L888" s="642"/>
      <c r="M888" s="388"/>
      <c r="N888" s="388"/>
      <c r="O888" s="388"/>
      <c r="P888" s="388"/>
      <c r="Q888" s="388"/>
      <c r="R888" s="388"/>
      <c r="S888" s="388"/>
      <c r="T888" s="388"/>
      <c r="U888" s="388"/>
      <c r="V888" s="388"/>
      <c r="W888" s="388"/>
      <c r="X888" s="388"/>
      <c r="Y888" s="388"/>
      <c r="Z888" s="388"/>
      <c r="AA888" s="388"/>
      <c r="AB888" s="388"/>
      <c r="AC888" s="388"/>
    </row>
    <row r="889">
      <c r="A889" s="388"/>
      <c r="B889" s="388"/>
      <c r="C889" s="388"/>
      <c r="D889" s="388"/>
      <c r="E889" s="388"/>
      <c r="F889" s="388"/>
      <c r="G889" s="388"/>
      <c r="H889" s="388"/>
      <c r="I889" s="388"/>
      <c r="J889" s="642"/>
      <c r="K889" s="642"/>
      <c r="L889" s="642"/>
      <c r="M889" s="388"/>
      <c r="N889" s="388"/>
      <c r="O889" s="388"/>
      <c r="P889" s="388"/>
      <c r="Q889" s="388"/>
      <c r="R889" s="388"/>
      <c r="S889" s="388"/>
      <c r="T889" s="388"/>
      <c r="U889" s="388"/>
      <c r="V889" s="388"/>
      <c r="W889" s="388"/>
      <c r="X889" s="388"/>
      <c r="Y889" s="388"/>
      <c r="Z889" s="388"/>
      <c r="AA889" s="388"/>
      <c r="AB889" s="388"/>
      <c r="AC889" s="388"/>
    </row>
    <row r="890">
      <c r="A890" s="388"/>
      <c r="B890" s="388"/>
      <c r="C890" s="388"/>
      <c r="D890" s="388"/>
      <c r="E890" s="388"/>
      <c r="F890" s="388"/>
      <c r="G890" s="388"/>
      <c r="H890" s="388"/>
      <c r="I890" s="388"/>
      <c r="J890" s="642"/>
      <c r="K890" s="642"/>
      <c r="L890" s="642"/>
      <c r="M890" s="388"/>
      <c r="N890" s="388"/>
      <c r="O890" s="388"/>
      <c r="P890" s="388"/>
      <c r="Q890" s="388"/>
      <c r="R890" s="388"/>
      <c r="S890" s="388"/>
      <c r="T890" s="388"/>
      <c r="U890" s="388"/>
      <c r="V890" s="388"/>
      <c r="W890" s="388"/>
      <c r="X890" s="388"/>
      <c r="Y890" s="388"/>
      <c r="Z890" s="388"/>
      <c r="AA890" s="388"/>
      <c r="AB890" s="388"/>
      <c r="AC890" s="388"/>
    </row>
    <row r="891">
      <c r="A891" s="388"/>
      <c r="B891" s="388"/>
      <c r="C891" s="388"/>
      <c r="D891" s="388"/>
      <c r="E891" s="388"/>
      <c r="F891" s="388"/>
      <c r="G891" s="388"/>
      <c r="H891" s="388"/>
      <c r="I891" s="388"/>
      <c r="J891" s="642"/>
      <c r="K891" s="642"/>
      <c r="L891" s="642"/>
      <c r="M891" s="388"/>
      <c r="N891" s="388"/>
      <c r="O891" s="388"/>
      <c r="P891" s="388"/>
      <c r="Q891" s="388"/>
      <c r="R891" s="388"/>
      <c r="S891" s="388"/>
      <c r="T891" s="388"/>
      <c r="U891" s="388"/>
      <c r="V891" s="388"/>
      <c r="W891" s="388"/>
      <c r="X891" s="388"/>
      <c r="Y891" s="388"/>
      <c r="Z891" s="388"/>
      <c r="AA891" s="388"/>
      <c r="AB891" s="388"/>
      <c r="AC891" s="388"/>
    </row>
    <row r="892">
      <c r="A892" s="388"/>
      <c r="B892" s="388"/>
      <c r="C892" s="388"/>
      <c r="D892" s="388"/>
      <c r="E892" s="388"/>
      <c r="F892" s="388"/>
      <c r="G892" s="388"/>
      <c r="H892" s="388"/>
      <c r="I892" s="388"/>
      <c r="J892" s="642"/>
      <c r="K892" s="642"/>
      <c r="L892" s="642"/>
      <c r="M892" s="388"/>
      <c r="N892" s="388"/>
      <c r="O892" s="388"/>
      <c r="P892" s="388"/>
      <c r="Q892" s="388"/>
      <c r="R892" s="388"/>
      <c r="S892" s="388"/>
      <c r="T892" s="388"/>
      <c r="U892" s="388"/>
      <c r="V892" s="388"/>
      <c r="W892" s="388"/>
      <c r="X892" s="388"/>
      <c r="Y892" s="388"/>
      <c r="Z892" s="388"/>
      <c r="AA892" s="388"/>
      <c r="AB892" s="388"/>
      <c r="AC892" s="388"/>
    </row>
    <row r="893">
      <c r="A893" s="388"/>
      <c r="B893" s="388"/>
      <c r="C893" s="388"/>
      <c r="D893" s="388"/>
      <c r="E893" s="388"/>
      <c r="F893" s="388"/>
      <c r="G893" s="388"/>
      <c r="H893" s="388"/>
      <c r="I893" s="388"/>
      <c r="J893" s="642"/>
      <c r="K893" s="642"/>
      <c r="L893" s="642"/>
      <c r="M893" s="388"/>
      <c r="N893" s="388"/>
      <c r="O893" s="388"/>
      <c r="P893" s="388"/>
      <c r="Q893" s="388"/>
      <c r="R893" s="388"/>
      <c r="S893" s="388"/>
      <c r="T893" s="388"/>
      <c r="U893" s="388"/>
      <c r="V893" s="388"/>
      <c r="W893" s="388"/>
      <c r="X893" s="388"/>
      <c r="Y893" s="388"/>
      <c r="Z893" s="388"/>
      <c r="AA893" s="388"/>
      <c r="AB893" s="388"/>
      <c r="AC893" s="388"/>
    </row>
    <row r="894">
      <c r="A894" s="388"/>
      <c r="B894" s="388"/>
      <c r="C894" s="388"/>
      <c r="D894" s="388"/>
      <c r="E894" s="388"/>
      <c r="F894" s="388"/>
      <c r="G894" s="388"/>
      <c r="H894" s="388"/>
      <c r="I894" s="388"/>
      <c r="J894" s="642"/>
      <c r="K894" s="642"/>
      <c r="L894" s="642"/>
      <c r="M894" s="388"/>
      <c r="N894" s="388"/>
      <c r="O894" s="388"/>
      <c r="P894" s="388"/>
      <c r="Q894" s="388"/>
      <c r="R894" s="388"/>
      <c r="S894" s="388"/>
      <c r="T894" s="388"/>
      <c r="U894" s="388"/>
      <c r="V894" s="388"/>
      <c r="W894" s="388"/>
      <c r="X894" s="388"/>
      <c r="Y894" s="388"/>
      <c r="Z894" s="388"/>
      <c r="AA894" s="388"/>
      <c r="AB894" s="388"/>
      <c r="AC894" s="388"/>
    </row>
    <row r="895">
      <c r="A895" s="388"/>
      <c r="B895" s="388"/>
      <c r="C895" s="388"/>
      <c r="D895" s="388"/>
      <c r="E895" s="388"/>
      <c r="F895" s="388"/>
      <c r="G895" s="388"/>
      <c r="H895" s="388"/>
      <c r="I895" s="388"/>
      <c r="J895" s="642"/>
      <c r="K895" s="642"/>
      <c r="L895" s="642"/>
      <c r="M895" s="388"/>
      <c r="N895" s="388"/>
      <c r="O895" s="388"/>
      <c r="P895" s="388"/>
      <c r="Q895" s="388"/>
      <c r="R895" s="388"/>
      <c r="S895" s="388"/>
      <c r="T895" s="388"/>
      <c r="U895" s="388"/>
      <c r="V895" s="388"/>
      <c r="W895" s="388"/>
      <c r="X895" s="388"/>
      <c r="Y895" s="388"/>
      <c r="Z895" s="388"/>
      <c r="AA895" s="388"/>
      <c r="AB895" s="388"/>
      <c r="AC895" s="388"/>
    </row>
    <row r="896">
      <c r="A896" s="388"/>
      <c r="B896" s="388"/>
      <c r="C896" s="388"/>
      <c r="D896" s="388"/>
      <c r="E896" s="388"/>
      <c r="F896" s="388"/>
      <c r="G896" s="388"/>
      <c r="H896" s="388"/>
      <c r="I896" s="388"/>
      <c r="J896" s="642"/>
      <c r="K896" s="642"/>
      <c r="L896" s="642"/>
      <c r="M896" s="388"/>
      <c r="N896" s="388"/>
      <c r="O896" s="388"/>
      <c r="P896" s="388"/>
      <c r="Q896" s="388"/>
      <c r="R896" s="388"/>
      <c r="S896" s="388"/>
      <c r="T896" s="388"/>
      <c r="U896" s="388"/>
      <c r="V896" s="388"/>
      <c r="W896" s="388"/>
      <c r="X896" s="388"/>
      <c r="Y896" s="388"/>
      <c r="Z896" s="388"/>
      <c r="AA896" s="388"/>
      <c r="AB896" s="388"/>
      <c r="AC896" s="388"/>
    </row>
    <row r="897">
      <c r="A897" s="388"/>
      <c r="B897" s="388"/>
      <c r="C897" s="388"/>
      <c r="D897" s="388"/>
      <c r="E897" s="388"/>
      <c r="F897" s="388"/>
      <c r="G897" s="388"/>
      <c r="H897" s="388"/>
      <c r="I897" s="388"/>
      <c r="J897" s="642"/>
      <c r="K897" s="642"/>
      <c r="L897" s="642"/>
      <c r="M897" s="388"/>
      <c r="N897" s="388"/>
      <c r="O897" s="388"/>
      <c r="P897" s="388"/>
      <c r="Q897" s="388"/>
      <c r="R897" s="388"/>
      <c r="S897" s="388"/>
      <c r="T897" s="388"/>
      <c r="U897" s="388"/>
      <c r="V897" s="388"/>
      <c r="W897" s="388"/>
      <c r="X897" s="388"/>
      <c r="Y897" s="388"/>
      <c r="Z897" s="388"/>
      <c r="AA897" s="388"/>
      <c r="AB897" s="388"/>
      <c r="AC897" s="388"/>
    </row>
    <row r="898">
      <c r="A898" s="388"/>
      <c r="B898" s="388"/>
      <c r="C898" s="388"/>
      <c r="D898" s="388"/>
      <c r="E898" s="388"/>
      <c r="F898" s="388"/>
      <c r="G898" s="388"/>
      <c r="H898" s="388"/>
      <c r="I898" s="388"/>
      <c r="J898" s="642"/>
      <c r="K898" s="642"/>
      <c r="L898" s="642"/>
      <c r="M898" s="388"/>
      <c r="N898" s="388"/>
      <c r="O898" s="388"/>
      <c r="P898" s="388"/>
      <c r="Q898" s="388"/>
      <c r="R898" s="388"/>
      <c r="S898" s="388"/>
      <c r="T898" s="388"/>
      <c r="U898" s="388"/>
      <c r="V898" s="388"/>
      <c r="W898" s="388"/>
      <c r="X898" s="388"/>
      <c r="Y898" s="388"/>
      <c r="Z898" s="388"/>
      <c r="AA898" s="388"/>
      <c r="AB898" s="388"/>
      <c r="AC898" s="388"/>
    </row>
    <row r="899">
      <c r="A899" s="388"/>
      <c r="B899" s="388"/>
      <c r="C899" s="388"/>
      <c r="D899" s="388"/>
      <c r="E899" s="388"/>
      <c r="F899" s="388"/>
      <c r="G899" s="388"/>
      <c r="H899" s="388"/>
      <c r="I899" s="388"/>
      <c r="J899" s="642"/>
      <c r="K899" s="642"/>
      <c r="L899" s="642"/>
      <c r="M899" s="388"/>
      <c r="N899" s="388"/>
      <c r="O899" s="388"/>
      <c r="P899" s="388"/>
      <c r="Q899" s="388"/>
      <c r="R899" s="388"/>
      <c r="S899" s="388"/>
      <c r="T899" s="388"/>
      <c r="U899" s="388"/>
      <c r="V899" s="388"/>
      <c r="W899" s="388"/>
      <c r="X899" s="388"/>
      <c r="Y899" s="388"/>
      <c r="Z899" s="388"/>
      <c r="AA899" s="388"/>
      <c r="AB899" s="388"/>
      <c r="AC899" s="388"/>
    </row>
    <row r="900">
      <c r="A900" s="388"/>
      <c r="B900" s="388"/>
      <c r="C900" s="388"/>
      <c r="D900" s="388"/>
      <c r="E900" s="388"/>
      <c r="F900" s="388"/>
      <c r="G900" s="388"/>
      <c r="H900" s="388"/>
      <c r="I900" s="388"/>
      <c r="J900" s="642"/>
      <c r="K900" s="642"/>
      <c r="L900" s="642"/>
      <c r="M900" s="388"/>
      <c r="N900" s="388"/>
      <c r="O900" s="388"/>
      <c r="P900" s="388"/>
      <c r="Q900" s="388"/>
      <c r="R900" s="388"/>
      <c r="S900" s="388"/>
      <c r="T900" s="388"/>
      <c r="U900" s="388"/>
      <c r="V900" s="388"/>
      <c r="W900" s="388"/>
      <c r="X900" s="388"/>
      <c r="Y900" s="388"/>
      <c r="Z900" s="388"/>
      <c r="AA900" s="388"/>
      <c r="AB900" s="388"/>
      <c r="AC900" s="388"/>
    </row>
    <row r="901">
      <c r="A901" s="388"/>
      <c r="B901" s="388"/>
      <c r="C901" s="388"/>
      <c r="D901" s="388"/>
      <c r="E901" s="388"/>
      <c r="F901" s="388"/>
      <c r="G901" s="388"/>
      <c r="H901" s="388"/>
      <c r="I901" s="388"/>
      <c r="J901" s="642"/>
      <c r="K901" s="642"/>
      <c r="L901" s="642"/>
      <c r="M901" s="388"/>
      <c r="N901" s="388"/>
      <c r="O901" s="388"/>
      <c r="P901" s="388"/>
      <c r="Q901" s="388"/>
      <c r="R901" s="388"/>
      <c r="S901" s="388"/>
      <c r="T901" s="388"/>
      <c r="U901" s="388"/>
      <c r="V901" s="388"/>
      <c r="W901" s="388"/>
      <c r="X901" s="388"/>
      <c r="Y901" s="388"/>
      <c r="Z901" s="388"/>
      <c r="AA901" s="388"/>
      <c r="AB901" s="388"/>
      <c r="AC901" s="388"/>
    </row>
    <row r="902">
      <c r="A902" s="388"/>
      <c r="B902" s="388"/>
      <c r="C902" s="388"/>
      <c r="D902" s="388"/>
      <c r="E902" s="388"/>
      <c r="F902" s="388"/>
      <c r="G902" s="388"/>
      <c r="H902" s="388"/>
      <c r="I902" s="388"/>
      <c r="J902" s="642"/>
      <c r="K902" s="642"/>
      <c r="L902" s="642"/>
      <c r="M902" s="388"/>
      <c r="N902" s="388"/>
      <c r="O902" s="388"/>
      <c r="P902" s="388"/>
      <c r="Q902" s="388"/>
      <c r="R902" s="388"/>
      <c r="S902" s="388"/>
      <c r="T902" s="388"/>
      <c r="U902" s="388"/>
      <c r="V902" s="388"/>
      <c r="W902" s="388"/>
      <c r="X902" s="388"/>
      <c r="Y902" s="388"/>
      <c r="Z902" s="388"/>
      <c r="AA902" s="388"/>
      <c r="AB902" s="388"/>
      <c r="AC902" s="388"/>
    </row>
    <row r="903">
      <c r="A903" s="388"/>
      <c r="B903" s="388"/>
      <c r="C903" s="388"/>
      <c r="D903" s="388"/>
      <c r="E903" s="388"/>
      <c r="F903" s="388"/>
      <c r="G903" s="388"/>
      <c r="H903" s="388"/>
      <c r="I903" s="388"/>
      <c r="J903" s="642"/>
      <c r="K903" s="642"/>
      <c r="L903" s="642"/>
      <c r="M903" s="388"/>
      <c r="N903" s="388"/>
      <c r="O903" s="388"/>
      <c r="P903" s="388"/>
      <c r="Q903" s="388"/>
      <c r="R903" s="388"/>
      <c r="S903" s="388"/>
      <c r="T903" s="388"/>
      <c r="U903" s="388"/>
      <c r="V903" s="388"/>
      <c r="W903" s="388"/>
      <c r="X903" s="388"/>
      <c r="Y903" s="388"/>
      <c r="Z903" s="388"/>
      <c r="AA903" s="388"/>
      <c r="AB903" s="388"/>
      <c r="AC903" s="388"/>
    </row>
    <row r="904">
      <c r="A904" s="388"/>
      <c r="B904" s="388"/>
      <c r="C904" s="388"/>
      <c r="D904" s="388"/>
      <c r="E904" s="388"/>
      <c r="F904" s="388"/>
      <c r="G904" s="388"/>
      <c r="H904" s="388"/>
      <c r="I904" s="388"/>
      <c r="J904" s="642"/>
      <c r="K904" s="642"/>
      <c r="L904" s="642"/>
      <c r="M904" s="388"/>
      <c r="N904" s="388"/>
      <c r="O904" s="388"/>
      <c r="P904" s="388"/>
      <c r="Q904" s="388"/>
      <c r="R904" s="388"/>
      <c r="S904" s="388"/>
      <c r="T904" s="388"/>
      <c r="U904" s="388"/>
      <c r="V904" s="388"/>
      <c r="W904" s="388"/>
      <c r="X904" s="388"/>
      <c r="Y904" s="388"/>
      <c r="Z904" s="388"/>
      <c r="AA904" s="388"/>
      <c r="AB904" s="388"/>
      <c r="AC904" s="388"/>
    </row>
    <row r="905">
      <c r="A905" s="388"/>
      <c r="B905" s="388"/>
      <c r="C905" s="388"/>
      <c r="D905" s="388"/>
      <c r="E905" s="388"/>
      <c r="F905" s="388"/>
      <c r="G905" s="388"/>
      <c r="H905" s="388"/>
      <c r="I905" s="388"/>
      <c r="J905" s="642"/>
      <c r="K905" s="642"/>
      <c r="L905" s="642"/>
      <c r="M905" s="388"/>
      <c r="N905" s="388"/>
      <c r="O905" s="388"/>
      <c r="P905" s="388"/>
      <c r="Q905" s="388"/>
      <c r="R905" s="388"/>
      <c r="S905" s="388"/>
      <c r="T905" s="388"/>
      <c r="U905" s="388"/>
      <c r="V905" s="388"/>
      <c r="W905" s="388"/>
      <c r="X905" s="388"/>
      <c r="Y905" s="388"/>
      <c r="Z905" s="388"/>
      <c r="AA905" s="388"/>
      <c r="AB905" s="388"/>
      <c r="AC905" s="388"/>
    </row>
    <row r="906">
      <c r="A906" s="388"/>
      <c r="B906" s="388"/>
      <c r="C906" s="388"/>
      <c r="D906" s="388"/>
      <c r="E906" s="388"/>
      <c r="F906" s="388"/>
      <c r="G906" s="388"/>
      <c r="H906" s="388"/>
      <c r="I906" s="388"/>
      <c r="J906" s="642"/>
      <c r="K906" s="642"/>
      <c r="L906" s="642"/>
      <c r="M906" s="388"/>
      <c r="N906" s="388"/>
      <c r="O906" s="388"/>
      <c r="P906" s="388"/>
      <c r="Q906" s="388"/>
      <c r="R906" s="388"/>
      <c r="S906" s="388"/>
      <c r="T906" s="388"/>
      <c r="U906" s="388"/>
      <c r="V906" s="388"/>
      <c r="W906" s="388"/>
      <c r="X906" s="388"/>
      <c r="Y906" s="388"/>
      <c r="Z906" s="388"/>
      <c r="AA906" s="388"/>
      <c r="AB906" s="388"/>
      <c r="AC906" s="388"/>
    </row>
    <row r="907">
      <c r="A907" s="388"/>
      <c r="B907" s="388"/>
      <c r="C907" s="388"/>
      <c r="D907" s="388"/>
      <c r="E907" s="388"/>
      <c r="F907" s="388"/>
      <c r="G907" s="388"/>
      <c r="H907" s="388"/>
      <c r="I907" s="388"/>
      <c r="J907" s="642"/>
      <c r="K907" s="642"/>
      <c r="L907" s="642"/>
      <c r="M907" s="388"/>
      <c r="N907" s="388"/>
      <c r="O907" s="388"/>
      <c r="P907" s="388"/>
      <c r="Q907" s="388"/>
      <c r="R907" s="388"/>
      <c r="S907" s="388"/>
      <c r="T907" s="388"/>
      <c r="U907" s="388"/>
      <c r="V907" s="388"/>
      <c r="W907" s="388"/>
      <c r="X907" s="388"/>
      <c r="Y907" s="388"/>
      <c r="Z907" s="388"/>
      <c r="AA907" s="388"/>
      <c r="AB907" s="388"/>
      <c r="AC907" s="388"/>
    </row>
    <row r="908">
      <c r="A908" s="388"/>
      <c r="B908" s="388"/>
      <c r="C908" s="388"/>
      <c r="D908" s="388"/>
      <c r="E908" s="388"/>
      <c r="F908" s="388"/>
      <c r="G908" s="388"/>
      <c r="H908" s="388"/>
      <c r="I908" s="388"/>
      <c r="J908" s="642"/>
      <c r="K908" s="642"/>
      <c r="L908" s="642"/>
      <c r="M908" s="388"/>
      <c r="N908" s="388"/>
      <c r="O908" s="388"/>
      <c r="P908" s="388"/>
      <c r="Q908" s="388"/>
      <c r="R908" s="388"/>
      <c r="S908" s="388"/>
      <c r="T908" s="388"/>
      <c r="U908" s="388"/>
      <c r="V908" s="388"/>
      <c r="W908" s="388"/>
      <c r="X908" s="388"/>
      <c r="Y908" s="388"/>
      <c r="Z908" s="388"/>
      <c r="AA908" s="388"/>
      <c r="AB908" s="388"/>
      <c r="AC908" s="388"/>
    </row>
    <row r="909">
      <c r="A909" s="388"/>
      <c r="B909" s="388"/>
      <c r="C909" s="388"/>
      <c r="D909" s="388"/>
      <c r="E909" s="388"/>
      <c r="F909" s="388"/>
      <c r="G909" s="388"/>
      <c r="H909" s="388"/>
      <c r="I909" s="388"/>
      <c r="J909" s="642"/>
      <c r="K909" s="642"/>
      <c r="L909" s="642"/>
      <c r="M909" s="388"/>
      <c r="N909" s="388"/>
      <c r="O909" s="388"/>
      <c r="P909" s="388"/>
      <c r="Q909" s="388"/>
      <c r="R909" s="388"/>
      <c r="S909" s="388"/>
      <c r="T909" s="388"/>
      <c r="U909" s="388"/>
      <c r="V909" s="388"/>
      <c r="W909" s="388"/>
      <c r="X909" s="388"/>
      <c r="Y909" s="388"/>
      <c r="Z909" s="388"/>
      <c r="AA909" s="388"/>
      <c r="AB909" s="388"/>
      <c r="AC909" s="388"/>
    </row>
    <row r="910">
      <c r="A910" s="388"/>
      <c r="B910" s="388"/>
      <c r="C910" s="388"/>
      <c r="D910" s="388"/>
      <c r="E910" s="388"/>
      <c r="F910" s="388"/>
      <c r="G910" s="388"/>
      <c r="H910" s="388"/>
      <c r="I910" s="388"/>
      <c r="J910" s="642"/>
      <c r="K910" s="642"/>
      <c r="L910" s="642"/>
      <c r="M910" s="388"/>
      <c r="N910" s="388"/>
      <c r="O910" s="388"/>
      <c r="P910" s="388"/>
      <c r="Q910" s="388"/>
      <c r="R910" s="388"/>
      <c r="S910" s="388"/>
      <c r="T910" s="388"/>
      <c r="U910" s="388"/>
      <c r="V910" s="388"/>
      <c r="W910" s="388"/>
      <c r="X910" s="388"/>
      <c r="Y910" s="388"/>
      <c r="Z910" s="388"/>
      <c r="AA910" s="388"/>
      <c r="AB910" s="388"/>
      <c r="AC910" s="388"/>
    </row>
    <row r="911">
      <c r="A911" s="388"/>
      <c r="B911" s="388"/>
      <c r="C911" s="388"/>
      <c r="D911" s="388"/>
      <c r="E911" s="388"/>
      <c r="F911" s="388"/>
      <c r="G911" s="388"/>
      <c r="H911" s="388"/>
      <c r="I911" s="388"/>
      <c r="J911" s="642"/>
      <c r="K911" s="642"/>
      <c r="L911" s="642"/>
      <c r="M911" s="388"/>
      <c r="N911" s="388"/>
      <c r="O911" s="388"/>
      <c r="P911" s="388"/>
      <c r="Q911" s="388"/>
      <c r="R911" s="388"/>
      <c r="S911" s="388"/>
      <c r="T911" s="388"/>
      <c r="U911" s="388"/>
      <c r="V911" s="388"/>
      <c r="W911" s="388"/>
      <c r="X911" s="388"/>
      <c r="Y911" s="388"/>
      <c r="Z911" s="388"/>
      <c r="AA911" s="388"/>
      <c r="AB911" s="388"/>
      <c r="AC911" s="388"/>
    </row>
    <row r="912">
      <c r="A912" s="388"/>
      <c r="B912" s="388"/>
      <c r="C912" s="388"/>
      <c r="D912" s="388"/>
      <c r="E912" s="388"/>
      <c r="F912" s="388"/>
      <c r="G912" s="388"/>
      <c r="H912" s="388"/>
      <c r="I912" s="388"/>
      <c r="J912" s="642"/>
      <c r="K912" s="642"/>
      <c r="L912" s="642"/>
      <c r="M912" s="388"/>
      <c r="N912" s="388"/>
      <c r="O912" s="388"/>
      <c r="P912" s="388"/>
      <c r="Q912" s="388"/>
      <c r="R912" s="388"/>
      <c r="S912" s="388"/>
      <c r="T912" s="388"/>
      <c r="U912" s="388"/>
      <c r="V912" s="388"/>
      <c r="W912" s="388"/>
      <c r="X912" s="388"/>
      <c r="Y912" s="388"/>
      <c r="Z912" s="388"/>
      <c r="AA912" s="388"/>
      <c r="AB912" s="388"/>
      <c r="AC912" s="388"/>
    </row>
    <row r="913">
      <c r="A913" s="388"/>
      <c r="B913" s="388"/>
      <c r="C913" s="388"/>
      <c r="D913" s="388"/>
      <c r="E913" s="388"/>
      <c r="F913" s="388"/>
      <c r="G913" s="388"/>
      <c r="H913" s="388"/>
      <c r="I913" s="388"/>
      <c r="J913" s="642"/>
      <c r="K913" s="642"/>
      <c r="L913" s="642"/>
      <c r="M913" s="388"/>
      <c r="N913" s="388"/>
      <c r="O913" s="388"/>
      <c r="P913" s="388"/>
      <c r="Q913" s="388"/>
      <c r="R913" s="388"/>
      <c r="S913" s="388"/>
      <c r="T913" s="388"/>
      <c r="U913" s="388"/>
      <c r="V913" s="388"/>
      <c r="W913" s="388"/>
      <c r="X913" s="388"/>
      <c r="Y913" s="388"/>
      <c r="Z913" s="388"/>
      <c r="AA913" s="388"/>
      <c r="AB913" s="388"/>
      <c r="AC913" s="388"/>
    </row>
    <row r="914">
      <c r="A914" s="388"/>
      <c r="B914" s="388"/>
      <c r="C914" s="388"/>
      <c r="D914" s="388"/>
      <c r="E914" s="388"/>
      <c r="F914" s="388"/>
      <c r="G914" s="388"/>
      <c r="H914" s="388"/>
      <c r="I914" s="388"/>
      <c r="J914" s="642"/>
      <c r="K914" s="642"/>
      <c r="L914" s="642"/>
      <c r="M914" s="388"/>
      <c r="N914" s="388"/>
      <c r="O914" s="388"/>
      <c r="P914" s="388"/>
      <c r="Q914" s="388"/>
      <c r="R914" s="388"/>
      <c r="S914" s="388"/>
      <c r="T914" s="388"/>
      <c r="U914" s="388"/>
      <c r="V914" s="388"/>
      <c r="W914" s="388"/>
      <c r="X914" s="388"/>
      <c r="Y914" s="388"/>
      <c r="Z914" s="388"/>
      <c r="AA914" s="388"/>
      <c r="AB914" s="388"/>
      <c r="AC914" s="388"/>
    </row>
    <row r="915">
      <c r="A915" s="388"/>
      <c r="B915" s="388"/>
      <c r="C915" s="388"/>
      <c r="D915" s="388"/>
      <c r="E915" s="388"/>
      <c r="F915" s="388"/>
      <c r="G915" s="388"/>
      <c r="H915" s="388"/>
      <c r="I915" s="388"/>
      <c r="J915" s="642"/>
      <c r="K915" s="642"/>
      <c r="L915" s="642"/>
      <c r="M915" s="388"/>
      <c r="N915" s="388"/>
      <c r="O915" s="388"/>
      <c r="P915" s="388"/>
      <c r="Q915" s="388"/>
      <c r="R915" s="388"/>
      <c r="S915" s="388"/>
      <c r="T915" s="388"/>
      <c r="U915" s="388"/>
      <c r="V915" s="388"/>
      <c r="W915" s="388"/>
      <c r="X915" s="388"/>
      <c r="Y915" s="388"/>
      <c r="Z915" s="388"/>
      <c r="AA915" s="388"/>
      <c r="AB915" s="388"/>
      <c r="AC915" s="388"/>
    </row>
    <row r="916">
      <c r="A916" s="388"/>
      <c r="B916" s="388"/>
      <c r="C916" s="388"/>
      <c r="D916" s="388"/>
      <c r="E916" s="388"/>
      <c r="F916" s="388"/>
      <c r="G916" s="388"/>
      <c r="H916" s="388"/>
      <c r="I916" s="388"/>
      <c r="J916" s="642"/>
      <c r="K916" s="642"/>
      <c r="L916" s="642"/>
      <c r="M916" s="388"/>
      <c r="N916" s="388"/>
      <c r="O916" s="388"/>
      <c r="P916" s="388"/>
      <c r="Q916" s="388"/>
      <c r="R916" s="388"/>
      <c r="S916" s="388"/>
      <c r="T916" s="388"/>
      <c r="U916" s="388"/>
      <c r="V916" s="388"/>
      <c r="W916" s="388"/>
      <c r="X916" s="388"/>
      <c r="Y916" s="388"/>
      <c r="Z916" s="388"/>
      <c r="AA916" s="388"/>
      <c r="AB916" s="388"/>
      <c r="AC916" s="388"/>
    </row>
    <row r="917">
      <c r="A917" s="388"/>
      <c r="B917" s="388"/>
      <c r="C917" s="388"/>
      <c r="D917" s="388"/>
      <c r="E917" s="388"/>
      <c r="F917" s="388"/>
      <c r="G917" s="388"/>
      <c r="H917" s="388"/>
      <c r="I917" s="388"/>
      <c r="J917" s="642"/>
      <c r="K917" s="642"/>
      <c r="L917" s="642"/>
      <c r="M917" s="388"/>
      <c r="N917" s="388"/>
      <c r="O917" s="388"/>
      <c r="P917" s="388"/>
      <c r="Q917" s="388"/>
      <c r="R917" s="388"/>
      <c r="S917" s="388"/>
      <c r="T917" s="388"/>
      <c r="U917" s="388"/>
      <c r="V917" s="388"/>
      <c r="W917" s="388"/>
      <c r="X917" s="388"/>
      <c r="Y917" s="388"/>
      <c r="Z917" s="388"/>
      <c r="AA917" s="388"/>
      <c r="AB917" s="388"/>
      <c r="AC917" s="388"/>
    </row>
    <row r="918">
      <c r="A918" s="388"/>
      <c r="B918" s="388"/>
      <c r="C918" s="388"/>
      <c r="D918" s="388"/>
      <c r="E918" s="388"/>
      <c r="F918" s="388"/>
      <c r="G918" s="388"/>
      <c r="H918" s="388"/>
      <c r="I918" s="388"/>
      <c r="J918" s="642"/>
      <c r="K918" s="642"/>
      <c r="L918" s="642"/>
      <c r="M918" s="388"/>
      <c r="N918" s="388"/>
      <c r="O918" s="388"/>
      <c r="P918" s="388"/>
      <c r="Q918" s="388"/>
      <c r="R918" s="388"/>
      <c r="S918" s="388"/>
      <c r="T918" s="388"/>
      <c r="U918" s="388"/>
      <c r="V918" s="388"/>
      <c r="W918" s="388"/>
      <c r="X918" s="388"/>
      <c r="Y918" s="388"/>
      <c r="Z918" s="388"/>
      <c r="AA918" s="388"/>
      <c r="AB918" s="388"/>
      <c r="AC918" s="388"/>
    </row>
    <row r="919">
      <c r="A919" s="388"/>
      <c r="B919" s="388"/>
      <c r="C919" s="388"/>
      <c r="D919" s="388"/>
      <c r="E919" s="388"/>
      <c r="F919" s="388"/>
      <c r="G919" s="388"/>
      <c r="H919" s="388"/>
      <c r="I919" s="388"/>
      <c r="J919" s="642"/>
      <c r="K919" s="642"/>
      <c r="L919" s="642"/>
      <c r="M919" s="388"/>
      <c r="N919" s="388"/>
      <c r="O919" s="388"/>
      <c r="P919" s="388"/>
      <c r="Q919" s="388"/>
      <c r="R919" s="388"/>
      <c r="S919" s="388"/>
      <c r="T919" s="388"/>
      <c r="U919" s="388"/>
      <c r="V919" s="388"/>
      <c r="W919" s="388"/>
      <c r="X919" s="388"/>
      <c r="Y919" s="388"/>
      <c r="Z919" s="388"/>
      <c r="AA919" s="388"/>
      <c r="AB919" s="388"/>
      <c r="AC919" s="388"/>
    </row>
    <row r="920">
      <c r="A920" s="388"/>
      <c r="B920" s="388"/>
      <c r="C920" s="388"/>
      <c r="D920" s="388"/>
      <c r="E920" s="388"/>
      <c r="F920" s="388"/>
      <c r="G920" s="388"/>
      <c r="H920" s="388"/>
      <c r="I920" s="388"/>
      <c r="J920" s="642"/>
      <c r="K920" s="642"/>
      <c r="L920" s="642"/>
      <c r="M920" s="388"/>
      <c r="N920" s="388"/>
      <c r="O920" s="388"/>
      <c r="P920" s="388"/>
      <c r="Q920" s="388"/>
      <c r="R920" s="388"/>
      <c r="S920" s="388"/>
      <c r="T920" s="388"/>
      <c r="U920" s="388"/>
      <c r="V920" s="388"/>
      <c r="W920" s="388"/>
      <c r="X920" s="388"/>
      <c r="Y920" s="388"/>
      <c r="Z920" s="388"/>
      <c r="AA920" s="388"/>
      <c r="AB920" s="388"/>
      <c r="AC920" s="388"/>
    </row>
    <row r="921">
      <c r="A921" s="388"/>
      <c r="B921" s="388"/>
      <c r="C921" s="388"/>
      <c r="D921" s="388"/>
      <c r="E921" s="388"/>
      <c r="F921" s="388"/>
      <c r="G921" s="388"/>
      <c r="H921" s="388"/>
      <c r="I921" s="388"/>
      <c r="J921" s="642"/>
      <c r="K921" s="642"/>
      <c r="L921" s="642"/>
      <c r="M921" s="388"/>
      <c r="N921" s="388"/>
      <c r="O921" s="388"/>
      <c r="P921" s="388"/>
      <c r="Q921" s="388"/>
      <c r="R921" s="388"/>
      <c r="S921" s="388"/>
      <c r="T921" s="388"/>
      <c r="U921" s="388"/>
      <c r="V921" s="388"/>
      <c r="W921" s="388"/>
      <c r="X921" s="388"/>
      <c r="Y921" s="388"/>
      <c r="Z921" s="388"/>
      <c r="AA921" s="388"/>
      <c r="AB921" s="388"/>
      <c r="AC921" s="388"/>
    </row>
    <row r="922">
      <c r="A922" s="388"/>
      <c r="B922" s="388"/>
      <c r="C922" s="388"/>
      <c r="D922" s="388"/>
      <c r="E922" s="388"/>
      <c r="F922" s="388"/>
      <c r="G922" s="388"/>
      <c r="H922" s="388"/>
      <c r="I922" s="388"/>
      <c r="J922" s="642"/>
      <c r="K922" s="642"/>
      <c r="L922" s="642"/>
      <c r="M922" s="388"/>
      <c r="N922" s="388"/>
      <c r="O922" s="388"/>
      <c r="P922" s="388"/>
      <c r="Q922" s="388"/>
      <c r="R922" s="388"/>
      <c r="S922" s="388"/>
      <c r="T922" s="388"/>
      <c r="U922" s="388"/>
      <c r="V922" s="388"/>
      <c r="W922" s="388"/>
      <c r="X922" s="388"/>
      <c r="Y922" s="388"/>
      <c r="Z922" s="388"/>
      <c r="AA922" s="388"/>
      <c r="AB922" s="388"/>
      <c r="AC922" s="388"/>
    </row>
    <row r="923">
      <c r="A923" s="388"/>
      <c r="B923" s="388"/>
      <c r="C923" s="388"/>
      <c r="D923" s="388"/>
      <c r="E923" s="388"/>
      <c r="F923" s="388"/>
      <c r="G923" s="388"/>
      <c r="H923" s="388"/>
      <c r="I923" s="388"/>
      <c r="J923" s="642"/>
      <c r="K923" s="642"/>
      <c r="L923" s="642"/>
      <c r="M923" s="388"/>
      <c r="N923" s="388"/>
      <c r="O923" s="388"/>
      <c r="P923" s="388"/>
      <c r="Q923" s="388"/>
      <c r="R923" s="388"/>
      <c r="S923" s="388"/>
      <c r="T923" s="388"/>
      <c r="U923" s="388"/>
      <c r="V923" s="388"/>
      <c r="W923" s="388"/>
      <c r="X923" s="388"/>
      <c r="Y923" s="388"/>
      <c r="Z923" s="388"/>
      <c r="AA923" s="388"/>
      <c r="AB923" s="388"/>
      <c r="AC923" s="388"/>
    </row>
    <row r="924">
      <c r="A924" s="388"/>
      <c r="B924" s="388"/>
      <c r="C924" s="388"/>
      <c r="D924" s="388"/>
      <c r="E924" s="388"/>
      <c r="F924" s="388"/>
      <c r="G924" s="388"/>
      <c r="H924" s="388"/>
      <c r="I924" s="388"/>
      <c r="J924" s="642"/>
      <c r="K924" s="642"/>
      <c r="L924" s="642"/>
      <c r="M924" s="388"/>
      <c r="N924" s="388"/>
      <c r="O924" s="388"/>
      <c r="P924" s="388"/>
      <c r="Q924" s="388"/>
      <c r="R924" s="388"/>
      <c r="S924" s="388"/>
      <c r="T924" s="388"/>
      <c r="U924" s="388"/>
      <c r="V924" s="388"/>
      <c r="W924" s="388"/>
      <c r="X924" s="388"/>
      <c r="Y924" s="388"/>
      <c r="Z924" s="388"/>
      <c r="AA924" s="388"/>
      <c r="AB924" s="388"/>
      <c r="AC924" s="388"/>
    </row>
    <row r="925">
      <c r="A925" s="388"/>
      <c r="B925" s="388"/>
      <c r="C925" s="388"/>
      <c r="D925" s="388"/>
      <c r="E925" s="388"/>
      <c r="F925" s="388"/>
      <c r="G925" s="388"/>
      <c r="H925" s="388"/>
      <c r="I925" s="388"/>
      <c r="J925" s="642"/>
      <c r="K925" s="642"/>
      <c r="L925" s="642"/>
      <c r="M925" s="388"/>
      <c r="N925" s="388"/>
      <c r="O925" s="388"/>
      <c r="P925" s="388"/>
      <c r="Q925" s="388"/>
      <c r="R925" s="388"/>
      <c r="S925" s="388"/>
      <c r="T925" s="388"/>
      <c r="U925" s="388"/>
      <c r="V925" s="388"/>
      <c r="W925" s="388"/>
      <c r="X925" s="388"/>
      <c r="Y925" s="388"/>
      <c r="Z925" s="388"/>
      <c r="AA925" s="388"/>
      <c r="AB925" s="388"/>
      <c r="AC925" s="388"/>
    </row>
    <row r="926">
      <c r="A926" s="388"/>
      <c r="B926" s="388"/>
      <c r="C926" s="388"/>
      <c r="D926" s="388"/>
      <c r="E926" s="388"/>
      <c r="F926" s="388"/>
      <c r="G926" s="388"/>
      <c r="H926" s="388"/>
      <c r="I926" s="388"/>
      <c r="J926" s="642"/>
      <c r="K926" s="642"/>
      <c r="L926" s="642"/>
      <c r="M926" s="388"/>
      <c r="N926" s="388"/>
      <c r="O926" s="388"/>
      <c r="P926" s="388"/>
      <c r="Q926" s="388"/>
      <c r="R926" s="388"/>
      <c r="S926" s="388"/>
      <c r="T926" s="388"/>
      <c r="U926" s="388"/>
      <c r="V926" s="388"/>
      <c r="W926" s="388"/>
      <c r="X926" s="388"/>
      <c r="Y926" s="388"/>
      <c r="Z926" s="388"/>
      <c r="AA926" s="388"/>
      <c r="AB926" s="388"/>
      <c r="AC926" s="388"/>
    </row>
    <row r="927">
      <c r="A927" s="388"/>
      <c r="B927" s="388"/>
      <c r="C927" s="388"/>
      <c r="D927" s="388"/>
      <c r="E927" s="388"/>
      <c r="F927" s="388"/>
      <c r="G927" s="388"/>
      <c r="H927" s="388"/>
      <c r="I927" s="388"/>
      <c r="J927" s="642"/>
      <c r="K927" s="642"/>
      <c r="L927" s="642"/>
      <c r="M927" s="388"/>
      <c r="N927" s="388"/>
      <c r="O927" s="388"/>
      <c r="P927" s="388"/>
      <c r="Q927" s="388"/>
      <c r="R927" s="388"/>
      <c r="S927" s="388"/>
      <c r="T927" s="388"/>
      <c r="U927" s="388"/>
      <c r="V927" s="388"/>
      <c r="W927" s="388"/>
      <c r="X927" s="388"/>
      <c r="Y927" s="388"/>
      <c r="Z927" s="388"/>
      <c r="AA927" s="388"/>
      <c r="AB927" s="388"/>
      <c r="AC927" s="388"/>
    </row>
    <row r="928">
      <c r="A928" s="388"/>
      <c r="B928" s="388"/>
      <c r="C928" s="388"/>
      <c r="D928" s="388"/>
      <c r="E928" s="388"/>
      <c r="F928" s="388"/>
      <c r="G928" s="388"/>
      <c r="H928" s="388"/>
      <c r="I928" s="388"/>
      <c r="J928" s="642"/>
      <c r="K928" s="642"/>
      <c r="L928" s="642"/>
      <c r="M928" s="388"/>
      <c r="N928" s="388"/>
      <c r="O928" s="388"/>
      <c r="P928" s="388"/>
      <c r="Q928" s="388"/>
      <c r="R928" s="388"/>
      <c r="S928" s="388"/>
      <c r="T928" s="388"/>
      <c r="U928" s="388"/>
      <c r="V928" s="388"/>
      <c r="W928" s="388"/>
      <c r="X928" s="388"/>
      <c r="Y928" s="388"/>
      <c r="Z928" s="388"/>
      <c r="AA928" s="388"/>
      <c r="AB928" s="388"/>
      <c r="AC928" s="388"/>
    </row>
    <row r="929">
      <c r="A929" s="388"/>
      <c r="B929" s="388"/>
      <c r="C929" s="388"/>
      <c r="D929" s="388"/>
      <c r="E929" s="388"/>
      <c r="F929" s="388"/>
      <c r="G929" s="388"/>
      <c r="H929" s="388"/>
      <c r="I929" s="388"/>
      <c r="J929" s="642"/>
      <c r="K929" s="642"/>
      <c r="L929" s="642"/>
      <c r="M929" s="388"/>
      <c r="N929" s="388"/>
      <c r="O929" s="388"/>
      <c r="P929" s="388"/>
      <c r="Q929" s="388"/>
      <c r="R929" s="388"/>
      <c r="S929" s="388"/>
      <c r="T929" s="388"/>
      <c r="U929" s="388"/>
      <c r="V929" s="388"/>
      <c r="W929" s="388"/>
      <c r="X929" s="388"/>
      <c r="Y929" s="388"/>
      <c r="Z929" s="388"/>
      <c r="AA929" s="388"/>
      <c r="AB929" s="388"/>
      <c r="AC929" s="388"/>
    </row>
    <row r="930">
      <c r="A930" s="388"/>
      <c r="B930" s="388"/>
      <c r="C930" s="388"/>
      <c r="D930" s="388"/>
      <c r="E930" s="388"/>
      <c r="F930" s="388"/>
      <c r="G930" s="388"/>
      <c r="H930" s="388"/>
      <c r="I930" s="388"/>
      <c r="J930" s="642"/>
      <c r="K930" s="642"/>
      <c r="L930" s="642"/>
      <c r="M930" s="388"/>
      <c r="N930" s="388"/>
      <c r="O930" s="388"/>
      <c r="P930" s="388"/>
      <c r="Q930" s="388"/>
      <c r="R930" s="388"/>
      <c r="S930" s="388"/>
      <c r="T930" s="388"/>
      <c r="U930" s="388"/>
      <c r="V930" s="388"/>
      <c r="W930" s="388"/>
      <c r="X930" s="388"/>
      <c r="Y930" s="388"/>
      <c r="Z930" s="388"/>
      <c r="AA930" s="388"/>
      <c r="AB930" s="388"/>
      <c r="AC930" s="388"/>
    </row>
    <row r="931">
      <c r="A931" s="388"/>
      <c r="B931" s="388"/>
      <c r="C931" s="388"/>
      <c r="D931" s="388"/>
      <c r="E931" s="388"/>
      <c r="F931" s="388"/>
      <c r="G931" s="388"/>
      <c r="H931" s="388"/>
      <c r="I931" s="388"/>
      <c r="J931" s="642"/>
      <c r="K931" s="642"/>
      <c r="L931" s="642"/>
      <c r="M931" s="388"/>
      <c r="N931" s="388"/>
      <c r="O931" s="388"/>
      <c r="P931" s="388"/>
      <c r="Q931" s="388"/>
      <c r="R931" s="388"/>
      <c r="S931" s="388"/>
      <c r="T931" s="388"/>
      <c r="U931" s="388"/>
      <c r="V931" s="388"/>
      <c r="W931" s="388"/>
      <c r="X931" s="388"/>
      <c r="Y931" s="388"/>
      <c r="Z931" s="388"/>
      <c r="AA931" s="388"/>
      <c r="AB931" s="388"/>
      <c r="AC931" s="388"/>
    </row>
    <row r="932">
      <c r="A932" s="388"/>
      <c r="B932" s="388"/>
      <c r="C932" s="388"/>
      <c r="D932" s="388"/>
      <c r="E932" s="388"/>
      <c r="F932" s="388"/>
      <c r="G932" s="388"/>
      <c r="H932" s="388"/>
      <c r="I932" s="388"/>
      <c r="J932" s="642"/>
      <c r="K932" s="642"/>
      <c r="L932" s="642"/>
      <c r="M932" s="388"/>
      <c r="N932" s="388"/>
      <c r="O932" s="388"/>
      <c r="P932" s="388"/>
      <c r="Q932" s="388"/>
      <c r="R932" s="388"/>
      <c r="S932" s="388"/>
      <c r="T932" s="388"/>
      <c r="U932" s="388"/>
      <c r="V932" s="388"/>
      <c r="W932" s="388"/>
      <c r="X932" s="388"/>
      <c r="Y932" s="388"/>
      <c r="Z932" s="388"/>
      <c r="AA932" s="388"/>
      <c r="AB932" s="388"/>
      <c r="AC932" s="388"/>
    </row>
    <row r="933">
      <c r="A933" s="388"/>
      <c r="B933" s="388"/>
      <c r="C933" s="388"/>
      <c r="D933" s="388"/>
      <c r="E933" s="388"/>
      <c r="F933" s="388"/>
      <c r="G933" s="388"/>
      <c r="H933" s="388"/>
      <c r="I933" s="388"/>
      <c r="J933" s="642"/>
      <c r="K933" s="642"/>
      <c r="L933" s="642"/>
      <c r="M933" s="388"/>
      <c r="N933" s="388"/>
      <c r="O933" s="388"/>
      <c r="P933" s="388"/>
      <c r="Q933" s="388"/>
      <c r="R933" s="388"/>
      <c r="S933" s="388"/>
      <c r="T933" s="388"/>
      <c r="U933" s="388"/>
      <c r="V933" s="388"/>
      <c r="W933" s="388"/>
      <c r="X933" s="388"/>
      <c r="Y933" s="388"/>
      <c r="Z933" s="388"/>
      <c r="AA933" s="388"/>
      <c r="AB933" s="388"/>
      <c r="AC933" s="388"/>
    </row>
    <row r="934">
      <c r="A934" s="388"/>
      <c r="B934" s="388"/>
      <c r="C934" s="388"/>
      <c r="D934" s="388"/>
      <c r="E934" s="388"/>
      <c r="F934" s="388"/>
      <c r="G934" s="388"/>
      <c r="H934" s="388"/>
      <c r="I934" s="388"/>
      <c r="J934" s="642"/>
      <c r="K934" s="642"/>
      <c r="L934" s="642"/>
      <c r="M934" s="388"/>
      <c r="N934" s="388"/>
      <c r="O934" s="388"/>
      <c r="P934" s="388"/>
      <c r="Q934" s="388"/>
      <c r="R934" s="388"/>
      <c r="S934" s="388"/>
      <c r="T934" s="388"/>
      <c r="U934" s="388"/>
      <c r="V934" s="388"/>
      <c r="W934" s="388"/>
      <c r="X934" s="388"/>
      <c r="Y934" s="388"/>
      <c r="Z934" s="388"/>
      <c r="AA934" s="388"/>
      <c r="AB934" s="388"/>
      <c r="AC934" s="388"/>
    </row>
    <row r="935">
      <c r="A935" s="388"/>
      <c r="B935" s="388"/>
      <c r="C935" s="388"/>
      <c r="D935" s="388"/>
      <c r="E935" s="388"/>
      <c r="F935" s="388"/>
      <c r="G935" s="388"/>
      <c r="H935" s="388"/>
      <c r="I935" s="388"/>
      <c r="J935" s="642"/>
      <c r="K935" s="642"/>
      <c r="L935" s="642"/>
      <c r="M935" s="388"/>
      <c r="N935" s="388"/>
      <c r="O935" s="388"/>
      <c r="P935" s="388"/>
      <c r="Q935" s="388"/>
      <c r="R935" s="388"/>
      <c r="S935" s="388"/>
      <c r="T935" s="388"/>
      <c r="U935" s="388"/>
      <c r="V935" s="388"/>
      <c r="W935" s="388"/>
      <c r="X935" s="388"/>
      <c r="Y935" s="388"/>
      <c r="Z935" s="388"/>
      <c r="AA935" s="388"/>
      <c r="AB935" s="388"/>
      <c r="AC935" s="388"/>
    </row>
    <row r="936">
      <c r="A936" s="388"/>
      <c r="B936" s="388"/>
      <c r="C936" s="388"/>
      <c r="D936" s="388"/>
      <c r="E936" s="388"/>
      <c r="F936" s="388"/>
      <c r="G936" s="388"/>
      <c r="H936" s="388"/>
      <c r="I936" s="388"/>
      <c r="J936" s="642"/>
      <c r="K936" s="642"/>
      <c r="L936" s="642"/>
      <c r="M936" s="388"/>
      <c r="N936" s="388"/>
      <c r="O936" s="388"/>
      <c r="P936" s="388"/>
      <c r="Q936" s="388"/>
      <c r="R936" s="388"/>
      <c r="S936" s="388"/>
      <c r="T936" s="388"/>
      <c r="U936" s="388"/>
      <c r="V936" s="388"/>
      <c r="W936" s="388"/>
      <c r="X936" s="388"/>
      <c r="Y936" s="388"/>
      <c r="Z936" s="388"/>
      <c r="AA936" s="388"/>
      <c r="AB936" s="388"/>
      <c r="AC936" s="388"/>
    </row>
    <row r="937">
      <c r="A937" s="388"/>
      <c r="B937" s="388"/>
      <c r="C937" s="388"/>
      <c r="D937" s="388"/>
      <c r="E937" s="388"/>
      <c r="F937" s="388"/>
      <c r="G937" s="388"/>
      <c r="H937" s="388"/>
      <c r="I937" s="388"/>
      <c r="J937" s="642"/>
      <c r="K937" s="642"/>
      <c r="L937" s="642"/>
      <c r="M937" s="388"/>
      <c r="N937" s="388"/>
      <c r="O937" s="388"/>
      <c r="P937" s="388"/>
      <c r="Q937" s="388"/>
      <c r="R937" s="388"/>
      <c r="S937" s="388"/>
      <c r="T937" s="388"/>
      <c r="U937" s="388"/>
      <c r="V937" s="388"/>
      <c r="W937" s="388"/>
      <c r="X937" s="388"/>
      <c r="Y937" s="388"/>
      <c r="Z937" s="388"/>
      <c r="AA937" s="388"/>
      <c r="AB937" s="388"/>
      <c r="AC937" s="388"/>
    </row>
    <row r="938">
      <c r="A938" s="388"/>
      <c r="B938" s="388"/>
      <c r="C938" s="388"/>
      <c r="D938" s="388"/>
      <c r="E938" s="388"/>
      <c r="F938" s="388"/>
      <c r="G938" s="388"/>
      <c r="H938" s="388"/>
      <c r="I938" s="388"/>
      <c r="J938" s="642"/>
      <c r="K938" s="642"/>
      <c r="L938" s="642"/>
      <c r="M938" s="388"/>
      <c r="N938" s="388"/>
      <c r="O938" s="388"/>
      <c r="P938" s="388"/>
      <c r="Q938" s="388"/>
      <c r="R938" s="388"/>
      <c r="S938" s="388"/>
      <c r="T938" s="388"/>
      <c r="U938" s="388"/>
      <c r="V938" s="388"/>
      <c r="W938" s="388"/>
      <c r="X938" s="388"/>
      <c r="Y938" s="388"/>
      <c r="Z938" s="388"/>
      <c r="AA938" s="388"/>
      <c r="AB938" s="388"/>
      <c r="AC938" s="388"/>
    </row>
    <row r="939">
      <c r="A939" s="388"/>
      <c r="B939" s="388"/>
      <c r="C939" s="388"/>
      <c r="D939" s="388"/>
      <c r="E939" s="388"/>
      <c r="F939" s="388"/>
      <c r="G939" s="388"/>
      <c r="H939" s="388"/>
      <c r="I939" s="388"/>
      <c r="J939" s="642"/>
      <c r="K939" s="642"/>
      <c r="L939" s="642"/>
      <c r="M939" s="388"/>
      <c r="N939" s="388"/>
      <c r="O939" s="388"/>
      <c r="P939" s="388"/>
      <c r="Q939" s="388"/>
      <c r="R939" s="388"/>
      <c r="S939" s="388"/>
      <c r="T939" s="388"/>
      <c r="U939" s="388"/>
      <c r="V939" s="388"/>
      <c r="W939" s="388"/>
      <c r="X939" s="388"/>
      <c r="Y939" s="388"/>
      <c r="Z939" s="388"/>
      <c r="AA939" s="388"/>
      <c r="AB939" s="388"/>
      <c r="AC939" s="388"/>
    </row>
    <row r="940">
      <c r="A940" s="388"/>
      <c r="B940" s="388"/>
      <c r="C940" s="388"/>
      <c r="D940" s="388"/>
      <c r="E940" s="388"/>
      <c r="F940" s="388"/>
      <c r="G940" s="388"/>
      <c r="H940" s="388"/>
      <c r="I940" s="388"/>
      <c r="J940" s="642"/>
      <c r="K940" s="642"/>
      <c r="L940" s="642"/>
      <c r="M940" s="388"/>
      <c r="N940" s="388"/>
      <c r="O940" s="388"/>
      <c r="P940" s="388"/>
      <c r="Q940" s="388"/>
      <c r="R940" s="388"/>
      <c r="S940" s="388"/>
      <c r="T940" s="388"/>
      <c r="U940" s="388"/>
      <c r="V940" s="388"/>
      <c r="W940" s="388"/>
      <c r="X940" s="388"/>
      <c r="Y940" s="388"/>
      <c r="Z940" s="388"/>
      <c r="AA940" s="388"/>
      <c r="AB940" s="388"/>
      <c r="AC940" s="388"/>
    </row>
    <row r="941">
      <c r="A941" s="388"/>
      <c r="B941" s="388"/>
      <c r="C941" s="388"/>
      <c r="D941" s="388"/>
      <c r="E941" s="388"/>
      <c r="F941" s="388"/>
      <c r="G941" s="388"/>
      <c r="H941" s="388"/>
      <c r="I941" s="388"/>
      <c r="J941" s="642"/>
      <c r="K941" s="642"/>
      <c r="L941" s="642"/>
      <c r="M941" s="388"/>
      <c r="N941" s="388"/>
      <c r="O941" s="388"/>
      <c r="P941" s="388"/>
      <c r="Q941" s="388"/>
      <c r="R941" s="388"/>
      <c r="S941" s="388"/>
      <c r="T941" s="388"/>
      <c r="U941" s="388"/>
      <c r="V941" s="388"/>
      <c r="W941" s="388"/>
      <c r="X941" s="388"/>
      <c r="Y941" s="388"/>
      <c r="Z941" s="388"/>
      <c r="AA941" s="388"/>
      <c r="AB941" s="388"/>
      <c r="AC941" s="388"/>
    </row>
    <row r="942">
      <c r="A942" s="388"/>
      <c r="B942" s="388"/>
      <c r="C942" s="388"/>
      <c r="D942" s="388"/>
      <c r="E942" s="388"/>
      <c r="F942" s="388"/>
      <c r="G942" s="388"/>
      <c r="H942" s="388"/>
      <c r="I942" s="388"/>
      <c r="J942" s="642"/>
      <c r="K942" s="642"/>
      <c r="L942" s="642"/>
      <c r="M942" s="388"/>
      <c r="N942" s="388"/>
      <c r="O942" s="388"/>
      <c r="P942" s="388"/>
      <c r="Q942" s="388"/>
      <c r="R942" s="388"/>
      <c r="S942" s="388"/>
      <c r="T942" s="388"/>
      <c r="U942" s="388"/>
      <c r="V942" s="388"/>
      <c r="W942" s="388"/>
      <c r="X942" s="388"/>
      <c r="Y942" s="388"/>
      <c r="Z942" s="388"/>
      <c r="AA942" s="388"/>
      <c r="AB942" s="388"/>
      <c r="AC942" s="388"/>
    </row>
    <row r="943">
      <c r="A943" s="388"/>
      <c r="B943" s="388"/>
      <c r="C943" s="388"/>
      <c r="D943" s="388"/>
      <c r="E943" s="388"/>
      <c r="F943" s="388"/>
      <c r="G943" s="388"/>
      <c r="H943" s="388"/>
      <c r="I943" s="388"/>
      <c r="J943" s="642"/>
      <c r="K943" s="642"/>
      <c r="L943" s="642"/>
      <c r="M943" s="388"/>
      <c r="N943" s="388"/>
      <c r="O943" s="388"/>
      <c r="P943" s="388"/>
      <c r="Q943" s="388"/>
      <c r="R943" s="388"/>
      <c r="S943" s="388"/>
      <c r="T943" s="388"/>
      <c r="U943" s="388"/>
      <c r="V943" s="388"/>
      <c r="W943" s="388"/>
      <c r="X943" s="388"/>
      <c r="Y943" s="388"/>
      <c r="Z943" s="388"/>
      <c r="AA943" s="388"/>
      <c r="AB943" s="388"/>
      <c r="AC943" s="388"/>
    </row>
    <row r="944">
      <c r="A944" s="388"/>
      <c r="B944" s="388"/>
      <c r="C944" s="388"/>
      <c r="D944" s="388"/>
      <c r="E944" s="388"/>
      <c r="F944" s="388"/>
      <c r="G944" s="388"/>
      <c r="H944" s="388"/>
      <c r="I944" s="388"/>
      <c r="J944" s="642"/>
      <c r="K944" s="642"/>
      <c r="L944" s="642"/>
      <c r="M944" s="388"/>
      <c r="N944" s="388"/>
      <c r="O944" s="388"/>
      <c r="P944" s="388"/>
      <c r="Q944" s="388"/>
      <c r="R944" s="388"/>
      <c r="S944" s="388"/>
      <c r="T944" s="388"/>
      <c r="U944" s="388"/>
      <c r="V944" s="388"/>
      <c r="W944" s="388"/>
      <c r="X944" s="388"/>
      <c r="Y944" s="388"/>
      <c r="Z944" s="388"/>
      <c r="AA944" s="388"/>
      <c r="AB944" s="388"/>
      <c r="AC944" s="388"/>
    </row>
    <row r="945">
      <c r="A945" s="388"/>
      <c r="B945" s="388"/>
      <c r="C945" s="388"/>
      <c r="D945" s="388"/>
      <c r="E945" s="388"/>
      <c r="F945" s="388"/>
      <c r="G945" s="388"/>
      <c r="H945" s="388"/>
      <c r="I945" s="388"/>
      <c r="J945" s="642"/>
      <c r="K945" s="642"/>
      <c r="L945" s="642"/>
      <c r="M945" s="388"/>
      <c r="N945" s="388"/>
      <c r="O945" s="388"/>
      <c r="P945" s="388"/>
      <c r="Q945" s="388"/>
      <c r="R945" s="388"/>
      <c r="S945" s="388"/>
      <c r="T945" s="388"/>
      <c r="U945" s="388"/>
      <c r="V945" s="388"/>
      <c r="W945" s="388"/>
      <c r="X945" s="388"/>
      <c r="Y945" s="388"/>
      <c r="Z945" s="388"/>
      <c r="AA945" s="388"/>
      <c r="AB945" s="388"/>
      <c r="AC945" s="388"/>
    </row>
    <row r="946">
      <c r="A946" s="388"/>
      <c r="B946" s="388"/>
      <c r="C946" s="388"/>
      <c r="D946" s="388"/>
      <c r="E946" s="388"/>
      <c r="F946" s="388"/>
      <c r="G946" s="388"/>
      <c r="H946" s="388"/>
      <c r="I946" s="388"/>
      <c r="J946" s="642"/>
      <c r="K946" s="642"/>
      <c r="L946" s="642"/>
      <c r="M946" s="388"/>
      <c r="N946" s="388"/>
      <c r="O946" s="388"/>
      <c r="P946" s="388"/>
      <c r="Q946" s="388"/>
      <c r="R946" s="388"/>
      <c r="S946" s="388"/>
      <c r="T946" s="388"/>
      <c r="U946" s="388"/>
      <c r="V946" s="388"/>
      <c r="W946" s="388"/>
      <c r="X946" s="388"/>
      <c r="Y946" s="388"/>
      <c r="Z946" s="388"/>
      <c r="AA946" s="388"/>
      <c r="AB946" s="388"/>
      <c r="AC946" s="388"/>
    </row>
    <row r="947">
      <c r="A947" s="388"/>
      <c r="B947" s="388"/>
      <c r="C947" s="388"/>
      <c r="D947" s="388"/>
      <c r="E947" s="388"/>
      <c r="F947" s="388"/>
      <c r="G947" s="388"/>
      <c r="H947" s="388"/>
      <c r="I947" s="388"/>
      <c r="J947" s="642"/>
      <c r="K947" s="642"/>
      <c r="L947" s="642"/>
      <c r="M947" s="388"/>
      <c r="N947" s="388"/>
      <c r="O947" s="388"/>
      <c r="P947" s="388"/>
      <c r="Q947" s="388"/>
      <c r="R947" s="388"/>
      <c r="S947" s="388"/>
      <c r="T947" s="388"/>
      <c r="U947" s="388"/>
      <c r="V947" s="388"/>
      <c r="W947" s="388"/>
      <c r="X947" s="388"/>
      <c r="Y947" s="388"/>
      <c r="Z947" s="388"/>
      <c r="AA947" s="388"/>
      <c r="AB947" s="388"/>
      <c r="AC947" s="388"/>
    </row>
    <row r="948">
      <c r="A948" s="388"/>
      <c r="B948" s="388"/>
      <c r="C948" s="388"/>
      <c r="D948" s="388"/>
      <c r="E948" s="388"/>
      <c r="F948" s="388"/>
      <c r="G948" s="388"/>
      <c r="H948" s="388"/>
      <c r="I948" s="388"/>
      <c r="J948" s="642"/>
      <c r="K948" s="642"/>
      <c r="L948" s="642"/>
      <c r="M948" s="388"/>
      <c r="N948" s="388"/>
      <c r="O948" s="388"/>
      <c r="P948" s="388"/>
      <c r="Q948" s="388"/>
      <c r="R948" s="388"/>
      <c r="S948" s="388"/>
      <c r="T948" s="388"/>
      <c r="U948" s="388"/>
      <c r="V948" s="388"/>
      <c r="W948" s="388"/>
      <c r="X948" s="388"/>
      <c r="Y948" s="388"/>
      <c r="Z948" s="388"/>
      <c r="AA948" s="388"/>
      <c r="AB948" s="388"/>
      <c r="AC948" s="388"/>
    </row>
    <row r="949">
      <c r="A949" s="388"/>
      <c r="B949" s="388"/>
      <c r="C949" s="388"/>
      <c r="D949" s="388"/>
      <c r="E949" s="388"/>
      <c r="F949" s="388"/>
      <c r="G949" s="388"/>
      <c r="H949" s="388"/>
      <c r="I949" s="388"/>
      <c r="J949" s="642"/>
      <c r="K949" s="642"/>
      <c r="L949" s="642"/>
      <c r="M949" s="388"/>
      <c r="N949" s="388"/>
      <c r="O949" s="388"/>
      <c r="P949" s="388"/>
      <c r="Q949" s="388"/>
      <c r="R949" s="388"/>
      <c r="S949" s="388"/>
      <c r="T949" s="388"/>
      <c r="U949" s="388"/>
      <c r="V949" s="388"/>
      <c r="W949" s="388"/>
      <c r="X949" s="388"/>
      <c r="Y949" s="388"/>
      <c r="Z949" s="388"/>
      <c r="AA949" s="388"/>
      <c r="AB949" s="388"/>
      <c r="AC949" s="388"/>
    </row>
    <row r="950">
      <c r="A950" s="388"/>
      <c r="B950" s="388"/>
      <c r="C950" s="388"/>
      <c r="D950" s="388"/>
      <c r="E950" s="388"/>
      <c r="F950" s="388"/>
      <c r="G950" s="388"/>
      <c r="H950" s="388"/>
      <c r="I950" s="388"/>
      <c r="J950" s="642"/>
      <c r="K950" s="642"/>
      <c r="L950" s="642"/>
      <c r="M950" s="388"/>
      <c r="N950" s="388"/>
      <c r="O950" s="388"/>
      <c r="P950" s="388"/>
      <c r="Q950" s="388"/>
      <c r="R950" s="388"/>
      <c r="S950" s="388"/>
      <c r="T950" s="388"/>
      <c r="U950" s="388"/>
      <c r="V950" s="388"/>
      <c r="W950" s="388"/>
      <c r="X950" s="388"/>
      <c r="Y950" s="388"/>
      <c r="Z950" s="388"/>
      <c r="AA950" s="388"/>
      <c r="AB950" s="388"/>
      <c r="AC950" s="388"/>
    </row>
    <row r="951">
      <c r="A951" s="388"/>
      <c r="B951" s="388"/>
      <c r="C951" s="388"/>
      <c r="D951" s="388"/>
      <c r="E951" s="388"/>
      <c r="F951" s="388"/>
      <c r="G951" s="388"/>
      <c r="H951" s="388"/>
      <c r="I951" s="388"/>
      <c r="J951" s="642"/>
      <c r="K951" s="642"/>
      <c r="L951" s="642"/>
      <c r="M951" s="388"/>
      <c r="N951" s="388"/>
      <c r="O951" s="388"/>
      <c r="P951" s="388"/>
      <c r="Q951" s="388"/>
      <c r="R951" s="388"/>
      <c r="S951" s="388"/>
      <c r="T951" s="388"/>
      <c r="U951" s="388"/>
      <c r="V951" s="388"/>
      <c r="W951" s="388"/>
      <c r="X951" s="388"/>
      <c r="Y951" s="388"/>
      <c r="Z951" s="388"/>
      <c r="AA951" s="388"/>
      <c r="AB951" s="388"/>
      <c r="AC951" s="388"/>
    </row>
    <row r="952">
      <c r="A952" s="388"/>
      <c r="B952" s="388"/>
      <c r="C952" s="388"/>
      <c r="D952" s="388"/>
      <c r="E952" s="388"/>
      <c r="F952" s="388"/>
      <c r="G952" s="388"/>
      <c r="H952" s="388"/>
      <c r="I952" s="388"/>
      <c r="J952" s="642"/>
      <c r="K952" s="642"/>
      <c r="L952" s="642"/>
      <c r="M952" s="388"/>
      <c r="N952" s="388"/>
      <c r="O952" s="388"/>
      <c r="P952" s="388"/>
      <c r="Q952" s="388"/>
      <c r="R952" s="388"/>
      <c r="S952" s="388"/>
      <c r="T952" s="388"/>
      <c r="U952" s="388"/>
      <c r="V952" s="388"/>
      <c r="W952" s="388"/>
      <c r="X952" s="388"/>
      <c r="Y952" s="388"/>
      <c r="Z952" s="388"/>
      <c r="AA952" s="388"/>
      <c r="AB952" s="388"/>
      <c r="AC952" s="388"/>
    </row>
    <row r="953">
      <c r="A953" s="388"/>
      <c r="B953" s="388"/>
      <c r="C953" s="388"/>
      <c r="D953" s="388"/>
      <c r="E953" s="388"/>
      <c r="F953" s="388"/>
      <c r="G953" s="388"/>
      <c r="H953" s="388"/>
      <c r="I953" s="388"/>
      <c r="J953" s="642"/>
      <c r="K953" s="642"/>
      <c r="L953" s="642"/>
      <c r="M953" s="388"/>
      <c r="N953" s="388"/>
      <c r="O953" s="388"/>
      <c r="P953" s="388"/>
      <c r="Q953" s="388"/>
      <c r="R953" s="388"/>
      <c r="S953" s="388"/>
      <c r="T953" s="388"/>
      <c r="U953" s="388"/>
      <c r="V953" s="388"/>
      <c r="W953" s="388"/>
      <c r="X953" s="388"/>
      <c r="Y953" s="388"/>
      <c r="Z953" s="388"/>
      <c r="AA953" s="388"/>
      <c r="AB953" s="388"/>
      <c r="AC953" s="388"/>
    </row>
    <row r="954">
      <c r="A954" s="388"/>
      <c r="B954" s="388"/>
      <c r="C954" s="388"/>
      <c r="D954" s="388"/>
      <c r="E954" s="388"/>
      <c r="F954" s="388"/>
      <c r="G954" s="388"/>
      <c r="H954" s="388"/>
      <c r="I954" s="388"/>
      <c r="J954" s="642"/>
      <c r="K954" s="642"/>
      <c r="L954" s="642"/>
      <c r="M954" s="388"/>
      <c r="N954" s="388"/>
      <c r="O954" s="388"/>
      <c r="P954" s="388"/>
      <c r="Q954" s="388"/>
      <c r="R954" s="388"/>
      <c r="S954" s="388"/>
      <c r="T954" s="388"/>
      <c r="U954" s="388"/>
      <c r="V954" s="388"/>
      <c r="W954" s="388"/>
      <c r="X954" s="388"/>
      <c r="Y954" s="388"/>
      <c r="Z954" s="388"/>
      <c r="AA954" s="388"/>
      <c r="AB954" s="388"/>
      <c r="AC954" s="388"/>
    </row>
    <row r="955">
      <c r="A955" s="388"/>
      <c r="B955" s="388"/>
      <c r="C955" s="388"/>
      <c r="D955" s="388"/>
      <c r="E955" s="388"/>
      <c r="F955" s="388"/>
      <c r="G955" s="388"/>
      <c r="H955" s="388"/>
      <c r="I955" s="388"/>
      <c r="J955" s="642"/>
      <c r="K955" s="642"/>
      <c r="L955" s="642"/>
      <c r="M955" s="388"/>
      <c r="N955" s="388"/>
      <c r="O955" s="388"/>
      <c r="P955" s="388"/>
      <c r="Q955" s="388"/>
      <c r="R955" s="388"/>
      <c r="S955" s="388"/>
      <c r="T955" s="388"/>
      <c r="U955" s="388"/>
      <c r="V955" s="388"/>
      <c r="W955" s="388"/>
      <c r="X955" s="388"/>
      <c r="Y955" s="388"/>
      <c r="Z955" s="388"/>
      <c r="AA955" s="388"/>
      <c r="AB955" s="388"/>
      <c r="AC955" s="388"/>
    </row>
    <row r="956">
      <c r="A956" s="388"/>
      <c r="B956" s="388"/>
      <c r="C956" s="388"/>
      <c r="D956" s="388"/>
      <c r="E956" s="388"/>
      <c r="F956" s="388"/>
      <c r="G956" s="388"/>
      <c r="H956" s="388"/>
      <c r="I956" s="388"/>
      <c r="J956" s="642"/>
      <c r="K956" s="642"/>
      <c r="L956" s="642"/>
      <c r="M956" s="388"/>
      <c r="N956" s="388"/>
      <c r="O956" s="388"/>
      <c r="P956" s="388"/>
      <c r="Q956" s="388"/>
      <c r="R956" s="388"/>
      <c r="S956" s="388"/>
      <c r="T956" s="388"/>
      <c r="U956" s="388"/>
      <c r="V956" s="388"/>
      <c r="W956" s="388"/>
      <c r="X956" s="388"/>
      <c r="Y956" s="388"/>
      <c r="Z956" s="388"/>
      <c r="AA956" s="388"/>
      <c r="AB956" s="388"/>
      <c r="AC956" s="388"/>
    </row>
    <row r="957">
      <c r="A957" s="388"/>
      <c r="B957" s="388"/>
      <c r="C957" s="388"/>
      <c r="D957" s="388"/>
      <c r="E957" s="388"/>
      <c r="F957" s="388"/>
      <c r="G957" s="388"/>
      <c r="H957" s="388"/>
      <c r="I957" s="388"/>
      <c r="J957" s="642"/>
      <c r="K957" s="642"/>
      <c r="L957" s="642"/>
      <c r="M957" s="388"/>
      <c r="N957" s="388"/>
      <c r="O957" s="388"/>
      <c r="P957" s="388"/>
      <c r="Q957" s="388"/>
      <c r="R957" s="388"/>
      <c r="S957" s="388"/>
      <c r="T957" s="388"/>
      <c r="U957" s="388"/>
      <c r="V957" s="388"/>
      <c r="W957" s="388"/>
      <c r="X957" s="388"/>
      <c r="Y957" s="388"/>
      <c r="Z957" s="388"/>
      <c r="AA957" s="388"/>
      <c r="AB957" s="388"/>
      <c r="AC957" s="388"/>
    </row>
    <row r="958">
      <c r="A958" s="388"/>
      <c r="B958" s="388"/>
      <c r="C958" s="388"/>
      <c r="D958" s="388"/>
      <c r="E958" s="388"/>
      <c r="F958" s="388"/>
      <c r="G958" s="388"/>
      <c r="H958" s="388"/>
      <c r="I958" s="388"/>
      <c r="J958" s="642"/>
      <c r="K958" s="642"/>
      <c r="L958" s="642"/>
      <c r="M958" s="388"/>
      <c r="N958" s="388"/>
      <c r="O958" s="388"/>
      <c r="P958" s="388"/>
      <c r="Q958" s="388"/>
      <c r="R958" s="388"/>
      <c r="S958" s="388"/>
      <c r="T958" s="388"/>
      <c r="U958" s="388"/>
      <c r="V958" s="388"/>
      <c r="W958" s="388"/>
      <c r="X958" s="388"/>
      <c r="Y958" s="388"/>
      <c r="Z958" s="388"/>
      <c r="AA958" s="388"/>
      <c r="AB958" s="388"/>
      <c r="AC958" s="388"/>
    </row>
    <row r="959">
      <c r="A959" s="388"/>
      <c r="B959" s="388"/>
      <c r="C959" s="388"/>
      <c r="D959" s="388"/>
      <c r="E959" s="388"/>
      <c r="F959" s="388"/>
      <c r="G959" s="388"/>
      <c r="H959" s="388"/>
      <c r="I959" s="388"/>
      <c r="J959" s="642"/>
      <c r="K959" s="642"/>
      <c r="L959" s="642"/>
      <c r="M959" s="388"/>
      <c r="N959" s="388"/>
      <c r="O959" s="388"/>
      <c r="P959" s="388"/>
      <c r="Q959" s="388"/>
      <c r="R959" s="388"/>
      <c r="S959" s="388"/>
      <c r="T959" s="388"/>
      <c r="U959" s="388"/>
      <c r="V959" s="388"/>
      <c r="W959" s="388"/>
      <c r="X959" s="388"/>
      <c r="Y959" s="388"/>
      <c r="Z959" s="388"/>
      <c r="AA959" s="388"/>
      <c r="AB959" s="388"/>
      <c r="AC959" s="388"/>
    </row>
    <row r="960">
      <c r="A960" s="388"/>
      <c r="B960" s="388"/>
      <c r="C960" s="388"/>
      <c r="D960" s="388"/>
      <c r="E960" s="388"/>
      <c r="F960" s="388"/>
      <c r="G960" s="388"/>
      <c r="H960" s="388"/>
      <c r="I960" s="388"/>
      <c r="J960" s="642"/>
      <c r="K960" s="642"/>
      <c r="L960" s="642"/>
      <c r="M960" s="388"/>
      <c r="N960" s="388"/>
      <c r="O960" s="388"/>
      <c r="P960" s="388"/>
      <c r="Q960" s="388"/>
      <c r="R960" s="388"/>
      <c r="S960" s="388"/>
      <c r="T960" s="388"/>
      <c r="U960" s="388"/>
      <c r="V960" s="388"/>
      <c r="W960" s="388"/>
      <c r="X960" s="388"/>
      <c r="Y960" s="388"/>
      <c r="Z960" s="388"/>
      <c r="AA960" s="388"/>
      <c r="AB960" s="388"/>
      <c r="AC960" s="388"/>
    </row>
    <row r="961">
      <c r="A961" s="388"/>
      <c r="B961" s="388"/>
      <c r="C961" s="388"/>
      <c r="D961" s="388"/>
      <c r="E961" s="388"/>
      <c r="F961" s="388"/>
      <c r="G961" s="388"/>
      <c r="H961" s="388"/>
      <c r="I961" s="388"/>
      <c r="J961" s="642"/>
      <c r="K961" s="642"/>
      <c r="L961" s="642"/>
      <c r="M961" s="388"/>
      <c r="N961" s="388"/>
      <c r="O961" s="388"/>
      <c r="P961" s="388"/>
      <c r="Q961" s="388"/>
      <c r="R961" s="388"/>
      <c r="S961" s="388"/>
      <c r="T961" s="388"/>
      <c r="U961" s="388"/>
      <c r="V961" s="388"/>
      <c r="W961" s="388"/>
      <c r="X961" s="388"/>
      <c r="Y961" s="388"/>
      <c r="Z961" s="388"/>
      <c r="AA961" s="388"/>
      <c r="AB961" s="388"/>
      <c r="AC961" s="388"/>
    </row>
    <row r="962">
      <c r="A962" s="388"/>
      <c r="B962" s="388"/>
      <c r="C962" s="388"/>
      <c r="D962" s="388"/>
      <c r="E962" s="388"/>
      <c r="F962" s="388"/>
      <c r="G962" s="388"/>
      <c r="H962" s="388"/>
      <c r="I962" s="388"/>
      <c r="J962" s="642"/>
      <c r="K962" s="642"/>
      <c r="L962" s="642"/>
      <c r="M962" s="388"/>
      <c r="N962" s="388"/>
      <c r="O962" s="388"/>
      <c r="P962" s="388"/>
      <c r="Q962" s="388"/>
      <c r="R962" s="388"/>
      <c r="S962" s="388"/>
      <c r="T962" s="388"/>
      <c r="U962" s="388"/>
      <c r="V962" s="388"/>
      <c r="W962" s="388"/>
      <c r="X962" s="388"/>
      <c r="Y962" s="388"/>
      <c r="Z962" s="388"/>
      <c r="AA962" s="388"/>
      <c r="AB962" s="388"/>
      <c r="AC962" s="388"/>
    </row>
    <row r="963">
      <c r="A963" s="388"/>
      <c r="B963" s="388"/>
      <c r="C963" s="388"/>
      <c r="D963" s="388"/>
      <c r="E963" s="388"/>
      <c r="F963" s="388"/>
      <c r="G963" s="388"/>
      <c r="H963" s="388"/>
      <c r="I963" s="388"/>
      <c r="J963" s="642"/>
      <c r="K963" s="642"/>
      <c r="L963" s="642"/>
      <c r="M963" s="388"/>
      <c r="N963" s="388"/>
      <c r="O963" s="388"/>
      <c r="P963" s="388"/>
      <c r="Q963" s="388"/>
      <c r="R963" s="388"/>
      <c r="S963" s="388"/>
      <c r="T963" s="388"/>
      <c r="U963" s="388"/>
      <c r="V963" s="388"/>
      <c r="W963" s="388"/>
      <c r="X963" s="388"/>
      <c r="Y963" s="388"/>
      <c r="Z963" s="388"/>
      <c r="AA963" s="388"/>
      <c r="AB963" s="388"/>
      <c r="AC963" s="388"/>
    </row>
    <row r="964">
      <c r="A964" s="388"/>
      <c r="B964" s="388"/>
      <c r="C964" s="388"/>
      <c r="D964" s="388"/>
      <c r="E964" s="388"/>
      <c r="F964" s="388"/>
      <c r="G964" s="388"/>
      <c r="H964" s="388"/>
      <c r="I964" s="388"/>
      <c r="J964" s="642"/>
      <c r="K964" s="642"/>
      <c r="L964" s="642"/>
      <c r="M964" s="388"/>
      <c r="N964" s="388"/>
      <c r="O964" s="388"/>
      <c r="P964" s="388"/>
      <c r="Q964" s="388"/>
      <c r="R964" s="388"/>
      <c r="S964" s="388"/>
      <c r="T964" s="388"/>
      <c r="U964" s="388"/>
      <c r="V964" s="388"/>
      <c r="W964" s="388"/>
      <c r="X964" s="388"/>
      <c r="Y964" s="388"/>
      <c r="Z964" s="388"/>
      <c r="AA964" s="388"/>
      <c r="AB964" s="388"/>
      <c r="AC964" s="388"/>
    </row>
    <row r="965">
      <c r="A965" s="388"/>
      <c r="B965" s="388"/>
      <c r="C965" s="388"/>
      <c r="D965" s="388"/>
      <c r="E965" s="388"/>
      <c r="F965" s="388"/>
      <c r="G965" s="388"/>
      <c r="H965" s="388"/>
      <c r="I965" s="388"/>
      <c r="J965" s="642"/>
      <c r="K965" s="642"/>
      <c r="L965" s="642"/>
      <c r="M965" s="388"/>
      <c r="N965" s="388"/>
      <c r="O965" s="388"/>
      <c r="P965" s="388"/>
      <c r="Q965" s="388"/>
      <c r="R965" s="388"/>
      <c r="S965" s="388"/>
      <c r="T965" s="388"/>
      <c r="U965" s="388"/>
      <c r="V965" s="388"/>
      <c r="W965" s="388"/>
      <c r="X965" s="388"/>
      <c r="Y965" s="388"/>
      <c r="Z965" s="388"/>
      <c r="AA965" s="388"/>
      <c r="AB965" s="388"/>
      <c r="AC965" s="388"/>
    </row>
    <row r="966">
      <c r="A966" s="388"/>
      <c r="B966" s="388"/>
      <c r="C966" s="388"/>
      <c r="D966" s="388"/>
      <c r="E966" s="388"/>
      <c r="F966" s="388"/>
      <c r="G966" s="388"/>
      <c r="H966" s="388"/>
      <c r="I966" s="388"/>
      <c r="J966" s="642"/>
      <c r="K966" s="642"/>
      <c r="L966" s="642"/>
      <c r="M966" s="388"/>
      <c r="N966" s="388"/>
      <c r="O966" s="388"/>
      <c r="P966" s="388"/>
      <c r="Q966" s="388"/>
      <c r="R966" s="388"/>
      <c r="S966" s="388"/>
      <c r="T966" s="388"/>
      <c r="U966" s="388"/>
      <c r="V966" s="388"/>
      <c r="W966" s="388"/>
      <c r="X966" s="388"/>
      <c r="Y966" s="388"/>
      <c r="Z966" s="388"/>
      <c r="AA966" s="388"/>
      <c r="AB966" s="388"/>
      <c r="AC966" s="388"/>
    </row>
    <row r="967">
      <c r="A967" s="388"/>
      <c r="B967" s="388"/>
      <c r="C967" s="388"/>
      <c r="D967" s="388"/>
      <c r="E967" s="388"/>
      <c r="F967" s="388"/>
      <c r="G967" s="388"/>
      <c r="H967" s="388"/>
      <c r="I967" s="388"/>
      <c r="J967" s="642"/>
      <c r="K967" s="642"/>
      <c r="L967" s="642"/>
      <c r="M967" s="388"/>
      <c r="N967" s="388"/>
      <c r="O967" s="388"/>
      <c r="P967" s="388"/>
      <c r="Q967" s="388"/>
      <c r="R967" s="388"/>
      <c r="S967" s="388"/>
      <c r="T967" s="388"/>
      <c r="U967" s="388"/>
      <c r="V967" s="388"/>
      <c r="W967" s="388"/>
      <c r="X967" s="388"/>
      <c r="Y967" s="388"/>
      <c r="Z967" s="388"/>
      <c r="AA967" s="388"/>
      <c r="AB967" s="388"/>
      <c r="AC967" s="388"/>
    </row>
    <row r="968">
      <c r="A968" s="388"/>
      <c r="B968" s="388"/>
      <c r="C968" s="388"/>
      <c r="D968" s="388"/>
      <c r="E968" s="388"/>
      <c r="F968" s="388"/>
      <c r="G968" s="388"/>
      <c r="H968" s="388"/>
      <c r="I968" s="388"/>
      <c r="J968" s="642"/>
      <c r="K968" s="642"/>
      <c r="L968" s="642"/>
      <c r="M968" s="388"/>
      <c r="N968" s="388"/>
      <c r="O968" s="388"/>
      <c r="P968" s="388"/>
      <c r="Q968" s="388"/>
      <c r="R968" s="388"/>
      <c r="S968" s="388"/>
      <c r="T968" s="388"/>
      <c r="U968" s="388"/>
      <c r="V968" s="388"/>
      <c r="W968" s="388"/>
      <c r="X968" s="388"/>
      <c r="Y968" s="388"/>
      <c r="Z968" s="388"/>
      <c r="AA968" s="388"/>
      <c r="AB968" s="388"/>
      <c r="AC968" s="388"/>
    </row>
    <row r="969">
      <c r="A969" s="388"/>
      <c r="B969" s="388"/>
      <c r="C969" s="388"/>
      <c r="D969" s="388"/>
      <c r="E969" s="388"/>
      <c r="F969" s="388"/>
      <c r="G969" s="388"/>
      <c r="H969" s="388"/>
      <c r="I969" s="388"/>
      <c r="J969" s="642"/>
      <c r="K969" s="642"/>
      <c r="L969" s="642"/>
      <c r="M969" s="388"/>
      <c r="N969" s="388"/>
      <c r="O969" s="388"/>
      <c r="P969" s="388"/>
      <c r="Q969" s="388"/>
      <c r="R969" s="388"/>
      <c r="S969" s="388"/>
      <c r="T969" s="388"/>
      <c r="U969" s="388"/>
      <c r="V969" s="388"/>
      <c r="W969" s="388"/>
      <c r="X969" s="388"/>
      <c r="Y969" s="388"/>
      <c r="Z969" s="388"/>
      <c r="AA969" s="388"/>
      <c r="AB969" s="388"/>
      <c r="AC969" s="388"/>
    </row>
    <row r="970">
      <c r="A970" s="388"/>
      <c r="B970" s="388"/>
      <c r="C970" s="388"/>
      <c r="D970" s="388"/>
      <c r="E970" s="388"/>
      <c r="F970" s="388"/>
      <c r="G970" s="388"/>
      <c r="H970" s="388"/>
      <c r="I970" s="388"/>
      <c r="J970" s="642"/>
      <c r="K970" s="642"/>
      <c r="L970" s="642"/>
      <c r="M970" s="388"/>
      <c r="N970" s="388"/>
      <c r="O970" s="388"/>
      <c r="P970" s="388"/>
      <c r="Q970" s="388"/>
      <c r="R970" s="388"/>
      <c r="S970" s="388"/>
      <c r="T970" s="388"/>
      <c r="U970" s="388"/>
      <c r="V970" s="388"/>
      <c r="W970" s="388"/>
      <c r="X970" s="388"/>
      <c r="Y970" s="388"/>
      <c r="Z970" s="388"/>
      <c r="AA970" s="388"/>
      <c r="AB970" s="388"/>
      <c r="AC970" s="388"/>
    </row>
    <row r="971">
      <c r="A971" s="388"/>
      <c r="B971" s="388"/>
      <c r="C971" s="388"/>
      <c r="D971" s="388"/>
      <c r="E971" s="388"/>
      <c r="F971" s="388"/>
      <c r="G971" s="388"/>
      <c r="H971" s="388"/>
      <c r="I971" s="388"/>
      <c r="J971" s="642"/>
      <c r="K971" s="642"/>
      <c r="L971" s="642"/>
      <c r="M971" s="388"/>
      <c r="N971" s="388"/>
      <c r="O971" s="388"/>
      <c r="P971" s="388"/>
      <c r="Q971" s="388"/>
      <c r="R971" s="388"/>
      <c r="S971" s="388"/>
      <c r="T971" s="388"/>
      <c r="U971" s="388"/>
      <c r="V971" s="388"/>
      <c r="W971" s="388"/>
      <c r="X971" s="388"/>
      <c r="Y971" s="388"/>
      <c r="Z971" s="388"/>
      <c r="AA971" s="388"/>
      <c r="AB971" s="388"/>
      <c r="AC971" s="388"/>
    </row>
    <row r="972">
      <c r="A972" s="388"/>
      <c r="B972" s="388"/>
      <c r="C972" s="388"/>
      <c r="D972" s="388"/>
      <c r="E972" s="388"/>
      <c r="F972" s="388"/>
      <c r="G972" s="388"/>
      <c r="H972" s="388"/>
      <c r="I972" s="388"/>
      <c r="J972" s="642"/>
      <c r="K972" s="642"/>
      <c r="L972" s="642"/>
      <c r="M972" s="388"/>
      <c r="N972" s="388"/>
      <c r="O972" s="388"/>
      <c r="P972" s="388"/>
      <c r="Q972" s="388"/>
      <c r="R972" s="388"/>
      <c r="S972" s="388"/>
      <c r="T972" s="388"/>
      <c r="U972" s="388"/>
      <c r="V972" s="388"/>
      <c r="W972" s="388"/>
      <c r="X972" s="388"/>
      <c r="Y972" s="388"/>
      <c r="Z972" s="388"/>
      <c r="AA972" s="388"/>
      <c r="AB972" s="388"/>
      <c r="AC972" s="388"/>
    </row>
    <row r="973">
      <c r="A973" s="388"/>
      <c r="B973" s="388"/>
      <c r="C973" s="388"/>
      <c r="D973" s="388"/>
      <c r="E973" s="388"/>
      <c r="F973" s="388"/>
      <c r="G973" s="388"/>
      <c r="H973" s="388"/>
      <c r="I973" s="388"/>
      <c r="J973" s="642"/>
      <c r="K973" s="642"/>
      <c r="L973" s="642"/>
      <c r="M973" s="388"/>
      <c r="N973" s="388"/>
      <c r="O973" s="388"/>
      <c r="P973" s="388"/>
      <c r="Q973" s="388"/>
      <c r="R973" s="388"/>
      <c r="S973" s="388"/>
      <c r="T973" s="388"/>
      <c r="U973" s="388"/>
      <c r="V973" s="388"/>
      <c r="W973" s="388"/>
      <c r="X973" s="388"/>
      <c r="Y973" s="388"/>
      <c r="Z973" s="388"/>
      <c r="AA973" s="388"/>
      <c r="AB973" s="388"/>
      <c r="AC973" s="388"/>
    </row>
    <row r="974">
      <c r="A974" s="388"/>
      <c r="B974" s="388"/>
      <c r="C974" s="388"/>
      <c r="D974" s="388"/>
      <c r="E974" s="388"/>
      <c r="F974" s="388"/>
      <c r="G974" s="388"/>
      <c r="H974" s="388"/>
      <c r="I974" s="388"/>
      <c r="J974" s="642"/>
      <c r="K974" s="642"/>
      <c r="L974" s="642"/>
      <c r="M974" s="388"/>
      <c r="N974" s="388"/>
      <c r="O974" s="388"/>
      <c r="P974" s="388"/>
      <c r="Q974" s="388"/>
      <c r="R974" s="388"/>
      <c r="S974" s="388"/>
      <c r="T974" s="388"/>
      <c r="U974" s="388"/>
      <c r="V974" s="388"/>
      <c r="W974" s="388"/>
      <c r="X974" s="388"/>
      <c r="Y974" s="388"/>
      <c r="Z974" s="388"/>
      <c r="AA974" s="388"/>
      <c r="AB974" s="388"/>
      <c r="AC974" s="388"/>
    </row>
    <row r="975">
      <c r="A975" s="388"/>
      <c r="B975" s="388"/>
      <c r="C975" s="388"/>
      <c r="D975" s="388"/>
      <c r="E975" s="388"/>
      <c r="F975" s="388"/>
      <c r="G975" s="388"/>
      <c r="H975" s="388"/>
      <c r="I975" s="388"/>
      <c r="J975" s="642"/>
      <c r="K975" s="642"/>
      <c r="L975" s="642"/>
      <c r="M975" s="388"/>
      <c r="N975" s="388"/>
      <c r="O975" s="388"/>
      <c r="P975" s="388"/>
      <c r="Q975" s="388"/>
      <c r="R975" s="388"/>
      <c r="S975" s="388"/>
      <c r="T975" s="388"/>
      <c r="U975" s="388"/>
      <c r="V975" s="388"/>
      <c r="W975" s="388"/>
      <c r="X975" s="388"/>
      <c r="Y975" s="388"/>
      <c r="Z975" s="388"/>
      <c r="AA975" s="388"/>
      <c r="AB975" s="388"/>
      <c r="AC975" s="388"/>
    </row>
    <row r="976">
      <c r="A976" s="388"/>
      <c r="B976" s="388"/>
      <c r="C976" s="388"/>
      <c r="D976" s="388"/>
      <c r="E976" s="388"/>
      <c r="F976" s="388"/>
      <c r="G976" s="388"/>
      <c r="H976" s="388"/>
      <c r="I976" s="388"/>
      <c r="J976" s="642"/>
      <c r="K976" s="642"/>
      <c r="L976" s="642"/>
      <c r="M976" s="388"/>
      <c r="N976" s="388"/>
      <c r="O976" s="388"/>
      <c r="P976" s="388"/>
      <c r="Q976" s="388"/>
      <c r="R976" s="388"/>
      <c r="S976" s="388"/>
      <c r="T976" s="388"/>
      <c r="U976" s="388"/>
      <c r="V976" s="388"/>
      <c r="W976" s="388"/>
      <c r="X976" s="388"/>
      <c r="Y976" s="388"/>
      <c r="Z976" s="388"/>
      <c r="AA976" s="388"/>
      <c r="AB976" s="388"/>
      <c r="AC976" s="388"/>
    </row>
    <row r="977">
      <c r="A977" s="388"/>
      <c r="B977" s="388"/>
      <c r="C977" s="388"/>
      <c r="D977" s="388"/>
      <c r="E977" s="388"/>
      <c r="F977" s="388"/>
      <c r="G977" s="388"/>
      <c r="H977" s="388"/>
      <c r="I977" s="388"/>
      <c r="J977" s="642"/>
      <c r="K977" s="642"/>
      <c r="L977" s="642"/>
      <c r="M977" s="388"/>
      <c r="N977" s="388"/>
      <c r="O977" s="388"/>
      <c r="P977" s="388"/>
      <c r="Q977" s="388"/>
      <c r="R977" s="388"/>
      <c r="S977" s="388"/>
      <c r="T977" s="388"/>
      <c r="U977" s="388"/>
      <c r="V977" s="388"/>
      <c r="W977" s="388"/>
      <c r="X977" s="388"/>
      <c r="Y977" s="388"/>
      <c r="Z977" s="388"/>
      <c r="AA977" s="388"/>
      <c r="AB977" s="388"/>
      <c r="AC977" s="388"/>
    </row>
    <row r="978">
      <c r="A978" s="388"/>
      <c r="B978" s="388"/>
      <c r="C978" s="388"/>
      <c r="D978" s="388"/>
      <c r="E978" s="388"/>
      <c r="F978" s="388"/>
      <c r="G978" s="388"/>
      <c r="H978" s="388"/>
      <c r="I978" s="388"/>
      <c r="J978" s="642"/>
      <c r="K978" s="642"/>
      <c r="L978" s="642"/>
      <c r="M978" s="388"/>
      <c r="N978" s="388"/>
      <c r="O978" s="388"/>
      <c r="P978" s="388"/>
      <c r="Q978" s="388"/>
      <c r="R978" s="388"/>
      <c r="S978" s="388"/>
      <c r="T978" s="388"/>
      <c r="U978" s="388"/>
      <c r="V978" s="388"/>
      <c r="W978" s="388"/>
      <c r="X978" s="388"/>
      <c r="Y978" s="388"/>
      <c r="Z978" s="388"/>
      <c r="AA978" s="388"/>
      <c r="AB978" s="388"/>
      <c r="AC978" s="388"/>
    </row>
    <row r="979">
      <c r="A979" s="388"/>
      <c r="B979" s="388"/>
      <c r="C979" s="388"/>
      <c r="D979" s="388"/>
      <c r="E979" s="388"/>
      <c r="F979" s="388"/>
      <c r="G979" s="388"/>
      <c r="H979" s="388"/>
      <c r="I979" s="388"/>
      <c r="J979" s="642"/>
      <c r="K979" s="642"/>
      <c r="L979" s="642"/>
      <c r="M979" s="388"/>
      <c r="N979" s="388"/>
      <c r="O979" s="388"/>
      <c r="P979" s="388"/>
      <c r="Q979" s="388"/>
      <c r="R979" s="388"/>
      <c r="S979" s="388"/>
      <c r="T979" s="388"/>
      <c r="U979" s="388"/>
      <c r="V979" s="388"/>
      <c r="W979" s="388"/>
      <c r="X979" s="388"/>
      <c r="Y979" s="388"/>
      <c r="Z979" s="388"/>
      <c r="AA979" s="388"/>
      <c r="AB979" s="388"/>
      <c r="AC979" s="388"/>
    </row>
    <row r="980">
      <c r="A980" s="388"/>
      <c r="B980" s="388"/>
      <c r="C980" s="388"/>
      <c r="D980" s="388"/>
      <c r="E980" s="388"/>
      <c r="F980" s="388"/>
      <c r="G980" s="388"/>
      <c r="H980" s="388"/>
      <c r="I980" s="388"/>
      <c r="J980" s="642"/>
      <c r="K980" s="642"/>
      <c r="L980" s="642"/>
      <c r="M980" s="388"/>
      <c r="N980" s="388"/>
      <c r="O980" s="388"/>
      <c r="P980" s="388"/>
      <c r="Q980" s="388"/>
      <c r="R980" s="388"/>
      <c r="S980" s="388"/>
      <c r="T980" s="388"/>
      <c r="U980" s="388"/>
      <c r="V980" s="388"/>
      <c r="W980" s="388"/>
      <c r="X980" s="388"/>
      <c r="Y980" s="388"/>
      <c r="Z980" s="388"/>
      <c r="AA980" s="388"/>
      <c r="AB980" s="388"/>
      <c r="AC980" s="388"/>
    </row>
    <row r="981">
      <c r="A981" s="388"/>
      <c r="B981" s="388"/>
      <c r="C981" s="388"/>
      <c r="D981" s="388"/>
      <c r="E981" s="388"/>
      <c r="F981" s="388"/>
      <c r="G981" s="388"/>
      <c r="H981" s="388"/>
      <c r="I981" s="388"/>
      <c r="J981" s="642"/>
      <c r="K981" s="642"/>
      <c r="L981" s="642"/>
      <c r="M981" s="388"/>
      <c r="N981" s="388"/>
      <c r="O981" s="388"/>
      <c r="P981" s="388"/>
      <c r="Q981" s="388"/>
      <c r="R981" s="388"/>
      <c r="S981" s="388"/>
      <c r="T981" s="388"/>
      <c r="U981" s="388"/>
      <c r="V981" s="388"/>
      <c r="W981" s="388"/>
      <c r="X981" s="388"/>
      <c r="Y981" s="388"/>
      <c r="Z981" s="388"/>
      <c r="AA981" s="388"/>
      <c r="AB981" s="388"/>
      <c r="AC981" s="388"/>
    </row>
    <row r="982">
      <c r="A982" s="388"/>
      <c r="B982" s="388"/>
      <c r="C982" s="388"/>
      <c r="D982" s="388"/>
      <c r="E982" s="388"/>
      <c r="F982" s="388"/>
      <c r="G982" s="388"/>
      <c r="H982" s="388"/>
      <c r="I982" s="388"/>
      <c r="J982" s="642"/>
      <c r="K982" s="642"/>
      <c r="L982" s="642"/>
      <c r="M982" s="388"/>
      <c r="N982" s="388"/>
      <c r="O982" s="388"/>
      <c r="P982" s="388"/>
      <c r="Q982" s="388"/>
      <c r="R982" s="388"/>
      <c r="S982" s="388"/>
      <c r="T982" s="388"/>
      <c r="U982" s="388"/>
      <c r="V982" s="388"/>
      <c r="W982" s="388"/>
      <c r="X982" s="388"/>
      <c r="Y982" s="388"/>
      <c r="Z982" s="388"/>
      <c r="AA982" s="388"/>
      <c r="AB982" s="388"/>
      <c r="AC982" s="388"/>
    </row>
    <row r="983">
      <c r="A983" s="388"/>
      <c r="B983" s="388"/>
      <c r="C983" s="388"/>
      <c r="D983" s="388"/>
      <c r="E983" s="388"/>
      <c r="F983" s="388"/>
      <c r="G983" s="388"/>
      <c r="H983" s="388"/>
      <c r="I983" s="388"/>
      <c r="J983" s="642"/>
      <c r="K983" s="642"/>
      <c r="L983" s="642"/>
      <c r="M983" s="388"/>
      <c r="N983" s="388"/>
      <c r="O983" s="388"/>
      <c r="P983" s="388"/>
      <c r="Q983" s="388"/>
      <c r="R983" s="388"/>
      <c r="S983" s="388"/>
      <c r="T983" s="388"/>
      <c r="U983" s="388"/>
      <c r="V983" s="388"/>
      <c r="W983" s="388"/>
      <c r="X983" s="388"/>
      <c r="Y983" s="388"/>
      <c r="Z983" s="388"/>
      <c r="AA983" s="388"/>
      <c r="AB983" s="388"/>
      <c r="AC983" s="388"/>
    </row>
    <row r="984">
      <c r="A984" s="388"/>
      <c r="B984" s="388"/>
      <c r="C984" s="388"/>
      <c r="D984" s="388"/>
      <c r="E984" s="388"/>
      <c r="F984" s="388"/>
      <c r="G984" s="388"/>
      <c r="H984" s="388"/>
      <c r="I984" s="388"/>
      <c r="J984" s="642"/>
      <c r="K984" s="642"/>
      <c r="L984" s="642"/>
      <c r="M984" s="388"/>
      <c r="N984" s="388"/>
      <c r="O984" s="388"/>
      <c r="P984" s="388"/>
      <c r="Q984" s="388"/>
      <c r="R984" s="388"/>
      <c r="S984" s="388"/>
      <c r="T984" s="388"/>
      <c r="U984" s="388"/>
      <c r="V984" s="388"/>
      <c r="W984" s="388"/>
      <c r="X984" s="388"/>
      <c r="Y984" s="388"/>
      <c r="Z984" s="388"/>
      <c r="AA984" s="388"/>
      <c r="AB984" s="388"/>
      <c r="AC984" s="388"/>
    </row>
    <row r="985">
      <c r="A985" s="388"/>
      <c r="B985" s="388"/>
      <c r="C985" s="388"/>
      <c r="D985" s="388"/>
      <c r="E985" s="388"/>
      <c r="F985" s="388"/>
      <c r="G985" s="388"/>
      <c r="H985" s="388"/>
      <c r="I985" s="388"/>
      <c r="J985" s="642"/>
      <c r="K985" s="642"/>
      <c r="L985" s="642"/>
      <c r="M985" s="388"/>
      <c r="N985" s="388"/>
      <c r="O985" s="388"/>
      <c r="P985" s="388"/>
      <c r="Q985" s="388"/>
      <c r="R985" s="388"/>
      <c r="S985" s="388"/>
      <c r="T985" s="388"/>
      <c r="U985" s="388"/>
      <c r="V985" s="388"/>
      <c r="W985" s="388"/>
      <c r="X985" s="388"/>
      <c r="Y985" s="388"/>
      <c r="Z985" s="388"/>
      <c r="AA985" s="388"/>
      <c r="AB985" s="388"/>
      <c r="AC985" s="388"/>
    </row>
    <row r="986">
      <c r="A986" s="388"/>
      <c r="B986" s="388"/>
      <c r="C986" s="388"/>
      <c r="D986" s="388"/>
      <c r="E986" s="388"/>
      <c r="F986" s="388"/>
      <c r="G986" s="388"/>
      <c r="H986" s="388"/>
      <c r="I986" s="388"/>
      <c r="J986" s="642"/>
      <c r="K986" s="642"/>
      <c r="L986" s="642"/>
      <c r="M986" s="388"/>
      <c r="N986" s="388"/>
      <c r="O986" s="388"/>
      <c r="P986" s="388"/>
      <c r="Q986" s="388"/>
      <c r="R986" s="388"/>
      <c r="S986" s="388"/>
      <c r="T986" s="388"/>
      <c r="U986" s="388"/>
      <c r="V986" s="388"/>
      <c r="W986" s="388"/>
      <c r="X986" s="388"/>
      <c r="Y986" s="388"/>
      <c r="Z986" s="388"/>
      <c r="AA986" s="388"/>
      <c r="AB986" s="388"/>
      <c r="AC986" s="388"/>
    </row>
    <row r="987">
      <c r="A987" s="388"/>
      <c r="B987" s="388"/>
      <c r="C987" s="388"/>
      <c r="D987" s="388"/>
      <c r="E987" s="388"/>
      <c r="F987" s="388"/>
      <c r="G987" s="388"/>
      <c r="H987" s="388"/>
      <c r="I987" s="388"/>
      <c r="J987" s="642"/>
      <c r="K987" s="642"/>
      <c r="L987" s="642"/>
      <c r="M987" s="388"/>
      <c r="N987" s="388"/>
      <c r="O987" s="388"/>
      <c r="P987" s="388"/>
      <c r="Q987" s="388"/>
      <c r="R987" s="388"/>
      <c r="S987" s="388"/>
      <c r="T987" s="388"/>
      <c r="U987" s="388"/>
      <c r="V987" s="388"/>
      <c r="W987" s="388"/>
      <c r="X987" s="388"/>
      <c r="Y987" s="388"/>
      <c r="Z987" s="388"/>
      <c r="AA987" s="388"/>
      <c r="AB987" s="388"/>
      <c r="AC987" s="388"/>
    </row>
    <row r="988">
      <c r="A988" s="388"/>
      <c r="B988" s="388"/>
      <c r="C988" s="388"/>
      <c r="D988" s="388"/>
      <c r="E988" s="388"/>
      <c r="F988" s="388"/>
      <c r="G988" s="388"/>
      <c r="H988" s="388"/>
      <c r="I988" s="388"/>
      <c r="J988" s="642"/>
      <c r="K988" s="642"/>
      <c r="L988" s="642"/>
      <c r="M988" s="388"/>
      <c r="N988" s="388"/>
      <c r="O988" s="388"/>
      <c r="P988" s="388"/>
      <c r="Q988" s="388"/>
      <c r="R988" s="388"/>
      <c r="S988" s="388"/>
      <c r="T988" s="388"/>
      <c r="U988" s="388"/>
      <c r="V988" s="388"/>
      <c r="W988" s="388"/>
      <c r="X988" s="388"/>
      <c r="Y988" s="388"/>
      <c r="Z988" s="388"/>
      <c r="AA988" s="388"/>
      <c r="AB988" s="388"/>
      <c r="AC988" s="388"/>
    </row>
    <row r="989">
      <c r="A989" s="388"/>
      <c r="B989" s="388"/>
      <c r="C989" s="388"/>
      <c r="D989" s="388"/>
      <c r="E989" s="388"/>
      <c r="F989" s="388"/>
      <c r="G989" s="388"/>
      <c r="H989" s="388"/>
      <c r="I989" s="388"/>
      <c r="J989" s="642"/>
      <c r="K989" s="642"/>
      <c r="L989" s="642"/>
      <c r="M989" s="388"/>
      <c r="N989" s="388"/>
      <c r="O989" s="388"/>
      <c r="P989" s="388"/>
      <c r="Q989" s="388"/>
      <c r="R989" s="388"/>
      <c r="S989" s="388"/>
      <c r="T989" s="388"/>
      <c r="U989" s="388"/>
      <c r="V989" s="388"/>
      <c r="W989" s="388"/>
      <c r="X989" s="388"/>
      <c r="Y989" s="388"/>
      <c r="Z989" s="388"/>
      <c r="AA989" s="388"/>
      <c r="AB989" s="388"/>
      <c r="AC989" s="388"/>
    </row>
    <row r="990">
      <c r="A990" s="388"/>
      <c r="B990" s="388"/>
      <c r="C990" s="388"/>
      <c r="D990" s="388"/>
      <c r="E990" s="388"/>
      <c r="F990" s="388"/>
      <c r="G990" s="388"/>
      <c r="H990" s="388"/>
      <c r="I990" s="388"/>
      <c r="J990" s="642"/>
      <c r="K990" s="642"/>
      <c r="L990" s="642"/>
      <c r="M990" s="388"/>
      <c r="N990" s="388"/>
      <c r="O990" s="388"/>
      <c r="P990" s="388"/>
      <c r="Q990" s="388"/>
      <c r="R990" s="388"/>
      <c r="S990" s="388"/>
      <c r="T990" s="388"/>
      <c r="U990" s="388"/>
      <c r="V990" s="388"/>
      <c r="W990" s="388"/>
      <c r="X990" s="388"/>
      <c r="Y990" s="388"/>
      <c r="Z990" s="388"/>
      <c r="AA990" s="388"/>
      <c r="AB990" s="388"/>
      <c r="AC990" s="388"/>
    </row>
    <row r="991">
      <c r="A991" s="388"/>
      <c r="B991" s="388"/>
      <c r="C991" s="388"/>
      <c r="D991" s="388"/>
      <c r="E991" s="388"/>
      <c r="F991" s="388"/>
      <c r="G991" s="388"/>
      <c r="H991" s="388"/>
      <c r="I991" s="388"/>
      <c r="J991" s="642"/>
      <c r="K991" s="642"/>
      <c r="L991" s="642"/>
      <c r="M991" s="388"/>
      <c r="N991" s="388"/>
      <c r="O991" s="388"/>
      <c r="P991" s="388"/>
      <c r="Q991" s="388"/>
      <c r="R991" s="388"/>
      <c r="S991" s="388"/>
      <c r="T991" s="388"/>
      <c r="U991" s="388"/>
      <c r="V991" s="388"/>
      <c r="W991" s="388"/>
      <c r="X991" s="388"/>
      <c r="Y991" s="388"/>
      <c r="Z991" s="388"/>
      <c r="AA991" s="388"/>
      <c r="AB991" s="388"/>
      <c r="AC991" s="388"/>
    </row>
    <row r="992">
      <c r="A992" s="388"/>
      <c r="B992" s="388"/>
      <c r="C992" s="388"/>
      <c r="D992" s="388"/>
      <c r="E992" s="388"/>
      <c r="F992" s="388"/>
      <c r="G992" s="388"/>
      <c r="H992" s="388"/>
      <c r="I992" s="388"/>
      <c r="J992" s="642"/>
      <c r="K992" s="642"/>
      <c r="L992" s="642"/>
      <c r="M992" s="388"/>
      <c r="N992" s="388"/>
      <c r="O992" s="388"/>
      <c r="P992" s="388"/>
      <c r="Q992" s="388"/>
      <c r="R992" s="388"/>
      <c r="S992" s="388"/>
      <c r="T992" s="388"/>
      <c r="U992" s="388"/>
      <c r="V992" s="388"/>
      <c r="W992" s="388"/>
      <c r="X992" s="388"/>
      <c r="Y992" s="388"/>
      <c r="Z992" s="388"/>
      <c r="AA992" s="388"/>
      <c r="AB992" s="388"/>
      <c r="AC992" s="388"/>
    </row>
    <row r="993">
      <c r="A993" s="388"/>
      <c r="B993" s="388"/>
      <c r="C993" s="388"/>
      <c r="D993" s="388"/>
      <c r="E993" s="388"/>
      <c r="F993" s="388"/>
      <c r="G993" s="388"/>
      <c r="H993" s="388"/>
      <c r="I993" s="388"/>
      <c r="J993" s="642"/>
      <c r="K993" s="642"/>
      <c r="L993" s="642"/>
      <c r="M993" s="388"/>
      <c r="N993" s="388"/>
      <c r="O993" s="388"/>
      <c r="P993" s="388"/>
      <c r="Q993" s="388"/>
      <c r="R993" s="388"/>
      <c r="S993" s="388"/>
      <c r="T993" s="388"/>
      <c r="U993" s="388"/>
      <c r="V993" s="388"/>
      <c r="W993" s="388"/>
      <c r="X993" s="388"/>
      <c r="Y993" s="388"/>
      <c r="Z993" s="388"/>
      <c r="AA993" s="388"/>
      <c r="AB993" s="388"/>
      <c r="AC993" s="388"/>
    </row>
    <row r="994">
      <c r="A994" s="388"/>
      <c r="B994" s="388"/>
      <c r="C994" s="388"/>
      <c r="D994" s="388"/>
      <c r="E994" s="388"/>
      <c r="F994" s="388"/>
      <c r="G994" s="388"/>
      <c r="H994" s="388"/>
      <c r="I994" s="388"/>
      <c r="J994" s="642"/>
      <c r="K994" s="642"/>
      <c r="L994" s="642"/>
      <c r="M994" s="388"/>
      <c r="N994" s="388"/>
      <c r="O994" s="388"/>
      <c r="P994" s="388"/>
      <c r="Q994" s="388"/>
      <c r="R994" s="388"/>
      <c r="S994" s="388"/>
      <c r="T994" s="388"/>
      <c r="U994" s="388"/>
      <c r="V994" s="388"/>
      <c r="W994" s="388"/>
      <c r="X994" s="388"/>
      <c r="Y994" s="388"/>
      <c r="Z994" s="388"/>
      <c r="AA994" s="388"/>
      <c r="AB994" s="388"/>
      <c r="AC994" s="388"/>
    </row>
    <row r="995">
      <c r="A995" s="388"/>
      <c r="B995" s="388"/>
      <c r="C995" s="388"/>
      <c r="D995" s="388"/>
      <c r="E995" s="388"/>
      <c r="F995" s="388"/>
      <c r="G995" s="388"/>
      <c r="H995" s="388"/>
      <c r="I995" s="388"/>
      <c r="J995" s="642"/>
      <c r="K995" s="642"/>
      <c r="L995" s="642"/>
      <c r="M995" s="388"/>
      <c r="N995" s="388"/>
      <c r="O995" s="388"/>
      <c r="P995" s="388"/>
      <c r="Q995" s="388"/>
      <c r="R995" s="388"/>
      <c r="S995" s="388"/>
      <c r="T995" s="388"/>
      <c r="U995" s="388"/>
      <c r="V995" s="388"/>
      <c r="W995" s="388"/>
      <c r="X995" s="388"/>
      <c r="Y995" s="388"/>
      <c r="Z995" s="388"/>
      <c r="AA995" s="388"/>
      <c r="AB995" s="388"/>
      <c r="AC995" s="388"/>
    </row>
    <row r="996">
      <c r="A996" s="388"/>
      <c r="B996" s="388"/>
      <c r="C996" s="388"/>
      <c r="D996" s="388"/>
      <c r="E996" s="388"/>
      <c r="F996" s="388"/>
      <c r="G996" s="388"/>
      <c r="H996" s="388"/>
      <c r="I996" s="388"/>
      <c r="J996" s="642"/>
      <c r="K996" s="642"/>
      <c r="L996" s="642"/>
      <c r="M996" s="388"/>
      <c r="N996" s="388"/>
      <c r="O996" s="388"/>
      <c r="P996" s="388"/>
      <c r="Q996" s="388"/>
      <c r="R996" s="388"/>
      <c r="S996" s="388"/>
      <c r="T996" s="388"/>
      <c r="U996" s="388"/>
      <c r="V996" s="388"/>
      <c r="W996" s="388"/>
      <c r="X996" s="388"/>
      <c r="Y996" s="388"/>
      <c r="Z996" s="388"/>
      <c r="AA996" s="388"/>
      <c r="AB996" s="388"/>
      <c r="AC996" s="388"/>
    </row>
    <row r="997">
      <c r="A997" s="388"/>
      <c r="B997" s="388"/>
      <c r="C997" s="388"/>
      <c r="D997" s="388"/>
      <c r="E997" s="388"/>
      <c r="F997" s="388"/>
      <c r="G997" s="388"/>
      <c r="H997" s="388"/>
      <c r="I997" s="388"/>
      <c r="J997" s="642"/>
      <c r="K997" s="642"/>
      <c r="L997" s="642"/>
      <c r="M997" s="388"/>
      <c r="N997" s="388"/>
      <c r="O997" s="388"/>
      <c r="P997" s="388"/>
      <c r="Q997" s="388"/>
      <c r="R997" s="388"/>
      <c r="S997" s="388"/>
      <c r="T997" s="388"/>
      <c r="U997" s="388"/>
      <c r="V997" s="388"/>
      <c r="W997" s="388"/>
      <c r="X997" s="388"/>
      <c r="Y997" s="388"/>
      <c r="Z997" s="388"/>
      <c r="AA997" s="388"/>
      <c r="AB997" s="388"/>
      <c r="AC997" s="388"/>
    </row>
    <row r="998">
      <c r="A998" s="388"/>
      <c r="B998" s="388"/>
      <c r="C998" s="388"/>
      <c r="D998" s="388"/>
      <c r="E998" s="388"/>
      <c r="F998" s="388"/>
      <c r="G998" s="388"/>
      <c r="H998" s="388"/>
      <c r="I998" s="388"/>
      <c r="J998" s="642"/>
      <c r="K998" s="642"/>
      <c r="L998" s="642"/>
      <c r="M998" s="388"/>
      <c r="N998" s="388"/>
      <c r="O998" s="388"/>
      <c r="P998" s="388"/>
      <c r="Q998" s="388"/>
      <c r="R998" s="388"/>
      <c r="S998" s="388"/>
      <c r="T998" s="388"/>
      <c r="U998" s="388"/>
      <c r="V998" s="388"/>
      <c r="W998" s="388"/>
      <c r="X998" s="388"/>
      <c r="Y998" s="388"/>
      <c r="Z998" s="388"/>
      <c r="AA998" s="388"/>
      <c r="AB998" s="388"/>
      <c r="AC998" s="388"/>
    </row>
    <row r="999">
      <c r="A999" s="388"/>
      <c r="B999" s="388"/>
      <c r="C999" s="388"/>
      <c r="D999" s="388"/>
      <c r="E999" s="388"/>
      <c r="F999" s="388"/>
      <c r="G999" s="388"/>
      <c r="H999" s="388"/>
      <c r="I999" s="388"/>
      <c r="J999" s="642"/>
      <c r="K999" s="642"/>
      <c r="L999" s="642"/>
      <c r="M999" s="388"/>
      <c r="N999" s="388"/>
      <c r="O999" s="388"/>
      <c r="P999" s="388"/>
      <c r="Q999" s="388"/>
      <c r="R999" s="388"/>
      <c r="S999" s="388"/>
      <c r="T999" s="388"/>
      <c r="U999" s="388"/>
      <c r="V999" s="388"/>
      <c r="W999" s="388"/>
      <c r="X999" s="388"/>
      <c r="Y999" s="388"/>
      <c r="Z999" s="388"/>
      <c r="AA999" s="388"/>
      <c r="AB999" s="388"/>
      <c r="AC999" s="388"/>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75"/>
  </cols>
  <sheetData>
    <row r="1">
      <c r="A1" s="3" t="s">
        <v>8933</v>
      </c>
      <c r="B1" s="6"/>
      <c r="C1" s="6"/>
    </row>
    <row r="2">
      <c r="A2" s="629" t="s">
        <v>8935</v>
      </c>
      <c r="B2" s="6"/>
      <c r="C2" s="6"/>
    </row>
    <row r="3">
      <c r="B3" s="6"/>
      <c r="C3" s="6"/>
    </row>
    <row r="4">
      <c r="B4" s="6"/>
      <c r="C4" s="6"/>
    </row>
    <row r="5">
      <c r="A5" s="630" t="s">
        <v>9</v>
      </c>
      <c r="B5" s="300" t="s">
        <v>8942</v>
      </c>
      <c r="C5" s="300" t="s">
        <v>8944</v>
      </c>
      <c r="D5" s="300" t="s">
        <v>8945</v>
      </c>
      <c r="E5" s="300" t="s">
        <v>8946</v>
      </c>
      <c r="F5" s="300" t="s">
        <v>8947</v>
      </c>
      <c r="G5" s="300" t="s">
        <v>8948</v>
      </c>
      <c r="H5" s="300" t="s">
        <v>8949</v>
      </c>
      <c r="I5" s="300" t="s">
        <v>8950</v>
      </c>
      <c r="J5" s="300" t="s">
        <v>8951</v>
      </c>
      <c r="K5" s="300" t="s">
        <v>8952</v>
      </c>
      <c r="L5" s="300" t="s">
        <v>8953</v>
      </c>
      <c r="M5" s="631" t="s">
        <v>8954</v>
      </c>
    </row>
    <row r="6">
      <c r="A6" s="633" t="str">
        <f>'Ny lista verkstäder'!A2</f>
        <v>JHS Bilservice</v>
      </c>
      <c r="B6" s="634"/>
      <c r="C6" s="635"/>
      <c r="D6" s="635"/>
      <c r="E6" s="635"/>
      <c r="F6" s="635"/>
      <c r="G6" s="635"/>
      <c r="H6" s="635"/>
      <c r="I6" s="635"/>
      <c r="J6" s="635"/>
      <c r="K6" s="635"/>
      <c r="L6" s="635"/>
      <c r="M6" s="636"/>
    </row>
    <row r="7">
      <c r="A7" s="633" t="str">
        <f>'Ny lista verkstäder'!A3</f>
        <v>Supreme Autoservice</v>
      </c>
      <c r="B7" s="67"/>
      <c r="M7" s="60"/>
    </row>
    <row r="8">
      <c r="A8" s="633" t="str">
        <f>'Ny lista verkstäder'!A4</f>
        <v>AB Ystad Meck &amp; Däck</v>
      </c>
      <c r="B8" s="67"/>
      <c r="M8" s="60"/>
    </row>
    <row r="9">
      <c r="A9" s="633" t="str">
        <f>'Ny lista verkstäder'!A5</f>
        <v>IM Bilservice</v>
      </c>
      <c r="B9" s="67"/>
      <c r="M9" s="60"/>
    </row>
    <row r="10">
      <c r="A10" s="633" t="str">
        <f>'Ny lista verkstäder'!A6</f>
        <v>Speedy Bilservice Åhus</v>
      </c>
      <c r="B10" s="67"/>
      <c r="M10" s="60"/>
    </row>
    <row r="11">
      <c r="A11" s="633" t="str">
        <f>'Ny lista verkstäder'!A7</f>
        <v>Drakängens Bilservice</v>
      </c>
      <c r="B11" s="67"/>
      <c r="M11" s="60"/>
    </row>
    <row r="12">
      <c r="A12" s="633" t="str">
        <f>'Ny lista verkstäder'!A8</f>
        <v>Äpplekullen Bil &amp; Däckservice</v>
      </c>
      <c r="B12" s="67"/>
      <c r="M12" s="60"/>
    </row>
    <row r="13">
      <c r="A13" s="633" t="str">
        <f>'Ny lista verkstäder'!A9</f>
        <v>Sjömarkens Motor &amp; Aluminium</v>
      </c>
      <c r="B13" s="67"/>
      <c r="M13" s="60"/>
    </row>
    <row r="14">
      <c r="A14" s="633" t="str">
        <f>'Ny lista verkstäder'!A10</f>
        <v>Skarstad Bilverkstad //
Daniel Bergendahl</v>
      </c>
      <c r="B14" s="67"/>
      <c r="M14" s="60"/>
    </row>
    <row r="15">
      <c r="A15" s="633" t="str">
        <f>'Ny lista verkstäder'!A11</f>
        <v>Speedy Bilservice Eskilstuna</v>
      </c>
      <c r="B15" s="67"/>
      <c r="M15" s="60"/>
    </row>
    <row r="16">
      <c r="A16" s="633" t="str">
        <f>'Ny lista verkstäder'!A12</f>
        <v>Gunnarssons Serviceteknik</v>
      </c>
      <c r="B16" s="67"/>
      <c r="M16" s="60"/>
    </row>
    <row r="17">
      <c r="A17" s="633" t="str">
        <f>'Ny lista verkstäder'!A13</f>
        <v>Speedy Bilservice Västerås</v>
      </c>
      <c r="B17" s="67"/>
      <c r="M17" s="60"/>
    </row>
    <row r="18">
      <c r="A18" s="633" t="str">
        <f>'Ny lista verkstäder'!A14</f>
        <v>AK Mobilkonsult / Ditec</v>
      </c>
      <c r="B18" s="67"/>
      <c r="M18" s="60"/>
    </row>
    <row r="19">
      <c r="A19" s="633" t="str">
        <f>'Ny lista verkstäder'!A15</f>
        <v>Piteå Bilverkstad</v>
      </c>
      <c r="B19" s="67"/>
      <c r="M19" s="60"/>
    </row>
    <row r="20">
      <c r="A20" s="633" t="str">
        <f>'Ny lista verkstäder'!A16</f>
        <v>Solid Bilvård i Örebro AB</v>
      </c>
      <c r="B20" s="67"/>
      <c r="M20" s="60"/>
    </row>
    <row r="21">
      <c r="A21" s="633" t="str">
        <f>'Ny lista verkstäder'!A17</f>
        <v>Melvin Bilverkstad</v>
      </c>
      <c r="B21" s="67"/>
      <c r="M21" s="60"/>
    </row>
    <row r="22">
      <c r="A22" s="633" t="str">
        <f>'Ny lista verkstäder'!A18</f>
        <v>PowerCar Service AB</v>
      </c>
      <c r="B22" s="67"/>
      <c r="M22" s="60"/>
    </row>
    <row r="23">
      <c r="A23" s="633" t="str">
        <f>'Ny lista verkstäder'!A19</f>
        <v>Linköpings Bilvaruhus AB</v>
      </c>
      <c r="B23" s="67"/>
      <c r="M23" s="60"/>
    </row>
    <row r="24">
      <c r="A24" s="633" t="str">
        <f>'Ny lista verkstäder'!A20</f>
        <v>Manos Bilservice &amp; Lack</v>
      </c>
      <c r="B24" s="67"/>
      <c r="M24" s="60"/>
    </row>
    <row r="25">
      <c r="A25" s="633" t="str">
        <f>'Ny lista verkstäder'!A21</f>
        <v>Gästrike Autoservice AB</v>
      </c>
      <c r="B25" s="67"/>
      <c r="M25" s="60"/>
    </row>
    <row r="26">
      <c r="A26" s="633" t="str">
        <f>'Ny lista verkstäder'!A22</f>
        <v>Carpros</v>
      </c>
      <c r="B26" s="67"/>
      <c r="M26" s="60"/>
    </row>
    <row r="27">
      <c r="A27" s="633" t="str">
        <f>'Ny lista verkstäder'!A23</f>
        <v>Daniels Bilverkstad</v>
      </c>
      <c r="B27" s="67"/>
      <c r="M27" s="60"/>
    </row>
    <row r="28">
      <c r="A28" s="633" t="str">
        <f>'Ny lista verkstäder'!A24</f>
        <v>Point 58 Bildepån (CarOx AB)</v>
      </c>
      <c r="B28" s="67"/>
      <c r="M28" s="60"/>
    </row>
    <row r="29">
      <c r="A29" s="633" t="str">
        <f>'Ny lista verkstäder'!A25</f>
        <v>Samppas Custom Garage AB</v>
      </c>
      <c r="B29" s="67"/>
      <c r="M29" s="60"/>
    </row>
    <row r="30">
      <c r="A30" s="633" t="str">
        <f>'Ny lista verkstäder'!A26</f>
        <v>AA Bilservice - Västerås</v>
      </c>
      <c r="B30" s="67"/>
      <c r="M30" s="60"/>
    </row>
    <row r="31">
      <c r="A31" s="633" t="str">
        <f>'Ny lista verkstäder'!A27</f>
        <v>Speedy Bilservice Borlänge</v>
      </c>
      <c r="B31" s="67"/>
      <c r="M31" s="60"/>
    </row>
    <row r="32">
      <c r="A32" s="633" t="str">
        <f>'Ny lista verkstäder'!A28</f>
        <v>Biltec AB växjö</v>
      </c>
      <c r="B32" s="67"/>
      <c r="M32" s="60"/>
    </row>
    <row r="33">
      <c r="A33" s="633" t="str">
        <f>'Ny lista verkstäder'!A29</f>
        <v>Autoval</v>
      </c>
      <c r="B33" s="67"/>
      <c r="M33" s="60"/>
    </row>
    <row r="34">
      <c r="A34" s="633" t="str">
        <f>'Ny lista verkstäder'!A30</f>
        <v>R-Sport Avesta Meca</v>
      </c>
      <c r="B34" s="67"/>
      <c r="M34" s="60"/>
    </row>
    <row r="35">
      <c r="A35" s="633" t="str">
        <f>'Ny lista verkstäder'!A31</f>
        <v>ECO Bilvård</v>
      </c>
      <c r="B35" s="67"/>
      <c r="M35" s="60"/>
    </row>
    <row r="36">
      <c r="A36" s="633" t="str">
        <f>'Ny lista verkstäder'!A32</f>
        <v>Aktiebolaget Burträsk Gummiverkstad</v>
      </c>
      <c r="B36" s="67"/>
      <c r="M36" s="60"/>
    </row>
    <row r="37">
      <c r="A37" s="633" t="str">
        <f>'Ny lista verkstäder'!A33</f>
        <v>Mekonomen
AC &amp; Däckcenter i Rättvik AB</v>
      </c>
      <c r="B37" s="67"/>
      <c r="M37" s="60"/>
    </row>
    <row r="38">
      <c r="A38" s="633" t="str">
        <f>'Ny lista verkstäder'!A34</f>
        <v>Mullsjö Autocenter AB</v>
      </c>
      <c r="B38" s="67"/>
      <c r="M38" s="60"/>
    </row>
    <row r="39">
      <c r="A39" s="633" t="str">
        <f>#REF!</f>
        <v>#REF!</v>
      </c>
      <c r="B39" s="67"/>
      <c r="M39" s="60"/>
    </row>
    <row r="40">
      <c r="A40" s="633" t="str">
        <f>'Ny lista verkstäder'!A35</f>
        <v>Speedy Bilservice Älta</v>
      </c>
      <c r="B40" s="67"/>
      <c r="M40" s="60"/>
    </row>
    <row r="41">
      <c r="A41" s="638" t="str">
        <f>'Ny lista verkstäder'!A36</f>
        <v>Mobil &amp; Marin montage Sverige AB</v>
      </c>
      <c r="B41" s="639"/>
      <c r="C41" s="256"/>
      <c r="D41" s="256"/>
      <c r="E41" s="256"/>
      <c r="F41" s="256"/>
      <c r="G41" s="256"/>
      <c r="H41" s="256"/>
      <c r="I41" s="256"/>
      <c r="J41" s="256"/>
      <c r="K41" s="256"/>
      <c r="L41" s="256"/>
      <c r="M41" s="640"/>
    </row>
    <row r="42">
      <c r="A42" t="str">
        <f>'Ny lista verkstäder'!A37</f>
        <v>SA Performance</v>
      </c>
    </row>
    <row r="43">
      <c r="A43" t="str">
        <f>'Ny lista verkstäder'!A38</f>
        <v>Jönköping</v>
      </c>
    </row>
    <row r="44">
      <c r="A44" t="str">
        <f>'Ny lista verkstäder'!A39</f>
        <v/>
      </c>
    </row>
    <row r="45">
      <c r="A45" t="str">
        <f>'Ny lista verkstäder'!A40</f>
        <v/>
      </c>
    </row>
    <row r="46">
      <c r="A46" t="str">
        <f>'Ny lista verkstäder'!A41</f>
        <v/>
      </c>
    </row>
  </sheetData>
  <mergeCells count="1">
    <mergeCell ref="A2:A4"/>
  </mergeCells>
  <drawing r:id="rId1"/>
</worksheet>
</file>